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FINANCE\Securitization\Clients - Current\Pennant Park\Credit\Reporting\Borrowing Requests\2025\08-2025\"/>
    </mc:Choice>
  </mc:AlternateContent>
  <xr:revisionPtr revIDLastSave="0" documentId="13_ncr:1_{9493E169-B3C0-448C-A922-845FFEE5B444}" xr6:coauthVersionLast="47" xr6:coauthVersionMax="47" xr10:uidLastSave="{00000000-0000-0000-0000-000000000000}"/>
  <bookViews>
    <workbookView xWindow="-120" yWindow="-120" windowWidth="29040" windowHeight="15720" tabRatio="619" xr2:uid="{00000000-000D-0000-FFFF-FFFF00000000}"/>
  </bookViews>
  <sheets>
    <sheet name="Inputs" sheetId="1" r:id="rId1"/>
    <sheet name="Borrowing Base" sheetId="2" r:id="rId2"/>
    <sheet name="Loan List" sheetId="3" r:id="rId3"/>
    <sheet name="Concentrations" sheetId="4" r:id="rId4"/>
    <sheet name="Compliance" sheetId="5" r:id="rId5"/>
    <sheet name="Lookups" sheetId="6" r:id="rId6"/>
    <sheet name="Prices" sheetId="10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_123Graph_A" hidden="1">[1]rates!#REF!</definedName>
    <definedName name="__123Graph_B" hidden="1">[1]rates!#REF!</definedName>
    <definedName name="__123Graph_C" hidden="1">[1]rates!#REF!</definedName>
    <definedName name="__123Graph_CCURRENT" hidden="1">[2]recv!#REF!</definedName>
    <definedName name="__123Graph_D" hidden="1">[1]rates!#REF!</definedName>
    <definedName name="__123Graph_DCURRENT" hidden="1">[2]recv!#REF!</definedName>
    <definedName name="__123Graph_E" hidden="1">[1]rates!#REF!</definedName>
    <definedName name="__123Graph_F" hidden="1">[1]rates!#REF!</definedName>
    <definedName name="_1__123Graph_ACHART_1A" hidden="1">[1]rates!#REF!</definedName>
    <definedName name="_2__123Graph_BCHART_1A" hidden="1">[1]rates!#REF!</definedName>
    <definedName name="_3__123Graph_CCHART_1A" hidden="1">[1]rates!#REF!</definedName>
    <definedName name="_4__123Graph_DCHART_1A" hidden="1">[1]rates!#REF!</definedName>
    <definedName name="_5__123Graph_ECHART_1A" hidden="1">[1]rates!#REF!</definedName>
    <definedName name="_6__123Graph_FCHART_1A" hidden="1">[1]rates!#REF!</definedName>
    <definedName name="_Fill" hidden="1">#REF!</definedName>
    <definedName name="_xlnm._FilterDatabase" localSheetId="2" hidden="1">'Loan List'!$B$9:$IE$406</definedName>
    <definedName name="_Key1" hidden="1">#REF!</definedName>
    <definedName name="_Order1" hidden="1">255</definedName>
    <definedName name="_Sort" hidden="1">#REF!</definedName>
    <definedName name="a" localSheetId="6">#REF!</definedName>
    <definedName name="a">#REF!</definedName>
    <definedName name="AS2DocOpenMode" hidden="1">"AS2DocumentEdit"</definedName>
    <definedName name="AUGUST" localSheetId="6">#REF!</definedName>
    <definedName name="AUGUST">#REF!</definedName>
    <definedName name="CAPSTOCK" localSheetId="6">#REF!</definedName>
    <definedName name="CAPSTOCK">#REF!</definedName>
    <definedName name="CASHREC" localSheetId="6">#REF!</definedName>
    <definedName name="CASHREC">#REF!</definedName>
    <definedName name="check1" localSheetId="6">#REF!</definedName>
    <definedName name="check1">#REF!</definedName>
    <definedName name="CHECKLIST" localSheetId="6">#REF!</definedName>
    <definedName name="CHECKLIST">#REF!</definedName>
    <definedName name="CIQWBGuid" hidden="1">"c8ce311b-1abd-4d5d-beb8-f07073ed7c25"</definedName>
    <definedName name="CIQWBInfo" hidden="1">"{ ""CIQVersion"":""9.47.1108.4092"" }"</definedName>
    <definedName name="cklst">[3]Chklst!$A$1:$C$26</definedName>
    <definedName name="CLASSEXP" localSheetId="6">#REF!</definedName>
    <definedName name="CLASSEXP">#REF!</definedName>
    <definedName name="COST" localSheetId="6">#REF!</definedName>
    <definedName name="COST">#REF!</definedName>
    <definedName name="COST2" localSheetId="6">#REF!</definedName>
    <definedName name="COST2">#REF!</definedName>
    <definedName name="DAYAN" hidden="1">{"LIBOR",#N/A,TRUE,"Model";"Caps",#N/A,TRUE,"Model";"Assets",#N/A,TRUE,"Model";"Liabilities",#N/A,TRUE,"Model";"Tests",#N/A,TRUE,"Model";"Results",#N/A,TRUE,"Model"}</definedName>
    <definedName name="Days">'[4]Cost Rollforward - PTO'!$C$45</definedName>
    <definedName name="Days_2">'[5]Cost Roll'!$C$52</definedName>
    <definedName name="DERIVATIVE" localSheetId="6">#REF!</definedName>
    <definedName name="DERIVATIVE">#REF!</definedName>
    <definedName name="DETAIL" localSheetId="6">#REF!</definedName>
    <definedName name="DETAIL">#REF!</definedName>
    <definedName name="DISTREC" localSheetId="6">#REF!</definedName>
    <definedName name="DISTREC">#REF!</definedName>
    <definedName name="DISTRIBUTION" localSheetId="6">#REF!</definedName>
    <definedName name="DISTRIBUTION">#REF!</definedName>
    <definedName name="DVD" localSheetId="6">#REF!</definedName>
    <definedName name="DVD">#REF!</definedName>
    <definedName name="DVDII" localSheetId="6">#REF!</definedName>
    <definedName name="DVDII">#REF!</definedName>
    <definedName name="EntityNames">[6]EntityLookup!$A$3:$A$5</definedName>
    <definedName name="EXPENSES" localSheetId="6">#REF!</definedName>
    <definedName name="EXPENSES">#REF!</definedName>
    <definedName name="Facility_Name">'[7]PAR Settled'!$B:$B</definedName>
    <definedName name="fadfs">'[8]Cost Roll'!$C$24</definedName>
    <definedName name="FAX" localSheetId="6">#REF!</definedName>
    <definedName name="FAX">#REF!</definedName>
    <definedName name="foursixtythree" localSheetId="6">#REF!</definedName>
    <definedName name="foursixtythree">#REF!</definedName>
    <definedName name="GAIN" localSheetId="6">#REF!</definedName>
    <definedName name="GAIN">#REF!</definedName>
    <definedName name="Gain_Loss_01" localSheetId="6">#REF!</definedName>
    <definedName name="Gain_Loss_01">#REF!</definedName>
    <definedName name="Gain_Loss_02" localSheetId="6">#REF!</definedName>
    <definedName name="Gain_Loss_02">#REF!</definedName>
    <definedName name="Gain_Loss_03" localSheetId="6">#REF!</definedName>
    <definedName name="Gain_Loss_03">#REF!</definedName>
    <definedName name="Gain_Loss_04" localSheetId="6">#REF!</definedName>
    <definedName name="Gain_Loss_04">#REF!</definedName>
    <definedName name="Gain_Loss_05" localSheetId="6">#REF!</definedName>
    <definedName name="Gain_Loss_05">#REF!</definedName>
    <definedName name="Gain_Loss_06" localSheetId="6">#REF!</definedName>
    <definedName name="Gain_Loss_06">#REF!</definedName>
    <definedName name="Gain_Loss_07" localSheetId="6">#REF!</definedName>
    <definedName name="Gain_Loss_07">#REF!</definedName>
    <definedName name="Gain_Loss_08" localSheetId="6">#REF!</definedName>
    <definedName name="Gain_Loss_08">#REF!</definedName>
    <definedName name="Gain_Loss_09" localSheetId="6">#REF!</definedName>
    <definedName name="Gain_Loss_09">#REF!</definedName>
    <definedName name="Gain_Loss_10" localSheetId="6">#REF!</definedName>
    <definedName name="Gain_Loss_10">#REF!</definedName>
    <definedName name="Gain_Loss_11" localSheetId="6">#REF!</definedName>
    <definedName name="Gain_Loss_11">#REF!</definedName>
    <definedName name="Gain_Loss_12" localSheetId="6">#REF!</definedName>
    <definedName name="Gain_Loss_12">#REF!</definedName>
    <definedName name="GAINLOSS" localSheetId="6">#REF!</definedName>
    <definedName name="GAINLOSS">#REF!</definedName>
    <definedName name="INT" localSheetId="6">#REF!</definedName>
    <definedName name="INT">#REF!</definedName>
    <definedName name="INTEREST" localSheetId="6">#REF!</definedName>
    <definedName name="INTEREST">#REF!</definedName>
    <definedName name="INTEREST2" localSheetId="6">#REF!</definedName>
    <definedName name="INTEREST2">#REF!</definedName>
    <definedName name="IO_14">'[9]501773CG8sold'!$A$59:$L$80</definedName>
    <definedName name="IO_15">'[9]23322BFC7soldoff'!$A$45:$L$67</definedName>
    <definedName name="IO_16">'[9]3133TKAB6Sold Off'!$A$42:$L$63</definedName>
    <definedName name="IO_17">'[9]3133TGQG7 paid off'!$A$40:$L$61</definedName>
    <definedName name="IO_18">'[9]3133TKT91Sold Off'!$A$40:$L$61</definedName>
    <definedName name="IO_19">'[9]3133t2wf3- paid off'!$A$37:$L$58</definedName>
    <definedName name="IO_20">'[9]3133TKYZ7PaidOff'!$A$39:$L$60</definedName>
    <definedName name="IO_6">'[9]312915gc9paidoff'!$A$298:$T$320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PEX_BR" hidden="1">"c111"</definedName>
    <definedName name="IQ_CH" hidden="1">110000</definedName>
    <definedName name="IQ_CHANGE_AP_BR" hidden="1">"c135"</definedName>
    <definedName name="IQ_CHANGE_AR_BR" hidden="1">"c142"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ONTRACTS_OTHER_COMMODITIES_EQUITIES._FDIC" hidden="1">"c6522"</definedName>
    <definedName name="IQ_CONV_RATE" hidden="1">"c2192"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Q" hidden="1">5000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GAIN_BR" hidden="1">"c236"</definedName>
    <definedName name="IQ_CURRENT_PORT_DEBT_BR" hidden="1">"c1567"</definedName>
    <definedName name="IQ_CY" hidden="1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 hidden="1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BT_BR" hidden="1">"c378"</definedName>
    <definedName name="IQ_EBT_EXCL_BR" hidden="1">"c381"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XPENSE_CODE_" hidden="1">1223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_BR" hidden="1">"c412"</definedName>
    <definedName name="IQ_FH" hidden="1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OREIGN_BRANCHES_U.S._BANKS_LOANS_FDIC" hidden="1">"c6438"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VEST_LOANS_CF_BR" hidden="1">"c630"</definedName>
    <definedName name="IQ_INVEST_SECURITY_CF_BR" hidden="1">"c639"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LATESTK" hidden="1">1000</definedName>
    <definedName name="IQ_LATESTQ" hidden="1">500</definedName>
    <definedName name="IQ_LEGAL_SETTLE_BR" hidden="1">"c649"</definedName>
    <definedName name="IQ_LOANS_CF_BR" hidden="1">"c661"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 hidden="1">2000</definedName>
    <definedName name="IQ_LTMMONTH" hidden="1">120000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_BR" hidden="1">"c715"</definedName>
    <definedName name="IQ_MERGER_RESTRUCTURE_BR" hidden="1">"c721"</definedName>
    <definedName name="IQ_MINORITY_INTEREST_BR" hidden="1">"c729"</definedName>
    <definedName name="IQ_MONTH" hidden="1">15000</definedName>
    <definedName name="IQ_MTD" hidden="1">800000</definedName>
    <definedName name="IQ_NAMES_REVISION_DATE_" localSheetId="6" hidden="1">41017.4653935185</definedName>
    <definedName name="IQ_NAMES_REVISION_DATE_" hidden="1">42619.7757986111</definedName>
    <definedName name="IQ_NET_DEBT_ISSUED_BR" hidden="1">"c753"</definedName>
    <definedName name="IQ_NET_INT_INC_BR" hidden="1">"c765"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TM" hidden="1">6000</definedName>
    <definedName name="IQ_OG_TOTAL_OIL_PRODUCTON" hidden="1">"c2059"</definedName>
    <definedName name="IQ_OPENED55" hidden="1">1</definedName>
    <definedName name="IQ_OPER_INC_BR" hidden="1">"c850"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REF_ISSUED_BR" hidden="1">"c1047"</definedName>
    <definedName name="IQ_PREF_OTHER_BR" hidden="1">"c1055"</definedName>
    <definedName name="IQ_PREF_REP_BR" hidden="1">"c1062"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REV_BR" hidden="1">"c1303"</definedName>
    <definedName name="IQ_TREASURY_OTHER_EQUITY_BR" hidden="1">"c1314"</definedName>
    <definedName name="IQ_UNEARN_REV_CURRENT_BR" hidden="1">"c1324"</definedName>
    <definedName name="IQ_WEEK" hidden="1">50000</definedName>
    <definedName name="IQ_YTD" hidden="1">3000</definedName>
    <definedName name="IQ_YTDMONTH" hidden="1">130000</definedName>
    <definedName name="Issuer_Name">'[7]PAR Settled'!$A:$A</definedName>
    <definedName name="JULY" localSheetId="6">#REF!</definedName>
    <definedName name="JULY">#REF!</definedName>
    <definedName name="JUNE" localSheetId="6">#REF!</definedName>
    <definedName name="JUNE">#REF!</definedName>
    <definedName name="limcount" hidden="1">1</definedName>
    <definedName name="LOAN" localSheetId="6">#REF!</definedName>
    <definedName name="LOAN">#REF!</definedName>
    <definedName name="Marketing_Explanation">'[6]Sponsor Due Dillig Explan'!$A$3:$A$110</definedName>
    <definedName name="MgmtDealLIst">'[6]Deal_Expense Lookup'!$A$1:$A$106</definedName>
    <definedName name="MISCADJ" localSheetId="6">#REF!</definedName>
    <definedName name="MISCADJ">#REF!</definedName>
    <definedName name="MISCADJ2" localSheetId="6">#REF!</definedName>
    <definedName name="MISCADJ2">#REF!</definedName>
    <definedName name="MKTVALUE" localSheetId="6">#REF!</definedName>
    <definedName name="MKTVALUE">#REF!</definedName>
    <definedName name="MKTVALUE2" localSheetId="6">#REF!</definedName>
    <definedName name="MKTVALUE2">#REF!</definedName>
    <definedName name="MMINT" localSheetId="6">#REF!</definedName>
    <definedName name="MMINT">#REF!</definedName>
    <definedName name="MMINTEREST" localSheetId="6">#REF!</definedName>
    <definedName name="MMINTEREST">#REF!</definedName>
    <definedName name="MMSEGINT" localSheetId="6">#REF!</definedName>
    <definedName name="MMSEGINT">#REF!</definedName>
    <definedName name="Month1">'[10]7.0.1'!$C$9:$H$109</definedName>
    <definedName name="MTDEXP" localSheetId="6">'[11]Expense Sheet'!#REF!</definedName>
    <definedName name="MTDEXP">'[11]Expense Sheet'!#REF!</definedName>
    <definedName name="NAV" localSheetId="6">#REF!</definedName>
    <definedName name="NAV">#REF!</definedName>
    <definedName name="nnnnnnnnnnnnnnnnnnn" hidden="1">{"LIBOR",#N/A,TRUE,"Model";"Caps",#N/A,TRUE,"Model";"Assets",#N/A,TRUE,"Model";"Liabilities",#N/A,TRUE,"Model";"Tests",#N/A,TRUE,"Model";"Results",#N/A,TRUE,"Model"}</definedName>
    <definedName name="OCT_ROR" localSheetId="6">#REF!</definedName>
    <definedName name="OCT_ROR">#REF!</definedName>
    <definedName name="OPTIONS" localSheetId="6">#REF!</definedName>
    <definedName name="OPTIONS">#REF!</definedName>
    <definedName name="Paydowns">'[12]PNC Cost Roll'!$I$23</definedName>
    <definedName name="PIK_Divs">'[13]PNC Cost Roll'!$E$23</definedName>
    <definedName name="port">'[14]Port Turn'!$A$1:$G$28</definedName>
    <definedName name="PORT_TURN" localSheetId="6">#REF!</definedName>
    <definedName name="PORT_TURN">#REF!</definedName>
    <definedName name="portva">'[14]Port Turn'!$A$1:$G$28</definedName>
    <definedName name="_xlnm.Print_Area" localSheetId="1">'Borrowing Base'!$A$1:$J$76,'Borrowing Base'!$N$1:$Q$76</definedName>
    <definedName name="_xlnm.Print_Area" localSheetId="0">Inputs!$A$1:$K$12</definedName>
    <definedName name="_xlnm.Print_Area" localSheetId="2">'Loan List'!$B$1:$ID$117</definedName>
    <definedName name="_xlnm.Print_Area" localSheetId="6">Prices!$A$1:$O$21</definedName>
    <definedName name="Print_Area_MI" localSheetId="6">#REF!</definedName>
    <definedName name="Print_Area_MI">#REF!</definedName>
    <definedName name="_xlnm.Print_Titles" localSheetId="2">'Loan List'!$9:$9</definedName>
    <definedName name="Purchases" localSheetId="6">#REF!</definedName>
    <definedName name="Purchases">#REF!</definedName>
    <definedName name="Purchases_2">'[12]PNC Cost Roll'!$C$23</definedName>
    <definedName name="Question_Type">[15]Values!$B$3:$B$10</definedName>
    <definedName name="RATE" localSheetId="6">#REF!</definedName>
    <definedName name="RATE">#REF!</definedName>
    <definedName name="rect10">"Rectangle 10"</definedName>
    <definedName name="regsaergsafd">'[6]Deal_Expense Lookup'!$A$1:$A$109</definedName>
    <definedName name="RESET" localSheetId="6">#REF!</definedName>
    <definedName name="RESET">#REF!</definedName>
    <definedName name="ROUNDING" localSheetId="6">#REF!</definedName>
    <definedName name="ROUNDING">#REF!</definedName>
    <definedName name="Sales" localSheetId="6">#REF!</definedName>
    <definedName name="Sales">#REF!</definedName>
    <definedName name="Sales_2">'[16]Cost Roll'!$E$24</definedName>
    <definedName name="sencount" hidden="1">1</definedName>
    <definedName name="SEPT_ROR" localSheetId="6">#REF!</definedName>
    <definedName name="SEPT_ROR">#REF!</definedName>
    <definedName name="SHARES" localSheetId="6">#REF!</definedName>
    <definedName name="SHARES">#REF!</definedName>
    <definedName name="SHORT_TERM" localSheetId="6">#REF!</definedName>
    <definedName name="SHORT_TERM">#REF!</definedName>
    <definedName name="STI1998A" localSheetId="6">#REF!</definedName>
    <definedName name="STI1998A">#REF!</definedName>
    <definedName name="STI1998B" localSheetId="6">#REF!</definedName>
    <definedName name="STI1998B">#REF!</definedName>
    <definedName name="SUMMARY" localSheetId="6">#REF!</definedName>
    <definedName name="SUMMARY">#REF!</definedName>
    <definedName name="table1" localSheetId="6">'[17]1'!#REF!</definedName>
    <definedName name="table1">'[17]1'!#REF!</definedName>
    <definedName name="TEST" localSheetId="6">#REF!</definedName>
    <definedName name="TEST">#REF!</definedName>
    <definedName name="TNA" localSheetId="6">#REF!</definedName>
    <definedName name="TNA">#REF!</definedName>
    <definedName name="TR" localSheetId="6">#REF!</definedName>
    <definedName name="TR">#REF!</definedName>
    <definedName name="TRADES" localSheetId="6">#REF!</definedName>
    <definedName name="TRADES">#REF!</definedName>
    <definedName name="Value">'[4]Cost Rollforward - PTO'!$G$47</definedName>
    <definedName name="Value2">'[12]PNC Cost Roll'!$G$53</definedName>
    <definedName name="VARRATES" localSheetId="6">#REF!</definedName>
    <definedName name="VARRATES">#REF!</definedName>
    <definedName name="VendorNameList">'[6]Vendor Lookup'!$A$1:$A$115</definedName>
    <definedName name="wrn.Assumptions." hidden="1">{"Assumptions",#N/A,FALSE,"Model"}</definedName>
    <definedName name="wrn.Main._.CBO._.Report." hidden="1">{"LIBOR",#N/A,TRUE,"Model";"Caps",#N/A,TRUE,"Model";"Assets",#N/A,TRUE,"Model";"Liabilities",#N/A,TRUE,"Model";"Tests",#N/A,TRUE,"Model";"Results",#N/A,TRUE,"Model"}</definedName>
    <definedName name="ww" hidden="1">{"Assumptions",#N/A,FALSE,"Model"}</definedName>
    <definedName name="x">'[14]Total Gains Losses'!$A$1:$N$32</definedName>
    <definedName name="xyz">[14]Loan!$A$1:$D$25</definedName>
    <definedName name="YIELDCHECK" localSheetId="6">#REF!</definedName>
    <definedName name="YIELDCHECK">#REF!</definedName>
    <definedName name="YTDEXP" localSheetId="6">'[11]Expense Sheet'!#REF!</definedName>
    <definedName name="YTDEXP">'[11]Expense Sheet'!#REF!</definedName>
    <definedName name="Z_E43838DE_A4A0_42E4_AE1E_7DAF05212740_.wvu.PrintArea" localSheetId="6" hidden="1">Prices!$A$1:$O$21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2" l="1"/>
  <c r="HW10" i="3"/>
  <c r="HW11" i="3"/>
  <c r="HW12" i="3"/>
  <c r="HW13" i="3"/>
  <c r="HW14" i="3"/>
  <c r="HW15" i="3"/>
  <c r="HW8" i="3" s="1"/>
  <c r="HW16" i="3"/>
  <c r="HW17" i="3"/>
  <c r="HW18" i="3"/>
  <c r="HW19" i="3"/>
  <c r="HW20" i="3"/>
  <c r="HW21" i="3"/>
  <c r="HW22" i="3"/>
  <c r="HW23" i="3"/>
  <c r="HW24" i="3"/>
  <c r="HW25" i="3"/>
  <c r="HW26" i="3"/>
  <c r="HW27" i="3"/>
  <c r="HW28" i="3"/>
  <c r="HW29" i="3"/>
  <c r="HW30" i="3"/>
  <c r="HW31" i="3"/>
  <c r="HW32" i="3"/>
  <c r="HW33" i="3"/>
  <c r="HW34" i="3"/>
  <c r="HW35" i="3"/>
  <c r="HW36" i="3"/>
  <c r="HW37" i="3"/>
  <c r="HW38" i="3"/>
  <c r="HW39" i="3"/>
  <c r="HW40" i="3"/>
  <c r="HW41" i="3"/>
  <c r="HW42" i="3"/>
  <c r="HW43" i="3"/>
  <c r="HW44" i="3"/>
  <c r="HW45" i="3"/>
  <c r="HW46" i="3"/>
  <c r="HW47" i="3"/>
  <c r="HW48" i="3"/>
  <c r="HW49" i="3"/>
  <c r="HW50" i="3"/>
  <c r="HW51" i="3"/>
  <c r="HW52" i="3"/>
  <c r="HW53" i="3"/>
  <c r="HW54" i="3"/>
  <c r="HW55" i="3"/>
  <c r="HW56" i="3"/>
  <c r="HW57" i="3"/>
  <c r="HW58" i="3"/>
  <c r="HW59" i="3"/>
  <c r="HW60" i="3"/>
  <c r="HW61" i="3"/>
  <c r="HW62" i="3"/>
  <c r="HW63" i="3"/>
  <c r="HW64" i="3"/>
  <c r="HW65" i="3"/>
  <c r="HW66" i="3"/>
  <c r="HW67" i="3"/>
  <c r="HW68" i="3"/>
  <c r="HW69" i="3"/>
  <c r="HW70" i="3"/>
  <c r="HW71" i="3"/>
  <c r="HW72" i="3"/>
  <c r="HW73" i="3"/>
  <c r="HW74" i="3"/>
  <c r="HW75" i="3"/>
  <c r="HW76" i="3"/>
  <c r="HW77" i="3"/>
  <c r="HW78" i="3"/>
  <c r="HW79" i="3"/>
  <c r="HW80" i="3"/>
  <c r="HW81" i="3"/>
  <c r="HW82" i="3"/>
  <c r="HW83" i="3"/>
  <c r="HW84" i="3"/>
  <c r="HW85" i="3"/>
  <c r="HW86" i="3"/>
  <c r="HW87" i="3"/>
  <c r="HW88" i="3"/>
  <c r="HW89" i="3"/>
  <c r="HW90" i="3"/>
  <c r="HW91" i="3"/>
  <c r="HW92" i="3"/>
  <c r="HW93" i="3"/>
  <c r="HW94" i="3"/>
  <c r="HW95" i="3"/>
  <c r="HW96" i="3"/>
  <c r="HW97" i="3"/>
  <c r="HW98" i="3"/>
  <c r="HW99" i="3"/>
  <c r="HW100" i="3"/>
  <c r="HW101" i="3"/>
  <c r="HW102" i="3"/>
  <c r="HW103" i="3"/>
  <c r="HW104" i="3"/>
  <c r="HW105" i="3"/>
  <c r="HW106" i="3"/>
  <c r="HW107" i="3"/>
  <c r="HW108" i="3"/>
  <c r="HW109" i="3"/>
  <c r="HW110" i="3"/>
  <c r="HW111" i="3"/>
  <c r="HW112" i="3"/>
  <c r="HW113" i="3"/>
  <c r="HW114" i="3"/>
  <c r="HW115" i="3"/>
  <c r="HW116" i="3"/>
  <c r="HW117" i="3"/>
  <c r="HW118" i="3"/>
  <c r="HW119" i="3"/>
  <c r="HW120" i="3"/>
  <c r="HW121" i="3"/>
  <c r="HW122" i="3"/>
  <c r="HW123" i="3"/>
  <c r="HW124" i="3"/>
  <c r="HW125" i="3"/>
  <c r="HW126" i="3"/>
  <c r="HW127" i="3"/>
  <c r="HW128" i="3"/>
  <c r="HW129" i="3"/>
  <c r="HW130" i="3"/>
  <c r="HW131" i="3"/>
  <c r="HW132" i="3"/>
  <c r="HW133" i="3"/>
  <c r="HW134" i="3"/>
  <c r="HW135" i="3"/>
  <c r="HW136" i="3"/>
  <c r="HW137" i="3"/>
  <c r="HW138" i="3"/>
  <c r="HW139" i="3"/>
  <c r="HW140" i="3"/>
  <c r="HW141" i="3"/>
  <c r="HW142" i="3"/>
  <c r="HW143" i="3"/>
  <c r="HW144" i="3"/>
  <c r="HW145" i="3"/>
  <c r="HW146" i="3"/>
  <c r="HW147" i="3"/>
  <c r="HW148" i="3"/>
  <c r="HW149" i="3"/>
  <c r="HW150" i="3"/>
  <c r="HW151" i="3"/>
  <c r="HW152" i="3"/>
  <c r="HW153" i="3"/>
  <c r="HW154" i="3"/>
  <c r="HW155" i="3"/>
  <c r="HW156" i="3"/>
  <c r="HW157" i="3"/>
  <c r="HW158" i="3"/>
  <c r="HW159" i="3"/>
  <c r="HW160" i="3"/>
  <c r="HW161" i="3"/>
  <c r="HW162" i="3"/>
  <c r="HW163" i="3"/>
  <c r="HW164" i="3"/>
  <c r="HW165" i="3"/>
  <c r="HW166" i="3"/>
  <c r="HW167" i="3"/>
  <c r="CX79" i="3" l="1"/>
  <c r="CX45" i="3"/>
  <c r="EV10" i="3"/>
  <c r="P10" i="3"/>
  <c r="J44" i="2"/>
  <c r="J34" i="2"/>
  <c r="J33" i="2"/>
  <c r="HI6" i="3"/>
  <c r="EV11" i="3"/>
  <c r="EV12" i="3"/>
  <c r="EV13" i="3"/>
  <c r="EV14" i="3"/>
  <c r="EV15" i="3"/>
  <c r="EV16" i="3"/>
  <c r="EV17" i="3"/>
  <c r="EV18" i="3"/>
  <c r="EV19" i="3"/>
  <c r="EV20" i="3"/>
  <c r="EV21" i="3"/>
  <c r="EV22" i="3"/>
  <c r="EV23" i="3"/>
  <c r="EV24" i="3"/>
  <c r="EV25" i="3"/>
  <c r="EV26" i="3"/>
  <c r="EV27" i="3"/>
  <c r="EV28" i="3"/>
  <c r="EV29" i="3"/>
  <c r="EV30" i="3"/>
  <c r="EV31" i="3"/>
  <c r="EV32" i="3"/>
  <c r="EV33" i="3"/>
  <c r="EV34" i="3"/>
  <c r="EV35" i="3"/>
  <c r="EV36" i="3"/>
  <c r="EV37" i="3"/>
  <c r="EV38" i="3"/>
  <c r="EV39" i="3"/>
  <c r="EV40" i="3"/>
  <c r="EV41" i="3"/>
  <c r="EV42" i="3"/>
  <c r="EV43" i="3"/>
  <c r="EV44" i="3"/>
  <c r="EV45" i="3"/>
  <c r="EV46" i="3"/>
  <c r="EV47" i="3"/>
  <c r="EV48" i="3"/>
  <c r="EV49" i="3"/>
  <c r="EV50" i="3"/>
  <c r="EV51" i="3"/>
  <c r="EV52" i="3"/>
  <c r="EV53" i="3"/>
  <c r="EV54" i="3"/>
  <c r="EV55" i="3"/>
  <c r="EV56" i="3"/>
  <c r="EV57" i="3"/>
  <c r="EV58" i="3"/>
  <c r="EV59" i="3"/>
  <c r="EV60" i="3"/>
  <c r="EV61" i="3"/>
  <c r="EV62" i="3"/>
  <c r="EV63" i="3"/>
  <c r="EV64" i="3"/>
  <c r="EV65" i="3"/>
  <c r="EV66" i="3"/>
  <c r="EV67" i="3"/>
  <c r="EV68" i="3"/>
  <c r="EV69" i="3"/>
  <c r="EV70" i="3"/>
  <c r="EV71" i="3"/>
  <c r="EV72" i="3"/>
  <c r="EV73" i="3"/>
  <c r="EV74" i="3"/>
  <c r="EV75" i="3"/>
  <c r="EV76" i="3"/>
  <c r="EV77" i="3"/>
  <c r="EV78" i="3"/>
  <c r="EV79" i="3"/>
  <c r="EV80" i="3"/>
  <c r="EV81" i="3"/>
  <c r="EV82" i="3"/>
  <c r="EV83" i="3"/>
  <c r="EV84" i="3"/>
  <c r="EV85" i="3"/>
  <c r="EV86" i="3"/>
  <c r="EV87" i="3"/>
  <c r="EV88" i="3"/>
  <c r="EV89" i="3"/>
  <c r="EV90" i="3"/>
  <c r="EV91" i="3"/>
  <c r="EV92" i="3"/>
  <c r="EV93" i="3"/>
  <c r="EV94" i="3"/>
  <c r="EV95" i="3"/>
  <c r="EV96" i="3"/>
  <c r="EV97" i="3"/>
  <c r="EV98" i="3"/>
  <c r="EV99" i="3"/>
  <c r="EV100" i="3"/>
  <c r="EV101" i="3"/>
  <c r="EV102" i="3"/>
  <c r="EV103" i="3"/>
  <c r="EV104" i="3"/>
  <c r="EV105" i="3"/>
  <c r="EV106" i="3"/>
  <c r="EV107" i="3"/>
  <c r="EV108" i="3"/>
  <c r="EV109" i="3"/>
  <c r="EV110" i="3"/>
  <c r="EV111" i="3"/>
  <c r="EV112" i="3"/>
  <c r="EV113" i="3"/>
  <c r="EV114" i="3"/>
  <c r="EV115" i="3"/>
  <c r="EV116" i="3"/>
  <c r="EV117" i="3"/>
  <c r="EV118" i="3"/>
  <c r="EV119" i="3"/>
  <c r="EV120" i="3"/>
  <c r="EV121" i="3"/>
  <c r="EV122" i="3"/>
  <c r="EV123" i="3"/>
  <c r="EV124" i="3"/>
  <c r="EV125" i="3"/>
  <c r="EV126" i="3"/>
  <c r="EV127" i="3"/>
  <c r="EV128" i="3"/>
  <c r="EV129" i="3"/>
  <c r="EV130" i="3"/>
  <c r="EV131" i="3"/>
  <c r="EV132" i="3"/>
  <c r="EV133" i="3"/>
  <c r="EV134" i="3"/>
  <c r="EV135" i="3"/>
  <c r="EV136" i="3"/>
  <c r="EV137" i="3"/>
  <c r="EV138" i="3"/>
  <c r="EV139" i="3"/>
  <c r="EV140" i="3"/>
  <c r="EV141" i="3"/>
  <c r="EV142" i="3"/>
  <c r="EV143" i="3"/>
  <c r="EV144" i="3"/>
  <c r="EV145" i="3"/>
  <c r="EV146" i="3"/>
  <c r="EV147" i="3"/>
  <c r="EV148" i="3"/>
  <c r="EV149" i="3"/>
  <c r="EV150" i="3"/>
  <c r="EV151" i="3"/>
  <c r="EV152" i="3"/>
  <c r="EV153" i="3"/>
  <c r="EV154" i="3"/>
  <c r="EV155" i="3"/>
  <c r="EV156" i="3"/>
  <c r="EV157" i="3"/>
  <c r="EV158" i="3"/>
  <c r="EV159" i="3"/>
  <c r="EV160" i="3"/>
  <c r="EV161" i="3"/>
  <c r="EV162" i="3"/>
  <c r="EV163" i="3"/>
  <c r="EV164" i="3"/>
  <c r="EV165" i="3"/>
  <c r="EV166" i="3"/>
  <c r="EV167" i="3"/>
  <c r="G661" i="10"/>
  <c r="E661" i="10"/>
  <c r="C661" i="10"/>
  <c r="D660" i="10"/>
  <c r="D659" i="10"/>
  <c r="D658" i="10"/>
  <c r="D661" i="10" s="1"/>
  <c r="G656" i="10"/>
  <c r="E656" i="10"/>
  <c r="D655" i="10" s="1"/>
  <c r="C656" i="10"/>
  <c r="G651" i="10"/>
  <c r="E651" i="10"/>
  <c r="D650" i="10" s="1"/>
  <c r="C651" i="10"/>
  <c r="G646" i="10"/>
  <c r="E646" i="10"/>
  <c r="D645" i="10" s="1"/>
  <c r="C646" i="10"/>
  <c r="D644" i="10"/>
  <c r="G641" i="10"/>
  <c r="E641" i="10"/>
  <c r="D639" i="10" s="1"/>
  <c r="C641" i="10"/>
  <c r="D640" i="10"/>
  <c r="G636" i="10"/>
  <c r="E636" i="10"/>
  <c r="D633" i="10" s="1"/>
  <c r="D636" i="10" s="1"/>
  <c r="C636" i="10"/>
  <c r="D635" i="10"/>
  <c r="D634" i="10"/>
  <c r="G631" i="10"/>
  <c r="E631" i="10"/>
  <c r="C631" i="10"/>
  <c r="D630" i="10"/>
  <c r="D629" i="10"/>
  <c r="D628" i="10"/>
  <c r="D631" i="10" s="1"/>
  <c r="G626" i="10"/>
  <c r="E626" i="10"/>
  <c r="C626" i="10"/>
  <c r="D625" i="10"/>
  <c r="D624" i="10"/>
  <c r="D623" i="10"/>
  <c r="D626" i="10" s="1"/>
  <c r="G621" i="10"/>
  <c r="E621" i="10"/>
  <c r="C621" i="10"/>
  <c r="D620" i="10"/>
  <c r="D619" i="10"/>
  <c r="D618" i="10"/>
  <c r="D621" i="10" s="1"/>
  <c r="G616" i="10"/>
  <c r="E616" i="10"/>
  <c r="D615" i="10" s="1"/>
  <c r="C616" i="10"/>
  <c r="D613" i="10"/>
  <c r="G611" i="10"/>
  <c r="E611" i="10"/>
  <c r="D609" i="10" s="1"/>
  <c r="C611" i="10"/>
  <c r="D610" i="10"/>
  <c r="G606" i="10"/>
  <c r="E606" i="10"/>
  <c r="D605" i="10" s="1"/>
  <c r="C606" i="10"/>
  <c r="G601" i="10"/>
  <c r="E601" i="10"/>
  <c r="D599" i="10" s="1"/>
  <c r="C601" i="10"/>
  <c r="D600" i="10"/>
  <c r="D598" i="10"/>
  <c r="D601" i="10" s="1"/>
  <c r="G596" i="10"/>
  <c r="E596" i="10"/>
  <c r="D593" i="10" s="1"/>
  <c r="D596" i="10" s="1"/>
  <c r="C596" i="10"/>
  <c r="D595" i="10"/>
  <c r="D594" i="10"/>
  <c r="G591" i="10"/>
  <c r="E591" i="10"/>
  <c r="C591" i="10"/>
  <c r="D590" i="10"/>
  <c r="D589" i="10"/>
  <c r="D588" i="10"/>
  <c r="D591" i="10" s="1"/>
  <c r="G586" i="10"/>
  <c r="E586" i="10"/>
  <c r="D585" i="10" s="1"/>
  <c r="C586" i="10"/>
  <c r="D584" i="10"/>
  <c r="D583" i="10"/>
  <c r="D586" i="10" s="1"/>
  <c r="G581" i="10"/>
  <c r="E581" i="10"/>
  <c r="C581" i="10"/>
  <c r="D580" i="10"/>
  <c r="D579" i="10"/>
  <c r="D578" i="10"/>
  <c r="D581" i="10" s="1"/>
  <c r="G576" i="10"/>
  <c r="E576" i="10"/>
  <c r="D575" i="10" s="1"/>
  <c r="C576" i="10"/>
  <c r="G571" i="10"/>
  <c r="E571" i="10"/>
  <c r="D570" i="10" s="1"/>
  <c r="C571" i="10"/>
  <c r="G566" i="10"/>
  <c r="E566" i="10"/>
  <c r="D565" i="10" s="1"/>
  <c r="C566" i="10"/>
  <c r="D564" i="10"/>
  <c r="G561" i="10"/>
  <c r="E561" i="10"/>
  <c r="D559" i="10" s="1"/>
  <c r="C561" i="10"/>
  <c r="D560" i="10"/>
  <c r="G556" i="10"/>
  <c r="E556" i="10"/>
  <c r="D553" i="10" s="1"/>
  <c r="D556" i="10" s="1"/>
  <c r="C556" i="10"/>
  <c r="D555" i="10"/>
  <c r="D554" i="10"/>
  <c r="G551" i="10"/>
  <c r="E551" i="10"/>
  <c r="C551" i="10"/>
  <c r="D550" i="10"/>
  <c r="D549" i="10"/>
  <c r="D548" i="10"/>
  <c r="D551" i="10" s="1"/>
  <c r="G546" i="10"/>
  <c r="E546" i="10"/>
  <c r="C546" i="10"/>
  <c r="D545" i="10"/>
  <c r="D544" i="10"/>
  <c r="D543" i="10"/>
  <c r="D546" i="10" s="1"/>
  <c r="G541" i="10"/>
  <c r="E541" i="10"/>
  <c r="C541" i="10"/>
  <c r="D540" i="10"/>
  <c r="D539" i="10"/>
  <c r="D538" i="10"/>
  <c r="D541" i="10" s="1"/>
  <c r="G536" i="10"/>
  <c r="E536" i="10"/>
  <c r="D535" i="10" s="1"/>
  <c r="C536" i="10"/>
  <c r="D533" i="10"/>
  <c r="G531" i="10"/>
  <c r="E531" i="10"/>
  <c r="D529" i="10" s="1"/>
  <c r="C531" i="10"/>
  <c r="D530" i="10"/>
  <c r="G526" i="10"/>
  <c r="E526" i="10"/>
  <c r="D525" i="10" s="1"/>
  <c r="C526" i="10"/>
  <c r="G521" i="10"/>
  <c r="E521" i="10"/>
  <c r="D519" i="10" s="1"/>
  <c r="C521" i="10"/>
  <c r="D520" i="10"/>
  <c r="D518" i="10"/>
  <c r="G516" i="10"/>
  <c r="E516" i="10"/>
  <c r="D513" i="10" s="1"/>
  <c r="D516" i="10" s="1"/>
  <c r="C516" i="10"/>
  <c r="D515" i="10"/>
  <c r="D514" i="10"/>
  <c r="G511" i="10"/>
  <c r="E511" i="10"/>
  <c r="C511" i="10"/>
  <c r="D510" i="10"/>
  <c r="D509" i="10"/>
  <c r="D508" i="10"/>
  <c r="D511" i="10" s="1"/>
  <c r="G506" i="10"/>
  <c r="E506" i="10"/>
  <c r="D505" i="10" s="1"/>
  <c r="C506" i="10"/>
  <c r="D504" i="10"/>
  <c r="D503" i="10"/>
  <c r="G501" i="10"/>
  <c r="E501" i="10"/>
  <c r="C501" i="10"/>
  <c r="D500" i="10"/>
  <c r="D499" i="10"/>
  <c r="D498" i="10"/>
  <c r="D501" i="10" s="1"/>
  <c r="G496" i="10"/>
  <c r="E496" i="10"/>
  <c r="D495" i="10" s="1"/>
  <c r="C496" i="10"/>
  <c r="G491" i="10"/>
  <c r="E491" i="10"/>
  <c r="D490" i="10" s="1"/>
  <c r="C491" i="10"/>
  <c r="G486" i="10"/>
  <c r="E486" i="10"/>
  <c r="D485" i="10" s="1"/>
  <c r="C486" i="10"/>
  <c r="D484" i="10"/>
  <c r="G481" i="10"/>
  <c r="E481" i="10"/>
  <c r="D479" i="10" s="1"/>
  <c r="C481" i="10"/>
  <c r="D480" i="10"/>
  <c r="G476" i="10"/>
  <c r="E476" i="10"/>
  <c r="D473" i="10" s="1"/>
  <c r="D476" i="10" s="1"/>
  <c r="C476" i="10"/>
  <c r="D475" i="10"/>
  <c r="D474" i="10"/>
  <c r="G471" i="10"/>
  <c r="E471" i="10"/>
  <c r="C471" i="10"/>
  <c r="D470" i="10"/>
  <c r="D469" i="10"/>
  <c r="D468" i="10"/>
  <c r="D471" i="10" s="1"/>
  <c r="G466" i="10"/>
  <c r="E466" i="10"/>
  <c r="C466" i="10"/>
  <c r="D465" i="10"/>
  <c r="D464" i="10"/>
  <c r="D463" i="10"/>
  <c r="D466" i="10" s="1"/>
  <c r="G461" i="10"/>
  <c r="E461" i="10"/>
  <c r="C461" i="10"/>
  <c r="D460" i="10"/>
  <c r="D459" i="10"/>
  <c r="D458" i="10"/>
  <c r="D461" i="10" s="1"/>
  <c r="G456" i="10"/>
  <c r="E456" i="10"/>
  <c r="D455" i="10" s="1"/>
  <c r="C456" i="10"/>
  <c r="D453" i="10"/>
  <c r="G451" i="10"/>
  <c r="E451" i="10"/>
  <c r="D449" i="10" s="1"/>
  <c r="C451" i="10"/>
  <c r="D450" i="10"/>
  <c r="G446" i="10"/>
  <c r="E446" i="10"/>
  <c r="D445" i="10" s="1"/>
  <c r="C446" i="10"/>
  <c r="G441" i="10"/>
  <c r="E441" i="10"/>
  <c r="D439" i="10" s="1"/>
  <c r="C441" i="10"/>
  <c r="D440" i="10"/>
  <c r="D438" i="10"/>
  <c r="D441" i="10" s="1"/>
  <c r="G436" i="10"/>
  <c r="E436" i="10"/>
  <c r="C436" i="10"/>
  <c r="D435" i="10"/>
  <c r="D434" i="10"/>
  <c r="D436" i="10" s="1"/>
  <c r="D433" i="10"/>
  <c r="G431" i="10"/>
  <c r="E431" i="10"/>
  <c r="C431" i="10"/>
  <c r="D430" i="10"/>
  <c r="D429" i="10"/>
  <c r="D428" i="10"/>
  <c r="D431" i="10" s="1"/>
  <c r="G426" i="10"/>
  <c r="H426" i="10" s="1"/>
  <c r="E426" i="10"/>
  <c r="C426" i="10"/>
  <c r="D425" i="10"/>
  <c r="D424" i="10"/>
  <c r="D423" i="10"/>
  <c r="D426" i="10" s="1"/>
  <c r="G421" i="10"/>
  <c r="H421" i="10" s="1"/>
  <c r="E421" i="10"/>
  <c r="C421" i="10"/>
  <c r="D420" i="10"/>
  <c r="D419" i="10"/>
  <c r="D418" i="10"/>
  <c r="D421" i="10" s="1"/>
  <c r="G416" i="10"/>
  <c r="H416" i="10" s="1"/>
  <c r="E416" i="10"/>
  <c r="C416" i="10"/>
  <c r="D415" i="10"/>
  <c r="D414" i="10"/>
  <c r="D413" i="10"/>
  <c r="D416" i="10" s="1"/>
  <c r="G411" i="10"/>
  <c r="H411" i="10" s="1"/>
  <c r="E411" i="10"/>
  <c r="C411" i="10"/>
  <c r="D410" i="10"/>
  <c r="D409" i="10"/>
  <c r="D408" i="10"/>
  <c r="D411" i="10" s="1"/>
  <c r="G406" i="10"/>
  <c r="H406" i="10" s="1"/>
  <c r="E406" i="10"/>
  <c r="C406" i="10"/>
  <c r="D405" i="10"/>
  <c r="D404" i="10"/>
  <c r="D403" i="10"/>
  <c r="D406" i="10" s="1"/>
  <c r="G401" i="10"/>
  <c r="H401" i="10" s="1"/>
  <c r="E401" i="10"/>
  <c r="C401" i="10"/>
  <c r="D400" i="10"/>
  <c r="D399" i="10"/>
  <c r="D398" i="10"/>
  <c r="D401" i="10" s="1"/>
  <c r="G396" i="10"/>
  <c r="H396" i="10" s="1"/>
  <c r="E396" i="10"/>
  <c r="C396" i="10"/>
  <c r="D395" i="10"/>
  <c r="D394" i="10"/>
  <c r="D393" i="10"/>
  <c r="D396" i="10" s="1"/>
  <c r="G391" i="10"/>
  <c r="H391" i="10" s="1"/>
  <c r="E391" i="10"/>
  <c r="C391" i="10"/>
  <c r="D390" i="10"/>
  <c r="D389" i="10"/>
  <c r="D388" i="10"/>
  <c r="D391" i="10" s="1"/>
  <c r="G386" i="10"/>
  <c r="H386" i="10" s="1"/>
  <c r="E386" i="10"/>
  <c r="C386" i="10"/>
  <c r="D385" i="10"/>
  <c r="D384" i="10"/>
  <c r="D383" i="10"/>
  <c r="D386" i="10" s="1"/>
  <c r="G381" i="10"/>
  <c r="H381" i="10" s="1"/>
  <c r="E381" i="10"/>
  <c r="C381" i="10"/>
  <c r="D380" i="10"/>
  <c r="D379" i="10"/>
  <c r="D378" i="10"/>
  <c r="D381" i="10" s="1"/>
  <c r="G376" i="10"/>
  <c r="H376" i="10" s="1"/>
  <c r="E376" i="10"/>
  <c r="C376" i="10"/>
  <c r="D375" i="10"/>
  <c r="D374" i="10"/>
  <c r="D373" i="10"/>
  <c r="D376" i="10" s="1"/>
  <c r="G371" i="10"/>
  <c r="H371" i="10" s="1"/>
  <c r="E371" i="10"/>
  <c r="C371" i="10"/>
  <c r="D370" i="10"/>
  <c r="D369" i="10"/>
  <c r="D368" i="10"/>
  <c r="D371" i="10" s="1"/>
  <c r="G366" i="10"/>
  <c r="H366" i="10" s="1"/>
  <c r="E366" i="10"/>
  <c r="C366" i="10"/>
  <c r="D365" i="10"/>
  <c r="D364" i="10"/>
  <c r="D363" i="10"/>
  <c r="D366" i="10" s="1"/>
  <c r="G361" i="10"/>
  <c r="H361" i="10" s="1"/>
  <c r="E361" i="10"/>
  <c r="D360" i="10" s="1"/>
  <c r="C361" i="10"/>
  <c r="D359" i="10"/>
  <c r="D358" i="10"/>
  <c r="D361" i="10" s="1"/>
  <c r="G356" i="10"/>
  <c r="H356" i="10" s="1"/>
  <c r="E356" i="10"/>
  <c r="C356" i="10"/>
  <c r="D355" i="10"/>
  <c r="D354" i="10"/>
  <c r="D353" i="10"/>
  <c r="D356" i="10" s="1"/>
  <c r="G351" i="10"/>
  <c r="H351" i="10" s="1"/>
  <c r="E351" i="10"/>
  <c r="D350" i="10" s="1"/>
  <c r="C351" i="10"/>
  <c r="D349" i="10"/>
  <c r="D348" i="10"/>
  <c r="D351" i="10" s="1"/>
  <c r="C348" i="10"/>
  <c r="G346" i="10"/>
  <c r="E346" i="10"/>
  <c r="C346" i="10"/>
  <c r="H346" i="10" s="1"/>
  <c r="D343" i="10"/>
  <c r="D346" i="10" s="1"/>
  <c r="G341" i="10"/>
  <c r="H341" i="10" s="1"/>
  <c r="E341" i="10"/>
  <c r="D339" i="10" s="1"/>
  <c r="C341" i="10"/>
  <c r="G336" i="10"/>
  <c r="H336" i="10" s="1"/>
  <c r="C336" i="10"/>
  <c r="C333" i="10"/>
  <c r="E336" i="10" s="1"/>
  <c r="G331" i="10"/>
  <c r="H331" i="10" s="1"/>
  <c r="E331" i="10"/>
  <c r="D331" i="10"/>
  <c r="C331" i="10"/>
  <c r="D328" i="10"/>
  <c r="G325" i="10"/>
  <c r="C322" i="10"/>
  <c r="E325" i="10" s="1"/>
  <c r="G319" i="10"/>
  <c r="E319" i="10"/>
  <c r="D319" i="10"/>
  <c r="C319" i="10"/>
  <c r="H319" i="10" s="1"/>
  <c r="D316" i="10"/>
  <c r="G313" i="10"/>
  <c r="H313" i="10" s="1"/>
  <c r="C313" i="10"/>
  <c r="C310" i="10"/>
  <c r="E313" i="10" s="1"/>
  <c r="G307" i="10"/>
  <c r="C304" i="10"/>
  <c r="E307" i="10" s="1"/>
  <c r="G301" i="10"/>
  <c r="C298" i="10"/>
  <c r="E301" i="10" s="1"/>
  <c r="G295" i="10"/>
  <c r="H295" i="10" s="1"/>
  <c r="E295" i="10"/>
  <c r="D292" i="10" s="1"/>
  <c r="D295" i="10" s="1"/>
  <c r="C295" i="10"/>
  <c r="C292" i="10"/>
  <c r="G289" i="10"/>
  <c r="E289" i="10"/>
  <c r="D287" i="10" s="1"/>
  <c r="C286" i="10"/>
  <c r="C289" i="10" s="1"/>
  <c r="H284" i="10"/>
  <c r="G284" i="10"/>
  <c r="E284" i="10"/>
  <c r="C284" i="10"/>
  <c r="D281" i="10"/>
  <c r="D284" i="10" s="1"/>
  <c r="G279" i="10"/>
  <c r="H279" i="10" s="1"/>
  <c r="C279" i="10"/>
  <c r="C276" i="10"/>
  <c r="E279" i="10" s="1"/>
  <c r="D276" i="10" s="1"/>
  <c r="D279" i="10" s="1"/>
  <c r="H274" i="10"/>
  <c r="G274" i="10"/>
  <c r="E274" i="10"/>
  <c r="C274" i="10"/>
  <c r="D272" i="10"/>
  <c r="D271" i="10"/>
  <c r="D274" i="10" s="1"/>
  <c r="C271" i="10"/>
  <c r="G269" i="10"/>
  <c r="E269" i="10"/>
  <c r="D266" i="10" s="1"/>
  <c r="D269" i="10" s="1"/>
  <c r="C269" i="10"/>
  <c r="H269" i="10" s="1"/>
  <c r="D267" i="10"/>
  <c r="C266" i="10"/>
  <c r="G264" i="10"/>
  <c r="C261" i="10"/>
  <c r="E264" i="10" s="1"/>
  <c r="G259" i="10"/>
  <c r="C256" i="10"/>
  <c r="E259" i="10" s="1"/>
  <c r="D256" i="10" s="1"/>
  <c r="D259" i="10" s="1"/>
  <c r="G254" i="10"/>
  <c r="H254" i="10" s="1"/>
  <c r="E254" i="10"/>
  <c r="D251" i="10" s="1"/>
  <c r="D254" i="10" s="1"/>
  <c r="C251" i="10"/>
  <c r="C254" i="10" s="1"/>
  <c r="G249" i="10"/>
  <c r="H249" i="10" s="1"/>
  <c r="C249" i="10"/>
  <c r="C246" i="10"/>
  <c r="E249" i="10" s="1"/>
  <c r="D246" i="10" s="1"/>
  <c r="D249" i="10" s="1"/>
  <c r="H244" i="10"/>
  <c r="G244" i="10"/>
  <c r="C244" i="10"/>
  <c r="C241" i="10"/>
  <c r="E244" i="10" s="1"/>
  <c r="G239" i="10"/>
  <c r="C238" i="10"/>
  <c r="C237" i="10"/>
  <c r="C236" i="10"/>
  <c r="G234" i="10"/>
  <c r="C231" i="10"/>
  <c r="E234" i="10" s="1"/>
  <c r="G229" i="10"/>
  <c r="H229" i="10" s="1"/>
  <c r="E229" i="10"/>
  <c r="D227" i="10"/>
  <c r="D226" i="10"/>
  <c r="D229" i="10" s="1"/>
  <c r="C226" i="10"/>
  <c r="C229" i="10" s="1"/>
  <c r="G224" i="10"/>
  <c r="E224" i="10"/>
  <c r="C222" i="10"/>
  <c r="C224" i="10" s="1"/>
  <c r="D221" i="10"/>
  <c r="C221" i="10"/>
  <c r="G219" i="10"/>
  <c r="C219" i="10"/>
  <c r="H219" i="10" s="1"/>
  <c r="C216" i="10"/>
  <c r="G214" i="10"/>
  <c r="C211" i="10"/>
  <c r="E214" i="10" s="1"/>
  <c r="G209" i="10"/>
  <c r="C209" i="10"/>
  <c r="H209" i="10" s="1"/>
  <c r="C206" i="10"/>
  <c r="G204" i="10"/>
  <c r="C201" i="10"/>
  <c r="E204" i="10" s="1"/>
  <c r="G199" i="10"/>
  <c r="E199" i="10"/>
  <c r="D197" i="10"/>
  <c r="D196" i="10"/>
  <c r="D199" i="10" s="1"/>
  <c r="C196" i="10"/>
  <c r="C199" i="10" s="1"/>
  <c r="G194" i="10"/>
  <c r="E194" i="10"/>
  <c r="D192" i="10" s="1"/>
  <c r="C191" i="10"/>
  <c r="C194" i="10" s="1"/>
  <c r="G189" i="10"/>
  <c r="C186" i="10"/>
  <c r="E189" i="10" s="1"/>
  <c r="G184" i="10"/>
  <c r="E184" i="10"/>
  <c r="C181" i="10"/>
  <c r="C184" i="10" s="1"/>
  <c r="G179" i="10"/>
  <c r="C176" i="10"/>
  <c r="E179" i="10" s="1"/>
  <c r="D177" i="10" s="1"/>
  <c r="G174" i="10"/>
  <c r="C172" i="10"/>
  <c r="D172" i="10" s="1"/>
  <c r="C171" i="10"/>
  <c r="E174" i="10" s="1"/>
  <c r="D173" i="10" s="1"/>
  <c r="G169" i="10"/>
  <c r="C166" i="10"/>
  <c r="E169" i="10" s="1"/>
  <c r="D166" i="10" s="1"/>
  <c r="D169" i="10" s="1"/>
  <c r="G164" i="10"/>
  <c r="D162" i="10"/>
  <c r="C161" i="10"/>
  <c r="E164" i="10" s="1"/>
  <c r="G159" i="10"/>
  <c r="Q156" i="10"/>
  <c r="O156" i="10"/>
  <c r="C156" i="10"/>
  <c r="H154" i="10"/>
  <c r="G154" i="10"/>
  <c r="E154" i="10"/>
  <c r="C154" i="10"/>
  <c r="D152" i="10"/>
  <c r="D151" i="10"/>
  <c r="D154" i="10" s="1"/>
  <c r="C151" i="10"/>
  <c r="G149" i="10"/>
  <c r="C149" i="10"/>
  <c r="H149" i="10" s="1"/>
  <c r="Q147" i="10"/>
  <c r="O147" i="10"/>
  <c r="C146" i="10"/>
  <c r="H144" i="10"/>
  <c r="G144" i="10"/>
  <c r="E144" i="10"/>
  <c r="C144" i="10"/>
  <c r="D141" i="10"/>
  <c r="D144" i="10" s="1"/>
  <c r="C141" i="10"/>
  <c r="G139" i="10"/>
  <c r="E139" i="10"/>
  <c r="D139" i="10"/>
  <c r="C139" i="10"/>
  <c r="H139" i="10" s="1"/>
  <c r="Q137" i="10"/>
  <c r="O137" i="10"/>
  <c r="G134" i="10"/>
  <c r="H134" i="10" s="1"/>
  <c r="E134" i="10"/>
  <c r="C131" i="10"/>
  <c r="C134" i="10" s="1"/>
  <c r="G129" i="10"/>
  <c r="E129" i="10"/>
  <c r="O127" i="10"/>
  <c r="Q127" i="10" s="1"/>
  <c r="D126" i="10"/>
  <c r="D129" i="10" s="1"/>
  <c r="C126" i="10"/>
  <c r="C129" i="10" s="1"/>
  <c r="H129" i="10" s="1"/>
  <c r="O125" i="10"/>
  <c r="G124" i="10"/>
  <c r="C122" i="10"/>
  <c r="E124" i="10" s="1"/>
  <c r="D121" i="10" s="1"/>
  <c r="G119" i="10"/>
  <c r="C119" i="10"/>
  <c r="H119" i="10" s="1"/>
  <c r="O117" i="10"/>
  <c r="Q117" i="10" s="1"/>
  <c r="C117" i="10"/>
  <c r="C116" i="10"/>
  <c r="C115" i="10"/>
  <c r="H113" i="10"/>
  <c r="G113" i="10"/>
  <c r="E113" i="10"/>
  <c r="D113" i="10"/>
  <c r="C113" i="10"/>
  <c r="G108" i="10"/>
  <c r="H108" i="10" s="1"/>
  <c r="E108" i="10"/>
  <c r="D105" i="10" s="1"/>
  <c r="D108" i="10" s="1"/>
  <c r="C108" i="10"/>
  <c r="H103" i="10"/>
  <c r="G103" i="10"/>
  <c r="E103" i="10"/>
  <c r="C103" i="10"/>
  <c r="D100" i="10"/>
  <c r="D103" i="10" s="1"/>
  <c r="C100" i="10"/>
  <c r="G98" i="10"/>
  <c r="C98" i="10"/>
  <c r="H98" i="10" s="1"/>
  <c r="C95" i="10"/>
  <c r="E98" i="10" s="1"/>
  <c r="D95" i="10" s="1"/>
  <c r="D98" i="10" s="1"/>
  <c r="O94" i="10"/>
  <c r="Q94" i="10" s="1"/>
  <c r="G93" i="10"/>
  <c r="C91" i="10"/>
  <c r="C90" i="10"/>
  <c r="E93" i="10" s="1"/>
  <c r="G83" i="10"/>
  <c r="H83" i="10" s="1"/>
  <c r="E83" i="10"/>
  <c r="D81" i="10" s="1"/>
  <c r="C80" i="10"/>
  <c r="C83" i="10" s="1"/>
  <c r="Q79" i="10"/>
  <c r="O79" i="10"/>
  <c r="G78" i="10"/>
  <c r="H78" i="10" s="1"/>
  <c r="E78" i="10"/>
  <c r="D78" i="10"/>
  <c r="C78" i="10"/>
  <c r="D75" i="10"/>
  <c r="C75" i="10"/>
  <c r="H73" i="10"/>
  <c r="G73" i="10"/>
  <c r="C73" i="10"/>
  <c r="C70" i="10"/>
  <c r="E73" i="10" s="1"/>
  <c r="D70" i="10" s="1"/>
  <c r="D73" i="10" s="1"/>
  <c r="G68" i="10"/>
  <c r="C65" i="10"/>
  <c r="E68" i="10" s="1"/>
  <c r="D65" i="10" s="1"/>
  <c r="D68" i="10" s="1"/>
  <c r="G63" i="10"/>
  <c r="E63" i="10"/>
  <c r="D60" i="10" s="1"/>
  <c r="D63" i="10" s="1"/>
  <c r="C61" i="10"/>
  <c r="C63" i="10" s="1"/>
  <c r="H63" i="10" s="1"/>
  <c r="O59" i="10"/>
  <c r="Q52" i="10" s="1"/>
  <c r="G58" i="10"/>
  <c r="C55" i="10"/>
  <c r="E58" i="10" s="1"/>
  <c r="G53" i="10"/>
  <c r="C53" i="10"/>
  <c r="H53" i="10" s="1"/>
  <c r="C51" i="10"/>
  <c r="C50" i="10"/>
  <c r="E53" i="10" s="1"/>
  <c r="G48" i="10"/>
  <c r="H48" i="10" s="1"/>
  <c r="E48" i="10"/>
  <c r="D45" i="10" s="1"/>
  <c r="D48" i="10" s="1"/>
  <c r="C48" i="10"/>
  <c r="H43" i="10"/>
  <c r="G43" i="10"/>
  <c r="E43" i="10"/>
  <c r="D40" i="10" s="1"/>
  <c r="D43" i="10" s="1"/>
  <c r="C43" i="10"/>
  <c r="G38" i="10"/>
  <c r="C38" i="10"/>
  <c r="H38" i="10" s="1"/>
  <c r="C36" i="10"/>
  <c r="C35" i="10"/>
  <c r="E38" i="10" s="1"/>
  <c r="H33" i="10"/>
  <c r="G33" i="10"/>
  <c r="C33" i="10"/>
  <c r="C30" i="10"/>
  <c r="E33" i="10" s="1"/>
  <c r="G28" i="10"/>
  <c r="H28" i="10" s="1"/>
  <c r="C25" i="10"/>
  <c r="C28" i="10" s="1"/>
  <c r="E28" i="10" s="1"/>
  <c r="G22" i="10"/>
  <c r="H22" i="10" s="1"/>
  <c r="E22" i="10"/>
  <c r="D20" i="10" s="1"/>
  <c r="C22" i="10"/>
  <c r="C19" i="10"/>
  <c r="D19" i="10" s="1"/>
  <c r="D22" i="10" s="1"/>
  <c r="G12" i="10"/>
  <c r="O10" i="10"/>
  <c r="O9" i="10"/>
  <c r="C9" i="10"/>
  <c r="O8" i="10"/>
  <c r="O40" i="10" s="1"/>
  <c r="Q40" i="10" s="1"/>
  <c r="O7" i="10"/>
  <c r="G7" i="10"/>
  <c r="O6" i="10"/>
  <c r="C6" i="10"/>
  <c r="O5" i="10"/>
  <c r="C4" i="10"/>
  <c r="C7" i="10" s="1"/>
  <c r="C3" i="10"/>
  <c r="HQ16" i="3"/>
  <c r="HS16" i="3"/>
  <c r="HQ17" i="3"/>
  <c r="HS17" i="3"/>
  <c r="HQ18" i="3"/>
  <c r="HS18" i="3"/>
  <c r="HQ19" i="3"/>
  <c r="HS19" i="3"/>
  <c r="HQ20" i="3"/>
  <c r="HS20" i="3"/>
  <c r="HQ21" i="3"/>
  <c r="HS21" i="3"/>
  <c r="HQ22" i="3"/>
  <c r="HS22" i="3"/>
  <c r="HQ23" i="3"/>
  <c r="HS23" i="3"/>
  <c r="HQ24" i="3"/>
  <c r="HS24" i="3"/>
  <c r="HQ25" i="3"/>
  <c r="HS25" i="3"/>
  <c r="HQ26" i="3"/>
  <c r="HS26" i="3"/>
  <c r="HQ27" i="3"/>
  <c r="HS27" i="3"/>
  <c r="HQ28" i="3"/>
  <c r="HS28" i="3"/>
  <c r="HQ29" i="3"/>
  <c r="HS29" i="3"/>
  <c r="HQ30" i="3"/>
  <c r="HS30" i="3"/>
  <c r="HQ31" i="3"/>
  <c r="HS31" i="3"/>
  <c r="HQ32" i="3"/>
  <c r="HS32" i="3"/>
  <c r="HQ33" i="3"/>
  <c r="HS33" i="3"/>
  <c r="HQ34" i="3"/>
  <c r="HS34" i="3"/>
  <c r="HQ35" i="3"/>
  <c r="HS35" i="3"/>
  <c r="HQ36" i="3"/>
  <c r="HS36" i="3"/>
  <c r="HQ37" i="3"/>
  <c r="HS37" i="3"/>
  <c r="HQ38" i="3"/>
  <c r="HS38" i="3"/>
  <c r="HQ39" i="3"/>
  <c r="HS39" i="3"/>
  <c r="HQ40" i="3"/>
  <c r="HS40" i="3"/>
  <c r="HQ41" i="3"/>
  <c r="HS41" i="3"/>
  <c r="HQ42" i="3"/>
  <c r="HS42" i="3"/>
  <c r="HQ43" i="3"/>
  <c r="HS43" i="3"/>
  <c r="HQ44" i="3"/>
  <c r="HS44" i="3"/>
  <c r="HQ45" i="3"/>
  <c r="HS45" i="3"/>
  <c r="HQ46" i="3"/>
  <c r="HS46" i="3"/>
  <c r="HQ47" i="3"/>
  <c r="HS47" i="3"/>
  <c r="HQ48" i="3"/>
  <c r="HS48" i="3"/>
  <c r="HQ49" i="3"/>
  <c r="HS49" i="3"/>
  <c r="HQ50" i="3"/>
  <c r="HS50" i="3"/>
  <c r="HQ51" i="3"/>
  <c r="HS51" i="3"/>
  <c r="HQ52" i="3"/>
  <c r="HS52" i="3"/>
  <c r="HQ53" i="3"/>
  <c r="HS53" i="3"/>
  <c r="HQ54" i="3"/>
  <c r="HS54" i="3"/>
  <c r="HQ55" i="3"/>
  <c r="HS55" i="3"/>
  <c r="HQ56" i="3"/>
  <c r="HS56" i="3"/>
  <c r="HQ57" i="3"/>
  <c r="HS57" i="3"/>
  <c r="HQ58" i="3"/>
  <c r="HS58" i="3"/>
  <c r="HQ59" i="3"/>
  <c r="HS59" i="3"/>
  <c r="HQ60" i="3"/>
  <c r="HS60" i="3"/>
  <c r="HQ61" i="3"/>
  <c r="HS61" i="3"/>
  <c r="HQ62" i="3"/>
  <c r="HS62" i="3"/>
  <c r="HQ63" i="3"/>
  <c r="HS63" i="3"/>
  <c r="HQ64" i="3"/>
  <c r="HS64" i="3"/>
  <c r="HQ65" i="3"/>
  <c r="HS65" i="3"/>
  <c r="HQ66" i="3"/>
  <c r="HS66" i="3"/>
  <c r="HQ67" i="3"/>
  <c r="HS67" i="3"/>
  <c r="HQ68" i="3"/>
  <c r="HS68" i="3"/>
  <c r="HQ69" i="3"/>
  <c r="HS69" i="3"/>
  <c r="HQ70" i="3"/>
  <c r="HS70" i="3"/>
  <c r="HQ71" i="3"/>
  <c r="HS71" i="3"/>
  <c r="HQ72" i="3"/>
  <c r="HS72" i="3"/>
  <c r="HQ73" i="3"/>
  <c r="HS73" i="3"/>
  <c r="HQ74" i="3"/>
  <c r="HS74" i="3"/>
  <c r="HQ75" i="3"/>
  <c r="HS75" i="3"/>
  <c r="HQ76" i="3"/>
  <c r="HS76" i="3"/>
  <c r="HQ77" i="3"/>
  <c r="HS77" i="3"/>
  <c r="HQ78" i="3"/>
  <c r="HS78" i="3"/>
  <c r="HQ79" i="3"/>
  <c r="HS79" i="3"/>
  <c r="HQ80" i="3"/>
  <c r="HS80" i="3"/>
  <c r="HQ81" i="3"/>
  <c r="HS81" i="3"/>
  <c r="HQ82" i="3"/>
  <c r="HS82" i="3"/>
  <c r="HQ83" i="3"/>
  <c r="HS83" i="3"/>
  <c r="HQ84" i="3"/>
  <c r="HS84" i="3"/>
  <c r="HQ85" i="3"/>
  <c r="HS85" i="3"/>
  <c r="HQ86" i="3"/>
  <c r="HS86" i="3"/>
  <c r="HQ87" i="3"/>
  <c r="HS87" i="3"/>
  <c r="HQ88" i="3"/>
  <c r="HS88" i="3"/>
  <c r="HQ89" i="3"/>
  <c r="HS89" i="3"/>
  <c r="HQ90" i="3"/>
  <c r="HS90" i="3"/>
  <c r="HQ91" i="3"/>
  <c r="HS91" i="3"/>
  <c r="HQ92" i="3"/>
  <c r="HS92" i="3"/>
  <c r="HQ93" i="3"/>
  <c r="HS93" i="3"/>
  <c r="HQ94" i="3"/>
  <c r="HS94" i="3"/>
  <c r="HQ95" i="3"/>
  <c r="HS95" i="3"/>
  <c r="HQ96" i="3"/>
  <c r="HS96" i="3"/>
  <c r="HQ97" i="3"/>
  <c r="HS97" i="3"/>
  <c r="HQ98" i="3"/>
  <c r="HS98" i="3"/>
  <c r="HQ99" i="3"/>
  <c r="HS99" i="3"/>
  <c r="HQ100" i="3"/>
  <c r="HS100" i="3"/>
  <c r="HQ101" i="3"/>
  <c r="HS101" i="3"/>
  <c r="HQ102" i="3"/>
  <c r="HS102" i="3"/>
  <c r="HQ103" i="3"/>
  <c r="HS103" i="3"/>
  <c r="HQ104" i="3"/>
  <c r="HS104" i="3"/>
  <c r="HQ105" i="3"/>
  <c r="HS105" i="3"/>
  <c r="HQ106" i="3"/>
  <c r="HS106" i="3"/>
  <c r="HQ107" i="3"/>
  <c r="HS107" i="3"/>
  <c r="HQ108" i="3"/>
  <c r="HS108" i="3"/>
  <c r="HQ109" i="3"/>
  <c r="HS109" i="3"/>
  <c r="HQ110" i="3"/>
  <c r="HS110" i="3"/>
  <c r="HQ111" i="3"/>
  <c r="HS111" i="3"/>
  <c r="HQ112" i="3"/>
  <c r="HS112" i="3"/>
  <c r="HQ113" i="3"/>
  <c r="HS113" i="3"/>
  <c r="HQ114" i="3"/>
  <c r="HS114" i="3"/>
  <c r="HQ115" i="3"/>
  <c r="HS115" i="3"/>
  <c r="HQ116" i="3"/>
  <c r="HS116" i="3"/>
  <c r="HQ117" i="3"/>
  <c r="HS117" i="3"/>
  <c r="HQ118" i="3"/>
  <c r="HS118" i="3"/>
  <c r="HQ119" i="3"/>
  <c r="HS119" i="3"/>
  <c r="HQ120" i="3"/>
  <c r="HS120" i="3"/>
  <c r="HQ121" i="3"/>
  <c r="HS121" i="3"/>
  <c r="HQ122" i="3"/>
  <c r="HS122" i="3"/>
  <c r="HQ123" i="3"/>
  <c r="HS123" i="3"/>
  <c r="HQ124" i="3"/>
  <c r="HS124" i="3"/>
  <c r="HQ125" i="3"/>
  <c r="HS125" i="3"/>
  <c r="HQ126" i="3"/>
  <c r="HS126" i="3"/>
  <c r="HQ127" i="3"/>
  <c r="HS127" i="3"/>
  <c r="HQ128" i="3"/>
  <c r="HS128" i="3"/>
  <c r="HQ129" i="3"/>
  <c r="HS129" i="3"/>
  <c r="HQ130" i="3"/>
  <c r="HS130" i="3"/>
  <c r="HQ131" i="3"/>
  <c r="HS131" i="3"/>
  <c r="HQ132" i="3"/>
  <c r="HS132" i="3"/>
  <c r="HQ133" i="3"/>
  <c r="HS133" i="3"/>
  <c r="HQ134" i="3"/>
  <c r="HS134" i="3"/>
  <c r="HQ135" i="3"/>
  <c r="HS135" i="3"/>
  <c r="HQ136" i="3"/>
  <c r="HS136" i="3"/>
  <c r="HQ137" i="3"/>
  <c r="HS137" i="3"/>
  <c r="HQ138" i="3"/>
  <c r="HS138" i="3"/>
  <c r="HQ139" i="3"/>
  <c r="HS139" i="3"/>
  <c r="HQ140" i="3"/>
  <c r="HS140" i="3"/>
  <c r="HQ141" i="3"/>
  <c r="HS141" i="3"/>
  <c r="HQ142" i="3"/>
  <c r="HS142" i="3"/>
  <c r="HQ143" i="3"/>
  <c r="HS143" i="3"/>
  <c r="HQ144" i="3"/>
  <c r="HS144" i="3"/>
  <c r="HQ145" i="3"/>
  <c r="HS145" i="3"/>
  <c r="HQ146" i="3"/>
  <c r="HS146" i="3"/>
  <c r="HQ147" i="3"/>
  <c r="HS147" i="3"/>
  <c r="HQ148" i="3"/>
  <c r="HS148" i="3"/>
  <c r="HQ149" i="3"/>
  <c r="HS149" i="3"/>
  <c r="HQ150" i="3"/>
  <c r="HS150" i="3"/>
  <c r="HQ151" i="3"/>
  <c r="HS151" i="3"/>
  <c r="HQ152" i="3"/>
  <c r="HS152" i="3"/>
  <c r="HQ153" i="3"/>
  <c r="HS153" i="3"/>
  <c r="HQ154" i="3"/>
  <c r="HS154" i="3"/>
  <c r="HQ155" i="3"/>
  <c r="HS155" i="3"/>
  <c r="HQ156" i="3"/>
  <c r="HS156" i="3"/>
  <c r="HQ157" i="3"/>
  <c r="HS157" i="3"/>
  <c r="HQ158" i="3"/>
  <c r="HS158" i="3"/>
  <c r="HQ159" i="3"/>
  <c r="HS159" i="3"/>
  <c r="HQ160" i="3"/>
  <c r="HS160" i="3"/>
  <c r="HQ161" i="3"/>
  <c r="HS161" i="3"/>
  <c r="HQ162" i="3"/>
  <c r="HS162" i="3"/>
  <c r="HQ163" i="3"/>
  <c r="HS163" i="3"/>
  <c r="HS164" i="3"/>
  <c r="HQ165" i="3"/>
  <c r="HS165" i="3"/>
  <c r="HQ166" i="3"/>
  <c r="HS166" i="3"/>
  <c r="HS167" i="3"/>
  <c r="GZ23" i="3"/>
  <c r="GZ26" i="3"/>
  <c r="GZ32" i="3"/>
  <c r="GZ36" i="3"/>
  <c r="GZ40" i="3"/>
  <c r="GZ50" i="3"/>
  <c r="GZ52" i="3"/>
  <c r="GZ58" i="3"/>
  <c r="GZ66" i="3"/>
  <c r="GZ80" i="3"/>
  <c r="GZ81" i="3"/>
  <c r="GZ84" i="3"/>
  <c r="GZ86" i="3"/>
  <c r="GZ87" i="3"/>
  <c r="GZ89" i="3"/>
  <c r="GZ91" i="3"/>
  <c r="GZ93" i="3"/>
  <c r="GZ96" i="3"/>
  <c r="GZ99" i="3"/>
  <c r="GZ115" i="3"/>
  <c r="GZ117" i="3"/>
  <c r="GZ119" i="3"/>
  <c r="GZ120" i="3"/>
  <c r="GZ121" i="3"/>
  <c r="GZ125" i="3"/>
  <c r="GZ130" i="3"/>
  <c r="GZ134" i="3"/>
  <c r="GZ136" i="3"/>
  <c r="GZ137" i="3"/>
  <c r="GZ139" i="3"/>
  <c r="GZ144" i="3"/>
  <c r="GZ147" i="3"/>
  <c r="GZ149" i="3"/>
  <c r="GZ159" i="3"/>
  <c r="GZ160" i="3"/>
  <c r="GZ163" i="3"/>
  <c r="GZ166" i="3"/>
  <c r="GZ167" i="3"/>
  <c r="GQ84" i="3"/>
  <c r="GQ86" i="3"/>
  <c r="GQ87" i="3"/>
  <c r="GQ89" i="3"/>
  <c r="GQ91" i="3"/>
  <c r="GQ93" i="3"/>
  <c r="GQ96" i="3"/>
  <c r="GQ99" i="3"/>
  <c r="GQ115" i="3"/>
  <c r="GQ117" i="3"/>
  <c r="GQ119" i="3"/>
  <c r="GQ120" i="3"/>
  <c r="GQ121" i="3"/>
  <c r="GQ125" i="3"/>
  <c r="GQ130" i="3"/>
  <c r="GQ134" i="3"/>
  <c r="GQ136" i="3"/>
  <c r="GQ137" i="3"/>
  <c r="GQ139" i="3"/>
  <c r="GQ144" i="3"/>
  <c r="GQ147" i="3"/>
  <c r="GQ149" i="3"/>
  <c r="GQ159" i="3"/>
  <c r="GQ160" i="3"/>
  <c r="GQ163" i="3"/>
  <c r="GQ166" i="3"/>
  <c r="GQ167" i="3"/>
  <c r="DO13" i="3"/>
  <c r="DR13" i="3"/>
  <c r="DU13" i="3"/>
  <c r="DX13" i="3"/>
  <c r="ED13" i="3"/>
  <c r="EJ13" i="3"/>
  <c r="EM13" i="3"/>
  <c r="EP13" i="3"/>
  <c r="ES13" i="3"/>
  <c r="EY13" i="3"/>
  <c r="FB13" i="3"/>
  <c r="FE13" i="3"/>
  <c r="DO14" i="3"/>
  <c r="DR14" i="3"/>
  <c r="DU14" i="3"/>
  <c r="DX14" i="3"/>
  <c r="ED14" i="3"/>
  <c r="EJ14" i="3"/>
  <c r="EM14" i="3"/>
  <c r="EP14" i="3"/>
  <c r="ES14" i="3"/>
  <c r="EY14" i="3"/>
  <c r="FB14" i="3"/>
  <c r="FE14" i="3"/>
  <c r="DO15" i="3"/>
  <c r="DR15" i="3"/>
  <c r="DU15" i="3"/>
  <c r="DX15" i="3"/>
  <c r="ED15" i="3"/>
  <c r="EJ15" i="3"/>
  <c r="EM15" i="3"/>
  <c r="EP15" i="3"/>
  <c r="ES15" i="3"/>
  <c r="EY15" i="3"/>
  <c r="FB15" i="3"/>
  <c r="FE15" i="3"/>
  <c r="DO16" i="3"/>
  <c r="DR16" i="3"/>
  <c r="DU16" i="3"/>
  <c r="DX16" i="3"/>
  <c r="ED16" i="3"/>
  <c r="EJ16" i="3"/>
  <c r="EM16" i="3"/>
  <c r="EP16" i="3"/>
  <c r="ES16" i="3"/>
  <c r="EY16" i="3"/>
  <c r="FB16" i="3"/>
  <c r="FE16" i="3"/>
  <c r="DO17" i="3"/>
  <c r="DR17" i="3"/>
  <c r="DU17" i="3"/>
  <c r="DX17" i="3"/>
  <c r="ED17" i="3"/>
  <c r="EJ17" i="3"/>
  <c r="EM17" i="3"/>
  <c r="EP17" i="3"/>
  <c r="ES17" i="3"/>
  <c r="EY17" i="3"/>
  <c r="FB17" i="3"/>
  <c r="FE17" i="3"/>
  <c r="DO18" i="3"/>
  <c r="DR18" i="3"/>
  <c r="DU18" i="3"/>
  <c r="DX18" i="3"/>
  <c r="ED18" i="3"/>
  <c r="EJ18" i="3"/>
  <c r="EM18" i="3"/>
  <c r="EP18" i="3"/>
  <c r="ES18" i="3"/>
  <c r="EY18" i="3"/>
  <c r="FB18" i="3"/>
  <c r="FE18" i="3"/>
  <c r="DO19" i="3"/>
  <c r="DR19" i="3"/>
  <c r="DU19" i="3"/>
  <c r="DX19" i="3"/>
  <c r="ED19" i="3"/>
  <c r="EJ19" i="3"/>
  <c r="EM19" i="3"/>
  <c r="EP19" i="3"/>
  <c r="ES19" i="3"/>
  <c r="EY19" i="3"/>
  <c r="FB19" i="3"/>
  <c r="FE19" i="3"/>
  <c r="DO20" i="3"/>
  <c r="DR20" i="3"/>
  <c r="DU20" i="3"/>
  <c r="DX20" i="3"/>
  <c r="ED20" i="3"/>
  <c r="EJ20" i="3"/>
  <c r="EM20" i="3"/>
  <c r="EP20" i="3"/>
  <c r="ES20" i="3"/>
  <c r="EY20" i="3"/>
  <c r="FB20" i="3"/>
  <c r="FE20" i="3"/>
  <c r="DO21" i="3"/>
  <c r="DR21" i="3"/>
  <c r="DU21" i="3"/>
  <c r="DX21" i="3"/>
  <c r="ED21" i="3"/>
  <c r="EJ21" i="3"/>
  <c r="EM21" i="3"/>
  <c r="EP21" i="3"/>
  <c r="ES21" i="3"/>
  <c r="EY21" i="3"/>
  <c r="FB21" i="3"/>
  <c r="FE21" i="3"/>
  <c r="DO22" i="3"/>
  <c r="DR22" i="3"/>
  <c r="DU22" i="3"/>
  <c r="DX22" i="3"/>
  <c r="ED22" i="3"/>
  <c r="EJ22" i="3"/>
  <c r="EM22" i="3"/>
  <c r="EP22" i="3"/>
  <c r="ES22" i="3"/>
  <c r="EY22" i="3"/>
  <c r="FB22" i="3"/>
  <c r="FE22" i="3"/>
  <c r="DO23" i="3"/>
  <c r="DR23" i="3"/>
  <c r="DU23" i="3"/>
  <c r="DX23" i="3"/>
  <c r="ED23" i="3"/>
  <c r="EJ23" i="3"/>
  <c r="EM23" i="3"/>
  <c r="EP23" i="3"/>
  <c r="ES23" i="3"/>
  <c r="EY23" i="3"/>
  <c r="FB23" i="3"/>
  <c r="FE23" i="3"/>
  <c r="DO24" i="3"/>
  <c r="DR24" i="3"/>
  <c r="DU24" i="3"/>
  <c r="DX24" i="3"/>
  <c r="ED24" i="3"/>
  <c r="EJ24" i="3"/>
  <c r="EM24" i="3"/>
  <c r="EP24" i="3"/>
  <c r="ES24" i="3"/>
  <c r="EY24" i="3"/>
  <c r="FB24" i="3"/>
  <c r="FE24" i="3"/>
  <c r="DO25" i="3"/>
  <c r="DR25" i="3"/>
  <c r="DU25" i="3"/>
  <c r="DX25" i="3"/>
  <c r="ED25" i="3"/>
  <c r="EJ25" i="3"/>
  <c r="EM25" i="3"/>
  <c r="EP25" i="3"/>
  <c r="ES25" i="3"/>
  <c r="EY25" i="3"/>
  <c r="FB25" i="3"/>
  <c r="FE25" i="3"/>
  <c r="DO26" i="3"/>
  <c r="DR26" i="3"/>
  <c r="DU26" i="3"/>
  <c r="DX26" i="3"/>
  <c r="ED26" i="3"/>
  <c r="EJ26" i="3"/>
  <c r="EM26" i="3"/>
  <c r="EP26" i="3"/>
  <c r="ES26" i="3"/>
  <c r="EY26" i="3"/>
  <c r="FB26" i="3"/>
  <c r="FE26" i="3"/>
  <c r="DO27" i="3"/>
  <c r="DR27" i="3"/>
  <c r="DU27" i="3"/>
  <c r="DX27" i="3"/>
  <c r="ED27" i="3"/>
  <c r="EJ27" i="3"/>
  <c r="EM27" i="3"/>
  <c r="EP27" i="3"/>
  <c r="ES27" i="3"/>
  <c r="EY27" i="3"/>
  <c r="FB27" i="3"/>
  <c r="FE27" i="3"/>
  <c r="DO28" i="3"/>
  <c r="DR28" i="3"/>
  <c r="DU28" i="3"/>
  <c r="DX28" i="3"/>
  <c r="ED28" i="3"/>
  <c r="EJ28" i="3"/>
  <c r="EM28" i="3"/>
  <c r="EP28" i="3"/>
  <c r="ES28" i="3"/>
  <c r="EY28" i="3"/>
  <c r="FB28" i="3"/>
  <c r="FE28" i="3"/>
  <c r="DO29" i="3"/>
  <c r="DR29" i="3"/>
  <c r="DU29" i="3"/>
  <c r="DX29" i="3"/>
  <c r="ED29" i="3"/>
  <c r="EJ29" i="3"/>
  <c r="EM29" i="3"/>
  <c r="EP29" i="3"/>
  <c r="ES29" i="3"/>
  <c r="EY29" i="3"/>
  <c r="FB29" i="3"/>
  <c r="FE29" i="3"/>
  <c r="DO30" i="3"/>
  <c r="DR30" i="3"/>
  <c r="DU30" i="3"/>
  <c r="DX30" i="3"/>
  <c r="ED30" i="3"/>
  <c r="EJ30" i="3"/>
  <c r="EM30" i="3"/>
  <c r="EP30" i="3"/>
  <c r="ES30" i="3"/>
  <c r="EY30" i="3"/>
  <c r="FB30" i="3"/>
  <c r="FE30" i="3"/>
  <c r="DO31" i="3"/>
  <c r="DR31" i="3"/>
  <c r="DU31" i="3"/>
  <c r="DX31" i="3"/>
  <c r="ED31" i="3"/>
  <c r="EJ31" i="3"/>
  <c r="EM31" i="3"/>
  <c r="EP31" i="3"/>
  <c r="ES31" i="3"/>
  <c r="EY31" i="3"/>
  <c r="FB31" i="3"/>
  <c r="FE31" i="3"/>
  <c r="DO32" i="3"/>
  <c r="DR32" i="3"/>
  <c r="DU32" i="3"/>
  <c r="DX32" i="3"/>
  <c r="EJ32" i="3"/>
  <c r="EM32" i="3"/>
  <c r="EP32" i="3"/>
  <c r="ES32" i="3"/>
  <c r="EY32" i="3"/>
  <c r="FB32" i="3"/>
  <c r="FE32" i="3"/>
  <c r="DO33" i="3"/>
  <c r="DR33" i="3"/>
  <c r="DU33" i="3"/>
  <c r="DX33" i="3"/>
  <c r="ED33" i="3"/>
  <c r="EJ33" i="3"/>
  <c r="EM33" i="3"/>
  <c r="EP33" i="3"/>
  <c r="ES33" i="3"/>
  <c r="EY33" i="3"/>
  <c r="FB33" i="3"/>
  <c r="FE33" i="3"/>
  <c r="DO34" i="3"/>
  <c r="DR34" i="3"/>
  <c r="DU34" i="3"/>
  <c r="DX34" i="3"/>
  <c r="ED34" i="3"/>
  <c r="EJ34" i="3"/>
  <c r="EM34" i="3"/>
  <c r="EP34" i="3"/>
  <c r="ES34" i="3"/>
  <c r="EY34" i="3"/>
  <c r="FB34" i="3"/>
  <c r="FE34" i="3"/>
  <c r="DO35" i="3"/>
  <c r="DR35" i="3"/>
  <c r="DU35" i="3"/>
  <c r="DX35" i="3"/>
  <c r="ED35" i="3"/>
  <c r="EJ35" i="3"/>
  <c r="EM35" i="3"/>
  <c r="EP35" i="3"/>
  <c r="ES35" i="3"/>
  <c r="EY35" i="3"/>
  <c r="FB35" i="3"/>
  <c r="FE35" i="3"/>
  <c r="DO36" i="3"/>
  <c r="DR36" i="3"/>
  <c r="DU36" i="3"/>
  <c r="DX36" i="3"/>
  <c r="ED36" i="3"/>
  <c r="EJ36" i="3"/>
  <c r="EM36" i="3"/>
  <c r="EP36" i="3"/>
  <c r="ES36" i="3"/>
  <c r="EY36" i="3"/>
  <c r="FB36" i="3"/>
  <c r="FE36" i="3"/>
  <c r="DO37" i="3"/>
  <c r="DR37" i="3"/>
  <c r="DU37" i="3"/>
  <c r="DX37" i="3"/>
  <c r="ED37" i="3"/>
  <c r="EJ37" i="3"/>
  <c r="EM37" i="3"/>
  <c r="EP37" i="3"/>
  <c r="ES37" i="3"/>
  <c r="EY37" i="3"/>
  <c r="FB37" i="3"/>
  <c r="FE37" i="3"/>
  <c r="DO38" i="3"/>
  <c r="DR38" i="3"/>
  <c r="DU38" i="3"/>
  <c r="DX38" i="3"/>
  <c r="ED38" i="3"/>
  <c r="EJ38" i="3"/>
  <c r="EM38" i="3"/>
  <c r="EP38" i="3"/>
  <c r="ES38" i="3"/>
  <c r="EY38" i="3"/>
  <c r="FB38" i="3"/>
  <c r="FE38" i="3"/>
  <c r="DO39" i="3"/>
  <c r="DR39" i="3"/>
  <c r="DU39" i="3"/>
  <c r="DX39" i="3"/>
  <c r="ED39" i="3"/>
  <c r="EJ39" i="3"/>
  <c r="EM39" i="3"/>
  <c r="EP39" i="3"/>
  <c r="ES39" i="3"/>
  <c r="EY39" i="3"/>
  <c r="FB39" i="3"/>
  <c r="FE39" i="3"/>
  <c r="DO40" i="3"/>
  <c r="DR40" i="3"/>
  <c r="DU40" i="3"/>
  <c r="DX40" i="3"/>
  <c r="ED40" i="3"/>
  <c r="EJ40" i="3"/>
  <c r="EM40" i="3"/>
  <c r="EP40" i="3"/>
  <c r="ES40" i="3"/>
  <c r="EY40" i="3"/>
  <c r="FB40" i="3"/>
  <c r="FE40" i="3"/>
  <c r="DO41" i="3"/>
  <c r="DR41" i="3"/>
  <c r="DU41" i="3"/>
  <c r="DX41" i="3"/>
  <c r="ED41" i="3"/>
  <c r="EJ41" i="3"/>
  <c r="EM41" i="3"/>
  <c r="EP41" i="3"/>
  <c r="ES41" i="3"/>
  <c r="EY41" i="3"/>
  <c r="FB41" i="3"/>
  <c r="FE41" i="3"/>
  <c r="DO42" i="3"/>
  <c r="DR42" i="3"/>
  <c r="DU42" i="3"/>
  <c r="DX42" i="3"/>
  <c r="ED42" i="3"/>
  <c r="EJ42" i="3"/>
  <c r="EM42" i="3"/>
  <c r="EP42" i="3"/>
  <c r="ES42" i="3"/>
  <c r="EY42" i="3"/>
  <c r="FB42" i="3"/>
  <c r="FE42" i="3"/>
  <c r="DO43" i="3"/>
  <c r="DR43" i="3"/>
  <c r="DU43" i="3"/>
  <c r="DX43" i="3"/>
  <c r="ED43" i="3"/>
  <c r="EJ43" i="3"/>
  <c r="EM43" i="3"/>
  <c r="EP43" i="3"/>
  <c r="ES43" i="3"/>
  <c r="EY43" i="3"/>
  <c r="FB43" i="3"/>
  <c r="FE43" i="3"/>
  <c r="DO44" i="3"/>
  <c r="DR44" i="3"/>
  <c r="DU44" i="3"/>
  <c r="DX44" i="3"/>
  <c r="ED44" i="3"/>
  <c r="EJ44" i="3"/>
  <c r="EM44" i="3"/>
  <c r="EP44" i="3"/>
  <c r="ES44" i="3"/>
  <c r="EY44" i="3"/>
  <c r="FB44" i="3"/>
  <c r="FE44" i="3"/>
  <c r="DO45" i="3"/>
  <c r="DR45" i="3"/>
  <c r="DU45" i="3"/>
  <c r="DX45" i="3"/>
  <c r="ED45" i="3"/>
  <c r="EJ45" i="3"/>
  <c r="EM45" i="3"/>
  <c r="EP45" i="3"/>
  <c r="ES45" i="3"/>
  <c r="EY45" i="3"/>
  <c r="FB45" i="3"/>
  <c r="FE45" i="3"/>
  <c r="DO46" i="3"/>
  <c r="DR46" i="3"/>
  <c r="DU46" i="3"/>
  <c r="DX46" i="3"/>
  <c r="ED46" i="3"/>
  <c r="EJ46" i="3"/>
  <c r="EM46" i="3"/>
  <c r="EP46" i="3"/>
  <c r="ES46" i="3"/>
  <c r="EY46" i="3"/>
  <c r="FB46" i="3"/>
  <c r="FE46" i="3"/>
  <c r="DO47" i="3"/>
  <c r="DR47" i="3"/>
  <c r="DU47" i="3"/>
  <c r="DX47" i="3"/>
  <c r="ED47" i="3"/>
  <c r="EJ47" i="3"/>
  <c r="EM47" i="3"/>
  <c r="EP47" i="3"/>
  <c r="ES47" i="3"/>
  <c r="EY47" i="3"/>
  <c r="FB47" i="3"/>
  <c r="FE47" i="3"/>
  <c r="DO48" i="3"/>
  <c r="DR48" i="3"/>
  <c r="DU48" i="3"/>
  <c r="DX48" i="3"/>
  <c r="ED48" i="3"/>
  <c r="EJ48" i="3"/>
  <c r="EM48" i="3"/>
  <c r="EP48" i="3"/>
  <c r="ES48" i="3"/>
  <c r="EY48" i="3"/>
  <c r="FB48" i="3"/>
  <c r="FE48" i="3"/>
  <c r="DO49" i="3"/>
  <c r="DR49" i="3"/>
  <c r="DU49" i="3"/>
  <c r="DX49" i="3"/>
  <c r="ED49" i="3"/>
  <c r="EJ49" i="3"/>
  <c r="EM49" i="3"/>
  <c r="EP49" i="3"/>
  <c r="ES49" i="3"/>
  <c r="EY49" i="3"/>
  <c r="FB49" i="3"/>
  <c r="FE49" i="3"/>
  <c r="DO50" i="3"/>
  <c r="DR50" i="3"/>
  <c r="DU50" i="3"/>
  <c r="DX50" i="3"/>
  <c r="ED50" i="3"/>
  <c r="EJ50" i="3"/>
  <c r="EM50" i="3"/>
  <c r="EP50" i="3"/>
  <c r="ES50" i="3"/>
  <c r="EY50" i="3"/>
  <c r="FB50" i="3"/>
  <c r="FE50" i="3"/>
  <c r="DO51" i="3"/>
  <c r="DR51" i="3"/>
  <c r="DU51" i="3"/>
  <c r="DX51" i="3"/>
  <c r="ED51" i="3"/>
  <c r="EJ51" i="3"/>
  <c r="EM51" i="3"/>
  <c r="EP51" i="3"/>
  <c r="ES51" i="3"/>
  <c r="EY51" i="3"/>
  <c r="FB51" i="3"/>
  <c r="FE51" i="3"/>
  <c r="DO52" i="3"/>
  <c r="DR52" i="3"/>
  <c r="DU52" i="3"/>
  <c r="DX52" i="3"/>
  <c r="ED52" i="3"/>
  <c r="EJ52" i="3"/>
  <c r="EM52" i="3"/>
  <c r="EP52" i="3"/>
  <c r="ES52" i="3"/>
  <c r="EY52" i="3"/>
  <c r="FB52" i="3"/>
  <c r="FE52" i="3"/>
  <c r="DO53" i="3"/>
  <c r="DR53" i="3"/>
  <c r="DU53" i="3"/>
  <c r="DX53" i="3"/>
  <c r="ED53" i="3"/>
  <c r="EJ53" i="3"/>
  <c r="EM53" i="3"/>
  <c r="EP53" i="3"/>
  <c r="ES53" i="3"/>
  <c r="EY53" i="3"/>
  <c r="FB53" i="3"/>
  <c r="FE53" i="3"/>
  <c r="DO54" i="3"/>
  <c r="DR54" i="3"/>
  <c r="DU54" i="3"/>
  <c r="DX54" i="3"/>
  <c r="ED54" i="3"/>
  <c r="EJ54" i="3"/>
  <c r="EM54" i="3"/>
  <c r="EP54" i="3"/>
  <c r="ES54" i="3"/>
  <c r="EY54" i="3"/>
  <c r="FB54" i="3"/>
  <c r="FE54" i="3"/>
  <c r="DO55" i="3"/>
  <c r="DR55" i="3"/>
  <c r="DU55" i="3"/>
  <c r="DX55" i="3"/>
  <c r="ED55" i="3"/>
  <c r="EJ55" i="3"/>
  <c r="EM55" i="3"/>
  <c r="EP55" i="3"/>
  <c r="ES55" i="3"/>
  <c r="EY55" i="3"/>
  <c r="FB55" i="3"/>
  <c r="FE55" i="3"/>
  <c r="DO56" i="3"/>
  <c r="DR56" i="3"/>
  <c r="DU56" i="3"/>
  <c r="DX56" i="3"/>
  <c r="ED56" i="3"/>
  <c r="EJ56" i="3"/>
  <c r="EM56" i="3"/>
  <c r="EP56" i="3"/>
  <c r="ES56" i="3"/>
  <c r="EY56" i="3"/>
  <c r="FB56" i="3"/>
  <c r="FE56" i="3"/>
  <c r="DO57" i="3"/>
  <c r="DR57" i="3"/>
  <c r="DU57" i="3"/>
  <c r="DX57" i="3"/>
  <c r="ED57" i="3"/>
  <c r="EJ57" i="3"/>
  <c r="EM57" i="3"/>
  <c r="EP57" i="3"/>
  <c r="ES57" i="3"/>
  <c r="EY57" i="3"/>
  <c r="FB57" i="3"/>
  <c r="FE57" i="3"/>
  <c r="DO58" i="3"/>
  <c r="DR58" i="3"/>
  <c r="DU58" i="3"/>
  <c r="DX58" i="3"/>
  <c r="ED58" i="3"/>
  <c r="EJ58" i="3"/>
  <c r="EM58" i="3"/>
  <c r="EP58" i="3"/>
  <c r="ES58" i="3"/>
  <c r="EY58" i="3"/>
  <c r="FB58" i="3"/>
  <c r="FE58" i="3"/>
  <c r="DO59" i="3"/>
  <c r="DR59" i="3"/>
  <c r="DU59" i="3"/>
  <c r="DX59" i="3"/>
  <c r="ED59" i="3"/>
  <c r="EJ59" i="3"/>
  <c r="EM59" i="3"/>
  <c r="EP59" i="3"/>
  <c r="ES59" i="3"/>
  <c r="EY59" i="3"/>
  <c r="FB59" i="3"/>
  <c r="FE59" i="3"/>
  <c r="DO60" i="3"/>
  <c r="DR60" i="3"/>
  <c r="DU60" i="3"/>
  <c r="DX60" i="3"/>
  <c r="ED60" i="3"/>
  <c r="EJ60" i="3"/>
  <c r="EM60" i="3"/>
  <c r="EP60" i="3"/>
  <c r="ES60" i="3"/>
  <c r="EY60" i="3"/>
  <c r="FB60" i="3"/>
  <c r="FE60" i="3"/>
  <c r="DO61" i="3"/>
  <c r="DR61" i="3"/>
  <c r="DU61" i="3"/>
  <c r="DX61" i="3"/>
  <c r="ED61" i="3"/>
  <c r="EJ61" i="3"/>
  <c r="EM61" i="3"/>
  <c r="EP61" i="3"/>
  <c r="ES61" i="3"/>
  <c r="EY61" i="3"/>
  <c r="FB61" i="3"/>
  <c r="FE61" i="3"/>
  <c r="DO62" i="3"/>
  <c r="DR62" i="3"/>
  <c r="DU62" i="3"/>
  <c r="DX62" i="3"/>
  <c r="ED62" i="3"/>
  <c r="EJ62" i="3"/>
  <c r="EM62" i="3"/>
  <c r="EP62" i="3"/>
  <c r="ES62" i="3"/>
  <c r="EY62" i="3"/>
  <c r="FB62" i="3"/>
  <c r="FE62" i="3"/>
  <c r="DO63" i="3"/>
  <c r="DR63" i="3"/>
  <c r="DU63" i="3"/>
  <c r="DX63" i="3"/>
  <c r="ED63" i="3"/>
  <c r="EJ63" i="3"/>
  <c r="EM63" i="3"/>
  <c r="EP63" i="3"/>
  <c r="ES63" i="3"/>
  <c r="EY63" i="3"/>
  <c r="FB63" i="3"/>
  <c r="FE63" i="3"/>
  <c r="DO64" i="3"/>
  <c r="DR64" i="3"/>
  <c r="DU64" i="3"/>
  <c r="DX64" i="3"/>
  <c r="ED64" i="3"/>
  <c r="EJ64" i="3"/>
  <c r="EM64" i="3"/>
  <c r="EP64" i="3"/>
  <c r="ES64" i="3"/>
  <c r="EY64" i="3"/>
  <c r="FB64" i="3"/>
  <c r="FE64" i="3"/>
  <c r="DO65" i="3"/>
  <c r="DR65" i="3"/>
  <c r="DU65" i="3"/>
  <c r="DX65" i="3"/>
  <c r="ED65" i="3"/>
  <c r="EJ65" i="3"/>
  <c r="EM65" i="3"/>
  <c r="EP65" i="3"/>
  <c r="ES65" i="3"/>
  <c r="EY65" i="3"/>
  <c r="FB65" i="3"/>
  <c r="FE65" i="3"/>
  <c r="DO66" i="3"/>
  <c r="DR66" i="3"/>
  <c r="DU66" i="3"/>
  <c r="DX66" i="3"/>
  <c r="ED66" i="3"/>
  <c r="EJ66" i="3"/>
  <c r="EM66" i="3"/>
  <c r="EP66" i="3"/>
  <c r="ES66" i="3"/>
  <c r="EY66" i="3"/>
  <c r="FB66" i="3"/>
  <c r="FE66" i="3"/>
  <c r="DO67" i="3"/>
  <c r="DR67" i="3"/>
  <c r="DU67" i="3"/>
  <c r="DX67" i="3"/>
  <c r="ED67" i="3"/>
  <c r="EJ67" i="3"/>
  <c r="EM67" i="3"/>
  <c r="EP67" i="3"/>
  <c r="ES67" i="3"/>
  <c r="EY67" i="3"/>
  <c r="FB67" i="3"/>
  <c r="FE67" i="3"/>
  <c r="DO68" i="3"/>
  <c r="DR68" i="3"/>
  <c r="DU68" i="3"/>
  <c r="DX68" i="3"/>
  <c r="ED68" i="3"/>
  <c r="EJ68" i="3"/>
  <c r="EM68" i="3"/>
  <c r="EP68" i="3"/>
  <c r="ES68" i="3"/>
  <c r="EY68" i="3"/>
  <c r="FB68" i="3"/>
  <c r="FE68" i="3"/>
  <c r="DO69" i="3"/>
  <c r="DR69" i="3"/>
  <c r="DU69" i="3"/>
  <c r="DX69" i="3"/>
  <c r="ED69" i="3"/>
  <c r="EJ69" i="3"/>
  <c r="EM69" i="3"/>
  <c r="EP69" i="3"/>
  <c r="ES69" i="3"/>
  <c r="EY69" i="3"/>
  <c r="FB69" i="3"/>
  <c r="FE69" i="3"/>
  <c r="DO70" i="3"/>
  <c r="DR70" i="3"/>
  <c r="DU70" i="3"/>
  <c r="DX70" i="3"/>
  <c r="ED70" i="3"/>
  <c r="EJ70" i="3"/>
  <c r="EM70" i="3"/>
  <c r="EP70" i="3"/>
  <c r="ES70" i="3"/>
  <c r="EY70" i="3"/>
  <c r="FB70" i="3"/>
  <c r="FE70" i="3"/>
  <c r="DO71" i="3"/>
  <c r="DR71" i="3"/>
  <c r="DU71" i="3"/>
  <c r="DX71" i="3"/>
  <c r="ED71" i="3"/>
  <c r="EJ71" i="3"/>
  <c r="EM71" i="3"/>
  <c r="EP71" i="3"/>
  <c r="ES71" i="3"/>
  <c r="EY71" i="3"/>
  <c r="FB71" i="3"/>
  <c r="FE71" i="3"/>
  <c r="DO72" i="3"/>
  <c r="DR72" i="3"/>
  <c r="DU72" i="3"/>
  <c r="DX72" i="3"/>
  <c r="ED72" i="3"/>
  <c r="EJ72" i="3"/>
  <c r="EM72" i="3"/>
  <c r="EP72" i="3"/>
  <c r="ES72" i="3"/>
  <c r="EY72" i="3"/>
  <c r="FB72" i="3"/>
  <c r="FE72" i="3"/>
  <c r="DO73" i="3"/>
  <c r="DR73" i="3"/>
  <c r="DU73" i="3"/>
  <c r="DX73" i="3"/>
  <c r="ED73" i="3"/>
  <c r="EJ73" i="3"/>
  <c r="EM73" i="3"/>
  <c r="EP73" i="3"/>
  <c r="ES73" i="3"/>
  <c r="EY73" i="3"/>
  <c r="FB73" i="3"/>
  <c r="FE73" i="3"/>
  <c r="DO74" i="3"/>
  <c r="DR74" i="3"/>
  <c r="DU74" i="3"/>
  <c r="DX74" i="3"/>
  <c r="ED74" i="3"/>
  <c r="EJ74" i="3"/>
  <c r="EM74" i="3"/>
  <c r="EP74" i="3"/>
  <c r="ES74" i="3"/>
  <c r="EY74" i="3"/>
  <c r="FB74" i="3"/>
  <c r="FE74" i="3"/>
  <c r="DO75" i="3"/>
  <c r="DR75" i="3"/>
  <c r="DU75" i="3"/>
  <c r="DX75" i="3"/>
  <c r="ED75" i="3"/>
  <c r="EJ75" i="3"/>
  <c r="EM75" i="3"/>
  <c r="EP75" i="3"/>
  <c r="ES75" i="3"/>
  <c r="EY75" i="3"/>
  <c r="FB75" i="3"/>
  <c r="FE75" i="3"/>
  <c r="DO76" i="3"/>
  <c r="DR76" i="3"/>
  <c r="DU76" i="3"/>
  <c r="DX76" i="3"/>
  <c r="ED76" i="3"/>
  <c r="EJ76" i="3"/>
  <c r="EM76" i="3"/>
  <c r="EP76" i="3"/>
  <c r="ES76" i="3"/>
  <c r="EY76" i="3"/>
  <c r="FB76" i="3"/>
  <c r="FE76" i="3"/>
  <c r="DO77" i="3"/>
  <c r="DR77" i="3"/>
  <c r="DU77" i="3"/>
  <c r="DX77" i="3"/>
  <c r="ED77" i="3"/>
  <c r="EJ77" i="3"/>
  <c r="EM77" i="3"/>
  <c r="EP77" i="3"/>
  <c r="ES77" i="3"/>
  <c r="EY77" i="3"/>
  <c r="FB77" i="3"/>
  <c r="FE77" i="3"/>
  <c r="DO78" i="3"/>
  <c r="DR78" i="3"/>
  <c r="DU78" i="3"/>
  <c r="DX78" i="3"/>
  <c r="ED78" i="3"/>
  <c r="EJ78" i="3"/>
  <c r="EM78" i="3"/>
  <c r="EP78" i="3"/>
  <c r="ES78" i="3"/>
  <c r="EY78" i="3"/>
  <c r="FB78" i="3"/>
  <c r="FE78" i="3"/>
  <c r="DO79" i="3"/>
  <c r="DR79" i="3"/>
  <c r="DU79" i="3"/>
  <c r="DX79" i="3"/>
  <c r="ED79" i="3"/>
  <c r="EJ79" i="3"/>
  <c r="EM79" i="3"/>
  <c r="EP79" i="3"/>
  <c r="ES79" i="3"/>
  <c r="EY79" i="3"/>
  <c r="FB79" i="3"/>
  <c r="FE79" i="3"/>
  <c r="DO80" i="3"/>
  <c r="DR80" i="3"/>
  <c r="DU80" i="3"/>
  <c r="DX80" i="3"/>
  <c r="ED80" i="3"/>
  <c r="EJ80" i="3"/>
  <c r="EM80" i="3"/>
  <c r="EP80" i="3"/>
  <c r="ES80" i="3"/>
  <c r="EY80" i="3"/>
  <c r="FB80" i="3"/>
  <c r="FE80" i="3"/>
  <c r="DO81" i="3"/>
  <c r="DR81" i="3"/>
  <c r="DU81" i="3"/>
  <c r="DX81" i="3"/>
  <c r="ED81" i="3"/>
  <c r="EJ81" i="3"/>
  <c r="EM81" i="3"/>
  <c r="EP81" i="3"/>
  <c r="ES81" i="3"/>
  <c r="EY81" i="3"/>
  <c r="FB81" i="3"/>
  <c r="FE81" i="3"/>
  <c r="DO82" i="3"/>
  <c r="DR82" i="3"/>
  <c r="DU82" i="3"/>
  <c r="DX82" i="3"/>
  <c r="ED82" i="3"/>
  <c r="EJ82" i="3"/>
  <c r="EM82" i="3"/>
  <c r="EP82" i="3"/>
  <c r="ES82" i="3"/>
  <c r="EY82" i="3"/>
  <c r="FB82" i="3"/>
  <c r="FE82" i="3"/>
  <c r="DO83" i="3"/>
  <c r="DR83" i="3"/>
  <c r="DU83" i="3"/>
  <c r="DX83" i="3"/>
  <c r="ED83" i="3"/>
  <c r="EJ83" i="3"/>
  <c r="EM83" i="3"/>
  <c r="EP83" i="3"/>
  <c r="ES83" i="3"/>
  <c r="EY83" i="3"/>
  <c r="FB83" i="3"/>
  <c r="FE83" i="3"/>
  <c r="DO84" i="3"/>
  <c r="DR84" i="3"/>
  <c r="DU84" i="3"/>
  <c r="DX84" i="3"/>
  <c r="ED84" i="3"/>
  <c r="EJ84" i="3"/>
  <c r="EM84" i="3"/>
  <c r="EP84" i="3"/>
  <c r="ES84" i="3"/>
  <c r="EY84" i="3"/>
  <c r="FB84" i="3"/>
  <c r="FE84" i="3"/>
  <c r="DO85" i="3"/>
  <c r="DR85" i="3"/>
  <c r="DU85" i="3"/>
  <c r="DX85" i="3"/>
  <c r="EJ85" i="3"/>
  <c r="EM85" i="3"/>
  <c r="EP85" i="3"/>
  <c r="ES85" i="3"/>
  <c r="EY85" i="3"/>
  <c r="FB85" i="3"/>
  <c r="FE85" i="3"/>
  <c r="DO86" i="3"/>
  <c r="DR86" i="3"/>
  <c r="DU86" i="3"/>
  <c r="DX86" i="3"/>
  <c r="EJ86" i="3"/>
  <c r="EM86" i="3"/>
  <c r="EP86" i="3"/>
  <c r="ES86" i="3"/>
  <c r="EY86" i="3"/>
  <c r="FB86" i="3"/>
  <c r="DO87" i="3"/>
  <c r="DR87" i="3"/>
  <c r="DU87" i="3"/>
  <c r="DX87" i="3"/>
  <c r="EJ87" i="3"/>
  <c r="EM87" i="3"/>
  <c r="EP87" i="3"/>
  <c r="ES87" i="3"/>
  <c r="EY87" i="3"/>
  <c r="FB87" i="3"/>
  <c r="FE87" i="3"/>
  <c r="DO88" i="3"/>
  <c r="DR88" i="3"/>
  <c r="DU88" i="3"/>
  <c r="DX88" i="3"/>
  <c r="EJ88" i="3"/>
  <c r="EM88" i="3"/>
  <c r="EP88" i="3"/>
  <c r="ES88" i="3"/>
  <c r="EY88" i="3"/>
  <c r="FB88" i="3"/>
  <c r="FE88" i="3"/>
  <c r="DO89" i="3"/>
  <c r="DR89" i="3"/>
  <c r="DU89" i="3"/>
  <c r="DX89" i="3"/>
  <c r="EJ89" i="3"/>
  <c r="EM89" i="3"/>
  <c r="EP89" i="3"/>
  <c r="ES89" i="3"/>
  <c r="EY89" i="3"/>
  <c r="FB89" i="3"/>
  <c r="FE89" i="3"/>
  <c r="DO90" i="3"/>
  <c r="DR90" i="3"/>
  <c r="DU90" i="3"/>
  <c r="DX90" i="3"/>
  <c r="ED90" i="3"/>
  <c r="EJ90" i="3"/>
  <c r="EM90" i="3"/>
  <c r="EP90" i="3"/>
  <c r="ES90" i="3"/>
  <c r="EY90" i="3"/>
  <c r="FB90" i="3"/>
  <c r="FE90" i="3"/>
  <c r="DO91" i="3"/>
  <c r="DR91" i="3"/>
  <c r="DU91" i="3"/>
  <c r="DX91" i="3"/>
  <c r="ED91" i="3"/>
  <c r="EJ91" i="3"/>
  <c r="EM91" i="3"/>
  <c r="EP91" i="3"/>
  <c r="ES91" i="3"/>
  <c r="EY91" i="3"/>
  <c r="FB91" i="3"/>
  <c r="FE91" i="3"/>
  <c r="DO92" i="3"/>
  <c r="DR92" i="3"/>
  <c r="DU92" i="3"/>
  <c r="DX92" i="3"/>
  <c r="ED92" i="3"/>
  <c r="EJ92" i="3"/>
  <c r="EM92" i="3"/>
  <c r="EP92" i="3"/>
  <c r="ES92" i="3"/>
  <c r="EY92" i="3"/>
  <c r="FB92" i="3"/>
  <c r="FE92" i="3"/>
  <c r="DO93" i="3"/>
  <c r="DR93" i="3"/>
  <c r="DU93" i="3"/>
  <c r="DX93" i="3"/>
  <c r="ED93" i="3"/>
  <c r="EJ93" i="3"/>
  <c r="EM93" i="3"/>
  <c r="EP93" i="3"/>
  <c r="ES93" i="3"/>
  <c r="EY93" i="3"/>
  <c r="FB93" i="3"/>
  <c r="FE93" i="3"/>
  <c r="DO94" i="3"/>
  <c r="DR94" i="3"/>
  <c r="DU94" i="3"/>
  <c r="DX94" i="3"/>
  <c r="ED94" i="3"/>
  <c r="EJ94" i="3"/>
  <c r="EM94" i="3"/>
  <c r="EP94" i="3"/>
  <c r="ES94" i="3"/>
  <c r="EY94" i="3"/>
  <c r="FB94" i="3"/>
  <c r="FE94" i="3"/>
  <c r="DO95" i="3"/>
  <c r="DR95" i="3"/>
  <c r="DU95" i="3"/>
  <c r="DX95" i="3"/>
  <c r="ED95" i="3"/>
  <c r="EJ95" i="3"/>
  <c r="EM95" i="3"/>
  <c r="EP95" i="3"/>
  <c r="ES95" i="3"/>
  <c r="EY95" i="3"/>
  <c r="FB95" i="3"/>
  <c r="FE95" i="3"/>
  <c r="DO96" i="3"/>
  <c r="DR96" i="3"/>
  <c r="DU96" i="3"/>
  <c r="DX96" i="3"/>
  <c r="ED96" i="3"/>
  <c r="EJ96" i="3"/>
  <c r="EM96" i="3"/>
  <c r="EP96" i="3"/>
  <c r="ES96" i="3"/>
  <c r="EY96" i="3"/>
  <c r="FB96" i="3"/>
  <c r="FE96" i="3"/>
  <c r="DO97" i="3"/>
  <c r="DR97" i="3"/>
  <c r="DU97" i="3"/>
  <c r="DX97" i="3"/>
  <c r="ED97" i="3"/>
  <c r="EJ97" i="3"/>
  <c r="EM97" i="3"/>
  <c r="EP97" i="3"/>
  <c r="ES97" i="3"/>
  <c r="EY97" i="3"/>
  <c r="FB97" i="3"/>
  <c r="FE97" i="3"/>
  <c r="DO98" i="3"/>
  <c r="DR98" i="3"/>
  <c r="DU98" i="3"/>
  <c r="DX98" i="3"/>
  <c r="ED98" i="3"/>
  <c r="EJ98" i="3"/>
  <c r="EM98" i="3"/>
  <c r="EP98" i="3"/>
  <c r="ES98" i="3"/>
  <c r="EY98" i="3"/>
  <c r="FB98" i="3"/>
  <c r="FE98" i="3"/>
  <c r="DO99" i="3"/>
  <c r="DR99" i="3"/>
  <c r="DU99" i="3"/>
  <c r="DX99" i="3"/>
  <c r="ED99" i="3"/>
  <c r="EJ99" i="3"/>
  <c r="EM99" i="3"/>
  <c r="EP99" i="3"/>
  <c r="ES99" i="3"/>
  <c r="EY99" i="3"/>
  <c r="FB99" i="3"/>
  <c r="FE99" i="3"/>
  <c r="DO100" i="3"/>
  <c r="DR100" i="3"/>
  <c r="DU100" i="3"/>
  <c r="DX100" i="3"/>
  <c r="ED100" i="3"/>
  <c r="EJ100" i="3"/>
  <c r="EM100" i="3"/>
  <c r="EP100" i="3"/>
  <c r="ES100" i="3"/>
  <c r="EY100" i="3"/>
  <c r="FB100" i="3"/>
  <c r="FE100" i="3"/>
  <c r="DO101" i="3"/>
  <c r="DR101" i="3"/>
  <c r="DU101" i="3"/>
  <c r="DX101" i="3"/>
  <c r="ED101" i="3"/>
  <c r="EJ101" i="3"/>
  <c r="EM101" i="3"/>
  <c r="EP101" i="3"/>
  <c r="ES101" i="3"/>
  <c r="EY101" i="3"/>
  <c r="FB101" i="3"/>
  <c r="FE101" i="3"/>
  <c r="DO102" i="3"/>
  <c r="DR102" i="3"/>
  <c r="DU102" i="3"/>
  <c r="DX102" i="3"/>
  <c r="ED102" i="3"/>
  <c r="EJ102" i="3"/>
  <c r="EM102" i="3"/>
  <c r="EP102" i="3"/>
  <c r="ES102" i="3"/>
  <c r="EY102" i="3"/>
  <c r="FB102" i="3"/>
  <c r="FE102" i="3"/>
  <c r="DO103" i="3"/>
  <c r="DR103" i="3"/>
  <c r="DU103" i="3"/>
  <c r="DX103" i="3"/>
  <c r="ED103" i="3"/>
  <c r="EJ103" i="3"/>
  <c r="EM103" i="3"/>
  <c r="EP103" i="3"/>
  <c r="ES103" i="3"/>
  <c r="EY103" i="3"/>
  <c r="FB103" i="3"/>
  <c r="FE103" i="3"/>
  <c r="DO104" i="3"/>
  <c r="DR104" i="3"/>
  <c r="DU104" i="3"/>
  <c r="DX104" i="3"/>
  <c r="ED104" i="3"/>
  <c r="EJ104" i="3"/>
  <c r="EM104" i="3"/>
  <c r="EP104" i="3"/>
  <c r="ES104" i="3"/>
  <c r="EY104" i="3"/>
  <c r="FB104" i="3"/>
  <c r="FE104" i="3"/>
  <c r="DO105" i="3"/>
  <c r="DR105" i="3"/>
  <c r="DU105" i="3"/>
  <c r="DX105" i="3"/>
  <c r="ED105" i="3"/>
  <c r="EJ105" i="3"/>
  <c r="EM105" i="3"/>
  <c r="EP105" i="3"/>
  <c r="ES105" i="3"/>
  <c r="EY105" i="3"/>
  <c r="FB105" i="3"/>
  <c r="FE105" i="3"/>
  <c r="DO106" i="3"/>
  <c r="DR106" i="3"/>
  <c r="DU106" i="3"/>
  <c r="DX106" i="3"/>
  <c r="ED106" i="3"/>
  <c r="EJ106" i="3"/>
  <c r="EM106" i="3"/>
  <c r="EP106" i="3"/>
  <c r="ES106" i="3"/>
  <c r="EY106" i="3"/>
  <c r="FB106" i="3"/>
  <c r="FE106" i="3"/>
  <c r="DO107" i="3"/>
  <c r="DR107" i="3"/>
  <c r="DU107" i="3"/>
  <c r="DX107" i="3"/>
  <c r="ED107" i="3"/>
  <c r="EJ107" i="3"/>
  <c r="EM107" i="3"/>
  <c r="EP107" i="3"/>
  <c r="ES107" i="3"/>
  <c r="EY107" i="3"/>
  <c r="FB107" i="3"/>
  <c r="FE107" i="3"/>
  <c r="DO108" i="3"/>
  <c r="DR108" i="3"/>
  <c r="DU108" i="3"/>
  <c r="DX108" i="3"/>
  <c r="ED108" i="3"/>
  <c r="EJ108" i="3"/>
  <c r="EM108" i="3"/>
  <c r="EP108" i="3"/>
  <c r="ES108" i="3"/>
  <c r="EY108" i="3"/>
  <c r="FB108" i="3"/>
  <c r="FE108" i="3"/>
  <c r="DO109" i="3"/>
  <c r="DR109" i="3"/>
  <c r="DU109" i="3"/>
  <c r="DX109" i="3"/>
  <c r="ED109" i="3"/>
  <c r="EJ109" i="3"/>
  <c r="EM109" i="3"/>
  <c r="EP109" i="3"/>
  <c r="ES109" i="3"/>
  <c r="EY109" i="3"/>
  <c r="FB109" i="3"/>
  <c r="FE109" i="3"/>
  <c r="DO110" i="3"/>
  <c r="DR110" i="3"/>
  <c r="DU110" i="3"/>
  <c r="DX110" i="3"/>
  <c r="ED110" i="3"/>
  <c r="EJ110" i="3"/>
  <c r="EM110" i="3"/>
  <c r="EP110" i="3"/>
  <c r="ES110" i="3"/>
  <c r="EY110" i="3"/>
  <c r="FB110" i="3"/>
  <c r="FE110" i="3"/>
  <c r="DO111" i="3"/>
  <c r="DR111" i="3"/>
  <c r="DU111" i="3"/>
  <c r="DX111" i="3"/>
  <c r="ED111" i="3"/>
  <c r="EJ111" i="3"/>
  <c r="EM111" i="3"/>
  <c r="EP111" i="3"/>
  <c r="ES111" i="3"/>
  <c r="EY111" i="3"/>
  <c r="FB111" i="3"/>
  <c r="FE111" i="3"/>
  <c r="DO112" i="3"/>
  <c r="DR112" i="3"/>
  <c r="DU112" i="3"/>
  <c r="DX112" i="3"/>
  <c r="ED112" i="3"/>
  <c r="EJ112" i="3"/>
  <c r="EM112" i="3"/>
  <c r="EP112" i="3"/>
  <c r="ES112" i="3"/>
  <c r="EY112" i="3"/>
  <c r="FB112" i="3"/>
  <c r="FE112" i="3"/>
  <c r="DO113" i="3"/>
  <c r="DR113" i="3"/>
  <c r="DU113" i="3"/>
  <c r="DX113" i="3"/>
  <c r="ED113" i="3"/>
  <c r="EJ113" i="3"/>
  <c r="EM113" i="3"/>
  <c r="EP113" i="3"/>
  <c r="ES113" i="3"/>
  <c r="EY113" i="3"/>
  <c r="FB113" i="3"/>
  <c r="FE113" i="3"/>
  <c r="DO114" i="3"/>
  <c r="DR114" i="3"/>
  <c r="DU114" i="3"/>
  <c r="DX114" i="3"/>
  <c r="ED114" i="3"/>
  <c r="EJ114" i="3"/>
  <c r="EM114" i="3"/>
  <c r="EP114" i="3"/>
  <c r="ES114" i="3"/>
  <c r="EY114" i="3"/>
  <c r="FB114" i="3"/>
  <c r="FE114" i="3"/>
  <c r="DO115" i="3"/>
  <c r="DR115" i="3"/>
  <c r="DU115" i="3"/>
  <c r="DX115" i="3"/>
  <c r="ED115" i="3"/>
  <c r="EJ115" i="3"/>
  <c r="EM115" i="3"/>
  <c r="EP115" i="3"/>
  <c r="ES115" i="3"/>
  <c r="EY115" i="3"/>
  <c r="FB115" i="3"/>
  <c r="FE115" i="3"/>
  <c r="DO116" i="3"/>
  <c r="DR116" i="3"/>
  <c r="DU116" i="3"/>
  <c r="DX116" i="3"/>
  <c r="ED116" i="3"/>
  <c r="EJ116" i="3"/>
  <c r="EM116" i="3"/>
  <c r="EP116" i="3"/>
  <c r="ES116" i="3"/>
  <c r="EY116" i="3"/>
  <c r="FB116" i="3"/>
  <c r="FE116" i="3"/>
  <c r="DO117" i="3"/>
  <c r="DR117" i="3"/>
  <c r="DU117" i="3"/>
  <c r="DX117" i="3"/>
  <c r="ED117" i="3"/>
  <c r="EJ117" i="3"/>
  <c r="EM117" i="3"/>
  <c r="EP117" i="3"/>
  <c r="ES117" i="3"/>
  <c r="EY117" i="3"/>
  <c r="FB117" i="3"/>
  <c r="FE117" i="3"/>
  <c r="DO118" i="3"/>
  <c r="DR118" i="3"/>
  <c r="DU118" i="3"/>
  <c r="DX118" i="3"/>
  <c r="ED118" i="3"/>
  <c r="EJ118" i="3"/>
  <c r="EM118" i="3"/>
  <c r="EP118" i="3"/>
  <c r="ES118" i="3"/>
  <c r="EY118" i="3"/>
  <c r="FB118" i="3"/>
  <c r="FE118" i="3"/>
  <c r="DO119" i="3"/>
  <c r="DR119" i="3"/>
  <c r="DU119" i="3"/>
  <c r="DX119" i="3"/>
  <c r="ED119" i="3"/>
  <c r="EJ119" i="3"/>
  <c r="EM119" i="3"/>
  <c r="EP119" i="3"/>
  <c r="ES119" i="3"/>
  <c r="EY119" i="3"/>
  <c r="FB119" i="3"/>
  <c r="FE119" i="3"/>
  <c r="DO120" i="3"/>
  <c r="DR120" i="3"/>
  <c r="DU120" i="3"/>
  <c r="DX120" i="3"/>
  <c r="ED120" i="3"/>
  <c r="EJ120" i="3"/>
  <c r="EM120" i="3"/>
  <c r="EP120" i="3"/>
  <c r="ES120" i="3"/>
  <c r="EY120" i="3"/>
  <c r="FB120" i="3"/>
  <c r="FE120" i="3"/>
  <c r="DO121" i="3"/>
  <c r="DR121" i="3"/>
  <c r="DU121" i="3"/>
  <c r="DX121" i="3"/>
  <c r="ED121" i="3"/>
  <c r="EJ121" i="3"/>
  <c r="EM121" i="3"/>
  <c r="EP121" i="3"/>
  <c r="ES121" i="3"/>
  <c r="EY121" i="3"/>
  <c r="FB121" i="3"/>
  <c r="FE121" i="3"/>
  <c r="DO122" i="3"/>
  <c r="DR122" i="3"/>
  <c r="DU122" i="3"/>
  <c r="DX122" i="3"/>
  <c r="ED122" i="3"/>
  <c r="EJ122" i="3"/>
  <c r="EM122" i="3"/>
  <c r="EP122" i="3"/>
  <c r="ES122" i="3"/>
  <c r="EY122" i="3"/>
  <c r="FB122" i="3"/>
  <c r="FE122" i="3"/>
  <c r="DO123" i="3"/>
  <c r="DR123" i="3"/>
  <c r="DU123" i="3"/>
  <c r="DX123" i="3"/>
  <c r="ED123" i="3"/>
  <c r="EJ123" i="3"/>
  <c r="EM123" i="3"/>
  <c r="EP123" i="3"/>
  <c r="ES123" i="3"/>
  <c r="EY123" i="3"/>
  <c r="FB123" i="3"/>
  <c r="FE123" i="3"/>
  <c r="DO124" i="3"/>
  <c r="DR124" i="3"/>
  <c r="DU124" i="3"/>
  <c r="DX124" i="3"/>
  <c r="ED124" i="3"/>
  <c r="EJ124" i="3"/>
  <c r="EM124" i="3"/>
  <c r="EP124" i="3"/>
  <c r="ES124" i="3"/>
  <c r="EY124" i="3"/>
  <c r="FB124" i="3"/>
  <c r="FE124" i="3"/>
  <c r="DO125" i="3"/>
  <c r="DR125" i="3"/>
  <c r="DU125" i="3"/>
  <c r="DX125" i="3"/>
  <c r="ED125" i="3"/>
  <c r="EJ125" i="3"/>
  <c r="EM125" i="3"/>
  <c r="EP125" i="3"/>
  <c r="ES125" i="3"/>
  <c r="EY125" i="3"/>
  <c r="FB125" i="3"/>
  <c r="FE125" i="3"/>
  <c r="DO126" i="3"/>
  <c r="DR126" i="3"/>
  <c r="DU126" i="3"/>
  <c r="DX126" i="3"/>
  <c r="ED126" i="3"/>
  <c r="EJ126" i="3"/>
  <c r="EM126" i="3"/>
  <c r="EP126" i="3"/>
  <c r="ES126" i="3"/>
  <c r="EY126" i="3"/>
  <c r="FB126" i="3"/>
  <c r="FE126" i="3"/>
  <c r="DO127" i="3"/>
  <c r="DR127" i="3"/>
  <c r="DU127" i="3"/>
  <c r="DX127" i="3"/>
  <c r="ED127" i="3"/>
  <c r="EJ127" i="3"/>
  <c r="EM127" i="3"/>
  <c r="EP127" i="3"/>
  <c r="ES127" i="3"/>
  <c r="EY127" i="3"/>
  <c r="FB127" i="3"/>
  <c r="FE127" i="3"/>
  <c r="DO128" i="3"/>
  <c r="DR128" i="3"/>
  <c r="DU128" i="3"/>
  <c r="DX128" i="3"/>
  <c r="ED128" i="3"/>
  <c r="EJ128" i="3"/>
  <c r="EM128" i="3"/>
  <c r="EP128" i="3"/>
  <c r="ES128" i="3"/>
  <c r="EY128" i="3"/>
  <c r="FB128" i="3"/>
  <c r="FE128" i="3"/>
  <c r="DO129" i="3"/>
  <c r="DR129" i="3"/>
  <c r="DU129" i="3"/>
  <c r="DX129" i="3"/>
  <c r="ED129" i="3"/>
  <c r="EJ129" i="3"/>
  <c r="EM129" i="3"/>
  <c r="EP129" i="3"/>
  <c r="ES129" i="3"/>
  <c r="EY129" i="3"/>
  <c r="FB129" i="3"/>
  <c r="FE129" i="3"/>
  <c r="DO130" i="3"/>
  <c r="DR130" i="3"/>
  <c r="DU130" i="3"/>
  <c r="DX130" i="3"/>
  <c r="ED130" i="3"/>
  <c r="EJ130" i="3"/>
  <c r="EM130" i="3"/>
  <c r="EP130" i="3"/>
  <c r="ES130" i="3"/>
  <c r="EY130" i="3"/>
  <c r="FB130" i="3"/>
  <c r="FE130" i="3"/>
  <c r="DO131" i="3"/>
  <c r="DR131" i="3"/>
  <c r="DU131" i="3"/>
  <c r="DX131" i="3"/>
  <c r="ED131" i="3"/>
  <c r="EJ131" i="3"/>
  <c r="EM131" i="3"/>
  <c r="EP131" i="3"/>
  <c r="ES131" i="3"/>
  <c r="EY131" i="3"/>
  <c r="FB131" i="3"/>
  <c r="FE131" i="3"/>
  <c r="DO132" i="3"/>
  <c r="DR132" i="3"/>
  <c r="DU132" i="3"/>
  <c r="DX132" i="3"/>
  <c r="ED132" i="3"/>
  <c r="EJ132" i="3"/>
  <c r="EM132" i="3"/>
  <c r="EP132" i="3"/>
  <c r="ES132" i="3"/>
  <c r="EY132" i="3"/>
  <c r="FB132" i="3"/>
  <c r="FE132" i="3"/>
  <c r="DO133" i="3"/>
  <c r="DR133" i="3"/>
  <c r="DU133" i="3"/>
  <c r="DX133" i="3"/>
  <c r="ED133" i="3"/>
  <c r="EJ133" i="3"/>
  <c r="EM133" i="3"/>
  <c r="EP133" i="3"/>
  <c r="ES133" i="3"/>
  <c r="EY133" i="3"/>
  <c r="FB133" i="3"/>
  <c r="FE133" i="3"/>
  <c r="DO134" i="3"/>
  <c r="DR134" i="3"/>
  <c r="DU134" i="3"/>
  <c r="DX134" i="3"/>
  <c r="ED134" i="3"/>
  <c r="EJ134" i="3"/>
  <c r="EM134" i="3"/>
  <c r="EP134" i="3"/>
  <c r="ES134" i="3"/>
  <c r="EY134" i="3"/>
  <c r="FB134" i="3"/>
  <c r="FE134" i="3"/>
  <c r="DO135" i="3"/>
  <c r="DR135" i="3"/>
  <c r="DU135" i="3"/>
  <c r="DX135" i="3"/>
  <c r="ED135" i="3"/>
  <c r="EJ135" i="3"/>
  <c r="EM135" i="3"/>
  <c r="EP135" i="3"/>
  <c r="ES135" i="3"/>
  <c r="FB135" i="3"/>
  <c r="FE135" i="3"/>
  <c r="DO136" i="3"/>
  <c r="DR136" i="3"/>
  <c r="DU136" i="3"/>
  <c r="DX136" i="3"/>
  <c r="ED136" i="3"/>
  <c r="EJ136" i="3"/>
  <c r="EM136" i="3"/>
  <c r="EP136" i="3"/>
  <c r="ES136" i="3"/>
  <c r="FB136" i="3"/>
  <c r="FE136" i="3"/>
  <c r="DO137" i="3"/>
  <c r="DR137" i="3"/>
  <c r="DU137" i="3"/>
  <c r="DX137" i="3"/>
  <c r="ED137" i="3"/>
  <c r="EJ137" i="3"/>
  <c r="EM137" i="3"/>
  <c r="EP137" i="3"/>
  <c r="ES137" i="3"/>
  <c r="FB137" i="3"/>
  <c r="FE137" i="3"/>
  <c r="DO138" i="3"/>
  <c r="DR138" i="3"/>
  <c r="DU138" i="3"/>
  <c r="DX138" i="3"/>
  <c r="ED138" i="3"/>
  <c r="EJ138" i="3"/>
  <c r="EM138" i="3"/>
  <c r="EP138" i="3"/>
  <c r="ES138" i="3"/>
  <c r="EY138" i="3"/>
  <c r="FB138" i="3"/>
  <c r="FE138" i="3"/>
  <c r="DO139" i="3"/>
  <c r="DR139" i="3"/>
  <c r="DU139" i="3"/>
  <c r="DX139" i="3"/>
  <c r="ED139" i="3"/>
  <c r="EJ139" i="3"/>
  <c r="EM139" i="3"/>
  <c r="EP139" i="3"/>
  <c r="ES139" i="3"/>
  <c r="EY139" i="3"/>
  <c r="FB139" i="3"/>
  <c r="FE139" i="3"/>
  <c r="DO140" i="3"/>
  <c r="DR140" i="3"/>
  <c r="DU140" i="3"/>
  <c r="DX140" i="3"/>
  <c r="ED140" i="3"/>
  <c r="EJ140" i="3"/>
  <c r="EM140" i="3"/>
  <c r="EP140" i="3"/>
  <c r="ES140" i="3"/>
  <c r="EY140" i="3"/>
  <c r="FB140" i="3"/>
  <c r="FE140" i="3"/>
  <c r="DO141" i="3"/>
  <c r="DR141" i="3"/>
  <c r="DU141" i="3"/>
  <c r="DX141" i="3"/>
  <c r="ED141" i="3"/>
  <c r="EJ141" i="3"/>
  <c r="EM141" i="3"/>
  <c r="EP141" i="3"/>
  <c r="ES141" i="3"/>
  <c r="EY141" i="3"/>
  <c r="FB141" i="3"/>
  <c r="FE141" i="3"/>
  <c r="DO142" i="3"/>
  <c r="DR142" i="3"/>
  <c r="DU142" i="3"/>
  <c r="DX142" i="3"/>
  <c r="ED142" i="3"/>
  <c r="EJ142" i="3"/>
  <c r="EM142" i="3"/>
  <c r="EP142" i="3"/>
  <c r="ES142" i="3"/>
  <c r="EY142" i="3"/>
  <c r="FB142" i="3"/>
  <c r="FE142" i="3"/>
  <c r="DO143" i="3"/>
  <c r="DR143" i="3"/>
  <c r="DU143" i="3"/>
  <c r="DX143" i="3"/>
  <c r="ED143" i="3"/>
  <c r="EJ143" i="3"/>
  <c r="EM143" i="3"/>
  <c r="EP143" i="3"/>
  <c r="ES143" i="3"/>
  <c r="EY143" i="3"/>
  <c r="FB143" i="3"/>
  <c r="FE143" i="3"/>
  <c r="DO144" i="3"/>
  <c r="DR144" i="3"/>
  <c r="DU144" i="3"/>
  <c r="DX144" i="3"/>
  <c r="ED144" i="3"/>
  <c r="EJ144" i="3"/>
  <c r="EM144" i="3"/>
  <c r="EP144" i="3"/>
  <c r="ES144" i="3"/>
  <c r="EY144" i="3"/>
  <c r="FB144" i="3"/>
  <c r="FE144" i="3"/>
  <c r="DO145" i="3"/>
  <c r="DR145" i="3"/>
  <c r="DU145" i="3"/>
  <c r="DX145" i="3"/>
  <c r="ED145" i="3"/>
  <c r="EJ145" i="3"/>
  <c r="EM145" i="3"/>
  <c r="EP145" i="3"/>
  <c r="ES145" i="3"/>
  <c r="EY145" i="3"/>
  <c r="FB145" i="3"/>
  <c r="FE145" i="3"/>
  <c r="DO146" i="3"/>
  <c r="DR146" i="3"/>
  <c r="DU146" i="3"/>
  <c r="DX146" i="3"/>
  <c r="ED146" i="3"/>
  <c r="EJ146" i="3"/>
  <c r="EM146" i="3"/>
  <c r="EP146" i="3"/>
  <c r="ES146" i="3"/>
  <c r="EY146" i="3"/>
  <c r="FB146" i="3"/>
  <c r="FE146" i="3"/>
  <c r="DO147" i="3"/>
  <c r="DR147" i="3"/>
  <c r="DU147" i="3"/>
  <c r="DX147" i="3"/>
  <c r="ED147" i="3"/>
  <c r="EJ147" i="3"/>
  <c r="EM147" i="3"/>
  <c r="EP147" i="3"/>
  <c r="ES147" i="3"/>
  <c r="EY147" i="3"/>
  <c r="FB147" i="3"/>
  <c r="FE147" i="3"/>
  <c r="DO148" i="3"/>
  <c r="DR148" i="3"/>
  <c r="DU148" i="3"/>
  <c r="DX148" i="3"/>
  <c r="ED148" i="3"/>
  <c r="EJ148" i="3"/>
  <c r="EM148" i="3"/>
  <c r="EP148" i="3"/>
  <c r="ES148" i="3"/>
  <c r="EY148" i="3"/>
  <c r="FB148" i="3"/>
  <c r="FE148" i="3"/>
  <c r="DO149" i="3"/>
  <c r="DR149" i="3"/>
  <c r="DU149" i="3"/>
  <c r="DX149" i="3"/>
  <c r="ED149" i="3"/>
  <c r="EJ149" i="3"/>
  <c r="EM149" i="3"/>
  <c r="EP149" i="3"/>
  <c r="ES149" i="3"/>
  <c r="EY149" i="3"/>
  <c r="FB149" i="3"/>
  <c r="FE149" i="3"/>
  <c r="DO150" i="3"/>
  <c r="DR150" i="3"/>
  <c r="DU150" i="3"/>
  <c r="DX150" i="3"/>
  <c r="ED150" i="3"/>
  <c r="EJ150" i="3"/>
  <c r="EM150" i="3"/>
  <c r="EP150" i="3"/>
  <c r="ES150" i="3"/>
  <c r="EY150" i="3"/>
  <c r="FB150" i="3"/>
  <c r="FE150" i="3"/>
  <c r="DO151" i="3"/>
  <c r="DR151" i="3"/>
  <c r="DU151" i="3"/>
  <c r="DX151" i="3"/>
  <c r="ED151" i="3"/>
  <c r="EJ151" i="3"/>
  <c r="EM151" i="3"/>
  <c r="EP151" i="3"/>
  <c r="ES151" i="3"/>
  <c r="EY151" i="3"/>
  <c r="FB151" i="3"/>
  <c r="FE151" i="3"/>
  <c r="DO152" i="3"/>
  <c r="DR152" i="3"/>
  <c r="DU152" i="3"/>
  <c r="DX152" i="3"/>
  <c r="ED152" i="3"/>
  <c r="EJ152" i="3"/>
  <c r="EM152" i="3"/>
  <c r="EP152" i="3"/>
  <c r="ES152" i="3"/>
  <c r="EY152" i="3"/>
  <c r="FB152" i="3"/>
  <c r="FE152" i="3"/>
  <c r="DO153" i="3"/>
  <c r="DR153" i="3"/>
  <c r="DU153" i="3"/>
  <c r="ED153" i="3"/>
  <c r="EJ153" i="3"/>
  <c r="EM153" i="3"/>
  <c r="EP153" i="3"/>
  <c r="ES153" i="3"/>
  <c r="EY153" i="3"/>
  <c r="FB153" i="3"/>
  <c r="FE153" i="3"/>
  <c r="DO154" i="3"/>
  <c r="DR154" i="3"/>
  <c r="DU154" i="3"/>
  <c r="DX154" i="3"/>
  <c r="ED154" i="3"/>
  <c r="EJ154" i="3"/>
  <c r="EM154" i="3"/>
  <c r="EP154" i="3"/>
  <c r="ES154" i="3"/>
  <c r="EY154" i="3"/>
  <c r="FB154" i="3"/>
  <c r="FE154" i="3"/>
  <c r="DO155" i="3"/>
  <c r="DR155" i="3"/>
  <c r="DU155" i="3"/>
  <c r="DX155" i="3"/>
  <c r="ED155" i="3"/>
  <c r="EJ155" i="3"/>
  <c r="EM155" i="3"/>
  <c r="EP155" i="3"/>
  <c r="ES155" i="3"/>
  <c r="EY155" i="3"/>
  <c r="FB155" i="3"/>
  <c r="FE155" i="3"/>
  <c r="DO156" i="3"/>
  <c r="DR156" i="3"/>
  <c r="DU156" i="3"/>
  <c r="DX156" i="3"/>
  <c r="ED156" i="3"/>
  <c r="EJ156" i="3"/>
  <c r="EM156" i="3"/>
  <c r="EP156" i="3"/>
  <c r="ES156" i="3"/>
  <c r="EY156" i="3"/>
  <c r="FB156" i="3"/>
  <c r="FE156" i="3"/>
  <c r="DO157" i="3"/>
  <c r="DR157" i="3"/>
  <c r="DU157" i="3"/>
  <c r="DX157" i="3"/>
  <c r="ED157" i="3"/>
  <c r="EJ157" i="3"/>
  <c r="EM157" i="3"/>
  <c r="EP157" i="3"/>
  <c r="ES157" i="3"/>
  <c r="EY157" i="3"/>
  <c r="FB157" i="3"/>
  <c r="FE157" i="3"/>
  <c r="DO158" i="3"/>
  <c r="DR158" i="3"/>
  <c r="DU158" i="3"/>
  <c r="DX158" i="3"/>
  <c r="ED158" i="3"/>
  <c r="EJ158" i="3"/>
  <c r="EM158" i="3"/>
  <c r="EP158" i="3"/>
  <c r="ES158" i="3"/>
  <c r="EY158" i="3"/>
  <c r="FB158" i="3"/>
  <c r="FE158" i="3"/>
  <c r="DO159" i="3"/>
  <c r="DR159" i="3"/>
  <c r="DU159" i="3"/>
  <c r="DX159" i="3"/>
  <c r="ED159" i="3"/>
  <c r="EJ159" i="3"/>
  <c r="EM159" i="3"/>
  <c r="EP159" i="3"/>
  <c r="ES159" i="3"/>
  <c r="EY159" i="3"/>
  <c r="FB159" i="3"/>
  <c r="FE159" i="3"/>
  <c r="DU160" i="3"/>
  <c r="DX160" i="3"/>
  <c r="ED160" i="3"/>
  <c r="EJ160" i="3"/>
  <c r="EM160" i="3"/>
  <c r="EP160" i="3"/>
  <c r="ES160" i="3"/>
  <c r="EY160" i="3"/>
  <c r="FB160" i="3"/>
  <c r="FE160" i="3"/>
  <c r="DO161" i="3"/>
  <c r="DR161" i="3"/>
  <c r="DU161" i="3"/>
  <c r="DX161" i="3"/>
  <c r="ED161" i="3"/>
  <c r="EJ161" i="3"/>
  <c r="EM161" i="3"/>
  <c r="EP161" i="3"/>
  <c r="ES161" i="3"/>
  <c r="EY161" i="3"/>
  <c r="FB161" i="3"/>
  <c r="FE161" i="3"/>
  <c r="DO162" i="3"/>
  <c r="DR162" i="3"/>
  <c r="DU162" i="3"/>
  <c r="DX162" i="3"/>
  <c r="ED162" i="3"/>
  <c r="EJ162" i="3"/>
  <c r="EM162" i="3"/>
  <c r="EP162" i="3"/>
  <c r="ES162" i="3"/>
  <c r="EY162" i="3"/>
  <c r="FB162" i="3"/>
  <c r="FE162" i="3"/>
  <c r="DO163" i="3"/>
  <c r="DR163" i="3"/>
  <c r="DU163" i="3"/>
  <c r="DX163" i="3"/>
  <c r="ED163" i="3"/>
  <c r="EJ163" i="3"/>
  <c r="EM163" i="3"/>
  <c r="EP163" i="3"/>
  <c r="ES163" i="3"/>
  <c r="EY163" i="3"/>
  <c r="FB163" i="3"/>
  <c r="FE163" i="3"/>
  <c r="DU164" i="3"/>
  <c r="DX164" i="3"/>
  <c r="ED164" i="3"/>
  <c r="EJ164" i="3"/>
  <c r="EM164" i="3"/>
  <c r="EP164" i="3"/>
  <c r="ES164" i="3"/>
  <c r="EY164" i="3"/>
  <c r="FB164" i="3"/>
  <c r="FE164" i="3"/>
  <c r="DO165" i="3"/>
  <c r="DR165" i="3"/>
  <c r="DU165" i="3"/>
  <c r="DX165" i="3"/>
  <c r="ED165" i="3"/>
  <c r="EJ165" i="3"/>
  <c r="EM165" i="3"/>
  <c r="EP165" i="3"/>
  <c r="ES165" i="3"/>
  <c r="EY165" i="3"/>
  <c r="FB165" i="3"/>
  <c r="FE165" i="3"/>
  <c r="DO166" i="3"/>
  <c r="DR166" i="3"/>
  <c r="DU166" i="3"/>
  <c r="DX166" i="3"/>
  <c r="ED166" i="3"/>
  <c r="EJ166" i="3"/>
  <c r="EM166" i="3"/>
  <c r="EP166" i="3"/>
  <c r="ES166" i="3"/>
  <c r="EY166" i="3"/>
  <c r="FB166" i="3"/>
  <c r="FE166" i="3"/>
  <c r="DO167" i="3"/>
  <c r="DR167" i="3"/>
  <c r="DU167" i="3"/>
  <c r="DX167" i="3"/>
  <c r="ED167" i="3"/>
  <c r="EJ167" i="3"/>
  <c r="EM167" i="3"/>
  <c r="EP167" i="3"/>
  <c r="ES167" i="3"/>
  <c r="EY167" i="3"/>
  <c r="FB167" i="3"/>
  <c r="FE167" i="3"/>
  <c r="CI13" i="3"/>
  <c r="CJ13" i="3"/>
  <c r="CK13" i="3"/>
  <c r="CL13" i="3"/>
  <c r="CM13" i="3"/>
  <c r="CN13" i="3"/>
  <c r="CP13" i="3"/>
  <c r="CQ13" i="3"/>
  <c r="CR13" i="3"/>
  <c r="CT13" i="3"/>
  <c r="CU13" i="3"/>
  <c r="CV13" i="3"/>
  <c r="CW13" i="3"/>
  <c r="CX13" i="3"/>
  <c r="DK13" i="3"/>
  <c r="DL13" i="3"/>
  <c r="CI14" i="3"/>
  <c r="CJ14" i="3"/>
  <c r="CK14" i="3"/>
  <c r="CL14" i="3"/>
  <c r="CM14" i="3"/>
  <c r="CN14" i="3"/>
  <c r="CP14" i="3"/>
  <c r="CQ14" i="3"/>
  <c r="CR14" i="3"/>
  <c r="CT14" i="3"/>
  <c r="CU14" i="3"/>
  <c r="CV14" i="3"/>
  <c r="CW14" i="3"/>
  <c r="CX14" i="3"/>
  <c r="DK14" i="3"/>
  <c r="DL14" i="3"/>
  <c r="CI15" i="3"/>
  <c r="CJ15" i="3"/>
  <c r="CK15" i="3"/>
  <c r="CL15" i="3"/>
  <c r="CM15" i="3"/>
  <c r="CN15" i="3"/>
  <c r="CP15" i="3"/>
  <c r="CQ15" i="3"/>
  <c r="CR15" i="3"/>
  <c r="CT15" i="3"/>
  <c r="CU15" i="3"/>
  <c r="CV15" i="3"/>
  <c r="CW15" i="3"/>
  <c r="CX15" i="3"/>
  <c r="DK15" i="3"/>
  <c r="DL15" i="3"/>
  <c r="CI16" i="3"/>
  <c r="CJ16" i="3"/>
  <c r="CK16" i="3"/>
  <c r="CL16" i="3"/>
  <c r="CM16" i="3"/>
  <c r="CN16" i="3"/>
  <c r="CP16" i="3"/>
  <c r="CQ16" i="3"/>
  <c r="CR16" i="3"/>
  <c r="CT16" i="3"/>
  <c r="CU16" i="3"/>
  <c r="CV16" i="3"/>
  <c r="CW16" i="3"/>
  <c r="CX16" i="3"/>
  <c r="DK16" i="3"/>
  <c r="DL16" i="3"/>
  <c r="CI17" i="3"/>
  <c r="CJ17" i="3"/>
  <c r="CK17" i="3"/>
  <c r="CL17" i="3"/>
  <c r="CM17" i="3"/>
  <c r="CN17" i="3"/>
  <c r="CP17" i="3"/>
  <c r="CQ17" i="3"/>
  <c r="CR17" i="3"/>
  <c r="CT17" i="3"/>
  <c r="CU17" i="3"/>
  <c r="CV17" i="3"/>
  <c r="CW17" i="3"/>
  <c r="CX17" i="3"/>
  <c r="DK17" i="3"/>
  <c r="DL17" i="3"/>
  <c r="CI18" i="3"/>
  <c r="CJ18" i="3"/>
  <c r="CK18" i="3"/>
  <c r="CL18" i="3"/>
  <c r="CM18" i="3"/>
  <c r="CN18" i="3"/>
  <c r="CP18" i="3"/>
  <c r="CQ18" i="3"/>
  <c r="CR18" i="3"/>
  <c r="CT18" i="3"/>
  <c r="CU18" i="3"/>
  <c r="CV18" i="3"/>
  <c r="CW18" i="3"/>
  <c r="CX18" i="3"/>
  <c r="DK18" i="3"/>
  <c r="DL18" i="3"/>
  <c r="CI19" i="3"/>
  <c r="CJ19" i="3"/>
  <c r="CK19" i="3"/>
  <c r="CL19" i="3"/>
  <c r="CM19" i="3"/>
  <c r="CN19" i="3"/>
  <c r="CP19" i="3"/>
  <c r="CQ19" i="3"/>
  <c r="CR19" i="3"/>
  <c r="CT19" i="3"/>
  <c r="CU19" i="3"/>
  <c r="CV19" i="3"/>
  <c r="CW19" i="3"/>
  <c r="CX19" i="3"/>
  <c r="DK19" i="3"/>
  <c r="DL19" i="3"/>
  <c r="CI20" i="3"/>
  <c r="CJ20" i="3"/>
  <c r="CK20" i="3"/>
  <c r="CL20" i="3"/>
  <c r="CM20" i="3"/>
  <c r="CN20" i="3"/>
  <c r="CP20" i="3"/>
  <c r="CQ20" i="3"/>
  <c r="CR20" i="3"/>
  <c r="CT20" i="3"/>
  <c r="CU20" i="3"/>
  <c r="CV20" i="3"/>
  <c r="CW20" i="3"/>
  <c r="CX20" i="3"/>
  <c r="DK20" i="3"/>
  <c r="DL20" i="3"/>
  <c r="CI21" i="3"/>
  <c r="CJ21" i="3"/>
  <c r="CK21" i="3"/>
  <c r="CL21" i="3"/>
  <c r="CM21" i="3"/>
  <c r="CN21" i="3"/>
  <c r="CP21" i="3"/>
  <c r="CQ21" i="3"/>
  <c r="CR21" i="3"/>
  <c r="CT21" i="3"/>
  <c r="CU21" i="3"/>
  <c r="CV21" i="3"/>
  <c r="CW21" i="3"/>
  <c r="CX21" i="3"/>
  <c r="DK21" i="3"/>
  <c r="DL21" i="3"/>
  <c r="CI22" i="3"/>
  <c r="CJ22" i="3"/>
  <c r="CK22" i="3"/>
  <c r="CL22" i="3"/>
  <c r="CM22" i="3"/>
  <c r="CN22" i="3"/>
  <c r="CP22" i="3"/>
  <c r="CQ22" i="3"/>
  <c r="CR22" i="3"/>
  <c r="CT22" i="3"/>
  <c r="CU22" i="3"/>
  <c r="CV22" i="3"/>
  <c r="CW22" i="3"/>
  <c r="CX22" i="3"/>
  <c r="DK22" i="3"/>
  <c r="DL22" i="3"/>
  <c r="CI23" i="3"/>
  <c r="CJ23" i="3"/>
  <c r="CK23" i="3"/>
  <c r="CL23" i="3"/>
  <c r="CM23" i="3"/>
  <c r="CN23" i="3"/>
  <c r="CP23" i="3"/>
  <c r="CQ23" i="3"/>
  <c r="CR23" i="3"/>
  <c r="CT23" i="3"/>
  <c r="CU23" i="3"/>
  <c r="CV23" i="3"/>
  <c r="CW23" i="3"/>
  <c r="CX23" i="3"/>
  <c r="DK23" i="3"/>
  <c r="DL23" i="3"/>
  <c r="CI24" i="3"/>
  <c r="CJ24" i="3"/>
  <c r="CK24" i="3"/>
  <c r="CL24" i="3"/>
  <c r="CM24" i="3"/>
  <c r="CN24" i="3"/>
  <c r="CP24" i="3"/>
  <c r="CQ24" i="3"/>
  <c r="CR24" i="3"/>
  <c r="CT24" i="3"/>
  <c r="CU24" i="3"/>
  <c r="CV24" i="3"/>
  <c r="CW24" i="3"/>
  <c r="CX24" i="3"/>
  <c r="DK24" i="3"/>
  <c r="DL24" i="3"/>
  <c r="CI25" i="3"/>
  <c r="CJ25" i="3"/>
  <c r="CK25" i="3"/>
  <c r="CL25" i="3"/>
  <c r="CM25" i="3"/>
  <c r="CN25" i="3"/>
  <c r="CP25" i="3"/>
  <c r="CQ25" i="3"/>
  <c r="CR25" i="3"/>
  <c r="CT25" i="3"/>
  <c r="CU25" i="3"/>
  <c r="CV25" i="3"/>
  <c r="CW25" i="3"/>
  <c r="CX25" i="3"/>
  <c r="DK25" i="3"/>
  <c r="DL25" i="3"/>
  <c r="CI26" i="3"/>
  <c r="CJ26" i="3"/>
  <c r="CK26" i="3"/>
  <c r="CL26" i="3"/>
  <c r="CM26" i="3"/>
  <c r="CN26" i="3"/>
  <c r="CP26" i="3"/>
  <c r="CQ26" i="3"/>
  <c r="CR26" i="3"/>
  <c r="CT26" i="3"/>
  <c r="CU26" i="3"/>
  <c r="CV26" i="3"/>
  <c r="CW26" i="3"/>
  <c r="CX26" i="3"/>
  <c r="DK26" i="3"/>
  <c r="DL26" i="3"/>
  <c r="CI27" i="3"/>
  <c r="CJ27" i="3"/>
  <c r="CK27" i="3"/>
  <c r="CL27" i="3"/>
  <c r="CM27" i="3"/>
  <c r="CN27" i="3"/>
  <c r="CP27" i="3"/>
  <c r="CQ27" i="3"/>
  <c r="CR27" i="3"/>
  <c r="CT27" i="3"/>
  <c r="CU27" i="3"/>
  <c r="CV27" i="3"/>
  <c r="CW27" i="3"/>
  <c r="CX27" i="3"/>
  <c r="DK27" i="3"/>
  <c r="DL27" i="3"/>
  <c r="CI28" i="3"/>
  <c r="CJ28" i="3"/>
  <c r="CK28" i="3"/>
  <c r="CL28" i="3"/>
  <c r="CM28" i="3"/>
  <c r="CN28" i="3"/>
  <c r="CP28" i="3"/>
  <c r="CQ28" i="3"/>
  <c r="CR28" i="3"/>
  <c r="CT28" i="3"/>
  <c r="CU28" i="3"/>
  <c r="CV28" i="3"/>
  <c r="CW28" i="3"/>
  <c r="CX28" i="3"/>
  <c r="DK28" i="3"/>
  <c r="DL28" i="3"/>
  <c r="CI29" i="3"/>
  <c r="CJ29" i="3"/>
  <c r="CK29" i="3"/>
  <c r="CL29" i="3"/>
  <c r="CM29" i="3"/>
  <c r="CN29" i="3"/>
  <c r="CP29" i="3"/>
  <c r="CQ29" i="3"/>
  <c r="CR29" i="3"/>
  <c r="CT29" i="3"/>
  <c r="CU29" i="3"/>
  <c r="CV29" i="3"/>
  <c r="CW29" i="3"/>
  <c r="CX29" i="3"/>
  <c r="DK29" i="3"/>
  <c r="DL29" i="3"/>
  <c r="CI30" i="3"/>
  <c r="CJ30" i="3"/>
  <c r="CK30" i="3"/>
  <c r="CL30" i="3"/>
  <c r="CM30" i="3"/>
  <c r="CN30" i="3"/>
  <c r="CP30" i="3"/>
  <c r="CQ30" i="3"/>
  <c r="CR30" i="3"/>
  <c r="CT30" i="3"/>
  <c r="CU30" i="3"/>
  <c r="CV30" i="3"/>
  <c r="CW30" i="3"/>
  <c r="CX30" i="3"/>
  <c r="DK30" i="3"/>
  <c r="DL30" i="3"/>
  <c r="CI31" i="3"/>
  <c r="CJ31" i="3"/>
  <c r="CK31" i="3"/>
  <c r="CL31" i="3"/>
  <c r="CM31" i="3"/>
  <c r="CN31" i="3"/>
  <c r="CP31" i="3"/>
  <c r="CQ31" i="3"/>
  <c r="CR31" i="3"/>
  <c r="CT31" i="3"/>
  <c r="CU31" i="3"/>
  <c r="CV31" i="3"/>
  <c r="CW31" i="3"/>
  <c r="CX31" i="3"/>
  <c r="DK31" i="3"/>
  <c r="DL31" i="3"/>
  <c r="CI32" i="3"/>
  <c r="CJ32" i="3"/>
  <c r="CK32" i="3"/>
  <c r="CL32" i="3"/>
  <c r="CM32" i="3"/>
  <c r="CN32" i="3"/>
  <c r="CP32" i="3"/>
  <c r="CQ32" i="3"/>
  <c r="CR32" i="3"/>
  <c r="CT32" i="3"/>
  <c r="CU32" i="3"/>
  <c r="CV32" i="3"/>
  <c r="CW32" i="3"/>
  <c r="CX32" i="3"/>
  <c r="DK32" i="3"/>
  <c r="DL32" i="3"/>
  <c r="CI33" i="3"/>
  <c r="CJ33" i="3"/>
  <c r="CK33" i="3"/>
  <c r="CL33" i="3"/>
  <c r="CM33" i="3"/>
  <c r="CN33" i="3"/>
  <c r="CP33" i="3"/>
  <c r="CQ33" i="3"/>
  <c r="CR33" i="3"/>
  <c r="CT33" i="3"/>
  <c r="CU33" i="3"/>
  <c r="CV33" i="3"/>
  <c r="CW33" i="3"/>
  <c r="CX33" i="3"/>
  <c r="DK33" i="3"/>
  <c r="DL33" i="3"/>
  <c r="CI34" i="3"/>
  <c r="CJ34" i="3"/>
  <c r="CK34" i="3"/>
  <c r="CL34" i="3"/>
  <c r="CM34" i="3"/>
  <c r="CN34" i="3"/>
  <c r="CP34" i="3"/>
  <c r="CQ34" i="3"/>
  <c r="CR34" i="3"/>
  <c r="CT34" i="3"/>
  <c r="CU34" i="3"/>
  <c r="CV34" i="3"/>
  <c r="CW34" i="3"/>
  <c r="CX34" i="3"/>
  <c r="DK34" i="3"/>
  <c r="DL34" i="3"/>
  <c r="CI35" i="3"/>
  <c r="CJ35" i="3"/>
  <c r="CK35" i="3"/>
  <c r="CL35" i="3"/>
  <c r="CM35" i="3"/>
  <c r="CN35" i="3"/>
  <c r="CP35" i="3"/>
  <c r="CQ35" i="3"/>
  <c r="CR35" i="3"/>
  <c r="CT35" i="3"/>
  <c r="CU35" i="3"/>
  <c r="CV35" i="3"/>
  <c r="CW35" i="3"/>
  <c r="CX35" i="3"/>
  <c r="DK35" i="3"/>
  <c r="DL35" i="3"/>
  <c r="CI36" i="3"/>
  <c r="CJ36" i="3"/>
  <c r="CK36" i="3"/>
  <c r="CL36" i="3"/>
  <c r="CM36" i="3"/>
  <c r="CN36" i="3"/>
  <c r="CP36" i="3"/>
  <c r="CQ36" i="3"/>
  <c r="CR36" i="3"/>
  <c r="CT36" i="3"/>
  <c r="CU36" i="3"/>
  <c r="CV36" i="3"/>
  <c r="CW36" i="3"/>
  <c r="CX36" i="3"/>
  <c r="DK36" i="3"/>
  <c r="DL36" i="3"/>
  <c r="CI37" i="3"/>
  <c r="CJ37" i="3"/>
  <c r="CK37" i="3"/>
  <c r="CL37" i="3"/>
  <c r="CM37" i="3"/>
  <c r="CN37" i="3"/>
  <c r="CP37" i="3"/>
  <c r="CQ37" i="3"/>
  <c r="CR37" i="3"/>
  <c r="CT37" i="3"/>
  <c r="CU37" i="3"/>
  <c r="CV37" i="3"/>
  <c r="CW37" i="3"/>
  <c r="CX37" i="3"/>
  <c r="DK37" i="3"/>
  <c r="DL37" i="3"/>
  <c r="CI38" i="3"/>
  <c r="CJ38" i="3"/>
  <c r="CK38" i="3"/>
  <c r="CL38" i="3"/>
  <c r="CM38" i="3"/>
  <c r="CN38" i="3"/>
  <c r="CP38" i="3"/>
  <c r="CQ38" i="3"/>
  <c r="CR38" i="3"/>
  <c r="CT38" i="3"/>
  <c r="CU38" i="3"/>
  <c r="CV38" i="3"/>
  <c r="CW38" i="3"/>
  <c r="CX38" i="3"/>
  <c r="DK38" i="3"/>
  <c r="DL38" i="3"/>
  <c r="CI39" i="3"/>
  <c r="CJ39" i="3"/>
  <c r="CK39" i="3"/>
  <c r="CL39" i="3"/>
  <c r="CM39" i="3"/>
  <c r="CN39" i="3"/>
  <c r="CP39" i="3"/>
  <c r="CQ39" i="3"/>
  <c r="CR39" i="3"/>
  <c r="CT39" i="3"/>
  <c r="CU39" i="3"/>
  <c r="CV39" i="3"/>
  <c r="CW39" i="3"/>
  <c r="CX39" i="3"/>
  <c r="DK39" i="3"/>
  <c r="DL39" i="3"/>
  <c r="CI40" i="3"/>
  <c r="CJ40" i="3"/>
  <c r="CK40" i="3"/>
  <c r="CL40" i="3"/>
  <c r="CM40" i="3"/>
  <c r="CN40" i="3"/>
  <c r="CP40" i="3"/>
  <c r="CQ40" i="3"/>
  <c r="CR40" i="3"/>
  <c r="CT40" i="3"/>
  <c r="CU40" i="3"/>
  <c r="CV40" i="3"/>
  <c r="CW40" i="3"/>
  <c r="CX40" i="3"/>
  <c r="DK40" i="3"/>
  <c r="DL40" i="3"/>
  <c r="CI41" i="3"/>
  <c r="CJ41" i="3"/>
  <c r="CK41" i="3"/>
  <c r="CL41" i="3"/>
  <c r="CM41" i="3"/>
  <c r="CN41" i="3"/>
  <c r="CP41" i="3"/>
  <c r="CQ41" i="3"/>
  <c r="CR41" i="3"/>
  <c r="CT41" i="3"/>
  <c r="CU41" i="3"/>
  <c r="CV41" i="3"/>
  <c r="CW41" i="3"/>
  <c r="CX41" i="3"/>
  <c r="DK41" i="3"/>
  <c r="DL41" i="3"/>
  <c r="CI42" i="3"/>
  <c r="CJ42" i="3"/>
  <c r="CK42" i="3"/>
  <c r="CL42" i="3"/>
  <c r="CM42" i="3"/>
  <c r="CN42" i="3"/>
  <c r="CP42" i="3"/>
  <c r="CQ42" i="3"/>
  <c r="CR42" i="3"/>
  <c r="CT42" i="3"/>
  <c r="CU42" i="3"/>
  <c r="CV42" i="3"/>
  <c r="CW42" i="3"/>
  <c r="CX42" i="3"/>
  <c r="DK42" i="3"/>
  <c r="DL42" i="3"/>
  <c r="CI43" i="3"/>
  <c r="CJ43" i="3"/>
  <c r="CK43" i="3"/>
  <c r="CL43" i="3"/>
  <c r="CM43" i="3"/>
  <c r="CN43" i="3"/>
  <c r="CP43" i="3"/>
  <c r="CQ43" i="3"/>
  <c r="CR43" i="3"/>
  <c r="CT43" i="3"/>
  <c r="CU43" i="3"/>
  <c r="CV43" i="3"/>
  <c r="CW43" i="3"/>
  <c r="CX43" i="3"/>
  <c r="DK43" i="3"/>
  <c r="DL43" i="3"/>
  <c r="CI44" i="3"/>
  <c r="CJ44" i="3"/>
  <c r="CK44" i="3"/>
  <c r="CL44" i="3"/>
  <c r="CM44" i="3"/>
  <c r="CN44" i="3"/>
  <c r="CP44" i="3"/>
  <c r="CQ44" i="3"/>
  <c r="CR44" i="3"/>
  <c r="CT44" i="3"/>
  <c r="CU44" i="3"/>
  <c r="CV44" i="3"/>
  <c r="CW44" i="3"/>
  <c r="CX44" i="3"/>
  <c r="DK44" i="3"/>
  <c r="DL44" i="3"/>
  <c r="CI45" i="3"/>
  <c r="CJ45" i="3"/>
  <c r="CK45" i="3"/>
  <c r="CL45" i="3"/>
  <c r="CM45" i="3"/>
  <c r="CN45" i="3"/>
  <c r="CP45" i="3"/>
  <c r="CQ45" i="3"/>
  <c r="CR45" i="3"/>
  <c r="CT45" i="3"/>
  <c r="CU45" i="3"/>
  <c r="CV45" i="3"/>
  <c r="CW45" i="3"/>
  <c r="DK45" i="3"/>
  <c r="DL45" i="3"/>
  <c r="CI46" i="3"/>
  <c r="CJ46" i="3"/>
  <c r="CK46" i="3"/>
  <c r="CL46" i="3"/>
  <c r="CM46" i="3"/>
  <c r="CN46" i="3"/>
  <c r="CP46" i="3"/>
  <c r="CQ46" i="3"/>
  <c r="CR46" i="3"/>
  <c r="CT46" i="3"/>
  <c r="CU46" i="3"/>
  <c r="CV46" i="3"/>
  <c r="CW46" i="3"/>
  <c r="CX46" i="3"/>
  <c r="DK46" i="3"/>
  <c r="DL46" i="3"/>
  <c r="CI47" i="3"/>
  <c r="CJ47" i="3"/>
  <c r="CK47" i="3"/>
  <c r="CL47" i="3"/>
  <c r="CM47" i="3"/>
  <c r="CN47" i="3"/>
  <c r="CP47" i="3"/>
  <c r="CQ47" i="3"/>
  <c r="CR47" i="3"/>
  <c r="CT47" i="3"/>
  <c r="CU47" i="3"/>
  <c r="CV47" i="3"/>
  <c r="CW47" i="3"/>
  <c r="CX47" i="3"/>
  <c r="DK47" i="3"/>
  <c r="DL47" i="3"/>
  <c r="CI48" i="3"/>
  <c r="CJ48" i="3"/>
  <c r="CK48" i="3"/>
  <c r="CL48" i="3"/>
  <c r="CM48" i="3"/>
  <c r="CN48" i="3"/>
  <c r="CP48" i="3"/>
  <c r="CQ48" i="3"/>
  <c r="CR48" i="3"/>
  <c r="CT48" i="3"/>
  <c r="CU48" i="3"/>
  <c r="CV48" i="3"/>
  <c r="CW48" i="3"/>
  <c r="CX48" i="3"/>
  <c r="DK48" i="3"/>
  <c r="DL48" i="3"/>
  <c r="CI49" i="3"/>
  <c r="CJ49" i="3"/>
  <c r="CK49" i="3"/>
  <c r="CL49" i="3"/>
  <c r="CM49" i="3"/>
  <c r="CN49" i="3"/>
  <c r="CP49" i="3"/>
  <c r="CQ49" i="3"/>
  <c r="CR49" i="3"/>
  <c r="CT49" i="3"/>
  <c r="CU49" i="3"/>
  <c r="CV49" i="3"/>
  <c r="CW49" i="3"/>
  <c r="CX49" i="3"/>
  <c r="DK49" i="3"/>
  <c r="DL49" i="3"/>
  <c r="CI50" i="3"/>
  <c r="CJ50" i="3"/>
  <c r="CK50" i="3"/>
  <c r="CL50" i="3"/>
  <c r="CM50" i="3"/>
  <c r="CN50" i="3"/>
  <c r="CP50" i="3"/>
  <c r="CQ50" i="3"/>
  <c r="CR50" i="3"/>
  <c r="CT50" i="3"/>
  <c r="CU50" i="3"/>
  <c r="CV50" i="3"/>
  <c r="CW50" i="3"/>
  <c r="CX50" i="3"/>
  <c r="DK50" i="3"/>
  <c r="DL50" i="3"/>
  <c r="CI51" i="3"/>
  <c r="CJ51" i="3"/>
  <c r="CK51" i="3"/>
  <c r="CL51" i="3"/>
  <c r="CM51" i="3"/>
  <c r="CN51" i="3"/>
  <c r="CP51" i="3"/>
  <c r="CQ51" i="3"/>
  <c r="CR51" i="3"/>
  <c r="CT51" i="3"/>
  <c r="CU51" i="3"/>
  <c r="CV51" i="3"/>
  <c r="CW51" i="3"/>
  <c r="CX51" i="3"/>
  <c r="DK51" i="3"/>
  <c r="DL51" i="3"/>
  <c r="CI52" i="3"/>
  <c r="CJ52" i="3"/>
  <c r="CK52" i="3"/>
  <c r="CL52" i="3"/>
  <c r="CM52" i="3"/>
  <c r="CN52" i="3"/>
  <c r="CP52" i="3"/>
  <c r="CQ52" i="3"/>
  <c r="CR52" i="3"/>
  <c r="CT52" i="3"/>
  <c r="CU52" i="3"/>
  <c r="CV52" i="3"/>
  <c r="CW52" i="3"/>
  <c r="CX52" i="3"/>
  <c r="DK52" i="3"/>
  <c r="DL52" i="3"/>
  <c r="CI53" i="3"/>
  <c r="CJ53" i="3"/>
  <c r="CK53" i="3"/>
  <c r="CL53" i="3"/>
  <c r="CM53" i="3"/>
  <c r="CN53" i="3"/>
  <c r="CP53" i="3"/>
  <c r="CQ53" i="3"/>
  <c r="CR53" i="3"/>
  <c r="CT53" i="3"/>
  <c r="CU53" i="3"/>
  <c r="CV53" i="3"/>
  <c r="CW53" i="3"/>
  <c r="CX53" i="3"/>
  <c r="DK53" i="3"/>
  <c r="DL53" i="3"/>
  <c r="CI54" i="3"/>
  <c r="CJ54" i="3"/>
  <c r="CK54" i="3"/>
  <c r="CL54" i="3"/>
  <c r="CM54" i="3"/>
  <c r="CN54" i="3"/>
  <c r="CP54" i="3"/>
  <c r="CQ54" i="3"/>
  <c r="CR54" i="3"/>
  <c r="CT54" i="3"/>
  <c r="CU54" i="3"/>
  <c r="CV54" i="3"/>
  <c r="CW54" i="3"/>
  <c r="CX54" i="3"/>
  <c r="DK54" i="3"/>
  <c r="DL54" i="3"/>
  <c r="CI55" i="3"/>
  <c r="CJ55" i="3"/>
  <c r="CK55" i="3"/>
  <c r="CL55" i="3"/>
  <c r="CM55" i="3"/>
  <c r="CN55" i="3"/>
  <c r="CP55" i="3"/>
  <c r="CQ55" i="3"/>
  <c r="CR55" i="3"/>
  <c r="CT55" i="3"/>
  <c r="CU55" i="3"/>
  <c r="CV55" i="3"/>
  <c r="CW55" i="3"/>
  <c r="CX55" i="3"/>
  <c r="DK55" i="3"/>
  <c r="DL55" i="3"/>
  <c r="CI56" i="3"/>
  <c r="CJ56" i="3"/>
  <c r="CK56" i="3"/>
  <c r="CL56" i="3"/>
  <c r="CM56" i="3"/>
  <c r="CN56" i="3"/>
  <c r="CP56" i="3"/>
  <c r="CQ56" i="3"/>
  <c r="CR56" i="3"/>
  <c r="CT56" i="3"/>
  <c r="CU56" i="3"/>
  <c r="CV56" i="3"/>
  <c r="CW56" i="3"/>
  <c r="CX56" i="3"/>
  <c r="DK56" i="3"/>
  <c r="DL56" i="3"/>
  <c r="CI57" i="3"/>
  <c r="CJ57" i="3"/>
  <c r="CK57" i="3"/>
  <c r="CL57" i="3"/>
  <c r="CM57" i="3"/>
  <c r="CN57" i="3"/>
  <c r="CP57" i="3"/>
  <c r="CQ57" i="3"/>
  <c r="CR57" i="3"/>
  <c r="CT57" i="3"/>
  <c r="CU57" i="3"/>
  <c r="CV57" i="3"/>
  <c r="CW57" i="3"/>
  <c r="CX57" i="3"/>
  <c r="DK57" i="3"/>
  <c r="DL57" i="3"/>
  <c r="CI58" i="3"/>
  <c r="CJ58" i="3"/>
  <c r="CK58" i="3"/>
  <c r="CL58" i="3"/>
  <c r="CM58" i="3"/>
  <c r="CN58" i="3"/>
  <c r="CP58" i="3"/>
  <c r="CQ58" i="3"/>
  <c r="CR58" i="3"/>
  <c r="CT58" i="3"/>
  <c r="CU58" i="3"/>
  <c r="CV58" i="3"/>
  <c r="CW58" i="3"/>
  <c r="CX58" i="3"/>
  <c r="DK58" i="3"/>
  <c r="DL58" i="3"/>
  <c r="CI59" i="3"/>
  <c r="CJ59" i="3"/>
  <c r="CK59" i="3"/>
  <c r="CL59" i="3"/>
  <c r="CM59" i="3"/>
  <c r="CN59" i="3"/>
  <c r="CP59" i="3"/>
  <c r="CQ59" i="3"/>
  <c r="CR59" i="3"/>
  <c r="CT59" i="3"/>
  <c r="CU59" i="3"/>
  <c r="CV59" i="3"/>
  <c r="CW59" i="3"/>
  <c r="CX59" i="3"/>
  <c r="DK59" i="3"/>
  <c r="DL59" i="3"/>
  <c r="CI60" i="3"/>
  <c r="CJ60" i="3"/>
  <c r="CK60" i="3"/>
  <c r="CL60" i="3"/>
  <c r="CM60" i="3"/>
  <c r="CN60" i="3"/>
  <c r="CP60" i="3"/>
  <c r="CQ60" i="3"/>
  <c r="CR60" i="3"/>
  <c r="CT60" i="3"/>
  <c r="CU60" i="3"/>
  <c r="CV60" i="3"/>
  <c r="CW60" i="3"/>
  <c r="CX60" i="3"/>
  <c r="DK60" i="3"/>
  <c r="DL60" i="3"/>
  <c r="CI61" i="3"/>
  <c r="CJ61" i="3"/>
  <c r="CK61" i="3"/>
  <c r="CL61" i="3"/>
  <c r="CM61" i="3"/>
  <c r="CN61" i="3"/>
  <c r="CP61" i="3"/>
  <c r="CQ61" i="3"/>
  <c r="CR61" i="3"/>
  <c r="CT61" i="3"/>
  <c r="CU61" i="3"/>
  <c r="CV61" i="3"/>
  <c r="CW61" i="3"/>
  <c r="CX61" i="3"/>
  <c r="DK61" i="3"/>
  <c r="DL61" i="3"/>
  <c r="CI62" i="3"/>
  <c r="CJ62" i="3"/>
  <c r="CK62" i="3"/>
  <c r="CL62" i="3"/>
  <c r="CM62" i="3"/>
  <c r="CN62" i="3"/>
  <c r="CP62" i="3"/>
  <c r="CQ62" i="3"/>
  <c r="CR62" i="3"/>
  <c r="CT62" i="3"/>
  <c r="CU62" i="3"/>
  <c r="CV62" i="3"/>
  <c r="CW62" i="3"/>
  <c r="CX62" i="3"/>
  <c r="DK62" i="3"/>
  <c r="DL62" i="3"/>
  <c r="CI63" i="3"/>
  <c r="CJ63" i="3"/>
  <c r="CK63" i="3"/>
  <c r="CL63" i="3"/>
  <c r="CM63" i="3"/>
  <c r="CN63" i="3"/>
  <c r="CP63" i="3"/>
  <c r="CQ63" i="3"/>
  <c r="CR63" i="3"/>
  <c r="CT63" i="3"/>
  <c r="CU63" i="3"/>
  <c r="CV63" i="3"/>
  <c r="CW63" i="3"/>
  <c r="CX63" i="3"/>
  <c r="DK63" i="3"/>
  <c r="DL63" i="3"/>
  <c r="CI64" i="3"/>
  <c r="CJ64" i="3"/>
  <c r="CK64" i="3"/>
  <c r="CL64" i="3"/>
  <c r="CM64" i="3"/>
  <c r="CN64" i="3"/>
  <c r="CP64" i="3"/>
  <c r="CQ64" i="3"/>
  <c r="CR64" i="3"/>
  <c r="CT64" i="3"/>
  <c r="CU64" i="3"/>
  <c r="CV64" i="3"/>
  <c r="CW64" i="3"/>
  <c r="CX64" i="3"/>
  <c r="DK64" i="3"/>
  <c r="DL64" i="3"/>
  <c r="CI65" i="3"/>
  <c r="CJ65" i="3"/>
  <c r="CK65" i="3"/>
  <c r="CL65" i="3"/>
  <c r="CM65" i="3"/>
  <c r="CN65" i="3"/>
  <c r="CP65" i="3"/>
  <c r="CQ65" i="3"/>
  <c r="CR65" i="3"/>
  <c r="CT65" i="3"/>
  <c r="CU65" i="3"/>
  <c r="CV65" i="3"/>
  <c r="CW65" i="3"/>
  <c r="CX65" i="3"/>
  <c r="DK65" i="3"/>
  <c r="DL65" i="3"/>
  <c r="CI66" i="3"/>
  <c r="CJ66" i="3"/>
  <c r="CK66" i="3"/>
  <c r="CL66" i="3"/>
  <c r="CM66" i="3"/>
  <c r="CN66" i="3"/>
  <c r="CP66" i="3"/>
  <c r="CQ66" i="3"/>
  <c r="CR66" i="3"/>
  <c r="CT66" i="3"/>
  <c r="CU66" i="3"/>
  <c r="CV66" i="3"/>
  <c r="CW66" i="3"/>
  <c r="CX66" i="3"/>
  <c r="DK66" i="3"/>
  <c r="DL66" i="3"/>
  <c r="CI67" i="3"/>
  <c r="CJ67" i="3"/>
  <c r="CK67" i="3"/>
  <c r="CL67" i="3"/>
  <c r="CM67" i="3"/>
  <c r="CN67" i="3"/>
  <c r="CP67" i="3"/>
  <c r="CQ67" i="3"/>
  <c r="CR67" i="3"/>
  <c r="CT67" i="3"/>
  <c r="CU67" i="3"/>
  <c r="CV67" i="3"/>
  <c r="CW67" i="3"/>
  <c r="CX67" i="3"/>
  <c r="DK67" i="3"/>
  <c r="DL67" i="3"/>
  <c r="CI68" i="3"/>
  <c r="CJ68" i="3"/>
  <c r="CK68" i="3"/>
  <c r="CL68" i="3"/>
  <c r="CM68" i="3"/>
  <c r="CN68" i="3"/>
  <c r="CP68" i="3"/>
  <c r="CQ68" i="3"/>
  <c r="CR68" i="3"/>
  <c r="CT68" i="3"/>
  <c r="CU68" i="3"/>
  <c r="CV68" i="3"/>
  <c r="CW68" i="3"/>
  <c r="CX68" i="3"/>
  <c r="DK68" i="3"/>
  <c r="DL68" i="3"/>
  <c r="CI69" i="3"/>
  <c r="CJ69" i="3"/>
  <c r="CK69" i="3"/>
  <c r="CL69" i="3"/>
  <c r="CM69" i="3"/>
  <c r="CN69" i="3"/>
  <c r="CP69" i="3"/>
  <c r="CQ69" i="3"/>
  <c r="CR69" i="3"/>
  <c r="CT69" i="3"/>
  <c r="CU69" i="3"/>
  <c r="CV69" i="3"/>
  <c r="CW69" i="3"/>
  <c r="CX69" i="3"/>
  <c r="DK69" i="3"/>
  <c r="DL69" i="3"/>
  <c r="CI70" i="3"/>
  <c r="CJ70" i="3"/>
  <c r="CK70" i="3"/>
  <c r="CL70" i="3"/>
  <c r="CM70" i="3"/>
  <c r="CN70" i="3"/>
  <c r="CP70" i="3"/>
  <c r="CQ70" i="3"/>
  <c r="CR70" i="3"/>
  <c r="CT70" i="3"/>
  <c r="CU70" i="3"/>
  <c r="CV70" i="3"/>
  <c r="CW70" i="3"/>
  <c r="CX70" i="3"/>
  <c r="DK70" i="3"/>
  <c r="DL70" i="3"/>
  <c r="CI71" i="3"/>
  <c r="CJ71" i="3"/>
  <c r="CK71" i="3"/>
  <c r="CL71" i="3"/>
  <c r="CM71" i="3"/>
  <c r="CN71" i="3"/>
  <c r="CP71" i="3"/>
  <c r="CQ71" i="3"/>
  <c r="CR71" i="3"/>
  <c r="CT71" i="3"/>
  <c r="CU71" i="3"/>
  <c r="CV71" i="3"/>
  <c r="CW71" i="3"/>
  <c r="CX71" i="3"/>
  <c r="DK71" i="3"/>
  <c r="DL71" i="3"/>
  <c r="CI72" i="3"/>
  <c r="CJ72" i="3"/>
  <c r="CK72" i="3"/>
  <c r="CL72" i="3"/>
  <c r="CM72" i="3"/>
  <c r="CN72" i="3"/>
  <c r="CP72" i="3"/>
  <c r="CQ72" i="3"/>
  <c r="CR72" i="3"/>
  <c r="CT72" i="3"/>
  <c r="CU72" i="3"/>
  <c r="CV72" i="3"/>
  <c r="CW72" i="3"/>
  <c r="CX72" i="3"/>
  <c r="DK72" i="3"/>
  <c r="DL72" i="3"/>
  <c r="CI73" i="3"/>
  <c r="CJ73" i="3"/>
  <c r="CK73" i="3"/>
  <c r="CL73" i="3"/>
  <c r="CM73" i="3"/>
  <c r="CN73" i="3"/>
  <c r="CP73" i="3"/>
  <c r="CQ73" i="3"/>
  <c r="CR73" i="3"/>
  <c r="CT73" i="3"/>
  <c r="CU73" i="3"/>
  <c r="CV73" i="3"/>
  <c r="CW73" i="3"/>
  <c r="CX73" i="3"/>
  <c r="DK73" i="3"/>
  <c r="DL73" i="3"/>
  <c r="CI74" i="3"/>
  <c r="CJ74" i="3"/>
  <c r="CK74" i="3"/>
  <c r="CL74" i="3"/>
  <c r="CM74" i="3"/>
  <c r="CN74" i="3"/>
  <c r="CP74" i="3"/>
  <c r="CQ74" i="3"/>
  <c r="CR74" i="3"/>
  <c r="CT74" i="3"/>
  <c r="CU74" i="3"/>
  <c r="CV74" i="3"/>
  <c r="CW74" i="3"/>
  <c r="CX74" i="3"/>
  <c r="DK74" i="3"/>
  <c r="DL74" i="3"/>
  <c r="CI75" i="3"/>
  <c r="CJ75" i="3"/>
  <c r="CK75" i="3"/>
  <c r="CL75" i="3"/>
  <c r="CM75" i="3"/>
  <c r="CN75" i="3"/>
  <c r="CP75" i="3"/>
  <c r="CQ75" i="3"/>
  <c r="CR75" i="3"/>
  <c r="CT75" i="3"/>
  <c r="CU75" i="3"/>
  <c r="CV75" i="3"/>
  <c r="CW75" i="3"/>
  <c r="CX75" i="3"/>
  <c r="DK75" i="3"/>
  <c r="DL75" i="3"/>
  <c r="CI76" i="3"/>
  <c r="CJ76" i="3"/>
  <c r="CK76" i="3"/>
  <c r="CL76" i="3"/>
  <c r="CM76" i="3"/>
  <c r="CN76" i="3"/>
  <c r="CP76" i="3"/>
  <c r="CQ76" i="3"/>
  <c r="CR76" i="3"/>
  <c r="CT76" i="3"/>
  <c r="CU76" i="3"/>
  <c r="CV76" i="3"/>
  <c r="CW76" i="3"/>
  <c r="CX76" i="3"/>
  <c r="DK76" i="3"/>
  <c r="DL76" i="3"/>
  <c r="CI77" i="3"/>
  <c r="CJ77" i="3"/>
  <c r="CK77" i="3"/>
  <c r="CL77" i="3"/>
  <c r="CM77" i="3"/>
  <c r="CN77" i="3"/>
  <c r="CP77" i="3"/>
  <c r="CQ77" i="3"/>
  <c r="CR77" i="3"/>
  <c r="CT77" i="3"/>
  <c r="CU77" i="3"/>
  <c r="CV77" i="3"/>
  <c r="CW77" i="3"/>
  <c r="CX77" i="3"/>
  <c r="DK77" i="3"/>
  <c r="DL77" i="3"/>
  <c r="CI78" i="3"/>
  <c r="CJ78" i="3"/>
  <c r="CK78" i="3"/>
  <c r="CL78" i="3"/>
  <c r="CM78" i="3"/>
  <c r="CN78" i="3"/>
  <c r="CP78" i="3"/>
  <c r="CQ78" i="3"/>
  <c r="CR78" i="3"/>
  <c r="CT78" i="3"/>
  <c r="CU78" i="3"/>
  <c r="CV78" i="3"/>
  <c r="CW78" i="3"/>
  <c r="CX78" i="3"/>
  <c r="DK78" i="3"/>
  <c r="DL78" i="3"/>
  <c r="CI79" i="3"/>
  <c r="CJ79" i="3"/>
  <c r="CK79" i="3"/>
  <c r="CL79" i="3"/>
  <c r="CM79" i="3"/>
  <c r="CN79" i="3"/>
  <c r="CP79" i="3"/>
  <c r="CQ79" i="3"/>
  <c r="CR79" i="3"/>
  <c r="CT79" i="3"/>
  <c r="CU79" i="3"/>
  <c r="CV79" i="3"/>
  <c r="CW79" i="3"/>
  <c r="DK79" i="3"/>
  <c r="DL79" i="3"/>
  <c r="CI80" i="3"/>
  <c r="CJ80" i="3"/>
  <c r="CK80" i="3"/>
  <c r="CL80" i="3"/>
  <c r="CM80" i="3"/>
  <c r="CN80" i="3"/>
  <c r="CP80" i="3"/>
  <c r="CQ80" i="3"/>
  <c r="CR80" i="3"/>
  <c r="CT80" i="3"/>
  <c r="CU80" i="3"/>
  <c r="CV80" i="3"/>
  <c r="CW80" i="3"/>
  <c r="CX80" i="3"/>
  <c r="DK80" i="3"/>
  <c r="DL80" i="3"/>
  <c r="CI81" i="3"/>
  <c r="CJ81" i="3"/>
  <c r="CK81" i="3"/>
  <c r="CL81" i="3"/>
  <c r="CM81" i="3"/>
  <c r="CN81" i="3"/>
  <c r="CP81" i="3"/>
  <c r="CQ81" i="3"/>
  <c r="CR81" i="3"/>
  <c r="CT81" i="3"/>
  <c r="CU81" i="3"/>
  <c r="CV81" i="3"/>
  <c r="CW81" i="3"/>
  <c r="CX81" i="3"/>
  <c r="DK81" i="3"/>
  <c r="DL81" i="3"/>
  <c r="CI82" i="3"/>
  <c r="CJ82" i="3"/>
  <c r="CK82" i="3"/>
  <c r="CL82" i="3"/>
  <c r="CM82" i="3"/>
  <c r="CN82" i="3"/>
  <c r="CP82" i="3"/>
  <c r="CQ82" i="3"/>
  <c r="CR82" i="3"/>
  <c r="CT82" i="3"/>
  <c r="CU82" i="3"/>
  <c r="CV82" i="3"/>
  <c r="CW82" i="3"/>
  <c r="CX82" i="3"/>
  <c r="DK82" i="3"/>
  <c r="DL82" i="3"/>
  <c r="CI83" i="3"/>
  <c r="CJ83" i="3"/>
  <c r="CK83" i="3"/>
  <c r="CL83" i="3"/>
  <c r="CM83" i="3"/>
  <c r="CN83" i="3"/>
  <c r="CP83" i="3"/>
  <c r="CQ83" i="3"/>
  <c r="CR83" i="3"/>
  <c r="CT83" i="3"/>
  <c r="CU83" i="3"/>
  <c r="CV83" i="3"/>
  <c r="CW83" i="3"/>
  <c r="CX83" i="3"/>
  <c r="DK83" i="3"/>
  <c r="DL83" i="3"/>
  <c r="CI84" i="3"/>
  <c r="CJ84" i="3"/>
  <c r="CK84" i="3"/>
  <c r="CL84" i="3"/>
  <c r="CM84" i="3"/>
  <c r="CN84" i="3"/>
  <c r="CP84" i="3"/>
  <c r="CQ84" i="3"/>
  <c r="CR84" i="3"/>
  <c r="CT84" i="3"/>
  <c r="CU84" i="3"/>
  <c r="CV84" i="3"/>
  <c r="CW84" i="3"/>
  <c r="CX84" i="3"/>
  <c r="DK84" i="3"/>
  <c r="DL84" i="3"/>
  <c r="CI85" i="3"/>
  <c r="CJ85" i="3"/>
  <c r="CK85" i="3"/>
  <c r="CL85" i="3"/>
  <c r="CM85" i="3"/>
  <c r="CN85" i="3"/>
  <c r="CP85" i="3"/>
  <c r="CQ85" i="3"/>
  <c r="CR85" i="3"/>
  <c r="CT85" i="3"/>
  <c r="CU85" i="3"/>
  <c r="CV85" i="3"/>
  <c r="CW85" i="3"/>
  <c r="CX85" i="3"/>
  <c r="DK85" i="3"/>
  <c r="DL85" i="3"/>
  <c r="CI86" i="3"/>
  <c r="CJ86" i="3"/>
  <c r="CK86" i="3"/>
  <c r="CL86" i="3"/>
  <c r="CM86" i="3"/>
  <c r="CN86" i="3"/>
  <c r="CP86" i="3"/>
  <c r="CQ86" i="3"/>
  <c r="CR86" i="3"/>
  <c r="CT86" i="3"/>
  <c r="CU86" i="3"/>
  <c r="CV86" i="3"/>
  <c r="CW86" i="3"/>
  <c r="CX86" i="3"/>
  <c r="DL86" i="3"/>
  <c r="CI87" i="3"/>
  <c r="CJ87" i="3"/>
  <c r="CK87" i="3"/>
  <c r="CL87" i="3"/>
  <c r="CM87" i="3"/>
  <c r="CN87" i="3"/>
  <c r="CP87" i="3"/>
  <c r="CQ87" i="3"/>
  <c r="CR87" i="3"/>
  <c r="CT87" i="3"/>
  <c r="CU87" i="3"/>
  <c r="CV87" i="3"/>
  <c r="CW87" i="3"/>
  <c r="CX87" i="3"/>
  <c r="DK87" i="3"/>
  <c r="DL87" i="3"/>
  <c r="CI88" i="3"/>
  <c r="CJ88" i="3"/>
  <c r="CK88" i="3"/>
  <c r="CL88" i="3"/>
  <c r="CM88" i="3"/>
  <c r="CN88" i="3"/>
  <c r="CP88" i="3"/>
  <c r="CQ88" i="3"/>
  <c r="CR88" i="3"/>
  <c r="CT88" i="3"/>
  <c r="CU88" i="3"/>
  <c r="CV88" i="3"/>
  <c r="CW88" i="3"/>
  <c r="CX88" i="3"/>
  <c r="DK88" i="3"/>
  <c r="DL88" i="3"/>
  <c r="CI89" i="3"/>
  <c r="CJ89" i="3"/>
  <c r="CK89" i="3"/>
  <c r="CL89" i="3"/>
  <c r="CM89" i="3"/>
  <c r="CN89" i="3"/>
  <c r="CP89" i="3"/>
  <c r="CQ89" i="3"/>
  <c r="CR89" i="3"/>
  <c r="CT89" i="3"/>
  <c r="CU89" i="3"/>
  <c r="CV89" i="3"/>
  <c r="CW89" i="3"/>
  <c r="CX89" i="3"/>
  <c r="DK89" i="3"/>
  <c r="DL89" i="3"/>
  <c r="CI90" i="3"/>
  <c r="CJ90" i="3"/>
  <c r="CK90" i="3"/>
  <c r="CL90" i="3"/>
  <c r="CM90" i="3"/>
  <c r="CN90" i="3"/>
  <c r="CP90" i="3"/>
  <c r="CQ90" i="3"/>
  <c r="CR90" i="3"/>
  <c r="CT90" i="3"/>
  <c r="CU90" i="3"/>
  <c r="CV90" i="3"/>
  <c r="CW90" i="3"/>
  <c r="CX90" i="3"/>
  <c r="DK90" i="3"/>
  <c r="DL90" i="3"/>
  <c r="CI91" i="3"/>
  <c r="CJ91" i="3"/>
  <c r="CK91" i="3"/>
  <c r="CL91" i="3"/>
  <c r="CM91" i="3"/>
  <c r="CN91" i="3"/>
  <c r="CP91" i="3"/>
  <c r="CQ91" i="3"/>
  <c r="CR91" i="3"/>
  <c r="CT91" i="3"/>
  <c r="CU91" i="3"/>
  <c r="CV91" i="3"/>
  <c r="CW91" i="3"/>
  <c r="CX91" i="3"/>
  <c r="DK91" i="3"/>
  <c r="DL91" i="3"/>
  <c r="CI92" i="3"/>
  <c r="CJ92" i="3"/>
  <c r="CK92" i="3"/>
  <c r="CL92" i="3"/>
  <c r="CM92" i="3"/>
  <c r="CN92" i="3"/>
  <c r="CP92" i="3"/>
  <c r="CQ92" i="3"/>
  <c r="CR92" i="3"/>
  <c r="CT92" i="3"/>
  <c r="CU92" i="3"/>
  <c r="CV92" i="3"/>
  <c r="CW92" i="3"/>
  <c r="CX92" i="3"/>
  <c r="DK92" i="3"/>
  <c r="DL92" i="3"/>
  <c r="CI93" i="3"/>
  <c r="CJ93" i="3"/>
  <c r="CK93" i="3"/>
  <c r="CL93" i="3"/>
  <c r="CM93" i="3"/>
  <c r="CN93" i="3"/>
  <c r="CP93" i="3"/>
  <c r="CQ93" i="3"/>
  <c r="CR93" i="3"/>
  <c r="CT93" i="3"/>
  <c r="CU93" i="3"/>
  <c r="CV93" i="3"/>
  <c r="CW93" i="3"/>
  <c r="CX93" i="3"/>
  <c r="DK93" i="3"/>
  <c r="DL93" i="3"/>
  <c r="CI94" i="3"/>
  <c r="CJ94" i="3"/>
  <c r="CK94" i="3"/>
  <c r="CL94" i="3"/>
  <c r="CM94" i="3"/>
  <c r="CN94" i="3"/>
  <c r="CP94" i="3"/>
  <c r="CQ94" i="3"/>
  <c r="CR94" i="3"/>
  <c r="CT94" i="3"/>
  <c r="CU94" i="3"/>
  <c r="CV94" i="3"/>
  <c r="CW94" i="3"/>
  <c r="CX94" i="3"/>
  <c r="DK94" i="3"/>
  <c r="DL94" i="3"/>
  <c r="CI95" i="3"/>
  <c r="CJ95" i="3"/>
  <c r="CK95" i="3"/>
  <c r="CL95" i="3"/>
  <c r="CM95" i="3"/>
  <c r="CN95" i="3"/>
  <c r="CP95" i="3"/>
  <c r="CQ95" i="3"/>
  <c r="CR95" i="3"/>
  <c r="CT95" i="3"/>
  <c r="CU95" i="3"/>
  <c r="CV95" i="3"/>
  <c r="CW95" i="3"/>
  <c r="CX95" i="3"/>
  <c r="DK95" i="3"/>
  <c r="DL95" i="3"/>
  <c r="CI96" i="3"/>
  <c r="CJ96" i="3"/>
  <c r="CK96" i="3"/>
  <c r="CL96" i="3"/>
  <c r="CM96" i="3"/>
  <c r="CN96" i="3"/>
  <c r="CP96" i="3"/>
  <c r="CQ96" i="3"/>
  <c r="CR96" i="3"/>
  <c r="CT96" i="3"/>
  <c r="CU96" i="3"/>
  <c r="CV96" i="3"/>
  <c r="CW96" i="3"/>
  <c r="CX96" i="3"/>
  <c r="DK96" i="3"/>
  <c r="DL96" i="3"/>
  <c r="CI97" i="3"/>
  <c r="CJ97" i="3"/>
  <c r="CK97" i="3"/>
  <c r="CL97" i="3"/>
  <c r="CM97" i="3"/>
  <c r="CN97" i="3"/>
  <c r="CP97" i="3"/>
  <c r="CQ97" i="3"/>
  <c r="CR97" i="3"/>
  <c r="CT97" i="3"/>
  <c r="CU97" i="3"/>
  <c r="CV97" i="3"/>
  <c r="CW97" i="3"/>
  <c r="CX97" i="3"/>
  <c r="DK97" i="3"/>
  <c r="DL97" i="3"/>
  <c r="CI98" i="3"/>
  <c r="CJ98" i="3"/>
  <c r="CK98" i="3"/>
  <c r="CL98" i="3"/>
  <c r="CM98" i="3"/>
  <c r="CN98" i="3"/>
  <c r="CP98" i="3"/>
  <c r="CQ98" i="3"/>
  <c r="CR98" i="3"/>
  <c r="CT98" i="3"/>
  <c r="CU98" i="3"/>
  <c r="CV98" i="3"/>
  <c r="CW98" i="3"/>
  <c r="CX98" i="3"/>
  <c r="DK98" i="3"/>
  <c r="DL98" i="3"/>
  <c r="CI99" i="3"/>
  <c r="CJ99" i="3"/>
  <c r="CK99" i="3"/>
  <c r="CL99" i="3"/>
  <c r="CM99" i="3"/>
  <c r="CN99" i="3"/>
  <c r="CP99" i="3"/>
  <c r="CQ99" i="3"/>
  <c r="CR99" i="3"/>
  <c r="CT99" i="3"/>
  <c r="CU99" i="3"/>
  <c r="CV99" i="3"/>
  <c r="CW99" i="3"/>
  <c r="CX99" i="3"/>
  <c r="DK99" i="3"/>
  <c r="DL99" i="3"/>
  <c r="CI100" i="3"/>
  <c r="CJ100" i="3"/>
  <c r="CK100" i="3"/>
  <c r="CL100" i="3"/>
  <c r="CM100" i="3"/>
  <c r="CN100" i="3"/>
  <c r="CP100" i="3"/>
  <c r="CQ100" i="3"/>
  <c r="CR100" i="3"/>
  <c r="CT100" i="3"/>
  <c r="CU100" i="3"/>
  <c r="CV100" i="3"/>
  <c r="CW100" i="3"/>
  <c r="CX100" i="3"/>
  <c r="DK100" i="3"/>
  <c r="DL100" i="3"/>
  <c r="CI101" i="3"/>
  <c r="CJ101" i="3"/>
  <c r="CK101" i="3"/>
  <c r="CL101" i="3"/>
  <c r="CM101" i="3"/>
  <c r="CN101" i="3"/>
  <c r="CP101" i="3"/>
  <c r="CQ101" i="3"/>
  <c r="CR101" i="3"/>
  <c r="CT101" i="3"/>
  <c r="CU101" i="3"/>
  <c r="CV101" i="3"/>
  <c r="CW101" i="3"/>
  <c r="CX101" i="3"/>
  <c r="DK101" i="3"/>
  <c r="DL101" i="3"/>
  <c r="CI102" i="3"/>
  <c r="CJ102" i="3"/>
  <c r="CK102" i="3"/>
  <c r="CL102" i="3"/>
  <c r="CM102" i="3"/>
  <c r="CN102" i="3"/>
  <c r="CP102" i="3"/>
  <c r="CQ102" i="3"/>
  <c r="CR102" i="3"/>
  <c r="CT102" i="3"/>
  <c r="CU102" i="3"/>
  <c r="CV102" i="3"/>
  <c r="CW102" i="3"/>
  <c r="CX102" i="3"/>
  <c r="DK102" i="3"/>
  <c r="DL102" i="3"/>
  <c r="CI103" i="3"/>
  <c r="CJ103" i="3"/>
  <c r="CK103" i="3"/>
  <c r="CL103" i="3"/>
  <c r="CM103" i="3"/>
  <c r="CN103" i="3"/>
  <c r="CP103" i="3"/>
  <c r="CQ103" i="3"/>
  <c r="CR103" i="3"/>
  <c r="CT103" i="3"/>
  <c r="CU103" i="3"/>
  <c r="CV103" i="3"/>
  <c r="CW103" i="3"/>
  <c r="CX103" i="3"/>
  <c r="DK103" i="3"/>
  <c r="DL103" i="3"/>
  <c r="CI104" i="3"/>
  <c r="CJ104" i="3"/>
  <c r="CK104" i="3"/>
  <c r="CL104" i="3"/>
  <c r="CM104" i="3"/>
  <c r="CN104" i="3"/>
  <c r="CP104" i="3"/>
  <c r="CQ104" i="3"/>
  <c r="CR104" i="3"/>
  <c r="CT104" i="3"/>
  <c r="CU104" i="3"/>
  <c r="CV104" i="3"/>
  <c r="CW104" i="3"/>
  <c r="CX104" i="3"/>
  <c r="DK104" i="3"/>
  <c r="DL104" i="3"/>
  <c r="CI105" i="3"/>
  <c r="CJ105" i="3"/>
  <c r="CK105" i="3"/>
  <c r="CL105" i="3"/>
  <c r="CM105" i="3"/>
  <c r="CN105" i="3"/>
  <c r="CP105" i="3"/>
  <c r="CQ105" i="3"/>
  <c r="CR105" i="3"/>
  <c r="CT105" i="3"/>
  <c r="CU105" i="3"/>
  <c r="CV105" i="3"/>
  <c r="CW105" i="3"/>
  <c r="CX105" i="3"/>
  <c r="DK105" i="3"/>
  <c r="DL105" i="3"/>
  <c r="CI106" i="3"/>
  <c r="CJ106" i="3"/>
  <c r="CK106" i="3"/>
  <c r="CL106" i="3"/>
  <c r="CM106" i="3"/>
  <c r="CN106" i="3"/>
  <c r="CP106" i="3"/>
  <c r="CQ106" i="3"/>
  <c r="CR106" i="3"/>
  <c r="CT106" i="3"/>
  <c r="CU106" i="3"/>
  <c r="CV106" i="3"/>
  <c r="CW106" i="3"/>
  <c r="CX106" i="3"/>
  <c r="DK106" i="3"/>
  <c r="DL106" i="3"/>
  <c r="CI107" i="3"/>
  <c r="CJ107" i="3"/>
  <c r="CK107" i="3"/>
  <c r="CL107" i="3"/>
  <c r="CM107" i="3"/>
  <c r="CN107" i="3"/>
  <c r="CP107" i="3"/>
  <c r="CQ107" i="3"/>
  <c r="CR107" i="3"/>
  <c r="CT107" i="3"/>
  <c r="CU107" i="3"/>
  <c r="CV107" i="3"/>
  <c r="CW107" i="3"/>
  <c r="CX107" i="3"/>
  <c r="DK107" i="3"/>
  <c r="DL107" i="3"/>
  <c r="CI108" i="3"/>
  <c r="CJ108" i="3"/>
  <c r="CK108" i="3"/>
  <c r="CL108" i="3"/>
  <c r="CM108" i="3"/>
  <c r="CN108" i="3"/>
  <c r="CP108" i="3"/>
  <c r="CQ108" i="3"/>
  <c r="CR108" i="3"/>
  <c r="CT108" i="3"/>
  <c r="CU108" i="3"/>
  <c r="CV108" i="3"/>
  <c r="CW108" i="3"/>
  <c r="CX108" i="3"/>
  <c r="DK108" i="3"/>
  <c r="DL108" i="3"/>
  <c r="CI109" i="3"/>
  <c r="CJ109" i="3"/>
  <c r="CK109" i="3"/>
  <c r="CL109" i="3"/>
  <c r="CM109" i="3"/>
  <c r="CN109" i="3"/>
  <c r="CP109" i="3"/>
  <c r="CQ109" i="3"/>
  <c r="CR109" i="3"/>
  <c r="CT109" i="3"/>
  <c r="CU109" i="3"/>
  <c r="CV109" i="3"/>
  <c r="CW109" i="3"/>
  <c r="CX109" i="3"/>
  <c r="DK109" i="3"/>
  <c r="DL109" i="3"/>
  <c r="CI110" i="3"/>
  <c r="CJ110" i="3"/>
  <c r="CK110" i="3"/>
  <c r="CL110" i="3"/>
  <c r="CM110" i="3"/>
  <c r="CN110" i="3"/>
  <c r="CP110" i="3"/>
  <c r="CQ110" i="3"/>
  <c r="CR110" i="3"/>
  <c r="CT110" i="3"/>
  <c r="CU110" i="3"/>
  <c r="CV110" i="3"/>
  <c r="CW110" i="3"/>
  <c r="CX110" i="3"/>
  <c r="DK110" i="3"/>
  <c r="DL110" i="3"/>
  <c r="CI111" i="3"/>
  <c r="CJ111" i="3"/>
  <c r="CK111" i="3"/>
  <c r="CL111" i="3"/>
  <c r="CM111" i="3"/>
  <c r="CN111" i="3"/>
  <c r="CP111" i="3"/>
  <c r="CQ111" i="3"/>
  <c r="CR111" i="3"/>
  <c r="CT111" i="3"/>
  <c r="CU111" i="3"/>
  <c r="CV111" i="3"/>
  <c r="CW111" i="3"/>
  <c r="CX111" i="3"/>
  <c r="DK111" i="3"/>
  <c r="DL111" i="3"/>
  <c r="CI112" i="3"/>
  <c r="CJ112" i="3"/>
  <c r="CK112" i="3"/>
  <c r="CL112" i="3"/>
  <c r="CM112" i="3"/>
  <c r="CN112" i="3"/>
  <c r="CP112" i="3"/>
  <c r="CQ112" i="3"/>
  <c r="CR112" i="3"/>
  <c r="CT112" i="3"/>
  <c r="CU112" i="3"/>
  <c r="CV112" i="3"/>
  <c r="CW112" i="3"/>
  <c r="CX112" i="3"/>
  <c r="DK112" i="3"/>
  <c r="DL112" i="3"/>
  <c r="CI113" i="3"/>
  <c r="CJ113" i="3"/>
  <c r="CK113" i="3"/>
  <c r="CL113" i="3"/>
  <c r="CM113" i="3"/>
  <c r="CN113" i="3"/>
  <c r="CP113" i="3"/>
  <c r="CQ113" i="3"/>
  <c r="CR113" i="3"/>
  <c r="CT113" i="3"/>
  <c r="CU113" i="3"/>
  <c r="CV113" i="3"/>
  <c r="CW113" i="3"/>
  <c r="CX113" i="3"/>
  <c r="DK113" i="3"/>
  <c r="DL113" i="3"/>
  <c r="CI114" i="3"/>
  <c r="CJ114" i="3"/>
  <c r="CK114" i="3"/>
  <c r="CL114" i="3"/>
  <c r="CM114" i="3"/>
  <c r="CN114" i="3"/>
  <c r="CP114" i="3"/>
  <c r="CQ114" i="3"/>
  <c r="CR114" i="3"/>
  <c r="CT114" i="3"/>
  <c r="CU114" i="3"/>
  <c r="CV114" i="3"/>
  <c r="CW114" i="3"/>
  <c r="CX114" i="3"/>
  <c r="DK114" i="3"/>
  <c r="DL114" i="3"/>
  <c r="CI115" i="3"/>
  <c r="CJ115" i="3"/>
  <c r="CK115" i="3"/>
  <c r="CL115" i="3"/>
  <c r="CM115" i="3"/>
  <c r="CN115" i="3"/>
  <c r="CP115" i="3"/>
  <c r="CQ115" i="3"/>
  <c r="CR115" i="3"/>
  <c r="CT115" i="3"/>
  <c r="CU115" i="3"/>
  <c r="CV115" i="3"/>
  <c r="CW115" i="3"/>
  <c r="CX115" i="3"/>
  <c r="DK115" i="3"/>
  <c r="DL115" i="3"/>
  <c r="CI116" i="3"/>
  <c r="CJ116" i="3"/>
  <c r="CK116" i="3"/>
  <c r="CL116" i="3"/>
  <c r="CM116" i="3"/>
  <c r="CN116" i="3"/>
  <c r="CP116" i="3"/>
  <c r="CQ116" i="3"/>
  <c r="CR116" i="3"/>
  <c r="CT116" i="3"/>
  <c r="CU116" i="3"/>
  <c r="CV116" i="3"/>
  <c r="CW116" i="3"/>
  <c r="CX116" i="3"/>
  <c r="DK116" i="3"/>
  <c r="DL116" i="3"/>
  <c r="CI117" i="3"/>
  <c r="CJ117" i="3"/>
  <c r="CK117" i="3"/>
  <c r="CL117" i="3"/>
  <c r="CM117" i="3"/>
  <c r="CN117" i="3"/>
  <c r="CP117" i="3"/>
  <c r="CQ117" i="3"/>
  <c r="CR117" i="3"/>
  <c r="CT117" i="3"/>
  <c r="CU117" i="3"/>
  <c r="CV117" i="3"/>
  <c r="CW117" i="3"/>
  <c r="CX117" i="3"/>
  <c r="DK117" i="3"/>
  <c r="DL117" i="3"/>
  <c r="CI118" i="3"/>
  <c r="CJ118" i="3"/>
  <c r="CK118" i="3"/>
  <c r="CL118" i="3"/>
  <c r="CM118" i="3"/>
  <c r="CN118" i="3"/>
  <c r="CP118" i="3"/>
  <c r="CQ118" i="3"/>
  <c r="CR118" i="3"/>
  <c r="CT118" i="3"/>
  <c r="CU118" i="3"/>
  <c r="CV118" i="3"/>
  <c r="CW118" i="3"/>
  <c r="CX118" i="3"/>
  <c r="DK118" i="3"/>
  <c r="DL118" i="3"/>
  <c r="CI119" i="3"/>
  <c r="CJ119" i="3"/>
  <c r="CK119" i="3"/>
  <c r="CL119" i="3"/>
  <c r="CM119" i="3"/>
  <c r="CN119" i="3"/>
  <c r="CP119" i="3"/>
  <c r="CQ119" i="3"/>
  <c r="CR119" i="3"/>
  <c r="CT119" i="3"/>
  <c r="CU119" i="3"/>
  <c r="CV119" i="3"/>
  <c r="CW119" i="3"/>
  <c r="CX119" i="3"/>
  <c r="DK119" i="3"/>
  <c r="DL119" i="3"/>
  <c r="CI120" i="3"/>
  <c r="CJ120" i="3"/>
  <c r="CK120" i="3"/>
  <c r="CL120" i="3"/>
  <c r="CM120" i="3"/>
  <c r="CN120" i="3"/>
  <c r="CP120" i="3"/>
  <c r="CQ120" i="3"/>
  <c r="CR120" i="3"/>
  <c r="CT120" i="3"/>
  <c r="CU120" i="3"/>
  <c r="CV120" i="3"/>
  <c r="CW120" i="3"/>
  <c r="CX120" i="3"/>
  <c r="DK120" i="3"/>
  <c r="DL120" i="3"/>
  <c r="CI121" i="3"/>
  <c r="CJ121" i="3"/>
  <c r="CK121" i="3"/>
  <c r="CL121" i="3"/>
  <c r="CM121" i="3"/>
  <c r="CN121" i="3"/>
  <c r="CP121" i="3"/>
  <c r="CQ121" i="3"/>
  <c r="CR121" i="3"/>
  <c r="CT121" i="3"/>
  <c r="CU121" i="3"/>
  <c r="CV121" i="3"/>
  <c r="CW121" i="3"/>
  <c r="CX121" i="3"/>
  <c r="DK121" i="3"/>
  <c r="DL121" i="3"/>
  <c r="CI122" i="3"/>
  <c r="CJ122" i="3"/>
  <c r="CK122" i="3"/>
  <c r="CL122" i="3"/>
  <c r="CM122" i="3"/>
  <c r="CN122" i="3"/>
  <c r="CP122" i="3"/>
  <c r="CQ122" i="3"/>
  <c r="CR122" i="3"/>
  <c r="CT122" i="3"/>
  <c r="CU122" i="3"/>
  <c r="CV122" i="3"/>
  <c r="CW122" i="3"/>
  <c r="CX122" i="3"/>
  <c r="DK122" i="3"/>
  <c r="DL122" i="3"/>
  <c r="CI123" i="3"/>
  <c r="CJ123" i="3"/>
  <c r="CK123" i="3"/>
  <c r="CL123" i="3"/>
  <c r="CM123" i="3"/>
  <c r="CN123" i="3"/>
  <c r="CP123" i="3"/>
  <c r="CQ123" i="3"/>
  <c r="CR123" i="3"/>
  <c r="CT123" i="3"/>
  <c r="CU123" i="3"/>
  <c r="CV123" i="3"/>
  <c r="CW123" i="3"/>
  <c r="CX123" i="3"/>
  <c r="DK123" i="3"/>
  <c r="DL123" i="3"/>
  <c r="CI124" i="3"/>
  <c r="CJ124" i="3"/>
  <c r="CK124" i="3"/>
  <c r="CL124" i="3"/>
  <c r="CM124" i="3"/>
  <c r="CN124" i="3"/>
  <c r="CP124" i="3"/>
  <c r="CQ124" i="3"/>
  <c r="CR124" i="3"/>
  <c r="CT124" i="3"/>
  <c r="CU124" i="3"/>
  <c r="CV124" i="3"/>
  <c r="CW124" i="3"/>
  <c r="CX124" i="3"/>
  <c r="DK124" i="3"/>
  <c r="DL124" i="3"/>
  <c r="CI125" i="3"/>
  <c r="CJ125" i="3"/>
  <c r="CK125" i="3"/>
  <c r="CL125" i="3"/>
  <c r="CM125" i="3"/>
  <c r="CN125" i="3"/>
  <c r="CP125" i="3"/>
  <c r="CQ125" i="3"/>
  <c r="CR125" i="3"/>
  <c r="CT125" i="3"/>
  <c r="CU125" i="3"/>
  <c r="CV125" i="3"/>
  <c r="CW125" i="3"/>
  <c r="CX125" i="3"/>
  <c r="DK125" i="3"/>
  <c r="DL125" i="3"/>
  <c r="CI126" i="3"/>
  <c r="CJ126" i="3"/>
  <c r="CK126" i="3"/>
  <c r="CL126" i="3"/>
  <c r="CM126" i="3"/>
  <c r="CN126" i="3"/>
  <c r="CP126" i="3"/>
  <c r="CQ126" i="3"/>
  <c r="CR126" i="3"/>
  <c r="CT126" i="3"/>
  <c r="CU126" i="3"/>
  <c r="CV126" i="3"/>
  <c r="CW126" i="3"/>
  <c r="CX126" i="3"/>
  <c r="DK126" i="3"/>
  <c r="DL126" i="3"/>
  <c r="CI127" i="3"/>
  <c r="CJ127" i="3"/>
  <c r="CK127" i="3"/>
  <c r="CL127" i="3"/>
  <c r="CM127" i="3"/>
  <c r="CN127" i="3"/>
  <c r="CP127" i="3"/>
  <c r="CQ127" i="3"/>
  <c r="CR127" i="3"/>
  <c r="CT127" i="3"/>
  <c r="CU127" i="3"/>
  <c r="CV127" i="3"/>
  <c r="CW127" i="3"/>
  <c r="CX127" i="3"/>
  <c r="DK127" i="3"/>
  <c r="DL127" i="3"/>
  <c r="CI128" i="3"/>
  <c r="CJ128" i="3"/>
  <c r="CK128" i="3"/>
  <c r="CL128" i="3"/>
  <c r="CM128" i="3"/>
  <c r="CN128" i="3"/>
  <c r="CP128" i="3"/>
  <c r="CQ128" i="3"/>
  <c r="CR128" i="3"/>
  <c r="CT128" i="3"/>
  <c r="CU128" i="3"/>
  <c r="CV128" i="3"/>
  <c r="CW128" i="3"/>
  <c r="CX128" i="3"/>
  <c r="DK128" i="3"/>
  <c r="DL128" i="3"/>
  <c r="CI129" i="3"/>
  <c r="CJ129" i="3"/>
  <c r="CK129" i="3"/>
  <c r="CL129" i="3"/>
  <c r="CM129" i="3"/>
  <c r="CN129" i="3"/>
  <c r="CP129" i="3"/>
  <c r="CQ129" i="3"/>
  <c r="CR129" i="3"/>
  <c r="CT129" i="3"/>
  <c r="CU129" i="3"/>
  <c r="CV129" i="3"/>
  <c r="CW129" i="3"/>
  <c r="CX129" i="3"/>
  <c r="DK129" i="3"/>
  <c r="DL129" i="3"/>
  <c r="CI130" i="3"/>
  <c r="CJ130" i="3"/>
  <c r="CK130" i="3"/>
  <c r="CL130" i="3"/>
  <c r="CM130" i="3"/>
  <c r="CN130" i="3"/>
  <c r="CP130" i="3"/>
  <c r="CQ130" i="3"/>
  <c r="CR130" i="3"/>
  <c r="CT130" i="3"/>
  <c r="CU130" i="3"/>
  <c r="CV130" i="3"/>
  <c r="CW130" i="3"/>
  <c r="CX130" i="3"/>
  <c r="DK130" i="3"/>
  <c r="DL130" i="3"/>
  <c r="CI131" i="3"/>
  <c r="CJ131" i="3"/>
  <c r="CK131" i="3"/>
  <c r="CL131" i="3"/>
  <c r="CM131" i="3"/>
  <c r="CN131" i="3"/>
  <c r="CP131" i="3"/>
  <c r="CQ131" i="3"/>
  <c r="CR131" i="3"/>
  <c r="CT131" i="3"/>
  <c r="CU131" i="3"/>
  <c r="CV131" i="3"/>
  <c r="CW131" i="3"/>
  <c r="CX131" i="3"/>
  <c r="DK131" i="3"/>
  <c r="DL131" i="3"/>
  <c r="CI132" i="3"/>
  <c r="CJ132" i="3"/>
  <c r="CK132" i="3"/>
  <c r="CL132" i="3"/>
  <c r="CM132" i="3"/>
  <c r="CN132" i="3"/>
  <c r="CP132" i="3"/>
  <c r="CQ132" i="3"/>
  <c r="CR132" i="3"/>
  <c r="CT132" i="3"/>
  <c r="CU132" i="3"/>
  <c r="CV132" i="3"/>
  <c r="CW132" i="3"/>
  <c r="CX132" i="3"/>
  <c r="DK132" i="3"/>
  <c r="DL132" i="3"/>
  <c r="CI133" i="3"/>
  <c r="CJ133" i="3"/>
  <c r="CK133" i="3"/>
  <c r="CL133" i="3"/>
  <c r="CM133" i="3"/>
  <c r="CN133" i="3"/>
  <c r="CP133" i="3"/>
  <c r="CQ133" i="3"/>
  <c r="CR133" i="3"/>
  <c r="CT133" i="3"/>
  <c r="CU133" i="3"/>
  <c r="CV133" i="3"/>
  <c r="CW133" i="3"/>
  <c r="CX133" i="3"/>
  <c r="DK133" i="3"/>
  <c r="DL133" i="3"/>
  <c r="CI134" i="3"/>
  <c r="CJ134" i="3"/>
  <c r="CK134" i="3"/>
  <c r="CL134" i="3"/>
  <c r="CM134" i="3"/>
  <c r="CN134" i="3"/>
  <c r="CP134" i="3"/>
  <c r="CQ134" i="3"/>
  <c r="CR134" i="3"/>
  <c r="CT134" i="3"/>
  <c r="CU134" i="3"/>
  <c r="CV134" i="3"/>
  <c r="CW134" i="3"/>
  <c r="CX134" i="3"/>
  <c r="DK134" i="3"/>
  <c r="DL134" i="3"/>
  <c r="CI135" i="3"/>
  <c r="CJ135" i="3"/>
  <c r="CK135" i="3"/>
  <c r="CL135" i="3"/>
  <c r="CM135" i="3"/>
  <c r="CN135" i="3"/>
  <c r="CP135" i="3"/>
  <c r="CQ135" i="3"/>
  <c r="CR135" i="3"/>
  <c r="CT135" i="3"/>
  <c r="CU135" i="3"/>
  <c r="CV135" i="3"/>
  <c r="CW135" i="3"/>
  <c r="CX135" i="3"/>
  <c r="DK135" i="3"/>
  <c r="DL135" i="3"/>
  <c r="CI136" i="3"/>
  <c r="CJ136" i="3"/>
  <c r="CK136" i="3"/>
  <c r="CL136" i="3"/>
  <c r="CM136" i="3"/>
  <c r="CN136" i="3"/>
  <c r="CP136" i="3"/>
  <c r="CQ136" i="3"/>
  <c r="CR136" i="3"/>
  <c r="CT136" i="3"/>
  <c r="CU136" i="3"/>
  <c r="CV136" i="3"/>
  <c r="CW136" i="3"/>
  <c r="CX136" i="3"/>
  <c r="DK136" i="3"/>
  <c r="DL136" i="3"/>
  <c r="CI137" i="3"/>
  <c r="CJ137" i="3"/>
  <c r="CK137" i="3"/>
  <c r="CL137" i="3"/>
  <c r="CM137" i="3"/>
  <c r="CN137" i="3"/>
  <c r="CP137" i="3"/>
  <c r="CQ137" i="3"/>
  <c r="CR137" i="3"/>
  <c r="CT137" i="3"/>
  <c r="CU137" i="3"/>
  <c r="CV137" i="3"/>
  <c r="CW137" i="3"/>
  <c r="CX137" i="3"/>
  <c r="DK137" i="3"/>
  <c r="DL137" i="3"/>
  <c r="CI138" i="3"/>
  <c r="CJ138" i="3"/>
  <c r="CK138" i="3"/>
  <c r="CL138" i="3"/>
  <c r="CM138" i="3"/>
  <c r="CN138" i="3"/>
  <c r="CP138" i="3"/>
  <c r="CQ138" i="3"/>
  <c r="CR138" i="3"/>
  <c r="CT138" i="3"/>
  <c r="CU138" i="3"/>
  <c r="CV138" i="3"/>
  <c r="CW138" i="3"/>
  <c r="CX138" i="3"/>
  <c r="DK138" i="3"/>
  <c r="DL138" i="3"/>
  <c r="CI139" i="3"/>
  <c r="CJ139" i="3"/>
  <c r="CK139" i="3"/>
  <c r="CL139" i="3"/>
  <c r="CM139" i="3"/>
  <c r="CN139" i="3"/>
  <c r="CP139" i="3"/>
  <c r="CQ139" i="3"/>
  <c r="CR139" i="3"/>
  <c r="CT139" i="3"/>
  <c r="CU139" i="3"/>
  <c r="CV139" i="3"/>
  <c r="CW139" i="3"/>
  <c r="CX139" i="3"/>
  <c r="DK139" i="3"/>
  <c r="DL139" i="3"/>
  <c r="CI140" i="3"/>
  <c r="CJ140" i="3"/>
  <c r="CK140" i="3"/>
  <c r="CL140" i="3"/>
  <c r="CM140" i="3"/>
  <c r="CN140" i="3"/>
  <c r="CP140" i="3"/>
  <c r="CQ140" i="3"/>
  <c r="CR140" i="3"/>
  <c r="CT140" i="3"/>
  <c r="CU140" i="3"/>
  <c r="CV140" i="3"/>
  <c r="CW140" i="3"/>
  <c r="CX140" i="3"/>
  <c r="DK140" i="3"/>
  <c r="DL140" i="3"/>
  <c r="CI141" i="3"/>
  <c r="CJ141" i="3"/>
  <c r="CK141" i="3"/>
  <c r="CL141" i="3"/>
  <c r="CM141" i="3"/>
  <c r="CN141" i="3"/>
  <c r="CP141" i="3"/>
  <c r="CQ141" i="3"/>
  <c r="CR141" i="3"/>
  <c r="CT141" i="3"/>
  <c r="CU141" i="3"/>
  <c r="CV141" i="3"/>
  <c r="CW141" i="3"/>
  <c r="CX141" i="3"/>
  <c r="DK141" i="3"/>
  <c r="DL141" i="3"/>
  <c r="CI142" i="3"/>
  <c r="CJ142" i="3"/>
  <c r="CK142" i="3"/>
  <c r="CL142" i="3"/>
  <c r="CM142" i="3"/>
  <c r="CN142" i="3"/>
  <c r="CP142" i="3"/>
  <c r="CQ142" i="3"/>
  <c r="CR142" i="3"/>
  <c r="CT142" i="3"/>
  <c r="CU142" i="3"/>
  <c r="CV142" i="3"/>
  <c r="CW142" i="3"/>
  <c r="CX142" i="3"/>
  <c r="DK142" i="3"/>
  <c r="DL142" i="3"/>
  <c r="CI143" i="3"/>
  <c r="CJ143" i="3"/>
  <c r="CK143" i="3"/>
  <c r="CL143" i="3"/>
  <c r="CM143" i="3"/>
  <c r="CN143" i="3"/>
  <c r="CP143" i="3"/>
  <c r="CQ143" i="3"/>
  <c r="CR143" i="3"/>
  <c r="CT143" i="3"/>
  <c r="CU143" i="3"/>
  <c r="CV143" i="3"/>
  <c r="CW143" i="3"/>
  <c r="CX143" i="3"/>
  <c r="DK143" i="3"/>
  <c r="DL143" i="3"/>
  <c r="CI144" i="3"/>
  <c r="CJ144" i="3"/>
  <c r="CK144" i="3"/>
  <c r="CL144" i="3"/>
  <c r="CM144" i="3"/>
  <c r="CN144" i="3"/>
  <c r="CP144" i="3"/>
  <c r="CQ144" i="3"/>
  <c r="CR144" i="3"/>
  <c r="CT144" i="3"/>
  <c r="CU144" i="3"/>
  <c r="CV144" i="3"/>
  <c r="CW144" i="3"/>
  <c r="CX144" i="3"/>
  <c r="DK144" i="3"/>
  <c r="DL144" i="3"/>
  <c r="CI145" i="3"/>
  <c r="CJ145" i="3"/>
  <c r="CK145" i="3"/>
  <c r="CL145" i="3"/>
  <c r="CM145" i="3"/>
  <c r="CN145" i="3"/>
  <c r="CP145" i="3"/>
  <c r="CQ145" i="3"/>
  <c r="CR145" i="3"/>
  <c r="CT145" i="3"/>
  <c r="CU145" i="3"/>
  <c r="CV145" i="3"/>
  <c r="CW145" i="3"/>
  <c r="CX145" i="3"/>
  <c r="DK145" i="3"/>
  <c r="DL145" i="3"/>
  <c r="CI146" i="3"/>
  <c r="CJ146" i="3"/>
  <c r="CK146" i="3"/>
  <c r="CL146" i="3"/>
  <c r="CM146" i="3"/>
  <c r="CN146" i="3"/>
  <c r="CP146" i="3"/>
  <c r="CQ146" i="3"/>
  <c r="CR146" i="3"/>
  <c r="CT146" i="3"/>
  <c r="CU146" i="3"/>
  <c r="CV146" i="3"/>
  <c r="CW146" i="3"/>
  <c r="CX146" i="3"/>
  <c r="DK146" i="3"/>
  <c r="DL146" i="3"/>
  <c r="CI147" i="3"/>
  <c r="CJ147" i="3"/>
  <c r="CK147" i="3"/>
  <c r="CL147" i="3"/>
  <c r="CM147" i="3"/>
  <c r="CN147" i="3"/>
  <c r="CP147" i="3"/>
  <c r="CQ147" i="3"/>
  <c r="CR147" i="3"/>
  <c r="CT147" i="3"/>
  <c r="CU147" i="3"/>
  <c r="CV147" i="3"/>
  <c r="CW147" i="3"/>
  <c r="CX147" i="3"/>
  <c r="DK147" i="3"/>
  <c r="DL147" i="3"/>
  <c r="CI148" i="3"/>
  <c r="CJ148" i="3"/>
  <c r="CK148" i="3"/>
  <c r="CL148" i="3"/>
  <c r="CM148" i="3"/>
  <c r="CN148" i="3"/>
  <c r="CP148" i="3"/>
  <c r="CQ148" i="3"/>
  <c r="CR148" i="3"/>
  <c r="CT148" i="3"/>
  <c r="CU148" i="3"/>
  <c r="CV148" i="3"/>
  <c r="CW148" i="3"/>
  <c r="CX148" i="3"/>
  <c r="DK148" i="3"/>
  <c r="DL148" i="3"/>
  <c r="CI149" i="3"/>
  <c r="CJ149" i="3"/>
  <c r="CK149" i="3"/>
  <c r="CL149" i="3"/>
  <c r="CM149" i="3"/>
  <c r="CN149" i="3"/>
  <c r="CP149" i="3"/>
  <c r="CQ149" i="3"/>
  <c r="CR149" i="3"/>
  <c r="CT149" i="3"/>
  <c r="CU149" i="3"/>
  <c r="CV149" i="3"/>
  <c r="CW149" i="3"/>
  <c r="CX149" i="3"/>
  <c r="DK149" i="3"/>
  <c r="DL149" i="3"/>
  <c r="CI150" i="3"/>
  <c r="CJ150" i="3"/>
  <c r="CK150" i="3"/>
  <c r="CL150" i="3"/>
  <c r="CM150" i="3"/>
  <c r="CN150" i="3"/>
  <c r="CP150" i="3"/>
  <c r="CQ150" i="3"/>
  <c r="CR150" i="3"/>
  <c r="CT150" i="3"/>
  <c r="CU150" i="3"/>
  <c r="CV150" i="3"/>
  <c r="CW150" i="3"/>
  <c r="CX150" i="3"/>
  <c r="DK150" i="3"/>
  <c r="DL150" i="3"/>
  <c r="CI151" i="3"/>
  <c r="CJ151" i="3"/>
  <c r="CK151" i="3"/>
  <c r="CL151" i="3"/>
  <c r="CM151" i="3"/>
  <c r="CN151" i="3"/>
  <c r="CP151" i="3"/>
  <c r="CQ151" i="3"/>
  <c r="CR151" i="3"/>
  <c r="CT151" i="3"/>
  <c r="CU151" i="3"/>
  <c r="CV151" i="3"/>
  <c r="CW151" i="3"/>
  <c r="CX151" i="3"/>
  <c r="DK151" i="3"/>
  <c r="DL151" i="3"/>
  <c r="CI152" i="3"/>
  <c r="CJ152" i="3"/>
  <c r="CK152" i="3"/>
  <c r="CL152" i="3"/>
  <c r="CM152" i="3"/>
  <c r="CN152" i="3"/>
  <c r="CP152" i="3"/>
  <c r="CQ152" i="3"/>
  <c r="CR152" i="3"/>
  <c r="CT152" i="3"/>
  <c r="CU152" i="3"/>
  <c r="CV152" i="3"/>
  <c r="CW152" i="3"/>
  <c r="CX152" i="3"/>
  <c r="DK152" i="3"/>
  <c r="DL152" i="3"/>
  <c r="CI153" i="3"/>
  <c r="CJ153" i="3"/>
  <c r="CK153" i="3"/>
  <c r="CL153" i="3"/>
  <c r="CM153" i="3"/>
  <c r="CN153" i="3"/>
  <c r="CP153" i="3"/>
  <c r="CQ153" i="3"/>
  <c r="CR153" i="3"/>
  <c r="CT153" i="3"/>
  <c r="CU153" i="3"/>
  <c r="CV153" i="3"/>
  <c r="CW153" i="3"/>
  <c r="CX153" i="3"/>
  <c r="DK153" i="3"/>
  <c r="DL153" i="3"/>
  <c r="CI154" i="3"/>
  <c r="CJ154" i="3"/>
  <c r="CK154" i="3"/>
  <c r="CL154" i="3"/>
  <c r="CM154" i="3"/>
  <c r="CN154" i="3"/>
  <c r="CP154" i="3"/>
  <c r="CQ154" i="3"/>
  <c r="CR154" i="3"/>
  <c r="CT154" i="3"/>
  <c r="CU154" i="3"/>
  <c r="CV154" i="3"/>
  <c r="CW154" i="3"/>
  <c r="CX154" i="3"/>
  <c r="DK154" i="3"/>
  <c r="DL154" i="3"/>
  <c r="CI155" i="3"/>
  <c r="CJ155" i="3"/>
  <c r="CK155" i="3"/>
  <c r="CL155" i="3"/>
  <c r="CM155" i="3"/>
  <c r="CN155" i="3"/>
  <c r="CP155" i="3"/>
  <c r="CQ155" i="3"/>
  <c r="CR155" i="3"/>
  <c r="CT155" i="3"/>
  <c r="CU155" i="3"/>
  <c r="CV155" i="3"/>
  <c r="CW155" i="3"/>
  <c r="CX155" i="3"/>
  <c r="DK155" i="3"/>
  <c r="DL155" i="3"/>
  <c r="CI156" i="3"/>
  <c r="CJ156" i="3"/>
  <c r="CK156" i="3"/>
  <c r="CL156" i="3"/>
  <c r="CM156" i="3"/>
  <c r="CN156" i="3"/>
  <c r="CP156" i="3"/>
  <c r="CQ156" i="3"/>
  <c r="CR156" i="3"/>
  <c r="CT156" i="3"/>
  <c r="CU156" i="3"/>
  <c r="CV156" i="3"/>
  <c r="CW156" i="3"/>
  <c r="CX156" i="3"/>
  <c r="DK156" i="3"/>
  <c r="DL156" i="3"/>
  <c r="CI157" i="3"/>
  <c r="CJ157" i="3"/>
  <c r="CK157" i="3"/>
  <c r="CL157" i="3"/>
  <c r="CM157" i="3"/>
  <c r="CN157" i="3"/>
  <c r="CP157" i="3"/>
  <c r="CQ157" i="3"/>
  <c r="CR157" i="3"/>
  <c r="CT157" i="3"/>
  <c r="CU157" i="3"/>
  <c r="CV157" i="3"/>
  <c r="CW157" i="3"/>
  <c r="CX157" i="3"/>
  <c r="DK157" i="3"/>
  <c r="DL157" i="3"/>
  <c r="CI158" i="3"/>
  <c r="CJ158" i="3"/>
  <c r="CK158" i="3"/>
  <c r="CL158" i="3"/>
  <c r="CM158" i="3"/>
  <c r="CN158" i="3"/>
  <c r="CP158" i="3"/>
  <c r="CQ158" i="3"/>
  <c r="CR158" i="3"/>
  <c r="CT158" i="3"/>
  <c r="CU158" i="3"/>
  <c r="CV158" i="3"/>
  <c r="CW158" i="3"/>
  <c r="CX158" i="3"/>
  <c r="DK158" i="3"/>
  <c r="DL158" i="3"/>
  <c r="CI159" i="3"/>
  <c r="CJ159" i="3"/>
  <c r="CK159" i="3"/>
  <c r="CL159" i="3"/>
  <c r="CM159" i="3"/>
  <c r="CN159" i="3"/>
  <c r="CP159" i="3"/>
  <c r="CQ159" i="3"/>
  <c r="CR159" i="3"/>
  <c r="CT159" i="3"/>
  <c r="CU159" i="3"/>
  <c r="CV159" i="3"/>
  <c r="CW159" i="3"/>
  <c r="CX159" i="3"/>
  <c r="DK159" i="3"/>
  <c r="DL159" i="3"/>
  <c r="CI160" i="3"/>
  <c r="CJ160" i="3"/>
  <c r="CK160" i="3"/>
  <c r="CL160" i="3"/>
  <c r="CM160" i="3"/>
  <c r="CN160" i="3"/>
  <c r="CP160" i="3"/>
  <c r="CQ160" i="3"/>
  <c r="CR160" i="3"/>
  <c r="CT160" i="3"/>
  <c r="CU160" i="3"/>
  <c r="CV160" i="3"/>
  <c r="CW160" i="3"/>
  <c r="CX160" i="3"/>
  <c r="DK160" i="3"/>
  <c r="DL160" i="3"/>
  <c r="CI161" i="3"/>
  <c r="CJ161" i="3"/>
  <c r="CK161" i="3"/>
  <c r="CL161" i="3"/>
  <c r="CM161" i="3"/>
  <c r="CN161" i="3"/>
  <c r="CP161" i="3"/>
  <c r="CQ161" i="3"/>
  <c r="CR161" i="3"/>
  <c r="CT161" i="3"/>
  <c r="CU161" i="3"/>
  <c r="CV161" i="3"/>
  <c r="CW161" i="3"/>
  <c r="CX161" i="3"/>
  <c r="DK161" i="3"/>
  <c r="DL161" i="3"/>
  <c r="CI162" i="3"/>
  <c r="CJ162" i="3"/>
  <c r="CK162" i="3"/>
  <c r="CL162" i="3"/>
  <c r="CM162" i="3"/>
  <c r="CN162" i="3"/>
  <c r="CP162" i="3"/>
  <c r="CQ162" i="3"/>
  <c r="CR162" i="3"/>
  <c r="CT162" i="3"/>
  <c r="CU162" i="3"/>
  <c r="CV162" i="3"/>
  <c r="CW162" i="3"/>
  <c r="CX162" i="3"/>
  <c r="DK162" i="3"/>
  <c r="DL162" i="3"/>
  <c r="CI163" i="3"/>
  <c r="CJ163" i="3"/>
  <c r="CK163" i="3"/>
  <c r="CL163" i="3"/>
  <c r="CM163" i="3"/>
  <c r="CN163" i="3"/>
  <c r="CP163" i="3"/>
  <c r="CQ163" i="3"/>
  <c r="CR163" i="3"/>
  <c r="CT163" i="3"/>
  <c r="CU163" i="3"/>
  <c r="CV163" i="3"/>
  <c r="CW163" i="3"/>
  <c r="CX163" i="3"/>
  <c r="DK163" i="3"/>
  <c r="DL163" i="3"/>
  <c r="CI164" i="3"/>
  <c r="CJ164" i="3"/>
  <c r="CK164" i="3"/>
  <c r="CL164" i="3"/>
  <c r="CM164" i="3"/>
  <c r="CN164" i="3"/>
  <c r="CP164" i="3"/>
  <c r="CQ164" i="3"/>
  <c r="CR164" i="3"/>
  <c r="CT164" i="3"/>
  <c r="CU164" i="3"/>
  <c r="CV164" i="3"/>
  <c r="CW164" i="3"/>
  <c r="CX164" i="3"/>
  <c r="DK164" i="3"/>
  <c r="DL164" i="3"/>
  <c r="CI165" i="3"/>
  <c r="CJ165" i="3"/>
  <c r="CK165" i="3"/>
  <c r="CL165" i="3"/>
  <c r="CM165" i="3"/>
  <c r="CN165" i="3"/>
  <c r="CP165" i="3"/>
  <c r="CQ165" i="3"/>
  <c r="CR165" i="3"/>
  <c r="CT165" i="3"/>
  <c r="CU165" i="3"/>
  <c r="CV165" i="3"/>
  <c r="CW165" i="3"/>
  <c r="CX165" i="3"/>
  <c r="DK165" i="3"/>
  <c r="DL165" i="3"/>
  <c r="CI166" i="3"/>
  <c r="CJ166" i="3"/>
  <c r="CK166" i="3"/>
  <c r="CL166" i="3"/>
  <c r="CM166" i="3"/>
  <c r="CN166" i="3"/>
  <c r="CP166" i="3"/>
  <c r="CQ166" i="3"/>
  <c r="CR166" i="3"/>
  <c r="CS166" i="3"/>
  <c r="CT166" i="3"/>
  <c r="CU166" i="3"/>
  <c r="CV166" i="3"/>
  <c r="CW166" i="3"/>
  <c r="CX166" i="3"/>
  <c r="DK166" i="3"/>
  <c r="DL166" i="3"/>
  <c r="CI167" i="3"/>
  <c r="CJ167" i="3"/>
  <c r="CK167" i="3"/>
  <c r="CL167" i="3"/>
  <c r="CM167" i="3"/>
  <c r="CN167" i="3"/>
  <c r="CP167" i="3"/>
  <c r="CQ167" i="3"/>
  <c r="CR167" i="3"/>
  <c r="CS167" i="3"/>
  <c r="CT167" i="3"/>
  <c r="CU167" i="3"/>
  <c r="CV167" i="3"/>
  <c r="CW167" i="3"/>
  <c r="CX167" i="3"/>
  <c r="DK167" i="3"/>
  <c r="DL167" i="3"/>
  <c r="O13" i="2"/>
  <c r="DM101" i="3" l="1"/>
  <c r="DM100" i="3"/>
  <c r="DM99" i="3"/>
  <c r="DM97" i="3"/>
  <c r="DM96" i="3"/>
  <c r="DM95" i="3"/>
  <c r="DM94" i="3"/>
  <c r="DM93" i="3"/>
  <c r="DM92" i="3"/>
  <c r="DM91" i="3"/>
  <c r="DM89" i="3"/>
  <c r="DM87" i="3"/>
  <c r="DM125" i="3"/>
  <c r="DM121" i="3"/>
  <c r="DM116" i="3"/>
  <c r="DM113" i="3"/>
  <c r="DM110" i="3"/>
  <c r="DM102" i="3"/>
  <c r="DM133" i="3"/>
  <c r="DM123" i="3"/>
  <c r="DM115" i="3"/>
  <c r="DM108" i="3"/>
  <c r="DM105" i="3"/>
  <c r="DM134" i="3"/>
  <c r="DM130" i="3"/>
  <c r="DM126" i="3"/>
  <c r="DM122" i="3"/>
  <c r="DM111" i="3"/>
  <c r="DM109" i="3"/>
  <c r="DM103" i="3"/>
  <c r="DM114" i="3"/>
  <c r="DM107" i="3"/>
  <c r="DM104" i="3"/>
  <c r="DM166" i="3"/>
  <c r="DM85" i="3"/>
  <c r="DM84" i="3"/>
  <c r="DM83" i="3"/>
  <c r="DM81" i="3"/>
  <c r="DM79" i="3"/>
  <c r="DM78" i="3"/>
  <c r="DM76" i="3"/>
  <c r="DM75" i="3"/>
  <c r="DM73" i="3"/>
  <c r="DM71" i="3"/>
  <c r="DM68" i="3"/>
  <c r="DM67" i="3"/>
  <c r="DM65" i="3"/>
  <c r="DM63" i="3"/>
  <c r="DM62" i="3"/>
  <c r="DM61" i="3"/>
  <c r="DM59" i="3"/>
  <c r="DM58" i="3"/>
  <c r="DM57" i="3"/>
  <c r="DM55" i="3"/>
  <c r="DM53" i="3"/>
  <c r="DM49" i="3"/>
  <c r="DM45" i="3"/>
  <c r="DM41" i="3"/>
  <c r="DM38" i="3"/>
  <c r="DM37" i="3"/>
  <c r="DM34" i="3"/>
  <c r="DM33" i="3"/>
  <c r="DM30" i="3"/>
  <c r="DM29" i="3"/>
  <c r="DM26" i="3"/>
  <c r="DM25" i="3"/>
  <c r="DM22" i="3"/>
  <c r="DM21" i="3"/>
  <c r="DM17" i="3"/>
  <c r="DM14" i="3"/>
  <c r="DM162" i="3"/>
  <c r="DM157" i="3"/>
  <c r="DM151" i="3"/>
  <c r="DM137" i="3"/>
  <c r="DM135" i="3"/>
  <c r="DM54" i="3"/>
  <c r="DM51" i="3"/>
  <c r="DM18" i="3"/>
  <c r="DM158" i="3"/>
  <c r="DM149" i="3"/>
  <c r="DM43" i="3"/>
  <c r="DM165" i="3"/>
  <c r="DM159" i="3"/>
  <c r="DM152" i="3"/>
  <c r="DM145" i="3"/>
  <c r="DM136" i="3"/>
  <c r="DM46" i="3"/>
  <c r="DM155" i="3"/>
  <c r="DM42" i="3"/>
  <c r="DM153" i="3"/>
  <c r="DM148" i="3"/>
  <c r="DM141" i="3"/>
  <c r="DM167" i="3"/>
  <c r="DM77" i="3"/>
  <c r="DM69" i="3"/>
  <c r="DM50" i="3"/>
  <c r="DM47" i="3"/>
  <c r="DM35" i="3"/>
  <c r="DM27" i="3"/>
  <c r="DM19" i="3"/>
  <c r="DM60" i="3"/>
  <c r="DM52" i="3"/>
  <c r="DM44" i="3"/>
  <c r="DM36" i="3"/>
  <c r="DM28" i="3"/>
  <c r="DM20" i="3"/>
  <c r="DM39" i="3"/>
  <c r="DM31" i="3"/>
  <c r="DM23" i="3"/>
  <c r="DM13" i="3"/>
  <c r="DM56" i="3"/>
  <c r="DM24" i="3"/>
  <c r="DM16" i="3"/>
  <c r="D52" i="10"/>
  <c r="D51" i="10"/>
  <c r="D50" i="10"/>
  <c r="D53" i="10" s="1"/>
  <c r="D32" i="10"/>
  <c r="D31" i="10"/>
  <c r="D30" i="10"/>
  <c r="D616" i="10"/>
  <c r="H224" i="10"/>
  <c r="H289" i="10"/>
  <c r="H199" i="10"/>
  <c r="H7" i="10"/>
  <c r="H325" i="10"/>
  <c r="D37" i="10"/>
  <c r="D36" i="10"/>
  <c r="D35" i="10"/>
  <c r="Q165" i="10"/>
  <c r="D124" i="10"/>
  <c r="H179" i="10"/>
  <c r="D206" i="10"/>
  <c r="D209" i="10" s="1"/>
  <c r="H184" i="10"/>
  <c r="D213" i="10"/>
  <c r="D212" i="10"/>
  <c r="D187" i="10"/>
  <c r="D186" i="10"/>
  <c r="D189" i="10" s="1"/>
  <c r="D236" i="10"/>
  <c r="D506" i="10"/>
  <c r="D521" i="10"/>
  <c r="D92" i="10"/>
  <c r="D90" i="10"/>
  <c r="D216" i="10"/>
  <c r="D219" i="10" s="1"/>
  <c r="D91" i="10"/>
  <c r="H194" i="10"/>
  <c r="D243" i="10"/>
  <c r="D242" i="10"/>
  <c r="D241" i="10"/>
  <c r="D244" i="10" s="1"/>
  <c r="D3" i="10"/>
  <c r="D26" i="10"/>
  <c r="D24" i="10"/>
  <c r="D25" i="10"/>
  <c r="C159" i="10"/>
  <c r="H159" i="10" s="1"/>
  <c r="C169" i="10"/>
  <c r="H169" i="10" s="1"/>
  <c r="D176" i="10"/>
  <c r="D179" i="10" s="1"/>
  <c r="E209" i="10"/>
  <c r="C259" i="10"/>
  <c r="H259" i="10" s="1"/>
  <c r="D304" i="10"/>
  <c r="D307" i="10" s="1"/>
  <c r="D493" i="10"/>
  <c r="D496" i="10" s="1"/>
  <c r="D573" i="10"/>
  <c r="D576" i="10" s="1"/>
  <c r="D653" i="10"/>
  <c r="D656" i="10" s="1"/>
  <c r="C12" i="10"/>
  <c r="E119" i="10"/>
  <c r="E149" i="10"/>
  <c r="D146" i="10" s="1"/>
  <c r="D149" i="10" s="1"/>
  <c r="C189" i="10"/>
  <c r="H189" i="10" s="1"/>
  <c r="E219" i="10"/>
  <c r="D217" i="10" s="1"/>
  <c r="C307" i="10"/>
  <c r="H307" i="10" s="1"/>
  <c r="D333" i="10"/>
  <c r="D336" i="10" s="1"/>
  <c r="D448" i="10"/>
  <c r="D451" i="10" s="1"/>
  <c r="D494" i="10"/>
  <c r="D528" i="10"/>
  <c r="D531" i="10" s="1"/>
  <c r="D574" i="10"/>
  <c r="D608" i="10"/>
  <c r="D611" i="10" s="1"/>
  <c r="D654" i="10"/>
  <c r="E159" i="10"/>
  <c r="D156" i="10" s="1"/>
  <c r="D159" i="10" s="1"/>
  <c r="C179" i="10"/>
  <c r="C239" i="10"/>
  <c r="H239" i="10" s="1"/>
  <c r="D483" i="10"/>
  <c r="D486" i="10" s="1"/>
  <c r="D563" i="10"/>
  <c r="D566" i="10" s="1"/>
  <c r="D643" i="10"/>
  <c r="D646" i="10" s="1"/>
  <c r="D55" i="10"/>
  <c r="D58" i="10" s="1"/>
  <c r="C68" i="10"/>
  <c r="H68" i="10" s="1"/>
  <c r="D211" i="10"/>
  <c r="D214" i="10" s="1"/>
  <c r="E239" i="10"/>
  <c r="D322" i="10"/>
  <c r="D325" i="10" s="1"/>
  <c r="C58" i="10"/>
  <c r="H58" i="10" s="1"/>
  <c r="C325" i="10"/>
  <c r="C93" i="10"/>
  <c r="H93" i="10" s="1"/>
  <c r="D122" i="10"/>
  <c r="D161" i="10"/>
  <c r="D164" i="10" s="1"/>
  <c r="D171" i="10"/>
  <c r="D174" i="10" s="1"/>
  <c r="D201" i="10"/>
  <c r="D204" i="10" s="1"/>
  <c r="D231" i="10"/>
  <c r="D234" i="10" s="1"/>
  <c r="D261" i="10"/>
  <c r="D264" i="10" s="1"/>
  <c r="E7" i="10"/>
  <c r="C124" i="10"/>
  <c r="H124" i="10" s="1"/>
  <c r="D131" i="10"/>
  <c r="D134" i="10" s="1"/>
  <c r="D191" i="10"/>
  <c r="C204" i="10"/>
  <c r="H204" i="10" s="1"/>
  <c r="C214" i="10"/>
  <c r="H214" i="10" s="1"/>
  <c r="D222" i="10"/>
  <c r="D224" i="10" s="1"/>
  <c r="C234" i="10"/>
  <c r="H234" i="10" s="1"/>
  <c r="C264" i="10"/>
  <c r="H264" i="10" s="1"/>
  <c r="D310" i="10"/>
  <c r="D313" i="10" s="1"/>
  <c r="D338" i="10"/>
  <c r="D341" i="10" s="1"/>
  <c r="C164" i="10"/>
  <c r="H164" i="10" s="1"/>
  <c r="D181" i="10"/>
  <c r="D184" i="10" s="1"/>
  <c r="D298" i="10"/>
  <c r="D301" i="10" s="1"/>
  <c r="D454" i="10"/>
  <c r="D456" i="10" s="1"/>
  <c r="D488" i="10"/>
  <c r="D491" i="10" s="1"/>
  <c r="D534" i="10"/>
  <c r="D536" i="10" s="1"/>
  <c r="D568" i="10"/>
  <c r="D571" i="10" s="1"/>
  <c r="D614" i="10"/>
  <c r="D648" i="10"/>
  <c r="D80" i="10"/>
  <c r="D83" i="10" s="1"/>
  <c r="C174" i="10"/>
  <c r="H174" i="10" s="1"/>
  <c r="D286" i="10"/>
  <c r="D289" i="10" s="1"/>
  <c r="C301" i="10"/>
  <c r="H301" i="10" s="1"/>
  <c r="D443" i="10"/>
  <c r="D446" i="10" s="1"/>
  <c r="D489" i="10"/>
  <c r="D523" i="10"/>
  <c r="D569" i="10"/>
  <c r="D603" i="10"/>
  <c r="D606" i="10" s="1"/>
  <c r="D649" i="10"/>
  <c r="D444" i="10"/>
  <c r="D478" i="10"/>
  <c r="D481" i="10" s="1"/>
  <c r="D524" i="10"/>
  <c r="D558" i="10"/>
  <c r="D561" i="10" s="1"/>
  <c r="D604" i="10"/>
  <c r="D638" i="10"/>
  <c r="D641" i="10" s="1"/>
  <c r="DM147" i="3"/>
  <c r="DM146" i="3"/>
  <c r="DM156" i="3"/>
  <c r="DM144" i="3"/>
  <c r="DM143" i="3"/>
  <c r="DM132" i="3"/>
  <c r="DM119" i="3"/>
  <c r="DM142" i="3"/>
  <c r="DM129" i="3"/>
  <c r="DM118" i="3"/>
  <c r="DM164" i="3"/>
  <c r="DM140" i="3"/>
  <c r="DM128" i="3"/>
  <c r="DM117" i="3"/>
  <c r="DM161" i="3"/>
  <c r="DM138" i="3"/>
  <c r="DM127" i="3"/>
  <c r="DM160" i="3"/>
  <c r="DM150" i="3"/>
  <c r="DM124" i="3"/>
  <c r="DM72" i="3"/>
  <c r="DM112" i="3"/>
  <c r="DM70" i="3"/>
  <c r="DM88" i="3"/>
  <c r="DM98" i="3"/>
  <c r="DM120" i="3"/>
  <c r="DM106" i="3"/>
  <c r="DM163" i="3"/>
  <c r="DM139" i="3"/>
  <c r="DM154" i="3"/>
  <c r="DM90" i="3"/>
  <c r="DM131" i="3"/>
  <c r="DM66" i="3"/>
  <c r="DM74" i="3"/>
  <c r="DM64" i="3"/>
  <c r="DM40" i="3"/>
  <c r="DM48" i="3"/>
  <c r="DM15" i="3"/>
  <c r="DM80" i="3"/>
  <c r="DM82" i="3"/>
  <c r="DM32" i="3"/>
  <c r="H12" i="10" l="1"/>
  <c r="E12" i="10"/>
  <c r="H1" i="10"/>
  <c r="D7" i="10"/>
  <c r="D6" i="10"/>
  <c r="D5" i="10"/>
  <c r="D4" i="10"/>
  <c r="D117" i="10"/>
  <c r="D116" i="10"/>
  <c r="D118" i="10"/>
  <c r="D526" i="10"/>
  <c r="D33" i="10"/>
  <c r="D238" i="10"/>
  <c r="D237" i="10"/>
  <c r="D239" i="10" s="1"/>
  <c r="D93" i="10"/>
  <c r="D115" i="10"/>
  <c r="D651" i="10"/>
  <c r="D28" i="10"/>
  <c r="D38" i="10"/>
  <c r="D10" i="10" l="1"/>
  <c r="D9" i="10"/>
  <c r="D12" i="10" s="1"/>
  <c r="D119" i="10"/>
  <c r="HS14" i="3" l="1"/>
  <c r="HQ14" i="3"/>
  <c r="M65" i="4" l="1"/>
  <c r="HQ15" i="3" l="1"/>
  <c r="HS15" i="3"/>
  <c r="O34" i="2" l="1"/>
  <c r="B1" i="3" l="1"/>
  <c r="B3" i="3"/>
  <c r="BC10" i="3"/>
  <c r="CT10" i="3"/>
  <c r="EM10" i="3"/>
  <c r="FB10" i="3"/>
  <c r="B11" i="3"/>
  <c r="B12" i="3" s="1"/>
  <c r="B13" i="3" s="1"/>
  <c r="ED11" i="3"/>
  <c r="CT11" i="3"/>
  <c r="EM11" i="3"/>
  <c r="FB11" i="3"/>
  <c r="GI11" i="3"/>
  <c r="GI12" i="3" s="1"/>
  <c r="GI13" i="3" s="1"/>
  <c r="GI14" i="3" s="1"/>
  <c r="GI15" i="3" s="1"/>
  <c r="GI16" i="3" s="1"/>
  <c r="GI17" i="3" s="1"/>
  <c r="GI18" i="3" s="1"/>
  <c r="GI19" i="3" s="1"/>
  <c r="GI20" i="3" s="1"/>
  <c r="GI21" i="3" s="1"/>
  <c r="GI22" i="3" s="1"/>
  <c r="GI23" i="3" s="1"/>
  <c r="GI24" i="3" s="1"/>
  <c r="GI25" i="3" s="1"/>
  <c r="GI26" i="3" s="1"/>
  <c r="GI27" i="3" s="1"/>
  <c r="GI28" i="3" s="1"/>
  <c r="GI29" i="3" s="1"/>
  <c r="GI30" i="3" s="1"/>
  <c r="GI31" i="3" s="1"/>
  <c r="GI32" i="3" s="1"/>
  <c r="GI33" i="3" s="1"/>
  <c r="GI34" i="3" s="1"/>
  <c r="GI35" i="3" s="1"/>
  <c r="GI36" i="3" s="1"/>
  <c r="GI37" i="3" s="1"/>
  <c r="GI38" i="3" s="1"/>
  <c r="GI39" i="3" s="1"/>
  <c r="GI40" i="3" s="1"/>
  <c r="GI41" i="3" s="1"/>
  <c r="GI42" i="3" s="1"/>
  <c r="GI43" i="3" s="1"/>
  <c r="GI44" i="3" s="1"/>
  <c r="GI45" i="3" s="1"/>
  <c r="GI46" i="3" s="1"/>
  <c r="GI47" i="3" s="1"/>
  <c r="GI48" i="3" s="1"/>
  <c r="GI49" i="3" s="1"/>
  <c r="GI50" i="3" s="1"/>
  <c r="GI51" i="3" s="1"/>
  <c r="GI52" i="3" s="1"/>
  <c r="GI53" i="3" s="1"/>
  <c r="GI54" i="3" s="1"/>
  <c r="GI55" i="3" s="1"/>
  <c r="GI56" i="3" s="1"/>
  <c r="GI57" i="3" s="1"/>
  <c r="GI58" i="3" s="1"/>
  <c r="GI59" i="3" s="1"/>
  <c r="GI60" i="3" s="1"/>
  <c r="GI61" i="3" s="1"/>
  <c r="GI62" i="3" s="1"/>
  <c r="GI63" i="3" s="1"/>
  <c r="GI64" i="3" s="1"/>
  <c r="GI65" i="3" s="1"/>
  <c r="GI66" i="3" s="1"/>
  <c r="GI67" i="3" s="1"/>
  <c r="GI68" i="3" s="1"/>
  <c r="GI69" i="3" s="1"/>
  <c r="GI70" i="3" s="1"/>
  <c r="GI71" i="3" s="1"/>
  <c r="GI72" i="3" s="1"/>
  <c r="GI73" i="3" s="1"/>
  <c r="GI74" i="3" s="1"/>
  <c r="GI75" i="3" s="1"/>
  <c r="GI76" i="3" s="1"/>
  <c r="GI77" i="3" s="1"/>
  <c r="GI78" i="3" s="1"/>
  <c r="GI79" i="3" s="1"/>
  <c r="GI80" i="3" s="1"/>
  <c r="GI81" i="3" s="1"/>
  <c r="GI82" i="3" s="1"/>
  <c r="GI83" i="3" s="1"/>
  <c r="GI84" i="3" s="1"/>
  <c r="GI85" i="3" s="1"/>
  <c r="GI86" i="3" s="1"/>
  <c r="GI87" i="3" s="1"/>
  <c r="GI88" i="3" s="1"/>
  <c r="GI89" i="3" s="1"/>
  <c r="GI90" i="3" s="1"/>
  <c r="GI91" i="3" s="1"/>
  <c r="GI92" i="3" s="1"/>
  <c r="GI93" i="3" s="1"/>
  <c r="GI94" i="3" s="1"/>
  <c r="GI95" i="3" s="1"/>
  <c r="GI96" i="3" s="1"/>
  <c r="GI97" i="3" s="1"/>
  <c r="GI98" i="3" s="1"/>
  <c r="GI99" i="3" s="1"/>
  <c r="GI100" i="3" s="1"/>
  <c r="GI101" i="3" s="1"/>
  <c r="GI102" i="3" s="1"/>
  <c r="GI103" i="3" s="1"/>
  <c r="GI104" i="3" s="1"/>
  <c r="GI105" i="3" s="1"/>
  <c r="GI106" i="3" s="1"/>
  <c r="GI107" i="3" s="1"/>
  <c r="GI108" i="3" s="1"/>
  <c r="GI109" i="3" s="1"/>
  <c r="GI110" i="3" s="1"/>
  <c r="GI111" i="3" s="1"/>
  <c r="GI112" i="3" s="1"/>
  <c r="GI113" i="3" s="1"/>
  <c r="GI114" i="3" s="1"/>
  <c r="GI115" i="3" s="1"/>
  <c r="GI116" i="3" s="1"/>
  <c r="GI117" i="3" s="1"/>
  <c r="GR11" i="3"/>
  <c r="GR12" i="3" s="1"/>
  <c r="GR13" i="3" s="1"/>
  <c r="GR14" i="3" s="1"/>
  <c r="GR15" i="3" s="1"/>
  <c r="GR16" i="3" s="1"/>
  <c r="GR17" i="3" s="1"/>
  <c r="GR18" i="3" s="1"/>
  <c r="GR19" i="3" s="1"/>
  <c r="GR20" i="3" s="1"/>
  <c r="GR21" i="3" s="1"/>
  <c r="GR22" i="3" s="1"/>
  <c r="GR23" i="3" s="1"/>
  <c r="GR24" i="3" s="1"/>
  <c r="GR25" i="3" s="1"/>
  <c r="GR26" i="3" s="1"/>
  <c r="GR27" i="3" s="1"/>
  <c r="GR28" i="3" s="1"/>
  <c r="GR29" i="3" s="1"/>
  <c r="GR30" i="3" s="1"/>
  <c r="GR31" i="3" s="1"/>
  <c r="GR32" i="3" s="1"/>
  <c r="GR33" i="3" s="1"/>
  <c r="GR34" i="3" s="1"/>
  <c r="GR35" i="3" s="1"/>
  <c r="GR36" i="3" s="1"/>
  <c r="GR37" i="3" s="1"/>
  <c r="GR38" i="3" s="1"/>
  <c r="GR39" i="3" s="1"/>
  <c r="GR40" i="3" s="1"/>
  <c r="GR41" i="3" s="1"/>
  <c r="GR42" i="3" s="1"/>
  <c r="GR43" i="3" s="1"/>
  <c r="GR44" i="3" s="1"/>
  <c r="GR45" i="3" s="1"/>
  <c r="GR46" i="3" s="1"/>
  <c r="GR47" i="3" s="1"/>
  <c r="GR48" i="3" s="1"/>
  <c r="GR49" i="3" s="1"/>
  <c r="GR50" i="3" s="1"/>
  <c r="GR51" i="3" s="1"/>
  <c r="GR52" i="3" s="1"/>
  <c r="GR53" i="3" s="1"/>
  <c r="GR54" i="3" s="1"/>
  <c r="GR55" i="3" s="1"/>
  <c r="GR56" i="3" s="1"/>
  <c r="GR57" i="3" s="1"/>
  <c r="GR58" i="3" s="1"/>
  <c r="GR59" i="3" s="1"/>
  <c r="GR60" i="3" s="1"/>
  <c r="GR61" i="3" s="1"/>
  <c r="GR62" i="3" s="1"/>
  <c r="GR63" i="3" s="1"/>
  <c r="GR64" i="3" s="1"/>
  <c r="GR65" i="3" s="1"/>
  <c r="GR66" i="3" s="1"/>
  <c r="GR67" i="3" s="1"/>
  <c r="GR68" i="3" s="1"/>
  <c r="GR69" i="3" s="1"/>
  <c r="GR70" i="3" s="1"/>
  <c r="GR71" i="3" s="1"/>
  <c r="GR72" i="3" s="1"/>
  <c r="GR73" i="3" s="1"/>
  <c r="GR74" i="3" s="1"/>
  <c r="GR75" i="3" s="1"/>
  <c r="GR76" i="3" s="1"/>
  <c r="GR77" i="3" s="1"/>
  <c r="GR78" i="3" s="1"/>
  <c r="GR79" i="3" s="1"/>
  <c r="GR80" i="3" s="1"/>
  <c r="GR81" i="3" s="1"/>
  <c r="GR82" i="3" s="1"/>
  <c r="GR83" i="3" s="1"/>
  <c r="GR84" i="3" s="1"/>
  <c r="GR85" i="3" s="1"/>
  <c r="GR86" i="3" s="1"/>
  <c r="GR87" i="3" s="1"/>
  <c r="GR88" i="3" s="1"/>
  <c r="GR89" i="3" s="1"/>
  <c r="GR90" i="3" s="1"/>
  <c r="GR91" i="3" s="1"/>
  <c r="GR92" i="3" s="1"/>
  <c r="GR93" i="3" s="1"/>
  <c r="GR94" i="3" s="1"/>
  <c r="GR95" i="3" s="1"/>
  <c r="GR96" i="3" s="1"/>
  <c r="GR97" i="3" s="1"/>
  <c r="GR98" i="3" s="1"/>
  <c r="GR99" i="3" s="1"/>
  <c r="GR100" i="3" s="1"/>
  <c r="GR101" i="3" s="1"/>
  <c r="GR102" i="3" s="1"/>
  <c r="GR103" i="3" s="1"/>
  <c r="GR104" i="3" s="1"/>
  <c r="GR105" i="3" s="1"/>
  <c r="GR106" i="3" s="1"/>
  <c r="GR107" i="3" s="1"/>
  <c r="GR108" i="3" s="1"/>
  <c r="GR109" i="3" s="1"/>
  <c r="GR110" i="3" s="1"/>
  <c r="GR111" i="3" s="1"/>
  <c r="GR112" i="3" s="1"/>
  <c r="GR113" i="3" s="1"/>
  <c r="GR114" i="3" s="1"/>
  <c r="GR115" i="3" s="1"/>
  <c r="GR116" i="3" s="1"/>
  <c r="GR117" i="3" s="1"/>
  <c r="GR118" i="3" s="1"/>
  <c r="GR119" i="3" s="1"/>
  <c r="GR120" i="3" s="1"/>
  <c r="GR121" i="3" s="1"/>
  <c r="GR122" i="3" s="1"/>
  <c r="GR123" i="3" s="1"/>
  <c r="GR124" i="3" s="1"/>
  <c r="GR125" i="3" s="1"/>
  <c r="GR126" i="3" s="1"/>
  <c r="GR127" i="3" s="1"/>
  <c r="GR128" i="3" s="1"/>
  <c r="GR129" i="3" s="1"/>
  <c r="GR130" i="3" s="1"/>
  <c r="GR131" i="3" s="1"/>
  <c r="GR132" i="3" s="1"/>
  <c r="GR133" i="3" s="1"/>
  <c r="GR134" i="3" s="1"/>
  <c r="GR135" i="3" s="1"/>
  <c r="GR136" i="3" s="1"/>
  <c r="GR137" i="3" s="1"/>
  <c r="GR138" i="3" s="1"/>
  <c r="GR139" i="3" s="1"/>
  <c r="GR140" i="3" s="1"/>
  <c r="GR141" i="3" s="1"/>
  <c r="GR142" i="3" s="1"/>
  <c r="GR143" i="3" s="1"/>
  <c r="GR144" i="3" s="1"/>
  <c r="GR145" i="3" s="1"/>
  <c r="GR146" i="3" s="1"/>
  <c r="GR147" i="3" s="1"/>
  <c r="GR148" i="3" s="1"/>
  <c r="GR149" i="3" s="1"/>
  <c r="GR150" i="3" s="1"/>
  <c r="GR151" i="3" s="1"/>
  <c r="GR152" i="3" s="1"/>
  <c r="GR153" i="3" s="1"/>
  <c r="GR154" i="3" s="1"/>
  <c r="GR155" i="3" s="1"/>
  <c r="GR156" i="3" s="1"/>
  <c r="GR157" i="3" s="1"/>
  <c r="GR158" i="3" s="1"/>
  <c r="GR159" i="3" s="1"/>
  <c r="GR160" i="3" s="1"/>
  <c r="GR161" i="3" s="1"/>
  <c r="GR162" i="3" s="1"/>
  <c r="GR163" i="3" s="1"/>
  <c r="GR164" i="3" s="1"/>
  <c r="GR165" i="3" s="1"/>
  <c r="GR166" i="3" s="1"/>
  <c r="GR167" i="3" s="1"/>
  <c r="HA11" i="3"/>
  <c r="HA12" i="3" s="1"/>
  <c r="HA13" i="3" s="1"/>
  <c r="HA14" i="3" s="1"/>
  <c r="HA15" i="3" s="1"/>
  <c r="CT12" i="3"/>
  <c r="EM12" i="3"/>
  <c r="FB12" i="3"/>
  <c r="BB168" i="3"/>
  <c r="BC168" i="3"/>
  <c r="BB169" i="3"/>
  <c r="BC169" i="3"/>
  <c r="BB170" i="3"/>
  <c r="BC170" i="3"/>
  <c r="BB171" i="3"/>
  <c r="BC171" i="3"/>
  <c r="BB172" i="3"/>
  <c r="BC172" i="3"/>
  <c r="BB173" i="3"/>
  <c r="BC173" i="3"/>
  <c r="BB174" i="3"/>
  <c r="BC174" i="3"/>
  <c r="BB175" i="3"/>
  <c r="BC175" i="3"/>
  <c r="BB176" i="3"/>
  <c r="BC176" i="3"/>
  <c r="BB177" i="3"/>
  <c r="BC177" i="3"/>
  <c r="BB178" i="3"/>
  <c r="BC178" i="3"/>
  <c r="BB179" i="3"/>
  <c r="BC179" i="3"/>
  <c r="BB180" i="3"/>
  <c r="BC180" i="3"/>
  <c r="BB181" i="3"/>
  <c r="BC181" i="3"/>
  <c r="BB182" i="3"/>
  <c r="BC182" i="3"/>
  <c r="BB183" i="3"/>
  <c r="BC183" i="3"/>
  <c r="BB184" i="3"/>
  <c r="BC184" i="3"/>
  <c r="BB185" i="3"/>
  <c r="BC185" i="3"/>
  <c r="BB186" i="3"/>
  <c r="BC186" i="3"/>
  <c r="BB187" i="3"/>
  <c r="BC187" i="3"/>
  <c r="BB188" i="3"/>
  <c r="BC188" i="3"/>
  <c r="BB189" i="3"/>
  <c r="BC189" i="3"/>
  <c r="BB190" i="3"/>
  <c r="BC190" i="3"/>
  <c r="BB191" i="3"/>
  <c r="BC191" i="3"/>
  <c r="BB192" i="3"/>
  <c r="BC192" i="3"/>
  <c r="BB193" i="3"/>
  <c r="BC193" i="3"/>
  <c r="BB194" i="3"/>
  <c r="BC194" i="3"/>
  <c r="BB195" i="3"/>
  <c r="BC195" i="3"/>
  <c r="BB196" i="3"/>
  <c r="BC196" i="3"/>
  <c r="BB197" i="3"/>
  <c r="BC197" i="3"/>
  <c r="BB198" i="3"/>
  <c r="BC198" i="3"/>
  <c r="BB199" i="3"/>
  <c r="BC199" i="3"/>
  <c r="BB200" i="3"/>
  <c r="BC200" i="3"/>
  <c r="BB201" i="3"/>
  <c r="BC201" i="3"/>
  <c r="BB202" i="3"/>
  <c r="BC202" i="3"/>
  <c r="BB203" i="3"/>
  <c r="BC203" i="3"/>
  <c r="BB204" i="3"/>
  <c r="BC204" i="3"/>
  <c r="BB205" i="3"/>
  <c r="BC205" i="3"/>
  <c r="BB206" i="3"/>
  <c r="BC206" i="3"/>
  <c r="BB207" i="3"/>
  <c r="BC207" i="3"/>
  <c r="BB208" i="3"/>
  <c r="BC208" i="3"/>
  <c r="BB209" i="3"/>
  <c r="BC209" i="3"/>
  <c r="BB210" i="3"/>
  <c r="BC210" i="3"/>
  <c r="BB211" i="3"/>
  <c r="BC211" i="3"/>
  <c r="BB212" i="3"/>
  <c r="BC212" i="3"/>
  <c r="BB213" i="3"/>
  <c r="BC213" i="3"/>
  <c r="BB214" i="3"/>
  <c r="BC214" i="3"/>
  <c r="BB215" i="3"/>
  <c r="BC215" i="3"/>
  <c r="BB216" i="3"/>
  <c r="BC216" i="3"/>
  <c r="BB217" i="3"/>
  <c r="BC217" i="3"/>
  <c r="BB218" i="3"/>
  <c r="BC218" i="3"/>
  <c r="BB219" i="3"/>
  <c r="BC219" i="3"/>
  <c r="BB220" i="3"/>
  <c r="BC220" i="3"/>
  <c r="BB221" i="3"/>
  <c r="BC221" i="3"/>
  <c r="BB222" i="3"/>
  <c r="BC222" i="3"/>
  <c r="BB223" i="3"/>
  <c r="BC223" i="3"/>
  <c r="BB224" i="3"/>
  <c r="BC224" i="3"/>
  <c r="BB225" i="3"/>
  <c r="BC225" i="3"/>
  <c r="BB226" i="3"/>
  <c r="BC226" i="3"/>
  <c r="BB227" i="3"/>
  <c r="BC227" i="3"/>
  <c r="BB228" i="3"/>
  <c r="BC228" i="3"/>
  <c r="BB229" i="3"/>
  <c r="BC229" i="3"/>
  <c r="BB230" i="3"/>
  <c r="BC230" i="3"/>
  <c r="BB231" i="3"/>
  <c r="BC231" i="3"/>
  <c r="BB232" i="3"/>
  <c r="BC232" i="3"/>
  <c r="BB233" i="3"/>
  <c r="BC233" i="3"/>
  <c r="BB234" i="3"/>
  <c r="BC234" i="3"/>
  <c r="BB235" i="3"/>
  <c r="BC235" i="3"/>
  <c r="BB236" i="3"/>
  <c r="BC236" i="3"/>
  <c r="BB237" i="3"/>
  <c r="BC237" i="3"/>
  <c r="BB238" i="3"/>
  <c r="BC238" i="3"/>
  <c r="BB239" i="3"/>
  <c r="BC239" i="3"/>
  <c r="BB240" i="3"/>
  <c r="BC240" i="3"/>
  <c r="BB241" i="3"/>
  <c r="BC241" i="3"/>
  <c r="BB242" i="3"/>
  <c r="BC242" i="3"/>
  <c r="BB243" i="3"/>
  <c r="BC243" i="3"/>
  <c r="BB244" i="3"/>
  <c r="BC244" i="3"/>
  <c r="BB245" i="3"/>
  <c r="BC245" i="3"/>
  <c r="BB246" i="3"/>
  <c r="BC246" i="3"/>
  <c r="BB247" i="3"/>
  <c r="BC247" i="3"/>
  <c r="BB248" i="3"/>
  <c r="BC248" i="3"/>
  <c r="BB249" i="3"/>
  <c r="BC249" i="3"/>
  <c r="BB250" i="3"/>
  <c r="BC250" i="3"/>
  <c r="BB251" i="3"/>
  <c r="BC251" i="3"/>
  <c r="BB252" i="3"/>
  <c r="BC252" i="3"/>
  <c r="BB253" i="3"/>
  <c r="BC253" i="3"/>
  <c r="BB254" i="3"/>
  <c r="BC254" i="3"/>
  <c r="BB255" i="3"/>
  <c r="BC255" i="3"/>
  <c r="BB256" i="3"/>
  <c r="BC256" i="3"/>
  <c r="BB257" i="3"/>
  <c r="BC257" i="3"/>
  <c r="BB258" i="3"/>
  <c r="BC258" i="3"/>
  <c r="BB259" i="3"/>
  <c r="BC259" i="3"/>
  <c r="BB260" i="3"/>
  <c r="BC260" i="3"/>
  <c r="BB261" i="3"/>
  <c r="BC261" i="3"/>
  <c r="BB262" i="3"/>
  <c r="BC262" i="3"/>
  <c r="BB263" i="3"/>
  <c r="BC263" i="3"/>
  <c r="BB264" i="3"/>
  <c r="BC264" i="3"/>
  <c r="BB265" i="3"/>
  <c r="BC265" i="3"/>
  <c r="BB266" i="3"/>
  <c r="BC266" i="3"/>
  <c r="BB267" i="3"/>
  <c r="BC267" i="3"/>
  <c r="BB268" i="3"/>
  <c r="BC268" i="3"/>
  <c r="BB269" i="3"/>
  <c r="BC269" i="3"/>
  <c r="BB270" i="3"/>
  <c r="BC270" i="3"/>
  <c r="BB271" i="3"/>
  <c r="BC271" i="3"/>
  <c r="BB272" i="3"/>
  <c r="BC272" i="3"/>
  <c r="BB273" i="3"/>
  <c r="BC273" i="3"/>
  <c r="BB274" i="3"/>
  <c r="BC274" i="3"/>
  <c r="BB275" i="3"/>
  <c r="BC275" i="3"/>
  <c r="BB276" i="3"/>
  <c r="BC276" i="3"/>
  <c r="BB277" i="3"/>
  <c r="BC277" i="3"/>
  <c r="BB278" i="3"/>
  <c r="BC278" i="3"/>
  <c r="BB279" i="3"/>
  <c r="BC279" i="3"/>
  <c r="BB280" i="3"/>
  <c r="BC280" i="3"/>
  <c r="BB281" i="3"/>
  <c r="BC281" i="3"/>
  <c r="BB282" i="3"/>
  <c r="BC282" i="3"/>
  <c r="BB283" i="3"/>
  <c r="BC283" i="3"/>
  <c r="BB284" i="3"/>
  <c r="BC284" i="3"/>
  <c r="BB285" i="3"/>
  <c r="BC285" i="3"/>
  <c r="BB286" i="3"/>
  <c r="BC286" i="3"/>
  <c r="BB287" i="3"/>
  <c r="BC287" i="3"/>
  <c r="BB288" i="3"/>
  <c r="BC288" i="3"/>
  <c r="BB289" i="3"/>
  <c r="BC289" i="3"/>
  <c r="BB290" i="3"/>
  <c r="BC290" i="3"/>
  <c r="BB291" i="3"/>
  <c r="BC291" i="3"/>
  <c r="BB292" i="3"/>
  <c r="BC292" i="3"/>
  <c r="BB293" i="3"/>
  <c r="BC293" i="3"/>
  <c r="BB294" i="3"/>
  <c r="BC294" i="3"/>
  <c r="BB295" i="3"/>
  <c r="BC295" i="3"/>
  <c r="BB296" i="3"/>
  <c r="BC296" i="3"/>
  <c r="BB297" i="3"/>
  <c r="BC297" i="3"/>
  <c r="BB298" i="3"/>
  <c r="BC298" i="3"/>
  <c r="BB299" i="3"/>
  <c r="BC299" i="3"/>
  <c r="BB300" i="3"/>
  <c r="BC300" i="3"/>
  <c r="BB301" i="3"/>
  <c r="BC301" i="3"/>
  <c r="BB302" i="3"/>
  <c r="BC302" i="3"/>
  <c r="BB303" i="3"/>
  <c r="BC303" i="3"/>
  <c r="BB304" i="3"/>
  <c r="BC304" i="3"/>
  <c r="BB305" i="3"/>
  <c r="BC305" i="3"/>
  <c r="BB306" i="3"/>
  <c r="BC306" i="3"/>
  <c r="BB307" i="3"/>
  <c r="BC307" i="3"/>
  <c r="BB308" i="3"/>
  <c r="BC308" i="3"/>
  <c r="BB309" i="3"/>
  <c r="BC309" i="3"/>
  <c r="BB310" i="3"/>
  <c r="BC310" i="3"/>
  <c r="BB311" i="3"/>
  <c r="BC311" i="3"/>
  <c r="BB312" i="3"/>
  <c r="BC312" i="3"/>
  <c r="BB313" i="3"/>
  <c r="BC313" i="3"/>
  <c r="BB314" i="3"/>
  <c r="BC314" i="3"/>
  <c r="BB315" i="3"/>
  <c r="BC315" i="3"/>
  <c r="BB316" i="3"/>
  <c r="BC316" i="3"/>
  <c r="BB317" i="3"/>
  <c r="BC317" i="3"/>
  <c r="BB318" i="3"/>
  <c r="BC318" i="3"/>
  <c r="BB319" i="3"/>
  <c r="BC319" i="3"/>
  <c r="BB320" i="3"/>
  <c r="BC320" i="3"/>
  <c r="BB321" i="3"/>
  <c r="BC321" i="3"/>
  <c r="BB322" i="3"/>
  <c r="BC322" i="3"/>
  <c r="BB323" i="3"/>
  <c r="BC323" i="3"/>
  <c r="BB324" i="3"/>
  <c r="BC324" i="3"/>
  <c r="BB325" i="3"/>
  <c r="BC325" i="3"/>
  <c r="BB326" i="3"/>
  <c r="BC326" i="3"/>
  <c r="BB327" i="3"/>
  <c r="BC327" i="3"/>
  <c r="BB328" i="3"/>
  <c r="BC328" i="3"/>
  <c r="BB329" i="3"/>
  <c r="BC329" i="3"/>
  <c r="BB330" i="3"/>
  <c r="BC330" i="3"/>
  <c r="BB331" i="3"/>
  <c r="BC331" i="3"/>
  <c r="BB332" i="3"/>
  <c r="BC332" i="3"/>
  <c r="BB333" i="3"/>
  <c r="BC333" i="3"/>
  <c r="BB334" i="3"/>
  <c r="BC334" i="3"/>
  <c r="BB335" i="3"/>
  <c r="BC335" i="3"/>
  <c r="BB336" i="3"/>
  <c r="BC336" i="3"/>
  <c r="BB337" i="3"/>
  <c r="BC337" i="3"/>
  <c r="BB338" i="3"/>
  <c r="BC338" i="3"/>
  <c r="BB339" i="3"/>
  <c r="BC339" i="3"/>
  <c r="BB340" i="3"/>
  <c r="BC340" i="3"/>
  <c r="BB341" i="3"/>
  <c r="BC341" i="3"/>
  <c r="BB342" i="3"/>
  <c r="BC342" i="3"/>
  <c r="BB343" i="3"/>
  <c r="BC343" i="3"/>
  <c r="BB344" i="3"/>
  <c r="BC344" i="3"/>
  <c r="BB345" i="3"/>
  <c r="BC345" i="3"/>
  <c r="BB346" i="3"/>
  <c r="BC346" i="3"/>
  <c r="BB347" i="3"/>
  <c r="BC347" i="3"/>
  <c r="BB348" i="3"/>
  <c r="BC348" i="3"/>
  <c r="BB349" i="3"/>
  <c r="BC349" i="3"/>
  <c r="BB350" i="3"/>
  <c r="BC350" i="3"/>
  <c r="BB351" i="3"/>
  <c r="BC351" i="3"/>
  <c r="BB352" i="3"/>
  <c r="BC352" i="3"/>
  <c r="BB353" i="3"/>
  <c r="BC353" i="3"/>
  <c r="BB354" i="3"/>
  <c r="BC354" i="3"/>
  <c r="BB355" i="3"/>
  <c r="BC355" i="3"/>
  <c r="BB356" i="3"/>
  <c r="BC356" i="3"/>
  <c r="BB357" i="3"/>
  <c r="BC357" i="3"/>
  <c r="BB358" i="3"/>
  <c r="BC358" i="3"/>
  <c r="BB359" i="3"/>
  <c r="BC359" i="3"/>
  <c r="BB360" i="3"/>
  <c r="BC360" i="3"/>
  <c r="BB361" i="3"/>
  <c r="BC361" i="3"/>
  <c r="BB362" i="3"/>
  <c r="BC362" i="3"/>
  <c r="BB363" i="3"/>
  <c r="BC363" i="3"/>
  <c r="BB364" i="3"/>
  <c r="BC364" i="3"/>
  <c r="BB365" i="3"/>
  <c r="BC365" i="3"/>
  <c r="BB366" i="3"/>
  <c r="BC366" i="3"/>
  <c r="BB367" i="3"/>
  <c r="BC367" i="3"/>
  <c r="BB368" i="3"/>
  <c r="BC368" i="3"/>
  <c r="BB369" i="3"/>
  <c r="BC369" i="3"/>
  <c r="BB370" i="3"/>
  <c r="BC370" i="3"/>
  <c r="BB371" i="3"/>
  <c r="BC371" i="3"/>
  <c r="BB372" i="3"/>
  <c r="BC372" i="3"/>
  <c r="BB373" i="3"/>
  <c r="BC373" i="3"/>
  <c r="BB374" i="3"/>
  <c r="BC374" i="3"/>
  <c r="BB375" i="3"/>
  <c r="BC375" i="3"/>
  <c r="BB376" i="3"/>
  <c r="BC376" i="3"/>
  <c r="BB377" i="3"/>
  <c r="BC377" i="3"/>
  <c r="BB378" i="3"/>
  <c r="BC378" i="3"/>
  <c r="BB379" i="3"/>
  <c r="BC379" i="3"/>
  <c r="BB380" i="3"/>
  <c r="BC380" i="3"/>
  <c r="BB381" i="3"/>
  <c r="BC381" i="3"/>
  <c r="BB382" i="3"/>
  <c r="BC382" i="3"/>
  <c r="BB383" i="3"/>
  <c r="BC383" i="3"/>
  <c r="BB384" i="3"/>
  <c r="BC384" i="3"/>
  <c r="BB385" i="3"/>
  <c r="BC385" i="3"/>
  <c r="BB386" i="3"/>
  <c r="BC386" i="3"/>
  <c r="BB387" i="3"/>
  <c r="BC387" i="3"/>
  <c r="BB388" i="3"/>
  <c r="BC388" i="3"/>
  <c r="BB389" i="3"/>
  <c r="BC389" i="3"/>
  <c r="BB390" i="3"/>
  <c r="BC390" i="3"/>
  <c r="BB391" i="3"/>
  <c r="BC391" i="3"/>
  <c r="BB392" i="3"/>
  <c r="BC392" i="3"/>
  <c r="BB393" i="3"/>
  <c r="BC393" i="3"/>
  <c r="BB394" i="3"/>
  <c r="BC394" i="3"/>
  <c r="BB395" i="3"/>
  <c r="BC395" i="3"/>
  <c r="BB396" i="3"/>
  <c r="BC396" i="3"/>
  <c r="BB397" i="3"/>
  <c r="BC397" i="3"/>
  <c r="BB398" i="3"/>
  <c r="BC398" i="3"/>
  <c r="BB399" i="3"/>
  <c r="BC399" i="3"/>
  <c r="BB400" i="3"/>
  <c r="BC400" i="3"/>
  <c r="BB401" i="3"/>
  <c r="BC401" i="3"/>
  <c r="BB402" i="3"/>
  <c r="BC402" i="3"/>
  <c r="BB403" i="3"/>
  <c r="BC403" i="3"/>
  <c r="BB404" i="3"/>
  <c r="BC404" i="3"/>
  <c r="BB405" i="3"/>
  <c r="BC405" i="3"/>
  <c r="BB406" i="3"/>
  <c r="BC406" i="3"/>
  <c r="B14" i="3" l="1"/>
  <c r="B15" i="3" s="1"/>
  <c r="CF13" i="3"/>
  <c r="CH13" i="3"/>
  <c r="CY13" i="3"/>
  <c r="CZ13" i="3"/>
  <c r="CG13" i="3"/>
  <c r="HD15" i="3"/>
  <c r="HA16" i="3"/>
  <c r="GI118" i="3"/>
  <c r="BC11" i="3"/>
  <c r="HQ10" i="3"/>
  <c r="DU11" i="3"/>
  <c r="CU11" i="3"/>
  <c r="CN11" i="3"/>
  <c r="CZ11" i="3"/>
  <c r="EJ11" i="3"/>
  <c r="CX10" i="3"/>
  <c r="ES11" i="3"/>
  <c r="CJ10" i="3"/>
  <c r="CY10" i="3"/>
  <c r="CN12" i="3"/>
  <c r="CR11" i="3"/>
  <c r="EP12" i="3"/>
  <c r="DX10" i="3"/>
  <c r="CP10" i="3"/>
  <c r="CX12" i="3"/>
  <c r="CV10" i="3"/>
  <c r="CN10" i="3"/>
  <c r="EP10" i="3"/>
  <c r="CU10" i="3"/>
  <c r="CK10" i="3"/>
  <c r="DU10" i="3"/>
  <c r="CR12" i="3"/>
  <c r="CR10" i="3"/>
  <c r="CL10" i="3"/>
  <c r="ES10" i="3"/>
  <c r="IC10" i="3"/>
  <c r="AP10" i="3"/>
  <c r="C11" i="3"/>
  <c r="DK12" i="3"/>
  <c r="ES12" i="3"/>
  <c r="CK12" i="3"/>
  <c r="CP12" i="3"/>
  <c r="CU12" i="3"/>
  <c r="DX12" i="3"/>
  <c r="CL12" i="3"/>
  <c r="CV12" i="3"/>
  <c r="HQ12" i="3"/>
  <c r="DU12" i="3"/>
  <c r="CI12" i="3"/>
  <c r="CM12" i="3"/>
  <c r="CW12" i="3"/>
  <c r="CJ12" i="3"/>
  <c r="CL11" i="3"/>
  <c r="DX11" i="3"/>
  <c r="CY11" i="3"/>
  <c r="CI11" i="3"/>
  <c r="CM11" i="3"/>
  <c r="EY11" i="3"/>
  <c r="CW11" i="3"/>
  <c r="FB4" i="3"/>
  <c r="CX11" i="3"/>
  <c r="CK11" i="3"/>
  <c r="EP11" i="3"/>
  <c r="BB11" i="3"/>
  <c r="CV11" i="3"/>
  <c r="CP11" i="3"/>
  <c r="CJ11" i="3"/>
  <c r="P11" i="3"/>
  <c r="EM4" i="3"/>
  <c r="CI10" i="3"/>
  <c r="CM10" i="3"/>
  <c r="EY10" i="3"/>
  <c r="CW10" i="3"/>
  <c r="ED10" i="3"/>
  <c r="CZ10" i="3"/>
  <c r="BB10" i="3"/>
  <c r="BI10" i="3" s="1"/>
  <c r="C12" i="3" l="1"/>
  <c r="HA17" i="3"/>
  <c r="HD16" i="3"/>
  <c r="CY15" i="3"/>
  <c r="CZ15" i="3"/>
  <c r="CF15" i="3"/>
  <c r="CG15" i="3"/>
  <c r="CH15" i="3"/>
  <c r="CF14" i="3"/>
  <c r="CG14" i="3"/>
  <c r="CH14" i="3"/>
  <c r="CZ14" i="3"/>
  <c r="CY14" i="3"/>
  <c r="GI119" i="3"/>
  <c r="B16" i="3"/>
  <c r="HQ13" i="3"/>
  <c r="HS13" i="3"/>
  <c r="I14" i="3"/>
  <c r="J14" i="3" s="1"/>
  <c r="S14" i="3"/>
  <c r="EG14" i="3" s="1"/>
  <c r="BC14" i="3"/>
  <c r="BB14" i="3"/>
  <c r="P14" i="3"/>
  <c r="U14" i="3"/>
  <c r="GF10" i="3"/>
  <c r="AP11" i="3"/>
  <c r="CS11" i="3" s="1"/>
  <c r="EJ12" i="3"/>
  <c r="HS12" i="3"/>
  <c r="IC11" i="3"/>
  <c r="GF11" i="3" s="1"/>
  <c r="DR10" i="3"/>
  <c r="BI11" i="3"/>
  <c r="EA11" i="3" s="1"/>
  <c r="DR12" i="3"/>
  <c r="DO12" i="3"/>
  <c r="CH10" i="3"/>
  <c r="HS11" i="3"/>
  <c r="CH11" i="3"/>
  <c r="FE12" i="3"/>
  <c r="AN10" i="3"/>
  <c r="DD10" i="3" s="1"/>
  <c r="AN11" i="3"/>
  <c r="DD11" i="3" s="1"/>
  <c r="DC11" i="3" s="1"/>
  <c r="DB11" i="3" s="1"/>
  <c r="DA11" i="3" s="1"/>
  <c r="FW11" i="3" s="1"/>
  <c r="DL12" i="3"/>
  <c r="DM12" i="3" s="1"/>
  <c r="U10" i="3"/>
  <c r="DO10" i="3"/>
  <c r="EJ10" i="3"/>
  <c r="HS10" i="3"/>
  <c r="CS10" i="3"/>
  <c r="AQ10" i="3"/>
  <c r="CQ10" i="3"/>
  <c r="CQ12" i="3"/>
  <c r="EY12" i="3"/>
  <c r="GP11" i="3"/>
  <c r="GY11" i="3"/>
  <c r="BJ11" i="3"/>
  <c r="CO11" i="3" s="1"/>
  <c r="DU4" i="3"/>
  <c r="DU6" i="3" s="1"/>
  <c r="FB6" i="3"/>
  <c r="DL10" i="3"/>
  <c r="FE10" i="3"/>
  <c r="I10" i="3"/>
  <c r="DK10" i="3"/>
  <c r="CG10" i="3"/>
  <c r="EM6" i="3"/>
  <c r="DL11" i="3"/>
  <c r="CG11" i="3"/>
  <c r="FE11" i="3"/>
  <c r="I11" i="3"/>
  <c r="DK11" i="3"/>
  <c r="ES4" i="3"/>
  <c r="AX10" i="3"/>
  <c r="HQ11" i="3"/>
  <c r="AX11" i="3"/>
  <c r="BJ10" i="3"/>
  <c r="CO10" i="3" s="1"/>
  <c r="EA10" i="3"/>
  <c r="EP4" i="3"/>
  <c r="DO11" i="3"/>
  <c r="U11" i="3"/>
  <c r="DR11" i="3"/>
  <c r="CQ11" i="3"/>
  <c r="GY12" i="3" l="1"/>
  <c r="C13" i="3"/>
  <c r="DM10" i="3"/>
  <c r="HD17" i="3"/>
  <c r="HA18" i="3"/>
  <c r="B17" i="3"/>
  <c r="CG16" i="3"/>
  <c r="CH16" i="3"/>
  <c r="CZ16" i="3"/>
  <c r="CY16" i="3"/>
  <c r="CF16" i="3"/>
  <c r="FC13" i="3"/>
  <c r="FC15" i="3"/>
  <c r="FC16" i="3"/>
  <c r="FC17" i="3"/>
  <c r="FC18" i="3"/>
  <c r="FC19" i="3"/>
  <c r="FC20" i="3"/>
  <c r="FC21" i="3"/>
  <c r="FC22" i="3"/>
  <c r="FC23" i="3"/>
  <c r="FC24" i="3"/>
  <c r="FC25" i="3"/>
  <c r="FC26" i="3"/>
  <c r="FC27" i="3"/>
  <c r="FC28" i="3"/>
  <c r="FC29" i="3"/>
  <c r="FC30" i="3"/>
  <c r="FC31" i="3"/>
  <c r="FC32" i="3"/>
  <c r="FC33" i="3"/>
  <c r="FC63" i="3"/>
  <c r="FC55" i="3"/>
  <c r="FC60" i="3"/>
  <c r="FC58" i="3"/>
  <c r="FC75" i="3"/>
  <c r="FC56" i="3"/>
  <c r="FC73" i="3"/>
  <c r="FC64" i="3"/>
  <c r="FC78" i="3"/>
  <c r="FC87" i="3"/>
  <c r="FC91" i="3"/>
  <c r="FC93" i="3"/>
  <c r="FC77" i="3"/>
  <c r="FC84" i="3"/>
  <c r="FC72" i="3"/>
  <c r="FC79" i="3"/>
  <c r="FC89" i="3"/>
  <c r="FC100" i="3"/>
  <c r="FC90" i="3"/>
  <c r="FC96" i="3"/>
  <c r="FC99" i="3"/>
  <c r="FC83" i="3"/>
  <c r="FC103" i="3"/>
  <c r="FC102" i="3"/>
  <c r="FC104" i="3"/>
  <c r="FC105" i="3"/>
  <c r="FC113" i="3"/>
  <c r="FC114" i="3"/>
  <c r="FC115" i="3"/>
  <c r="FC116" i="3"/>
  <c r="FC117" i="3"/>
  <c r="FC118" i="3"/>
  <c r="FC119" i="3"/>
  <c r="FC120" i="3"/>
  <c r="FC121" i="3"/>
  <c r="FC122" i="3"/>
  <c r="FC106" i="3"/>
  <c r="FC95" i="3"/>
  <c r="FC107" i="3"/>
  <c r="FC126" i="3"/>
  <c r="FC127" i="3"/>
  <c r="FC125" i="3"/>
  <c r="FC123" i="3"/>
  <c r="FC128" i="3"/>
  <c r="FC111" i="3"/>
  <c r="FC112" i="3"/>
  <c r="FC109" i="3"/>
  <c r="FC108" i="3"/>
  <c r="FC124" i="3"/>
  <c r="FC143" i="3"/>
  <c r="FC166" i="3"/>
  <c r="FC164" i="3"/>
  <c r="FC65" i="3"/>
  <c r="FC160" i="3"/>
  <c r="FC161" i="3"/>
  <c r="FC92" i="3"/>
  <c r="FC76" i="3"/>
  <c r="FC61" i="3"/>
  <c r="FC44" i="3"/>
  <c r="FC34" i="3"/>
  <c r="FC153" i="3"/>
  <c r="FC138" i="3"/>
  <c r="FC135" i="3"/>
  <c r="FC98" i="3"/>
  <c r="FC74" i="3"/>
  <c r="FC49" i="3"/>
  <c r="FC57" i="3"/>
  <c r="FC43" i="3"/>
  <c r="FC46" i="3"/>
  <c r="FC139" i="3"/>
  <c r="FC140" i="3"/>
  <c r="FC82" i="3"/>
  <c r="FC69" i="3"/>
  <c r="FC54" i="3"/>
  <c r="FC47" i="3"/>
  <c r="FC41" i="3"/>
  <c r="FC159" i="3"/>
  <c r="FC152" i="3"/>
  <c r="FC129" i="3"/>
  <c r="FC133" i="3"/>
  <c r="FC71" i="3"/>
  <c r="FC130" i="3"/>
  <c r="FC14" i="3"/>
  <c r="FC132" i="3"/>
  <c r="FC151" i="3"/>
  <c r="FC131" i="3"/>
  <c r="FC80" i="3"/>
  <c r="FC66" i="3"/>
  <c r="FC50" i="3"/>
  <c r="FC158" i="3"/>
  <c r="FC163" i="3"/>
  <c r="FC155" i="3"/>
  <c r="FC85" i="3"/>
  <c r="FC88" i="3"/>
  <c r="FC42" i="3"/>
  <c r="FC167" i="3"/>
  <c r="FC157" i="3"/>
  <c r="FC147" i="3"/>
  <c r="FC162" i="3"/>
  <c r="FC149" i="3"/>
  <c r="FC110" i="3"/>
  <c r="FC68" i="3"/>
  <c r="FC62" i="3"/>
  <c r="FC40" i="3"/>
  <c r="FC35" i="3"/>
  <c r="FC141" i="3"/>
  <c r="FC148" i="3"/>
  <c r="FC86" i="3"/>
  <c r="FC59" i="3"/>
  <c r="FC67" i="3"/>
  <c r="FC45" i="3"/>
  <c r="FC51" i="3"/>
  <c r="FC52" i="3"/>
  <c r="FC38" i="3"/>
  <c r="FC156" i="3"/>
  <c r="FC144" i="3"/>
  <c r="FC101" i="3"/>
  <c r="FC150" i="3"/>
  <c r="FC145" i="3"/>
  <c r="FC142" i="3"/>
  <c r="FC137" i="3"/>
  <c r="FC154" i="3"/>
  <c r="FC146" i="3"/>
  <c r="FC39" i="3"/>
  <c r="FC70" i="3"/>
  <c r="FC36" i="3"/>
  <c r="FC134" i="3"/>
  <c r="FC81" i="3"/>
  <c r="FC136" i="3"/>
  <c r="FC97" i="3"/>
  <c r="FC37" i="3"/>
  <c r="FC165" i="3"/>
  <c r="FC94" i="3"/>
  <c r="FC48" i="3"/>
  <c r="FC53" i="3"/>
  <c r="DV36" i="3"/>
  <c r="DV40" i="3"/>
  <c r="DV42" i="3"/>
  <c r="DV35" i="3"/>
  <c r="DV41" i="3"/>
  <c r="DV43" i="3"/>
  <c r="DV51" i="3"/>
  <c r="DV44" i="3"/>
  <c r="DV48" i="3"/>
  <c r="DV37" i="3"/>
  <c r="DV53" i="3"/>
  <c r="DV49" i="3"/>
  <c r="DV55" i="3"/>
  <c r="DV56" i="3"/>
  <c r="DV62" i="3"/>
  <c r="DV57" i="3"/>
  <c r="DV54" i="3"/>
  <c r="DV63" i="3"/>
  <c r="DV58" i="3"/>
  <c r="DV52" i="3"/>
  <c r="DV69" i="3"/>
  <c r="DV72" i="3"/>
  <c r="DV73" i="3"/>
  <c r="DV74" i="3"/>
  <c r="DV76" i="3"/>
  <c r="DV66" i="3"/>
  <c r="DV65" i="3"/>
  <c r="DV59" i="3"/>
  <c r="DV75" i="3"/>
  <c r="DV86" i="3"/>
  <c r="DV68" i="3"/>
  <c r="DV93" i="3"/>
  <c r="DV91" i="3"/>
  <c r="DV67" i="3"/>
  <c r="DV81" i="3"/>
  <c r="DV89" i="3"/>
  <c r="DV96" i="3"/>
  <c r="DV88" i="3"/>
  <c r="DV94" i="3"/>
  <c r="DV100" i="3"/>
  <c r="DV95" i="3"/>
  <c r="DV80" i="3"/>
  <c r="DV84" i="3"/>
  <c r="DV92" i="3"/>
  <c r="DV113" i="3"/>
  <c r="DV102" i="3"/>
  <c r="DV127" i="3"/>
  <c r="DV130" i="3"/>
  <c r="DV132" i="3"/>
  <c r="DV128" i="3"/>
  <c r="DV131" i="3"/>
  <c r="DV137" i="3"/>
  <c r="DV139" i="3"/>
  <c r="DV150" i="3"/>
  <c r="DV147" i="3"/>
  <c r="DV141" i="3"/>
  <c r="DV155" i="3"/>
  <c r="DV162" i="3"/>
  <c r="DV161" i="3"/>
  <c r="DV154" i="3"/>
  <c r="DV156" i="3"/>
  <c r="DV165" i="3"/>
  <c r="DV166" i="3"/>
  <c r="DV160" i="3"/>
  <c r="DV164" i="3"/>
  <c r="DV152" i="3"/>
  <c r="DV163" i="3"/>
  <c r="DV118" i="3"/>
  <c r="DV123" i="3"/>
  <c r="DV109" i="3"/>
  <c r="DV87" i="3"/>
  <c r="DV70" i="3"/>
  <c r="DV23" i="3"/>
  <c r="DV142" i="3"/>
  <c r="DV21" i="3"/>
  <c r="DV20" i="3"/>
  <c r="DV145" i="3"/>
  <c r="DV151" i="3"/>
  <c r="DV107" i="3"/>
  <c r="DV39" i="3"/>
  <c r="DV19" i="3"/>
  <c r="DV157" i="3"/>
  <c r="DV143" i="3"/>
  <c r="DV136" i="3"/>
  <c r="DV116" i="3"/>
  <c r="DV106" i="3"/>
  <c r="DV79" i="3"/>
  <c r="DV16" i="3"/>
  <c r="DV32" i="3"/>
  <c r="DV167" i="3"/>
  <c r="DV148" i="3"/>
  <c r="DV115" i="3"/>
  <c r="DV112" i="3"/>
  <c r="DV119" i="3"/>
  <c r="DV50" i="3"/>
  <c r="DV114" i="3"/>
  <c r="DV120" i="3"/>
  <c r="DV149" i="3"/>
  <c r="DV99" i="3"/>
  <c r="DV30" i="3"/>
  <c r="DV110" i="3"/>
  <c r="DV122" i="3"/>
  <c r="DV97" i="3"/>
  <c r="DV101" i="3"/>
  <c r="DV47" i="3"/>
  <c r="DV17" i="3"/>
  <c r="DV135" i="3"/>
  <c r="DV111" i="3"/>
  <c r="DV71" i="3"/>
  <c r="DV46" i="3"/>
  <c r="DV34" i="3"/>
  <c r="DV159" i="3"/>
  <c r="DV144" i="3"/>
  <c r="DV98" i="3"/>
  <c r="DV83" i="3"/>
  <c r="DV77" i="3"/>
  <c r="DV38" i="3"/>
  <c r="DV31" i="3"/>
  <c r="DV78" i="3"/>
  <c r="DV64" i="3"/>
  <c r="DV29" i="3"/>
  <c r="DV125" i="3"/>
  <c r="DV105" i="3"/>
  <c r="DV60" i="3"/>
  <c r="DV61" i="3"/>
  <c r="DV25" i="3"/>
  <c r="DV140" i="3"/>
  <c r="DV134" i="3"/>
  <c r="DV133" i="3"/>
  <c r="DV121" i="3"/>
  <c r="DV158" i="3"/>
  <c r="DV153" i="3"/>
  <c r="DV103" i="3"/>
  <c r="DV28" i="3"/>
  <c r="DV13" i="3"/>
  <c r="DV124" i="3"/>
  <c r="DV108" i="3"/>
  <c r="DV14" i="3"/>
  <c r="DV22" i="3"/>
  <c r="DV85" i="3"/>
  <c r="DV18" i="3"/>
  <c r="DV33" i="3"/>
  <c r="DV82" i="3"/>
  <c r="DV45" i="3"/>
  <c r="DV146" i="3"/>
  <c r="DV27" i="3"/>
  <c r="DV138" i="3"/>
  <c r="DV26" i="3"/>
  <c r="DV129" i="3"/>
  <c r="DV104" i="3"/>
  <c r="DV15" i="3"/>
  <c r="DV117" i="3"/>
  <c r="DV24" i="3"/>
  <c r="DV90" i="3"/>
  <c r="DV126" i="3"/>
  <c r="EN13" i="3"/>
  <c r="EN14" i="3"/>
  <c r="EN26" i="3"/>
  <c r="EN27" i="3"/>
  <c r="EN32" i="3"/>
  <c r="EN17" i="3"/>
  <c r="EN21" i="3"/>
  <c r="EN25" i="3"/>
  <c r="EN28" i="3"/>
  <c r="EN16" i="3"/>
  <c r="EN20" i="3"/>
  <c r="EN24" i="3"/>
  <c r="EN31" i="3"/>
  <c r="EN15" i="3"/>
  <c r="EN19" i="3"/>
  <c r="EN23" i="3"/>
  <c r="EN39" i="3"/>
  <c r="EN36" i="3"/>
  <c r="EN47" i="3"/>
  <c r="EN48" i="3"/>
  <c r="EN22" i="3"/>
  <c r="EN29" i="3"/>
  <c r="EN35" i="3"/>
  <c r="EN40" i="3"/>
  <c r="EN42" i="3"/>
  <c r="EN18" i="3"/>
  <c r="EN30" i="3"/>
  <c r="EN33" i="3"/>
  <c r="EN34" i="3"/>
  <c r="EN38" i="3"/>
  <c r="EN37" i="3"/>
  <c r="EN41" i="3"/>
  <c r="EN51" i="3"/>
  <c r="EN50" i="3"/>
  <c r="EN49" i="3"/>
  <c r="EN62" i="3"/>
  <c r="EN52" i="3"/>
  <c r="EN63" i="3"/>
  <c r="EN59" i="3"/>
  <c r="EN66" i="3"/>
  <c r="EN68" i="3"/>
  <c r="EN74" i="3"/>
  <c r="EN64" i="3"/>
  <c r="EN70" i="3"/>
  <c r="EN67" i="3"/>
  <c r="EN69" i="3"/>
  <c r="EN72" i="3"/>
  <c r="EN97" i="3"/>
  <c r="EN86" i="3"/>
  <c r="EN93" i="3"/>
  <c r="EN91" i="3"/>
  <c r="EN89" i="3"/>
  <c r="EN98" i="3"/>
  <c r="EN101" i="3"/>
  <c r="EN65" i="3"/>
  <c r="EN88" i="3"/>
  <c r="EN71" i="3"/>
  <c r="EN92" i="3"/>
  <c r="EN104" i="3"/>
  <c r="EN94" i="3"/>
  <c r="EN109" i="3"/>
  <c r="EN110" i="3"/>
  <c r="EN107" i="3"/>
  <c r="EN99" i="3"/>
  <c r="EN134" i="3"/>
  <c r="EN135" i="3"/>
  <c r="EN130" i="3"/>
  <c r="EN132" i="3"/>
  <c r="EN125" i="3"/>
  <c r="EN128" i="3"/>
  <c r="EN105" i="3"/>
  <c r="EN124" i="3"/>
  <c r="EN131" i="3"/>
  <c r="EN138" i="3"/>
  <c r="EN137" i="3"/>
  <c r="EN144" i="3"/>
  <c r="EN136" i="3"/>
  <c r="EN141" i="3"/>
  <c r="EN142" i="3"/>
  <c r="EN140" i="3"/>
  <c r="EN148" i="3"/>
  <c r="EN149" i="3"/>
  <c r="EN150" i="3"/>
  <c r="EN147" i="3"/>
  <c r="EN151" i="3"/>
  <c r="EN139" i="3"/>
  <c r="EN146" i="3"/>
  <c r="EN145" i="3"/>
  <c r="EN163" i="3"/>
  <c r="EN162" i="3"/>
  <c r="EN154" i="3"/>
  <c r="EN156" i="3"/>
  <c r="EN161" i="3"/>
  <c r="EN152" i="3"/>
  <c r="EN158" i="3"/>
  <c r="EN165" i="3"/>
  <c r="EN166" i="3"/>
  <c r="EN167" i="3"/>
  <c r="EN160" i="3"/>
  <c r="EN164" i="3"/>
  <c r="EN153" i="3"/>
  <c r="EN155" i="3"/>
  <c r="EN123" i="3"/>
  <c r="EN53" i="3"/>
  <c r="EN120" i="3"/>
  <c r="EN85" i="3"/>
  <c r="EN55" i="3"/>
  <c r="EN57" i="3"/>
  <c r="EN121" i="3"/>
  <c r="EN106" i="3"/>
  <c r="EN90" i="3"/>
  <c r="EN87" i="3"/>
  <c r="EN44" i="3"/>
  <c r="EN46" i="3"/>
  <c r="EN78" i="3"/>
  <c r="EN61" i="3"/>
  <c r="EN102" i="3"/>
  <c r="EN133" i="3"/>
  <c r="EN129" i="3"/>
  <c r="EN127" i="3"/>
  <c r="EN108" i="3"/>
  <c r="EN100" i="3"/>
  <c r="EN95" i="3"/>
  <c r="EN60" i="3"/>
  <c r="EN80" i="3"/>
  <c r="EN45" i="3"/>
  <c r="EN143" i="3"/>
  <c r="EN122" i="3"/>
  <c r="EN76" i="3"/>
  <c r="EN116" i="3"/>
  <c r="EN115" i="3"/>
  <c r="EN79" i="3"/>
  <c r="EN157" i="3"/>
  <c r="EN96" i="3"/>
  <c r="EN126" i="3"/>
  <c r="EN114" i="3"/>
  <c r="EN118" i="3"/>
  <c r="EN81" i="3"/>
  <c r="EN84" i="3"/>
  <c r="EN77" i="3"/>
  <c r="EN58" i="3"/>
  <c r="EN73" i="3"/>
  <c r="EN159" i="3"/>
  <c r="EN75" i="3"/>
  <c r="EN103" i="3"/>
  <c r="EN117" i="3"/>
  <c r="EN113" i="3"/>
  <c r="EN111" i="3"/>
  <c r="EN119" i="3"/>
  <c r="EN82" i="3"/>
  <c r="EN54" i="3"/>
  <c r="EN83" i="3"/>
  <c r="EN43" i="3"/>
  <c r="EN112" i="3"/>
  <c r="EN56" i="3"/>
  <c r="GI120" i="3"/>
  <c r="HR14" i="3"/>
  <c r="K14" i="3"/>
  <c r="DJ14" i="3" s="1"/>
  <c r="BJ14" i="3"/>
  <c r="CO14" i="3" s="1"/>
  <c r="BI14" i="3"/>
  <c r="EA14" i="3" s="1"/>
  <c r="GP12" i="3"/>
  <c r="GY13" i="3" s="1"/>
  <c r="BC15" i="3"/>
  <c r="S15" i="3"/>
  <c r="EG15" i="3" s="1"/>
  <c r="U15" i="3"/>
  <c r="I15" i="3"/>
  <c r="K15" i="3" s="1"/>
  <c r="P15" i="3"/>
  <c r="BB15" i="3"/>
  <c r="AQ11" i="3"/>
  <c r="DM11" i="3"/>
  <c r="V10" i="3"/>
  <c r="V11" i="3"/>
  <c r="FT11" i="3"/>
  <c r="IF11" i="3"/>
  <c r="FY11" i="3"/>
  <c r="FX11" i="3"/>
  <c r="FQ11" i="3"/>
  <c r="EJ4" i="3"/>
  <c r="EN10" i="3"/>
  <c r="EN12" i="3"/>
  <c r="EN11" i="3"/>
  <c r="DC10" i="3"/>
  <c r="EP6" i="3"/>
  <c r="J11" i="3"/>
  <c r="K11" i="3"/>
  <c r="DV10" i="3"/>
  <c r="DV12" i="3"/>
  <c r="DV11" i="3"/>
  <c r="ES6" i="3"/>
  <c r="J10" i="3"/>
  <c r="K10" i="3"/>
  <c r="FC11" i="3"/>
  <c r="FC12" i="3"/>
  <c r="FC10" i="3"/>
  <c r="IC13" i="3" l="1"/>
  <c r="GF13" i="3" s="1"/>
  <c r="C14" i="3"/>
  <c r="DV6" i="3"/>
  <c r="HA19" i="3"/>
  <c r="HD18" i="3"/>
  <c r="B18" i="3"/>
  <c r="CG17" i="3"/>
  <c r="CH17" i="3"/>
  <c r="CY17" i="3"/>
  <c r="CZ17" i="3"/>
  <c r="CF17" i="3"/>
  <c r="GI121" i="3"/>
  <c r="EQ18" i="3"/>
  <c r="EQ22" i="3"/>
  <c r="EQ14" i="3"/>
  <c r="EQ17" i="3"/>
  <c r="EQ21" i="3"/>
  <c r="EQ25" i="3"/>
  <c r="EQ26" i="3"/>
  <c r="EQ27" i="3"/>
  <c r="EQ34" i="3"/>
  <c r="EQ35" i="3"/>
  <c r="EQ36" i="3"/>
  <c r="EQ37" i="3"/>
  <c r="EQ38" i="3"/>
  <c r="EQ39" i="3"/>
  <c r="EQ16" i="3"/>
  <c r="EQ13" i="3"/>
  <c r="EQ15" i="3"/>
  <c r="EQ19" i="3"/>
  <c r="EQ23" i="3"/>
  <c r="EQ41" i="3"/>
  <c r="EQ28" i="3"/>
  <c r="EQ29" i="3"/>
  <c r="EQ40" i="3"/>
  <c r="EQ42" i="3"/>
  <c r="EQ24" i="3"/>
  <c r="EQ31" i="3"/>
  <c r="EQ54" i="3"/>
  <c r="EQ55" i="3"/>
  <c r="EQ56" i="3"/>
  <c r="EQ57" i="3"/>
  <c r="EQ58" i="3"/>
  <c r="EQ59" i="3"/>
  <c r="EQ60" i="3"/>
  <c r="EQ61" i="3"/>
  <c r="EQ20" i="3"/>
  <c r="EQ74" i="3"/>
  <c r="EQ62" i="3"/>
  <c r="EQ52" i="3"/>
  <c r="EQ64" i="3"/>
  <c r="EQ63" i="3"/>
  <c r="EQ76" i="3"/>
  <c r="EQ83" i="3"/>
  <c r="EQ92" i="3"/>
  <c r="EQ94" i="3"/>
  <c r="EQ86" i="3"/>
  <c r="EQ75" i="3"/>
  <c r="EQ81" i="3"/>
  <c r="EQ91" i="3"/>
  <c r="EQ87" i="3"/>
  <c r="EQ96" i="3"/>
  <c r="EQ101" i="3"/>
  <c r="EQ108" i="3"/>
  <c r="EQ111" i="3"/>
  <c r="EQ103" i="3"/>
  <c r="EQ102" i="3"/>
  <c r="EQ104" i="3"/>
  <c r="EQ105" i="3"/>
  <c r="EQ97" i="3"/>
  <c r="EQ106" i="3"/>
  <c r="EQ112" i="3"/>
  <c r="EQ109" i="3"/>
  <c r="EQ107" i="3"/>
  <c r="EQ110" i="3"/>
  <c r="EQ122" i="3"/>
  <c r="EQ129" i="3"/>
  <c r="EQ131" i="3"/>
  <c r="EQ120" i="3"/>
  <c r="EQ118" i="3"/>
  <c r="EQ113" i="3"/>
  <c r="EQ114" i="3"/>
  <c r="EQ115" i="3"/>
  <c r="EQ116" i="3"/>
  <c r="EQ126" i="3"/>
  <c r="EQ127" i="3"/>
  <c r="EQ121" i="3"/>
  <c r="EQ119" i="3"/>
  <c r="EQ123" i="3"/>
  <c r="EQ117" i="3"/>
  <c r="EQ128" i="3"/>
  <c r="EQ130" i="3"/>
  <c r="EQ100" i="3"/>
  <c r="EQ132" i="3"/>
  <c r="EQ148" i="3"/>
  <c r="EQ149" i="3"/>
  <c r="EQ124" i="3"/>
  <c r="EQ151" i="3"/>
  <c r="EQ146" i="3"/>
  <c r="EQ150" i="3"/>
  <c r="EQ163" i="3"/>
  <c r="EQ125" i="3"/>
  <c r="EQ154" i="3"/>
  <c r="EQ162" i="3"/>
  <c r="EQ161" i="3"/>
  <c r="EQ145" i="3"/>
  <c r="EQ152" i="3"/>
  <c r="EQ158" i="3"/>
  <c r="EQ165" i="3"/>
  <c r="EQ166" i="3"/>
  <c r="EQ167" i="3"/>
  <c r="EQ153" i="3"/>
  <c r="EQ142" i="3"/>
  <c r="EQ49" i="3"/>
  <c r="EQ45" i="3"/>
  <c r="EQ50" i="3"/>
  <c r="EQ164" i="3"/>
  <c r="EQ141" i="3"/>
  <c r="EQ68" i="3"/>
  <c r="EQ43" i="3"/>
  <c r="EQ137" i="3"/>
  <c r="EQ89" i="3"/>
  <c r="EQ84" i="3"/>
  <c r="EQ44" i="3"/>
  <c r="EQ66" i="3"/>
  <c r="EQ30" i="3"/>
  <c r="EQ160" i="3"/>
  <c r="EQ138" i="3"/>
  <c r="EQ80" i="3"/>
  <c r="EQ70" i="3"/>
  <c r="EQ155" i="3"/>
  <c r="EQ144" i="3"/>
  <c r="EQ134" i="3"/>
  <c r="EQ72" i="3"/>
  <c r="EQ140" i="3"/>
  <c r="EQ78" i="3"/>
  <c r="EQ67" i="3"/>
  <c r="EQ99" i="3"/>
  <c r="EQ79" i="3"/>
  <c r="EQ53" i="3"/>
  <c r="EQ159" i="3"/>
  <c r="EQ136" i="3"/>
  <c r="EQ93" i="3"/>
  <c r="EQ65" i="3"/>
  <c r="EQ48" i="3"/>
  <c r="EQ139" i="3"/>
  <c r="EQ90" i="3"/>
  <c r="EQ88" i="3"/>
  <c r="EQ71" i="3"/>
  <c r="EQ51" i="3"/>
  <c r="EQ46" i="3"/>
  <c r="EQ147" i="3"/>
  <c r="EQ95" i="3"/>
  <c r="EQ98" i="3"/>
  <c r="EQ85" i="3"/>
  <c r="EQ69" i="3"/>
  <c r="EQ47" i="3"/>
  <c r="EQ157" i="3"/>
  <c r="EQ82" i="3"/>
  <c r="EQ156" i="3"/>
  <c r="EQ135" i="3"/>
  <c r="EQ32" i="3"/>
  <c r="EQ77" i="3"/>
  <c r="EQ33" i="3"/>
  <c r="EQ143" i="3"/>
  <c r="EQ133" i="3"/>
  <c r="EQ73" i="3"/>
  <c r="ET18" i="3"/>
  <c r="ET22" i="3"/>
  <c r="ET33" i="3"/>
  <c r="ET16" i="3"/>
  <c r="ET20" i="3"/>
  <c r="ET24" i="3"/>
  <c r="ET28" i="3"/>
  <c r="ET26" i="3"/>
  <c r="ET31" i="3"/>
  <c r="ET32" i="3"/>
  <c r="ET14" i="3"/>
  <c r="ET36" i="3"/>
  <c r="ET39" i="3"/>
  <c r="ET25" i="3"/>
  <c r="ET27" i="3"/>
  <c r="ET21" i="3"/>
  <c r="ET40" i="3"/>
  <c r="ET42" i="3"/>
  <c r="ET17" i="3"/>
  <c r="ET34" i="3"/>
  <c r="ET44" i="3"/>
  <c r="ET47" i="3"/>
  <c r="ET48" i="3"/>
  <c r="ET35" i="3"/>
  <c r="ET65" i="3"/>
  <c r="ET66" i="3"/>
  <c r="ET67" i="3"/>
  <c r="ET68" i="3"/>
  <c r="ET69" i="3"/>
  <c r="ET70" i="3"/>
  <c r="ET71" i="3"/>
  <c r="ET72" i="3"/>
  <c r="ET49" i="3"/>
  <c r="ET50" i="3"/>
  <c r="ET46" i="3"/>
  <c r="ET77" i="3"/>
  <c r="ET98" i="3"/>
  <c r="ET83" i="3"/>
  <c r="ET92" i="3"/>
  <c r="ET94" i="3"/>
  <c r="ET78" i="3"/>
  <c r="ET91" i="3"/>
  <c r="ET88" i="3"/>
  <c r="ET86" i="3"/>
  <c r="ET80" i="3"/>
  <c r="ET84" i="3"/>
  <c r="ET79" i="3"/>
  <c r="ET82" i="3"/>
  <c r="ET107" i="3"/>
  <c r="ET101" i="3"/>
  <c r="ET95" i="3"/>
  <c r="ET90" i="3"/>
  <c r="ET103" i="3"/>
  <c r="ET113" i="3"/>
  <c r="ET114" i="3"/>
  <c r="ET115" i="3"/>
  <c r="ET116" i="3"/>
  <c r="ET102" i="3"/>
  <c r="ET104" i="3"/>
  <c r="ET105" i="3"/>
  <c r="ET106" i="3"/>
  <c r="ET124" i="3"/>
  <c r="ET122" i="3"/>
  <c r="ET129" i="3"/>
  <c r="ET131" i="3"/>
  <c r="ET120" i="3"/>
  <c r="ET112" i="3"/>
  <c r="ET118" i="3"/>
  <c r="ET109" i="3"/>
  <c r="ET121" i="3"/>
  <c r="ET125" i="3"/>
  <c r="ET119" i="3"/>
  <c r="ET123" i="3"/>
  <c r="ET139" i="3"/>
  <c r="ET117" i="3"/>
  <c r="ET142" i="3"/>
  <c r="ET143" i="3"/>
  <c r="ET141" i="3"/>
  <c r="ET140" i="3"/>
  <c r="ET144" i="3"/>
  <c r="ET158" i="3"/>
  <c r="ET165" i="3"/>
  <c r="ET166" i="3"/>
  <c r="ET167" i="3"/>
  <c r="ET160" i="3"/>
  <c r="ET164" i="3"/>
  <c r="ET148" i="3"/>
  <c r="ET159" i="3"/>
  <c r="ET149" i="3"/>
  <c r="ET154" i="3"/>
  <c r="ET156" i="3"/>
  <c r="ET161" i="3"/>
  <c r="ET127" i="3"/>
  <c r="ET75" i="3"/>
  <c r="ET43" i="3"/>
  <c r="ET85" i="3"/>
  <c r="ET54" i="3"/>
  <c r="ET15" i="3"/>
  <c r="ET134" i="3"/>
  <c r="ET51" i="3"/>
  <c r="ET162" i="3"/>
  <c r="ET59" i="3"/>
  <c r="ET56" i="3"/>
  <c r="ET60" i="3"/>
  <c r="ET152" i="3"/>
  <c r="ET135" i="3"/>
  <c r="ET76" i="3"/>
  <c r="ET37" i="3"/>
  <c r="ET153" i="3"/>
  <c r="ET74" i="3"/>
  <c r="ET73" i="3"/>
  <c r="ET61" i="3"/>
  <c r="ET57" i="3"/>
  <c r="ET157" i="3"/>
  <c r="ET132" i="3"/>
  <c r="ET126" i="3"/>
  <c r="ET133" i="3"/>
  <c r="ET55" i="3"/>
  <c r="ET23" i="3"/>
  <c r="ET163" i="3"/>
  <c r="ET145" i="3"/>
  <c r="ET93" i="3"/>
  <c r="ET52" i="3"/>
  <c r="ET89" i="3"/>
  <c r="ET81" i="3"/>
  <c r="ET53" i="3"/>
  <c r="ET38" i="3"/>
  <c r="ET64" i="3"/>
  <c r="ET151" i="3"/>
  <c r="ET137" i="3"/>
  <c r="ET108" i="3"/>
  <c r="ET87" i="3"/>
  <c r="ET146" i="3"/>
  <c r="ET136" i="3"/>
  <c r="ET111" i="3"/>
  <c r="ET62" i="3"/>
  <c r="ET150" i="3"/>
  <c r="ET130" i="3"/>
  <c r="ET128" i="3"/>
  <c r="ET41" i="3"/>
  <c r="ET138" i="3"/>
  <c r="ET110" i="3"/>
  <c r="ET63" i="3"/>
  <c r="ET30" i="3"/>
  <c r="ET96" i="3"/>
  <c r="ET97" i="3"/>
  <c r="ET100" i="3"/>
  <c r="ET58" i="3"/>
  <c r="ET99" i="3"/>
  <c r="ET13" i="3"/>
  <c r="ET45" i="3"/>
  <c r="ET19" i="3"/>
  <c r="ET155" i="3"/>
  <c r="ET29" i="3"/>
  <c r="ET147" i="3"/>
  <c r="GP13" i="3"/>
  <c r="GP14" i="3" s="1"/>
  <c r="HR15" i="3"/>
  <c r="J15" i="3"/>
  <c r="DJ15" i="3" s="1"/>
  <c r="BI15" i="3"/>
  <c r="EA15" i="3" s="1"/>
  <c r="BJ15" i="3"/>
  <c r="CO15" i="3" s="1"/>
  <c r="FZ11" i="3"/>
  <c r="DJ11" i="3"/>
  <c r="DJ10" i="3"/>
  <c r="ET11" i="3"/>
  <c r="ET10" i="3"/>
  <c r="ET12" i="3"/>
  <c r="EQ12" i="3"/>
  <c r="EQ10" i="3"/>
  <c r="EQ11" i="3"/>
  <c r="EN6" i="3"/>
  <c r="EJ6" i="3"/>
  <c r="FC6" i="3"/>
  <c r="DB10" i="3"/>
  <c r="AP14" i="3" l="1"/>
  <c r="AN14" i="3"/>
  <c r="C15" i="3"/>
  <c r="GY15" i="3" s="1"/>
  <c r="IC14" i="3"/>
  <c r="GF14" i="3" s="1"/>
  <c r="AX14" i="3"/>
  <c r="B19" i="3"/>
  <c r="CF18" i="3"/>
  <c r="CH18" i="3"/>
  <c r="CY18" i="3"/>
  <c r="CZ18" i="3"/>
  <c r="CG18" i="3"/>
  <c r="GY14" i="3"/>
  <c r="HD19" i="3"/>
  <c r="HA20" i="3"/>
  <c r="EK28" i="3"/>
  <c r="EK18" i="3"/>
  <c r="EK29" i="3"/>
  <c r="EK40" i="3"/>
  <c r="EK42" i="3"/>
  <c r="EK30" i="3"/>
  <c r="EK33" i="3"/>
  <c r="EK23" i="3"/>
  <c r="EK43" i="3"/>
  <c r="EK50" i="3"/>
  <c r="EK52" i="3"/>
  <c r="EK37" i="3"/>
  <c r="EK45" i="3"/>
  <c r="EK47" i="3"/>
  <c r="EK48" i="3"/>
  <c r="EK49" i="3"/>
  <c r="EK46" i="3"/>
  <c r="EK44" i="3"/>
  <c r="EK51" i="3"/>
  <c r="EK53" i="3"/>
  <c r="EK54" i="3"/>
  <c r="EK57" i="3"/>
  <c r="EK58" i="3"/>
  <c r="EK61" i="3"/>
  <c r="EK59" i="3"/>
  <c r="EK60" i="3"/>
  <c r="EK55" i="3"/>
  <c r="EK56" i="3"/>
  <c r="EK76" i="3"/>
  <c r="EK70" i="3"/>
  <c r="EK75" i="3"/>
  <c r="EK77" i="3"/>
  <c r="EK78" i="3"/>
  <c r="EK69" i="3"/>
  <c r="EK73" i="3"/>
  <c r="EK80" i="3"/>
  <c r="EK86" i="3"/>
  <c r="EK79" i="3"/>
  <c r="EK82" i="3"/>
  <c r="EK87" i="3"/>
  <c r="EK85" i="3"/>
  <c r="EK93" i="3"/>
  <c r="EK91" i="3"/>
  <c r="EK88" i="3"/>
  <c r="EK84" i="3"/>
  <c r="EK95" i="3"/>
  <c r="EK74" i="3"/>
  <c r="EK68" i="3"/>
  <c r="EK83" i="3"/>
  <c r="EK99" i="3"/>
  <c r="EK90" i="3"/>
  <c r="EK81" i="3"/>
  <c r="EK114" i="3"/>
  <c r="EK115" i="3"/>
  <c r="EK103" i="3"/>
  <c r="EK104" i="3"/>
  <c r="EK102" i="3"/>
  <c r="EK105" i="3"/>
  <c r="EK112" i="3"/>
  <c r="EK97" i="3"/>
  <c r="EK109" i="3"/>
  <c r="EK107" i="3"/>
  <c r="EK89" i="3"/>
  <c r="EK98" i="3"/>
  <c r="EK111" i="3"/>
  <c r="EK106" i="3"/>
  <c r="EK110" i="3"/>
  <c r="EK118" i="3"/>
  <c r="EK127" i="3"/>
  <c r="EK126" i="3"/>
  <c r="EK116" i="3"/>
  <c r="EK128" i="3"/>
  <c r="EK125" i="3"/>
  <c r="EK108" i="3"/>
  <c r="EK121" i="3"/>
  <c r="EK123" i="3"/>
  <c r="EK122" i="3"/>
  <c r="EK136" i="3"/>
  <c r="EK117" i="3"/>
  <c r="EK120" i="3"/>
  <c r="EK129" i="3"/>
  <c r="EK134" i="3"/>
  <c r="EK140" i="3"/>
  <c r="EK124" i="3"/>
  <c r="EK131" i="3"/>
  <c r="EK135" i="3"/>
  <c r="EK133" i="3"/>
  <c r="EK138" i="3"/>
  <c r="EK137" i="3"/>
  <c r="EK139" i="3"/>
  <c r="EK119" i="3"/>
  <c r="EK146" i="3"/>
  <c r="EK148" i="3"/>
  <c r="EK143" i="3"/>
  <c r="EK162" i="3"/>
  <c r="EK154" i="3"/>
  <c r="EK157" i="3"/>
  <c r="EK156" i="3"/>
  <c r="EK149" i="3"/>
  <c r="EK167" i="3"/>
  <c r="EK151" i="3"/>
  <c r="EK160" i="3"/>
  <c r="EK164" i="3"/>
  <c r="EK161" i="3"/>
  <c r="EK94" i="3"/>
  <c r="EK15" i="3"/>
  <c r="EK163" i="3"/>
  <c r="EK145" i="3"/>
  <c r="EK35" i="3"/>
  <c r="EK144" i="3"/>
  <c r="EK141" i="3"/>
  <c r="EK92" i="3"/>
  <c r="EK41" i="3"/>
  <c r="EK152" i="3"/>
  <c r="EK158" i="3"/>
  <c r="EK64" i="3"/>
  <c r="EK17" i="3"/>
  <c r="EK27" i="3"/>
  <c r="EK101" i="3"/>
  <c r="EK150" i="3"/>
  <c r="EK62" i="3"/>
  <c r="EK36" i="3"/>
  <c r="EK21" i="3"/>
  <c r="EK165" i="3"/>
  <c r="EK159" i="3"/>
  <c r="EK147" i="3"/>
  <c r="EK132" i="3"/>
  <c r="EK71" i="3"/>
  <c r="EK72" i="3"/>
  <c r="EK65" i="3"/>
  <c r="EK38" i="3"/>
  <c r="EK26" i="3"/>
  <c r="EK13" i="3"/>
  <c r="EK22" i="3"/>
  <c r="EK100" i="3"/>
  <c r="EK155" i="3"/>
  <c r="EK142" i="3"/>
  <c r="EK32" i="3"/>
  <c r="EK20" i="3"/>
  <c r="EK66" i="3"/>
  <c r="EK153" i="3"/>
  <c r="EK67" i="3"/>
  <c r="EK96" i="3"/>
  <c r="EK39" i="3"/>
  <c r="EK31" i="3"/>
  <c r="EK14" i="3"/>
  <c r="EK16" i="3"/>
  <c r="EK63" i="3"/>
  <c r="EK19" i="3"/>
  <c r="EK24" i="3"/>
  <c r="EK166" i="3"/>
  <c r="EK25" i="3"/>
  <c r="EK34" i="3"/>
  <c r="EK113" i="3"/>
  <c r="EK130" i="3"/>
  <c r="GI122" i="3"/>
  <c r="GP15" i="3"/>
  <c r="AN15" i="3"/>
  <c r="DD15" i="3" s="1"/>
  <c r="DC15" i="3" s="1"/>
  <c r="DB15" i="3" s="1"/>
  <c r="DA15" i="3" s="1"/>
  <c r="AP15" i="3"/>
  <c r="AX15" i="3"/>
  <c r="BC12" i="3"/>
  <c r="P12" i="3"/>
  <c r="U12" i="3"/>
  <c r="CZ12" i="3"/>
  <c r="CH12" i="3"/>
  <c r="CY12" i="3"/>
  <c r="CG12" i="3"/>
  <c r="BB12" i="3"/>
  <c r="I12" i="3"/>
  <c r="K12" i="3" s="1"/>
  <c r="ET6" i="3"/>
  <c r="EQ6" i="3"/>
  <c r="DA10" i="3"/>
  <c r="FQ10" i="3" s="1"/>
  <c r="EK12" i="3"/>
  <c r="EK11" i="3"/>
  <c r="EK10" i="3"/>
  <c r="IC15" i="3" l="1"/>
  <c r="GF15" i="3" s="1"/>
  <c r="C16" i="3"/>
  <c r="GY16" i="3" s="1"/>
  <c r="CS14" i="3"/>
  <c r="AQ14" i="3"/>
  <c r="DD14" i="3"/>
  <c r="V14" i="3"/>
  <c r="HD20" i="3"/>
  <c r="HA21" i="3"/>
  <c r="CF19" i="3"/>
  <c r="CG19" i="3"/>
  <c r="CZ19" i="3"/>
  <c r="CY19" i="3"/>
  <c r="CH19" i="3"/>
  <c r="S19" i="3"/>
  <c r="EG19" i="3" s="1"/>
  <c r="B20" i="3"/>
  <c r="BB19" i="3"/>
  <c r="U19" i="3"/>
  <c r="I19" i="3"/>
  <c r="J19" i="3" s="1"/>
  <c r="P19" i="3"/>
  <c r="BC19" i="3"/>
  <c r="FX15" i="3"/>
  <c r="FY15" i="3"/>
  <c r="FW15" i="3"/>
  <c r="FQ15" i="3"/>
  <c r="CS15" i="3"/>
  <c r="GI123" i="3"/>
  <c r="AQ15" i="3"/>
  <c r="V15" i="3"/>
  <c r="BI12" i="3"/>
  <c r="EA12" i="3" s="1"/>
  <c r="BJ12" i="3"/>
  <c r="CO12" i="3" s="1"/>
  <c r="J12" i="3"/>
  <c r="DJ12" i="3" s="1"/>
  <c r="U13" i="3"/>
  <c r="BC13" i="3"/>
  <c r="BB13" i="3"/>
  <c r="P13" i="3"/>
  <c r="I13" i="3"/>
  <c r="K13" i="3" s="1"/>
  <c r="AP12" i="3"/>
  <c r="CS12" i="3" s="1"/>
  <c r="AN12" i="3"/>
  <c r="V12" i="3" s="1"/>
  <c r="AX12" i="3"/>
  <c r="IC12" i="3"/>
  <c r="GG13" i="3" s="1" a="1"/>
  <c r="GG13" i="3" s="1"/>
  <c r="GH13" i="3" s="1"/>
  <c r="IF10" i="3"/>
  <c r="FW10" i="3"/>
  <c r="FX10" i="3"/>
  <c r="FT10" i="3"/>
  <c r="FY10" i="3"/>
  <c r="EK6" i="3"/>
  <c r="DE15" i="3" l="1"/>
  <c r="HU15" i="3" s="1"/>
  <c r="GP16" i="3"/>
  <c r="DC14" i="3"/>
  <c r="DB14" i="3" s="1"/>
  <c r="DA14" i="3" s="1"/>
  <c r="HT14" i="3" s="1"/>
  <c r="DE14" i="3"/>
  <c r="M14" i="3"/>
  <c r="HP14" i="3" s="1"/>
  <c r="L14" i="3"/>
  <c r="IC16" i="3"/>
  <c r="GF16" i="3" s="1"/>
  <c r="C17" i="3"/>
  <c r="L15" i="3"/>
  <c r="K19" i="3"/>
  <c r="DJ19" i="3" s="1"/>
  <c r="HR19" i="3"/>
  <c r="FZ15" i="3"/>
  <c r="BI19" i="3"/>
  <c r="EA19" i="3" s="1"/>
  <c r="M15" i="3"/>
  <c r="BJ19" i="3"/>
  <c r="CO19" i="3" s="1"/>
  <c r="CG20" i="3"/>
  <c r="CH20" i="3"/>
  <c r="CY20" i="3"/>
  <c r="CZ20" i="3"/>
  <c r="CF20" i="3"/>
  <c r="B21" i="3"/>
  <c r="HA22" i="3"/>
  <c r="HD21" i="3"/>
  <c r="GI124" i="3"/>
  <c r="HT15" i="3"/>
  <c r="GF12" i="3"/>
  <c r="BI13" i="3"/>
  <c r="EA13" i="3" s="1"/>
  <c r="J13" i="3"/>
  <c r="DJ13" i="3" s="1"/>
  <c r="BJ13" i="3"/>
  <c r="CO13" i="3" s="1"/>
  <c r="BC16" i="3"/>
  <c r="U16" i="3"/>
  <c r="P16" i="3"/>
  <c r="I16" i="3"/>
  <c r="K16" i="3" s="1"/>
  <c r="BB16" i="3"/>
  <c r="AQ12" i="3"/>
  <c r="DD12" i="3"/>
  <c r="AP13" i="3"/>
  <c r="CS13" i="3" s="1"/>
  <c r="AN13" i="3"/>
  <c r="DD13" i="3" s="1"/>
  <c r="DC13" i="3" s="1"/>
  <c r="DB13" i="3" s="1"/>
  <c r="DA13" i="3" s="1"/>
  <c r="AX13" i="3"/>
  <c r="FZ10" i="3"/>
  <c r="HV15" i="3" l="1"/>
  <c r="DG14" i="3"/>
  <c r="DI14" i="3" s="1"/>
  <c r="HV14" i="3"/>
  <c r="GG16" i="3" a="1"/>
  <c r="GG16" i="3" s="1"/>
  <c r="GH16" i="3" s="1"/>
  <c r="HO14" i="3"/>
  <c r="W14" i="3"/>
  <c r="HU14" i="3"/>
  <c r="DF14" i="3"/>
  <c r="FQ14" i="3"/>
  <c r="FX14" i="3"/>
  <c r="FY14" i="3"/>
  <c r="HP15" i="3"/>
  <c r="W15" i="3" s="1"/>
  <c r="GY17" i="3"/>
  <c r="IC17" i="3"/>
  <c r="C18" i="3"/>
  <c r="GP17" i="3"/>
  <c r="DG15" i="3"/>
  <c r="DI15" i="3" s="1"/>
  <c r="DE13" i="3"/>
  <c r="FQ13" i="3"/>
  <c r="FT13" i="3"/>
  <c r="FY13" i="3"/>
  <c r="FX13" i="3"/>
  <c r="CH21" i="3"/>
  <c r="CY21" i="3"/>
  <c r="CZ21" i="3"/>
  <c r="CF21" i="3"/>
  <c r="CG21" i="3"/>
  <c r="B22" i="3"/>
  <c r="HD22" i="3"/>
  <c r="HA23" i="3"/>
  <c r="GI125" i="3"/>
  <c r="IB15" i="3"/>
  <c r="HY15" i="3" s="1"/>
  <c r="HX15" i="3"/>
  <c r="HZ15" i="3"/>
  <c r="IA15" i="3"/>
  <c r="HT13" i="3"/>
  <c r="CD14" i="3"/>
  <c r="CC14" i="3"/>
  <c r="V13" i="3"/>
  <c r="IF15" i="3"/>
  <c r="BI16" i="3"/>
  <c r="EA16" i="3" s="1"/>
  <c r="J16" i="3"/>
  <c r="DJ16" i="3" s="1"/>
  <c r="BJ16" i="3"/>
  <c r="CO16" i="3" s="1"/>
  <c r="BC17" i="3"/>
  <c r="P17" i="3"/>
  <c r="BB17" i="3"/>
  <c r="I17" i="3"/>
  <c r="K17" i="3" s="1"/>
  <c r="U17" i="3"/>
  <c r="AN16" i="3"/>
  <c r="DD16" i="3" s="1"/>
  <c r="DC16" i="3" s="1"/>
  <c r="DB16" i="3" s="1"/>
  <c r="DA16" i="3" s="1"/>
  <c r="AP16" i="3"/>
  <c r="CS16" i="3" s="1"/>
  <c r="AX16" i="3"/>
  <c r="AQ13" i="3"/>
  <c r="DC12" i="3"/>
  <c r="DB12" i="3" s="1"/>
  <c r="DA12" i="3" s="1"/>
  <c r="IB14" i="3" l="1"/>
  <c r="HY14" i="3" s="1"/>
  <c r="HO15" i="3"/>
  <c r="ID15" i="3"/>
  <c r="ID14" i="3"/>
  <c r="C19" i="3"/>
  <c r="GP18" i="3"/>
  <c r="IC18" i="3"/>
  <c r="GF18" i="3" s="1"/>
  <c r="GY18" i="3"/>
  <c r="GF17" i="3"/>
  <c r="GG17" i="3" a="1"/>
  <c r="GG17" i="3" s="1"/>
  <c r="GH17" i="3" s="1"/>
  <c r="DH14" i="3"/>
  <c r="HJ14" i="3"/>
  <c r="HX14" i="3"/>
  <c r="HZ14" i="3"/>
  <c r="IA14" i="3"/>
  <c r="HT16" i="3"/>
  <c r="CZ22" i="3"/>
  <c r="CF22" i="3"/>
  <c r="CH22" i="3"/>
  <c r="CY22" i="3"/>
  <c r="CG22" i="3"/>
  <c r="B23" i="3"/>
  <c r="FQ16" i="3"/>
  <c r="FT16" i="3"/>
  <c r="FW16" i="3"/>
  <c r="FY16" i="3"/>
  <c r="FX16" i="3"/>
  <c r="HD23" i="3"/>
  <c r="HA24" i="3"/>
  <c r="DE16" i="3"/>
  <c r="HU16" i="3" s="1"/>
  <c r="GI126" i="3"/>
  <c r="V16" i="3"/>
  <c r="DF15" i="3"/>
  <c r="DH15" i="3" s="1"/>
  <c r="IF13" i="3"/>
  <c r="BJ17" i="3"/>
  <c r="CO17" i="3" s="1"/>
  <c r="BI17" i="3"/>
  <c r="EA17" i="3" s="1"/>
  <c r="J17" i="3"/>
  <c r="DJ17" i="3" s="1"/>
  <c r="AQ16" i="3"/>
  <c r="FY12" i="3"/>
  <c r="FQ12" i="3"/>
  <c r="IF12" i="3"/>
  <c r="FX12" i="3"/>
  <c r="AX17" i="3"/>
  <c r="AP17" i="3"/>
  <c r="CS17" i="3" s="1"/>
  <c r="AN17" i="3"/>
  <c r="DD17" i="3" s="1"/>
  <c r="DE17" i="3" l="1"/>
  <c r="HU17" i="3" s="1"/>
  <c r="C20" i="3"/>
  <c r="GP19" i="3"/>
  <c r="AP19" i="3"/>
  <c r="AN19" i="3"/>
  <c r="GY19" i="3"/>
  <c r="AX19" i="3"/>
  <c r="IC19" i="3"/>
  <c r="HA25" i="3"/>
  <c r="HD24" i="3"/>
  <c r="FZ16" i="3"/>
  <c r="HJ15" i="3"/>
  <c r="CF23" i="3"/>
  <c r="CG23" i="3"/>
  <c r="CY23" i="3"/>
  <c r="CH23" i="3"/>
  <c r="CZ23" i="3"/>
  <c r="B24" i="3"/>
  <c r="DC17" i="3"/>
  <c r="DB17" i="3" s="1"/>
  <c r="DA17" i="3" s="1"/>
  <c r="HT17" i="3" s="1"/>
  <c r="GI127" i="3"/>
  <c r="V17" i="3"/>
  <c r="CC15" i="3"/>
  <c r="CD15" i="3"/>
  <c r="U18" i="3"/>
  <c r="BC18" i="3"/>
  <c r="BB18" i="3"/>
  <c r="P18" i="3"/>
  <c r="I18" i="3"/>
  <c r="K18" i="3" s="1"/>
  <c r="AQ17" i="3"/>
  <c r="IF16" i="3"/>
  <c r="DD19" i="3" l="1"/>
  <c r="DC19" i="3" s="1"/>
  <c r="DB19" i="3" s="1"/>
  <c r="DA19" i="3" s="1"/>
  <c r="V19" i="3"/>
  <c r="CS19" i="3"/>
  <c r="AQ19" i="3"/>
  <c r="GF19" i="3"/>
  <c r="GG19" i="3" a="1"/>
  <c r="GG19" i="3" s="1"/>
  <c r="GH19" i="3" s="1"/>
  <c r="IC20" i="3"/>
  <c r="GF20" i="3" s="1"/>
  <c r="GY20" i="3"/>
  <c r="C21" i="3"/>
  <c r="GP20" i="3"/>
  <c r="CF24" i="3"/>
  <c r="CG24" i="3"/>
  <c r="CH24" i="3"/>
  <c r="CY24" i="3"/>
  <c r="CZ24" i="3"/>
  <c r="B25" i="3"/>
  <c r="HD25" i="3"/>
  <c r="HA26" i="3"/>
  <c r="FY17" i="3"/>
  <c r="FQ17" i="3"/>
  <c r="FT17" i="3"/>
  <c r="FW17" i="3"/>
  <c r="FX17" i="3"/>
  <c r="GI128" i="3"/>
  <c r="BI18" i="3"/>
  <c r="EA18" i="3" s="1"/>
  <c r="BJ18" i="3"/>
  <c r="CO18" i="3" s="1"/>
  <c r="J18" i="3"/>
  <c r="DJ18" i="3" s="1"/>
  <c r="AN18" i="3"/>
  <c r="DD18" i="3" s="1"/>
  <c r="AX18" i="3"/>
  <c r="AP18" i="3"/>
  <c r="CS18" i="3" s="1"/>
  <c r="DE19" i="3" l="1"/>
  <c r="M19" i="3"/>
  <c r="HP19" i="3" s="1"/>
  <c r="L19" i="3"/>
  <c r="IC21" i="3"/>
  <c r="GY21" i="3"/>
  <c r="GP21" i="3"/>
  <c r="C22" i="3"/>
  <c r="IF19" i="3"/>
  <c r="FW19" i="3"/>
  <c r="FX19" i="3"/>
  <c r="FY19" i="3"/>
  <c r="FT19" i="3"/>
  <c r="FQ19" i="3"/>
  <c r="DE18" i="3"/>
  <c r="HU18" i="3" s="1"/>
  <c r="CG25" i="3"/>
  <c r="CH25" i="3"/>
  <c r="CY25" i="3"/>
  <c r="CZ25" i="3"/>
  <c r="CF25" i="3"/>
  <c r="B26" i="3"/>
  <c r="HA27" i="3"/>
  <c r="HD26" i="3"/>
  <c r="FZ17" i="3"/>
  <c r="DC18" i="3"/>
  <c r="DB18" i="3" s="1"/>
  <c r="DA18" i="3" s="1"/>
  <c r="GI129" i="3"/>
  <c r="V18" i="3"/>
  <c r="IF17" i="3"/>
  <c r="BB20" i="3"/>
  <c r="I20" i="3"/>
  <c r="J20" i="3" s="1"/>
  <c r="U20" i="3"/>
  <c r="P20" i="3"/>
  <c r="BC20" i="3"/>
  <c r="AQ18" i="3"/>
  <c r="DG19" i="3" l="1"/>
  <c r="DI19" i="3" s="1"/>
  <c r="HT19" i="3"/>
  <c r="IC22" i="3"/>
  <c r="GF22" i="3" s="1"/>
  <c r="GP22" i="3"/>
  <c r="GY22" i="3"/>
  <c r="C23" i="3"/>
  <c r="HU19" i="3"/>
  <c r="CC19" i="3"/>
  <c r="GF21" i="3"/>
  <c r="GG21" i="3" a="1"/>
  <c r="GG21" i="3" s="1"/>
  <c r="GH21" i="3" s="1"/>
  <c r="FZ19" i="3"/>
  <c r="HV19" i="3"/>
  <c r="ID19" i="3" s="1"/>
  <c r="CD19" i="3"/>
  <c r="CF26" i="3"/>
  <c r="CH26" i="3"/>
  <c r="CY26" i="3"/>
  <c r="CZ26" i="3"/>
  <c r="CG26" i="3"/>
  <c r="B27" i="3"/>
  <c r="HD27" i="3"/>
  <c r="HA28" i="3"/>
  <c r="FQ18" i="3"/>
  <c r="FW18" i="3"/>
  <c r="FX18" i="3"/>
  <c r="FY18" i="3"/>
  <c r="HT18" i="3"/>
  <c r="GI130" i="3"/>
  <c r="BI20" i="3"/>
  <c r="EA20" i="3" s="1"/>
  <c r="K20" i="3"/>
  <c r="DJ20" i="3" s="1"/>
  <c r="BJ20" i="3"/>
  <c r="CO20" i="3" s="1"/>
  <c r="AN20" i="3"/>
  <c r="DD20" i="3" s="1"/>
  <c r="AX20" i="3"/>
  <c r="AP20" i="3"/>
  <c r="CS20" i="3" s="1"/>
  <c r="IB19" i="3" l="1"/>
  <c r="HY19" i="3" s="1"/>
  <c r="HO19" i="3"/>
  <c r="W19" i="3"/>
  <c r="DF19" i="3" s="1"/>
  <c r="DH19" i="3" s="1"/>
  <c r="IC23" i="3"/>
  <c r="GY23" i="3"/>
  <c r="C24" i="3"/>
  <c r="GP23" i="3"/>
  <c r="HZ19" i="3"/>
  <c r="IA19" i="3"/>
  <c r="HX19" i="3"/>
  <c r="DE20" i="3"/>
  <c r="HU20" i="3" s="1"/>
  <c r="CF27" i="3"/>
  <c r="CG27" i="3"/>
  <c r="CZ27" i="3"/>
  <c r="CY27" i="3"/>
  <c r="CH27" i="3"/>
  <c r="B28" i="3"/>
  <c r="HA29" i="3"/>
  <c r="HD28" i="3"/>
  <c r="DC20" i="3"/>
  <c r="DB20" i="3" s="1"/>
  <c r="DA20" i="3" s="1"/>
  <c r="FZ18" i="3"/>
  <c r="GI131" i="3"/>
  <c r="V20" i="3"/>
  <c r="IF18" i="3"/>
  <c r="AQ20" i="3"/>
  <c r="HJ19" i="3" l="1"/>
  <c r="GY24" i="3"/>
  <c r="GP24" i="3"/>
  <c r="IC24" i="3"/>
  <c r="GF24" i="3" s="1"/>
  <c r="C25" i="3"/>
  <c r="GG23" i="3" a="1"/>
  <c r="GG23" i="3" s="1"/>
  <c r="GH23" i="3" s="1"/>
  <c r="GF23" i="3"/>
  <c r="HD29" i="3"/>
  <c r="HA30" i="3"/>
  <c r="CG28" i="3"/>
  <c r="CH28" i="3"/>
  <c r="CY28" i="3"/>
  <c r="CF28" i="3"/>
  <c r="CZ28" i="3"/>
  <c r="S28" i="3"/>
  <c r="EG28" i="3" s="1"/>
  <c r="B29" i="3"/>
  <c r="U28" i="3"/>
  <c r="P28" i="3"/>
  <c r="BB28" i="3"/>
  <c r="BC28" i="3"/>
  <c r="I28" i="3"/>
  <c r="J28" i="3" s="1"/>
  <c r="FY20" i="3"/>
  <c r="FQ20" i="3"/>
  <c r="FT20" i="3"/>
  <c r="FW20" i="3"/>
  <c r="FX20" i="3"/>
  <c r="GI132" i="3"/>
  <c r="BB21" i="3"/>
  <c r="U21" i="3"/>
  <c r="P21" i="3"/>
  <c r="I21" i="3"/>
  <c r="K21" i="3" s="1"/>
  <c r="BC21" i="3"/>
  <c r="BI28" i="3" l="1"/>
  <c r="EA28" i="3" s="1"/>
  <c r="GP25" i="3"/>
  <c r="IC25" i="3"/>
  <c r="GF25" i="3" s="1"/>
  <c r="GY25" i="3"/>
  <c r="C26" i="3"/>
  <c r="HR28" i="3"/>
  <c r="BJ28" i="3"/>
  <c r="CO28" i="3" s="1"/>
  <c r="CH29" i="3"/>
  <c r="CY29" i="3"/>
  <c r="CZ29" i="3"/>
  <c r="CF29" i="3"/>
  <c r="CG29" i="3"/>
  <c r="I29" i="3"/>
  <c r="K29" i="3" s="1"/>
  <c r="U29" i="3"/>
  <c r="S29" i="3"/>
  <c r="BB29" i="3"/>
  <c r="BC29" i="3"/>
  <c r="B30" i="3"/>
  <c r="P29" i="3"/>
  <c r="HD30" i="3"/>
  <c r="HA31" i="3"/>
  <c r="K28" i="3"/>
  <c r="DJ28" i="3" s="1"/>
  <c r="FZ20" i="3"/>
  <c r="GI133" i="3"/>
  <c r="BI21" i="3"/>
  <c r="EA21" i="3" s="1"/>
  <c r="BJ21" i="3"/>
  <c r="CO21" i="3" s="1"/>
  <c r="J21" i="3"/>
  <c r="DJ21" i="3" s="1"/>
  <c r="IF20" i="3"/>
  <c r="AN21" i="3"/>
  <c r="DD21" i="3" s="1"/>
  <c r="AX21" i="3"/>
  <c r="AP21" i="3"/>
  <c r="CS21" i="3" s="1"/>
  <c r="GP26" i="3" l="1"/>
  <c r="IC26" i="3"/>
  <c r="C27" i="3"/>
  <c r="GY26" i="3"/>
  <c r="DE21" i="3"/>
  <c r="HU21" i="3" s="1"/>
  <c r="J29" i="3"/>
  <c r="DJ29" i="3" s="1"/>
  <c r="BI29" i="3"/>
  <c r="EA29" i="3" s="1"/>
  <c r="CZ30" i="3"/>
  <c r="CF30" i="3"/>
  <c r="CG30" i="3"/>
  <c r="CH30" i="3"/>
  <c r="CY30" i="3"/>
  <c r="BC30" i="3"/>
  <c r="S30" i="3"/>
  <c r="EG30" i="3" s="1"/>
  <c r="P30" i="3"/>
  <c r="I30" i="3"/>
  <c r="K30" i="3" s="1"/>
  <c r="U30" i="3"/>
  <c r="BB30" i="3"/>
  <c r="B31" i="3"/>
  <c r="HD31" i="3"/>
  <c r="HA32" i="3"/>
  <c r="BJ29" i="3"/>
  <c r="CO29" i="3" s="1"/>
  <c r="DC21" i="3"/>
  <c r="DB21" i="3" s="1"/>
  <c r="DA21" i="3" s="1"/>
  <c r="HT21" i="3" s="1"/>
  <c r="GI134" i="3"/>
  <c r="V21" i="3"/>
  <c r="P22" i="3"/>
  <c r="I22" i="3"/>
  <c r="U22" i="3"/>
  <c r="BC22" i="3"/>
  <c r="BB22" i="3"/>
  <c r="AQ21" i="3"/>
  <c r="J30" i="3" l="1"/>
  <c r="DJ30" i="3" s="1"/>
  <c r="C28" i="3"/>
  <c r="GP27" i="3"/>
  <c r="GY27" i="3"/>
  <c r="IC27" i="3"/>
  <c r="GF27" i="3" s="1"/>
  <c r="GF26" i="3"/>
  <c r="GG26" i="3" a="1"/>
  <c r="GG26" i="3" s="1"/>
  <c r="GH26" i="3" s="1"/>
  <c r="BJ30" i="3"/>
  <c r="CO30" i="3" s="1"/>
  <c r="CF31" i="3"/>
  <c r="CG31" i="3"/>
  <c r="CH31" i="3"/>
  <c r="CZ31" i="3"/>
  <c r="CY31" i="3"/>
  <c r="B32" i="3"/>
  <c r="BI30" i="3"/>
  <c r="EA30" i="3" s="1"/>
  <c r="HD32" i="3"/>
  <c r="HA33" i="3"/>
  <c r="HR30" i="3"/>
  <c r="FQ21" i="3"/>
  <c r="FT21" i="3"/>
  <c r="FX21" i="3"/>
  <c r="FY21" i="3"/>
  <c r="GI135" i="3"/>
  <c r="BI22" i="3"/>
  <c r="EA22" i="3" s="1"/>
  <c r="BJ22" i="3"/>
  <c r="CO22" i="3" s="1"/>
  <c r="I23" i="3"/>
  <c r="J23" i="3" s="1"/>
  <c r="U23" i="3"/>
  <c r="P23" i="3"/>
  <c r="BB23" i="3"/>
  <c r="BC23" i="3"/>
  <c r="AN22" i="3"/>
  <c r="DD22" i="3" s="1"/>
  <c r="AX22" i="3"/>
  <c r="AP22" i="3"/>
  <c r="CS22" i="3" s="1"/>
  <c r="GY28" i="3" l="1"/>
  <c r="IC28" i="3"/>
  <c r="C29" i="3"/>
  <c r="GP28" i="3"/>
  <c r="AX28" i="3"/>
  <c r="AN28" i="3"/>
  <c r="AP28" i="3"/>
  <c r="CS28" i="3" s="1"/>
  <c r="CF32" i="3"/>
  <c r="CG32" i="3"/>
  <c r="CH32" i="3"/>
  <c r="CY32" i="3"/>
  <c r="CZ32" i="3"/>
  <c r="B33" i="3"/>
  <c r="DE22" i="3"/>
  <c r="HU22" i="3" s="1"/>
  <c r="HA34" i="3"/>
  <c r="HD33" i="3"/>
  <c r="DC22" i="3"/>
  <c r="DB22" i="3" s="1"/>
  <c r="DA22" i="3" s="1"/>
  <c r="GI136" i="3"/>
  <c r="V22" i="3"/>
  <c r="BI23" i="3"/>
  <c r="EA23" i="3" s="1"/>
  <c r="BJ23" i="3"/>
  <c r="CO23" i="3" s="1"/>
  <c r="K23" i="3"/>
  <c r="DJ23" i="3" s="1"/>
  <c r="AQ22" i="3"/>
  <c r="AN23" i="3"/>
  <c r="DD23" i="3" s="1"/>
  <c r="AX23" i="3"/>
  <c r="AP23" i="3"/>
  <c r="CS23" i="3" s="1"/>
  <c r="IF21" i="3"/>
  <c r="AQ28" i="3" l="1"/>
  <c r="DE28" i="3"/>
  <c r="HU28" i="3" s="1"/>
  <c r="L28" i="3"/>
  <c r="M28" i="3"/>
  <c r="HP28" i="3" s="1"/>
  <c r="DD28" i="3"/>
  <c r="DC28" i="3" s="1"/>
  <c r="DB28" i="3" s="1"/>
  <c r="DA28" i="3" s="1"/>
  <c r="V28" i="3"/>
  <c r="GP29" i="3"/>
  <c r="C30" i="3"/>
  <c r="AP29" i="3"/>
  <c r="AN29" i="3"/>
  <c r="IC29" i="3"/>
  <c r="GF29" i="3" s="1"/>
  <c r="AX29" i="3"/>
  <c r="GY29" i="3"/>
  <c r="GG28" i="3" a="1"/>
  <c r="GG28" i="3" s="1"/>
  <c r="GH28" i="3" s="1"/>
  <c r="GF28" i="3"/>
  <c r="DE23" i="3"/>
  <c r="HU23" i="3" s="1"/>
  <c r="CG33" i="3"/>
  <c r="CH33" i="3"/>
  <c r="CY33" i="3"/>
  <c r="CZ33" i="3"/>
  <c r="CF33" i="3"/>
  <c r="B34" i="3"/>
  <c r="HD34" i="3"/>
  <c r="HA35" i="3"/>
  <c r="FW22" i="3"/>
  <c r="FX22" i="3"/>
  <c r="FY22" i="3"/>
  <c r="FQ22" i="3"/>
  <c r="FT22" i="3"/>
  <c r="HT22" i="3"/>
  <c r="DC23" i="3"/>
  <c r="DB23" i="3" s="1"/>
  <c r="DA23" i="3" s="1"/>
  <c r="GI137" i="3"/>
  <c r="V23" i="3"/>
  <c r="AQ23" i="3"/>
  <c r="FW28" i="3" l="1"/>
  <c r="FX28" i="3"/>
  <c r="FT28" i="3"/>
  <c r="IF28" i="3"/>
  <c r="HT28" i="3" s="1"/>
  <c r="FY28" i="3"/>
  <c r="FQ28" i="3"/>
  <c r="AX30" i="3"/>
  <c r="AP30" i="3"/>
  <c r="CS30" i="3" s="1"/>
  <c r="IC30" i="3"/>
  <c r="GF30" i="3" s="1"/>
  <c r="AN30" i="3"/>
  <c r="GY30" i="3"/>
  <c r="GP30" i="3"/>
  <c r="C31" i="3"/>
  <c r="DD29" i="3"/>
  <c r="DC29" i="3" s="1"/>
  <c r="DB29" i="3" s="1"/>
  <c r="DA29" i="3" s="1"/>
  <c r="IF29" i="3" s="1"/>
  <c r="V29" i="3"/>
  <c r="HV28" i="3"/>
  <c r="DG28" i="3"/>
  <c r="DI28" i="3" s="1"/>
  <c r="CS29" i="3"/>
  <c r="AQ29" i="3"/>
  <c r="HA36" i="3"/>
  <c r="HD35" i="3"/>
  <c r="CF34" i="3"/>
  <c r="CH34" i="3"/>
  <c r="CY34" i="3"/>
  <c r="CZ34" i="3"/>
  <c r="CG34" i="3"/>
  <c r="B35" i="3"/>
  <c r="FQ23" i="3"/>
  <c r="FT23" i="3"/>
  <c r="FW23" i="3"/>
  <c r="FX23" i="3"/>
  <c r="FY23" i="3"/>
  <c r="FZ22" i="3"/>
  <c r="HT23" i="3"/>
  <c r="GI138" i="3"/>
  <c r="IF22" i="3"/>
  <c r="P24" i="3"/>
  <c r="BB24" i="3"/>
  <c r="I24" i="3"/>
  <c r="K24" i="3" s="1"/>
  <c r="U24" i="3"/>
  <c r="BC24" i="3"/>
  <c r="W28" i="3" l="1"/>
  <c r="DF28" i="3" s="1"/>
  <c r="DH28" i="3"/>
  <c r="HJ28" i="3"/>
  <c r="AQ30" i="3"/>
  <c r="C32" i="3"/>
  <c r="GY31" i="3"/>
  <c r="GP31" i="3"/>
  <c r="IC31" i="3"/>
  <c r="DE29" i="3"/>
  <c r="L29" i="3"/>
  <c r="M29" i="3"/>
  <c r="HR29" i="3" s="1"/>
  <c r="IA28" i="3"/>
  <c r="IB28" i="3"/>
  <c r="HY28" i="3" s="1"/>
  <c r="HZ28" i="3"/>
  <c r="HX28" i="3"/>
  <c r="HO28" i="3"/>
  <c r="ID28" i="3"/>
  <c r="DD30" i="3"/>
  <c r="V30" i="3"/>
  <c r="FT29" i="3"/>
  <c r="FW29" i="3"/>
  <c r="FX29" i="3"/>
  <c r="FY29" i="3"/>
  <c r="FQ29" i="3"/>
  <c r="DE30" i="3"/>
  <c r="HU30" i="3" s="1"/>
  <c r="L30" i="3"/>
  <c r="M30" i="3"/>
  <c r="HP30" i="3" s="1"/>
  <c r="FZ28" i="3"/>
  <c r="CF35" i="3"/>
  <c r="CG35" i="3"/>
  <c r="CZ35" i="3"/>
  <c r="CY35" i="3"/>
  <c r="CH35" i="3"/>
  <c r="B36" i="3"/>
  <c r="HA37" i="3"/>
  <c r="HD36" i="3"/>
  <c r="FZ23" i="3"/>
  <c r="GI139" i="3"/>
  <c r="CC28" i="3"/>
  <c r="CD28" i="3"/>
  <c r="BI24" i="3"/>
  <c r="EA24" i="3" s="1"/>
  <c r="J24" i="3"/>
  <c r="DJ24" i="3" s="1"/>
  <c r="BJ24" i="3"/>
  <c r="CO24" i="3" s="1"/>
  <c r="BB25" i="3"/>
  <c r="I25" i="3"/>
  <c r="K25" i="3" s="1"/>
  <c r="U25" i="3"/>
  <c r="P25" i="3"/>
  <c r="BC25" i="3"/>
  <c r="IF23" i="3"/>
  <c r="AN24" i="3"/>
  <c r="DD24" i="3" s="1"/>
  <c r="AP24" i="3"/>
  <c r="CS24" i="3" s="1"/>
  <c r="AX24" i="3"/>
  <c r="DG29" i="3" l="1"/>
  <c r="DI29" i="3" s="1"/>
  <c r="GG31" i="3" a="1"/>
  <c r="GG31" i="3" s="1"/>
  <c r="GH31" i="3" s="1"/>
  <c r="GF31" i="3"/>
  <c r="HU29" i="3"/>
  <c r="CC29" i="3"/>
  <c r="FZ29" i="3"/>
  <c r="CD30" i="3"/>
  <c r="DG30" i="3"/>
  <c r="DI30" i="3" s="1"/>
  <c r="HV30" i="3"/>
  <c r="DC30" i="3"/>
  <c r="DB30" i="3" s="1"/>
  <c r="DA30" i="3" s="1"/>
  <c r="HT30" i="3" s="1"/>
  <c r="GP32" i="3"/>
  <c r="IC32" i="3"/>
  <c r="GY32" i="3"/>
  <c r="C33" i="3"/>
  <c r="HP29" i="3"/>
  <c r="CC30" i="3"/>
  <c r="HV29" i="3"/>
  <c r="CD29" i="3"/>
  <c r="HT29" i="3"/>
  <c r="CG36" i="3"/>
  <c r="CH36" i="3"/>
  <c r="CY36" i="3"/>
  <c r="CZ36" i="3"/>
  <c r="CF36" i="3"/>
  <c r="B37" i="3"/>
  <c r="DE24" i="3"/>
  <c r="HU24" i="3" s="1"/>
  <c r="HD37" i="3"/>
  <c r="HA38" i="3"/>
  <c r="DC24" i="3"/>
  <c r="DB24" i="3" s="1"/>
  <c r="DA24" i="3" s="1"/>
  <c r="GI140" i="3"/>
  <c r="V24" i="3"/>
  <c r="BI25" i="3"/>
  <c r="EA25" i="3" s="1"/>
  <c r="BJ25" i="3"/>
  <c r="CO25" i="3" s="1"/>
  <c r="J25" i="3"/>
  <c r="DJ25" i="3" s="1"/>
  <c r="BC26" i="3"/>
  <c r="BB26" i="3"/>
  <c r="P26" i="3"/>
  <c r="I26" i="3"/>
  <c r="J26" i="3" s="1"/>
  <c r="U26" i="3"/>
  <c r="AQ24" i="3"/>
  <c r="AN25" i="3"/>
  <c r="DD25" i="3" s="1"/>
  <c r="AP25" i="3"/>
  <c r="CS25" i="3" s="1"/>
  <c r="AX25" i="3"/>
  <c r="ID29" i="3" l="1"/>
  <c r="ID30" i="3"/>
  <c r="HO30" i="3"/>
  <c r="HZ30" i="3"/>
  <c r="IA30" i="3"/>
  <c r="HX30" i="3"/>
  <c r="IB30" i="3"/>
  <c r="HY30" i="3" s="1"/>
  <c r="W30" i="3"/>
  <c r="DF30" i="3" s="1"/>
  <c r="HZ29" i="3"/>
  <c r="IA29" i="3"/>
  <c r="IB29" i="3"/>
  <c r="HY29" i="3" s="1"/>
  <c r="GY33" i="3"/>
  <c r="C34" i="3"/>
  <c r="GP33" i="3"/>
  <c r="IC33" i="3"/>
  <c r="GF32" i="3"/>
  <c r="GG32" i="3" a="1"/>
  <c r="GG32" i="3" s="1"/>
  <c r="GH32" i="3" s="1"/>
  <c r="HX29" i="3"/>
  <c r="W29" i="3"/>
  <c r="DF29" i="3" s="1"/>
  <c r="HO29" i="3"/>
  <c r="FW30" i="3"/>
  <c r="IF30" i="3"/>
  <c r="FY30" i="3"/>
  <c r="FQ30" i="3"/>
  <c r="FX30" i="3"/>
  <c r="DE25" i="3"/>
  <c r="HU25" i="3" s="1"/>
  <c r="CH37" i="3"/>
  <c r="CY37" i="3"/>
  <c r="CZ37" i="3"/>
  <c r="CG37" i="3"/>
  <c r="CF37" i="3"/>
  <c r="B38" i="3"/>
  <c r="HA39" i="3"/>
  <c r="HD38" i="3"/>
  <c r="DC25" i="3"/>
  <c r="DB25" i="3" s="1"/>
  <c r="DA25" i="3" s="1"/>
  <c r="FQ24" i="3"/>
  <c r="FT24" i="3"/>
  <c r="FW24" i="3"/>
  <c r="FX24" i="3"/>
  <c r="FY24" i="3"/>
  <c r="GI141" i="3"/>
  <c r="BI26" i="3"/>
  <c r="EA26" i="3" s="1"/>
  <c r="V25" i="3"/>
  <c r="BJ26" i="3"/>
  <c r="CO26" i="3" s="1"/>
  <c r="U27" i="3"/>
  <c r="P27" i="3"/>
  <c r="BB27" i="3"/>
  <c r="BC27" i="3"/>
  <c r="I27" i="3"/>
  <c r="K27" i="3" s="1"/>
  <c r="K26" i="3"/>
  <c r="DJ26" i="3" s="1"/>
  <c r="AQ25" i="3"/>
  <c r="AX26" i="3"/>
  <c r="AN26" i="3"/>
  <c r="DD26" i="3" s="1"/>
  <c r="AP26" i="3"/>
  <c r="CS26" i="3" s="1"/>
  <c r="DH30" i="3" l="1"/>
  <c r="HJ30" i="3"/>
  <c r="FZ30" i="3"/>
  <c r="IC34" i="3"/>
  <c r="C35" i="3"/>
  <c r="GY34" i="3"/>
  <c r="GP34" i="3"/>
  <c r="GG33" i="3" a="1"/>
  <c r="GG33" i="3" s="1"/>
  <c r="GH33" i="3" s="1"/>
  <c r="GF33" i="3"/>
  <c r="DH29" i="3"/>
  <c r="HJ29" i="3"/>
  <c r="DE26" i="3"/>
  <c r="HU26" i="3" s="1"/>
  <c r="HA40" i="3"/>
  <c r="HD39" i="3"/>
  <c r="CZ38" i="3"/>
  <c r="CF38" i="3"/>
  <c r="CG38" i="3"/>
  <c r="CH38" i="3"/>
  <c r="CY38" i="3"/>
  <c r="I38" i="3"/>
  <c r="J38" i="3" s="1"/>
  <c r="U38" i="3"/>
  <c r="BC38" i="3"/>
  <c r="B39" i="3"/>
  <c r="S38" i="3"/>
  <c r="EG38" i="3" s="1"/>
  <c r="BB38" i="3"/>
  <c r="P38" i="3"/>
  <c r="FZ24" i="3"/>
  <c r="FW25" i="3"/>
  <c r="FX25" i="3"/>
  <c r="FY25" i="3"/>
  <c r="FQ25" i="3"/>
  <c r="FT25" i="3"/>
  <c r="HT25" i="3"/>
  <c r="DC26" i="3"/>
  <c r="DB26" i="3" s="1"/>
  <c r="DA26" i="3" s="1"/>
  <c r="GI142" i="3"/>
  <c r="V26" i="3"/>
  <c r="BI27" i="3"/>
  <c r="EA27" i="3" s="1"/>
  <c r="J27" i="3"/>
  <c r="DJ27" i="3" s="1"/>
  <c r="BJ27" i="3"/>
  <c r="CO27" i="3" s="1"/>
  <c r="AN27" i="3"/>
  <c r="DD27" i="3" s="1"/>
  <c r="AX27" i="3"/>
  <c r="AP27" i="3"/>
  <c r="CS27" i="3" s="1"/>
  <c r="AQ26" i="3"/>
  <c r="IF24" i="3"/>
  <c r="IC35" i="3" l="1"/>
  <c r="GP35" i="3"/>
  <c r="GY35" i="3"/>
  <c r="C36" i="3"/>
  <c r="GF34" i="3"/>
  <c r="GG34" i="3" a="1"/>
  <c r="GG34" i="3" s="1"/>
  <c r="GH34" i="3" s="1"/>
  <c r="DE27" i="3"/>
  <c r="HU27" i="3" s="1"/>
  <c r="BJ38" i="3"/>
  <c r="CO38" i="3" s="1"/>
  <c r="K38" i="3"/>
  <c r="DJ38" i="3" s="1"/>
  <c r="BI38" i="3"/>
  <c r="EA38" i="3" s="1"/>
  <c r="CF39" i="3"/>
  <c r="CG39" i="3"/>
  <c r="CY39" i="3"/>
  <c r="CH39" i="3"/>
  <c r="CZ39" i="3"/>
  <c r="I39" i="3"/>
  <c r="J39" i="3" s="1"/>
  <c r="BC39" i="3"/>
  <c r="B40" i="3"/>
  <c r="P39" i="3"/>
  <c r="BB39" i="3"/>
  <c r="S39" i="3"/>
  <c r="EG39" i="3" s="1"/>
  <c r="U39" i="3"/>
  <c r="HR38" i="3"/>
  <c r="HA41" i="3"/>
  <c r="HD40" i="3"/>
  <c r="FQ26" i="3"/>
  <c r="FT26" i="3"/>
  <c r="FW26" i="3"/>
  <c r="FX26" i="3"/>
  <c r="FY26" i="3"/>
  <c r="HT26" i="3"/>
  <c r="DC27" i="3"/>
  <c r="DB27" i="3" s="1"/>
  <c r="DA27" i="3" s="1"/>
  <c r="FZ25" i="3"/>
  <c r="GI143" i="3"/>
  <c r="V27" i="3"/>
  <c r="IF25" i="3"/>
  <c r="U31" i="3"/>
  <c r="I31" i="3"/>
  <c r="K31" i="3" s="1"/>
  <c r="BB31" i="3"/>
  <c r="BC31" i="3"/>
  <c r="P31" i="3"/>
  <c r="AQ27" i="3"/>
  <c r="C37" i="3" l="1"/>
  <c r="GP36" i="3"/>
  <c r="IC36" i="3"/>
  <c r="GY36" i="3"/>
  <c r="GF35" i="3"/>
  <c r="GG35" i="3" a="1"/>
  <c r="GG35" i="3" s="1"/>
  <c r="GH35" i="3" s="1"/>
  <c r="BJ39" i="3"/>
  <c r="CO39" i="3" s="1"/>
  <c r="K39" i="3"/>
  <c r="DJ39" i="3" s="1"/>
  <c r="BI39" i="3"/>
  <c r="EA39" i="3" s="1"/>
  <c r="HD41" i="3"/>
  <c r="HA42" i="3"/>
  <c r="HR39" i="3"/>
  <c r="CG40" i="3"/>
  <c r="CH40" i="3"/>
  <c r="CY40" i="3"/>
  <c r="CF40" i="3"/>
  <c r="CZ40" i="3"/>
  <c r="B41" i="3"/>
  <c r="FQ27" i="3"/>
  <c r="FX27" i="3"/>
  <c r="FY27" i="3"/>
  <c r="HT27" i="3"/>
  <c r="FZ26" i="3"/>
  <c r="GI144" i="3"/>
  <c r="BJ31" i="3"/>
  <c r="CO31" i="3" s="1"/>
  <c r="BI31" i="3"/>
  <c r="EA31" i="3" s="1"/>
  <c r="IF26" i="3"/>
  <c r="J31" i="3"/>
  <c r="DJ31" i="3" s="1"/>
  <c r="P32" i="3"/>
  <c r="U32" i="3"/>
  <c r="BC32" i="3"/>
  <c r="BB32" i="3"/>
  <c r="I32" i="3"/>
  <c r="K32" i="3" s="1"/>
  <c r="AN31" i="3"/>
  <c r="DD31" i="3" s="1"/>
  <c r="AP31" i="3"/>
  <c r="CS31" i="3" s="1"/>
  <c r="AX31" i="3"/>
  <c r="GG36" i="3" l="1" a="1"/>
  <c r="GG36" i="3" s="1"/>
  <c r="GH36" i="3" s="1"/>
  <c r="GF36" i="3"/>
  <c r="C38" i="3"/>
  <c r="IC37" i="3"/>
  <c r="GY37" i="3"/>
  <c r="GP37" i="3"/>
  <c r="DE31" i="3"/>
  <c r="HU31" i="3" s="1"/>
  <c r="CH41" i="3"/>
  <c r="CY41" i="3"/>
  <c r="CZ41" i="3"/>
  <c r="CF41" i="3"/>
  <c r="CG41" i="3"/>
  <c r="B42" i="3"/>
  <c r="HA43" i="3"/>
  <c r="HD42" i="3"/>
  <c r="DC31" i="3"/>
  <c r="DB31" i="3" s="1"/>
  <c r="DA31" i="3" s="1"/>
  <c r="GI145" i="3"/>
  <c r="V31" i="3"/>
  <c r="BI32" i="3"/>
  <c r="EA32" i="3" s="1"/>
  <c r="IF27" i="3"/>
  <c r="BJ32" i="3"/>
  <c r="CO32" i="3" s="1"/>
  <c r="BB33" i="3"/>
  <c r="U33" i="3"/>
  <c r="P33" i="3"/>
  <c r="BC33" i="3"/>
  <c r="I33" i="3"/>
  <c r="J33" i="3" s="1"/>
  <c r="J32" i="3"/>
  <c r="DJ32" i="3" s="1"/>
  <c r="AN32" i="3"/>
  <c r="DD32" i="3" s="1"/>
  <c r="AP32" i="3"/>
  <c r="CS32" i="3" s="1"/>
  <c r="AX32" i="3"/>
  <c r="AQ31" i="3"/>
  <c r="GF37" i="3" l="1"/>
  <c r="GG37" i="3" a="1"/>
  <c r="GG37" i="3" s="1"/>
  <c r="GH37" i="3" s="1"/>
  <c r="AN38" i="3"/>
  <c r="IC38" i="3"/>
  <c r="GF38" i="3" s="1"/>
  <c r="AX38" i="3"/>
  <c r="GY38" i="3"/>
  <c r="GP38" i="3"/>
  <c r="C39" i="3"/>
  <c r="AP38" i="3"/>
  <c r="CS38" i="3" s="1"/>
  <c r="DE32" i="3"/>
  <c r="HU32" i="3" s="1"/>
  <c r="HD43" i="3"/>
  <c r="HA44" i="3"/>
  <c r="CF42" i="3"/>
  <c r="CZ42" i="3"/>
  <c r="CH42" i="3"/>
  <c r="CY42" i="3"/>
  <c r="CG42" i="3"/>
  <c r="B43" i="3"/>
  <c r="FQ31" i="3"/>
  <c r="FT31" i="3"/>
  <c r="FW31" i="3"/>
  <c r="FX31" i="3"/>
  <c r="HT31" i="3"/>
  <c r="DC32" i="3"/>
  <c r="DB32" i="3" s="1"/>
  <c r="DA32" i="3" s="1"/>
  <c r="HT32" i="3" s="1"/>
  <c r="GI146" i="3"/>
  <c r="V32" i="3"/>
  <c r="BI33" i="3"/>
  <c r="EA33" i="3" s="1"/>
  <c r="K33" i="3"/>
  <c r="DJ33" i="3" s="1"/>
  <c r="BC34" i="3"/>
  <c r="BB34" i="3"/>
  <c r="U34" i="3"/>
  <c r="P34" i="3"/>
  <c r="I34" i="3"/>
  <c r="K34" i="3" s="1"/>
  <c r="BJ33" i="3"/>
  <c r="CO33" i="3" s="1"/>
  <c r="AQ32" i="3"/>
  <c r="AN33" i="3"/>
  <c r="DD33" i="3" s="1"/>
  <c r="AX33" i="3"/>
  <c r="AP33" i="3"/>
  <c r="CS33" i="3" s="1"/>
  <c r="DD38" i="3" l="1"/>
  <c r="V38" i="3"/>
  <c r="DE38" i="3"/>
  <c r="HU38" i="3" s="1"/>
  <c r="M38" i="3"/>
  <c r="HP38" i="3" s="1"/>
  <c r="L38" i="3"/>
  <c r="GP39" i="3"/>
  <c r="IC39" i="3"/>
  <c r="GY39" i="3"/>
  <c r="C40" i="3"/>
  <c r="AP39" i="3"/>
  <c r="AN39" i="3"/>
  <c r="AX39" i="3"/>
  <c r="AQ38" i="3"/>
  <c r="DE33" i="3"/>
  <c r="HU33" i="3" s="1"/>
  <c r="CF43" i="3"/>
  <c r="CG43" i="3"/>
  <c r="CY43" i="3"/>
  <c r="CH43" i="3"/>
  <c r="CZ43" i="3"/>
  <c r="U43" i="3"/>
  <c r="P43" i="3"/>
  <c r="B44" i="3"/>
  <c r="BB43" i="3"/>
  <c r="S43" i="3"/>
  <c r="EG43" i="3" s="1"/>
  <c r="I43" i="3"/>
  <c r="J43" i="3" s="1"/>
  <c r="BC43" i="3"/>
  <c r="HA45" i="3"/>
  <c r="HD44" i="3"/>
  <c r="DC33" i="3"/>
  <c r="DB33" i="3" s="1"/>
  <c r="DA33" i="3" s="1"/>
  <c r="FW32" i="3"/>
  <c r="FX32" i="3"/>
  <c r="FQ32" i="3"/>
  <c r="FT32" i="3"/>
  <c r="GI147" i="3"/>
  <c r="V33" i="3"/>
  <c r="IF31" i="3"/>
  <c r="BI34" i="3"/>
  <c r="EA34" i="3" s="1"/>
  <c r="BJ34" i="3"/>
  <c r="CO34" i="3" s="1"/>
  <c r="P35" i="3"/>
  <c r="U35" i="3"/>
  <c r="BB35" i="3"/>
  <c r="I35" i="3"/>
  <c r="K35" i="3" s="1"/>
  <c r="BC35" i="3"/>
  <c r="J34" i="3"/>
  <c r="DJ34" i="3" s="1"/>
  <c r="AQ33" i="3"/>
  <c r="AN34" i="3"/>
  <c r="DD34" i="3" s="1"/>
  <c r="AX34" i="3"/>
  <c r="AP34" i="3"/>
  <c r="CS34" i="3" s="1"/>
  <c r="CD38" i="3" l="1"/>
  <c r="DD39" i="3"/>
  <c r="DC39" i="3" s="1"/>
  <c r="DB39" i="3" s="1"/>
  <c r="DA39" i="3" s="1"/>
  <c r="V39" i="3"/>
  <c r="GF39" i="3"/>
  <c r="GG39" i="3" a="1"/>
  <c r="GG39" i="3" s="1"/>
  <c r="GH39" i="3" s="1"/>
  <c r="DG38" i="3"/>
  <c r="DI38" i="3" s="1"/>
  <c r="CC38" i="3"/>
  <c r="HV38" i="3"/>
  <c r="IC40" i="3"/>
  <c r="GY40" i="3"/>
  <c r="C41" i="3"/>
  <c r="GP40" i="3"/>
  <c r="CS39" i="3"/>
  <c r="AQ39" i="3"/>
  <c r="DC38" i="3"/>
  <c r="DB38" i="3" s="1"/>
  <c r="DA38" i="3" s="1"/>
  <c r="HT38" i="3" s="1"/>
  <c r="K43" i="3"/>
  <c r="DJ43" i="3" s="1"/>
  <c r="BJ43" i="3"/>
  <c r="CO43" i="3" s="1"/>
  <c r="DE34" i="3"/>
  <c r="HU34" i="3" s="1"/>
  <c r="BI43" i="3"/>
  <c r="EA43" i="3" s="1"/>
  <c r="CG44" i="3"/>
  <c r="CH44" i="3"/>
  <c r="CF44" i="3"/>
  <c r="CY44" i="3"/>
  <c r="CZ44" i="3"/>
  <c r="B45" i="3"/>
  <c r="HD45" i="3"/>
  <c r="HA46" i="3"/>
  <c r="HR43" i="3"/>
  <c r="DC34" i="3"/>
  <c r="DB34" i="3" s="1"/>
  <c r="DA34" i="3" s="1"/>
  <c r="HT34" i="3" s="1"/>
  <c r="FQ33" i="3"/>
  <c r="FT33" i="3"/>
  <c r="FX33" i="3"/>
  <c r="FY33" i="3"/>
  <c r="HT33" i="3"/>
  <c r="GI148" i="3"/>
  <c r="V34" i="3"/>
  <c r="BI35" i="3"/>
  <c r="EA35" i="3" s="1"/>
  <c r="IF32" i="3"/>
  <c r="J35" i="3"/>
  <c r="DJ35" i="3" s="1"/>
  <c r="P36" i="3"/>
  <c r="BB36" i="3"/>
  <c r="I36" i="3"/>
  <c r="K36" i="3" s="1"/>
  <c r="U36" i="3"/>
  <c r="BC36" i="3"/>
  <c r="BJ35" i="3"/>
  <c r="CO35" i="3" s="1"/>
  <c r="AQ34" i="3"/>
  <c r="AP35" i="3"/>
  <c r="CS35" i="3" s="1"/>
  <c r="AN35" i="3"/>
  <c r="DD35" i="3" s="1"/>
  <c r="AX35" i="3"/>
  <c r="ID38" i="3" l="1"/>
  <c r="HO38" i="3"/>
  <c r="IB38" i="3"/>
  <c r="HY38" i="3" s="1"/>
  <c r="IA38" i="3"/>
  <c r="HZ38" i="3"/>
  <c r="W38" i="3"/>
  <c r="DF38" i="3" s="1"/>
  <c r="HX38" i="3"/>
  <c r="GP41" i="3"/>
  <c r="GY41" i="3"/>
  <c r="C42" i="3"/>
  <c r="IC41" i="3"/>
  <c r="GF40" i="3"/>
  <c r="GG40" i="3" a="1"/>
  <c r="GG40" i="3" s="1"/>
  <c r="GH40" i="3" s="1"/>
  <c r="FY38" i="3"/>
  <c r="IF38" i="3"/>
  <c r="FQ38" i="3"/>
  <c r="FT38" i="3"/>
  <c r="FX38" i="3"/>
  <c r="FW38" i="3"/>
  <c r="FT39" i="3"/>
  <c r="FW39" i="3"/>
  <c r="FY39" i="3"/>
  <c r="FX39" i="3"/>
  <c r="FQ39" i="3"/>
  <c r="IF39" i="3"/>
  <c r="DE39" i="3"/>
  <c r="M39" i="3"/>
  <c r="HP39" i="3" s="1"/>
  <c r="L39" i="3"/>
  <c r="DE35" i="3"/>
  <c r="HU35" i="3" s="1"/>
  <c r="CH45" i="3"/>
  <c r="CY45" i="3"/>
  <c r="CF45" i="3"/>
  <c r="CG45" i="3"/>
  <c r="CZ45" i="3"/>
  <c r="B46" i="3"/>
  <c r="HA47" i="3"/>
  <c r="HD46" i="3"/>
  <c r="FQ34" i="3"/>
  <c r="FW34" i="3"/>
  <c r="FX34" i="3"/>
  <c r="DC35" i="3"/>
  <c r="DB35" i="3" s="1"/>
  <c r="DA35" i="3" s="1"/>
  <c r="HT35" i="3" s="1"/>
  <c r="GI149" i="3"/>
  <c r="V35" i="3"/>
  <c r="BI36" i="3"/>
  <c r="EA36" i="3" s="1"/>
  <c r="IF33" i="3"/>
  <c r="BJ36" i="3"/>
  <c r="CO36" i="3" s="1"/>
  <c r="J36" i="3"/>
  <c r="DJ36" i="3" s="1"/>
  <c r="U37" i="3"/>
  <c r="P37" i="3"/>
  <c r="BC37" i="3"/>
  <c r="I37" i="3"/>
  <c r="K37" i="3" s="1"/>
  <c r="BB37" i="3"/>
  <c r="AP36" i="3"/>
  <c r="CS36" i="3" s="1"/>
  <c r="AX36" i="3"/>
  <c r="AN36" i="3"/>
  <c r="DD36" i="3" s="1"/>
  <c r="AQ35" i="3"/>
  <c r="FZ38" i="3" l="1"/>
  <c r="DG39" i="3"/>
  <c r="DI39" i="3" s="1"/>
  <c r="FZ39" i="3"/>
  <c r="HJ38" i="3"/>
  <c r="DH38" i="3"/>
  <c r="HV39" i="3"/>
  <c r="CD39" i="3"/>
  <c r="GF41" i="3"/>
  <c r="GG41" i="3" a="1"/>
  <c r="GG41" i="3" s="1"/>
  <c r="GH41" i="3" s="1"/>
  <c r="HU39" i="3"/>
  <c r="CC39" i="3"/>
  <c r="C43" i="3"/>
  <c r="GP42" i="3"/>
  <c r="IC42" i="3"/>
  <c r="GY42" i="3"/>
  <c r="HT39" i="3"/>
  <c r="W39" i="3" s="1"/>
  <c r="DF39" i="3" s="1"/>
  <c r="HD47" i="3"/>
  <c r="HA48" i="3"/>
  <c r="CZ46" i="3"/>
  <c r="CG46" i="3"/>
  <c r="CH46" i="3"/>
  <c r="CY46" i="3"/>
  <c r="CF46" i="3"/>
  <c r="B47" i="3"/>
  <c r="DE36" i="3"/>
  <c r="HU36" i="3" s="1"/>
  <c r="DC36" i="3"/>
  <c r="DB36" i="3" s="1"/>
  <c r="DA36" i="3" s="1"/>
  <c r="HT36" i="3" s="1"/>
  <c r="FX35" i="3"/>
  <c r="FY35" i="3"/>
  <c r="FQ35" i="3"/>
  <c r="FT35" i="3"/>
  <c r="FW35" i="3"/>
  <c r="GI150" i="3"/>
  <c r="V36" i="3"/>
  <c r="BI37" i="3"/>
  <c r="EA37" i="3" s="1"/>
  <c r="J37" i="3"/>
  <c r="DJ37" i="3" s="1"/>
  <c r="BJ37" i="3"/>
  <c r="CO37" i="3" s="1"/>
  <c r="AX37" i="3"/>
  <c r="AN37" i="3"/>
  <c r="DD37" i="3" s="1"/>
  <c r="AP37" i="3"/>
  <c r="CS37" i="3" s="1"/>
  <c r="AQ36" i="3"/>
  <c r="IF34" i="3"/>
  <c r="HO39" i="3" l="1"/>
  <c r="DH39" i="3"/>
  <c r="HJ39" i="3"/>
  <c r="GF42" i="3"/>
  <c r="GG42" i="3" a="1"/>
  <c r="GG42" i="3" s="1"/>
  <c r="GH42" i="3" s="1"/>
  <c r="IC43" i="3"/>
  <c r="GP43" i="3"/>
  <c r="C44" i="3"/>
  <c r="GY43" i="3"/>
  <c r="AN43" i="3"/>
  <c r="AP43" i="3"/>
  <c r="CS43" i="3" s="1"/>
  <c r="AX43" i="3"/>
  <c r="ID39" i="3"/>
  <c r="IB39" i="3"/>
  <c r="HY39" i="3" s="1"/>
  <c r="HZ39" i="3"/>
  <c r="IA39" i="3"/>
  <c r="HX39" i="3"/>
  <c r="DE37" i="3"/>
  <c r="HU37" i="3" s="1"/>
  <c r="HA49" i="3"/>
  <c r="HD48" i="3"/>
  <c r="CF47" i="3"/>
  <c r="CY47" i="3"/>
  <c r="CG47" i="3"/>
  <c r="CH47" i="3"/>
  <c r="CZ47" i="3"/>
  <c r="BB47" i="3"/>
  <c r="B48" i="3"/>
  <c r="P47" i="3"/>
  <c r="I47" i="3"/>
  <c r="K47" i="3" s="1"/>
  <c r="BC47" i="3"/>
  <c r="BI47" i="3" s="1"/>
  <c r="EA47" i="3" s="1"/>
  <c r="U47" i="3"/>
  <c r="FZ35" i="3"/>
  <c r="FY36" i="3"/>
  <c r="FQ36" i="3"/>
  <c r="FT36" i="3"/>
  <c r="FW36" i="3"/>
  <c r="FX36" i="3"/>
  <c r="DC37" i="3"/>
  <c r="DB37" i="3" s="1"/>
  <c r="DA37" i="3" s="1"/>
  <c r="GI151" i="3"/>
  <c r="V37" i="3"/>
  <c r="IF35" i="3"/>
  <c r="I40" i="3"/>
  <c r="K40" i="3" s="1"/>
  <c r="BC40" i="3"/>
  <c r="U40" i="3"/>
  <c r="BB40" i="3"/>
  <c r="P40" i="3"/>
  <c r="AQ37" i="3"/>
  <c r="AQ43" i="3" l="1"/>
  <c r="C45" i="3"/>
  <c r="GP44" i="3"/>
  <c r="GY44" i="3"/>
  <c r="IC44" i="3"/>
  <c r="GG43" i="3" a="1"/>
  <c r="GG43" i="3" s="1"/>
  <c r="GH43" i="3" s="1"/>
  <c r="GF43" i="3"/>
  <c r="DE43" i="3"/>
  <c r="L43" i="3"/>
  <c r="M43" i="3"/>
  <c r="HP43" i="3" s="1"/>
  <c r="DD43" i="3"/>
  <c r="DC43" i="3" s="1"/>
  <c r="DB43" i="3" s="1"/>
  <c r="DA43" i="3" s="1"/>
  <c r="V43" i="3"/>
  <c r="J47" i="3"/>
  <c r="DJ47" i="3" s="1"/>
  <c r="BJ47" i="3"/>
  <c r="CO47" i="3" s="1"/>
  <c r="CG48" i="3"/>
  <c r="CF48" i="3"/>
  <c r="CY48" i="3"/>
  <c r="CH48" i="3"/>
  <c r="CZ48" i="3"/>
  <c r="B49" i="3"/>
  <c r="HD49" i="3"/>
  <c r="HA50" i="3"/>
  <c r="FQ37" i="3"/>
  <c r="FT37" i="3"/>
  <c r="FW37" i="3"/>
  <c r="FX37" i="3"/>
  <c r="FY37" i="3"/>
  <c r="FZ36" i="3"/>
  <c r="GI152" i="3"/>
  <c r="BI40" i="3"/>
  <c r="EA40" i="3" s="1"/>
  <c r="IF36" i="3"/>
  <c r="BJ40" i="3"/>
  <c r="CO40" i="3" s="1"/>
  <c r="J40" i="3"/>
  <c r="DJ40" i="3" s="1"/>
  <c r="P41" i="3"/>
  <c r="U41" i="3"/>
  <c r="I41" i="3"/>
  <c r="K41" i="3" s="1"/>
  <c r="BB41" i="3"/>
  <c r="BC41" i="3"/>
  <c r="AP40" i="3"/>
  <c r="CS40" i="3" s="1"/>
  <c r="AX40" i="3"/>
  <c r="AN40" i="3"/>
  <c r="DD40" i="3" s="1"/>
  <c r="DG43" i="3" l="1"/>
  <c r="DI43" i="3" s="1"/>
  <c r="HV43" i="3"/>
  <c r="CD43" i="3"/>
  <c r="HU43" i="3"/>
  <c r="CC43" i="3"/>
  <c r="GG44" i="3" a="1"/>
  <c r="GG44" i="3" s="1"/>
  <c r="GH44" i="3" s="1"/>
  <c r="GF44" i="3"/>
  <c r="HT43" i="3"/>
  <c r="W43" i="3" s="1"/>
  <c r="DF43" i="3" s="1"/>
  <c r="FX43" i="3"/>
  <c r="FY43" i="3"/>
  <c r="IF43" i="3"/>
  <c r="FT43" i="3"/>
  <c r="FQ43" i="3"/>
  <c r="FW43" i="3"/>
  <c r="IC45" i="3"/>
  <c r="GP45" i="3"/>
  <c r="C46" i="3"/>
  <c r="GY45" i="3"/>
  <c r="DE40" i="3"/>
  <c r="HU40" i="3" s="1"/>
  <c r="HA51" i="3"/>
  <c r="HD50" i="3"/>
  <c r="CH49" i="3"/>
  <c r="CY49" i="3"/>
  <c r="CG49" i="3"/>
  <c r="CZ49" i="3"/>
  <c r="CF49" i="3"/>
  <c r="B50" i="3"/>
  <c r="FZ37" i="3"/>
  <c r="DC40" i="3"/>
  <c r="DB40" i="3" s="1"/>
  <c r="DA40" i="3" s="1"/>
  <c r="GI153" i="3"/>
  <c r="V40" i="3"/>
  <c r="BI41" i="3"/>
  <c r="EA41" i="3" s="1"/>
  <c r="BJ41" i="3"/>
  <c r="CO41" i="3" s="1"/>
  <c r="J41" i="3"/>
  <c r="DJ41" i="3" s="1"/>
  <c r="BB42" i="3"/>
  <c r="BC42" i="3"/>
  <c r="U42" i="3"/>
  <c r="I42" i="3"/>
  <c r="K42" i="3" s="1"/>
  <c r="P42" i="3"/>
  <c r="AQ40" i="3"/>
  <c r="AP41" i="3"/>
  <c r="CS41" i="3" s="1"/>
  <c r="AN41" i="3"/>
  <c r="DD41" i="3" s="1"/>
  <c r="AX41" i="3"/>
  <c r="IF37" i="3"/>
  <c r="DH43" i="3" l="1"/>
  <c r="HJ43" i="3"/>
  <c r="HO43" i="3"/>
  <c r="FZ43" i="3"/>
  <c r="IC46" i="3"/>
  <c r="GY46" i="3"/>
  <c r="GP46" i="3"/>
  <c r="C47" i="3"/>
  <c r="IA43" i="3"/>
  <c r="HX43" i="3"/>
  <c r="HZ43" i="3"/>
  <c r="IB43" i="3"/>
  <c r="HY43" i="3" s="1"/>
  <c r="GF45" i="3"/>
  <c r="GG45" i="3" a="1"/>
  <c r="GG45" i="3" s="1"/>
  <c r="GH45" i="3" s="1"/>
  <c r="ID43" i="3"/>
  <c r="DE41" i="3"/>
  <c r="HU41" i="3" s="1"/>
  <c r="CZ50" i="3"/>
  <c r="CH50" i="3"/>
  <c r="CY50" i="3"/>
  <c r="CF50" i="3"/>
  <c r="CG50" i="3"/>
  <c r="B51" i="3"/>
  <c r="HD51" i="3"/>
  <c r="HA52" i="3"/>
  <c r="FQ40" i="3"/>
  <c r="FT40" i="3"/>
  <c r="FW40" i="3"/>
  <c r="FX40" i="3"/>
  <c r="FY40" i="3"/>
  <c r="DC41" i="3"/>
  <c r="DB41" i="3" s="1"/>
  <c r="DA41" i="3" s="1"/>
  <c r="GI154" i="3"/>
  <c r="V41" i="3"/>
  <c r="BI42" i="3"/>
  <c r="EA42" i="3" s="1"/>
  <c r="BJ42" i="3"/>
  <c r="CO42" i="3" s="1"/>
  <c r="J42" i="3"/>
  <c r="DJ42" i="3" s="1"/>
  <c r="P44" i="3"/>
  <c r="U44" i="3"/>
  <c r="I44" i="3"/>
  <c r="K44" i="3" s="1"/>
  <c r="BB44" i="3"/>
  <c r="BC44" i="3"/>
  <c r="AQ41" i="3"/>
  <c r="AP42" i="3"/>
  <c r="CS42" i="3" s="1"/>
  <c r="AN42" i="3"/>
  <c r="DD42" i="3" s="1"/>
  <c r="AX42" i="3"/>
  <c r="GF46" i="3" l="1"/>
  <c r="GG46" i="3" a="1"/>
  <c r="GG46" i="3" s="1"/>
  <c r="GH46" i="3" s="1"/>
  <c r="GP47" i="3"/>
  <c r="AN47" i="3"/>
  <c r="AX47" i="3"/>
  <c r="AP47" i="3"/>
  <c r="IC47" i="3"/>
  <c r="GY47" i="3"/>
  <c r="C48" i="3"/>
  <c r="CF51" i="3"/>
  <c r="CG51" i="3"/>
  <c r="CH51" i="3"/>
  <c r="CY51" i="3"/>
  <c r="CZ51" i="3"/>
  <c r="B52" i="3"/>
  <c r="FZ40" i="3"/>
  <c r="HA53" i="3"/>
  <c r="HD52" i="3"/>
  <c r="DE42" i="3"/>
  <c r="HU42" i="3" s="1"/>
  <c r="FQ41" i="3"/>
  <c r="FT41" i="3"/>
  <c r="FW41" i="3"/>
  <c r="FX41" i="3"/>
  <c r="FY41" i="3"/>
  <c r="DC42" i="3"/>
  <c r="DB42" i="3" s="1"/>
  <c r="DA42" i="3" s="1"/>
  <c r="HT42" i="3" s="1"/>
  <c r="GI155" i="3"/>
  <c r="V42" i="3"/>
  <c r="BI44" i="3"/>
  <c r="EA44" i="3" s="1"/>
  <c r="IF40" i="3"/>
  <c r="BJ44" i="3"/>
  <c r="CO44" i="3" s="1"/>
  <c r="J44" i="3"/>
  <c r="DJ44" i="3" s="1"/>
  <c r="AQ42" i="3"/>
  <c r="AP44" i="3"/>
  <c r="CS44" i="3" s="1"/>
  <c r="AN44" i="3"/>
  <c r="DD44" i="3" s="1"/>
  <c r="AX44" i="3"/>
  <c r="CS47" i="3" l="1"/>
  <c r="AQ47" i="3"/>
  <c r="DD47" i="3"/>
  <c r="DC47" i="3" s="1"/>
  <c r="DB47" i="3" s="1"/>
  <c r="DA47" i="3" s="1"/>
  <c r="V47" i="3"/>
  <c r="GF47" i="3"/>
  <c r="GG47" i="3" a="1"/>
  <c r="GG47" i="3" s="1"/>
  <c r="GH47" i="3" s="1"/>
  <c r="IC48" i="3"/>
  <c r="GP48" i="3"/>
  <c r="GY48" i="3"/>
  <c r="C49" i="3"/>
  <c r="DE44" i="3"/>
  <c r="HU44" i="3" s="1"/>
  <c r="CG52" i="3"/>
  <c r="CH52" i="3"/>
  <c r="CZ52" i="3"/>
  <c r="CF52" i="3"/>
  <c r="CY52" i="3"/>
  <c r="B53" i="3"/>
  <c r="FZ41" i="3"/>
  <c r="HD53" i="3"/>
  <c r="HA54" i="3"/>
  <c r="DC44" i="3"/>
  <c r="DB44" i="3" s="1"/>
  <c r="DA44" i="3" s="1"/>
  <c r="FW42" i="3"/>
  <c r="FX42" i="3"/>
  <c r="FY42" i="3"/>
  <c r="FQ42" i="3"/>
  <c r="FT42" i="3"/>
  <c r="GI156" i="3"/>
  <c r="V44" i="3"/>
  <c r="AQ44" i="3"/>
  <c r="IF41" i="3"/>
  <c r="DE47" i="3" l="1"/>
  <c r="HU47" i="3" s="1"/>
  <c r="GG48" i="3" a="1"/>
  <c r="GG48" i="3" s="1"/>
  <c r="GH48" i="3" s="1"/>
  <c r="GF48" i="3"/>
  <c r="GY49" i="3"/>
  <c r="GP49" i="3"/>
  <c r="IC49" i="3"/>
  <c r="GF49" i="3" s="1"/>
  <c r="C50" i="3"/>
  <c r="HT47" i="3"/>
  <c r="FQ47" i="3"/>
  <c r="FT47" i="3"/>
  <c r="FW47" i="3"/>
  <c r="FX47" i="3"/>
  <c r="IF47" i="3"/>
  <c r="FY47" i="3"/>
  <c r="CH53" i="3"/>
  <c r="CY53" i="3"/>
  <c r="CF53" i="3"/>
  <c r="CG53" i="3"/>
  <c r="CZ53" i="3"/>
  <c r="B54" i="3"/>
  <c r="HA55" i="3"/>
  <c r="HD54" i="3"/>
  <c r="FQ44" i="3"/>
  <c r="FT44" i="3"/>
  <c r="FW44" i="3"/>
  <c r="FX44" i="3"/>
  <c r="FY44" i="3"/>
  <c r="FZ42" i="3"/>
  <c r="HT44" i="3"/>
  <c r="GI157" i="3"/>
  <c r="BB45" i="3"/>
  <c r="BC45" i="3"/>
  <c r="U45" i="3"/>
  <c r="I45" i="3"/>
  <c r="K45" i="3" s="1"/>
  <c r="P45" i="3"/>
  <c r="IF42" i="3"/>
  <c r="FZ47" i="3" l="1"/>
  <c r="IC50" i="3"/>
  <c r="GP50" i="3"/>
  <c r="GY50" i="3"/>
  <c r="C51" i="3"/>
  <c r="CZ54" i="3"/>
  <c r="CF54" i="3"/>
  <c r="CG54" i="3"/>
  <c r="CH54" i="3"/>
  <c r="CY54" i="3"/>
  <c r="B55" i="3"/>
  <c r="HD55" i="3"/>
  <c r="HA56" i="3"/>
  <c r="FZ44" i="3"/>
  <c r="GI158" i="3"/>
  <c r="BI45" i="3"/>
  <c r="EA45" i="3" s="1"/>
  <c r="IF44" i="3"/>
  <c r="BJ45" i="3"/>
  <c r="CO45" i="3" s="1"/>
  <c r="J45" i="3"/>
  <c r="DJ45" i="3" s="1"/>
  <c r="AX45" i="3"/>
  <c r="AN45" i="3"/>
  <c r="DD45" i="3" s="1"/>
  <c r="AP45" i="3"/>
  <c r="CS45" i="3" s="1"/>
  <c r="DG45" i="3" l="1"/>
  <c r="GF50" i="3"/>
  <c r="GG50" i="3" a="1"/>
  <c r="GG50" i="3" s="1"/>
  <c r="GH50" i="3" s="1"/>
  <c r="GP51" i="3"/>
  <c r="IC51" i="3"/>
  <c r="GF51" i="3" s="1"/>
  <c r="C52" i="3"/>
  <c r="GY51" i="3"/>
  <c r="CF55" i="3"/>
  <c r="CH55" i="3"/>
  <c r="CY55" i="3"/>
  <c r="CZ55" i="3"/>
  <c r="CG55" i="3"/>
  <c r="B56" i="3"/>
  <c r="HA57" i="3"/>
  <c r="HD56" i="3"/>
  <c r="DC45" i="3"/>
  <c r="DB45" i="3" s="1"/>
  <c r="DA45" i="3" s="1"/>
  <c r="GI159" i="3"/>
  <c r="V45" i="3"/>
  <c r="AQ45" i="3"/>
  <c r="AN52" i="3" l="1"/>
  <c r="DD52" i="3" s="1"/>
  <c r="DC52" i="3" s="1"/>
  <c r="DB52" i="3" s="1"/>
  <c r="DA52" i="3" s="1"/>
  <c r="FT52" i="3" s="1"/>
  <c r="GP52" i="3"/>
  <c r="IC52" i="3"/>
  <c r="GY52" i="3"/>
  <c r="C53" i="3"/>
  <c r="HD57" i="3"/>
  <c r="HA58" i="3"/>
  <c r="CG56" i="3"/>
  <c r="CF56" i="3"/>
  <c r="CY56" i="3"/>
  <c r="CH56" i="3"/>
  <c r="CZ56" i="3"/>
  <c r="B57" i="3"/>
  <c r="FT45" i="3"/>
  <c r="FW45" i="3"/>
  <c r="FX45" i="3"/>
  <c r="FY45" i="3"/>
  <c r="FQ45" i="3"/>
  <c r="GI160" i="3"/>
  <c r="I46" i="3"/>
  <c r="K46" i="3" s="1"/>
  <c r="U46" i="3"/>
  <c r="P46" i="3"/>
  <c r="BC46" i="3"/>
  <c r="BB46" i="3"/>
  <c r="FQ52" i="3" l="1"/>
  <c r="GY53" i="3"/>
  <c r="GP53" i="3"/>
  <c r="IC53" i="3"/>
  <c r="C54" i="3"/>
  <c r="FY52" i="3"/>
  <c r="FX52" i="3"/>
  <c r="FW52" i="3"/>
  <c r="GG52" i="3" a="1"/>
  <c r="GG52" i="3" s="1"/>
  <c r="GH52" i="3" s="1"/>
  <c r="GF52" i="3"/>
  <c r="HA59" i="3"/>
  <c r="HD58" i="3"/>
  <c r="CH57" i="3"/>
  <c r="CY57" i="3"/>
  <c r="CF57" i="3"/>
  <c r="CG57" i="3"/>
  <c r="CZ57" i="3"/>
  <c r="B58" i="3"/>
  <c r="FZ45" i="3"/>
  <c r="GI161" i="3"/>
  <c r="BI46" i="3"/>
  <c r="EA46" i="3" s="1"/>
  <c r="J46" i="3"/>
  <c r="DJ46" i="3" s="1"/>
  <c r="BJ46" i="3"/>
  <c r="CO46" i="3" s="1"/>
  <c r="IF45" i="3"/>
  <c r="AP46" i="3"/>
  <c r="CS46" i="3" s="1"/>
  <c r="AN46" i="3"/>
  <c r="DD46" i="3" s="1"/>
  <c r="AX46" i="3"/>
  <c r="DE46" i="3" l="1"/>
  <c r="HU46" i="3" s="1"/>
  <c r="FZ52" i="3"/>
  <c r="GP54" i="3"/>
  <c r="IC54" i="3"/>
  <c r="C55" i="3"/>
  <c r="GY54" i="3"/>
  <c r="GF53" i="3"/>
  <c r="GG53" i="3" a="1"/>
  <c r="GG53" i="3" s="1"/>
  <c r="GH53" i="3" s="1"/>
  <c r="CZ58" i="3"/>
  <c r="CH58" i="3"/>
  <c r="CY58" i="3"/>
  <c r="CF58" i="3"/>
  <c r="CG58" i="3"/>
  <c r="B59" i="3"/>
  <c r="HD59" i="3"/>
  <c r="HA60" i="3"/>
  <c r="DC46" i="3"/>
  <c r="DB46" i="3" s="1"/>
  <c r="DA46" i="3" s="1"/>
  <c r="HT46" i="3" s="1"/>
  <c r="GI162" i="3"/>
  <c r="V46" i="3"/>
  <c r="P48" i="3"/>
  <c r="U48" i="3"/>
  <c r="I48" i="3"/>
  <c r="K48" i="3" s="1"/>
  <c r="BB48" i="3"/>
  <c r="BC48" i="3"/>
  <c r="AQ46" i="3"/>
  <c r="GP55" i="3" l="1"/>
  <c r="C56" i="3"/>
  <c r="GY55" i="3"/>
  <c r="IC55" i="3"/>
  <c r="GF54" i="3"/>
  <c r="GG54" i="3" a="1"/>
  <c r="GG54" i="3" s="1"/>
  <c r="GH54" i="3" s="1"/>
  <c r="CF59" i="3"/>
  <c r="CG59" i="3"/>
  <c r="CH59" i="3"/>
  <c r="CY59" i="3"/>
  <c r="CZ59" i="3"/>
  <c r="B60" i="3"/>
  <c r="HA61" i="3"/>
  <c r="HD60" i="3"/>
  <c r="FX46" i="3"/>
  <c r="FY46" i="3"/>
  <c r="FQ46" i="3"/>
  <c r="FT46" i="3"/>
  <c r="FW46" i="3"/>
  <c r="GI163" i="3"/>
  <c r="BI48" i="3"/>
  <c r="EA48" i="3" s="1"/>
  <c r="BJ48" i="3"/>
  <c r="CO48" i="3" s="1"/>
  <c r="J48" i="3"/>
  <c r="DJ48" i="3" s="1"/>
  <c r="AN48" i="3"/>
  <c r="DD48" i="3" s="1"/>
  <c r="AP48" i="3"/>
  <c r="CS48" i="3" s="1"/>
  <c r="AX48" i="3"/>
  <c r="GF55" i="3" l="1"/>
  <c r="GG55" i="3" a="1"/>
  <c r="GG55" i="3" s="1"/>
  <c r="GH55" i="3" s="1"/>
  <c r="GY56" i="3"/>
  <c r="IC56" i="3"/>
  <c r="GP56" i="3"/>
  <c r="C57" i="3"/>
  <c r="FZ46" i="3"/>
  <c r="CG60" i="3"/>
  <c r="CF60" i="3"/>
  <c r="CY60" i="3"/>
  <c r="CH60" i="3"/>
  <c r="CZ60" i="3"/>
  <c r="B61" i="3"/>
  <c r="DE48" i="3"/>
  <c r="HU48" i="3" s="1"/>
  <c r="HD61" i="3"/>
  <c r="HA62" i="3"/>
  <c r="DC48" i="3"/>
  <c r="DB48" i="3" s="1"/>
  <c r="DA48" i="3" s="1"/>
  <c r="HT48" i="3" s="1"/>
  <c r="GI164" i="3"/>
  <c r="V48" i="3"/>
  <c r="AQ48" i="3"/>
  <c r="IF46" i="3"/>
  <c r="GY57" i="3" l="1"/>
  <c r="GP57" i="3"/>
  <c r="C58" i="3"/>
  <c r="IC57" i="3"/>
  <c r="GG56" i="3" a="1"/>
  <c r="GG56" i="3" s="1"/>
  <c r="GH56" i="3" s="1"/>
  <c r="GF56" i="3"/>
  <c r="CH61" i="3"/>
  <c r="CY61" i="3"/>
  <c r="CF61" i="3"/>
  <c r="CG61" i="3"/>
  <c r="CZ61" i="3"/>
  <c r="B62" i="3"/>
  <c r="HA63" i="3"/>
  <c r="HD62" i="3"/>
  <c r="FQ48" i="3"/>
  <c r="FT48" i="3"/>
  <c r="FW48" i="3"/>
  <c r="FX48" i="3"/>
  <c r="FY48" i="3"/>
  <c r="GI165" i="3"/>
  <c r="IF48" i="3"/>
  <c r="GF57" i="3" l="1"/>
  <c r="GG57" i="3" a="1"/>
  <c r="GG57" i="3" s="1"/>
  <c r="GH57" i="3" s="1"/>
  <c r="GP58" i="3"/>
  <c r="IC58" i="3"/>
  <c r="C59" i="3"/>
  <c r="GY58" i="3"/>
  <c r="FZ48" i="3"/>
  <c r="HD63" i="3"/>
  <c r="HA64" i="3"/>
  <c r="CZ62" i="3"/>
  <c r="CF62" i="3"/>
  <c r="CG62" i="3"/>
  <c r="CH62" i="3"/>
  <c r="CY62" i="3"/>
  <c r="B63" i="3"/>
  <c r="GI166" i="3"/>
  <c r="P49" i="3"/>
  <c r="I49" i="3"/>
  <c r="J49" i="3" s="1"/>
  <c r="U49" i="3"/>
  <c r="BC49" i="3"/>
  <c r="BB49" i="3"/>
  <c r="GY59" i="3" l="1"/>
  <c r="C60" i="3"/>
  <c r="GP59" i="3"/>
  <c r="IC59" i="3"/>
  <c r="GF59" i="3" s="1"/>
  <c r="GF58" i="3"/>
  <c r="GG58" i="3" a="1"/>
  <c r="GG58" i="3" s="1"/>
  <c r="GH58" i="3" s="1"/>
  <c r="HA65" i="3"/>
  <c r="HD64" i="3"/>
  <c r="CF63" i="3"/>
  <c r="CG63" i="3"/>
  <c r="CH63" i="3"/>
  <c r="CY63" i="3"/>
  <c r="CZ63" i="3"/>
  <c r="B64" i="3"/>
  <c r="GI167" i="3"/>
  <c r="BI49" i="3"/>
  <c r="EA49" i="3" s="1"/>
  <c r="K49" i="3"/>
  <c r="DJ49" i="3" s="1"/>
  <c r="BB50" i="3"/>
  <c r="BC50" i="3"/>
  <c r="I50" i="3"/>
  <c r="J50" i="3" s="1"/>
  <c r="P50" i="3"/>
  <c r="U50" i="3"/>
  <c r="BJ49" i="3"/>
  <c r="CO49" i="3" s="1"/>
  <c r="AP49" i="3"/>
  <c r="CS49" i="3" s="1"/>
  <c r="AN49" i="3"/>
  <c r="DD49" i="3" s="1"/>
  <c r="AX49" i="3"/>
  <c r="IC60" i="3" l="1"/>
  <c r="GY60" i="3"/>
  <c r="C61" i="3"/>
  <c r="GP60" i="3"/>
  <c r="DE49" i="3"/>
  <c r="HU49" i="3" s="1"/>
  <c r="HD65" i="3"/>
  <c r="HA66" i="3"/>
  <c r="CF64" i="3"/>
  <c r="CG64" i="3"/>
  <c r="CH64" i="3"/>
  <c r="CY64" i="3"/>
  <c r="CZ64" i="3"/>
  <c r="B65" i="3"/>
  <c r="U64" i="3"/>
  <c r="BB64" i="3"/>
  <c r="BC64" i="3"/>
  <c r="I64" i="3"/>
  <c r="K64" i="3" s="1"/>
  <c r="P64" i="3"/>
  <c r="DC49" i="3"/>
  <c r="DB49" i="3" s="1"/>
  <c r="DA49" i="3" s="1"/>
  <c r="V49" i="3"/>
  <c r="BI50" i="3"/>
  <c r="EA50" i="3" s="1"/>
  <c r="BJ50" i="3"/>
  <c r="CO50" i="3" s="1"/>
  <c r="K50" i="3"/>
  <c r="DJ50" i="3" s="1"/>
  <c r="I51" i="3"/>
  <c r="K51" i="3" s="1"/>
  <c r="U51" i="3"/>
  <c r="P51" i="3"/>
  <c r="BB51" i="3"/>
  <c r="BC51" i="3"/>
  <c r="AQ49" i="3"/>
  <c r="AN50" i="3"/>
  <c r="DD50" i="3" s="1"/>
  <c r="AP50" i="3"/>
  <c r="CS50" i="3" s="1"/>
  <c r="AX50" i="3"/>
  <c r="DE50" i="3" l="1"/>
  <c r="HU50" i="3" s="1"/>
  <c r="GY61" i="3"/>
  <c r="C62" i="3"/>
  <c r="GP61" i="3"/>
  <c r="IC61" i="3"/>
  <c r="GF61" i="3" s="1"/>
  <c r="GF60" i="3"/>
  <c r="GG60" i="3" a="1"/>
  <c r="GG60" i="3" s="1"/>
  <c r="GH60" i="3" s="1"/>
  <c r="J64" i="3"/>
  <c r="DJ64" i="3" s="1"/>
  <c r="BJ64" i="3"/>
  <c r="CO64" i="3" s="1"/>
  <c r="CG65" i="3"/>
  <c r="CH65" i="3"/>
  <c r="CY65" i="3"/>
  <c r="CZ65" i="3"/>
  <c r="CF65" i="3"/>
  <c r="B66" i="3"/>
  <c r="HA67" i="3"/>
  <c r="HD66" i="3"/>
  <c r="BI64" i="3"/>
  <c r="EA64" i="3" s="1"/>
  <c r="FT49" i="3"/>
  <c r="FW49" i="3"/>
  <c r="FX49" i="3"/>
  <c r="FY49" i="3"/>
  <c r="FQ49" i="3"/>
  <c r="HT49" i="3"/>
  <c r="DC50" i="3"/>
  <c r="DB50" i="3" s="1"/>
  <c r="DA50" i="3" s="1"/>
  <c r="V50" i="3"/>
  <c r="BI51" i="3"/>
  <c r="EA51" i="3" s="1"/>
  <c r="BJ51" i="3"/>
  <c r="CO51" i="3" s="1"/>
  <c r="J51" i="3"/>
  <c r="DJ51" i="3" s="1"/>
  <c r="BB52" i="3"/>
  <c r="U52" i="3"/>
  <c r="P52" i="3"/>
  <c r="BC52" i="3"/>
  <c r="I52" i="3"/>
  <c r="K52" i="3" s="1"/>
  <c r="AQ50" i="3"/>
  <c r="AP51" i="3"/>
  <c r="CS51" i="3" s="1"/>
  <c r="AX51" i="3"/>
  <c r="AN51" i="3"/>
  <c r="DD51" i="3" s="1"/>
  <c r="GY62" i="3" l="1"/>
  <c r="IC62" i="3"/>
  <c r="GF62" i="3" s="1"/>
  <c r="GP62" i="3"/>
  <c r="C63" i="3"/>
  <c r="HT52" i="3"/>
  <c r="CH66" i="3"/>
  <c r="CY66" i="3"/>
  <c r="CZ66" i="3"/>
  <c r="CF66" i="3"/>
  <c r="CG66" i="3"/>
  <c r="B67" i="3"/>
  <c r="DE51" i="3"/>
  <c r="HU51" i="3" s="1"/>
  <c r="HD67" i="3"/>
  <c r="HA68" i="3"/>
  <c r="FZ49" i="3"/>
  <c r="FY50" i="3"/>
  <c r="FQ50" i="3"/>
  <c r="FT50" i="3"/>
  <c r="FW50" i="3"/>
  <c r="FX50" i="3"/>
  <c r="HT50" i="3"/>
  <c r="DC51" i="3"/>
  <c r="DB51" i="3" s="1"/>
  <c r="DA51" i="3" s="1"/>
  <c r="HT51" i="3" s="1"/>
  <c r="V51" i="3"/>
  <c r="BI52" i="3"/>
  <c r="EA52" i="3" s="1"/>
  <c r="IF49" i="3"/>
  <c r="BJ52" i="3"/>
  <c r="CO52" i="3" s="1"/>
  <c r="J52" i="3"/>
  <c r="DJ52" i="3" s="1"/>
  <c r="U53" i="3"/>
  <c r="BC53" i="3"/>
  <c r="P53" i="3"/>
  <c r="I53" i="3"/>
  <c r="K53" i="3" s="1"/>
  <c r="BB53" i="3"/>
  <c r="AQ51" i="3"/>
  <c r="AX52" i="3"/>
  <c r="V52" i="3"/>
  <c r="AP52" i="3"/>
  <c r="CS52" i="3" s="1"/>
  <c r="IC63" i="3" l="1"/>
  <c r="GY63" i="3"/>
  <c r="C64" i="3"/>
  <c r="GP63" i="3"/>
  <c r="DE52" i="3"/>
  <c r="HU52" i="3" s="1"/>
  <c r="HA69" i="3"/>
  <c r="HD68" i="3"/>
  <c r="CZ67" i="3"/>
  <c r="CG67" i="3"/>
  <c r="CF67" i="3"/>
  <c r="CH67" i="3"/>
  <c r="CY67" i="3"/>
  <c r="B68" i="3"/>
  <c r="FZ50" i="3"/>
  <c r="FQ51" i="3"/>
  <c r="FT51" i="3"/>
  <c r="FW51" i="3"/>
  <c r="FX51" i="3"/>
  <c r="FY51" i="3"/>
  <c r="BI53" i="3"/>
  <c r="EA53" i="3" s="1"/>
  <c r="J53" i="3"/>
  <c r="DJ53" i="3" s="1"/>
  <c r="BJ53" i="3"/>
  <c r="CO53" i="3" s="1"/>
  <c r="AQ52" i="3"/>
  <c r="IF50" i="3"/>
  <c r="AN53" i="3"/>
  <c r="DD53" i="3" s="1"/>
  <c r="AP53" i="3"/>
  <c r="CS53" i="3" s="1"/>
  <c r="AX53" i="3"/>
  <c r="GP64" i="3" l="1"/>
  <c r="C65" i="3"/>
  <c r="AN64" i="3"/>
  <c r="IC64" i="3"/>
  <c r="AP64" i="3"/>
  <c r="GY64" i="3"/>
  <c r="AX64" i="3"/>
  <c r="GF63" i="3"/>
  <c r="GG63" i="3" a="1"/>
  <c r="GG63" i="3" s="1"/>
  <c r="GH63" i="3" s="1"/>
  <c r="DE53" i="3"/>
  <c r="HU53" i="3" s="1"/>
  <c r="CY68" i="3"/>
  <c r="CH68" i="3"/>
  <c r="CF68" i="3"/>
  <c r="CG68" i="3"/>
  <c r="CZ68" i="3"/>
  <c r="B69" i="3"/>
  <c r="HD69" i="3"/>
  <c r="HA70" i="3"/>
  <c r="DC53" i="3"/>
  <c r="DB53" i="3" s="1"/>
  <c r="DA53" i="3" s="1"/>
  <c r="FZ51" i="3"/>
  <c r="V53" i="3"/>
  <c r="P54" i="3"/>
  <c r="I54" i="3"/>
  <c r="J54" i="3" s="1"/>
  <c r="BB54" i="3"/>
  <c r="BC54" i="3"/>
  <c r="U54" i="3"/>
  <c r="AQ53" i="3"/>
  <c r="IF51" i="3"/>
  <c r="CS64" i="3" l="1"/>
  <c r="AQ64" i="3"/>
  <c r="GF64" i="3"/>
  <c r="GG64" i="3" a="1"/>
  <c r="GG64" i="3" s="1"/>
  <c r="GH64" i="3" s="1"/>
  <c r="DD64" i="3"/>
  <c r="V64" i="3"/>
  <c r="C66" i="3"/>
  <c r="GP65" i="3"/>
  <c r="IC65" i="3"/>
  <c r="GY65" i="3"/>
  <c r="CZ69" i="3"/>
  <c r="CF69" i="3"/>
  <c r="CG69" i="3"/>
  <c r="CH69" i="3"/>
  <c r="CY69" i="3"/>
  <c r="B70" i="3"/>
  <c r="HA71" i="3"/>
  <c r="HD70" i="3"/>
  <c r="FX53" i="3"/>
  <c r="FY53" i="3"/>
  <c r="FQ53" i="3"/>
  <c r="FT53" i="3"/>
  <c r="FW53" i="3"/>
  <c r="HT53" i="3"/>
  <c r="BI54" i="3"/>
  <c r="EA54" i="3" s="1"/>
  <c r="K54" i="3"/>
  <c r="DJ54" i="3" s="1"/>
  <c r="BB55" i="3"/>
  <c r="BC55" i="3"/>
  <c r="U55" i="3"/>
  <c r="I55" i="3"/>
  <c r="K55" i="3" s="1"/>
  <c r="P55" i="3"/>
  <c r="BJ54" i="3"/>
  <c r="CO54" i="3" s="1"/>
  <c r="IF52" i="3"/>
  <c r="AX54" i="3"/>
  <c r="AN54" i="3"/>
  <c r="DD54" i="3" s="1"/>
  <c r="AP54" i="3"/>
  <c r="CS54" i="3" s="1"/>
  <c r="DE64" i="3" l="1"/>
  <c r="HU64" i="3" s="1"/>
  <c r="GP66" i="3"/>
  <c r="IC66" i="3"/>
  <c r="GY66" i="3"/>
  <c r="C67" i="3"/>
  <c r="DC64" i="3"/>
  <c r="DB64" i="3" s="1"/>
  <c r="DA64" i="3" s="1"/>
  <c r="HT64" i="3" s="1"/>
  <c r="GF65" i="3"/>
  <c r="GG65" i="3" a="1"/>
  <c r="GG65" i="3" s="1"/>
  <c r="GH65" i="3" s="1"/>
  <c r="CF70" i="3"/>
  <c r="CG70" i="3"/>
  <c r="CH70" i="3"/>
  <c r="CY70" i="3"/>
  <c r="CZ70" i="3"/>
  <c r="B71" i="3"/>
  <c r="HD71" i="3"/>
  <c r="HA72" i="3"/>
  <c r="DE54" i="3"/>
  <c r="HU54" i="3" s="1"/>
  <c r="DC54" i="3"/>
  <c r="DB54" i="3" s="1"/>
  <c r="DA54" i="3" s="1"/>
  <c r="HT54" i="3" s="1"/>
  <c r="FZ53" i="3"/>
  <c r="V54" i="3"/>
  <c r="BI55" i="3"/>
  <c r="EA55" i="3" s="1"/>
  <c r="IF53" i="3"/>
  <c r="J55" i="3"/>
  <c r="DJ55" i="3" s="1"/>
  <c r="BB56" i="3"/>
  <c r="BC56" i="3"/>
  <c r="U56" i="3"/>
  <c r="I56" i="3"/>
  <c r="K56" i="3" s="1"/>
  <c r="P56" i="3"/>
  <c r="BJ55" i="3"/>
  <c r="CO55" i="3" s="1"/>
  <c r="AQ54" i="3"/>
  <c r="AN55" i="3"/>
  <c r="DD55" i="3" s="1"/>
  <c r="AX55" i="3"/>
  <c r="AP55" i="3"/>
  <c r="CS55" i="3" s="1"/>
  <c r="FQ64" i="3" l="1"/>
  <c r="IF64" i="3"/>
  <c r="FW64" i="3"/>
  <c r="FX64" i="3"/>
  <c r="FY64" i="3"/>
  <c r="GP67" i="3"/>
  <c r="IC67" i="3"/>
  <c r="C68" i="3"/>
  <c r="GY67" i="3"/>
  <c r="GF66" i="3"/>
  <c r="GG66" i="3" a="1"/>
  <c r="GG66" i="3" s="1"/>
  <c r="GH66" i="3" s="1"/>
  <c r="DE55" i="3"/>
  <c r="HU55" i="3" s="1"/>
  <c r="CF71" i="3"/>
  <c r="CG71" i="3"/>
  <c r="CH71" i="3"/>
  <c r="CY71" i="3"/>
  <c r="CZ71" i="3"/>
  <c r="B72" i="3"/>
  <c r="HA73" i="3"/>
  <c r="HD72" i="3"/>
  <c r="DC55" i="3"/>
  <c r="DB55" i="3" s="1"/>
  <c r="DA55" i="3" s="1"/>
  <c r="FQ54" i="3"/>
  <c r="FT54" i="3"/>
  <c r="FW54" i="3"/>
  <c r="FX54" i="3"/>
  <c r="FY54" i="3"/>
  <c r="V55" i="3"/>
  <c r="BI56" i="3"/>
  <c r="EA56" i="3" s="1"/>
  <c r="J56" i="3"/>
  <c r="DJ56" i="3" s="1"/>
  <c r="BJ56" i="3"/>
  <c r="CO56" i="3" s="1"/>
  <c r="AQ55" i="3"/>
  <c r="AP56" i="3"/>
  <c r="CS56" i="3" s="1"/>
  <c r="AX56" i="3"/>
  <c r="AN56" i="3"/>
  <c r="DD56" i="3" s="1"/>
  <c r="FZ64" i="3" l="1"/>
  <c r="GF67" i="3"/>
  <c r="GG67" i="3" a="1"/>
  <c r="GG67" i="3" s="1"/>
  <c r="GH67" i="3" s="1"/>
  <c r="GP68" i="3"/>
  <c r="IC68" i="3"/>
  <c r="C69" i="3"/>
  <c r="GY68" i="3"/>
  <c r="CF72" i="3"/>
  <c r="CG72" i="3"/>
  <c r="CH72" i="3"/>
  <c r="CY72" i="3"/>
  <c r="CZ72" i="3"/>
  <c r="B73" i="3"/>
  <c r="DE56" i="3"/>
  <c r="HU56" i="3" s="1"/>
  <c r="HD73" i="3"/>
  <c r="HA74" i="3"/>
  <c r="FZ54" i="3"/>
  <c r="DC56" i="3"/>
  <c r="DB56" i="3" s="1"/>
  <c r="DA56" i="3" s="1"/>
  <c r="FQ55" i="3"/>
  <c r="FT55" i="3"/>
  <c r="FW55" i="3"/>
  <c r="FX55" i="3"/>
  <c r="FY55" i="3"/>
  <c r="V56" i="3"/>
  <c r="BB57" i="3"/>
  <c r="BC57" i="3"/>
  <c r="I57" i="3"/>
  <c r="K57" i="3" s="1"/>
  <c r="P57" i="3"/>
  <c r="U57" i="3"/>
  <c r="AQ56" i="3"/>
  <c r="IF54" i="3"/>
  <c r="IC69" i="3" l="1"/>
  <c r="GY69" i="3"/>
  <c r="C70" i="3"/>
  <c r="GP69" i="3"/>
  <c r="GF68" i="3"/>
  <c r="GG68" i="3" a="1"/>
  <c r="GG68" i="3" s="1"/>
  <c r="GH68" i="3" s="1"/>
  <c r="CG73" i="3"/>
  <c r="CH73" i="3"/>
  <c r="CY73" i="3"/>
  <c r="CZ73" i="3"/>
  <c r="CF73" i="3"/>
  <c r="B74" i="3"/>
  <c r="HA75" i="3"/>
  <c r="HD74" i="3"/>
  <c r="FT56" i="3"/>
  <c r="FW56" i="3"/>
  <c r="FX56" i="3"/>
  <c r="FY56" i="3"/>
  <c r="FQ56" i="3"/>
  <c r="FZ55" i="3"/>
  <c r="HT56" i="3"/>
  <c r="BI57" i="3"/>
  <c r="EA57" i="3" s="1"/>
  <c r="BJ57" i="3"/>
  <c r="CO57" i="3" s="1"/>
  <c r="J57" i="3"/>
  <c r="DJ57" i="3" s="1"/>
  <c r="IF55" i="3"/>
  <c r="AX57" i="3"/>
  <c r="AP57" i="3"/>
  <c r="CS57" i="3" s="1"/>
  <c r="AN57" i="3"/>
  <c r="DD57" i="3" s="1"/>
  <c r="IC70" i="3" l="1"/>
  <c r="GY70" i="3"/>
  <c r="GP70" i="3"/>
  <c r="C71" i="3"/>
  <c r="GF69" i="3"/>
  <c r="GG69" i="3" a="1"/>
  <c r="GG69" i="3" s="1"/>
  <c r="GH69" i="3" s="1"/>
  <c r="DE57" i="3"/>
  <c r="HU57" i="3" s="1"/>
  <c r="CH74" i="3"/>
  <c r="CY74" i="3"/>
  <c r="CZ74" i="3"/>
  <c r="CF74" i="3"/>
  <c r="CG74" i="3"/>
  <c r="B75" i="3"/>
  <c r="HD75" i="3"/>
  <c r="HA76" i="3"/>
  <c r="DC57" i="3"/>
  <c r="DB57" i="3" s="1"/>
  <c r="DA57" i="3" s="1"/>
  <c r="FZ56" i="3"/>
  <c r="V57" i="3"/>
  <c r="IF56" i="3"/>
  <c r="U58" i="3"/>
  <c r="I58" i="3"/>
  <c r="K58" i="3" s="1"/>
  <c r="P58" i="3"/>
  <c r="BC58" i="3"/>
  <c r="BB58" i="3"/>
  <c r="AQ57" i="3"/>
  <c r="GP71" i="3" l="1"/>
  <c r="C72" i="3"/>
  <c r="GY71" i="3"/>
  <c r="IC71" i="3"/>
  <c r="GF70" i="3"/>
  <c r="GG70" i="3" a="1"/>
  <c r="GG70" i="3" s="1"/>
  <c r="GH70" i="3" s="1"/>
  <c r="CZ75" i="3"/>
  <c r="CG75" i="3"/>
  <c r="CF75" i="3"/>
  <c r="CH75" i="3"/>
  <c r="CY75" i="3"/>
  <c r="B76" i="3"/>
  <c r="HA77" i="3"/>
  <c r="HD76" i="3"/>
  <c r="FY57" i="3"/>
  <c r="FQ57" i="3"/>
  <c r="FW57" i="3"/>
  <c r="FX57" i="3"/>
  <c r="HT57" i="3"/>
  <c r="BI58" i="3"/>
  <c r="EA58" i="3" s="1"/>
  <c r="BJ58" i="3"/>
  <c r="CO58" i="3" s="1"/>
  <c r="J58" i="3"/>
  <c r="DJ58" i="3" s="1"/>
  <c r="AX58" i="3"/>
  <c r="AP58" i="3"/>
  <c r="CS58" i="3" s="1"/>
  <c r="AN58" i="3"/>
  <c r="DD58" i="3" s="1"/>
  <c r="GF71" i="3" l="1"/>
  <c r="GG71" i="3" a="1"/>
  <c r="GG71" i="3" s="1"/>
  <c r="GH71" i="3" s="1"/>
  <c r="IC72" i="3"/>
  <c r="GY72" i="3"/>
  <c r="GP72" i="3"/>
  <c r="C73" i="3"/>
  <c r="CH76" i="3"/>
  <c r="CY76" i="3"/>
  <c r="CF76" i="3"/>
  <c r="CG76" i="3"/>
  <c r="CZ76" i="3"/>
  <c r="I76" i="3"/>
  <c r="K76" i="3" s="1"/>
  <c r="U76" i="3"/>
  <c r="P76" i="3"/>
  <c r="S76" i="3"/>
  <c r="EG76" i="3" s="1"/>
  <c r="B77" i="3"/>
  <c r="BC76" i="3"/>
  <c r="BB76" i="3"/>
  <c r="DE58" i="3"/>
  <c r="HU58" i="3" s="1"/>
  <c r="HD77" i="3"/>
  <c r="HA78" i="3"/>
  <c r="FZ57" i="3"/>
  <c r="DC58" i="3"/>
  <c r="DB58" i="3" s="1"/>
  <c r="DA58" i="3" s="1"/>
  <c r="HT58" i="3" s="1"/>
  <c r="V58" i="3"/>
  <c r="IF57" i="3"/>
  <c r="BB59" i="3"/>
  <c r="BC59" i="3"/>
  <c r="U59" i="3"/>
  <c r="I59" i="3"/>
  <c r="J59" i="3" s="1"/>
  <c r="P59" i="3"/>
  <c r="AQ58" i="3"/>
  <c r="GP73" i="3" l="1"/>
  <c r="IC73" i="3"/>
  <c r="GF73" i="3" s="1"/>
  <c r="GY73" i="3"/>
  <c r="C74" i="3"/>
  <c r="GF72" i="3"/>
  <c r="GG72" i="3" a="1"/>
  <c r="GG72" i="3" s="1"/>
  <c r="GH72" i="3" s="1"/>
  <c r="BI76" i="3"/>
  <c r="EA76" i="3" s="1"/>
  <c r="J76" i="3"/>
  <c r="DJ76" i="3" s="1"/>
  <c r="BJ76" i="3"/>
  <c r="CO76" i="3" s="1"/>
  <c r="CF77" i="3"/>
  <c r="CG77" i="3"/>
  <c r="CH77" i="3"/>
  <c r="CY77" i="3"/>
  <c r="CZ77" i="3"/>
  <c r="B78" i="3"/>
  <c r="HA79" i="3"/>
  <c r="HD78" i="3"/>
  <c r="HR76" i="3"/>
  <c r="FQ58" i="3"/>
  <c r="FW58" i="3"/>
  <c r="FX58" i="3"/>
  <c r="FY58" i="3"/>
  <c r="BI59" i="3"/>
  <c r="EA59" i="3" s="1"/>
  <c r="K59" i="3"/>
  <c r="DJ59" i="3" s="1"/>
  <c r="BJ59" i="3"/>
  <c r="CO59" i="3" s="1"/>
  <c r="I60" i="3"/>
  <c r="J60" i="3" s="1"/>
  <c r="BB60" i="3"/>
  <c r="P60" i="3"/>
  <c r="U60" i="3"/>
  <c r="BC60" i="3"/>
  <c r="AP59" i="3"/>
  <c r="CS59" i="3" s="1"/>
  <c r="AN59" i="3"/>
  <c r="DD59" i="3" s="1"/>
  <c r="AX59" i="3"/>
  <c r="C75" i="3" l="1"/>
  <c r="GY74" i="3"/>
  <c r="GP74" i="3"/>
  <c r="IC74" i="3"/>
  <c r="HD79" i="3"/>
  <c r="HA80" i="3"/>
  <c r="DE59" i="3"/>
  <c r="HU59" i="3" s="1"/>
  <c r="CF78" i="3"/>
  <c r="CG78" i="3"/>
  <c r="CH78" i="3"/>
  <c r="CY78" i="3"/>
  <c r="CZ78" i="3"/>
  <c r="B79" i="3"/>
  <c r="FZ58" i="3"/>
  <c r="DC59" i="3"/>
  <c r="DB59" i="3" s="1"/>
  <c r="DA59" i="3" s="1"/>
  <c r="HT59" i="3" s="1"/>
  <c r="V59" i="3"/>
  <c r="BI60" i="3"/>
  <c r="EA60" i="3" s="1"/>
  <c r="BJ60" i="3"/>
  <c r="CO60" i="3" s="1"/>
  <c r="K60" i="3"/>
  <c r="DJ60" i="3" s="1"/>
  <c r="I61" i="3"/>
  <c r="K61" i="3" s="1"/>
  <c r="P61" i="3"/>
  <c r="BC61" i="3"/>
  <c r="BB61" i="3"/>
  <c r="U61" i="3"/>
  <c r="AQ59" i="3"/>
  <c r="IF58" i="3"/>
  <c r="AP60" i="3"/>
  <c r="CS60" i="3" s="1"/>
  <c r="AN60" i="3"/>
  <c r="DD60" i="3" s="1"/>
  <c r="AX60" i="3"/>
  <c r="GG74" i="3" l="1" a="1"/>
  <c r="GG74" i="3" s="1"/>
  <c r="GH74" i="3" s="1"/>
  <c r="GF74" i="3"/>
  <c r="IC75" i="3"/>
  <c r="C76" i="3"/>
  <c r="GY75" i="3"/>
  <c r="GP75" i="3"/>
  <c r="DE60" i="3"/>
  <c r="HU60" i="3" s="1"/>
  <c r="CF79" i="3"/>
  <c r="CG79" i="3"/>
  <c r="CH79" i="3"/>
  <c r="CY79" i="3"/>
  <c r="CZ79" i="3"/>
  <c r="B80" i="3"/>
  <c r="HA81" i="3"/>
  <c r="HD80" i="3"/>
  <c r="FT59" i="3"/>
  <c r="FW59" i="3"/>
  <c r="FX59" i="3"/>
  <c r="FY59" i="3"/>
  <c r="FQ59" i="3"/>
  <c r="DC60" i="3"/>
  <c r="DB60" i="3" s="1"/>
  <c r="DA60" i="3" s="1"/>
  <c r="HT60" i="3" s="1"/>
  <c r="V60" i="3"/>
  <c r="BI61" i="3"/>
  <c r="EA61" i="3" s="1"/>
  <c r="J61" i="3"/>
  <c r="DJ61" i="3" s="1"/>
  <c r="BJ61" i="3"/>
  <c r="CO61" i="3" s="1"/>
  <c r="U62" i="3"/>
  <c r="I62" i="3"/>
  <c r="J62" i="3" s="1"/>
  <c r="BB62" i="3"/>
  <c r="BC62" i="3"/>
  <c r="P62" i="3"/>
  <c r="AQ60" i="3"/>
  <c r="AP61" i="3"/>
  <c r="CS61" i="3" s="1"/>
  <c r="AN61" i="3"/>
  <c r="DD61" i="3" s="1"/>
  <c r="AX61" i="3"/>
  <c r="GY76" i="3" l="1"/>
  <c r="GP76" i="3"/>
  <c r="C77" i="3"/>
  <c r="AP76" i="3"/>
  <c r="AN76" i="3"/>
  <c r="AX76" i="3"/>
  <c r="IC76" i="3"/>
  <c r="GF75" i="3"/>
  <c r="GG75" i="3" a="1"/>
  <c r="GG75" i="3" s="1"/>
  <c r="GH75" i="3" s="1"/>
  <c r="CF80" i="3"/>
  <c r="CG80" i="3"/>
  <c r="CH80" i="3"/>
  <c r="CY80" i="3"/>
  <c r="CZ80" i="3"/>
  <c r="B81" i="3"/>
  <c r="DE61" i="3"/>
  <c r="HU61" i="3" s="1"/>
  <c r="FZ59" i="3"/>
  <c r="HD81" i="3"/>
  <c r="HA82" i="3"/>
  <c r="FY60" i="3"/>
  <c r="FQ60" i="3"/>
  <c r="FT60" i="3"/>
  <c r="FW60" i="3"/>
  <c r="FX60" i="3"/>
  <c r="DC61" i="3"/>
  <c r="DB61" i="3" s="1"/>
  <c r="DA61" i="3" s="1"/>
  <c r="V61" i="3"/>
  <c r="BI62" i="3"/>
  <c r="EA62" i="3" s="1"/>
  <c r="BJ62" i="3"/>
  <c r="CO62" i="3" s="1"/>
  <c r="U63" i="3"/>
  <c r="BC63" i="3"/>
  <c r="P63" i="3"/>
  <c r="I63" i="3"/>
  <c r="J63" i="3" s="1"/>
  <c r="BB63" i="3"/>
  <c r="K62" i="3"/>
  <c r="DJ62" i="3" s="1"/>
  <c r="AQ61" i="3"/>
  <c r="IF59" i="3"/>
  <c r="AN62" i="3"/>
  <c r="DD62" i="3" s="1"/>
  <c r="AP62" i="3"/>
  <c r="CS62" i="3" s="1"/>
  <c r="AX62" i="3"/>
  <c r="GF76" i="3" l="1"/>
  <c r="GG76" i="3" a="1"/>
  <c r="GG76" i="3" s="1"/>
  <c r="GH76" i="3" s="1"/>
  <c r="C78" i="3"/>
  <c r="GP77" i="3"/>
  <c r="IC77" i="3"/>
  <c r="GY77" i="3"/>
  <c r="DE62" i="3"/>
  <c r="HU62" i="3" s="1"/>
  <c r="DD76" i="3"/>
  <c r="DC76" i="3" s="1"/>
  <c r="DB76" i="3" s="1"/>
  <c r="DA76" i="3" s="1"/>
  <c r="V76" i="3"/>
  <c r="CS76" i="3"/>
  <c r="AQ76" i="3"/>
  <c r="CG81" i="3"/>
  <c r="CH81" i="3"/>
  <c r="CY81" i="3"/>
  <c r="CZ81" i="3"/>
  <c r="CF81" i="3"/>
  <c r="B82" i="3"/>
  <c r="HA83" i="3"/>
  <c r="HD82" i="3"/>
  <c r="FQ61" i="3"/>
  <c r="FT61" i="3"/>
  <c r="FW61" i="3"/>
  <c r="FX61" i="3"/>
  <c r="FY61" i="3"/>
  <c r="HT61" i="3"/>
  <c r="DC62" i="3"/>
  <c r="DB62" i="3" s="1"/>
  <c r="DA62" i="3" s="1"/>
  <c r="HT62" i="3" s="1"/>
  <c r="FZ60" i="3"/>
  <c r="V62" i="3"/>
  <c r="BI63" i="3"/>
  <c r="EA63" i="3" s="1"/>
  <c r="K63" i="3"/>
  <c r="DJ63" i="3" s="1"/>
  <c r="BJ63" i="3"/>
  <c r="CO63" i="3" s="1"/>
  <c r="AQ62" i="3"/>
  <c r="AN63" i="3"/>
  <c r="DD63" i="3" s="1"/>
  <c r="AP63" i="3"/>
  <c r="CS63" i="3" s="1"/>
  <c r="AX63" i="3"/>
  <c r="IF60" i="3"/>
  <c r="FW76" i="3" l="1"/>
  <c r="FY76" i="3"/>
  <c r="FQ76" i="3"/>
  <c r="FT76" i="3"/>
  <c r="FX76" i="3"/>
  <c r="GP78" i="3"/>
  <c r="C79" i="3"/>
  <c r="IC78" i="3"/>
  <c r="GY78" i="3"/>
  <c r="GF77" i="3"/>
  <c r="GG77" i="3" a="1"/>
  <c r="GG77" i="3" s="1"/>
  <c r="GH77" i="3" s="1"/>
  <c r="IF76" i="3"/>
  <c r="DE76" i="3"/>
  <c r="M76" i="3"/>
  <c r="HP76" i="3" s="1"/>
  <c r="L76" i="3"/>
  <c r="DG76" i="3" s="1"/>
  <c r="DI76" i="3" s="1"/>
  <c r="HD83" i="3"/>
  <c r="HA84" i="3"/>
  <c r="CH82" i="3"/>
  <c r="CY82" i="3"/>
  <c r="CZ82" i="3"/>
  <c r="CF82" i="3"/>
  <c r="CG82" i="3"/>
  <c r="B83" i="3"/>
  <c r="DE63" i="3"/>
  <c r="HU63" i="3" s="1"/>
  <c r="FZ61" i="3"/>
  <c r="DC63" i="3"/>
  <c r="DB63" i="3" s="1"/>
  <c r="DA63" i="3" s="1"/>
  <c r="FT62" i="3"/>
  <c r="FW62" i="3"/>
  <c r="FX62" i="3"/>
  <c r="FY62" i="3"/>
  <c r="FQ62" i="3"/>
  <c r="V63" i="3"/>
  <c r="IF61" i="3"/>
  <c r="AQ63" i="3"/>
  <c r="FZ76" i="3" l="1"/>
  <c r="GG78" i="3" a="1"/>
  <c r="GG78" i="3" s="1"/>
  <c r="GH78" i="3" s="1"/>
  <c r="GF78" i="3"/>
  <c r="HV76" i="3"/>
  <c r="ID76" i="3" s="1"/>
  <c r="CD76" i="3"/>
  <c r="GP79" i="3"/>
  <c r="C80" i="3"/>
  <c r="IC79" i="3"/>
  <c r="GY79" i="3"/>
  <c r="HU76" i="3"/>
  <c r="CC76" i="3"/>
  <c r="HT76" i="3"/>
  <c r="HA85" i="3"/>
  <c r="HD84" i="3"/>
  <c r="B84" i="3"/>
  <c r="CZ83" i="3"/>
  <c r="CG83" i="3"/>
  <c r="CF83" i="3"/>
  <c r="CH83" i="3"/>
  <c r="CY83" i="3"/>
  <c r="FZ62" i="3"/>
  <c r="FY63" i="3"/>
  <c r="FQ63" i="3"/>
  <c r="FT63" i="3"/>
  <c r="FW63" i="3"/>
  <c r="FX63" i="3"/>
  <c r="P65" i="3"/>
  <c r="U65" i="3"/>
  <c r="I65" i="3"/>
  <c r="J65" i="3" s="1"/>
  <c r="BB65" i="3"/>
  <c r="BC65" i="3"/>
  <c r="IF62" i="3"/>
  <c r="GG79" i="3" l="1" a="1"/>
  <c r="GG79" i="3" s="1"/>
  <c r="GH79" i="3" s="1"/>
  <c r="GF79" i="3"/>
  <c r="C81" i="3"/>
  <c r="GP80" i="3"/>
  <c r="IC80" i="3"/>
  <c r="GY80" i="3"/>
  <c r="IB76" i="3"/>
  <c r="HY76" i="3" s="1"/>
  <c r="HZ76" i="3"/>
  <c r="IA76" i="3"/>
  <c r="HX76" i="3"/>
  <c r="HO76" i="3"/>
  <c r="W76" i="3"/>
  <c r="DF76" i="3" s="1"/>
  <c r="B85" i="3"/>
  <c r="U84" i="3"/>
  <c r="P84" i="3"/>
  <c r="S84" i="3"/>
  <c r="EG84" i="3" s="1"/>
  <c r="I84" i="3"/>
  <c r="J84" i="3" s="1"/>
  <c r="CH84" i="3"/>
  <c r="CF84" i="3"/>
  <c r="CG84" i="3"/>
  <c r="CY84" i="3"/>
  <c r="CZ84" i="3"/>
  <c r="BB84" i="3"/>
  <c r="BC84" i="3"/>
  <c r="HD85" i="3"/>
  <c r="HA86" i="3"/>
  <c r="FZ63" i="3"/>
  <c r="BI65" i="3"/>
  <c r="EA65" i="3" s="1"/>
  <c r="K65" i="3"/>
  <c r="DJ65" i="3" s="1"/>
  <c r="BJ65" i="3"/>
  <c r="CO65" i="3" s="1"/>
  <c r="U66" i="3"/>
  <c r="I66" i="3"/>
  <c r="J66" i="3" s="1"/>
  <c r="P66" i="3"/>
  <c r="BB66" i="3"/>
  <c r="BC66" i="3"/>
  <c r="AN65" i="3"/>
  <c r="DD65" i="3" s="1"/>
  <c r="AP65" i="3"/>
  <c r="CS65" i="3" s="1"/>
  <c r="AX65" i="3"/>
  <c r="IF63" i="3"/>
  <c r="HJ76" i="3" l="1"/>
  <c r="DH76" i="3"/>
  <c r="GF80" i="3"/>
  <c r="GG80" i="3" a="1"/>
  <c r="GG80" i="3" s="1"/>
  <c r="GH80" i="3" s="1"/>
  <c r="GP81" i="3"/>
  <c r="C82" i="3"/>
  <c r="GY81" i="3"/>
  <c r="IC81" i="3"/>
  <c r="BI84" i="3"/>
  <c r="EA84" i="3" s="1"/>
  <c r="DE65" i="3"/>
  <c r="HU65" i="3" s="1"/>
  <c r="HR84" i="3"/>
  <c r="HA87" i="3"/>
  <c r="HD86" i="3"/>
  <c r="K84" i="3"/>
  <c r="DJ84" i="3" s="1"/>
  <c r="BJ84" i="3"/>
  <c r="CO84" i="3" s="1"/>
  <c r="S85" i="3"/>
  <c r="EG85" i="3" s="1"/>
  <c r="I85" i="3"/>
  <c r="J85" i="3" s="1"/>
  <c r="U85" i="3"/>
  <c r="P85" i="3"/>
  <c r="CF85" i="3"/>
  <c r="CH85" i="3"/>
  <c r="CG85" i="3"/>
  <c r="B86" i="3"/>
  <c r="CZ85" i="3"/>
  <c r="CY85" i="3"/>
  <c r="BB85" i="3"/>
  <c r="BC85" i="3"/>
  <c r="DC65" i="3"/>
  <c r="DB65" i="3" s="1"/>
  <c r="DA65" i="3" s="1"/>
  <c r="V65" i="3"/>
  <c r="BI66" i="3"/>
  <c r="EA66" i="3" s="1"/>
  <c r="K66" i="3"/>
  <c r="DJ66" i="3" s="1"/>
  <c r="BJ66" i="3"/>
  <c r="CO66" i="3" s="1"/>
  <c r="AQ65" i="3"/>
  <c r="AP66" i="3"/>
  <c r="CS66" i="3" s="1"/>
  <c r="AX66" i="3"/>
  <c r="AN66" i="3"/>
  <c r="DD66" i="3" s="1"/>
  <c r="C83" i="3" l="1"/>
  <c r="GP82" i="3"/>
  <c r="GY82" i="3"/>
  <c r="IC82" i="3"/>
  <c r="GG81" i="3" a="1"/>
  <c r="GG81" i="3" s="1"/>
  <c r="GH81" i="3" s="1"/>
  <c r="GF81" i="3"/>
  <c r="BI85" i="3"/>
  <c r="EA85" i="3" s="1"/>
  <c r="K85" i="3"/>
  <c r="DJ85" i="3" s="1"/>
  <c r="BJ85" i="3"/>
  <c r="CO85" i="3" s="1"/>
  <c r="DE66" i="3"/>
  <c r="HU66" i="3" s="1"/>
  <c r="HR85" i="3"/>
  <c r="HD87" i="3"/>
  <c r="HA88" i="3"/>
  <c r="S86" i="3"/>
  <c r="EG86" i="3" s="1"/>
  <c r="I86" i="3"/>
  <c r="J86" i="3" s="1"/>
  <c r="U86" i="3"/>
  <c r="P86" i="3"/>
  <c r="CH86" i="3"/>
  <c r="B87" i="3"/>
  <c r="CY86" i="3"/>
  <c r="CZ86" i="3"/>
  <c r="CF86" i="3"/>
  <c r="CG86" i="3"/>
  <c r="BB86" i="3"/>
  <c r="BC86" i="3"/>
  <c r="DC66" i="3"/>
  <c r="DB66" i="3" s="1"/>
  <c r="DA66" i="3" s="1"/>
  <c r="FT65" i="3"/>
  <c r="FW65" i="3"/>
  <c r="FX65" i="3"/>
  <c r="FY65" i="3"/>
  <c r="FQ65" i="3"/>
  <c r="V66" i="3"/>
  <c r="U67" i="3"/>
  <c r="I67" i="3"/>
  <c r="J67" i="3" s="1"/>
  <c r="BB67" i="3"/>
  <c r="BC67" i="3"/>
  <c r="P67" i="3"/>
  <c r="AQ66" i="3"/>
  <c r="GF82" i="3" l="1"/>
  <c r="GG82" i="3" a="1"/>
  <c r="GG82" i="3" s="1"/>
  <c r="GH82" i="3" s="1"/>
  <c r="GP83" i="3"/>
  <c r="IC83" i="3"/>
  <c r="GY83" i="3"/>
  <c r="C84" i="3"/>
  <c r="BJ86" i="3"/>
  <c r="CO86" i="3" s="1"/>
  <c r="K86" i="3"/>
  <c r="DJ86" i="3" s="1"/>
  <c r="HR86" i="3"/>
  <c r="BI86" i="3"/>
  <c r="EA86" i="3" s="1"/>
  <c r="HA89" i="3"/>
  <c r="HD88" i="3"/>
  <c r="I87" i="3"/>
  <c r="J87" i="3" s="1"/>
  <c r="S87" i="3"/>
  <c r="EG87" i="3" s="1"/>
  <c r="P87" i="3"/>
  <c r="U87" i="3"/>
  <c r="CY87" i="3"/>
  <c r="B88" i="3"/>
  <c r="CZ87" i="3"/>
  <c r="CG87" i="3"/>
  <c r="CH87" i="3"/>
  <c r="CF87" i="3"/>
  <c r="BB87" i="3"/>
  <c r="BC87" i="3"/>
  <c r="FZ65" i="3"/>
  <c r="FX66" i="3"/>
  <c r="FY66" i="3"/>
  <c r="FQ66" i="3"/>
  <c r="FT66" i="3"/>
  <c r="FW66" i="3"/>
  <c r="BI67" i="3"/>
  <c r="EA67" i="3" s="1"/>
  <c r="K67" i="3"/>
  <c r="DJ67" i="3" s="1"/>
  <c r="BJ67" i="3"/>
  <c r="CO67" i="3" s="1"/>
  <c r="P68" i="3"/>
  <c r="U68" i="3"/>
  <c r="I68" i="3"/>
  <c r="J68" i="3" s="1"/>
  <c r="BB68" i="3"/>
  <c r="BC68" i="3"/>
  <c r="IF65" i="3"/>
  <c r="AP67" i="3"/>
  <c r="CS67" i="3" s="1"/>
  <c r="AX67" i="3"/>
  <c r="AN67" i="3"/>
  <c r="DD67" i="3" s="1"/>
  <c r="AN84" i="3" l="1"/>
  <c r="C85" i="3"/>
  <c r="AX84" i="3"/>
  <c r="IC84" i="3"/>
  <c r="GY84" i="3"/>
  <c r="GP84" i="3"/>
  <c r="AP84" i="3"/>
  <c r="CS84" i="3" s="1"/>
  <c r="GF83" i="3"/>
  <c r="GG83" i="3" a="1"/>
  <c r="GG83" i="3" s="1"/>
  <c r="GH83" i="3" s="1"/>
  <c r="FZ66" i="3"/>
  <c r="HR87" i="3"/>
  <c r="DE67" i="3"/>
  <c r="HU67" i="3" s="1"/>
  <c r="BJ87" i="3"/>
  <c r="CO87" i="3" s="1"/>
  <c r="S88" i="3"/>
  <c r="EG88" i="3" s="1"/>
  <c r="U88" i="3"/>
  <c r="P88" i="3"/>
  <c r="I88" i="3"/>
  <c r="J88" i="3" s="1"/>
  <c r="CH88" i="3"/>
  <c r="B89" i="3"/>
  <c r="CY88" i="3"/>
  <c r="CZ88" i="3"/>
  <c r="CF88" i="3"/>
  <c r="CG88" i="3"/>
  <c r="BB88" i="3"/>
  <c r="BC88" i="3"/>
  <c r="BI87" i="3"/>
  <c r="EA87" i="3" s="1"/>
  <c r="HD89" i="3"/>
  <c r="HA90" i="3"/>
  <c r="K87" i="3"/>
  <c r="DJ87" i="3" s="1"/>
  <c r="GC87" i="3" s="1"/>
  <c r="M84" i="3"/>
  <c r="HP84" i="3" s="1"/>
  <c r="DC67" i="3"/>
  <c r="DB67" i="3" s="1"/>
  <c r="DA67" i="3" s="1"/>
  <c r="HT67" i="3" s="1"/>
  <c r="V67" i="3"/>
  <c r="BI68" i="3"/>
  <c r="EA68" i="3" s="1"/>
  <c r="K68" i="3"/>
  <c r="DJ68" i="3" s="1"/>
  <c r="BJ68" i="3"/>
  <c r="CO68" i="3" s="1"/>
  <c r="U69" i="3"/>
  <c r="I69" i="3"/>
  <c r="J69" i="3" s="1"/>
  <c r="P69" i="3"/>
  <c r="BB69" i="3"/>
  <c r="BC69" i="3"/>
  <c r="AQ67" i="3"/>
  <c r="IF66" i="3"/>
  <c r="AN68" i="3"/>
  <c r="DD68" i="3" s="1"/>
  <c r="AX68" i="3"/>
  <c r="AP68" i="3"/>
  <c r="CS68" i="3" s="1"/>
  <c r="L84" i="3" l="1"/>
  <c r="DE84" i="3"/>
  <c r="HR88" i="3"/>
  <c r="DE68" i="3"/>
  <c r="HU68" i="3" s="1"/>
  <c r="AQ84" i="3"/>
  <c r="GF84" i="3"/>
  <c r="GG84" i="3" a="1"/>
  <c r="GG84" i="3" s="1"/>
  <c r="GH84" i="3" s="1"/>
  <c r="GP85" i="3"/>
  <c r="AN85" i="3"/>
  <c r="IC85" i="3"/>
  <c r="C86" i="3"/>
  <c r="AX85" i="3"/>
  <c r="GY85" i="3"/>
  <c r="AP85" i="3"/>
  <c r="CS85" i="3" s="1"/>
  <c r="DD84" i="3"/>
  <c r="DC84" i="3" s="1"/>
  <c r="DB84" i="3" s="1"/>
  <c r="DA84" i="3" s="1"/>
  <c r="FX84" i="3" s="1"/>
  <c r="V84" i="3"/>
  <c r="K88" i="3"/>
  <c r="DJ88" i="3" s="1"/>
  <c r="BJ88" i="3"/>
  <c r="CO88" i="3" s="1"/>
  <c r="BI88" i="3"/>
  <c r="EA88" i="3" s="1"/>
  <c r="HA91" i="3"/>
  <c r="HD90" i="3"/>
  <c r="U89" i="3"/>
  <c r="P89" i="3"/>
  <c r="S89" i="3"/>
  <c r="EG89" i="3" s="1"/>
  <c r="I89" i="3"/>
  <c r="K89" i="3" s="1"/>
  <c r="CZ89" i="3"/>
  <c r="B90" i="3"/>
  <c r="CG89" i="3"/>
  <c r="CY89" i="3"/>
  <c r="CF89" i="3"/>
  <c r="CH89" i="3"/>
  <c r="BB89" i="3"/>
  <c r="BC89" i="3"/>
  <c r="DC68" i="3"/>
  <c r="DB68" i="3" s="1"/>
  <c r="DA68" i="3" s="1"/>
  <c r="HT68" i="3" s="1"/>
  <c r="HU84" i="3"/>
  <c r="CC84" i="3"/>
  <c r="FQ67" i="3"/>
  <c r="FT67" i="3"/>
  <c r="FW67" i="3"/>
  <c r="FX67" i="3"/>
  <c r="FY67" i="3"/>
  <c r="DG84" i="3"/>
  <c r="DI84" i="3" s="1"/>
  <c r="HV84" i="3"/>
  <c r="CD84" i="3"/>
  <c r="V68" i="3"/>
  <c r="BI69" i="3"/>
  <c r="EA69" i="3" s="1"/>
  <c r="BJ69" i="3"/>
  <c r="CO69" i="3" s="1"/>
  <c r="K69" i="3"/>
  <c r="DJ69" i="3" s="1"/>
  <c r="AQ68" i="3"/>
  <c r="AP69" i="3"/>
  <c r="CS69" i="3" s="1"/>
  <c r="AN69" i="3"/>
  <c r="DD69" i="3" s="1"/>
  <c r="AX69" i="3"/>
  <c r="M85" i="3" l="1"/>
  <c r="HP85" i="3" s="1"/>
  <c r="DE85" i="3"/>
  <c r="L85" i="3"/>
  <c r="HT84" i="3"/>
  <c r="GF85" i="3"/>
  <c r="GG85" i="3" a="1"/>
  <c r="GG85" i="3" s="1"/>
  <c r="GH85" i="3" s="1"/>
  <c r="GP86" i="3"/>
  <c r="C87" i="3"/>
  <c r="IC86" i="3"/>
  <c r="AX86" i="3"/>
  <c r="GY86" i="3"/>
  <c r="AP86" i="3"/>
  <c r="CS86" i="3" s="1"/>
  <c r="AN86" i="3"/>
  <c r="V85" i="3"/>
  <c r="DD85" i="3"/>
  <c r="DC85" i="3" s="1"/>
  <c r="DB85" i="3" s="1"/>
  <c r="DA85" i="3" s="1"/>
  <c r="HT85" i="3" s="1"/>
  <c r="HO85" i="3" s="1"/>
  <c r="AQ86" i="3"/>
  <c r="FY84" i="3"/>
  <c r="FW84" i="3"/>
  <c r="FT84" i="3"/>
  <c r="FQ84" i="3"/>
  <c r="AQ85" i="3"/>
  <c r="BJ89" i="3"/>
  <c r="CO89" i="3" s="1"/>
  <c r="J89" i="3"/>
  <c r="DJ89" i="3" s="1"/>
  <c r="BI89" i="3"/>
  <c r="EA89" i="3" s="1"/>
  <c r="HR89" i="3"/>
  <c r="I90" i="3"/>
  <c r="K90" i="3" s="1"/>
  <c r="U90" i="3"/>
  <c r="P90" i="3"/>
  <c r="S90" i="3"/>
  <c r="EG90" i="3" s="1"/>
  <c r="B91" i="3"/>
  <c r="CF90" i="3"/>
  <c r="CG90" i="3"/>
  <c r="CH90" i="3"/>
  <c r="CZ90" i="3"/>
  <c r="CY90" i="3"/>
  <c r="BB90" i="3"/>
  <c r="BC90" i="3"/>
  <c r="DE69" i="3"/>
  <c r="HU69" i="3" s="1"/>
  <c r="HD91" i="3"/>
  <c r="HA92" i="3"/>
  <c r="HV85" i="3"/>
  <c r="CD85" i="3"/>
  <c r="ID84" i="3"/>
  <c r="HZ84" i="3"/>
  <c r="IA84" i="3"/>
  <c r="HX84" i="3"/>
  <c r="M86" i="3"/>
  <c r="HP86" i="3" s="1"/>
  <c r="DE86" i="3"/>
  <c r="L86" i="3"/>
  <c r="IB84" i="3"/>
  <c r="HY84" i="3" s="1"/>
  <c r="FQ68" i="3"/>
  <c r="FT68" i="3"/>
  <c r="FW68" i="3"/>
  <c r="FX68" i="3"/>
  <c r="FY68" i="3"/>
  <c r="DC69" i="3"/>
  <c r="DB69" i="3" s="1"/>
  <c r="DA69" i="3" s="1"/>
  <c r="FZ67" i="3"/>
  <c r="HU85" i="3"/>
  <c r="CC85" i="3"/>
  <c r="DG85" i="3"/>
  <c r="DI85" i="3" s="1"/>
  <c r="V69" i="3"/>
  <c r="IF67" i="3"/>
  <c r="AQ69" i="3"/>
  <c r="FW85" i="3" l="1"/>
  <c r="FZ84" i="3"/>
  <c r="FQ85" i="3"/>
  <c r="FX85" i="3"/>
  <c r="W85" i="3"/>
  <c r="DF85" i="3" s="1"/>
  <c r="DH85" i="3" s="1"/>
  <c r="GF86" i="3"/>
  <c r="GG86" i="3" a="1"/>
  <c r="GG86" i="3" s="1"/>
  <c r="GH86" i="3" s="1"/>
  <c r="C88" i="3"/>
  <c r="IC87" i="3"/>
  <c r="AX87" i="3"/>
  <c r="GY87" i="3"/>
  <c r="GP87" i="3"/>
  <c r="AN87" i="3"/>
  <c r="AP87" i="3"/>
  <c r="IB85" i="3"/>
  <c r="HY85" i="3" s="1"/>
  <c r="V86" i="3"/>
  <c r="DD86" i="3"/>
  <c r="DC86" i="3" s="1"/>
  <c r="DB86" i="3" s="1"/>
  <c r="DA86" i="3" s="1"/>
  <c r="FT86" i="3" s="1"/>
  <c r="FT85" i="3"/>
  <c r="HO84" i="3"/>
  <c r="W84" i="3"/>
  <c r="DF84" i="3" s="1"/>
  <c r="DH84" i="3" s="1"/>
  <c r="FZ68" i="3"/>
  <c r="BI90" i="3"/>
  <c r="EA90" i="3" s="1"/>
  <c r="J90" i="3"/>
  <c r="DJ90" i="3" s="1"/>
  <c r="BJ90" i="3"/>
  <c r="CO90" i="3" s="1"/>
  <c r="HA93" i="3"/>
  <c r="HD92" i="3"/>
  <c r="HR90" i="3"/>
  <c r="P91" i="3"/>
  <c r="U91" i="3"/>
  <c r="I91" i="3"/>
  <c r="K91" i="3" s="1"/>
  <c r="S91" i="3"/>
  <c r="EG91" i="3" s="1"/>
  <c r="CG91" i="3"/>
  <c r="CH91" i="3"/>
  <c r="CY91" i="3"/>
  <c r="CZ91" i="3"/>
  <c r="CF91" i="3"/>
  <c r="B92" i="3"/>
  <c r="BB91" i="3"/>
  <c r="BC91" i="3"/>
  <c r="DG86" i="3"/>
  <c r="DI86" i="3" s="1"/>
  <c r="HV86" i="3"/>
  <c r="CD86" i="3"/>
  <c r="HU86" i="3"/>
  <c r="CC86" i="3"/>
  <c r="HX85" i="3"/>
  <c r="HZ85" i="3"/>
  <c r="IA85" i="3"/>
  <c r="FT69" i="3"/>
  <c r="FW69" i="3"/>
  <c r="FX69" i="3"/>
  <c r="FY69" i="3"/>
  <c r="FQ69" i="3"/>
  <c r="ID85" i="3"/>
  <c r="IF68" i="3"/>
  <c r="U70" i="3"/>
  <c r="I70" i="3"/>
  <c r="K70" i="3" s="1"/>
  <c r="BC70" i="3"/>
  <c r="BB70" i="3"/>
  <c r="P70" i="3"/>
  <c r="FW86" i="3" l="1"/>
  <c r="FQ86" i="3"/>
  <c r="HJ85" i="3"/>
  <c r="FX86" i="3"/>
  <c r="HJ84" i="3"/>
  <c r="HT86" i="3"/>
  <c r="GG87" i="3" a="1"/>
  <c r="GG87" i="3" s="1"/>
  <c r="GH87" i="3" s="1"/>
  <c r="GF87" i="3"/>
  <c r="IC88" i="3"/>
  <c r="GF88" i="3" s="1"/>
  <c r="C89" i="3"/>
  <c r="AX88" i="3"/>
  <c r="GY88" i="3"/>
  <c r="GP88" i="3"/>
  <c r="AP88" i="3"/>
  <c r="CS88" i="3" s="1"/>
  <c r="AN88" i="3"/>
  <c r="CS87" i="3"/>
  <c r="AQ87" i="3"/>
  <c r="V87" i="3"/>
  <c r="GD87" i="3" s="1"/>
  <c r="GE87" i="3" s="1"/>
  <c r="DD87" i="3"/>
  <c r="DC87" i="3" s="1"/>
  <c r="DB87" i="3" s="1"/>
  <c r="DA87" i="3" s="1"/>
  <c r="HT87" i="3" s="1"/>
  <c r="HR91" i="3"/>
  <c r="BJ91" i="3"/>
  <c r="CO91" i="3" s="1"/>
  <c r="U92" i="3"/>
  <c r="P92" i="3"/>
  <c r="I92" i="3"/>
  <c r="J92" i="3" s="1"/>
  <c r="S92" i="3"/>
  <c r="EG92" i="3" s="1"/>
  <c r="CZ92" i="3"/>
  <c r="B93" i="3"/>
  <c r="CF92" i="3"/>
  <c r="CG92" i="3"/>
  <c r="CH92" i="3"/>
  <c r="CY92" i="3"/>
  <c r="BB92" i="3"/>
  <c r="BC92" i="3"/>
  <c r="J91" i="3"/>
  <c r="DJ91" i="3" s="1"/>
  <c r="BI91" i="3"/>
  <c r="EA91" i="3" s="1"/>
  <c r="HD93" i="3"/>
  <c r="HA94" i="3"/>
  <c r="ID86" i="3"/>
  <c r="L88" i="3"/>
  <c r="FZ69" i="3"/>
  <c r="BI70" i="3"/>
  <c r="EA70" i="3" s="1"/>
  <c r="BJ70" i="3"/>
  <c r="CO70" i="3" s="1"/>
  <c r="J70" i="3"/>
  <c r="DJ70" i="3" s="1"/>
  <c r="AP70" i="3"/>
  <c r="CS70" i="3" s="1"/>
  <c r="AN70" i="3"/>
  <c r="DD70" i="3" s="1"/>
  <c r="AX70" i="3"/>
  <c r="IF69" i="3"/>
  <c r="M88" i="3" l="1"/>
  <c r="HP88" i="3" s="1"/>
  <c r="FX87" i="3"/>
  <c r="FQ87" i="3"/>
  <c r="IB86" i="3"/>
  <c r="HY86" i="3" s="1"/>
  <c r="HZ86" i="3"/>
  <c r="IA86" i="3"/>
  <c r="HX86" i="3"/>
  <c r="C90" i="3"/>
  <c r="AX89" i="3"/>
  <c r="IC89" i="3"/>
  <c r="GY89" i="3"/>
  <c r="GP89" i="3"/>
  <c r="AP89" i="3"/>
  <c r="CS89" i="3" s="1"/>
  <c r="AN89" i="3"/>
  <c r="FW87" i="3"/>
  <c r="FT87" i="3"/>
  <c r="DE87" i="3"/>
  <c r="L87" i="3"/>
  <c r="M87" i="3"/>
  <c r="HP87" i="3" s="1"/>
  <c r="V88" i="3"/>
  <c r="DD88" i="3"/>
  <c r="DC88" i="3" s="1"/>
  <c r="DB88" i="3" s="1"/>
  <c r="DA88" i="3" s="1"/>
  <c r="HT88" i="3" s="1"/>
  <c r="HO88" i="3" s="1"/>
  <c r="DE88" i="3"/>
  <c r="HU88" i="3" s="1"/>
  <c r="HO86" i="3"/>
  <c r="W86" i="3"/>
  <c r="DF86" i="3" s="1"/>
  <c r="DH86" i="3" s="1"/>
  <c r="AQ88" i="3"/>
  <c r="K92" i="3"/>
  <c r="BJ92" i="3"/>
  <c r="CO92" i="3" s="1"/>
  <c r="DJ92" i="3"/>
  <c r="BI92" i="3"/>
  <c r="DE70" i="3"/>
  <c r="HU70" i="3" s="1"/>
  <c r="HA95" i="3"/>
  <c r="HD94" i="3"/>
  <c r="S93" i="3"/>
  <c r="EG93" i="3" s="1"/>
  <c r="U93" i="3"/>
  <c r="P93" i="3"/>
  <c r="I93" i="3"/>
  <c r="J93" i="3" s="1"/>
  <c r="CY93" i="3"/>
  <c r="CZ93" i="3"/>
  <c r="B94" i="3"/>
  <c r="CG93" i="3"/>
  <c r="CH93" i="3"/>
  <c r="CF93" i="3"/>
  <c r="BC93" i="3"/>
  <c r="BB93" i="3"/>
  <c r="HR92" i="3"/>
  <c r="CC88" i="3"/>
  <c r="DC70" i="3"/>
  <c r="DB70" i="3" s="1"/>
  <c r="DA70" i="3" s="1"/>
  <c r="HV88" i="3"/>
  <c r="HJ86" i="3"/>
  <c r="DG88" i="3"/>
  <c r="DI88" i="3" s="1"/>
  <c r="V70" i="3"/>
  <c r="AQ70" i="3"/>
  <c r="CD88" i="3" l="1"/>
  <c r="AQ89" i="3"/>
  <c r="FT88" i="3"/>
  <c r="HV87" i="3"/>
  <c r="CD87" i="3"/>
  <c r="HU87" i="3"/>
  <c r="CC87" i="3"/>
  <c r="GF89" i="3"/>
  <c r="GG89" i="3" a="1"/>
  <c r="GG89" i="3" s="1"/>
  <c r="GH89" i="3" s="1"/>
  <c r="W87" i="3"/>
  <c r="DF87" i="3" s="1"/>
  <c r="HO87" i="3"/>
  <c r="GP90" i="3"/>
  <c r="AP90" i="3"/>
  <c r="CS90" i="3" s="1"/>
  <c r="C91" i="3"/>
  <c r="IC90" i="3"/>
  <c r="AN90" i="3"/>
  <c r="AX90" i="3"/>
  <c r="GY90" i="3"/>
  <c r="FY88" i="3"/>
  <c r="V89" i="3"/>
  <c r="DD89" i="3"/>
  <c r="DC89" i="3" s="1"/>
  <c r="DB89" i="3" s="1"/>
  <c r="DA89" i="3" s="1"/>
  <c r="FX89" i="3" s="1"/>
  <c r="W88" i="3"/>
  <c r="DF88" i="3" s="1"/>
  <c r="HJ88" i="3" s="1"/>
  <c r="FQ88" i="3"/>
  <c r="FX88" i="3"/>
  <c r="FW88" i="3"/>
  <c r="DG87" i="3"/>
  <c r="DI87" i="3" s="1"/>
  <c r="DE89" i="3"/>
  <c r="M89" i="3"/>
  <c r="HP89" i="3" s="1"/>
  <c r="L89" i="3"/>
  <c r="BJ93" i="3"/>
  <c r="CO93" i="3" s="1"/>
  <c r="HR93" i="3"/>
  <c r="BI93" i="3"/>
  <c r="S94" i="3"/>
  <c r="EG94" i="3" s="1"/>
  <c r="I94" i="3"/>
  <c r="J94" i="3" s="1"/>
  <c r="U94" i="3"/>
  <c r="P94" i="3"/>
  <c r="CF94" i="3"/>
  <c r="CG94" i="3"/>
  <c r="CH94" i="3"/>
  <c r="B95" i="3"/>
  <c r="CY94" i="3"/>
  <c r="CZ94" i="3"/>
  <c r="BB94" i="3"/>
  <c r="BC94" i="3"/>
  <c r="K93" i="3"/>
  <c r="DJ93" i="3" s="1"/>
  <c r="HD95" i="3"/>
  <c r="HA96" i="3"/>
  <c r="FY70" i="3"/>
  <c r="FQ70" i="3"/>
  <c r="FT70" i="3"/>
  <c r="FX70" i="3"/>
  <c r="DH88" i="3"/>
  <c r="HX88" i="3"/>
  <c r="HZ88" i="3"/>
  <c r="IA88" i="3"/>
  <c r="L90" i="3"/>
  <c r="DE90" i="3"/>
  <c r="ID88" i="3"/>
  <c r="IB88" i="3"/>
  <c r="HY88" i="3" s="1"/>
  <c r="HT70" i="3"/>
  <c r="U71" i="3"/>
  <c r="BB71" i="3"/>
  <c r="P71" i="3"/>
  <c r="I71" i="3"/>
  <c r="J71" i="3" s="1"/>
  <c r="BC71" i="3"/>
  <c r="M90" i="3" l="1"/>
  <c r="HP90" i="3" s="1"/>
  <c r="FT89" i="3"/>
  <c r="FZ88" i="3"/>
  <c r="HR94" i="3"/>
  <c r="FW89" i="3"/>
  <c r="GG90" i="3" a="1"/>
  <c r="GG90" i="3" s="1"/>
  <c r="GH90" i="3" s="1"/>
  <c r="GF90" i="3"/>
  <c r="GY91" i="3"/>
  <c r="AN91" i="3"/>
  <c r="GP91" i="3"/>
  <c r="AP91" i="3"/>
  <c r="AX91" i="3"/>
  <c r="C92" i="3"/>
  <c r="IC91" i="3"/>
  <c r="DH87" i="3"/>
  <c r="HJ87" i="3"/>
  <c r="CD89" i="3"/>
  <c r="DG89" i="3"/>
  <c r="DI89" i="3" s="1"/>
  <c r="HV89" i="3"/>
  <c r="FQ89" i="3"/>
  <c r="HU89" i="3"/>
  <c r="CC89" i="3"/>
  <c r="HX87" i="3"/>
  <c r="IA87" i="3"/>
  <c r="HZ87" i="3"/>
  <c r="IB87" i="3"/>
  <c r="HY87" i="3" s="1"/>
  <c r="ID87" i="3"/>
  <c r="FY89" i="3"/>
  <c r="HT89" i="3"/>
  <c r="IB89" i="3" s="1"/>
  <c r="HY89" i="3" s="1"/>
  <c r="V90" i="3"/>
  <c r="DD90" i="3"/>
  <c r="DC90" i="3" s="1"/>
  <c r="DB90" i="3" s="1"/>
  <c r="DA90" i="3" s="1"/>
  <c r="FW90" i="3" s="1"/>
  <c r="AQ90" i="3"/>
  <c r="K94" i="3"/>
  <c r="DJ94" i="3" s="1"/>
  <c r="BI94" i="3"/>
  <c r="EA94" i="3" s="1"/>
  <c r="BJ94" i="3"/>
  <c r="CO94" i="3" s="1"/>
  <c r="HA97" i="3"/>
  <c r="HD96" i="3"/>
  <c r="S95" i="3"/>
  <c r="EG95" i="3" s="1"/>
  <c r="P95" i="3"/>
  <c r="U95" i="3"/>
  <c r="I95" i="3"/>
  <c r="J95" i="3" s="1"/>
  <c r="CF95" i="3"/>
  <c r="CG95" i="3"/>
  <c r="CH95" i="3"/>
  <c r="CY95" i="3"/>
  <c r="CZ95" i="3"/>
  <c r="B96" i="3"/>
  <c r="BB95" i="3"/>
  <c r="BC95" i="3"/>
  <c r="DG90" i="3"/>
  <c r="DI90" i="3" s="1"/>
  <c r="HV90" i="3"/>
  <c r="CD90" i="3"/>
  <c r="HU90" i="3"/>
  <c r="CC90" i="3"/>
  <c r="BI71" i="3"/>
  <c r="EA71" i="3" s="1"/>
  <c r="K71" i="3"/>
  <c r="DJ71" i="3" s="1"/>
  <c r="BJ71" i="3"/>
  <c r="CO71" i="3" s="1"/>
  <c r="P72" i="3"/>
  <c r="BC72" i="3"/>
  <c r="BB72" i="3"/>
  <c r="I72" i="3"/>
  <c r="J72" i="3" s="1"/>
  <c r="U72" i="3"/>
  <c r="IF70" i="3"/>
  <c r="AP71" i="3"/>
  <c r="CS71" i="3" s="1"/>
  <c r="AN71" i="3"/>
  <c r="DD71" i="3" s="1"/>
  <c r="AX71" i="3"/>
  <c r="FY90" i="3" l="1"/>
  <c r="HT90" i="3"/>
  <c r="HO90" i="3" s="1"/>
  <c r="FT90" i="3"/>
  <c r="FQ90" i="3"/>
  <c r="FX90" i="3"/>
  <c r="HO89" i="3"/>
  <c r="FZ89" i="3"/>
  <c r="HX89" i="3"/>
  <c r="BJ95" i="3"/>
  <c r="ID89" i="3"/>
  <c r="CS91" i="3"/>
  <c r="AQ91" i="3"/>
  <c r="HZ89" i="3"/>
  <c r="V91" i="3"/>
  <c r="DD91" i="3"/>
  <c r="IA89" i="3"/>
  <c r="W89" i="3"/>
  <c r="DF89" i="3" s="1"/>
  <c r="DH89" i="3" s="1"/>
  <c r="GF91" i="3"/>
  <c r="GG91" i="3" a="1"/>
  <c r="GG91" i="3" s="1"/>
  <c r="GH91" i="3" s="1"/>
  <c r="GP92" i="3"/>
  <c r="AP92" i="3"/>
  <c r="CS92" i="3" s="1"/>
  <c r="C93" i="3"/>
  <c r="IC92" i="3"/>
  <c r="AX92" i="3"/>
  <c r="GY92" i="3"/>
  <c r="AN92" i="3"/>
  <c r="W90" i="3"/>
  <c r="DF90" i="3" s="1"/>
  <c r="HJ90" i="3" s="1"/>
  <c r="BI95" i="3"/>
  <c r="EA95" i="3" s="1"/>
  <c r="IB90" i="3"/>
  <c r="HY90" i="3" s="1"/>
  <c r="HR95" i="3"/>
  <c r="K95" i="3"/>
  <c r="DJ95" i="3" s="1"/>
  <c r="DE71" i="3"/>
  <c r="HU71" i="3" s="1"/>
  <c r="CO95" i="3"/>
  <c r="S96" i="3"/>
  <c r="EG96" i="3" s="1"/>
  <c r="I96" i="3"/>
  <c r="K96" i="3" s="1"/>
  <c r="U96" i="3"/>
  <c r="P96" i="3"/>
  <c r="CZ96" i="3"/>
  <c r="CG96" i="3"/>
  <c r="B97" i="3"/>
  <c r="CF96" i="3"/>
  <c r="CH96" i="3"/>
  <c r="CY96" i="3"/>
  <c r="BB96" i="3"/>
  <c r="BC96" i="3"/>
  <c r="HD97" i="3"/>
  <c r="HA98" i="3"/>
  <c r="HJ89" i="3"/>
  <c r="ID90" i="3"/>
  <c r="DC71" i="3"/>
  <c r="DB71" i="3" s="1"/>
  <c r="DA71" i="3" s="1"/>
  <c r="HT71" i="3" s="1"/>
  <c r="HZ90" i="3"/>
  <c r="IA90" i="3"/>
  <c r="HX90" i="3"/>
  <c r="V71" i="3"/>
  <c r="BI72" i="3"/>
  <c r="EA72" i="3" s="1"/>
  <c r="BJ72" i="3"/>
  <c r="CO72" i="3" s="1"/>
  <c r="K72" i="3"/>
  <c r="DJ72" i="3" s="1"/>
  <c r="P73" i="3"/>
  <c r="U73" i="3"/>
  <c r="I73" i="3"/>
  <c r="BC73" i="3"/>
  <c r="BB73" i="3"/>
  <c r="AQ71" i="3"/>
  <c r="AP72" i="3"/>
  <c r="CS72" i="3" s="1"/>
  <c r="AX72" i="3"/>
  <c r="AN72" i="3"/>
  <c r="DD72" i="3" s="1"/>
  <c r="DE92" i="3" l="1"/>
  <c r="CC92" i="3" s="1"/>
  <c r="FZ90" i="3"/>
  <c r="M92" i="3"/>
  <c r="HP92" i="3" s="1"/>
  <c r="L92" i="3"/>
  <c r="DH90" i="3"/>
  <c r="GY93" i="3"/>
  <c r="GP93" i="3"/>
  <c r="AP93" i="3"/>
  <c r="AN93" i="3"/>
  <c r="C94" i="3"/>
  <c r="AX93" i="3"/>
  <c r="IC93" i="3"/>
  <c r="DC91" i="3"/>
  <c r="DB91" i="3" s="1"/>
  <c r="DA91" i="3" s="1"/>
  <c r="HT91" i="3"/>
  <c r="GF92" i="3"/>
  <c r="GG92" i="3" a="1"/>
  <c r="GG92" i="3" s="1"/>
  <c r="GH92" i="3" s="1"/>
  <c r="V92" i="3"/>
  <c r="DD92" i="3"/>
  <c r="DC92" i="3" s="1"/>
  <c r="DB92" i="3" s="1"/>
  <c r="DA92" i="3" s="1"/>
  <c r="FW92" i="3" s="1"/>
  <c r="DE91" i="3"/>
  <c r="L91" i="3"/>
  <c r="M91" i="3"/>
  <c r="HP91" i="3" s="1"/>
  <c r="AQ92" i="3"/>
  <c r="BI96" i="3"/>
  <c r="EA96" i="3" s="1"/>
  <c r="HR96" i="3"/>
  <c r="DE72" i="3"/>
  <c r="HU72" i="3" s="1"/>
  <c r="J96" i="3"/>
  <c r="DJ96" i="3" s="1"/>
  <c r="HA99" i="3"/>
  <c r="HD98" i="3"/>
  <c r="U97" i="3"/>
  <c r="P97" i="3"/>
  <c r="S97" i="3"/>
  <c r="I97" i="3"/>
  <c r="J97" i="3" s="1"/>
  <c r="CZ97" i="3"/>
  <c r="B98" i="3"/>
  <c r="CG97" i="3"/>
  <c r="CY97" i="3"/>
  <c r="CF97" i="3"/>
  <c r="CH97" i="3"/>
  <c r="BB97" i="3"/>
  <c r="BC97" i="3"/>
  <c r="BJ96" i="3"/>
  <c r="CO96" i="3" s="1"/>
  <c r="HU92" i="3"/>
  <c r="FQ71" i="3"/>
  <c r="FT71" i="3"/>
  <c r="FW71" i="3"/>
  <c r="FX71" i="3"/>
  <c r="FY71" i="3"/>
  <c r="DC72" i="3"/>
  <c r="DB72" i="3" s="1"/>
  <c r="DA72" i="3" s="1"/>
  <c r="DG92" i="3"/>
  <c r="DI92" i="3" s="1"/>
  <c r="HV92" i="3"/>
  <c r="CD92" i="3"/>
  <c r="V72" i="3"/>
  <c r="BI73" i="3"/>
  <c r="EA73" i="3" s="1"/>
  <c r="BJ73" i="3"/>
  <c r="CO73" i="3" s="1"/>
  <c r="AQ72" i="3"/>
  <c r="AN73" i="3"/>
  <c r="DD73" i="3" s="1"/>
  <c r="AX73" i="3"/>
  <c r="AP73" i="3"/>
  <c r="CS73" i="3" s="1"/>
  <c r="FQ92" i="3" l="1"/>
  <c r="FT92" i="3"/>
  <c r="FY92" i="3"/>
  <c r="HT92" i="3"/>
  <c r="W92" i="3" s="1"/>
  <c r="CC91" i="3"/>
  <c r="HU91" i="3"/>
  <c r="C95" i="3"/>
  <c r="AX94" i="3"/>
  <c r="AN94" i="3"/>
  <c r="GY94" i="3"/>
  <c r="GP94" i="3"/>
  <c r="IC94" i="3"/>
  <c r="AP94" i="3"/>
  <c r="DD93" i="3"/>
  <c r="DC93" i="3" s="1"/>
  <c r="DB93" i="3" s="1"/>
  <c r="DA93" i="3" s="1"/>
  <c r="FQ93" i="3" s="1"/>
  <c r="V93" i="3"/>
  <c r="CS93" i="3"/>
  <c r="AQ93" i="3"/>
  <c r="IB91" i="3"/>
  <c r="HY91" i="3" s="1"/>
  <c r="FX92" i="3"/>
  <c r="FZ92" i="3" s="1"/>
  <c r="W91" i="3"/>
  <c r="DF91" i="3" s="1"/>
  <c r="HO91" i="3"/>
  <c r="FQ91" i="3"/>
  <c r="FW91" i="3"/>
  <c r="FT91" i="3"/>
  <c r="FX91" i="3"/>
  <c r="FY91" i="3"/>
  <c r="DG91" i="3"/>
  <c r="DI91" i="3" s="1"/>
  <c r="HV91" i="3"/>
  <c r="CD91" i="3"/>
  <c r="GG93" i="3" a="1"/>
  <c r="GG93" i="3" s="1"/>
  <c r="GH93" i="3" s="1"/>
  <c r="GF93" i="3"/>
  <c r="K97" i="3"/>
  <c r="DJ97" i="3" s="1"/>
  <c r="DE73" i="3"/>
  <c r="HU73" i="3" s="1"/>
  <c r="BI97" i="3"/>
  <c r="EA97" i="3" s="1"/>
  <c r="ID92" i="3"/>
  <c r="U98" i="3"/>
  <c r="P98" i="3"/>
  <c r="I98" i="3"/>
  <c r="K98" i="3" s="1"/>
  <c r="S98" i="3"/>
  <c r="EG98" i="3" s="1"/>
  <c r="CZ98" i="3"/>
  <c r="CF98" i="3"/>
  <c r="CH98" i="3"/>
  <c r="CY98" i="3"/>
  <c r="CG98" i="3"/>
  <c r="B99" i="3"/>
  <c r="BB98" i="3"/>
  <c r="BC98" i="3"/>
  <c r="BJ97" i="3"/>
  <c r="CO97" i="3" s="1"/>
  <c r="HD99" i="3"/>
  <c r="HA100" i="3"/>
  <c r="FX93" i="3"/>
  <c r="FY93" i="3"/>
  <c r="FQ72" i="3"/>
  <c r="FT72" i="3"/>
  <c r="FW72" i="3"/>
  <c r="FX72" i="3"/>
  <c r="FY72" i="3"/>
  <c r="HT72" i="3"/>
  <c r="FZ71" i="3"/>
  <c r="IA92" i="3"/>
  <c r="HZ92" i="3"/>
  <c r="HX92" i="3"/>
  <c r="DC73" i="3"/>
  <c r="DB73" i="3" s="1"/>
  <c r="DA73" i="3" s="1"/>
  <c r="DF92" i="3"/>
  <c r="HO92" i="3"/>
  <c r="V73" i="3"/>
  <c r="P74" i="3"/>
  <c r="I74" i="3"/>
  <c r="K74" i="3" s="1"/>
  <c r="BB74" i="3"/>
  <c r="U74" i="3"/>
  <c r="BC74" i="3"/>
  <c r="IF71" i="3"/>
  <c r="AQ73" i="3"/>
  <c r="IB92" i="3" l="1"/>
  <c r="HY92" i="3" s="1"/>
  <c r="FT93" i="3"/>
  <c r="FW93" i="3"/>
  <c r="FZ93" i="3" s="1"/>
  <c r="HJ91" i="3"/>
  <c r="DH91" i="3"/>
  <c r="FZ91" i="3"/>
  <c r="DE93" i="3"/>
  <c r="L93" i="3"/>
  <c r="M93" i="3"/>
  <c r="AX95" i="3"/>
  <c r="C96" i="3"/>
  <c r="IC95" i="3"/>
  <c r="GP95" i="3"/>
  <c r="GY95" i="3"/>
  <c r="AN95" i="3"/>
  <c r="AP95" i="3"/>
  <c r="ID91" i="3"/>
  <c r="AQ94" i="3"/>
  <c r="CS94" i="3"/>
  <c r="V94" i="3"/>
  <c r="DD94" i="3"/>
  <c r="DC94" i="3" s="1"/>
  <c r="DB94" i="3" s="1"/>
  <c r="DA94" i="3" s="1"/>
  <c r="FQ94" i="3" s="1"/>
  <c r="GF94" i="3"/>
  <c r="GG94" i="3" a="1"/>
  <c r="GG94" i="3" s="1"/>
  <c r="GH94" i="3" s="1"/>
  <c r="HX91" i="3"/>
  <c r="HZ91" i="3"/>
  <c r="IA91" i="3"/>
  <c r="J98" i="3"/>
  <c r="DJ98" i="3" s="1"/>
  <c r="BJ98" i="3"/>
  <c r="CO98" i="3" s="1"/>
  <c r="I99" i="3"/>
  <c r="J99" i="3" s="1"/>
  <c r="P99" i="3"/>
  <c r="U99" i="3"/>
  <c r="S99" i="3"/>
  <c r="EG99" i="3" s="1"/>
  <c r="CY99" i="3"/>
  <c r="CZ99" i="3"/>
  <c r="CF99" i="3"/>
  <c r="CG99" i="3"/>
  <c r="B100" i="3"/>
  <c r="CH99" i="3"/>
  <c r="BB99" i="3"/>
  <c r="BC99" i="3"/>
  <c r="HR98" i="3"/>
  <c r="HA101" i="3"/>
  <c r="HD100" i="3"/>
  <c r="BI98" i="3"/>
  <c r="EA98" i="3" s="1"/>
  <c r="HJ92" i="3"/>
  <c r="DH92" i="3"/>
  <c r="FW73" i="3"/>
  <c r="FX73" i="3"/>
  <c r="FY73" i="3"/>
  <c r="FQ73" i="3"/>
  <c r="FT73" i="3"/>
  <c r="HT73" i="3"/>
  <c r="FZ72" i="3"/>
  <c r="BI74" i="3"/>
  <c r="EA74" i="3" s="1"/>
  <c r="BJ74" i="3"/>
  <c r="CO74" i="3" s="1"/>
  <c r="J74" i="3"/>
  <c r="DJ74" i="3" s="1"/>
  <c r="IF72" i="3"/>
  <c r="AX74" i="3"/>
  <c r="AP74" i="3"/>
  <c r="CS74" i="3" s="1"/>
  <c r="AN74" i="3"/>
  <c r="DD74" i="3" s="1"/>
  <c r="DE74" i="3" l="1"/>
  <c r="HU74" i="3" s="1"/>
  <c r="FT94" i="3"/>
  <c r="FX94" i="3"/>
  <c r="HT94" i="3"/>
  <c r="FY94" i="3"/>
  <c r="FW94" i="3"/>
  <c r="CS95" i="3"/>
  <c r="AQ95" i="3"/>
  <c r="HP93" i="3"/>
  <c r="HT93" i="3"/>
  <c r="V95" i="3"/>
  <c r="DD95" i="3"/>
  <c r="DC95" i="3" s="1"/>
  <c r="DB95" i="3" s="1"/>
  <c r="DA95" i="3" s="1"/>
  <c r="FT95" i="3" s="1"/>
  <c r="HV93" i="3"/>
  <c r="DG93" i="3"/>
  <c r="DI93" i="3" s="1"/>
  <c r="CD93" i="3"/>
  <c r="HU93" i="3"/>
  <c r="CC93" i="3"/>
  <c r="GG95" i="3" a="1"/>
  <c r="GG95" i="3" s="1"/>
  <c r="GH95" i="3" s="1"/>
  <c r="GF95" i="3"/>
  <c r="L94" i="3"/>
  <c r="DE94" i="3"/>
  <c r="M94" i="3"/>
  <c r="HP94" i="3" s="1"/>
  <c r="C97" i="3"/>
  <c r="AX96" i="3"/>
  <c r="GY96" i="3"/>
  <c r="GP96" i="3"/>
  <c r="IC96" i="3"/>
  <c r="AN96" i="3"/>
  <c r="AP96" i="3"/>
  <c r="BJ99" i="3"/>
  <c r="CO99" i="3" s="1"/>
  <c r="BI99" i="3"/>
  <c r="EA99" i="3" s="1"/>
  <c r="HD101" i="3"/>
  <c r="HA102" i="3"/>
  <c r="U100" i="3"/>
  <c r="P100" i="3"/>
  <c r="S100" i="3"/>
  <c r="EG100" i="3" s="1"/>
  <c r="I100" i="3"/>
  <c r="J100" i="3" s="1"/>
  <c r="CY100" i="3"/>
  <c r="CZ100" i="3"/>
  <c r="B101" i="3"/>
  <c r="CF100" i="3"/>
  <c r="CG100" i="3"/>
  <c r="CH100" i="3"/>
  <c r="BB100" i="3"/>
  <c r="BC100" i="3"/>
  <c r="HR99" i="3"/>
  <c r="K99" i="3"/>
  <c r="DJ99" i="3" s="1"/>
  <c r="FZ73" i="3"/>
  <c r="DC74" i="3"/>
  <c r="DB74" i="3" s="1"/>
  <c r="DA74" i="3" s="1"/>
  <c r="HT74" i="3" s="1"/>
  <c r="V74" i="3"/>
  <c r="I75" i="3"/>
  <c r="J75" i="3" s="1"/>
  <c r="U75" i="3"/>
  <c r="BC75" i="3"/>
  <c r="BB75" i="3"/>
  <c r="P75" i="3"/>
  <c r="AQ74" i="3"/>
  <c r="IF73" i="3"/>
  <c r="W94" i="3" l="1"/>
  <c r="DF94" i="3" s="1"/>
  <c r="FQ95" i="3"/>
  <c r="FZ94" i="3"/>
  <c r="AX97" i="3"/>
  <c r="GY97" i="3"/>
  <c r="IC97" i="3"/>
  <c r="AP97" i="3"/>
  <c r="CS97" i="3" s="1"/>
  <c r="AN97" i="3"/>
  <c r="C98" i="3"/>
  <c r="GP97" i="3"/>
  <c r="IB93" i="3"/>
  <c r="HY93" i="3" s="1"/>
  <c r="HX93" i="3"/>
  <c r="HZ93" i="3"/>
  <c r="IA93" i="3"/>
  <c r="HO93" i="3"/>
  <c r="W93" i="3"/>
  <c r="DF93" i="3" s="1"/>
  <c r="FY95" i="3"/>
  <c r="FX95" i="3"/>
  <c r="M95" i="3"/>
  <c r="HP95" i="3" s="1"/>
  <c r="L95" i="3"/>
  <c r="DE95" i="3"/>
  <c r="AQ96" i="3"/>
  <c r="CS96" i="3"/>
  <c r="FW95" i="3"/>
  <c r="DD96" i="3"/>
  <c r="DC96" i="3" s="1"/>
  <c r="DB96" i="3" s="1"/>
  <c r="DA96" i="3" s="1"/>
  <c r="HT96" i="3" s="1"/>
  <c r="V96" i="3"/>
  <c r="HU94" i="3"/>
  <c r="CC94" i="3"/>
  <c r="ID93" i="3"/>
  <c r="GF96" i="3"/>
  <c r="GG96" i="3" a="1"/>
  <c r="GG96" i="3" s="1"/>
  <c r="GH96" i="3" s="1"/>
  <c r="DG94" i="3"/>
  <c r="DI94" i="3" s="1"/>
  <c r="CD94" i="3"/>
  <c r="HV94" i="3"/>
  <c r="HO94" i="3"/>
  <c r="BJ100" i="3"/>
  <c r="CO100" i="3" s="1"/>
  <c r="K100" i="3"/>
  <c r="DJ100" i="3" s="1"/>
  <c r="HR100" i="3"/>
  <c r="BI100" i="3"/>
  <c r="EA100" i="3" s="1"/>
  <c r="S101" i="3"/>
  <c r="EG101" i="3" s="1"/>
  <c r="I101" i="3"/>
  <c r="J101" i="3" s="1"/>
  <c r="U101" i="3"/>
  <c r="P101" i="3"/>
  <c r="CH101" i="3"/>
  <c r="CY101" i="3"/>
  <c r="CG101" i="3"/>
  <c r="CF101" i="3"/>
  <c r="CZ101" i="3"/>
  <c r="B102" i="3"/>
  <c r="BB101" i="3"/>
  <c r="BC101" i="3"/>
  <c r="HA103" i="3"/>
  <c r="HD102" i="3"/>
  <c r="HJ94" i="3"/>
  <c r="FQ74" i="3"/>
  <c r="FW74" i="3"/>
  <c r="FX74" i="3"/>
  <c r="FT74" i="3"/>
  <c r="FY74" i="3"/>
  <c r="BI75" i="3"/>
  <c r="EA75" i="3" s="1"/>
  <c r="K75" i="3"/>
  <c r="DJ75" i="3" s="1"/>
  <c r="BJ75" i="3"/>
  <c r="CO75" i="3" s="1"/>
  <c r="I77" i="3"/>
  <c r="K77" i="3" s="1"/>
  <c r="BB77" i="3"/>
  <c r="BC77" i="3"/>
  <c r="U77" i="3"/>
  <c r="P77" i="3"/>
  <c r="AN75" i="3"/>
  <c r="DD75" i="3" s="1"/>
  <c r="AX75" i="3"/>
  <c r="AP75" i="3"/>
  <c r="CS75" i="3" s="1"/>
  <c r="DG95" i="3" l="1"/>
  <c r="DI95" i="3" s="1"/>
  <c r="FZ95" i="3"/>
  <c r="DH94" i="3"/>
  <c r="FX96" i="3"/>
  <c r="BJ101" i="3"/>
  <c r="CO101" i="3" s="1"/>
  <c r="ID94" i="3"/>
  <c r="AQ97" i="3"/>
  <c r="L96" i="3"/>
  <c r="DE96" i="3"/>
  <c r="M96" i="3"/>
  <c r="HP96" i="3" s="1"/>
  <c r="AP98" i="3"/>
  <c r="CS98" i="3" s="1"/>
  <c r="GP98" i="3"/>
  <c r="GY98" i="3"/>
  <c r="C99" i="3"/>
  <c r="IC98" i="3"/>
  <c r="AX98" i="3"/>
  <c r="AN98" i="3"/>
  <c r="FW96" i="3"/>
  <c r="V97" i="3"/>
  <c r="DD97" i="3"/>
  <c r="DC97" i="3" s="1"/>
  <c r="DB97" i="3" s="1"/>
  <c r="DA97" i="3" s="1"/>
  <c r="HT97" i="3" s="1"/>
  <c r="HJ93" i="3"/>
  <c r="DH93" i="3"/>
  <c r="FT96" i="3"/>
  <c r="CC95" i="3"/>
  <c r="HU95" i="3"/>
  <c r="L97" i="3"/>
  <c r="DE97" i="3"/>
  <c r="M97" i="3"/>
  <c r="FQ96" i="3"/>
  <c r="HT95" i="3"/>
  <c r="W95" i="3" s="1"/>
  <c r="DF95" i="3" s="1"/>
  <c r="HZ94" i="3"/>
  <c r="IB94" i="3"/>
  <c r="HY94" i="3" s="1"/>
  <c r="IA94" i="3"/>
  <c r="HX94" i="3"/>
  <c r="HV95" i="3"/>
  <c r="ID95" i="3" s="1"/>
  <c r="CD95" i="3"/>
  <c r="GF97" i="3"/>
  <c r="GG97" i="3" a="1"/>
  <c r="GG97" i="3" s="1"/>
  <c r="GH97" i="3" s="1"/>
  <c r="AQ98" i="3"/>
  <c r="K101" i="3"/>
  <c r="DJ101" i="3" s="1"/>
  <c r="DE75" i="3"/>
  <c r="HU75" i="3" s="1"/>
  <c r="BI101" i="3"/>
  <c r="EA101" i="3" s="1"/>
  <c r="HD103" i="3"/>
  <c r="HA104" i="3"/>
  <c r="HR101" i="3"/>
  <c r="S102" i="3"/>
  <c r="EG102" i="3" s="1"/>
  <c r="I102" i="3"/>
  <c r="J102" i="3" s="1"/>
  <c r="P102" i="3"/>
  <c r="U102" i="3"/>
  <c r="CZ102" i="3"/>
  <c r="CF102" i="3"/>
  <c r="CG102" i="3"/>
  <c r="CH102" i="3"/>
  <c r="B103" i="3"/>
  <c r="CY102" i="3"/>
  <c r="BB102" i="3"/>
  <c r="BC102" i="3"/>
  <c r="FZ74" i="3"/>
  <c r="DE98" i="3"/>
  <c r="M98" i="3"/>
  <c r="HP98" i="3" s="1"/>
  <c r="L98" i="3"/>
  <c r="DC75" i="3"/>
  <c r="DB75" i="3" s="1"/>
  <c r="DA75" i="3" s="1"/>
  <c r="HT75" i="3" s="1"/>
  <c r="V75" i="3"/>
  <c r="BI77" i="3"/>
  <c r="EA77" i="3" s="1"/>
  <c r="IF74" i="3"/>
  <c r="J77" i="3"/>
  <c r="DJ77" i="3" s="1"/>
  <c r="BJ77" i="3"/>
  <c r="CO77" i="3" s="1"/>
  <c r="AQ75" i="3"/>
  <c r="AN77" i="3"/>
  <c r="DD77" i="3" s="1"/>
  <c r="AX77" i="3"/>
  <c r="AP77" i="3"/>
  <c r="CS77" i="3" s="1"/>
  <c r="DG96" i="3" l="1"/>
  <c r="DI96" i="3" s="1"/>
  <c r="FT97" i="3"/>
  <c r="HO95" i="3"/>
  <c r="DH95" i="3"/>
  <c r="HJ95" i="3"/>
  <c r="HU97" i="3"/>
  <c r="CC97" i="3"/>
  <c r="DG97" i="3"/>
  <c r="DI97" i="3" s="1"/>
  <c r="HV97" i="3"/>
  <c r="CD97" i="3"/>
  <c r="FQ97" i="3"/>
  <c r="HX95" i="3"/>
  <c r="IA95" i="3"/>
  <c r="HZ95" i="3"/>
  <c r="V98" i="3"/>
  <c r="DD98" i="3"/>
  <c r="DC98" i="3" s="1"/>
  <c r="DB98" i="3" s="1"/>
  <c r="DA98" i="3" s="1"/>
  <c r="HT98" i="3" s="1"/>
  <c r="HO98" i="3" s="1"/>
  <c r="W96" i="3"/>
  <c r="HO96" i="3"/>
  <c r="HP97" i="3"/>
  <c r="HR97" i="3"/>
  <c r="IB95" i="3"/>
  <c r="HY95" i="3" s="1"/>
  <c r="GG98" i="3" a="1"/>
  <c r="GG98" i="3" s="1"/>
  <c r="GH98" i="3" s="1"/>
  <c r="GF98" i="3"/>
  <c r="DF96" i="3"/>
  <c r="HU96" i="3"/>
  <c r="CC96" i="3"/>
  <c r="FX97" i="3"/>
  <c r="FY97" i="3"/>
  <c r="FW97" i="3"/>
  <c r="AX99" i="3"/>
  <c r="IC99" i="3"/>
  <c r="GY99" i="3"/>
  <c r="AP99" i="3"/>
  <c r="AN99" i="3"/>
  <c r="C100" i="3"/>
  <c r="GP99" i="3"/>
  <c r="CD96" i="3"/>
  <c r="HV96" i="3"/>
  <c r="BI102" i="3"/>
  <c r="EA102" i="3" s="1"/>
  <c r="BJ102" i="3"/>
  <c r="CO102" i="3" s="1"/>
  <c r="K102" i="3"/>
  <c r="DJ102" i="3" s="1"/>
  <c r="I103" i="3"/>
  <c r="J103" i="3" s="1"/>
  <c r="P103" i="3"/>
  <c r="U103" i="3"/>
  <c r="S103" i="3"/>
  <c r="EG103" i="3" s="1"/>
  <c r="CF103" i="3"/>
  <c r="CG103" i="3"/>
  <c r="B104" i="3"/>
  <c r="CH103" i="3"/>
  <c r="CY103" i="3"/>
  <c r="CZ103" i="3"/>
  <c r="BB103" i="3"/>
  <c r="BC103" i="3"/>
  <c r="HR102" i="3"/>
  <c r="DE77" i="3"/>
  <c r="HU77" i="3" s="1"/>
  <c r="HA105" i="3"/>
  <c r="HD104" i="3"/>
  <c r="DG98" i="3"/>
  <c r="DI98" i="3" s="1"/>
  <c r="HV98" i="3"/>
  <c r="CD98" i="3"/>
  <c r="FQ75" i="3"/>
  <c r="FT75" i="3"/>
  <c r="FW75" i="3"/>
  <c r="FY75" i="3"/>
  <c r="FX75" i="3"/>
  <c r="HU98" i="3"/>
  <c r="CC98" i="3"/>
  <c r="DC77" i="3"/>
  <c r="DB77" i="3" s="1"/>
  <c r="DA77" i="3" s="1"/>
  <c r="V77" i="3"/>
  <c r="AQ77" i="3"/>
  <c r="K103" i="3" l="1"/>
  <c r="DJ103" i="3" s="1"/>
  <c r="ID96" i="3"/>
  <c r="FZ97" i="3"/>
  <c r="FY98" i="3"/>
  <c r="FQ98" i="3"/>
  <c r="ID97" i="3"/>
  <c r="GF99" i="3"/>
  <c r="GG99" i="3" a="1"/>
  <c r="GG99" i="3" s="1"/>
  <c r="GH99" i="3" s="1"/>
  <c r="AP100" i="3"/>
  <c r="CS100" i="3" s="1"/>
  <c r="C101" i="3"/>
  <c r="AX100" i="3"/>
  <c r="IC100" i="3"/>
  <c r="GY100" i="3"/>
  <c r="GP100" i="3"/>
  <c r="AN100" i="3"/>
  <c r="HZ97" i="3"/>
  <c r="HX97" i="3"/>
  <c r="DH96" i="3"/>
  <c r="HJ96" i="3"/>
  <c r="FX98" i="3"/>
  <c r="IB98" i="3"/>
  <c r="HY98" i="3" s="1"/>
  <c r="FT98" i="3"/>
  <c r="V99" i="3"/>
  <c r="DD99" i="3"/>
  <c r="DC99" i="3" s="1"/>
  <c r="DB99" i="3" s="1"/>
  <c r="DA99" i="3" s="1"/>
  <c r="FX99" i="3" s="1"/>
  <c r="IA97" i="3"/>
  <c r="IB97" i="3"/>
  <c r="HY97" i="3" s="1"/>
  <c r="W98" i="3"/>
  <c r="DF98" i="3" s="1"/>
  <c r="CS99" i="3"/>
  <c r="AQ99" i="3"/>
  <c r="W97" i="3"/>
  <c r="DF97" i="3" s="1"/>
  <c r="HO97" i="3"/>
  <c r="FW98" i="3"/>
  <c r="HZ96" i="3"/>
  <c r="HX96" i="3"/>
  <c r="IA96" i="3"/>
  <c r="IB96" i="3"/>
  <c r="HY96" i="3" s="1"/>
  <c r="BJ103" i="3"/>
  <c r="CO103" i="3" s="1"/>
  <c r="BI103" i="3"/>
  <c r="EA103" i="3" s="1"/>
  <c r="S104" i="3"/>
  <c r="EG104" i="3" s="1"/>
  <c r="I104" i="3"/>
  <c r="K104" i="3" s="1"/>
  <c r="U104" i="3"/>
  <c r="P104" i="3"/>
  <c r="CY104" i="3"/>
  <c r="CF104" i="3"/>
  <c r="CG104" i="3"/>
  <c r="CZ104" i="3"/>
  <c r="CH104" i="3"/>
  <c r="B105" i="3"/>
  <c r="BB104" i="3"/>
  <c r="BC104" i="3"/>
  <c r="HD105" i="3"/>
  <c r="HA106" i="3"/>
  <c r="HR103" i="3"/>
  <c r="DH98" i="3"/>
  <c r="HJ98" i="3"/>
  <c r="ID98" i="3"/>
  <c r="FZ75" i="3"/>
  <c r="FY77" i="3"/>
  <c r="FT77" i="3"/>
  <c r="FW77" i="3"/>
  <c r="FX77" i="3"/>
  <c r="FQ77" i="3"/>
  <c r="HX98" i="3"/>
  <c r="IA98" i="3"/>
  <c r="HZ98" i="3"/>
  <c r="I78" i="3"/>
  <c r="J78" i="3" s="1"/>
  <c r="P78" i="3"/>
  <c r="BC78" i="3"/>
  <c r="BB78" i="3"/>
  <c r="U78" i="3"/>
  <c r="IF75" i="3"/>
  <c r="DE100" i="3" l="1"/>
  <c r="FZ98" i="3"/>
  <c r="AQ100" i="3"/>
  <c r="FW99" i="3"/>
  <c r="L100" i="3"/>
  <c r="FY99" i="3"/>
  <c r="M100" i="3"/>
  <c r="HP100" i="3" s="1"/>
  <c r="DH97" i="3"/>
  <c r="HJ97" i="3"/>
  <c r="FT99" i="3"/>
  <c r="GF100" i="3"/>
  <c r="GG100" i="3" a="1"/>
  <c r="GG100" i="3" s="1"/>
  <c r="GH100" i="3" s="1"/>
  <c r="FQ99" i="3"/>
  <c r="V100" i="3"/>
  <c r="DD100" i="3"/>
  <c r="DC100" i="3" s="1"/>
  <c r="DB100" i="3" s="1"/>
  <c r="DA100" i="3" s="1"/>
  <c r="FY100" i="3" s="1"/>
  <c r="AX101" i="3"/>
  <c r="IC101" i="3"/>
  <c r="AP101" i="3"/>
  <c r="GY101" i="3"/>
  <c r="AN101" i="3"/>
  <c r="GP101" i="3"/>
  <c r="C102" i="3"/>
  <c r="DE99" i="3"/>
  <c r="M99" i="3"/>
  <c r="HP99" i="3" s="1"/>
  <c r="L99" i="3"/>
  <c r="HT99" i="3"/>
  <c r="HR104" i="3"/>
  <c r="J104" i="3"/>
  <c r="DJ104" i="3" s="1"/>
  <c r="BJ104" i="3"/>
  <c r="CO104" i="3" s="1"/>
  <c r="BI104" i="3"/>
  <c r="EA104" i="3" s="1"/>
  <c r="U105" i="3"/>
  <c r="P105" i="3"/>
  <c r="S105" i="3"/>
  <c r="I105" i="3"/>
  <c r="K105" i="3" s="1"/>
  <c r="B106" i="3"/>
  <c r="CZ105" i="3"/>
  <c r="CF105" i="3"/>
  <c r="CG105" i="3"/>
  <c r="CH105" i="3"/>
  <c r="CY105" i="3"/>
  <c r="BB105" i="3"/>
  <c r="BC105" i="3"/>
  <c r="HA107" i="3"/>
  <c r="HD106" i="3"/>
  <c r="DG100" i="3"/>
  <c r="DI100" i="3" s="1"/>
  <c r="HV100" i="3"/>
  <c r="CD100" i="3"/>
  <c r="HU100" i="3"/>
  <c r="CC100" i="3"/>
  <c r="FZ77" i="3"/>
  <c r="IF77" i="3"/>
  <c r="BI78" i="3"/>
  <c r="EA78" i="3" s="1"/>
  <c r="K78" i="3"/>
  <c r="DJ78" i="3" s="1"/>
  <c r="BJ78" i="3"/>
  <c r="CO78" i="3" s="1"/>
  <c r="AX78" i="3"/>
  <c r="AN78" i="3"/>
  <c r="DD78" i="3" s="1"/>
  <c r="AP78" i="3"/>
  <c r="CS78" i="3" s="1"/>
  <c r="FZ99" i="3" l="1"/>
  <c r="DG99" i="3"/>
  <c r="DI99" i="3" s="1"/>
  <c r="FX100" i="3"/>
  <c r="HO99" i="3"/>
  <c r="FW100" i="3"/>
  <c r="FQ100" i="3"/>
  <c r="DD101" i="3"/>
  <c r="DC101" i="3" s="1"/>
  <c r="DB101" i="3" s="1"/>
  <c r="DA101" i="3" s="1"/>
  <c r="HT101" i="3" s="1"/>
  <c r="V101" i="3"/>
  <c r="AQ101" i="3"/>
  <c r="CS101" i="3"/>
  <c r="CD99" i="3"/>
  <c r="HV99" i="3"/>
  <c r="GG101" i="3" a="1"/>
  <c r="GG101" i="3" s="1"/>
  <c r="GH101" i="3" s="1"/>
  <c r="GF101" i="3"/>
  <c r="FT100" i="3"/>
  <c r="W99" i="3"/>
  <c r="DF99" i="3" s="1"/>
  <c r="HT100" i="3"/>
  <c r="W100" i="3" s="1"/>
  <c r="DF100" i="3" s="1"/>
  <c r="HU99" i="3"/>
  <c r="CC99" i="3"/>
  <c r="GY102" i="3"/>
  <c r="AN102" i="3"/>
  <c r="GP102" i="3"/>
  <c r="C103" i="3"/>
  <c r="AX102" i="3"/>
  <c r="IC102" i="3"/>
  <c r="AP102" i="3"/>
  <c r="CS102" i="3" s="1"/>
  <c r="BI105" i="3"/>
  <c r="EA105" i="3" s="1"/>
  <c r="DE78" i="3"/>
  <c r="HU78" i="3" s="1"/>
  <c r="ID100" i="3"/>
  <c r="U106" i="3"/>
  <c r="P106" i="3"/>
  <c r="I106" i="3"/>
  <c r="K106" i="3" s="1"/>
  <c r="S106" i="3"/>
  <c r="EG106" i="3" s="1"/>
  <c r="CZ106" i="3"/>
  <c r="B107" i="3"/>
  <c r="CG106" i="3"/>
  <c r="CH106" i="3"/>
  <c r="CY106" i="3"/>
  <c r="CF106" i="3"/>
  <c r="BB106" i="3"/>
  <c r="BC106" i="3"/>
  <c r="BJ105" i="3"/>
  <c r="CO105" i="3" s="1"/>
  <c r="J105" i="3"/>
  <c r="DJ105" i="3" s="1"/>
  <c r="HD107" i="3"/>
  <c r="HA108" i="3"/>
  <c r="DC78" i="3"/>
  <c r="DB78" i="3" s="1"/>
  <c r="DA78" i="3" s="1"/>
  <c r="DE102" i="3"/>
  <c r="FZ100" i="3"/>
  <c r="V78" i="3"/>
  <c r="AQ78" i="3"/>
  <c r="L102" i="3" l="1"/>
  <c r="IA99" i="3"/>
  <c r="M102" i="3"/>
  <c r="HP102" i="3" s="1"/>
  <c r="IB99" i="3"/>
  <c r="HY99" i="3" s="1"/>
  <c r="DH99" i="3"/>
  <c r="ID99" i="3"/>
  <c r="HJ99" i="3"/>
  <c r="FQ101" i="3"/>
  <c r="FT101" i="3"/>
  <c r="FX101" i="3"/>
  <c r="M101" i="3"/>
  <c r="HP101" i="3" s="1"/>
  <c r="L101" i="3"/>
  <c r="DE101" i="3"/>
  <c r="IC103" i="3"/>
  <c r="GF103" i="3" s="1"/>
  <c r="GP103" i="3"/>
  <c r="AN103" i="3"/>
  <c r="C104" i="3"/>
  <c r="AX103" i="3"/>
  <c r="GY103" i="3"/>
  <c r="AP103" i="3"/>
  <c r="CS103" i="3" s="1"/>
  <c r="HO100" i="3"/>
  <c r="V102" i="3"/>
  <c r="DD102" i="3"/>
  <c r="DC102" i="3" s="1"/>
  <c r="DB102" i="3" s="1"/>
  <c r="DA102" i="3" s="1"/>
  <c r="FY102" i="3" s="1"/>
  <c r="IA100" i="3"/>
  <c r="HZ100" i="3"/>
  <c r="IB100" i="3"/>
  <c r="HY100" i="3" s="1"/>
  <c r="AQ103" i="3"/>
  <c r="HX100" i="3"/>
  <c r="FY101" i="3"/>
  <c r="GG102" i="3" a="1"/>
  <c r="GG102" i="3" s="1"/>
  <c r="GH102" i="3" s="1"/>
  <c r="GF102" i="3"/>
  <c r="HZ99" i="3"/>
  <c r="HX99" i="3"/>
  <c r="AQ102" i="3"/>
  <c r="BJ106" i="3"/>
  <c r="CO106" i="3" s="1"/>
  <c r="BI106" i="3"/>
  <c r="EA106" i="3" s="1"/>
  <c r="J106" i="3"/>
  <c r="DJ106" i="3" s="1"/>
  <c r="HA109" i="3"/>
  <c r="HD108" i="3"/>
  <c r="I107" i="3"/>
  <c r="J107" i="3" s="1"/>
  <c r="U107" i="3"/>
  <c r="S107" i="3"/>
  <c r="EG107" i="3" s="1"/>
  <c r="P107" i="3"/>
  <c r="CY107" i="3"/>
  <c r="CF107" i="3"/>
  <c r="CG107" i="3"/>
  <c r="CH107" i="3"/>
  <c r="CZ107" i="3"/>
  <c r="B108" i="3"/>
  <c r="BB107" i="3"/>
  <c r="BC107" i="3"/>
  <c r="HR106" i="3"/>
  <c r="DH100" i="3"/>
  <c r="HJ100" i="3"/>
  <c r="HV102" i="3"/>
  <c r="CD102" i="3"/>
  <c r="FQ78" i="3"/>
  <c r="FT78" i="3"/>
  <c r="FX78" i="3"/>
  <c r="FY78" i="3"/>
  <c r="FW78" i="3"/>
  <c r="DG102" i="3"/>
  <c r="DI102" i="3" s="1"/>
  <c r="HU102" i="3"/>
  <c r="CC102" i="3"/>
  <c r="P79" i="3"/>
  <c r="BC79" i="3"/>
  <c r="U79" i="3"/>
  <c r="BB79" i="3"/>
  <c r="I79" i="3"/>
  <c r="J79" i="3" s="1"/>
  <c r="FX102" i="3" l="1"/>
  <c r="FW102" i="3"/>
  <c r="FZ102" i="3" s="1"/>
  <c r="AP104" i="3"/>
  <c r="CS104" i="3" s="1"/>
  <c r="AX104" i="3"/>
  <c r="IC104" i="3"/>
  <c r="GP104" i="3"/>
  <c r="GY104" i="3"/>
  <c r="AN104" i="3"/>
  <c r="C105" i="3"/>
  <c r="HT102" i="3"/>
  <c r="IA102" i="3" s="1"/>
  <c r="FT102" i="3"/>
  <c r="M103" i="3"/>
  <c r="HP103" i="3" s="1"/>
  <c r="DE103" i="3"/>
  <c r="L103" i="3"/>
  <c r="CC101" i="3"/>
  <c r="HU101" i="3"/>
  <c r="FQ102" i="3"/>
  <c r="HV101" i="3"/>
  <c r="CD101" i="3"/>
  <c r="DG101" i="3"/>
  <c r="DI101" i="3" s="1"/>
  <c r="V103" i="3"/>
  <c r="DD103" i="3"/>
  <c r="DC103" i="3" s="1"/>
  <c r="DB103" i="3" s="1"/>
  <c r="DA103" i="3" s="1"/>
  <c r="HT103" i="3" s="1"/>
  <c r="W101" i="3"/>
  <c r="DF101" i="3" s="1"/>
  <c r="HO101" i="3"/>
  <c r="FZ78" i="3"/>
  <c r="HR107" i="3"/>
  <c r="BJ107" i="3"/>
  <c r="CO107" i="3" s="1"/>
  <c r="K107" i="3"/>
  <c r="DJ107" i="3" s="1"/>
  <c r="U108" i="3"/>
  <c r="P108" i="3"/>
  <c r="I108" i="3"/>
  <c r="J108" i="3" s="1"/>
  <c r="S108" i="3"/>
  <c r="EG108" i="3" s="1"/>
  <c r="CH108" i="3"/>
  <c r="CY108" i="3"/>
  <c r="CZ108" i="3"/>
  <c r="CF108" i="3"/>
  <c r="CG108" i="3"/>
  <c r="B109" i="3"/>
  <c r="BC108" i="3"/>
  <c r="BB108" i="3"/>
  <c r="BI107" i="3"/>
  <c r="EA107" i="3" s="1"/>
  <c r="HD109" i="3"/>
  <c r="HA110" i="3"/>
  <c r="ID102" i="3"/>
  <c r="BI79" i="3"/>
  <c r="EA79" i="3" s="1"/>
  <c r="IF78" i="3"/>
  <c r="K79" i="3"/>
  <c r="DJ79" i="3" s="1"/>
  <c r="BJ79" i="3"/>
  <c r="CO79" i="3" s="1"/>
  <c r="AX79" i="3"/>
  <c r="AP79" i="3"/>
  <c r="CS79" i="3" s="1"/>
  <c r="AN79" i="3"/>
  <c r="DD79" i="3" s="1"/>
  <c r="L104" i="3" l="1"/>
  <c r="DE104" i="3"/>
  <c r="IB102" i="3"/>
  <c r="HY102" i="3" s="1"/>
  <c r="M104" i="3"/>
  <c r="HP104" i="3" s="1"/>
  <c r="W102" i="3"/>
  <c r="DF102" i="3" s="1"/>
  <c r="HO102" i="3"/>
  <c r="HX102" i="3"/>
  <c r="HX101" i="3"/>
  <c r="IB101" i="3"/>
  <c r="HY101" i="3" s="1"/>
  <c r="HZ101" i="3"/>
  <c r="IA101" i="3"/>
  <c r="IC105" i="3"/>
  <c r="GY105" i="3"/>
  <c r="C106" i="3"/>
  <c r="AP105" i="3"/>
  <c r="CS105" i="3" s="1"/>
  <c r="GP105" i="3"/>
  <c r="AN105" i="3"/>
  <c r="AX105" i="3"/>
  <c r="FY103" i="3"/>
  <c r="AQ104" i="3"/>
  <c r="HJ101" i="3"/>
  <c r="DH101" i="3"/>
  <c r="FX103" i="3"/>
  <c r="DG103" i="3"/>
  <c r="DI103" i="3" s="1"/>
  <c r="CD103" i="3"/>
  <c r="HV103" i="3"/>
  <c r="HO103" i="3"/>
  <c r="HZ102" i="3"/>
  <c r="DD104" i="3"/>
  <c r="DC104" i="3" s="1"/>
  <c r="DB104" i="3" s="1"/>
  <c r="DA104" i="3" s="1"/>
  <c r="HT104" i="3" s="1"/>
  <c r="V104" i="3"/>
  <c r="FQ103" i="3"/>
  <c r="FW103" i="3"/>
  <c r="FZ103" i="3" s="1"/>
  <c r="HU103" i="3"/>
  <c r="CC103" i="3"/>
  <c r="GG104" i="3" a="1"/>
  <c r="GG104" i="3" s="1"/>
  <c r="GH104" i="3" s="1"/>
  <c r="GF104" i="3"/>
  <c r="FT103" i="3"/>
  <c r="ID101" i="3"/>
  <c r="W103" i="3"/>
  <c r="DF103" i="3" s="1"/>
  <c r="BJ108" i="3"/>
  <c r="CO108" i="3" s="1"/>
  <c r="BI108" i="3"/>
  <c r="EA108" i="3" s="1"/>
  <c r="K108" i="3"/>
  <c r="DJ108" i="3" s="1"/>
  <c r="HA111" i="3"/>
  <c r="HD110" i="3"/>
  <c r="S109" i="3"/>
  <c r="EG109" i="3" s="1"/>
  <c r="U109" i="3"/>
  <c r="P109" i="3"/>
  <c r="I109" i="3"/>
  <c r="K109" i="3" s="1"/>
  <c r="CZ109" i="3"/>
  <c r="CF109" i="3"/>
  <c r="CG109" i="3"/>
  <c r="CH109" i="3"/>
  <c r="B110" i="3"/>
  <c r="CY109" i="3"/>
  <c r="BB109" i="3"/>
  <c r="BC109" i="3"/>
  <c r="HR108" i="3"/>
  <c r="DG79" i="3"/>
  <c r="CD104" i="3"/>
  <c r="DC79" i="3"/>
  <c r="DB79" i="3" s="1"/>
  <c r="DA79" i="3" s="1"/>
  <c r="HU104" i="3"/>
  <c r="DH102" i="3"/>
  <c r="HJ102" i="3"/>
  <c r="V79" i="3"/>
  <c r="U80" i="3"/>
  <c r="I80" i="3"/>
  <c r="K80" i="3" s="1"/>
  <c r="BC80" i="3"/>
  <c r="BB80" i="3"/>
  <c r="AQ79" i="3"/>
  <c r="DG104" i="3" l="1"/>
  <c r="DI104" i="3" s="1"/>
  <c r="CC104" i="3"/>
  <c r="DH103" i="3"/>
  <c r="HO104" i="3"/>
  <c r="HV104" i="3"/>
  <c r="M105" i="3"/>
  <c r="DE105" i="3"/>
  <c r="L105" i="3"/>
  <c r="GF105" i="3"/>
  <c r="GG105" i="3" a="1"/>
  <c r="GG105" i="3" s="1"/>
  <c r="GH105" i="3" s="1"/>
  <c r="GY106" i="3"/>
  <c r="GP106" i="3"/>
  <c r="AN106" i="3"/>
  <c r="AP106" i="3"/>
  <c r="CS106" i="3" s="1"/>
  <c r="AX106" i="3"/>
  <c r="C107" i="3"/>
  <c r="IC106" i="3"/>
  <c r="FQ104" i="3"/>
  <c r="HJ103" i="3"/>
  <c r="HX103" i="3"/>
  <c r="HZ103" i="3"/>
  <c r="IA103" i="3"/>
  <c r="ID103" i="3"/>
  <c r="AQ106" i="3"/>
  <c r="AQ105" i="3"/>
  <c r="FW104" i="3"/>
  <c r="FT104" i="3"/>
  <c r="FX104" i="3"/>
  <c r="DD105" i="3"/>
  <c r="V105" i="3"/>
  <c r="W104" i="3"/>
  <c r="DF104" i="3" s="1"/>
  <c r="DH104" i="3" s="1"/>
  <c r="FY104" i="3"/>
  <c r="IB103" i="3"/>
  <c r="HY103" i="3" s="1"/>
  <c r="BJ109" i="3"/>
  <c r="CO109" i="3" s="1"/>
  <c r="HR109" i="3"/>
  <c r="J109" i="3"/>
  <c r="DJ109" i="3" s="1"/>
  <c r="S110" i="3"/>
  <c r="EG110" i="3" s="1"/>
  <c r="I110" i="3"/>
  <c r="J110" i="3" s="1"/>
  <c r="P110" i="3"/>
  <c r="U110" i="3"/>
  <c r="CF110" i="3"/>
  <c r="CG110" i="3"/>
  <c r="CH110" i="3"/>
  <c r="CY110" i="3"/>
  <c r="CZ110" i="3"/>
  <c r="B111" i="3"/>
  <c r="BB110" i="3"/>
  <c r="BC110" i="3"/>
  <c r="BI109" i="3"/>
  <c r="EA109" i="3" s="1"/>
  <c r="HD111" i="3"/>
  <c r="HA112" i="3"/>
  <c r="IA104" i="3"/>
  <c r="HX104" i="3"/>
  <c r="HZ104" i="3"/>
  <c r="M106" i="3"/>
  <c r="HP106" i="3" s="1"/>
  <c r="L106" i="3"/>
  <c r="DE106" i="3"/>
  <c r="FT79" i="3"/>
  <c r="FW79" i="3"/>
  <c r="FX79" i="3"/>
  <c r="FY79" i="3"/>
  <c r="FQ79" i="3"/>
  <c r="IB104" i="3"/>
  <c r="HY104" i="3" s="1"/>
  <c r="BI80" i="3"/>
  <c r="EA80" i="3" s="1"/>
  <c r="BJ80" i="3"/>
  <c r="J80" i="3"/>
  <c r="DJ80" i="3" s="1"/>
  <c r="AN80" i="3"/>
  <c r="DD80" i="3" s="1"/>
  <c r="AX80" i="3"/>
  <c r="AP80" i="3"/>
  <c r="CS80" i="3" s="1"/>
  <c r="HJ104" i="3" l="1"/>
  <c r="FZ104" i="3"/>
  <c r="ID104" i="3"/>
  <c r="AX107" i="3"/>
  <c r="IC107" i="3"/>
  <c r="GF107" i="3" s="1"/>
  <c r="GY107" i="3"/>
  <c r="AP107" i="3"/>
  <c r="CS107" i="3" s="1"/>
  <c r="AN107" i="3"/>
  <c r="GP107" i="3"/>
  <c r="C108" i="3"/>
  <c r="GG106" i="3" a="1"/>
  <c r="GG106" i="3" s="1"/>
  <c r="GH106" i="3" s="1"/>
  <c r="GF106" i="3"/>
  <c r="DG105" i="3"/>
  <c r="DI105" i="3" s="1"/>
  <c r="CD105" i="3"/>
  <c r="HV105" i="3"/>
  <c r="HU105" i="3"/>
  <c r="CC105" i="3"/>
  <c r="DC105" i="3"/>
  <c r="DB105" i="3" s="1"/>
  <c r="DA105" i="3" s="1"/>
  <c r="HT105" i="3"/>
  <c r="DD106" i="3"/>
  <c r="DC106" i="3" s="1"/>
  <c r="DB106" i="3" s="1"/>
  <c r="DA106" i="3" s="1"/>
  <c r="FY106" i="3" s="1"/>
  <c r="V106" i="3"/>
  <c r="HP105" i="3"/>
  <c r="HR105" i="3"/>
  <c r="K110" i="3"/>
  <c r="DJ110" i="3" s="1"/>
  <c r="HR110" i="3"/>
  <c r="BI110" i="3"/>
  <c r="EA110" i="3" s="1"/>
  <c r="BJ110" i="3"/>
  <c r="CO110" i="3" s="1"/>
  <c r="HA113" i="3"/>
  <c r="HD112" i="3"/>
  <c r="S111" i="3"/>
  <c r="EG111" i="3" s="1"/>
  <c r="P111" i="3"/>
  <c r="I111" i="3"/>
  <c r="J111" i="3" s="1"/>
  <c r="U111" i="3"/>
  <c r="CY111" i="3"/>
  <c r="B112" i="3"/>
  <c r="CF111" i="3"/>
  <c r="CG111" i="3"/>
  <c r="CH111" i="3"/>
  <c r="CZ111" i="3"/>
  <c r="BB111" i="3"/>
  <c r="BC111" i="3"/>
  <c r="HU106" i="3"/>
  <c r="CC106" i="3"/>
  <c r="DG106" i="3"/>
  <c r="DI106" i="3" s="1"/>
  <c r="HV106" i="3"/>
  <c r="CD106" i="3"/>
  <c r="DC80" i="3"/>
  <c r="DB80" i="3" s="1"/>
  <c r="DA80" i="3" s="1"/>
  <c r="FZ79" i="3"/>
  <c r="V80" i="3"/>
  <c r="IF79" i="3"/>
  <c r="U81" i="3"/>
  <c r="BC81" i="3"/>
  <c r="BB81" i="3"/>
  <c r="I81" i="3"/>
  <c r="K81" i="3" s="1"/>
  <c r="AQ80" i="3"/>
  <c r="HT106" i="3" l="1"/>
  <c r="HO106" i="3" s="1"/>
  <c r="FQ106" i="3"/>
  <c r="FX106" i="3"/>
  <c r="FW106" i="3"/>
  <c r="FT106" i="3"/>
  <c r="ID105" i="3"/>
  <c r="W105" i="3"/>
  <c r="DF105" i="3" s="1"/>
  <c r="HO105" i="3"/>
  <c r="HZ105" i="3"/>
  <c r="HX105" i="3"/>
  <c r="M107" i="3"/>
  <c r="HP107" i="3" s="1"/>
  <c r="DE107" i="3"/>
  <c r="L107" i="3"/>
  <c r="V107" i="3"/>
  <c r="DD107" i="3"/>
  <c r="DC107" i="3" s="1"/>
  <c r="DB107" i="3" s="1"/>
  <c r="DA107" i="3" s="1"/>
  <c r="HT107" i="3" s="1"/>
  <c r="IA105" i="3"/>
  <c r="IB105" i="3"/>
  <c r="HY105" i="3" s="1"/>
  <c r="FW105" i="3"/>
  <c r="FX105" i="3"/>
  <c r="FQ105" i="3"/>
  <c r="FT105" i="3"/>
  <c r="FY105" i="3"/>
  <c r="AN108" i="3"/>
  <c r="C109" i="3"/>
  <c r="GP108" i="3"/>
  <c r="AX108" i="3"/>
  <c r="IC108" i="3"/>
  <c r="GY108" i="3"/>
  <c r="AP108" i="3"/>
  <c r="AQ107" i="3"/>
  <c r="W106" i="3"/>
  <c r="ID106" i="3"/>
  <c r="BJ111" i="3"/>
  <c r="CO111" i="3" s="1"/>
  <c r="BI111" i="3"/>
  <c r="EA111" i="3" s="1"/>
  <c r="HR111" i="3"/>
  <c r="S112" i="3"/>
  <c r="EG112" i="3" s="1"/>
  <c r="I112" i="3"/>
  <c r="K112" i="3" s="1"/>
  <c r="U112" i="3"/>
  <c r="P112" i="3"/>
  <c r="B113" i="3"/>
  <c r="CF112" i="3"/>
  <c r="CG112" i="3"/>
  <c r="CH112" i="3"/>
  <c r="CY112" i="3"/>
  <c r="CZ112" i="3"/>
  <c r="BB112" i="3"/>
  <c r="BC112" i="3"/>
  <c r="HD113" i="3"/>
  <c r="HA114" i="3"/>
  <c r="K111" i="3"/>
  <c r="DJ111" i="3" s="1"/>
  <c r="HX106" i="3"/>
  <c r="HZ106" i="3"/>
  <c r="IA106" i="3"/>
  <c r="FY80" i="3"/>
  <c r="FT80" i="3"/>
  <c r="FW80" i="3"/>
  <c r="FQ80" i="3"/>
  <c r="FX80" i="3"/>
  <c r="FZ106" i="3"/>
  <c r="IB106" i="3"/>
  <c r="HY106" i="3" s="1"/>
  <c r="DF106" i="3"/>
  <c r="BI81" i="3"/>
  <c r="EA81" i="3" s="1"/>
  <c r="BJ81" i="3"/>
  <c r="J81" i="3"/>
  <c r="DJ81" i="3" s="1"/>
  <c r="P82" i="3"/>
  <c r="BC82" i="3"/>
  <c r="U82" i="3"/>
  <c r="I82" i="3"/>
  <c r="J82" i="3" s="1"/>
  <c r="BB82" i="3"/>
  <c r="AX81" i="3"/>
  <c r="AN81" i="3"/>
  <c r="DD81" i="3" s="1"/>
  <c r="AP81" i="3"/>
  <c r="CS81" i="3" s="1"/>
  <c r="IF80" i="3"/>
  <c r="DG107" i="3" l="1"/>
  <c r="DI107" i="3" s="1"/>
  <c r="FY107" i="3"/>
  <c r="FT107" i="3"/>
  <c r="FQ107" i="3"/>
  <c r="FX107" i="3"/>
  <c r="GG108" i="3" a="1"/>
  <c r="GG108" i="3" s="1"/>
  <c r="GH108" i="3" s="1"/>
  <c r="GF108" i="3"/>
  <c r="CC107" i="3"/>
  <c r="HU107" i="3"/>
  <c r="C110" i="3"/>
  <c r="GP109" i="3"/>
  <c r="AX109" i="3"/>
  <c r="IC109" i="3"/>
  <c r="GY109" i="3"/>
  <c r="AN109" i="3"/>
  <c r="AP109" i="3"/>
  <c r="W107" i="3"/>
  <c r="DF107" i="3" s="1"/>
  <c r="HV107" i="3"/>
  <c r="ID107" i="3" s="1"/>
  <c r="CD107" i="3"/>
  <c r="HO107" i="3"/>
  <c r="DD108" i="3"/>
  <c r="DC108" i="3" s="1"/>
  <c r="DB108" i="3" s="1"/>
  <c r="DA108" i="3" s="1"/>
  <c r="FX108" i="3" s="1"/>
  <c r="V108" i="3"/>
  <c r="FZ105" i="3"/>
  <c r="FW107" i="3"/>
  <c r="CS108" i="3"/>
  <c r="AQ108" i="3"/>
  <c r="HJ105" i="3"/>
  <c r="DH105" i="3"/>
  <c r="HR112" i="3"/>
  <c r="BI112" i="3"/>
  <c r="EA112" i="3" s="1"/>
  <c r="J112" i="3"/>
  <c r="DJ112" i="3" s="1"/>
  <c r="HA115" i="3"/>
  <c r="HD114" i="3"/>
  <c r="U113" i="3"/>
  <c r="P113" i="3"/>
  <c r="S113" i="3"/>
  <c r="EG113" i="3" s="1"/>
  <c r="I113" i="3"/>
  <c r="J113" i="3" s="1"/>
  <c r="CF113" i="3"/>
  <c r="CG113" i="3"/>
  <c r="CH113" i="3"/>
  <c r="CY113" i="3"/>
  <c r="CZ113" i="3"/>
  <c r="B114" i="3"/>
  <c r="BB113" i="3"/>
  <c r="BC113" i="3"/>
  <c r="BJ112" i="3"/>
  <c r="CO112" i="3" s="1"/>
  <c r="DC81" i="3"/>
  <c r="DB81" i="3" s="1"/>
  <c r="DA81" i="3" s="1"/>
  <c r="DH106" i="3"/>
  <c r="HJ106" i="3"/>
  <c r="FZ80" i="3"/>
  <c r="V81" i="3"/>
  <c r="BI82" i="3"/>
  <c r="EA82" i="3" s="1"/>
  <c r="BB83" i="3"/>
  <c r="BC83" i="3"/>
  <c r="U83" i="3"/>
  <c r="P83" i="3"/>
  <c r="I83" i="3"/>
  <c r="K83" i="3" s="1"/>
  <c r="K82" i="3"/>
  <c r="DJ82" i="3" s="1"/>
  <c r="BJ82" i="3"/>
  <c r="CO82" i="3" s="1"/>
  <c r="AQ81" i="3"/>
  <c r="AX82" i="3"/>
  <c r="AP82" i="3"/>
  <c r="CS82" i="3" s="1"/>
  <c r="AN82" i="3"/>
  <c r="DD82" i="3" s="1"/>
  <c r="FZ107" i="3" l="1"/>
  <c r="FQ108" i="3"/>
  <c r="FW108" i="3"/>
  <c r="FY108" i="3"/>
  <c r="DH107" i="3"/>
  <c r="HJ107" i="3"/>
  <c r="FT108" i="3"/>
  <c r="L108" i="3"/>
  <c r="M108" i="3"/>
  <c r="DE108" i="3"/>
  <c r="GY110" i="3"/>
  <c r="C111" i="3"/>
  <c r="AP110" i="3"/>
  <c r="CS110" i="3" s="1"/>
  <c r="AN110" i="3"/>
  <c r="GP110" i="3"/>
  <c r="AX110" i="3"/>
  <c r="IC110" i="3"/>
  <c r="AQ109" i="3"/>
  <c r="CS109" i="3"/>
  <c r="HX107" i="3"/>
  <c r="HZ107" i="3"/>
  <c r="IA107" i="3"/>
  <c r="IB107" i="3"/>
  <c r="HY107" i="3" s="1"/>
  <c r="V109" i="3"/>
  <c r="DD109" i="3"/>
  <c r="DC109" i="3" s="1"/>
  <c r="DB109" i="3" s="1"/>
  <c r="DA109" i="3" s="1"/>
  <c r="HT109" i="3" s="1"/>
  <c r="GG109" i="3" a="1"/>
  <c r="GG109" i="3" s="1"/>
  <c r="GH109" i="3" s="1"/>
  <c r="GF109" i="3"/>
  <c r="HR113" i="3"/>
  <c r="BI113" i="3"/>
  <c r="EA113" i="3" s="1"/>
  <c r="K113" i="3"/>
  <c r="DJ113" i="3" s="1"/>
  <c r="BJ113" i="3"/>
  <c r="CO113" i="3" s="1"/>
  <c r="HD115" i="3"/>
  <c r="HA116" i="3"/>
  <c r="U114" i="3"/>
  <c r="P114" i="3"/>
  <c r="I114" i="3"/>
  <c r="K114" i="3" s="1"/>
  <c r="S114" i="3"/>
  <c r="CZ114" i="3"/>
  <c r="B115" i="3"/>
  <c r="CH114" i="3"/>
  <c r="CF114" i="3"/>
  <c r="CG114" i="3"/>
  <c r="CY114" i="3"/>
  <c r="BC114" i="3"/>
  <c r="BB114" i="3"/>
  <c r="DE82" i="3"/>
  <c r="HU82" i="3" s="1"/>
  <c r="FQ81" i="3"/>
  <c r="FT81" i="3"/>
  <c r="FW81" i="3"/>
  <c r="FY81" i="3"/>
  <c r="FX81" i="3"/>
  <c r="DC82" i="3"/>
  <c r="DB82" i="3" s="1"/>
  <c r="DA82" i="3" s="1"/>
  <c r="HT82" i="3" s="1"/>
  <c r="DE110" i="3"/>
  <c r="L110" i="3"/>
  <c r="M110" i="3"/>
  <c r="HP110" i="3" s="1"/>
  <c r="V82" i="3"/>
  <c r="BI83" i="3"/>
  <c r="EA83" i="3" s="1"/>
  <c r="BJ83" i="3"/>
  <c r="CO83" i="3" s="1"/>
  <c r="J83" i="3"/>
  <c r="DJ83" i="3" s="1"/>
  <c r="AQ82" i="3"/>
  <c r="AN83" i="3"/>
  <c r="DD83" i="3" s="1"/>
  <c r="AP83" i="3"/>
  <c r="CS83" i="3" s="1"/>
  <c r="AX83" i="3"/>
  <c r="AQ110" i="3" l="1"/>
  <c r="BI114" i="3"/>
  <c r="EA114" i="3" s="1"/>
  <c r="FZ108" i="3"/>
  <c r="M109" i="3"/>
  <c r="HP109" i="3" s="1"/>
  <c r="L109" i="3"/>
  <c r="DE109" i="3"/>
  <c r="FW109" i="3"/>
  <c r="GF110" i="3"/>
  <c r="GG110" i="3" a="1"/>
  <c r="GG110" i="3" s="1"/>
  <c r="GH110" i="3" s="1"/>
  <c r="HU108" i="3"/>
  <c r="CC108" i="3"/>
  <c r="FT109" i="3"/>
  <c r="HP108" i="3"/>
  <c r="HT108" i="3"/>
  <c r="FQ109" i="3"/>
  <c r="CD108" i="3"/>
  <c r="DG108" i="3"/>
  <c r="DI108" i="3" s="1"/>
  <c r="HV108" i="3"/>
  <c r="FY109" i="3"/>
  <c r="DD110" i="3"/>
  <c r="DC110" i="3" s="1"/>
  <c r="DB110" i="3" s="1"/>
  <c r="DA110" i="3" s="1"/>
  <c r="HT110" i="3" s="1"/>
  <c r="W110" i="3" s="1"/>
  <c r="DF110" i="3" s="1"/>
  <c r="V110" i="3"/>
  <c r="FX109" i="3"/>
  <c r="AN111" i="3"/>
  <c r="GP111" i="3"/>
  <c r="C112" i="3"/>
  <c r="AX111" i="3"/>
  <c r="IC111" i="3"/>
  <c r="GY111" i="3"/>
  <c r="AP111" i="3"/>
  <c r="CS111" i="3" s="1"/>
  <c r="BJ114" i="3"/>
  <c r="CO114" i="3" s="1"/>
  <c r="J114" i="3"/>
  <c r="DJ114" i="3" s="1"/>
  <c r="I115" i="3"/>
  <c r="J115" i="3" s="1"/>
  <c r="U115" i="3"/>
  <c r="S115" i="3"/>
  <c r="P115" i="3"/>
  <c r="CY115" i="3"/>
  <c r="CF115" i="3"/>
  <c r="CZ115" i="3"/>
  <c r="CG115" i="3"/>
  <c r="B116" i="3"/>
  <c r="CH115" i="3"/>
  <c r="BB115" i="3"/>
  <c r="BC115" i="3"/>
  <c r="BJ115" i="3" s="1"/>
  <c r="HA117" i="3"/>
  <c r="HA118" i="3" s="1"/>
  <c r="HD116" i="3"/>
  <c r="DE83" i="3"/>
  <c r="HU83" i="3" s="1"/>
  <c r="HU110" i="3"/>
  <c r="CC110" i="3"/>
  <c r="FZ81" i="3"/>
  <c r="DC83" i="3"/>
  <c r="DB83" i="3" s="1"/>
  <c r="DA83" i="3" s="1"/>
  <c r="HT83" i="3" s="1"/>
  <c r="FT82" i="3"/>
  <c r="FY82" i="3"/>
  <c r="FX82" i="3"/>
  <c r="FQ82" i="3"/>
  <c r="FW82" i="3"/>
  <c r="DG110" i="3"/>
  <c r="DI110" i="3" s="1"/>
  <c r="HV110" i="3"/>
  <c r="CD110" i="3"/>
  <c r="V83" i="3"/>
  <c r="AQ83" i="3"/>
  <c r="CO115" i="3" l="1"/>
  <c r="ID108" i="3"/>
  <c r="FZ109" i="3"/>
  <c r="FX110" i="3"/>
  <c r="FQ110" i="3"/>
  <c r="ID110" i="3"/>
  <c r="HO110" i="3"/>
  <c r="FY110" i="3"/>
  <c r="FT110" i="3"/>
  <c r="AQ111" i="3"/>
  <c r="V111" i="3"/>
  <c r="DD111" i="3"/>
  <c r="DC111" i="3" s="1"/>
  <c r="DB111" i="3" s="1"/>
  <c r="DA111" i="3" s="1"/>
  <c r="FY111" i="3" s="1"/>
  <c r="C113" i="3"/>
  <c r="AX112" i="3"/>
  <c r="IC112" i="3"/>
  <c r="AP112" i="3"/>
  <c r="GP112" i="3"/>
  <c r="AN112" i="3"/>
  <c r="GY112" i="3"/>
  <c r="IA108" i="3"/>
  <c r="HZ108" i="3"/>
  <c r="HX108" i="3"/>
  <c r="FW110" i="3"/>
  <c r="M111" i="3"/>
  <c r="HP111" i="3" s="1"/>
  <c r="DE111" i="3"/>
  <c r="L111" i="3"/>
  <c r="IB108" i="3"/>
  <c r="HY108" i="3" s="1"/>
  <c r="GF111" i="3"/>
  <c r="GG111" i="3" a="1"/>
  <c r="GG111" i="3" s="1"/>
  <c r="GH111" i="3" s="1"/>
  <c r="DG109" i="3"/>
  <c r="DI109" i="3" s="1"/>
  <c r="HV109" i="3"/>
  <c r="CD109" i="3"/>
  <c r="W108" i="3"/>
  <c r="DF108" i="3" s="1"/>
  <c r="HO108" i="3"/>
  <c r="CC109" i="3"/>
  <c r="HU109" i="3"/>
  <c r="W109" i="3"/>
  <c r="DF109" i="3" s="1"/>
  <c r="HO109" i="3"/>
  <c r="K115" i="3"/>
  <c r="DJ115" i="3" s="1"/>
  <c r="BI115" i="3"/>
  <c r="EA115" i="3" s="1"/>
  <c r="U116" i="3"/>
  <c r="P116" i="3"/>
  <c r="S116" i="3"/>
  <c r="EG116" i="3" s="1"/>
  <c r="I116" i="3"/>
  <c r="J116" i="3" s="1"/>
  <c r="CH116" i="3"/>
  <c r="CY116" i="3"/>
  <c r="CZ116" i="3"/>
  <c r="B117" i="3"/>
  <c r="CG116" i="3"/>
  <c r="CF116" i="3"/>
  <c r="BB116" i="3"/>
  <c r="BC116" i="3"/>
  <c r="HD117" i="3"/>
  <c r="FZ82" i="3"/>
  <c r="DH110" i="3"/>
  <c r="HJ110" i="3"/>
  <c r="FQ83" i="3"/>
  <c r="FT83" i="3"/>
  <c r="FX83" i="3"/>
  <c r="FY83" i="3"/>
  <c r="FW83" i="3"/>
  <c r="HX110" i="3"/>
  <c r="HZ110" i="3"/>
  <c r="IA110" i="3"/>
  <c r="IB110" i="3"/>
  <c r="HY110" i="3" s="1"/>
  <c r="IF82" i="3"/>
  <c r="HT111" i="3" l="1"/>
  <c r="FX111" i="3"/>
  <c r="FW111" i="3"/>
  <c r="ID109" i="3"/>
  <c r="FZ110" i="3"/>
  <c r="FQ111" i="3"/>
  <c r="DH109" i="3"/>
  <c r="HJ109" i="3"/>
  <c r="GF112" i="3"/>
  <c r="GG112" i="3" a="1"/>
  <c r="GG112" i="3" s="1"/>
  <c r="GH112" i="3" s="1"/>
  <c r="HU111" i="3"/>
  <c r="CC111" i="3"/>
  <c r="HZ109" i="3"/>
  <c r="HX109" i="3"/>
  <c r="IA109" i="3"/>
  <c r="IB109" i="3"/>
  <c r="HY109" i="3" s="1"/>
  <c r="C114" i="3"/>
  <c r="GP113" i="3"/>
  <c r="AX113" i="3"/>
  <c r="IC113" i="3"/>
  <c r="GY113" i="3"/>
  <c r="AP113" i="3"/>
  <c r="AN113" i="3"/>
  <c r="CS112" i="3"/>
  <c r="AQ112" i="3"/>
  <c r="HJ108" i="3"/>
  <c r="DH108" i="3"/>
  <c r="HV111" i="3"/>
  <c r="CD111" i="3"/>
  <c r="DG111" i="3"/>
  <c r="DI111" i="3" s="1"/>
  <c r="DD112" i="3"/>
  <c r="DC112" i="3" s="1"/>
  <c r="DB112" i="3" s="1"/>
  <c r="DA112" i="3" s="1"/>
  <c r="FY112" i="3" s="1"/>
  <c r="V112" i="3"/>
  <c r="BJ116" i="3"/>
  <c r="CO116" i="3" s="1"/>
  <c r="BI116" i="3"/>
  <c r="EA116" i="3" s="1"/>
  <c r="HO111" i="3"/>
  <c r="FZ83" i="3"/>
  <c r="K116" i="3"/>
  <c r="DJ116" i="3" s="1"/>
  <c r="HR116" i="3"/>
  <c r="HA119" i="3"/>
  <c r="HD118" i="3"/>
  <c r="S117" i="3"/>
  <c r="EG117" i="3" s="1"/>
  <c r="I117" i="3"/>
  <c r="J117" i="3" s="1"/>
  <c r="U117" i="3"/>
  <c r="P117" i="3"/>
  <c r="CY117" i="3"/>
  <c r="CZ117" i="3"/>
  <c r="CF117" i="3"/>
  <c r="CG117" i="3"/>
  <c r="CH117" i="3"/>
  <c r="B118" i="3"/>
  <c r="BC117" i="3"/>
  <c r="BB117" i="3"/>
  <c r="FZ111" i="3"/>
  <c r="IF81" i="3"/>
  <c r="IA111" i="3" l="1"/>
  <c r="W111" i="3"/>
  <c r="DF111" i="3" s="1"/>
  <c r="HJ111" i="3" s="1"/>
  <c r="IB111" i="3"/>
  <c r="HY111" i="3" s="1"/>
  <c r="HX111" i="3"/>
  <c r="HZ111" i="3"/>
  <c r="ID111" i="3"/>
  <c r="FW112" i="3"/>
  <c r="GG113" i="3" a="1"/>
  <c r="GG113" i="3" s="1"/>
  <c r="GH113" i="3" s="1"/>
  <c r="GF113" i="3"/>
  <c r="GY114" i="3"/>
  <c r="AP114" i="3"/>
  <c r="IC114" i="3"/>
  <c r="GF114" i="3" s="1"/>
  <c r="C115" i="3"/>
  <c r="AX114" i="3"/>
  <c r="GP114" i="3"/>
  <c r="AN114" i="3"/>
  <c r="DE112" i="3"/>
  <c r="M112" i="3"/>
  <c r="HP112" i="3" s="1"/>
  <c r="L112" i="3"/>
  <c r="FQ112" i="3"/>
  <c r="FX112" i="3"/>
  <c r="FT112" i="3"/>
  <c r="V113" i="3"/>
  <c r="DD113" i="3"/>
  <c r="DC113" i="3" s="1"/>
  <c r="DB113" i="3" s="1"/>
  <c r="DA113" i="3" s="1"/>
  <c r="HT113" i="3" s="1"/>
  <c r="CS113" i="3"/>
  <c r="AQ113" i="3"/>
  <c r="BI117" i="3"/>
  <c r="EA117" i="3" s="1"/>
  <c r="BJ117" i="3"/>
  <c r="CO117" i="3" s="1"/>
  <c r="HD119" i="3"/>
  <c r="HA120" i="3"/>
  <c r="K117" i="3"/>
  <c r="DJ117" i="3" s="1"/>
  <c r="S118" i="3"/>
  <c r="EG118" i="3" s="1"/>
  <c r="I118" i="3"/>
  <c r="J118" i="3" s="1"/>
  <c r="P118" i="3"/>
  <c r="U118" i="3"/>
  <c r="CZ118" i="3"/>
  <c r="B119" i="3"/>
  <c r="CH118" i="3"/>
  <c r="CF118" i="3"/>
  <c r="CY118" i="3"/>
  <c r="CG118" i="3"/>
  <c r="BB118" i="3"/>
  <c r="BC118" i="3"/>
  <c r="HR117" i="3"/>
  <c r="DH111" i="3" l="1"/>
  <c r="DG112" i="3"/>
  <c r="DI112" i="3" s="1"/>
  <c r="FZ112" i="3"/>
  <c r="FQ113" i="3"/>
  <c r="FW113" i="3"/>
  <c r="FT113" i="3"/>
  <c r="FY113" i="3"/>
  <c r="FX113" i="3"/>
  <c r="L113" i="3"/>
  <c r="DE113" i="3"/>
  <c r="M113" i="3"/>
  <c r="HP113" i="3" s="1"/>
  <c r="HV112" i="3"/>
  <c r="CD112" i="3"/>
  <c r="AQ114" i="3"/>
  <c r="CS114" i="3"/>
  <c r="HT112" i="3"/>
  <c r="W112" i="3" s="1"/>
  <c r="DF112" i="3" s="1"/>
  <c r="HU112" i="3"/>
  <c r="CC112" i="3"/>
  <c r="C116" i="3"/>
  <c r="IC115" i="3"/>
  <c r="AP115" i="3"/>
  <c r="CS115" i="3" s="1"/>
  <c r="GP115" i="3"/>
  <c r="GY115" i="3"/>
  <c r="AX115" i="3"/>
  <c r="AN115" i="3"/>
  <c r="DD114" i="3"/>
  <c r="DC114" i="3" s="1"/>
  <c r="DB114" i="3" s="1"/>
  <c r="DA114" i="3" s="1"/>
  <c r="V114" i="3"/>
  <c r="HR118" i="3"/>
  <c r="BI118" i="3"/>
  <c r="EA118" i="3" s="1"/>
  <c r="BJ118" i="3"/>
  <c r="CO118" i="3" s="1"/>
  <c r="S119" i="3"/>
  <c r="EG119" i="3" s="1"/>
  <c r="P119" i="3"/>
  <c r="U119" i="3"/>
  <c r="I119" i="3"/>
  <c r="J119" i="3" s="1"/>
  <c r="CF119" i="3"/>
  <c r="B120" i="3"/>
  <c r="CG119" i="3"/>
  <c r="CY119" i="3"/>
  <c r="CH119" i="3"/>
  <c r="CZ119" i="3"/>
  <c r="BB119" i="3"/>
  <c r="BC119" i="3"/>
  <c r="HA121" i="3"/>
  <c r="HD120" i="3"/>
  <c r="K118" i="3"/>
  <c r="DJ118" i="3" s="1"/>
  <c r="IF83" i="3"/>
  <c r="ID112" i="3" l="1"/>
  <c r="DG113" i="3"/>
  <c r="DI113" i="3" s="1"/>
  <c r="FQ114" i="3"/>
  <c r="IF114" i="3"/>
  <c r="AQ115" i="3"/>
  <c r="FZ113" i="3"/>
  <c r="HJ112" i="3"/>
  <c r="DH112" i="3"/>
  <c r="FY114" i="3"/>
  <c r="GG115" i="3" a="1"/>
  <c r="GG115" i="3" s="1"/>
  <c r="GH115" i="3" s="1"/>
  <c r="GF115" i="3"/>
  <c r="FX114" i="3"/>
  <c r="C117" i="3"/>
  <c r="AX116" i="3"/>
  <c r="GY116" i="3"/>
  <c r="IC116" i="3"/>
  <c r="GP116" i="3"/>
  <c r="AP116" i="3"/>
  <c r="CS116" i="3" s="1"/>
  <c r="AN116" i="3"/>
  <c r="V115" i="3"/>
  <c r="DD115" i="3"/>
  <c r="FT114" i="3"/>
  <c r="HZ112" i="3"/>
  <c r="HX112" i="3"/>
  <c r="IA112" i="3"/>
  <c r="W113" i="3"/>
  <c r="DF113" i="3" s="1"/>
  <c r="HO113" i="3"/>
  <c r="CC113" i="3"/>
  <c r="HU113" i="3"/>
  <c r="CD113" i="3"/>
  <c r="HV113" i="3"/>
  <c r="ID113" i="3" s="1"/>
  <c r="FW114" i="3"/>
  <c r="HO112" i="3"/>
  <c r="IB112" i="3"/>
  <c r="HY112" i="3" s="1"/>
  <c r="DG115" i="3"/>
  <c r="M115" i="3"/>
  <c r="L115" i="3"/>
  <c r="M114" i="3"/>
  <c r="DG114" i="3"/>
  <c r="L114" i="3"/>
  <c r="BI119" i="3"/>
  <c r="EA119" i="3" s="1"/>
  <c r="HR119" i="3"/>
  <c r="K119" i="3"/>
  <c r="DJ119" i="3" s="1"/>
  <c r="HD121" i="3"/>
  <c r="HA122" i="3"/>
  <c r="BJ119" i="3"/>
  <c r="CO119" i="3" s="1"/>
  <c r="S120" i="3"/>
  <c r="EG120" i="3" s="1"/>
  <c r="U120" i="3"/>
  <c r="P120" i="3"/>
  <c r="I120" i="3"/>
  <c r="K120" i="3" s="1"/>
  <c r="CH120" i="3"/>
  <c r="CY120" i="3"/>
  <c r="CG120" i="3"/>
  <c r="CZ120" i="3"/>
  <c r="CF120" i="3"/>
  <c r="B121" i="3"/>
  <c r="BB120" i="3"/>
  <c r="BC120" i="3"/>
  <c r="S64" i="3"/>
  <c r="J22" i="3"/>
  <c r="HU13" i="3"/>
  <c r="L116" i="3" l="1"/>
  <c r="HV116" i="3" s="1"/>
  <c r="M116" i="3"/>
  <c r="HP116" i="3" s="1"/>
  <c r="DE116" i="3"/>
  <c r="FZ114" i="3"/>
  <c r="HV115" i="3"/>
  <c r="ID115" i="3" s="1"/>
  <c r="DH113" i="3"/>
  <c r="HJ113" i="3"/>
  <c r="AQ116" i="3"/>
  <c r="HX113" i="3"/>
  <c r="IA113" i="3"/>
  <c r="HZ113" i="3"/>
  <c r="IB113" i="3"/>
  <c r="HY113" i="3" s="1"/>
  <c r="DC115" i="3"/>
  <c r="DB115" i="3" s="1"/>
  <c r="DA115" i="3" s="1"/>
  <c r="IF115" i="3" s="1"/>
  <c r="HT115" i="3"/>
  <c r="C118" i="3"/>
  <c r="GP117" i="3"/>
  <c r="AX117" i="3"/>
  <c r="GY117" i="3"/>
  <c r="AN117" i="3"/>
  <c r="IC117" i="3"/>
  <c r="AP117" i="3"/>
  <c r="CS117" i="3" s="1"/>
  <c r="HV114" i="3"/>
  <c r="ID114" i="3" s="1"/>
  <c r="V116" i="3"/>
  <c r="DD116" i="3"/>
  <c r="DC116" i="3" s="1"/>
  <c r="DB116" i="3" s="1"/>
  <c r="DA116" i="3" s="1"/>
  <c r="FQ116" i="3" s="1"/>
  <c r="GG116" i="3" a="1"/>
  <c r="GG116" i="3" s="1"/>
  <c r="GH116" i="3" s="1"/>
  <c r="GF116" i="3"/>
  <c r="DI115" i="3"/>
  <c r="HR115" i="3"/>
  <c r="HP115" i="3"/>
  <c r="HT114" i="3"/>
  <c r="HR114" i="3"/>
  <c r="HP114" i="3"/>
  <c r="DI114" i="3"/>
  <c r="BI120" i="3"/>
  <c r="EA120" i="3" s="1"/>
  <c r="J120" i="3"/>
  <c r="DJ120" i="3" s="1"/>
  <c r="U121" i="3"/>
  <c r="P121" i="3"/>
  <c r="S121" i="3"/>
  <c r="EG121" i="3" s="1"/>
  <c r="I121" i="3"/>
  <c r="J121" i="3" s="1"/>
  <c r="CZ121" i="3"/>
  <c r="CG121" i="3"/>
  <c r="CY121" i="3"/>
  <c r="B122" i="3"/>
  <c r="CH121" i="3"/>
  <c r="CF121" i="3"/>
  <c r="BC121" i="3"/>
  <c r="BB121" i="3"/>
  <c r="HR120" i="3"/>
  <c r="BJ120" i="3"/>
  <c r="CO120" i="3" s="1"/>
  <c r="EG64" i="3"/>
  <c r="HR64" i="3"/>
  <c r="HA123" i="3"/>
  <c r="HD122" i="3"/>
  <c r="HU116" i="3"/>
  <c r="CC116" i="3"/>
  <c r="DG116" i="3"/>
  <c r="DI116" i="3" s="1"/>
  <c r="M64" i="3"/>
  <c r="HP64" i="3" s="1"/>
  <c r="L64" i="3"/>
  <c r="S13" i="3"/>
  <c r="EG13" i="3" s="1"/>
  <c r="K22" i="3"/>
  <c r="DJ22" i="3" s="1"/>
  <c r="DE117" i="3" l="1"/>
  <c r="CD116" i="3"/>
  <c r="M117" i="3"/>
  <c r="HP117" i="3" s="1"/>
  <c r="AQ117" i="3"/>
  <c r="L117" i="3"/>
  <c r="FY116" i="3"/>
  <c r="FX116" i="3"/>
  <c r="AP118" i="3"/>
  <c r="AX118" i="3"/>
  <c r="IC118" i="3"/>
  <c r="GY118" i="3"/>
  <c r="AN118" i="3"/>
  <c r="GP118" i="3"/>
  <c r="C119" i="3"/>
  <c r="FT116" i="3"/>
  <c r="W114" i="3"/>
  <c r="DE114" i="3" s="1"/>
  <c r="HO114" i="3"/>
  <c r="FW116" i="3"/>
  <c r="W115" i="3"/>
  <c r="DE115" i="3" s="1"/>
  <c r="HO115" i="3"/>
  <c r="GG117" i="3" a="1"/>
  <c r="GG117" i="3" s="1"/>
  <c r="GH117" i="3" s="1"/>
  <c r="GF117" i="3"/>
  <c r="HO64" i="3"/>
  <c r="W64" i="3"/>
  <c r="HT116" i="3"/>
  <c r="HX116" i="3" s="1"/>
  <c r="V117" i="3"/>
  <c r="DD117" i="3"/>
  <c r="DC117" i="3" s="1"/>
  <c r="DB117" i="3" s="1"/>
  <c r="BI121" i="3"/>
  <c r="EA121" i="3" s="1"/>
  <c r="BJ121" i="3"/>
  <c r="CO121" i="3" s="1"/>
  <c r="K121" i="3"/>
  <c r="DJ121" i="3" s="1"/>
  <c r="HD123" i="3"/>
  <c r="HA124" i="3"/>
  <c r="HZ64" i="3"/>
  <c r="IA64" i="3"/>
  <c r="IB64" i="3"/>
  <c r="HY64" i="3" s="1"/>
  <c r="HX64" i="3"/>
  <c r="ID116" i="3"/>
  <c r="U122" i="3"/>
  <c r="P122" i="3"/>
  <c r="I122" i="3"/>
  <c r="K122" i="3" s="1"/>
  <c r="S122" i="3"/>
  <c r="EG122" i="3" s="1"/>
  <c r="CZ122" i="3"/>
  <c r="B123" i="3"/>
  <c r="CF122" i="3"/>
  <c r="CY122" i="3"/>
  <c r="CH122" i="3"/>
  <c r="CG122" i="3"/>
  <c r="BB122" i="3"/>
  <c r="BC122" i="3"/>
  <c r="HR121" i="3"/>
  <c r="DG64" i="3"/>
  <c r="DI64" i="3" s="1"/>
  <c r="HV64" i="3"/>
  <c r="FX115" i="3"/>
  <c r="FY115" i="3"/>
  <c r="FQ115" i="3"/>
  <c r="FT115" i="3"/>
  <c r="FW115" i="3"/>
  <c r="HU117" i="3"/>
  <c r="CC117" i="3"/>
  <c r="IB116" i="3"/>
  <c r="HY116" i="3" s="1"/>
  <c r="HR13" i="3"/>
  <c r="L13" i="3"/>
  <c r="M13" i="3"/>
  <c r="DG117" i="3" l="1"/>
  <c r="DI117" i="3" s="1"/>
  <c r="IA116" i="3"/>
  <c r="HZ116" i="3"/>
  <c r="FZ116" i="3"/>
  <c r="CD117" i="3"/>
  <c r="HV117" i="3"/>
  <c r="CC115" i="3"/>
  <c r="CD115" i="3"/>
  <c r="DF115" i="3"/>
  <c r="HU115" i="3"/>
  <c r="W116" i="3"/>
  <c r="DF116" i="3" s="1"/>
  <c r="HO116" i="3"/>
  <c r="GF118" i="3"/>
  <c r="GG118" i="3" a="1"/>
  <c r="GG118" i="3" s="1"/>
  <c r="GH118" i="3" s="1"/>
  <c r="HU114" i="3"/>
  <c r="DF114" i="3"/>
  <c r="CD114" i="3"/>
  <c r="CC114" i="3"/>
  <c r="CS118" i="3"/>
  <c r="AQ118" i="3"/>
  <c r="AX119" i="3"/>
  <c r="AN119" i="3"/>
  <c r="C120" i="3"/>
  <c r="IC119" i="3"/>
  <c r="GY119" i="3"/>
  <c r="AP119" i="3"/>
  <c r="CS119" i="3" s="1"/>
  <c r="GP119" i="3"/>
  <c r="V118" i="3"/>
  <c r="DD118" i="3"/>
  <c r="DC118" i="3" s="1"/>
  <c r="DB118" i="3" s="1"/>
  <c r="DA118" i="3" s="1"/>
  <c r="HT118" i="3" s="1"/>
  <c r="ID117" i="3"/>
  <c r="J122" i="3"/>
  <c r="DJ122" i="3" s="1"/>
  <c r="BJ122" i="3"/>
  <c r="CO122" i="3" s="1"/>
  <c r="BI122" i="3"/>
  <c r="EA122" i="3" s="1"/>
  <c r="DG13" i="3"/>
  <c r="DI13" i="3" s="1"/>
  <c r="I123" i="3"/>
  <c r="J123" i="3" s="1"/>
  <c r="P123" i="3"/>
  <c r="S123" i="3"/>
  <c r="EG123" i="3" s="1"/>
  <c r="U123" i="3"/>
  <c r="CF123" i="3"/>
  <c r="CH123" i="3"/>
  <c r="B124" i="3"/>
  <c r="CG123" i="3"/>
  <c r="CY123" i="3"/>
  <c r="CZ123" i="3"/>
  <c r="BB123" i="3"/>
  <c r="BC123" i="3"/>
  <c r="HR122" i="3"/>
  <c r="HA125" i="3"/>
  <c r="HD124" i="3"/>
  <c r="M119" i="3"/>
  <c r="HP119" i="3" s="1"/>
  <c r="L119" i="3"/>
  <c r="FZ115" i="3"/>
  <c r="ID64" i="3"/>
  <c r="DA117" i="3"/>
  <c r="HP13" i="3"/>
  <c r="HV13" i="3"/>
  <c r="IA13" i="3"/>
  <c r="IB13" i="3"/>
  <c r="HY13" i="3" s="1"/>
  <c r="HZ13" i="3"/>
  <c r="HX13" i="3"/>
  <c r="DF64" i="3"/>
  <c r="AQ119" i="3" l="1"/>
  <c r="DE119" i="3"/>
  <c r="FY118" i="3"/>
  <c r="IF118" i="3"/>
  <c r="HO13" i="3"/>
  <c r="W13" i="3"/>
  <c r="DF13" i="3" s="1"/>
  <c r="FX118" i="3"/>
  <c r="FW118" i="3"/>
  <c r="M118" i="3"/>
  <c r="HP118" i="3" s="1"/>
  <c r="L118" i="3"/>
  <c r="DE118" i="3"/>
  <c r="DH116" i="3"/>
  <c r="HJ116" i="3"/>
  <c r="HZ115" i="3"/>
  <c r="IB115" i="3"/>
  <c r="HY115" i="3" s="1"/>
  <c r="HX115" i="3"/>
  <c r="IA115" i="3"/>
  <c r="DH115" i="3"/>
  <c r="HJ115" i="3"/>
  <c r="FQ118" i="3"/>
  <c r="GF119" i="3"/>
  <c r="GG119" i="3" a="1"/>
  <c r="GG119" i="3" s="1"/>
  <c r="GH119" i="3" s="1"/>
  <c r="C121" i="3"/>
  <c r="AX120" i="3"/>
  <c r="GY120" i="3"/>
  <c r="GP120" i="3"/>
  <c r="AN120" i="3"/>
  <c r="AP120" i="3"/>
  <c r="IC120" i="3"/>
  <c r="DH114" i="3"/>
  <c r="HJ114" i="3"/>
  <c r="FT118" i="3"/>
  <c r="DD119" i="3"/>
  <c r="DC119" i="3" s="1"/>
  <c r="DB119" i="3" s="1"/>
  <c r="V119" i="3"/>
  <c r="IB114" i="3"/>
  <c r="HY114" i="3" s="1"/>
  <c r="HZ114" i="3"/>
  <c r="IA114" i="3"/>
  <c r="HX114" i="3"/>
  <c r="DG119" i="3"/>
  <c r="DI119" i="3" s="1"/>
  <c r="K123" i="3"/>
  <c r="DJ123" i="3" s="1"/>
  <c r="BI123" i="3"/>
  <c r="EA123" i="3" s="1"/>
  <c r="BJ123" i="3"/>
  <c r="CO123" i="3" s="1"/>
  <c r="I124" i="3"/>
  <c r="J124" i="3" s="1"/>
  <c r="U124" i="3"/>
  <c r="P124" i="3"/>
  <c r="S124" i="3"/>
  <c r="EG124" i="3" s="1"/>
  <c r="CH124" i="3"/>
  <c r="CZ124" i="3"/>
  <c r="CF124" i="3"/>
  <c r="CG124" i="3"/>
  <c r="CY124" i="3"/>
  <c r="B125" i="3"/>
  <c r="BB124" i="3"/>
  <c r="BC124" i="3"/>
  <c r="HA126" i="3"/>
  <c r="HD125" i="3"/>
  <c r="HR123" i="3"/>
  <c r="HU119" i="3"/>
  <c r="CC119" i="3"/>
  <c r="HV119" i="3"/>
  <c r="CD119" i="3"/>
  <c r="FQ117" i="3"/>
  <c r="FW117" i="3"/>
  <c r="FY117" i="3"/>
  <c r="FT117" i="3"/>
  <c r="FX117" i="3"/>
  <c r="HT117" i="3"/>
  <c r="DH64" i="3"/>
  <c r="HJ64" i="3"/>
  <c r="ID13" i="3"/>
  <c r="CC64" i="3"/>
  <c r="CD64" i="3"/>
  <c r="S79" i="3"/>
  <c r="S67" i="3"/>
  <c r="W117" i="3" l="1"/>
  <c r="FZ118" i="3"/>
  <c r="HU118" i="3"/>
  <c r="CC118" i="3"/>
  <c r="DG118" i="3"/>
  <c r="DI118" i="3" s="1"/>
  <c r="HV118" i="3"/>
  <c r="CD118" i="3"/>
  <c r="W118" i="3"/>
  <c r="DF118" i="3" s="1"/>
  <c r="HO118" i="3"/>
  <c r="IC121" i="3"/>
  <c r="AN121" i="3"/>
  <c r="GY121" i="3"/>
  <c r="AP121" i="3"/>
  <c r="CS121" i="3" s="1"/>
  <c r="GP121" i="3"/>
  <c r="AX121" i="3"/>
  <c r="C122" i="3"/>
  <c r="AQ120" i="3"/>
  <c r="CS120" i="3"/>
  <c r="GG120" i="3" a="1"/>
  <c r="GG120" i="3" s="1"/>
  <c r="GH120" i="3" s="1"/>
  <c r="GF120" i="3"/>
  <c r="V120" i="3"/>
  <c r="DD120" i="3"/>
  <c r="DC120" i="3" s="1"/>
  <c r="DB120" i="3" s="1"/>
  <c r="DA120" i="3" s="1"/>
  <c r="HT120" i="3" s="1"/>
  <c r="ID119" i="3"/>
  <c r="BI124" i="3"/>
  <c r="K124" i="3"/>
  <c r="DJ124" i="3" s="1"/>
  <c r="BJ124" i="3"/>
  <c r="CO124" i="3" s="1"/>
  <c r="HR124" i="3"/>
  <c r="S125" i="3"/>
  <c r="EG125" i="3" s="1"/>
  <c r="U125" i="3"/>
  <c r="P125" i="3"/>
  <c r="I125" i="3"/>
  <c r="J125" i="3" s="1"/>
  <c r="CY125" i="3"/>
  <c r="CZ125" i="3"/>
  <c r="B126" i="3"/>
  <c r="CG125" i="3"/>
  <c r="CF125" i="3"/>
  <c r="CH125" i="3"/>
  <c r="BC125" i="3"/>
  <c r="BB125" i="3"/>
  <c r="EG67" i="3"/>
  <c r="HR67" i="3"/>
  <c r="DH13" i="3"/>
  <c r="HJ13" i="3"/>
  <c r="HA127" i="3"/>
  <c r="HD126" i="3"/>
  <c r="DA119" i="3"/>
  <c r="HX117" i="3"/>
  <c r="IB117" i="3"/>
  <c r="HY117" i="3" s="1"/>
  <c r="HO117" i="3"/>
  <c r="DF117" i="3"/>
  <c r="IA117" i="3"/>
  <c r="HZ117" i="3"/>
  <c r="FZ117" i="3"/>
  <c r="CD13" i="3"/>
  <c r="CC13" i="3"/>
  <c r="S78" i="3"/>
  <c r="M67" i="3"/>
  <c r="HP67" i="3" s="1"/>
  <c r="L67" i="3"/>
  <c r="M79" i="3"/>
  <c r="L79" i="3"/>
  <c r="W67" i="3" l="1"/>
  <c r="AQ121" i="3"/>
  <c r="HJ118" i="3"/>
  <c r="DH118" i="3"/>
  <c r="FW120" i="3"/>
  <c r="HX118" i="3"/>
  <c r="HZ118" i="3"/>
  <c r="IA118" i="3"/>
  <c r="IB118" i="3"/>
  <c r="HY118" i="3" s="1"/>
  <c r="IC122" i="3"/>
  <c r="AN122" i="3"/>
  <c r="AP122" i="3"/>
  <c r="AX122" i="3"/>
  <c r="C123" i="3"/>
  <c r="GY122" i="3"/>
  <c r="GP122" i="3"/>
  <c r="FX120" i="3"/>
  <c r="IF120" i="3"/>
  <c r="FT120" i="3"/>
  <c r="L121" i="3"/>
  <c r="M121" i="3"/>
  <c r="HP121" i="3" s="1"/>
  <c r="DE121" i="3"/>
  <c r="ID118" i="3"/>
  <c r="FY120" i="3"/>
  <c r="V121" i="3"/>
  <c r="DD121" i="3"/>
  <c r="DC121" i="3" s="1"/>
  <c r="DB121" i="3" s="1"/>
  <c r="FQ120" i="3"/>
  <c r="DE120" i="3"/>
  <c r="L120" i="3"/>
  <c r="M120" i="3"/>
  <c r="HP120" i="3" s="1"/>
  <c r="GF121" i="3"/>
  <c r="GG121" i="3" a="1"/>
  <c r="GG121" i="3" s="1"/>
  <c r="GH121" i="3" s="1"/>
  <c r="HO67" i="3"/>
  <c r="HR125" i="3"/>
  <c r="BJ125" i="3"/>
  <c r="CO125" i="3" s="1"/>
  <c r="BI125" i="3"/>
  <c r="K125" i="3"/>
  <c r="DJ125" i="3" s="1"/>
  <c r="HD127" i="3"/>
  <c r="HA128" i="3"/>
  <c r="EG78" i="3"/>
  <c r="HR78" i="3"/>
  <c r="HZ67" i="3"/>
  <c r="IB67" i="3"/>
  <c r="HY67" i="3" s="1"/>
  <c r="IA67" i="3"/>
  <c r="HX67" i="3"/>
  <c r="S126" i="3"/>
  <c r="EG126" i="3" s="1"/>
  <c r="I126" i="3"/>
  <c r="J126" i="3" s="1"/>
  <c r="P126" i="3"/>
  <c r="U126" i="3"/>
  <c r="CZ126" i="3"/>
  <c r="B127" i="3"/>
  <c r="CH126" i="3"/>
  <c r="CG126" i="3"/>
  <c r="CY126" i="3"/>
  <c r="CF126" i="3"/>
  <c r="BB126" i="3"/>
  <c r="BC126" i="3"/>
  <c r="HV79" i="3"/>
  <c r="ID79" i="3" s="1"/>
  <c r="DI79" i="3"/>
  <c r="HP79" i="3"/>
  <c r="HR79" i="3"/>
  <c r="HT79" i="3"/>
  <c r="DG67" i="3"/>
  <c r="DI67" i="3" s="1"/>
  <c r="HV67" i="3"/>
  <c r="DH117" i="3"/>
  <c r="HJ117" i="3"/>
  <c r="FT119" i="3"/>
  <c r="FY119" i="3"/>
  <c r="FQ119" i="3"/>
  <c r="FW119" i="3"/>
  <c r="FX119" i="3"/>
  <c r="IF119" i="3"/>
  <c r="HT119" i="3"/>
  <c r="L78" i="3"/>
  <c r="M78" i="3"/>
  <c r="W119" i="3" l="1"/>
  <c r="FZ120" i="3"/>
  <c r="W79" i="3"/>
  <c r="DE79" i="3" s="1"/>
  <c r="W120" i="3"/>
  <c r="DF120" i="3" s="1"/>
  <c r="HO120" i="3"/>
  <c r="CC121" i="3"/>
  <c r="HU121" i="3"/>
  <c r="GP123" i="3"/>
  <c r="IC123" i="3"/>
  <c r="GF123" i="3" s="1"/>
  <c r="GY123" i="3"/>
  <c r="AP123" i="3"/>
  <c r="AN123" i="3"/>
  <c r="C124" i="3"/>
  <c r="AX123" i="3"/>
  <c r="DG120" i="3"/>
  <c r="DI120" i="3" s="1"/>
  <c r="HV120" i="3"/>
  <c r="ID120" i="3" s="1"/>
  <c r="CD120" i="3"/>
  <c r="AQ122" i="3"/>
  <c r="CS122" i="3"/>
  <c r="HU120" i="3"/>
  <c r="CC120" i="3"/>
  <c r="DG121" i="3"/>
  <c r="DI121" i="3" s="1"/>
  <c r="HV121" i="3"/>
  <c r="CD121" i="3"/>
  <c r="DD122" i="3"/>
  <c r="DC122" i="3" s="1"/>
  <c r="DB122" i="3" s="1"/>
  <c r="DA122" i="3" s="1"/>
  <c r="HT122" i="3" s="1"/>
  <c r="V122" i="3"/>
  <c r="GF122" i="3"/>
  <c r="GG122" i="3" a="1"/>
  <c r="GG122" i="3" s="1"/>
  <c r="GH122" i="3" s="1"/>
  <c r="HR126" i="3"/>
  <c r="K126" i="3"/>
  <c r="DJ126" i="3" s="1"/>
  <c r="BI126" i="3"/>
  <c r="EA126" i="3" s="1"/>
  <c r="HD128" i="3"/>
  <c r="HA129" i="3"/>
  <c r="BJ126" i="3"/>
  <c r="CO126" i="3" s="1"/>
  <c r="U127" i="3"/>
  <c r="I127" i="3"/>
  <c r="J127" i="3" s="1"/>
  <c r="S127" i="3"/>
  <c r="EG127" i="3" s="1"/>
  <c r="P127" i="3"/>
  <c r="CG127" i="3"/>
  <c r="CY127" i="3"/>
  <c r="B128" i="3"/>
  <c r="CH127" i="3"/>
  <c r="CZ127" i="3"/>
  <c r="CF127" i="3"/>
  <c r="BB127" i="3"/>
  <c r="BC127" i="3"/>
  <c r="FZ119" i="3"/>
  <c r="HP78" i="3"/>
  <c r="HT78" i="3"/>
  <c r="HV78" i="3"/>
  <c r="ID67" i="3"/>
  <c r="HO79" i="3"/>
  <c r="DA121" i="3"/>
  <c r="IB119" i="3"/>
  <c r="HY119" i="3" s="1"/>
  <c r="HO119" i="3"/>
  <c r="DF119" i="3"/>
  <c r="HX119" i="3"/>
  <c r="IA119" i="3"/>
  <c r="HZ119" i="3"/>
  <c r="DG78" i="3"/>
  <c r="DI78" i="3" s="1"/>
  <c r="DF67" i="3"/>
  <c r="S56" i="3"/>
  <c r="W78" i="3" l="1"/>
  <c r="HJ120" i="3"/>
  <c r="DH120" i="3"/>
  <c r="FX122" i="3"/>
  <c r="FQ122" i="3"/>
  <c r="ID121" i="3"/>
  <c r="IC124" i="3"/>
  <c r="GF124" i="3" s="1"/>
  <c r="GP124" i="3"/>
  <c r="C125" i="3"/>
  <c r="AN124" i="3"/>
  <c r="AP124" i="3"/>
  <c r="CS124" i="3" s="1"/>
  <c r="AX124" i="3"/>
  <c r="GY124" i="3"/>
  <c r="CS123" i="3"/>
  <c r="AQ123" i="3"/>
  <c r="IB120" i="3"/>
  <c r="HY120" i="3" s="1"/>
  <c r="HZ120" i="3"/>
  <c r="HX120" i="3"/>
  <c r="IA120" i="3"/>
  <c r="FY122" i="3"/>
  <c r="FT122" i="3"/>
  <c r="M122" i="3"/>
  <c r="HP122" i="3" s="1"/>
  <c r="L122" i="3"/>
  <c r="DE122" i="3"/>
  <c r="V123" i="3"/>
  <c r="DD123" i="3"/>
  <c r="DC123" i="3" s="1"/>
  <c r="DB123" i="3" s="1"/>
  <c r="DA123" i="3" s="1"/>
  <c r="FT123" i="3" s="1"/>
  <c r="BI127" i="3"/>
  <c r="EA127" i="3" s="1"/>
  <c r="HR127" i="3"/>
  <c r="K127" i="3"/>
  <c r="DJ127" i="3" s="1"/>
  <c r="HO78" i="3"/>
  <c r="BJ127" i="3"/>
  <c r="CO127" i="3" s="1"/>
  <c r="S128" i="3"/>
  <c r="EG128" i="3" s="1"/>
  <c r="U128" i="3"/>
  <c r="P128" i="3"/>
  <c r="I128" i="3"/>
  <c r="J128" i="3" s="1"/>
  <c r="B129" i="3"/>
  <c r="CH128" i="3"/>
  <c r="CY128" i="3"/>
  <c r="CZ128" i="3"/>
  <c r="CF128" i="3"/>
  <c r="CG128" i="3"/>
  <c r="BB128" i="3"/>
  <c r="BC128" i="3"/>
  <c r="HD129" i="3"/>
  <c r="HA130" i="3"/>
  <c r="EG56" i="3"/>
  <c r="HR56" i="3"/>
  <c r="IB78" i="3"/>
  <c r="HY78" i="3" s="1"/>
  <c r="IA78" i="3"/>
  <c r="HX78" i="3"/>
  <c r="HZ78" i="3"/>
  <c r="FQ121" i="3"/>
  <c r="FY121" i="3"/>
  <c r="FT121" i="3"/>
  <c r="FW121" i="3"/>
  <c r="FX121" i="3"/>
  <c r="HT121" i="3"/>
  <c r="W121" i="3" s="1"/>
  <c r="L124" i="3"/>
  <c r="M124" i="3"/>
  <c r="HP124" i="3" s="1"/>
  <c r="DE124" i="3"/>
  <c r="HJ119" i="3"/>
  <c r="DH119" i="3"/>
  <c r="ID78" i="3"/>
  <c r="DF79" i="3"/>
  <c r="HU79" i="3"/>
  <c r="DH67" i="3"/>
  <c r="HJ67" i="3"/>
  <c r="CC79" i="3"/>
  <c r="CD79" i="3"/>
  <c r="CC67" i="3"/>
  <c r="CD67" i="3"/>
  <c r="DF78" i="3"/>
  <c r="M56" i="3"/>
  <c r="HP56" i="3" s="1"/>
  <c r="W56" i="3" s="1"/>
  <c r="L56" i="3"/>
  <c r="S21" i="3"/>
  <c r="AQ124" i="3" l="1"/>
  <c r="V124" i="3"/>
  <c r="DD124" i="3"/>
  <c r="DC124" i="3" s="1"/>
  <c r="DB124" i="3" s="1"/>
  <c r="DA124" i="3" s="1"/>
  <c r="FT124" i="3" s="1"/>
  <c r="FX123" i="3"/>
  <c r="W122" i="3"/>
  <c r="DF122" i="3" s="1"/>
  <c r="HO122" i="3"/>
  <c r="FQ123" i="3"/>
  <c r="FW123" i="3"/>
  <c r="M123" i="3"/>
  <c r="HP123" i="3" s="1"/>
  <c r="DE123" i="3"/>
  <c r="L123" i="3"/>
  <c r="HT123" i="3"/>
  <c r="FY123" i="3"/>
  <c r="DG122" i="3"/>
  <c r="DI122" i="3" s="1"/>
  <c r="HV122" i="3"/>
  <c r="CD122" i="3"/>
  <c r="GY125" i="3"/>
  <c r="AN125" i="3"/>
  <c r="AP125" i="3"/>
  <c r="CS125" i="3" s="1"/>
  <c r="C126" i="3"/>
  <c r="GP125" i="3"/>
  <c r="AX125" i="3"/>
  <c r="IC125" i="3"/>
  <c r="HU122" i="3"/>
  <c r="CC122" i="3"/>
  <c r="HO56" i="3"/>
  <c r="HR128" i="3"/>
  <c r="BI128" i="3"/>
  <c r="EA128" i="3" s="1"/>
  <c r="DG124" i="3"/>
  <c r="DI124" i="3" s="1"/>
  <c r="IA56" i="3"/>
  <c r="HX56" i="3"/>
  <c r="IB56" i="3"/>
  <c r="HY56" i="3" s="1"/>
  <c r="HZ56" i="3"/>
  <c r="K128" i="3"/>
  <c r="DJ128" i="3" s="1"/>
  <c r="U129" i="3"/>
  <c r="P129" i="3"/>
  <c r="S129" i="3"/>
  <c r="EG129" i="3" s="1"/>
  <c r="I129" i="3"/>
  <c r="J129" i="3" s="1"/>
  <c r="CZ129" i="3"/>
  <c r="B130" i="3"/>
  <c r="CG129" i="3"/>
  <c r="CY129" i="3"/>
  <c r="CF129" i="3"/>
  <c r="CH129" i="3"/>
  <c r="BC129" i="3"/>
  <c r="BB129" i="3"/>
  <c r="HA131" i="3"/>
  <c r="HD130" i="3"/>
  <c r="EG21" i="3"/>
  <c r="HR21" i="3"/>
  <c r="BJ128" i="3"/>
  <c r="CO128" i="3" s="1"/>
  <c r="IB121" i="3"/>
  <c r="HY121" i="3" s="1"/>
  <c r="HO121" i="3"/>
  <c r="DF121" i="3"/>
  <c r="HX121" i="3"/>
  <c r="HZ121" i="3"/>
  <c r="IA121" i="3"/>
  <c r="HU124" i="3"/>
  <c r="CC124" i="3"/>
  <c r="CD124" i="3"/>
  <c r="HV124" i="3"/>
  <c r="DG56" i="3"/>
  <c r="DI56" i="3" s="1"/>
  <c r="HV56" i="3"/>
  <c r="M125" i="3"/>
  <c r="HP125" i="3" s="1"/>
  <c r="FZ121" i="3"/>
  <c r="HX79" i="3"/>
  <c r="HZ79" i="3"/>
  <c r="IA79" i="3"/>
  <c r="IB79" i="3"/>
  <c r="HY79" i="3" s="1"/>
  <c r="DH78" i="3"/>
  <c r="HJ78" i="3"/>
  <c r="DH79" i="3"/>
  <c r="HJ79" i="3"/>
  <c r="CD78" i="3"/>
  <c r="CC78" i="3"/>
  <c r="M21" i="3"/>
  <c r="HP21" i="3" s="1"/>
  <c r="L21" i="3"/>
  <c r="W123" i="3" l="1"/>
  <c r="DE125" i="3"/>
  <c r="HV21" i="3"/>
  <c r="L125" i="3"/>
  <c r="W21" i="3"/>
  <c r="AQ125" i="3"/>
  <c r="DG123" i="3"/>
  <c r="DI123" i="3" s="1"/>
  <c r="ID122" i="3"/>
  <c r="FZ123" i="3"/>
  <c r="DF123" i="3"/>
  <c r="FQ124" i="3"/>
  <c r="HT124" i="3"/>
  <c r="FY124" i="3"/>
  <c r="CC123" i="3"/>
  <c r="HU123" i="3"/>
  <c r="HO123" i="3"/>
  <c r="DD125" i="3"/>
  <c r="DC125" i="3" s="1"/>
  <c r="DB125" i="3" s="1"/>
  <c r="DA125" i="3" s="1"/>
  <c r="FQ125" i="3" s="1"/>
  <c r="V125" i="3"/>
  <c r="GF125" i="3"/>
  <c r="GG125" i="3" a="1"/>
  <c r="GG125" i="3" s="1"/>
  <c r="GH125" i="3" s="1"/>
  <c r="C127" i="3"/>
  <c r="IC126" i="3"/>
  <c r="GY126" i="3"/>
  <c r="AX126" i="3"/>
  <c r="AP126" i="3"/>
  <c r="GP126" i="3"/>
  <c r="AN126" i="3"/>
  <c r="FX124" i="3"/>
  <c r="CD123" i="3"/>
  <c r="HV123" i="3"/>
  <c r="ID123" i="3" s="1"/>
  <c r="FW124" i="3"/>
  <c r="IA122" i="3"/>
  <c r="IB122" i="3"/>
  <c r="HY122" i="3" s="1"/>
  <c r="HX122" i="3"/>
  <c r="HZ122" i="3"/>
  <c r="DH122" i="3"/>
  <c r="HJ122" i="3"/>
  <c r="DG125" i="3"/>
  <c r="DI125" i="3" s="1"/>
  <c r="ID56" i="3"/>
  <c r="BI129" i="3"/>
  <c r="EA129" i="3" s="1"/>
  <c r="K129" i="3"/>
  <c r="DJ129" i="3" s="1"/>
  <c r="ID124" i="3"/>
  <c r="BJ129" i="3"/>
  <c r="CO129" i="3" s="1"/>
  <c r="IB124" i="3"/>
  <c r="HY124" i="3" s="1"/>
  <c r="U130" i="3"/>
  <c r="P130" i="3"/>
  <c r="S130" i="3"/>
  <c r="EG130" i="3" s="1"/>
  <c r="I130" i="3"/>
  <c r="J130" i="3" s="1"/>
  <c r="CZ130" i="3"/>
  <c r="B131" i="3"/>
  <c r="CG130" i="3"/>
  <c r="CH130" i="3"/>
  <c r="CF130" i="3"/>
  <c r="CY130" i="3"/>
  <c r="BB130" i="3"/>
  <c r="BC130" i="3"/>
  <c r="HZ21" i="3"/>
  <c r="HX21" i="3"/>
  <c r="IB21" i="3"/>
  <c r="HY21" i="3" s="1"/>
  <c r="IA21" i="3"/>
  <c r="HO21" i="3"/>
  <c r="HD131" i="3"/>
  <c r="HA132" i="3"/>
  <c r="HR129" i="3"/>
  <c r="DH123" i="3"/>
  <c r="HJ123" i="3"/>
  <c r="DH121" i="3"/>
  <c r="HJ121" i="3"/>
  <c r="HX124" i="3"/>
  <c r="HZ124" i="3"/>
  <c r="HU125" i="3"/>
  <c r="CC125" i="3"/>
  <c r="HT125" i="3"/>
  <c r="HV125" i="3"/>
  <c r="ID125" i="3" s="1"/>
  <c r="CD125" i="3"/>
  <c r="DG21" i="3"/>
  <c r="DI21" i="3" s="1"/>
  <c r="DF56" i="3"/>
  <c r="HO124" i="3" l="1"/>
  <c r="IA124" i="3"/>
  <c r="FY125" i="3"/>
  <c r="FT125" i="3"/>
  <c r="FW125" i="3"/>
  <c r="FZ125" i="3" s="1"/>
  <c r="FX125" i="3"/>
  <c r="FZ124" i="3"/>
  <c r="HO125" i="3"/>
  <c r="W125" i="3"/>
  <c r="GG126" i="3" a="1"/>
  <c r="GG126" i="3" s="1"/>
  <c r="GH126" i="3" s="1"/>
  <c r="GF126" i="3"/>
  <c r="AP127" i="3"/>
  <c r="IC127" i="3"/>
  <c r="AN127" i="3"/>
  <c r="GP127" i="3"/>
  <c r="AX127" i="3"/>
  <c r="GY127" i="3"/>
  <c r="C128" i="3"/>
  <c r="HX123" i="3"/>
  <c r="IB123" i="3"/>
  <c r="HY123" i="3" s="1"/>
  <c r="IA123" i="3"/>
  <c r="HZ123" i="3"/>
  <c r="V126" i="3"/>
  <c r="DD126" i="3"/>
  <c r="DC126" i="3" s="1"/>
  <c r="DB126" i="3" s="1"/>
  <c r="DA126" i="3" s="1"/>
  <c r="HT126" i="3" s="1"/>
  <c r="W124" i="3"/>
  <c r="DF124" i="3" s="1"/>
  <c r="AQ126" i="3"/>
  <c r="CS126" i="3"/>
  <c r="K130" i="3"/>
  <c r="DJ130" i="3" s="1"/>
  <c r="BJ130" i="3"/>
  <c r="CO130" i="3" s="1"/>
  <c r="BI130" i="3"/>
  <c r="EA130" i="3" s="1"/>
  <c r="HR130" i="3"/>
  <c r="HA133" i="3"/>
  <c r="HD132" i="3"/>
  <c r="P131" i="3"/>
  <c r="I131" i="3"/>
  <c r="J131" i="3" s="1"/>
  <c r="U131" i="3"/>
  <c r="S131" i="3"/>
  <c r="EG131" i="3" s="1"/>
  <c r="CF131" i="3"/>
  <c r="CG131" i="3"/>
  <c r="CH131" i="3"/>
  <c r="CY131" i="3"/>
  <c r="CZ131" i="3"/>
  <c r="B132" i="3"/>
  <c r="BB131" i="3"/>
  <c r="BC131" i="3"/>
  <c r="DF125" i="3"/>
  <c r="HX125" i="3"/>
  <c r="HZ125" i="3"/>
  <c r="IA125" i="3"/>
  <c r="ID21" i="3"/>
  <c r="IB125" i="3"/>
  <c r="HY125" i="3" s="1"/>
  <c r="DH56" i="3"/>
  <c r="HJ56" i="3"/>
  <c r="DF21" i="3"/>
  <c r="S41" i="3"/>
  <c r="S40" i="3"/>
  <c r="FQ126" i="3" l="1"/>
  <c r="V127" i="3"/>
  <c r="DD127" i="3"/>
  <c r="DC127" i="3" s="1"/>
  <c r="DB127" i="3" s="1"/>
  <c r="DA127" i="3" s="1"/>
  <c r="HT127" i="3" s="1"/>
  <c r="GF127" i="3"/>
  <c r="GG127" i="3" a="1"/>
  <c r="GG127" i="3" s="1"/>
  <c r="GH127" i="3" s="1"/>
  <c r="FY126" i="3"/>
  <c r="CS127" i="3"/>
  <c r="AQ127" i="3"/>
  <c r="FW126" i="3"/>
  <c r="FX126" i="3"/>
  <c r="L126" i="3"/>
  <c r="DG126" i="3" s="1"/>
  <c r="DI126" i="3" s="1"/>
  <c r="M126" i="3"/>
  <c r="HP126" i="3" s="1"/>
  <c r="DE126" i="3"/>
  <c r="HJ124" i="3"/>
  <c r="DH124" i="3"/>
  <c r="AX128" i="3"/>
  <c r="IC128" i="3"/>
  <c r="GY128" i="3"/>
  <c r="AN128" i="3"/>
  <c r="GP128" i="3"/>
  <c r="AP128" i="3"/>
  <c r="C129" i="3"/>
  <c r="FT126" i="3"/>
  <c r="BI131" i="3"/>
  <c r="EA131" i="3" s="1"/>
  <c r="BJ131" i="3"/>
  <c r="CO131" i="3" s="1"/>
  <c r="U132" i="3"/>
  <c r="P132" i="3"/>
  <c r="S132" i="3"/>
  <c r="EG132" i="3" s="1"/>
  <c r="I132" i="3"/>
  <c r="J132" i="3" s="1"/>
  <c r="CH132" i="3"/>
  <c r="CY132" i="3"/>
  <c r="CZ132" i="3"/>
  <c r="B133" i="3"/>
  <c r="CF132" i="3"/>
  <c r="CG132" i="3"/>
  <c r="BB132" i="3"/>
  <c r="BC132" i="3"/>
  <c r="EG40" i="3"/>
  <c r="HR40" i="3"/>
  <c r="HR131" i="3"/>
  <c r="EG41" i="3"/>
  <c r="HR41" i="3"/>
  <c r="HD133" i="3"/>
  <c r="HA134" i="3"/>
  <c r="K131" i="3"/>
  <c r="DJ131" i="3" s="1"/>
  <c r="HJ125" i="3"/>
  <c r="DH125" i="3"/>
  <c r="DH21" i="3"/>
  <c r="HJ21" i="3"/>
  <c r="CC56" i="3"/>
  <c r="CD56" i="3"/>
  <c r="L40" i="3"/>
  <c r="M40" i="3"/>
  <c r="S37" i="3"/>
  <c r="L41" i="3"/>
  <c r="M41" i="3"/>
  <c r="FZ126" i="3" l="1"/>
  <c r="AP129" i="3"/>
  <c r="GP129" i="3"/>
  <c r="AN129" i="3"/>
  <c r="IC129" i="3"/>
  <c r="C130" i="3"/>
  <c r="AX129" i="3"/>
  <c r="GY129" i="3"/>
  <c r="AQ128" i="3"/>
  <c r="CS128" i="3"/>
  <c r="L127" i="3"/>
  <c r="M127" i="3"/>
  <c r="HP127" i="3" s="1"/>
  <c r="DE127" i="3"/>
  <c r="FW127" i="3"/>
  <c r="FY127" i="3"/>
  <c r="V128" i="3"/>
  <c r="DD128" i="3"/>
  <c r="DC128" i="3" s="1"/>
  <c r="DB128" i="3" s="1"/>
  <c r="DA128" i="3" s="1"/>
  <c r="HT128" i="3" s="1"/>
  <c r="HU126" i="3"/>
  <c r="CC126" i="3"/>
  <c r="FX127" i="3"/>
  <c r="W126" i="3"/>
  <c r="DF126" i="3" s="1"/>
  <c r="HO126" i="3"/>
  <c r="GF128" i="3"/>
  <c r="GG128" i="3" a="1"/>
  <c r="GG128" i="3" s="1"/>
  <c r="GH128" i="3" s="1"/>
  <c r="HV126" i="3"/>
  <c r="ID126" i="3" s="1"/>
  <c r="CD126" i="3"/>
  <c r="BI132" i="3"/>
  <c r="EA132" i="3" s="1"/>
  <c r="BJ132" i="3"/>
  <c r="CO132" i="3" s="1"/>
  <c r="K132" i="3"/>
  <c r="DJ132" i="3" s="1"/>
  <c r="S133" i="3"/>
  <c r="EG133" i="3" s="1"/>
  <c r="U133" i="3"/>
  <c r="P133" i="3"/>
  <c r="I133" i="3"/>
  <c r="J133" i="3" s="1"/>
  <c r="CY133" i="3"/>
  <c r="CZ133" i="3"/>
  <c r="B134" i="3"/>
  <c r="CH133" i="3"/>
  <c r="CG133" i="3"/>
  <c r="CF133" i="3"/>
  <c r="BC133" i="3"/>
  <c r="BB133" i="3"/>
  <c r="HR132" i="3"/>
  <c r="HA135" i="3"/>
  <c r="HD134" i="3"/>
  <c r="EG37" i="3"/>
  <c r="HR37" i="3"/>
  <c r="HP41" i="3"/>
  <c r="HT41" i="3"/>
  <c r="DG41" i="3"/>
  <c r="DI41" i="3" s="1"/>
  <c r="HV41" i="3"/>
  <c r="HP40" i="3"/>
  <c r="HT40" i="3"/>
  <c r="HV40" i="3"/>
  <c r="DG40" i="3"/>
  <c r="DI40" i="3" s="1"/>
  <c r="CC21" i="3"/>
  <c r="CD21" i="3"/>
  <c r="L37" i="3"/>
  <c r="M37" i="3"/>
  <c r="DG127" i="3" l="1"/>
  <c r="DI127" i="3" s="1"/>
  <c r="FZ127" i="3"/>
  <c r="HJ126" i="3"/>
  <c r="DH126" i="3"/>
  <c r="FW128" i="3"/>
  <c r="L128" i="3"/>
  <c r="DE128" i="3"/>
  <c r="M128" i="3"/>
  <c r="HP128" i="3" s="1"/>
  <c r="CS129" i="3"/>
  <c r="AQ129" i="3"/>
  <c r="W40" i="3"/>
  <c r="HU127" i="3"/>
  <c r="CC127" i="3"/>
  <c r="AP130" i="3"/>
  <c r="GP130" i="3"/>
  <c r="C131" i="3"/>
  <c r="IC130" i="3"/>
  <c r="AX130" i="3"/>
  <c r="GY130" i="3"/>
  <c r="AN130" i="3"/>
  <c r="FT128" i="3"/>
  <c r="FX128" i="3"/>
  <c r="W127" i="3"/>
  <c r="DF127" i="3" s="1"/>
  <c r="HO127" i="3"/>
  <c r="GF129" i="3"/>
  <c r="GG129" i="3" a="1"/>
  <c r="GG129" i="3" s="1"/>
  <c r="GH129" i="3" s="1"/>
  <c r="FY128" i="3"/>
  <c r="W41" i="3"/>
  <c r="FQ128" i="3"/>
  <c r="IB126" i="3"/>
  <c r="HY126" i="3" s="1"/>
  <c r="HX126" i="3"/>
  <c r="IA126" i="3"/>
  <c r="HZ126" i="3"/>
  <c r="HV127" i="3"/>
  <c r="ID127" i="3" s="1"/>
  <c r="CD127" i="3"/>
  <c r="V129" i="3"/>
  <c r="DD129" i="3"/>
  <c r="DC129" i="3" s="1"/>
  <c r="DB129" i="3" s="1"/>
  <c r="DA129" i="3" s="1"/>
  <c r="HT129" i="3" s="1"/>
  <c r="K133" i="3"/>
  <c r="DJ133" i="3" s="1"/>
  <c r="HR133" i="3"/>
  <c r="HV37" i="3"/>
  <c r="BI133" i="3"/>
  <c r="EA133" i="3" s="1"/>
  <c r="BJ133" i="3"/>
  <c r="CO133" i="3" s="1"/>
  <c r="ID41" i="3"/>
  <c r="HA136" i="3"/>
  <c r="HD135" i="3"/>
  <c r="HO40" i="3"/>
  <c r="S134" i="3"/>
  <c r="EG134" i="3" s="1"/>
  <c r="P134" i="3"/>
  <c r="U134" i="3"/>
  <c r="I134" i="3"/>
  <c r="J134" i="3" s="1"/>
  <c r="CF134" i="3"/>
  <c r="CH134" i="3"/>
  <c r="CZ134" i="3"/>
  <c r="CY134" i="3"/>
  <c r="CG134" i="3"/>
  <c r="B135" i="3"/>
  <c r="BB134" i="3"/>
  <c r="BC134" i="3"/>
  <c r="HO41" i="3"/>
  <c r="ID40" i="3"/>
  <c r="IA40" i="3"/>
  <c r="IB40" i="3"/>
  <c r="HY40" i="3" s="1"/>
  <c r="HX40" i="3"/>
  <c r="HZ40" i="3"/>
  <c r="HX41" i="3"/>
  <c r="IA41" i="3"/>
  <c r="HZ41" i="3"/>
  <c r="IB41" i="3"/>
  <c r="HY41" i="3" s="1"/>
  <c r="HP37" i="3"/>
  <c r="HT37" i="3"/>
  <c r="DG37" i="3"/>
  <c r="DI37" i="3" s="1"/>
  <c r="DF41" i="3"/>
  <c r="DF40" i="3"/>
  <c r="DG128" i="3" l="1"/>
  <c r="DI128" i="3" s="1"/>
  <c r="FT129" i="3"/>
  <c r="FW129" i="3"/>
  <c r="FY129" i="3"/>
  <c r="FZ128" i="3"/>
  <c r="HJ127" i="3"/>
  <c r="DH127" i="3"/>
  <c r="GG130" i="3" a="1"/>
  <c r="GG130" i="3" s="1"/>
  <c r="GH130" i="3" s="1"/>
  <c r="GF130" i="3"/>
  <c r="DE129" i="3"/>
  <c r="M129" i="3"/>
  <c r="HP129" i="3" s="1"/>
  <c r="L129" i="3"/>
  <c r="W37" i="3"/>
  <c r="DF37" i="3" s="1"/>
  <c r="AQ130" i="3"/>
  <c r="CS130" i="3"/>
  <c r="W128" i="3"/>
  <c r="DF128" i="3" s="1"/>
  <c r="HO128" i="3"/>
  <c r="FQ129" i="3"/>
  <c r="CC128" i="3"/>
  <c r="HU128" i="3"/>
  <c r="FX129" i="3"/>
  <c r="V130" i="3"/>
  <c r="DD130" i="3"/>
  <c r="DC130" i="3" s="1"/>
  <c r="DB130" i="3" s="1"/>
  <c r="DA130" i="3" s="1"/>
  <c r="HT130" i="3" s="1"/>
  <c r="CD128" i="3"/>
  <c r="HV128" i="3"/>
  <c r="ID128" i="3" s="1"/>
  <c r="HX127" i="3"/>
  <c r="HZ127" i="3"/>
  <c r="IA127" i="3"/>
  <c r="IB127" i="3"/>
  <c r="HY127" i="3" s="1"/>
  <c r="GP131" i="3"/>
  <c r="GY131" i="3"/>
  <c r="AP131" i="3"/>
  <c r="CS131" i="3" s="1"/>
  <c r="IC131" i="3"/>
  <c r="AN131" i="3"/>
  <c r="C132" i="3"/>
  <c r="AX131" i="3"/>
  <c r="BJ134" i="3"/>
  <c r="CO134" i="3" s="1"/>
  <c r="BI134" i="3"/>
  <c r="EA134" i="3" s="1"/>
  <c r="HR134" i="3"/>
  <c r="K134" i="3"/>
  <c r="DJ134" i="3" s="1"/>
  <c r="HA137" i="3"/>
  <c r="HD136" i="3"/>
  <c r="U135" i="3"/>
  <c r="P135" i="3"/>
  <c r="S135" i="3"/>
  <c r="EG135" i="3" s="1"/>
  <c r="I135" i="3"/>
  <c r="J135" i="3" s="1"/>
  <c r="CG135" i="3"/>
  <c r="CH135" i="3"/>
  <c r="CY135" i="3"/>
  <c r="CZ135" i="3"/>
  <c r="CF135" i="3"/>
  <c r="B136" i="3"/>
  <c r="BB135" i="3"/>
  <c r="BC135" i="3"/>
  <c r="IB37" i="3"/>
  <c r="HY37" i="3" s="1"/>
  <c r="HZ37" i="3"/>
  <c r="IA37" i="3"/>
  <c r="HX37" i="3"/>
  <c r="HO37" i="3"/>
  <c r="ID37" i="3"/>
  <c r="DH40" i="3"/>
  <c r="HJ40" i="3"/>
  <c r="DH41" i="3"/>
  <c r="HJ41" i="3"/>
  <c r="CD41" i="3"/>
  <c r="CC41" i="3"/>
  <c r="S20" i="3"/>
  <c r="S17" i="3"/>
  <c r="FZ129" i="3" l="1"/>
  <c r="FW130" i="3"/>
  <c r="FQ130" i="3"/>
  <c r="FY130" i="3"/>
  <c r="FT130" i="3"/>
  <c r="FX130" i="3"/>
  <c r="V131" i="3"/>
  <c r="DD131" i="3"/>
  <c r="DC131" i="3" s="1"/>
  <c r="DB131" i="3" s="1"/>
  <c r="DA131" i="3" s="1"/>
  <c r="HT131" i="3" s="1"/>
  <c r="GF131" i="3"/>
  <c r="GG131" i="3" a="1"/>
  <c r="GG131" i="3" s="1"/>
  <c r="GH131" i="3" s="1"/>
  <c r="HX128" i="3"/>
  <c r="IB128" i="3"/>
  <c r="HY128" i="3" s="1"/>
  <c r="HZ128" i="3"/>
  <c r="IA128" i="3"/>
  <c r="DE131" i="3"/>
  <c r="M131" i="3"/>
  <c r="HP131" i="3" s="1"/>
  <c r="L131" i="3"/>
  <c r="AQ131" i="3"/>
  <c r="HU129" i="3"/>
  <c r="CC129" i="3"/>
  <c r="DG129" i="3"/>
  <c r="DI129" i="3" s="1"/>
  <c r="HV129" i="3"/>
  <c r="CD129" i="3"/>
  <c r="W129" i="3"/>
  <c r="DF129" i="3" s="1"/>
  <c r="HO129" i="3"/>
  <c r="DH128" i="3"/>
  <c r="HJ128" i="3"/>
  <c r="IC132" i="3"/>
  <c r="AN132" i="3"/>
  <c r="AP132" i="3"/>
  <c r="CS132" i="3" s="1"/>
  <c r="GY132" i="3"/>
  <c r="AX132" i="3"/>
  <c r="GP132" i="3"/>
  <c r="C133" i="3"/>
  <c r="L130" i="3"/>
  <c r="M130" i="3"/>
  <c r="HP130" i="3" s="1"/>
  <c r="DE130" i="3"/>
  <c r="K135" i="3"/>
  <c r="DJ135" i="3" s="1"/>
  <c r="BJ135" i="3"/>
  <c r="CO135" i="3" s="1"/>
  <c r="BI135" i="3"/>
  <c r="EA135" i="3" s="1"/>
  <c r="HR135" i="3"/>
  <c r="HD137" i="3"/>
  <c r="HA138" i="3"/>
  <c r="EG17" i="3"/>
  <c r="HR17" i="3"/>
  <c r="EG20" i="3"/>
  <c r="HR20" i="3"/>
  <c r="S136" i="3"/>
  <c r="EG136" i="3" s="1"/>
  <c r="U136" i="3"/>
  <c r="P136" i="3"/>
  <c r="I136" i="3"/>
  <c r="J136" i="3" s="1"/>
  <c r="CY136" i="3"/>
  <c r="CZ136" i="3"/>
  <c r="CF136" i="3"/>
  <c r="CG136" i="3"/>
  <c r="B137" i="3"/>
  <c r="CH136" i="3"/>
  <c r="BB136" i="3"/>
  <c r="BC136" i="3"/>
  <c r="DH37" i="3"/>
  <c r="HJ37" i="3"/>
  <c r="CC40" i="3"/>
  <c r="CD40" i="3"/>
  <c r="L17" i="3"/>
  <c r="M17" i="3"/>
  <c r="HP17" i="3" s="1"/>
  <c r="S61" i="3"/>
  <c r="M20" i="3"/>
  <c r="L20" i="3"/>
  <c r="M132" i="3" l="1"/>
  <c r="HP132" i="3" s="1"/>
  <c r="ID129" i="3"/>
  <c r="FZ130" i="3"/>
  <c r="FX131" i="3"/>
  <c r="DE132" i="3"/>
  <c r="AQ132" i="3"/>
  <c r="L132" i="3"/>
  <c r="FW131" i="3"/>
  <c r="W17" i="3"/>
  <c r="FY131" i="3"/>
  <c r="IC133" i="3"/>
  <c r="AP133" i="3"/>
  <c r="CS133" i="3" s="1"/>
  <c r="C134" i="3"/>
  <c r="GP133" i="3"/>
  <c r="AX133" i="3"/>
  <c r="GY133" i="3"/>
  <c r="AN133" i="3"/>
  <c r="FQ131" i="3"/>
  <c r="HX129" i="3"/>
  <c r="HZ129" i="3"/>
  <c r="IA129" i="3"/>
  <c r="IB129" i="3"/>
  <c r="HY129" i="3" s="1"/>
  <c r="V132" i="3"/>
  <c r="DD132" i="3"/>
  <c r="DC132" i="3" s="1"/>
  <c r="DB132" i="3" s="1"/>
  <c r="DA132" i="3" s="1"/>
  <c r="HT132" i="3" s="1"/>
  <c r="HO131" i="3"/>
  <c r="CD131" i="3"/>
  <c r="HV131" i="3"/>
  <c r="DG131" i="3"/>
  <c r="DI131" i="3" s="1"/>
  <c r="W131" i="3"/>
  <c r="DF131" i="3" s="1"/>
  <c r="AQ133" i="3"/>
  <c r="HU131" i="3"/>
  <c r="CC131" i="3"/>
  <c r="GF132" i="3"/>
  <c r="GG132" i="3" a="1"/>
  <c r="GG132" i="3" s="1"/>
  <c r="GH132" i="3" s="1"/>
  <c r="HV130" i="3"/>
  <c r="CD130" i="3"/>
  <c r="HJ129" i="3"/>
  <c r="DH129" i="3"/>
  <c r="HU130" i="3"/>
  <c r="CC130" i="3"/>
  <c r="W130" i="3"/>
  <c r="DF130" i="3" s="1"/>
  <c r="HO130" i="3"/>
  <c r="FT131" i="3"/>
  <c r="DG130" i="3"/>
  <c r="DI130" i="3" s="1"/>
  <c r="HR136" i="3"/>
  <c r="BI136" i="3"/>
  <c r="EA136" i="3" s="1"/>
  <c r="HO17" i="3"/>
  <c r="BJ136" i="3"/>
  <c r="CO136" i="3" s="1"/>
  <c r="K136" i="3"/>
  <c r="DJ136" i="3" s="1"/>
  <c r="IB17" i="3"/>
  <c r="HY17" i="3" s="1"/>
  <c r="HZ17" i="3"/>
  <c r="HX17" i="3"/>
  <c r="IA17" i="3"/>
  <c r="U137" i="3"/>
  <c r="P137" i="3"/>
  <c r="S137" i="3"/>
  <c r="EG137" i="3" s="1"/>
  <c r="I137" i="3"/>
  <c r="J137" i="3" s="1"/>
  <c r="CZ137" i="3"/>
  <c r="B138" i="3"/>
  <c r="CF137" i="3"/>
  <c r="CG137" i="3"/>
  <c r="CY137" i="3"/>
  <c r="CH137" i="3"/>
  <c r="BC137" i="3"/>
  <c r="BB137" i="3"/>
  <c r="EG61" i="3"/>
  <c r="HR61" i="3"/>
  <c r="HD138" i="3"/>
  <c r="HA139" i="3"/>
  <c r="HV17" i="3"/>
  <c r="M133" i="3"/>
  <c r="HP133" i="3" s="1"/>
  <c r="L133" i="3"/>
  <c r="DE133" i="3"/>
  <c r="DG132" i="3"/>
  <c r="DI132" i="3" s="1"/>
  <c r="HV132" i="3"/>
  <c r="CD132" i="3"/>
  <c r="DG20" i="3"/>
  <c r="DI20" i="3" s="1"/>
  <c r="HV20" i="3"/>
  <c r="HU132" i="3"/>
  <c r="CC132" i="3"/>
  <c r="HP20" i="3"/>
  <c r="HT20" i="3"/>
  <c r="DG17" i="3"/>
  <c r="DI17" i="3" s="1"/>
  <c r="CD37" i="3"/>
  <c r="CC37" i="3"/>
  <c r="L61" i="3"/>
  <c r="M61" i="3"/>
  <c r="HP61" i="3" s="1"/>
  <c r="FZ131" i="3" l="1"/>
  <c r="DH131" i="3"/>
  <c r="HJ131" i="3"/>
  <c r="FY132" i="3"/>
  <c r="FT132" i="3"/>
  <c r="FX132" i="3"/>
  <c r="ID130" i="3"/>
  <c r="FQ132" i="3"/>
  <c r="HJ130" i="3"/>
  <c r="DH130" i="3"/>
  <c r="ID131" i="3"/>
  <c r="AX134" i="3"/>
  <c r="C135" i="3"/>
  <c r="GY134" i="3"/>
  <c r="GP134" i="3"/>
  <c r="IC134" i="3"/>
  <c r="AP134" i="3"/>
  <c r="AN134" i="3"/>
  <c r="GF133" i="3"/>
  <c r="GG133" i="3" a="1"/>
  <c r="GG133" i="3" s="1"/>
  <c r="GH133" i="3" s="1"/>
  <c r="HZ130" i="3"/>
  <c r="IA130" i="3"/>
  <c r="HX130" i="3"/>
  <c r="IB130" i="3"/>
  <c r="HY130" i="3" s="1"/>
  <c r="HO132" i="3"/>
  <c r="W132" i="3"/>
  <c r="DF132" i="3" s="1"/>
  <c r="W20" i="3"/>
  <c r="DF20" i="3" s="1"/>
  <c r="HO61" i="3"/>
  <c r="W61" i="3"/>
  <c r="IA131" i="3"/>
  <c r="HZ131" i="3"/>
  <c r="HX131" i="3"/>
  <c r="V133" i="3"/>
  <c r="DD133" i="3"/>
  <c r="DC133" i="3" s="1"/>
  <c r="DB133" i="3" s="1"/>
  <c r="DA133" i="3" s="1"/>
  <c r="FW133" i="3" s="1"/>
  <c r="IB131" i="3"/>
  <c r="HY131" i="3" s="1"/>
  <c r="BI137" i="3"/>
  <c r="EA137" i="3" s="1"/>
  <c r="BJ137" i="3"/>
  <c r="CO137" i="3" s="1"/>
  <c r="K137" i="3"/>
  <c r="DJ137" i="3" s="1"/>
  <c r="DG133" i="3"/>
  <c r="DI133" i="3" s="1"/>
  <c r="ID20" i="3"/>
  <c r="U138" i="3"/>
  <c r="P138" i="3"/>
  <c r="S138" i="3"/>
  <c r="EG138" i="3" s="1"/>
  <c r="I138" i="3"/>
  <c r="K138" i="3" s="1"/>
  <c r="CG138" i="3"/>
  <c r="CY138" i="3"/>
  <c r="B139" i="3"/>
  <c r="CF138" i="3"/>
  <c r="CH138" i="3"/>
  <c r="CZ138" i="3"/>
  <c r="BB138" i="3"/>
  <c r="BC138" i="3"/>
  <c r="HD139" i="3"/>
  <c r="HA140" i="3"/>
  <c r="ID132" i="3"/>
  <c r="IB61" i="3"/>
  <c r="HY61" i="3" s="1"/>
  <c r="HZ61" i="3"/>
  <c r="HX61" i="3"/>
  <c r="IA61" i="3"/>
  <c r="HR137" i="3"/>
  <c r="IB20" i="3"/>
  <c r="HY20" i="3" s="1"/>
  <c r="HX20" i="3"/>
  <c r="HZ20" i="3"/>
  <c r="IA20" i="3"/>
  <c r="HU133" i="3"/>
  <c r="CC133" i="3"/>
  <c r="ID17" i="3"/>
  <c r="HV133" i="3"/>
  <c r="CD133" i="3"/>
  <c r="HO20" i="3"/>
  <c r="IB132" i="3"/>
  <c r="HY132" i="3" s="1"/>
  <c r="DG61" i="3"/>
  <c r="DI61" i="3" s="1"/>
  <c r="HV61" i="3"/>
  <c r="IA132" i="3"/>
  <c r="HX132" i="3"/>
  <c r="HZ132" i="3"/>
  <c r="DF17" i="3"/>
  <c r="S52" i="3"/>
  <c r="S24" i="3"/>
  <c r="FQ133" i="3" l="1"/>
  <c r="GG134" i="3" a="1"/>
  <c r="GG134" i="3" s="1"/>
  <c r="GH134" i="3" s="1"/>
  <c r="GF134" i="3"/>
  <c r="FT133" i="3"/>
  <c r="FY133" i="3"/>
  <c r="FX133" i="3"/>
  <c r="GP135" i="3"/>
  <c r="AP135" i="3"/>
  <c r="IC135" i="3"/>
  <c r="AX135" i="3"/>
  <c r="AN135" i="3"/>
  <c r="GY135" i="3"/>
  <c r="C136" i="3"/>
  <c r="HT133" i="3"/>
  <c r="HZ133" i="3" s="1"/>
  <c r="V134" i="3"/>
  <c r="DD134" i="3"/>
  <c r="DC134" i="3" s="1"/>
  <c r="DB134" i="3" s="1"/>
  <c r="DA134" i="3" s="1"/>
  <c r="FQ134" i="3" s="1"/>
  <c r="ID133" i="3"/>
  <c r="AQ134" i="3"/>
  <c r="CS134" i="3"/>
  <c r="ID61" i="3"/>
  <c r="BJ138" i="3"/>
  <c r="CO138" i="3" s="1"/>
  <c r="BI138" i="3"/>
  <c r="EA138" i="3" s="1"/>
  <c r="J138" i="3"/>
  <c r="DJ138" i="3" s="1"/>
  <c r="EG52" i="3"/>
  <c r="HR52" i="3"/>
  <c r="HA141" i="3"/>
  <c r="HD140" i="3"/>
  <c r="HR138" i="3"/>
  <c r="EG24" i="3"/>
  <c r="HR24" i="3"/>
  <c r="P139" i="3"/>
  <c r="U139" i="3"/>
  <c r="S139" i="3"/>
  <c r="EG139" i="3" s="1"/>
  <c r="I139" i="3"/>
  <c r="J139" i="3" s="1"/>
  <c r="CF139" i="3"/>
  <c r="CY139" i="3"/>
  <c r="CZ139" i="3"/>
  <c r="CG139" i="3"/>
  <c r="CH139" i="3"/>
  <c r="B140" i="3"/>
  <c r="BB139" i="3"/>
  <c r="BC139" i="3"/>
  <c r="IB133" i="3"/>
  <c r="HY133" i="3" s="1"/>
  <c r="HJ132" i="3"/>
  <c r="DH132" i="3"/>
  <c r="DH17" i="3"/>
  <c r="HJ17" i="3"/>
  <c r="DH20" i="3"/>
  <c r="HJ20" i="3"/>
  <c r="M24" i="3"/>
  <c r="L24" i="3"/>
  <c r="DF61" i="3"/>
  <c r="M52" i="3"/>
  <c r="HP52" i="3" s="1"/>
  <c r="L52" i="3"/>
  <c r="W52" i="3" l="1"/>
  <c r="HX133" i="3"/>
  <c r="IA133" i="3"/>
  <c r="FZ133" i="3"/>
  <c r="FY134" i="3"/>
  <c r="HO133" i="3"/>
  <c r="W133" i="3"/>
  <c r="DF133" i="3" s="1"/>
  <c r="HJ133" i="3" s="1"/>
  <c r="FT134" i="3"/>
  <c r="C137" i="3"/>
  <c r="GY136" i="3"/>
  <c r="AP136" i="3"/>
  <c r="AN136" i="3"/>
  <c r="IC136" i="3"/>
  <c r="GP136" i="3"/>
  <c r="AX136" i="3"/>
  <c r="FW134" i="3"/>
  <c r="L134" i="3"/>
  <c r="M134" i="3"/>
  <c r="HP134" i="3" s="1"/>
  <c r="DE134" i="3"/>
  <c r="FX134" i="3"/>
  <c r="V135" i="3"/>
  <c r="DD135" i="3"/>
  <c r="DC135" i="3" s="1"/>
  <c r="DB135" i="3" s="1"/>
  <c r="DA135" i="3" s="1"/>
  <c r="HT135" i="3" s="1"/>
  <c r="GG135" i="3" a="1"/>
  <c r="GG135" i="3" s="1"/>
  <c r="GH135" i="3" s="1"/>
  <c r="GF135" i="3"/>
  <c r="AQ135" i="3"/>
  <c r="CS135" i="3"/>
  <c r="HO52" i="3"/>
  <c r="K139" i="3"/>
  <c r="DJ139" i="3" s="1"/>
  <c r="BI139" i="3"/>
  <c r="EA139" i="3" s="1"/>
  <c r="U140" i="3"/>
  <c r="P140" i="3"/>
  <c r="S140" i="3"/>
  <c r="EG140" i="3" s="1"/>
  <c r="I140" i="3"/>
  <c r="J140" i="3" s="1"/>
  <c r="CZ140" i="3"/>
  <c r="CF140" i="3"/>
  <c r="CG140" i="3"/>
  <c r="CH140" i="3"/>
  <c r="CY140" i="3"/>
  <c r="B141" i="3"/>
  <c r="BB140" i="3"/>
  <c r="BC140" i="3"/>
  <c r="IB52" i="3"/>
  <c r="HY52" i="3" s="1"/>
  <c r="HZ52" i="3"/>
  <c r="HX52" i="3"/>
  <c r="IA52" i="3"/>
  <c r="HR139" i="3"/>
  <c r="BJ139" i="3"/>
  <c r="CO139" i="3" s="1"/>
  <c r="HA142" i="3"/>
  <c r="HD141" i="3"/>
  <c r="HV52" i="3"/>
  <c r="DG24" i="3"/>
  <c r="DI24" i="3" s="1"/>
  <c r="HV24" i="3"/>
  <c r="HP24" i="3"/>
  <c r="HT24" i="3"/>
  <c r="DH61" i="3"/>
  <c r="HJ61" i="3"/>
  <c r="DG52" i="3"/>
  <c r="DI52" i="3" s="1"/>
  <c r="CD17" i="3"/>
  <c r="CC17" i="3"/>
  <c r="CC20" i="3"/>
  <c r="CD20" i="3"/>
  <c r="FZ134" i="3" l="1"/>
  <c r="CD134" i="3"/>
  <c r="HV134" i="3"/>
  <c r="AX137" i="3"/>
  <c r="IC137" i="3"/>
  <c r="GY137" i="3"/>
  <c r="C138" i="3"/>
  <c r="AN137" i="3"/>
  <c r="AP137" i="3"/>
  <c r="CS137" i="3" s="1"/>
  <c r="GP137" i="3"/>
  <c r="W24" i="3"/>
  <c r="DF24" i="3" s="1"/>
  <c r="DH133" i="3"/>
  <c r="FQ135" i="3"/>
  <c r="GF136" i="3"/>
  <c r="GG136" i="3" a="1"/>
  <c r="GG136" i="3" s="1"/>
  <c r="GH136" i="3" s="1"/>
  <c r="FY135" i="3"/>
  <c r="V136" i="3"/>
  <c r="DD136" i="3"/>
  <c r="DC136" i="3" s="1"/>
  <c r="DB136" i="3" s="1"/>
  <c r="DA136" i="3" s="1"/>
  <c r="HT136" i="3" s="1"/>
  <c r="HT134" i="3"/>
  <c r="W134" i="3" s="1"/>
  <c r="DF134" i="3" s="1"/>
  <c r="FX135" i="3"/>
  <c r="CC134" i="3"/>
  <c r="HU134" i="3"/>
  <c r="CS136" i="3"/>
  <c r="AQ136" i="3"/>
  <c r="FW135" i="3"/>
  <c r="FT135" i="3"/>
  <c r="DE135" i="3"/>
  <c r="L135" i="3"/>
  <c r="M135" i="3"/>
  <c r="HP135" i="3" s="1"/>
  <c r="DG134" i="3"/>
  <c r="DI134" i="3" s="1"/>
  <c r="K140" i="3"/>
  <c r="DJ140" i="3" s="1"/>
  <c r="BJ140" i="3"/>
  <c r="CO140" i="3" s="1"/>
  <c r="BI140" i="3"/>
  <c r="EA140" i="3" s="1"/>
  <c r="HO24" i="3"/>
  <c r="S141" i="3"/>
  <c r="EG141" i="3" s="1"/>
  <c r="U141" i="3"/>
  <c r="P141" i="3"/>
  <c r="I141" i="3"/>
  <c r="K141" i="3" s="1"/>
  <c r="CY141" i="3"/>
  <c r="CF141" i="3"/>
  <c r="CG141" i="3"/>
  <c r="CZ141" i="3"/>
  <c r="B142" i="3"/>
  <c r="CH141" i="3"/>
  <c r="BC141" i="3"/>
  <c r="BB141" i="3"/>
  <c r="HR140" i="3"/>
  <c r="HD142" i="3"/>
  <c r="HA143" i="3"/>
  <c r="ID52" i="3"/>
  <c r="IB24" i="3"/>
  <c r="HY24" i="3" s="1"/>
  <c r="IA24" i="3"/>
  <c r="HX24" i="3"/>
  <c r="HZ24" i="3"/>
  <c r="ID24" i="3"/>
  <c r="M137" i="3"/>
  <c r="HP137" i="3" s="1"/>
  <c r="DF52" i="3"/>
  <c r="CD61" i="3"/>
  <c r="CC61" i="3"/>
  <c r="S71" i="3"/>
  <c r="L137" i="3" l="1"/>
  <c r="DE137" i="3"/>
  <c r="AQ137" i="3"/>
  <c r="FZ135" i="3"/>
  <c r="FX136" i="3"/>
  <c r="FY136" i="3"/>
  <c r="DG137" i="3"/>
  <c r="DI137" i="3" s="1"/>
  <c r="M136" i="3"/>
  <c r="HP136" i="3" s="1"/>
  <c r="DE136" i="3"/>
  <c r="L136" i="3"/>
  <c r="V137" i="3"/>
  <c r="DD137" i="3"/>
  <c r="DC137" i="3" s="1"/>
  <c r="DB137" i="3" s="1"/>
  <c r="DA137" i="3" s="1"/>
  <c r="HT137" i="3" s="1"/>
  <c r="W137" i="3" s="1"/>
  <c r="GY138" i="3"/>
  <c r="AN138" i="3"/>
  <c r="GP138" i="3"/>
  <c r="C139" i="3"/>
  <c r="IC138" i="3"/>
  <c r="AX138" i="3"/>
  <c r="AP138" i="3"/>
  <c r="DH134" i="3"/>
  <c r="HJ134" i="3"/>
  <c r="GG137" i="3" a="1"/>
  <c r="GG137" i="3" s="1"/>
  <c r="GH137" i="3" s="1"/>
  <c r="GF137" i="3"/>
  <c r="FW136" i="3"/>
  <c r="FZ136" i="3" s="1"/>
  <c r="DG135" i="3"/>
  <c r="DI135" i="3" s="1"/>
  <c r="HV135" i="3"/>
  <c r="CD135" i="3"/>
  <c r="FT136" i="3"/>
  <c r="HU135" i="3"/>
  <c r="CC135" i="3"/>
  <c r="IA134" i="3"/>
  <c r="HX134" i="3"/>
  <c r="HZ134" i="3"/>
  <c r="W135" i="3"/>
  <c r="DF135" i="3" s="1"/>
  <c r="HO135" i="3"/>
  <c r="FQ136" i="3"/>
  <c r="HO134" i="3"/>
  <c r="IB134" i="3"/>
  <c r="HY134" i="3" s="1"/>
  <c r="ID134" i="3"/>
  <c r="BI141" i="3"/>
  <c r="EA141" i="3" s="1"/>
  <c r="HR141" i="3"/>
  <c r="J141" i="3"/>
  <c r="DJ141" i="3" s="1"/>
  <c r="HD143" i="3"/>
  <c r="HA144" i="3"/>
  <c r="S142" i="3"/>
  <c r="EG142" i="3" s="1"/>
  <c r="I142" i="3"/>
  <c r="J142" i="3" s="1"/>
  <c r="P142" i="3"/>
  <c r="U142" i="3"/>
  <c r="B143" i="3"/>
  <c r="CF142" i="3"/>
  <c r="CG142" i="3"/>
  <c r="CY142" i="3"/>
  <c r="CZ142" i="3"/>
  <c r="CH142" i="3"/>
  <c r="BB142" i="3"/>
  <c r="BC142" i="3"/>
  <c r="BJ141" i="3"/>
  <c r="CO141" i="3" s="1"/>
  <c r="EG71" i="3"/>
  <c r="HR71" i="3"/>
  <c r="HU137" i="3"/>
  <c r="CC137" i="3"/>
  <c r="HV137" i="3"/>
  <c r="ID137" i="3" s="1"/>
  <c r="CD137" i="3"/>
  <c r="DH24" i="3"/>
  <c r="HJ24" i="3"/>
  <c r="DH52" i="3"/>
  <c r="HJ52" i="3"/>
  <c r="CC52" i="3"/>
  <c r="CD52" i="3"/>
  <c r="S35" i="3"/>
  <c r="M71" i="3"/>
  <c r="HP71" i="3" s="1"/>
  <c r="L71" i="3"/>
  <c r="S26" i="3"/>
  <c r="S25" i="3"/>
  <c r="FW137" i="3" l="1"/>
  <c r="FX137" i="3"/>
  <c r="DF137" i="3"/>
  <c r="DH137" i="3" s="1"/>
  <c r="W71" i="3"/>
  <c r="HO137" i="3"/>
  <c r="FY137" i="3"/>
  <c r="FZ137" i="3" s="1"/>
  <c r="HJ135" i="3"/>
  <c r="DH135" i="3"/>
  <c r="FQ137" i="3"/>
  <c r="AQ138" i="3"/>
  <c r="CS138" i="3"/>
  <c r="ID135" i="3"/>
  <c r="GF138" i="3"/>
  <c r="GG138" i="3" a="1"/>
  <c r="GG138" i="3" s="1"/>
  <c r="GH138" i="3" s="1"/>
  <c r="DG136" i="3"/>
  <c r="DI136" i="3" s="1"/>
  <c r="HV136" i="3"/>
  <c r="ID136" i="3" s="1"/>
  <c r="CD136" i="3"/>
  <c r="C140" i="3"/>
  <c r="GY139" i="3"/>
  <c r="GP139" i="3"/>
  <c r="AX139" i="3"/>
  <c r="IC139" i="3"/>
  <c r="AN139" i="3"/>
  <c r="AP139" i="3"/>
  <c r="CS139" i="3" s="1"/>
  <c r="CC136" i="3"/>
  <c r="HU136" i="3"/>
  <c r="FT137" i="3"/>
  <c r="W136" i="3"/>
  <c r="DF136" i="3" s="1"/>
  <c r="HO136" i="3"/>
  <c r="DD138" i="3"/>
  <c r="DC138" i="3" s="1"/>
  <c r="DB138" i="3" s="1"/>
  <c r="DA138" i="3" s="1"/>
  <c r="HT138" i="3" s="1"/>
  <c r="V138" i="3"/>
  <c r="HZ135" i="3"/>
  <c r="IA135" i="3"/>
  <c r="IB135" i="3"/>
  <c r="HY135" i="3" s="1"/>
  <c r="HX135" i="3"/>
  <c r="HO71" i="3"/>
  <c r="HR142" i="3"/>
  <c r="BI142" i="3"/>
  <c r="EA142" i="3" s="1"/>
  <c r="K142" i="3"/>
  <c r="DJ142" i="3" s="1"/>
  <c r="I143" i="3"/>
  <c r="J143" i="3" s="1"/>
  <c r="S143" i="3"/>
  <c r="EG143" i="3" s="1"/>
  <c r="P143" i="3"/>
  <c r="U143" i="3"/>
  <c r="CH143" i="3"/>
  <c r="CY143" i="3"/>
  <c r="CG143" i="3"/>
  <c r="CF143" i="3"/>
  <c r="CZ143" i="3"/>
  <c r="B144" i="3"/>
  <c r="BB143" i="3"/>
  <c r="BC143" i="3"/>
  <c r="EG26" i="3"/>
  <c r="HR26" i="3"/>
  <c r="HZ71" i="3"/>
  <c r="HX71" i="3"/>
  <c r="IB71" i="3"/>
  <c r="HY71" i="3" s="1"/>
  <c r="IA71" i="3"/>
  <c r="EG35" i="3"/>
  <c r="HR35" i="3"/>
  <c r="BJ142" i="3"/>
  <c r="CO142" i="3" s="1"/>
  <c r="HD144" i="3"/>
  <c r="HA145" i="3"/>
  <c r="EG25" i="3"/>
  <c r="HR25" i="3"/>
  <c r="DG71" i="3"/>
  <c r="DI71" i="3" s="1"/>
  <c r="HV71" i="3"/>
  <c r="HJ137" i="3"/>
  <c r="HZ137" i="3"/>
  <c r="IA137" i="3"/>
  <c r="HX137" i="3"/>
  <c r="IB137" i="3"/>
  <c r="HY137" i="3" s="1"/>
  <c r="CD24" i="3"/>
  <c r="CC24" i="3"/>
  <c r="M25" i="3"/>
  <c r="HP25" i="3" s="1"/>
  <c r="L25" i="3"/>
  <c r="M26" i="3"/>
  <c r="HP26" i="3" s="1"/>
  <c r="L26" i="3"/>
  <c r="M35" i="3"/>
  <c r="HP35" i="3" s="1"/>
  <c r="W35" i="3" s="1"/>
  <c r="L35" i="3"/>
  <c r="W26" i="3" l="1"/>
  <c r="FX138" i="3"/>
  <c r="FY138" i="3"/>
  <c r="FW138" i="3"/>
  <c r="FZ138" i="3" s="1"/>
  <c r="FQ138" i="3"/>
  <c r="DH136" i="3"/>
  <c r="HJ136" i="3"/>
  <c r="IA136" i="3"/>
  <c r="HX136" i="3"/>
  <c r="IB136" i="3"/>
  <c r="HY136" i="3" s="1"/>
  <c r="HZ136" i="3"/>
  <c r="AX140" i="3"/>
  <c r="GY140" i="3"/>
  <c r="IC140" i="3"/>
  <c r="GP140" i="3"/>
  <c r="AN140" i="3"/>
  <c r="AP140" i="3"/>
  <c r="C141" i="3"/>
  <c r="L138" i="3"/>
  <c r="M138" i="3"/>
  <c r="HP138" i="3" s="1"/>
  <c r="DE138" i="3"/>
  <c r="HO25" i="3"/>
  <c r="W25" i="3"/>
  <c r="L139" i="3"/>
  <c r="M139" i="3"/>
  <c r="HP139" i="3" s="1"/>
  <c r="DE139" i="3"/>
  <c r="HU139" i="3" s="1"/>
  <c r="V139" i="3"/>
  <c r="DD139" i="3"/>
  <c r="DC139" i="3" s="1"/>
  <c r="DB139" i="3" s="1"/>
  <c r="DA139" i="3" s="1"/>
  <c r="HT139" i="3" s="1"/>
  <c r="HZ139" i="3" s="1"/>
  <c r="AQ139" i="3"/>
  <c r="FT138" i="3"/>
  <c r="GG139" i="3" a="1"/>
  <c r="GG139" i="3" s="1"/>
  <c r="GH139" i="3" s="1"/>
  <c r="GF139" i="3"/>
  <c r="HO26" i="3"/>
  <c r="HO35" i="3"/>
  <c r="K143" i="3"/>
  <c r="DJ143" i="3" s="1"/>
  <c r="HR143" i="3"/>
  <c r="ID71" i="3"/>
  <c r="BI143" i="3"/>
  <c r="EA143" i="3" s="1"/>
  <c r="S144" i="3"/>
  <c r="EG144" i="3" s="1"/>
  <c r="U144" i="3"/>
  <c r="P144" i="3"/>
  <c r="I144" i="3"/>
  <c r="J144" i="3" s="1"/>
  <c r="B145" i="3"/>
  <c r="CY144" i="3"/>
  <c r="CZ144" i="3"/>
  <c r="CH144" i="3"/>
  <c r="CG144" i="3"/>
  <c r="CF144" i="3"/>
  <c r="BB144" i="3"/>
  <c r="BC144" i="3"/>
  <c r="HZ35" i="3"/>
  <c r="IB35" i="3"/>
  <c r="HY35" i="3" s="1"/>
  <c r="IA35" i="3"/>
  <c r="HX35" i="3"/>
  <c r="HX26" i="3"/>
  <c r="IB26" i="3"/>
  <c r="HY26" i="3" s="1"/>
  <c r="HZ26" i="3"/>
  <c r="IA26" i="3"/>
  <c r="HA146" i="3"/>
  <c r="HD145" i="3"/>
  <c r="BJ143" i="3"/>
  <c r="CO143" i="3" s="1"/>
  <c r="HZ25" i="3"/>
  <c r="HX25" i="3"/>
  <c r="IA25" i="3"/>
  <c r="IB25" i="3"/>
  <c r="HY25" i="3" s="1"/>
  <c r="HV26" i="3"/>
  <c r="DG35" i="3"/>
  <c r="DI35" i="3" s="1"/>
  <c r="HV35" i="3"/>
  <c r="DG25" i="3"/>
  <c r="DI25" i="3" s="1"/>
  <c r="HV25" i="3"/>
  <c r="DG26" i="3"/>
  <c r="DI26" i="3" s="1"/>
  <c r="DF71" i="3"/>
  <c r="FW139" i="3" l="1"/>
  <c r="HO139" i="3"/>
  <c r="FQ139" i="3"/>
  <c r="IB139" i="3"/>
  <c r="HY139" i="3" s="1"/>
  <c r="FY139" i="3"/>
  <c r="HX139" i="3"/>
  <c r="FT139" i="3"/>
  <c r="C142" i="3"/>
  <c r="AX141" i="3"/>
  <c r="IC141" i="3"/>
  <c r="GY141" i="3"/>
  <c r="AP141" i="3"/>
  <c r="GP141" i="3"/>
  <c r="AN141" i="3"/>
  <c r="W139" i="3"/>
  <c r="DF139" i="3" s="1"/>
  <c r="AQ140" i="3"/>
  <c r="CS140" i="3"/>
  <c r="CD139" i="3"/>
  <c r="DG139" i="3"/>
  <c r="DI139" i="3" s="1"/>
  <c r="HV139" i="3"/>
  <c r="V140" i="3"/>
  <c r="DD140" i="3"/>
  <c r="DC140" i="3" s="1"/>
  <c r="DB140" i="3" s="1"/>
  <c r="DA140" i="3" s="1"/>
  <c r="HT140" i="3" s="1"/>
  <c r="GF140" i="3"/>
  <c r="GG140" i="3" a="1"/>
  <c r="GG140" i="3" s="1"/>
  <c r="GH140" i="3" s="1"/>
  <c r="IA139" i="3"/>
  <c r="HU138" i="3"/>
  <c r="CC138" i="3"/>
  <c r="W138" i="3"/>
  <c r="DF138" i="3" s="1"/>
  <c r="HO138" i="3"/>
  <c r="FX139" i="3"/>
  <c r="FZ139" i="3" s="1"/>
  <c r="DG138" i="3"/>
  <c r="DI138" i="3" s="1"/>
  <c r="HV138" i="3"/>
  <c r="CD138" i="3"/>
  <c r="CC139" i="3"/>
  <c r="BI144" i="3"/>
  <c r="EA144" i="3" s="1"/>
  <c r="HR144" i="3"/>
  <c r="BJ144" i="3"/>
  <c r="CO144" i="3" s="1"/>
  <c r="ID25" i="3"/>
  <c r="ID35" i="3"/>
  <c r="K144" i="3"/>
  <c r="DJ144" i="3" s="1"/>
  <c r="U145" i="3"/>
  <c r="P145" i="3"/>
  <c r="S145" i="3"/>
  <c r="EG145" i="3" s="1"/>
  <c r="I145" i="3"/>
  <c r="K145" i="3" s="1"/>
  <c r="CZ145" i="3"/>
  <c r="B146" i="3"/>
  <c r="CG145" i="3"/>
  <c r="CY145" i="3"/>
  <c r="CF145" i="3"/>
  <c r="CH145" i="3"/>
  <c r="BC145" i="3"/>
  <c r="BB145" i="3"/>
  <c r="HD146" i="3"/>
  <c r="HA147" i="3"/>
  <c r="HJ139" i="3"/>
  <c r="ID26" i="3"/>
  <c r="DH71" i="3"/>
  <c r="HJ71" i="3"/>
  <c r="DF26" i="3"/>
  <c r="DF25" i="3"/>
  <c r="DF35" i="3"/>
  <c r="DH138" i="3" l="1"/>
  <c r="HJ138" i="3"/>
  <c r="FW140" i="3"/>
  <c r="FY140" i="3"/>
  <c r="FX140" i="3"/>
  <c r="ID139" i="3"/>
  <c r="CS141" i="3"/>
  <c r="AQ141" i="3"/>
  <c r="FT140" i="3"/>
  <c r="FQ140" i="3"/>
  <c r="IA138" i="3"/>
  <c r="HZ138" i="3"/>
  <c r="HX138" i="3"/>
  <c r="IB138" i="3"/>
  <c r="HY138" i="3" s="1"/>
  <c r="GF141" i="3"/>
  <c r="GG141" i="3" a="1"/>
  <c r="GG141" i="3" s="1"/>
  <c r="GH141" i="3" s="1"/>
  <c r="ID138" i="3"/>
  <c r="L140" i="3"/>
  <c r="DE140" i="3"/>
  <c r="M140" i="3"/>
  <c r="HP140" i="3" s="1"/>
  <c r="GP142" i="3"/>
  <c r="C143" i="3"/>
  <c r="AX142" i="3"/>
  <c r="GY142" i="3"/>
  <c r="AN142" i="3"/>
  <c r="IC142" i="3"/>
  <c r="AP142" i="3"/>
  <c r="V141" i="3"/>
  <c r="DD141" i="3"/>
  <c r="DC141" i="3" s="1"/>
  <c r="DB141" i="3" s="1"/>
  <c r="DA141" i="3" s="1"/>
  <c r="FW141" i="3" s="1"/>
  <c r="DH139" i="3"/>
  <c r="BI145" i="3"/>
  <c r="J145" i="3"/>
  <c r="DJ145" i="3" s="1"/>
  <c r="HD147" i="3"/>
  <c r="HA148" i="3"/>
  <c r="HR145" i="3"/>
  <c r="BJ145" i="3"/>
  <c r="CO145" i="3" s="1"/>
  <c r="U146" i="3"/>
  <c r="P146" i="3"/>
  <c r="I146" i="3"/>
  <c r="K146" i="3" s="1"/>
  <c r="S146" i="3"/>
  <c r="EG146" i="3" s="1"/>
  <c r="CF146" i="3"/>
  <c r="CG146" i="3"/>
  <c r="CY146" i="3"/>
  <c r="B147" i="3"/>
  <c r="CH146" i="3"/>
  <c r="CZ146" i="3"/>
  <c r="BB146" i="3"/>
  <c r="BC146" i="3"/>
  <c r="DH35" i="3"/>
  <c r="HJ35" i="3"/>
  <c r="DH25" i="3"/>
  <c r="HJ25" i="3"/>
  <c r="DH26" i="3"/>
  <c r="HJ26" i="3"/>
  <c r="CC71" i="3"/>
  <c r="CD71" i="3"/>
  <c r="FZ140" i="3" l="1"/>
  <c r="FT141" i="3"/>
  <c r="FY141" i="3"/>
  <c r="FX141" i="3"/>
  <c r="FZ141" i="3" s="1"/>
  <c r="FQ141" i="3"/>
  <c r="AP143" i="3"/>
  <c r="GP143" i="3"/>
  <c r="IC143" i="3"/>
  <c r="C144" i="3"/>
  <c r="AN143" i="3"/>
  <c r="AX143" i="3"/>
  <c r="GY143" i="3"/>
  <c r="M141" i="3"/>
  <c r="HP141" i="3" s="1"/>
  <c r="L141" i="3"/>
  <c r="DE141" i="3"/>
  <c r="AQ142" i="3"/>
  <c r="CS142" i="3"/>
  <c r="W140" i="3"/>
  <c r="HO140" i="3"/>
  <c r="GG142" i="3" a="1"/>
  <c r="GG142" i="3" s="1"/>
  <c r="GH142" i="3" s="1"/>
  <c r="GF142" i="3"/>
  <c r="HU140" i="3"/>
  <c r="DF140" i="3"/>
  <c r="CC140" i="3"/>
  <c r="HT141" i="3"/>
  <c r="DD142" i="3"/>
  <c r="V142" i="3"/>
  <c r="HV140" i="3"/>
  <c r="CD140" i="3"/>
  <c r="DG140" i="3"/>
  <c r="DI140" i="3" s="1"/>
  <c r="BI146" i="3"/>
  <c r="EA146" i="3" s="1"/>
  <c r="BJ146" i="3"/>
  <c r="CO146" i="3" s="1"/>
  <c r="J146" i="3"/>
  <c r="DJ146" i="3" s="1"/>
  <c r="HR146" i="3"/>
  <c r="HD148" i="3"/>
  <c r="HA149" i="3"/>
  <c r="I147" i="3"/>
  <c r="J147" i="3" s="1"/>
  <c r="P147" i="3"/>
  <c r="U147" i="3"/>
  <c r="S147" i="3"/>
  <c r="EG147" i="3" s="1"/>
  <c r="CH147" i="3"/>
  <c r="CY147" i="3"/>
  <c r="B148" i="3"/>
  <c r="CF147" i="3"/>
  <c r="CZ147" i="3"/>
  <c r="CG147" i="3"/>
  <c r="BB147" i="3"/>
  <c r="BC147" i="3"/>
  <c r="CD25" i="3"/>
  <c r="CC25" i="3"/>
  <c r="CD35" i="3"/>
  <c r="CC35" i="3"/>
  <c r="CD26" i="3"/>
  <c r="CC26" i="3"/>
  <c r="ID140" i="3" l="1"/>
  <c r="DC142" i="3"/>
  <c r="DB142" i="3" s="1"/>
  <c r="DA142" i="3" s="1"/>
  <c r="V143" i="3"/>
  <c r="DD143" i="3"/>
  <c r="DC143" i="3" s="1"/>
  <c r="DB143" i="3" s="1"/>
  <c r="DA143" i="3" s="1"/>
  <c r="HT143" i="3" s="1"/>
  <c r="L142" i="3"/>
  <c r="M142" i="3"/>
  <c r="HP142" i="3" s="1"/>
  <c r="DE142" i="3"/>
  <c r="GP144" i="3"/>
  <c r="C145" i="3"/>
  <c r="AX144" i="3"/>
  <c r="GY144" i="3"/>
  <c r="IC144" i="3"/>
  <c r="AN144" i="3"/>
  <c r="AP144" i="3"/>
  <c r="GF143" i="3"/>
  <c r="GG143" i="3" a="1"/>
  <c r="GG143" i="3" s="1"/>
  <c r="GH143" i="3" s="1"/>
  <c r="DH140" i="3"/>
  <c r="HJ140" i="3"/>
  <c r="HX140" i="3"/>
  <c r="HZ140" i="3"/>
  <c r="IA140" i="3"/>
  <c r="IB140" i="3"/>
  <c r="HY140" i="3" s="1"/>
  <c r="DG141" i="3"/>
  <c r="DI141" i="3" s="1"/>
  <c r="CD141" i="3"/>
  <c r="HV141" i="3"/>
  <c r="CS143" i="3"/>
  <c r="AQ143" i="3"/>
  <c r="HU141" i="3"/>
  <c r="CC141" i="3"/>
  <c r="W141" i="3"/>
  <c r="DF141" i="3" s="1"/>
  <c r="HO141" i="3"/>
  <c r="BJ147" i="3"/>
  <c r="CO147" i="3" s="1"/>
  <c r="HR147" i="3"/>
  <c r="BI147" i="3"/>
  <c r="EA147" i="3" s="1"/>
  <c r="K147" i="3"/>
  <c r="DJ147" i="3" s="1"/>
  <c r="U148" i="3"/>
  <c r="P148" i="3"/>
  <c r="S148" i="3"/>
  <c r="EG148" i="3" s="1"/>
  <c r="I148" i="3"/>
  <c r="J148" i="3" s="1"/>
  <c r="CH148" i="3"/>
  <c r="CZ148" i="3"/>
  <c r="B149" i="3"/>
  <c r="CY148" i="3"/>
  <c r="CF148" i="3"/>
  <c r="CG148" i="3"/>
  <c r="BB148" i="3"/>
  <c r="BC148" i="3"/>
  <c r="HD149" i="3"/>
  <c r="HA150" i="3"/>
  <c r="S54" i="3"/>
  <c r="IB141" i="3" l="1"/>
  <c r="HY141" i="3" s="1"/>
  <c r="FW143" i="3"/>
  <c r="FX143" i="3"/>
  <c r="DH141" i="3"/>
  <c r="HJ141" i="3"/>
  <c r="FT142" i="3"/>
  <c r="FW142" i="3"/>
  <c r="FQ142" i="3"/>
  <c r="FY142" i="3"/>
  <c r="FX142" i="3"/>
  <c r="HZ141" i="3"/>
  <c r="IA141" i="3"/>
  <c r="HX141" i="3"/>
  <c r="CS144" i="3"/>
  <c r="AQ144" i="3"/>
  <c r="HU142" i="3"/>
  <c r="CC142" i="3"/>
  <c r="FQ143" i="3"/>
  <c r="DE143" i="3"/>
  <c r="M143" i="3"/>
  <c r="HP143" i="3" s="1"/>
  <c r="L143" i="3"/>
  <c r="GF144" i="3"/>
  <c r="GG144" i="3" a="1"/>
  <c r="GG144" i="3" s="1"/>
  <c r="GH144" i="3" s="1"/>
  <c r="HV142" i="3"/>
  <c r="CD142" i="3"/>
  <c r="DG142" i="3"/>
  <c r="DI142" i="3" s="1"/>
  <c r="DD144" i="3"/>
  <c r="DC144" i="3" s="1"/>
  <c r="DB144" i="3" s="1"/>
  <c r="DA144" i="3" s="1"/>
  <c r="HT144" i="3" s="1"/>
  <c r="V144" i="3"/>
  <c r="FY143" i="3"/>
  <c r="FZ143" i="3" s="1"/>
  <c r="ID141" i="3"/>
  <c r="GP145" i="3"/>
  <c r="C146" i="3"/>
  <c r="AX145" i="3"/>
  <c r="GY145" i="3"/>
  <c r="IC145" i="3"/>
  <c r="AP145" i="3"/>
  <c r="CS145" i="3" s="1"/>
  <c r="AN145" i="3"/>
  <c r="HT142" i="3"/>
  <c r="BI148" i="3"/>
  <c r="EA148" i="3" s="1"/>
  <c r="K148" i="3"/>
  <c r="DJ148" i="3" s="1"/>
  <c r="HA151" i="3"/>
  <c r="HD150" i="3"/>
  <c r="HR148" i="3"/>
  <c r="BJ148" i="3"/>
  <c r="CO148" i="3" s="1"/>
  <c r="S149" i="3"/>
  <c r="EG149" i="3" s="1"/>
  <c r="U149" i="3"/>
  <c r="P149" i="3"/>
  <c r="I149" i="3"/>
  <c r="J149" i="3" s="1"/>
  <c r="CY149" i="3"/>
  <c r="CZ149" i="3"/>
  <c r="B150" i="3"/>
  <c r="CF149" i="3"/>
  <c r="CG149" i="3"/>
  <c r="CH149" i="3"/>
  <c r="BC149" i="3"/>
  <c r="BB149" i="3"/>
  <c r="EG54" i="3"/>
  <c r="HR54" i="3"/>
  <c r="M145" i="3"/>
  <c r="HP145" i="3" s="1"/>
  <c r="L145" i="3"/>
  <c r="DE145" i="3"/>
  <c r="S58" i="3"/>
  <c r="M54" i="3"/>
  <c r="HP54" i="3" s="1"/>
  <c r="W54" i="3" s="1"/>
  <c r="L54" i="3"/>
  <c r="DG143" i="3" l="1"/>
  <c r="DI143" i="3" s="1"/>
  <c r="ID142" i="3"/>
  <c r="FX144" i="3"/>
  <c r="FQ144" i="3"/>
  <c r="AQ145" i="3"/>
  <c r="FW144" i="3"/>
  <c r="FY144" i="3"/>
  <c r="HU143" i="3"/>
  <c r="CC143" i="3"/>
  <c r="IB142" i="3"/>
  <c r="HY142" i="3" s="1"/>
  <c r="HZ142" i="3"/>
  <c r="HX142" i="3"/>
  <c r="IA142" i="3"/>
  <c r="FZ142" i="3"/>
  <c r="HO142" i="3"/>
  <c r="V145" i="3"/>
  <c r="DD145" i="3"/>
  <c r="DC145" i="3" s="1"/>
  <c r="DB145" i="3" s="1"/>
  <c r="DA145" i="3" s="1"/>
  <c r="FX145" i="3" s="1"/>
  <c r="GG145" i="3" a="1"/>
  <c r="GG145" i="3" s="1"/>
  <c r="GH145" i="3" s="1"/>
  <c r="GF145" i="3"/>
  <c r="W142" i="3"/>
  <c r="DF142" i="3" s="1"/>
  <c r="DE144" i="3"/>
  <c r="L144" i="3"/>
  <c r="M144" i="3"/>
  <c r="HP144" i="3" s="1"/>
  <c r="CD143" i="3"/>
  <c r="HV143" i="3"/>
  <c r="W143" i="3"/>
  <c r="DF143" i="3" s="1"/>
  <c r="HO143" i="3"/>
  <c r="IC146" i="3"/>
  <c r="GY146" i="3"/>
  <c r="AP146" i="3"/>
  <c r="CS146" i="3" s="1"/>
  <c r="C147" i="3"/>
  <c r="AN146" i="3"/>
  <c r="AX146" i="3"/>
  <c r="GP146" i="3"/>
  <c r="BI149" i="3"/>
  <c r="EA149" i="3" s="1"/>
  <c r="BJ149" i="3"/>
  <c r="CO149" i="3" s="1"/>
  <c r="IB54" i="3"/>
  <c r="HY54" i="3" s="1"/>
  <c r="IA54" i="3"/>
  <c r="HX54" i="3"/>
  <c r="HZ54" i="3"/>
  <c r="S150" i="3"/>
  <c r="EG150" i="3" s="1"/>
  <c r="U150" i="3"/>
  <c r="I150" i="3"/>
  <c r="J150" i="3" s="1"/>
  <c r="P150" i="3"/>
  <c r="CY150" i="3"/>
  <c r="CZ150" i="3"/>
  <c r="CG150" i="3"/>
  <c r="B151" i="3"/>
  <c r="CF150" i="3"/>
  <c r="CH150" i="3"/>
  <c r="BC150" i="3"/>
  <c r="BB150" i="3"/>
  <c r="K149" i="3"/>
  <c r="DJ149" i="3" s="1"/>
  <c r="HD151" i="3"/>
  <c r="HA152" i="3"/>
  <c r="HO54" i="3"/>
  <c r="EG58" i="3"/>
  <c r="HR58" i="3"/>
  <c r="HR149" i="3"/>
  <c r="DG145" i="3"/>
  <c r="DI145" i="3" s="1"/>
  <c r="HU145" i="3"/>
  <c r="CC145" i="3"/>
  <c r="HV145" i="3"/>
  <c r="CD145" i="3"/>
  <c r="DG54" i="3"/>
  <c r="DI54" i="3" s="1"/>
  <c r="HV54" i="3"/>
  <c r="M58" i="3"/>
  <c r="HP58" i="3" s="1"/>
  <c r="L58" i="3"/>
  <c r="S33" i="3"/>
  <c r="L146" i="3" l="1"/>
  <c r="DE146" i="3"/>
  <c r="M146" i="3"/>
  <c r="HP146" i="3" s="1"/>
  <c r="ID143" i="3"/>
  <c r="FZ144" i="3"/>
  <c r="W58" i="3"/>
  <c r="FT145" i="3"/>
  <c r="FW145" i="3"/>
  <c r="FY145" i="3"/>
  <c r="FQ145" i="3"/>
  <c r="HT145" i="3"/>
  <c r="IB145" i="3" s="1"/>
  <c r="HY145" i="3" s="1"/>
  <c r="HJ143" i="3"/>
  <c r="DH143" i="3"/>
  <c r="DD146" i="3"/>
  <c r="DC146" i="3" s="1"/>
  <c r="DB146" i="3" s="1"/>
  <c r="DA146" i="3" s="1"/>
  <c r="FW146" i="3" s="1"/>
  <c r="V146" i="3"/>
  <c r="AN147" i="3"/>
  <c r="AX147" i="3"/>
  <c r="IC147" i="3"/>
  <c r="C148" i="3"/>
  <c r="GP147" i="3"/>
  <c r="GY147" i="3"/>
  <c r="AP147" i="3"/>
  <c r="W144" i="3"/>
  <c r="DF144" i="3" s="1"/>
  <c r="HO144" i="3"/>
  <c r="HV144" i="3"/>
  <c r="DG144" i="3"/>
  <c r="DI144" i="3" s="1"/>
  <c r="CD144" i="3"/>
  <c r="IB143" i="3"/>
  <c r="HY143" i="3" s="1"/>
  <c r="HZ143" i="3"/>
  <c r="IA143" i="3"/>
  <c r="HX143" i="3"/>
  <c r="GF146" i="3"/>
  <c r="GG146" i="3" a="1"/>
  <c r="GG146" i="3" s="1"/>
  <c r="GH146" i="3" s="1"/>
  <c r="HU144" i="3"/>
  <c r="CC144" i="3"/>
  <c r="AQ146" i="3"/>
  <c r="HJ142" i="3"/>
  <c r="DH142" i="3"/>
  <c r="HO58" i="3"/>
  <c r="BI150" i="3"/>
  <c r="EA150" i="3" s="1"/>
  <c r="BJ150" i="3"/>
  <c r="CO150" i="3" s="1"/>
  <c r="S151" i="3"/>
  <c r="EG151" i="3" s="1"/>
  <c r="P151" i="3"/>
  <c r="U151" i="3"/>
  <c r="I151" i="3"/>
  <c r="J151" i="3" s="1"/>
  <c r="B152" i="3"/>
  <c r="CH151" i="3"/>
  <c r="CZ151" i="3"/>
  <c r="CF151" i="3"/>
  <c r="CY151" i="3"/>
  <c r="CG151" i="3"/>
  <c r="BB151" i="3"/>
  <c r="BC151" i="3"/>
  <c r="HZ58" i="3"/>
  <c r="IB58" i="3"/>
  <c r="HY58" i="3" s="1"/>
  <c r="IA58" i="3"/>
  <c r="HX58" i="3"/>
  <c r="HA153" i="3"/>
  <c r="HD152" i="3"/>
  <c r="K150" i="3"/>
  <c r="DJ150" i="3" s="1"/>
  <c r="EG33" i="3"/>
  <c r="HR33" i="3"/>
  <c r="HR150" i="3"/>
  <c r="ID145" i="3"/>
  <c r="DG58" i="3"/>
  <c r="DI58" i="3" s="1"/>
  <c r="HV58" i="3"/>
  <c r="CC146" i="3"/>
  <c r="HU146" i="3"/>
  <c r="HV146" i="3"/>
  <c r="ID54" i="3"/>
  <c r="M33" i="3"/>
  <c r="HP33" i="3" s="1"/>
  <c r="L33" i="3"/>
  <c r="DF54" i="3"/>
  <c r="CD146" i="3" l="1"/>
  <c r="DG146" i="3"/>
  <c r="DI146" i="3" s="1"/>
  <c r="HX145" i="3"/>
  <c r="HZ145" i="3"/>
  <c r="HO145" i="3"/>
  <c r="IA145" i="3"/>
  <c r="W145" i="3"/>
  <c r="DF145" i="3" s="1"/>
  <c r="DH145" i="3" s="1"/>
  <c r="FZ145" i="3"/>
  <c r="FQ146" i="3"/>
  <c r="FY146" i="3"/>
  <c r="HT146" i="3"/>
  <c r="W146" i="3" s="1"/>
  <c r="DF146" i="3" s="1"/>
  <c r="HJ146" i="3" s="1"/>
  <c r="FT146" i="3"/>
  <c r="FX146" i="3"/>
  <c r="W33" i="3"/>
  <c r="HJ145" i="3"/>
  <c r="HJ144" i="3"/>
  <c r="DH144" i="3"/>
  <c r="ID144" i="3"/>
  <c r="DD147" i="3"/>
  <c r="DC147" i="3" s="1"/>
  <c r="DB147" i="3" s="1"/>
  <c r="DA147" i="3" s="1"/>
  <c r="FY147" i="3" s="1"/>
  <c r="V147" i="3"/>
  <c r="CS147" i="3"/>
  <c r="AQ147" i="3"/>
  <c r="IB144" i="3"/>
  <c r="HY144" i="3" s="1"/>
  <c r="IA144" i="3"/>
  <c r="HX144" i="3"/>
  <c r="HZ144" i="3"/>
  <c r="GP148" i="3"/>
  <c r="AP148" i="3"/>
  <c r="AN148" i="3"/>
  <c r="C149" i="3"/>
  <c r="IC148" i="3"/>
  <c r="AX148" i="3"/>
  <c r="GY148" i="3"/>
  <c r="GF147" i="3"/>
  <c r="GG147" i="3" a="1"/>
  <c r="GG147" i="3" s="1"/>
  <c r="GH147" i="3" s="1"/>
  <c r="HR151" i="3"/>
  <c r="ID146" i="3"/>
  <c r="HO33" i="3"/>
  <c r="BJ151" i="3"/>
  <c r="CO151" i="3" s="1"/>
  <c r="ID58" i="3"/>
  <c r="BI151" i="3"/>
  <c r="EA151" i="3" s="1"/>
  <c r="S152" i="3"/>
  <c r="EG152" i="3" s="1"/>
  <c r="U152" i="3"/>
  <c r="P152" i="3"/>
  <c r="I152" i="3"/>
  <c r="J152" i="3" s="1"/>
  <c r="CH152" i="3"/>
  <c r="CG152" i="3"/>
  <c r="CY152" i="3"/>
  <c r="B153" i="3"/>
  <c r="CZ152" i="3"/>
  <c r="CF152" i="3"/>
  <c r="BB152" i="3"/>
  <c r="BC152" i="3"/>
  <c r="K151" i="3"/>
  <c r="DJ151" i="3" s="1"/>
  <c r="HD153" i="3"/>
  <c r="HA154" i="3"/>
  <c r="HX33" i="3"/>
  <c r="HZ33" i="3"/>
  <c r="IB33" i="3"/>
  <c r="HY33" i="3" s="1"/>
  <c r="IA33" i="3"/>
  <c r="IB146" i="3"/>
  <c r="HY146" i="3" s="1"/>
  <c r="HX146" i="3"/>
  <c r="DG33" i="3"/>
  <c r="DI33" i="3" s="1"/>
  <c r="HV33" i="3"/>
  <c r="DH54" i="3"/>
  <c r="HJ54" i="3"/>
  <c r="S10" i="3"/>
  <c r="S47" i="3"/>
  <c r="S83" i="3"/>
  <c r="S48" i="3"/>
  <c r="S82" i="3"/>
  <c r="S70" i="3"/>
  <c r="S66" i="3"/>
  <c r="S60" i="3"/>
  <c r="DF58" i="3"/>
  <c r="S45" i="3"/>
  <c r="S44" i="3"/>
  <c r="S42" i="3"/>
  <c r="S27" i="3"/>
  <c r="S16" i="3"/>
  <c r="S77" i="3"/>
  <c r="S12" i="3"/>
  <c r="HR12" i="3" s="1"/>
  <c r="CF12" i="3"/>
  <c r="FZ146" i="3" l="1"/>
  <c r="FW147" i="3"/>
  <c r="FT147" i="3"/>
  <c r="IA146" i="3"/>
  <c r="HZ146" i="3"/>
  <c r="HO146" i="3"/>
  <c r="FX147" i="3"/>
  <c r="FQ147" i="3"/>
  <c r="M147" i="3"/>
  <c r="HP147" i="3" s="1"/>
  <c r="L147" i="3"/>
  <c r="DG147" i="3" s="1"/>
  <c r="DI147" i="3" s="1"/>
  <c r="DE147" i="3"/>
  <c r="AQ148" i="3"/>
  <c r="CS148" i="3"/>
  <c r="DH146" i="3"/>
  <c r="GG148" i="3" a="1"/>
  <c r="GG148" i="3" s="1"/>
  <c r="GH148" i="3" s="1"/>
  <c r="GF148" i="3"/>
  <c r="V148" i="3"/>
  <c r="DD148" i="3"/>
  <c r="DC148" i="3" s="1"/>
  <c r="DB148" i="3" s="1"/>
  <c r="DA148" i="3" s="1"/>
  <c r="FQ148" i="3" s="1"/>
  <c r="GP149" i="3"/>
  <c r="AX149" i="3"/>
  <c r="IC149" i="3"/>
  <c r="C150" i="3"/>
  <c r="GY149" i="3"/>
  <c r="AP149" i="3"/>
  <c r="CS149" i="3" s="1"/>
  <c r="AN149" i="3"/>
  <c r="K152" i="3"/>
  <c r="DJ152" i="3" s="1"/>
  <c r="BJ152" i="3"/>
  <c r="CO152" i="3" s="1"/>
  <c r="HR152" i="3"/>
  <c r="ID33" i="3"/>
  <c r="BI152" i="3"/>
  <c r="EA152" i="3" s="1"/>
  <c r="EG66" i="3"/>
  <c r="HR66" i="3"/>
  <c r="EG70" i="3"/>
  <c r="HR70" i="3"/>
  <c r="EG27" i="3"/>
  <c r="HR27" i="3"/>
  <c r="EG82" i="3"/>
  <c r="HR82" i="3"/>
  <c r="HA155" i="3"/>
  <c r="HD154" i="3"/>
  <c r="U153" i="3"/>
  <c r="P153" i="3"/>
  <c r="S153" i="3"/>
  <c r="EG153" i="3" s="1"/>
  <c r="I153" i="3"/>
  <c r="K153" i="3" s="1"/>
  <c r="CZ153" i="3"/>
  <c r="B154" i="3"/>
  <c r="CF153" i="3"/>
  <c r="CG153" i="3"/>
  <c r="CY153" i="3"/>
  <c r="CH153" i="3"/>
  <c r="BC153" i="3"/>
  <c r="BB153" i="3"/>
  <c r="EG60" i="3"/>
  <c r="HR60" i="3"/>
  <c r="EG16" i="3"/>
  <c r="HR16" i="3"/>
  <c r="EG48" i="3"/>
  <c r="HR48" i="3"/>
  <c r="EG44" i="3"/>
  <c r="HR44" i="3"/>
  <c r="EG83" i="3"/>
  <c r="HR83" i="3"/>
  <c r="EG47" i="3"/>
  <c r="HR47" i="3"/>
  <c r="M149" i="3"/>
  <c r="DE149" i="3"/>
  <c r="L149" i="3"/>
  <c r="DH58" i="3"/>
  <c r="HJ58" i="3"/>
  <c r="DF33" i="3"/>
  <c r="CD54" i="3"/>
  <c r="CC54" i="3"/>
  <c r="CF10" i="3"/>
  <c r="L47" i="3"/>
  <c r="M47" i="3"/>
  <c r="HP47" i="3" s="1"/>
  <c r="W47" i="3" s="1"/>
  <c r="G7" i="3"/>
  <c r="J73" i="3"/>
  <c r="S74" i="3"/>
  <c r="S72" i="3"/>
  <c r="S63" i="3"/>
  <c r="K73" i="3"/>
  <c r="H7" i="3"/>
  <c r="L42" i="3"/>
  <c r="M42" i="3"/>
  <c r="L45" i="3"/>
  <c r="M45" i="3"/>
  <c r="DI45" i="3" s="1"/>
  <c r="S31" i="3"/>
  <c r="S49" i="3"/>
  <c r="S50" i="3"/>
  <c r="EG12" i="3"/>
  <c r="S11" i="3"/>
  <c r="CF11" i="3"/>
  <c r="S59" i="3"/>
  <c r="S23" i="3"/>
  <c r="L60" i="3"/>
  <c r="M60" i="3"/>
  <c r="HP60" i="3" s="1"/>
  <c r="M70" i="3"/>
  <c r="HP70" i="3" s="1"/>
  <c r="L70" i="3"/>
  <c r="M82" i="3"/>
  <c r="HP82" i="3" s="1"/>
  <c r="L82" i="3"/>
  <c r="S69" i="3"/>
  <c r="M77" i="3"/>
  <c r="HT77" i="3" s="1"/>
  <c r="L77" i="3"/>
  <c r="L27" i="3"/>
  <c r="M27" i="3"/>
  <c r="HP27" i="3" s="1"/>
  <c r="S53" i="3"/>
  <c r="S51" i="3"/>
  <c r="EG10" i="3"/>
  <c r="HR10" i="3"/>
  <c r="L44" i="3"/>
  <c r="M44" i="3"/>
  <c r="HP44" i="3" s="1"/>
  <c r="W44" i="3" s="1"/>
  <c r="S62" i="3"/>
  <c r="L66" i="3"/>
  <c r="M66" i="3"/>
  <c r="M48" i="3"/>
  <c r="HP48" i="3" s="1"/>
  <c r="L48" i="3"/>
  <c r="S55" i="3"/>
  <c r="M12" i="3"/>
  <c r="L12" i="3"/>
  <c r="L16" i="3"/>
  <c r="M16" i="3"/>
  <c r="HP16" i="3" s="1"/>
  <c r="W16" i="3" s="1"/>
  <c r="S32" i="3"/>
  <c r="S18" i="3"/>
  <c r="M83" i="3"/>
  <c r="HP83" i="3" s="1"/>
  <c r="L83" i="3"/>
  <c r="S57" i="3"/>
  <c r="FZ147" i="3" l="1"/>
  <c r="HV45" i="3"/>
  <c r="W83" i="3"/>
  <c r="HT147" i="3"/>
  <c r="W147" i="3" s="1"/>
  <c r="DF147" i="3" s="1"/>
  <c r="W82" i="3"/>
  <c r="FY148" i="3"/>
  <c r="FW148" i="3"/>
  <c r="M10" i="3"/>
  <c r="HP10" i="3" s="1"/>
  <c r="DE10" i="3"/>
  <c r="HU10" i="3" s="1"/>
  <c r="FT148" i="3"/>
  <c r="W60" i="3"/>
  <c r="FX148" i="3"/>
  <c r="HR77" i="3"/>
  <c r="DE148" i="3"/>
  <c r="L148" i="3"/>
  <c r="M148" i="3"/>
  <c r="W48" i="3"/>
  <c r="W27" i="3"/>
  <c r="W70" i="3"/>
  <c r="DD149" i="3"/>
  <c r="DC149" i="3" s="1"/>
  <c r="DB149" i="3" s="1"/>
  <c r="DA149" i="3" s="1"/>
  <c r="V149" i="3"/>
  <c r="HU147" i="3"/>
  <c r="CC147" i="3"/>
  <c r="HV147" i="3"/>
  <c r="ID147" i="3" s="1"/>
  <c r="CD147" i="3"/>
  <c r="GP150" i="3"/>
  <c r="AX150" i="3"/>
  <c r="IC150" i="3"/>
  <c r="GY150" i="3"/>
  <c r="AP150" i="3"/>
  <c r="CS150" i="3" s="1"/>
  <c r="AN150" i="3"/>
  <c r="C151" i="3"/>
  <c r="GG149" i="3" a="1"/>
  <c r="GG149" i="3" s="1"/>
  <c r="GH149" i="3" s="1"/>
  <c r="GF149" i="3"/>
  <c r="AQ149" i="3"/>
  <c r="HT10" i="3"/>
  <c r="HO44" i="3"/>
  <c r="BI153" i="3"/>
  <c r="EA153" i="3" s="1"/>
  <c r="DG149" i="3"/>
  <c r="DI149" i="3" s="1"/>
  <c r="HO60" i="3"/>
  <c r="HV44" i="3"/>
  <c r="HO83" i="3"/>
  <c r="HO82" i="3"/>
  <c r="HO47" i="3"/>
  <c r="HO48" i="3"/>
  <c r="HO70" i="3"/>
  <c r="BJ153" i="3"/>
  <c r="CO153" i="3" s="1"/>
  <c r="J153" i="3"/>
  <c r="DJ153" i="3" s="1"/>
  <c r="EG18" i="3"/>
  <c r="HR18" i="3"/>
  <c r="IA83" i="3"/>
  <c r="HZ83" i="3"/>
  <c r="HX83" i="3"/>
  <c r="IB83" i="3"/>
  <c r="HY83" i="3" s="1"/>
  <c r="HZ60" i="3"/>
  <c r="IA60" i="3"/>
  <c r="IB60" i="3"/>
  <c r="HY60" i="3" s="1"/>
  <c r="HX60" i="3"/>
  <c r="HR153" i="3"/>
  <c r="HX70" i="3"/>
  <c r="IB70" i="3"/>
  <c r="HY70" i="3" s="1"/>
  <c r="HZ70" i="3"/>
  <c r="IA70" i="3"/>
  <c r="IA16" i="3"/>
  <c r="IB16" i="3"/>
  <c r="HY16" i="3" s="1"/>
  <c r="HX16" i="3"/>
  <c r="HZ16" i="3"/>
  <c r="EG32" i="3"/>
  <c r="HR32" i="3"/>
  <c r="HO27" i="3"/>
  <c r="DG16" i="3"/>
  <c r="DI16" i="3" s="1"/>
  <c r="HV16" i="3"/>
  <c r="EG49" i="3"/>
  <c r="HR49" i="3"/>
  <c r="EG63" i="3"/>
  <c r="HR63" i="3"/>
  <c r="IA27" i="3"/>
  <c r="IB27" i="3"/>
  <c r="HY27" i="3" s="1"/>
  <c r="HX27" i="3"/>
  <c r="HZ27" i="3"/>
  <c r="EG53" i="3"/>
  <c r="HR53" i="3"/>
  <c r="EG50" i="3"/>
  <c r="HR50" i="3"/>
  <c r="EG62" i="3"/>
  <c r="HR62" i="3"/>
  <c r="EG31" i="3"/>
  <c r="HR31" i="3"/>
  <c r="EG72" i="3"/>
  <c r="HR72" i="3"/>
  <c r="HX44" i="3"/>
  <c r="IB44" i="3"/>
  <c r="HY44" i="3" s="1"/>
  <c r="IA44" i="3"/>
  <c r="HZ44" i="3"/>
  <c r="EG51" i="3"/>
  <c r="HR51" i="3"/>
  <c r="HV66" i="3"/>
  <c r="EG23" i="3"/>
  <c r="HR23" i="3"/>
  <c r="EG74" i="3"/>
  <c r="HR74" i="3"/>
  <c r="U154" i="3"/>
  <c r="P154" i="3"/>
  <c r="S154" i="3"/>
  <c r="EG154" i="3" s="1"/>
  <c r="I154" i="3"/>
  <c r="K154" i="3" s="1"/>
  <c r="CZ154" i="3"/>
  <c r="CF154" i="3"/>
  <c r="CG154" i="3"/>
  <c r="CY154" i="3"/>
  <c r="CH154" i="3"/>
  <c r="B155" i="3"/>
  <c r="BB154" i="3"/>
  <c r="BC154" i="3"/>
  <c r="HD155" i="3"/>
  <c r="HA156" i="3"/>
  <c r="IA47" i="3"/>
  <c r="HZ47" i="3"/>
  <c r="IB47" i="3"/>
  <c r="HY47" i="3" s="1"/>
  <c r="HX47" i="3"/>
  <c r="HO16" i="3"/>
  <c r="EG57" i="3"/>
  <c r="HR57" i="3"/>
  <c r="EG55" i="3"/>
  <c r="HR55" i="3"/>
  <c r="EG69" i="3"/>
  <c r="HR69" i="3"/>
  <c r="EG59" i="3"/>
  <c r="HR59" i="3"/>
  <c r="DJ73" i="3"/>
  <c r="IB48" i="3"/>
  <c r="HY48" i="3" s="1"/>
  <c r="HZ48" i="3"/>
  <c r="IA48" i="3"/>
  <c r="HX48" i="3"/>
  <c r="HZ82" i="3"/>
  <c r="IA82" i="3"/>
  <c r="HX82" i="3"/>
  <c r="IB82" i="3"/>
  <c r="HY82" i="3" s="1"/>
  <c r="DG82" i="3"/>
  <c r="DI82" i="3" s="1"/>
  <c r="HV82" i="3"/>
  <c r="HV42" i="3"/>
  <c r="HP66" i="3"/>
  <c r="HT66" i="3"/>
  <c r="DG70" i="3"/>
  <c r="DI70" i="3" s="1"/>
  <c r="HV70" i="3"/>
  <c r="HV47" i="3"/>
  <c r="HV149" i="3"/>
  <c r="ID149" i="3" s="1"/>
  <c r="CD149" i="3"/>
  <c r="HR42" i="3"/>
  <c r="HP42" i="3"/>
  <c r="DG27" i="3"/>
  <c r="DI27" i="3" s="1"/>
  <c r="HV27" i="3"/>
  <c r="HU149" i="3"/>
  <c r="CC149" i="3"/>
  <c r="DG77" i="3"/>
  <c r="DI77" i="3" s="1"/>
  <c r="HV77" i="3"/>
  <c r="DG60" i="3"/>
  <c r="DI60" i="3" s="1"/>
  <c r="HV60" i="3"/>
  <c r="HP149" i="3"/>
  <c r="DG48" i="3"/>
  <c r="DI48" i="3" s="1"/>
  <c r="HV48" i="3"/>
  <c r="HP77" i="3"/>
  <c r="HP45" i="3"/>
  <c r="HR45" i="3"/>
  <c r="HT45" i="3"/>
  <c r="HT149" i="3"/>
  <c r="HV83" i="3"/>
  <c r="ID45" i="3"/>
  <c r="FW149" i="3"/>
  <c r="FX149" i="3"/>
  <c r="FQ149" i="3"/>
  <c r="FT149" i="3"/>
  <c r="FY149" i="3"/>
  <c r="DH33" i="3"/>
  <c r="HJ33" i="3"/>
  <c r="DG66" i="3"/>
  <c r="DI66" i="3" s="1"/>
  <c r="DG83" i="3"/>
  <c r="DI83" i="3" s="1"/>
  <c r="DG47" i="3"/>
  <c r="DI47" i="3" s="1"/>
  <c r="DG44" i="3"/>
  <c r="DI44" i="3" s="1"/>
  <c r="DG42" i="3"/>
  <c r="DI42" i="3" s="1"/>
  <c r="CC58" i="3"/>
  <c r="CD58" i="3"/>
  <c r="CC33" i="3"/>
  <c r="CD33" i="3"/>
  <c r="HP12" i="3"/>
  <c r="HT12" i="3"/>
  <c r="HV12" i="3"/>
  <c r="L10" i="3"/>
  <c r="DG12" i="3"/>
  <c r="DI12" i="3" s="1"/>
  <c r="S68" i="3"/>
  <c r="S75" i="3"/>
  <c r="M49" i="3"/>
  <c r="HP49" i="3" s="1"/>
  <c r="L49" i="3"/>
  <c r="M31" i="3"/>
  <c r="HP31" i="3" s="1"/>
  <c r="L31" i="3"/>
  <c r="M74" i="3"/>
  <c r="HP74" i="3" s="1"/>
  <c r="L74" i="3"/>
  <c r="S80" i="3"/>
  <c r="S34" i="3"/>
  <c r="M32" i="3"/>
  <c r="HP32" i="3" s="1"/>
  <c r="W32" i="3" s="1"/>
  <c r="L32" i="3"/>
  <c r="S22" i="3"/>
  <c r="L55" i="3"/>
  <c r="M55" i="3"/>
  <c r="M69" i="3"/>
  <c r="L69" i="3"/>
  <c r="M59" i="3"/>
  <c r="HP59" i="3" s="1"/>
  <c r="L59" i="3"/>
  <c r="M50" i="3"/>
  <c r="L50" i="3"/>
  <c r="L63" i="3"/>
  <c r="M63" i="3"/>
  <c r="S65" i="3"/>
  <c r="M57" i="3"/>
  <c r="HP57" i="3" s="1"/>
  <c r="L57" i="3"/>
  <c r="L51" i="3"/>
  <c r="M51" i="3"/>
  <c r="HP51" i="3" s="1"/>
  <c r="M53" i="3"/>
  <c r="HP53" i="3" s="1"/>
  <c r="L53" i="3"/>
  <c r="S81" i="3"/>
  <c r="L23" i="3"/>
  <c r="M23" i="3"/>
  <c r="HP23" i="3" s="1"/>
  <c r="L11" i="3"/>
  <c r="M11" i="3"/>
  <c r="M18" i="3"/>
  <c r="HP18" i="3" s="1"/>
  <c r="W18" i="3" s="1"/>
  <c r="L18" i="3"/>
  <c r="S73" i="3"/>
  <c r="L62" i="3"/>
  <c r="M62" i="3"/>
  <c r="HP62" i="3" s="1"/>
  <c r="S46" i="3"/>
  <c r="S36" i="3"/>
  <c r="EG11" i="3"/>
  <c r="HR11" i="3"/>
  <c r="M72" i="3"/>
  <c r="HP72" i="3" s="1"/>
  <c r="L72" i="3"/>
  <c r="DE150" i="3" l="1"/>
  <c r="HU150" i="3" s="1"/>
  <c r="HX147" i="3"/>
  <c r="FZ148" i="3"/>
  <c r="HO147" i="3"/>
  <c r="DH147" i="3"/>
  <c r="HJ147" i="3"/>
  <c r="W10" i="3"/>
  <c r="L150" i="3"/>
  <c r="W45" i="3"/>
  <c r="DE45" i="3" s="1"/>
  <c r="M150" i="3"/>
  <c r="HP150" i="3" s="1"/>
  <c r="DG10" i="3"/>
  <c r="AQ150" i="3"/>
  <c r="W53" i="3"/>
  <c r="W31" i="3"/>
  <c r="W42" i="3"/>
  <c r="DF42" i="3" s="1"/>
  <c r="W49" i="3"/>
  <c r="HO51" i="3"/>
  <c r="W51" i="3"/>
  <c r="W12" i="3"/>
  <c r="C152" i="3"/>
  <c r="IC151" i="3"/>
  <c r="AX151" i="3"/>
  <c r="AP151" i="3"/>
  <c r="CS151" i="3" s="1"/>
  <c r="GP151" i="3"/>
  <c r="GY151" i="3"/>
  <c r="AN151" i="3"/>
  <c r="W23" i="3"/>
  <c r="W59" i="3"/>
  <c r="V150" i="3"/>
  <c r="DD150" i="3"/>
  <c r="DC150" i="3" s="1"/>
  <c r="DB150" i="3" s="1"/>
  <c r="DA150" i="3" s="1"/>
  <c r="W62" i="3"/>
  <c r="W57" i="3"/>
  <c r="W77" i="3"/>
  <c r="HP148" i="3"/>
  <c r="HT148" i="3"/>
  <c r="HO74" i="3"/>
  <c r="W74" i="3"/>
  <c r="W66" i="3"/>
  <c r="GF150" i="3"/>
  <c r="GG150" i="3" a="1"/>
  <c r="GG150" i="3" s="1"/>
  <c r="GH150" i="3" s="1"/>
  <c r="CD148" i="3"/>
  <c r="DG148" i="3"/>
  <c r="DI148" i="3" s="1"/>
  <c r="HV148" i="3"/>
  <c r="IB147" i="3"/>
  <c r="HY147" i="3" s="1"/>
  <c r="IA147" i="3"/>
  <c r="HZ147" i="3"/>
  <c r="HU148" i="3"/>
  <c r="CC148" i="3"/>
  <c r="HO72" i="3"/>
  <c r="W72" i="3"/>
  <c r="W149" i="3"/>
  <c r="DF149" i="3" s="1"/>
  <c r="HO53" i="3"/>
  <c r="ID48" i="3"/>
  <c r="HV18" i="3"/>
  <c r="HO62" i="3"/>
  <c r="HO31" i="3"/>
  <c r="HO57" i="3"/>
  <c r="HO49" i="3"/>
  <c r="J154" i="3"/>
  <c r="DJ154" i="3" s="1"/>
  <c r="HO32" i="3"/>
  <c r="BJ154" i="3"/>
  <c r="CO154" i="3" s="1"/>
  <c r="HO23" i="3"/>
  <c r="HV23" i="3"/>
  <c r="HO18" i="3"/>
  <c r="HO59" i="3"/>
  <c r="EG75" i="3"/>
  <c r="HR75" i="3"/>
  <c r="EG46" i="3"/>
  <c r="HR46" i="3"/>
  <c r="EG34" i="3"/>
  <c r="HR34" i="3"/>
  <c r="HZ77" i="3"/>
  <c r="ID77" i="3"/>
  <c r="HO42" i="3"/>
  <c r="BI154" i="3"/>
  <c r="EA154" i="3" s="1"/>
  <c r="HZ74" i="3"/>
  <c r="IA74" i="3"/>
  <c r="IB74" i="3"/>
  <c r="HY74" i="3" s="1"/>
  <c r="HX74" i="3"/>
  <c r="ID16" i="3"/>
  <c r="EG65" i="3"/>
  <c r="HR65" i="3"/>
  <c r="EG68" i="3"/>
  <c r="HR68" i="3"/>
  <c r="HX23" i="3"/>
  <c r="HZ23" i="3"/>
  <c r="IA23" i="3"/>
  <c r="IB23" i="3"/>
  <c r="HY23" i="3" s="1"/>
  <c r="EG73" i="3"/>
  <c r="HR73" i="3"/>
  <c r="P155" i="3"/>
  <c r="I155" i="3"/>
  <c r="J155" i="3" s="1"/>
  <c r="U155" i="3"/>
  <c r="S155" i="3"/>
  <c r="EG155" i="3" s="1"/>
  <c r="CF155" i="3"/>
  <c r="CG155" i="3"/>
  <c r="CH155" i="3"/>
  <c r="CY155" i="3"/>
  <c r="CZ155" i="3"/>
  <c r="B156" i="3"/>
  <c r="BB155" i="3"/>
  <c r="BC155" i="3"/>
  <c r="IB50" i="3"/>
  <c r="HY50" i="3" s="1"/>
  <c r="IA50" i="3"/>
  <c r="HZ50" i="3"/>
  <c r="HX50" i="3"/>
  <c r="HX32" i="3"/>
  <c r="IB32" i="3"/>
  <c r="HY32" i="3" s="1"/>
  <c r="IA32" i="3"/>
  <c r="HZ32" i="3"/>
  <c r="IB62" i="3"/>
  <c r="HY62" i="3" s="1"/>
  <c r="HZ62" i="3"/>
  <c r="HX62" i="3"/>
  <c r="IA62" i="3"/>
  <c r="HV55" i="3"/>
  <c r="HO66" i="3"/>
  <c r="IB18" i="3"/>
  <c r="HY18" i="3" s="1"/>
  <c r="IA18" i="3"/>
  <c r="HX18" i="3"/>
  <c r="HZ18" i="3"/>
  <c r="EG22" i="3"/>
  <c r="HR22" i="3"/>
  <c r="IB57" i="3"/>
  <c r="HY57" i="3" s="1"/>
  <c r="HX57" i="3"/>
  <c r="HZ57" i="3"/>
  <c r="IA57" i="3"/>
  <c r="HA157" i="3"/>
  <c r="HD156" i="3"/>
  <c r="HR154" i="3"/>
  <c r="IB51" i="3"/>
  <c r="HY51" i="3" s="1"/>
  <c r="HZ51" i="3"/>
  <c r="IA51" i="3"/>
  <c r="HX51" i="3"/>
  <c r="IB72" i="3"/>
  <c r="HY72" i="3" s="1"/>
  <c r="HZ72" i="3"/>
  <c r="IA72" i="3"/>
  <c r="HX72" i="3"/>
  <c r="IA53" i="3"/>
  <c r="IB53" i="3"/>
  <c r="HY53" i="3" s="1"/>
  <c r="HX53" i="3"/>
  <c r="HZ53" i="3"/>
  <c r="ID60" i="3"/>
  <c r="ID27" i="3"/>
  <c r="IB49" i="3"/>
  <c r="HY49" i="3" s="1"/>
  <c r="HX49" i="3"/>
  <c r="HZ49" i="3"/>
  <c r="IA49" i="3"/>
  <c r="HV63" i="3"/>
  <c r="EG36" i="3"/>
  <c r="HR36" i="3"/>
  <c r="HV51" i="3"/>
  <c r="IA59" i="3"/>
  <c r="HX59" i="3"/>
  <c r="HZ59" i="3"/>
  <c r="IB59" i="3"/>
  <c r="HY59" i="3" s="1"/>
  <c r="IB31" i="3"/>
  <c r="HY31" i="3" s="1"/>
  <c r="IA31" i="3"/>
  <c r="HX31" i="3"/>
  <c r="HZ31" i="3"/>
  <c r="DG53" i="3"/>
  <c r="DI53" i="3" s="1"/>
  <c r="HV53" i="3"/>
  <c r="HO149" i="3"/>
  <c r="ID42" i="3"/>
  <c r="DG50" i="3"/>
  <c r="DI50" i="3" s="1"/>
  <c r="HV50" i="3"/>
  <c r="DG31" i="3"/>
  <c r="DI31" i="3" s="1"/>
  <c r="HV31" i="3"/>
  <c r="ID83" i="3"/>
  <c r="IA77" i="3"/>
  <c r="IB77" i="3"/>
  <c r="HY77" i="3" s="1"/>
  <c r="HX77" i="3"/>
  <c r="DG69" i="3"/>
  <c r="DI69" i="3" s="1"/>
  <c r="HV69" i="3"/>
  <c r="HP50" i="3"/>
  <c r="DG32" i="3"/>
  <c r="DI32" i="3" s="1"/>
  <c r="HV32" i="3"/>
  <c r="IB149" i="3"/>
  <c r="HY149" i="3" s="1"/>
  <c r="HO77" i="3"/>
  <c r="DG59" i="3"/>
  <c r="DI59" i="3" s="1"/>
  <c r="HV59" i="3"/>
  <c r="DG49" i="3"/>
  <c r="DI49" i="3" s="1"/>
  <c r="HV49" i="3"/>
  <c r="ID44" i="3"/>
  <c r="IB42" i="3"/>
  <c r="HY42" i="3" s="1"/>
  <c r="IA42" i="3"/>
  <c r="HX42" i="3"/>
  <c r="HZ42" i="3"/>
  <c r="ID47" i="3"/>
  <c r="ID82" i="3"/>
  <c r="DG57" i="3"/>
  <c r="DI57" i="3" s="1"/>
  <c r="HV57" i="3"/>
  <c r="FT150" i="3"/>
  <c r="FX150" i="3"/>
  <c r="FY150" i="3"/>
  <c r="ID66" i="3"/>
  <c r="ID70" i="3"/>
  <c r="IA149" i="3"/>
  <c r="HX149" i="3"/>
  <c r="HZ149" i="3"/>
  <c r="HV62" i="3"/>
  <c r="HP69" i="3"/>
  <c r="HT69" i="3"/>
  <c r="DG74" i="3"/>
  <c r="DI74" i="3" s="1"/>
  <c r="HV74" i="3"/>
  <c r="FZ149" i="3"/>
  <c r="L151" i="3"/>
  <c r="M151" i="3"/>
  <c r="HP151" i="3" s="1"/>
  <c r="DE151" i="3"/>
  <c r="IB66" i="3"/>
  <c r="HY66" i="3" s="1"/>
  <c r="HX66" i="3"/>
  <c r="HZ66" i="3"/>
  <c r="IA66" i="3"/>
  <c r="DG72" i="3"/>
  <c r="DI72" i="3" s="1"/>
  <c r="HV72" i="3"/>
  <c r="HP63" i="3"/>
  <c r="HT63" i="3"/>
  <c r="HP55" i="3"/>
  <c r="HT55" i="3"/>
  <c r="HO45" i="3"/>
  <c r="HV150" i="3"/>
  <c r="DG55" i="3"/>
  <c r="DI55" i="3" s="1"/>
  <c r="DG23" i="3"/>
  <c r="DI23" i="3" s="1"/>
  <c r="DG51" i="3"/>
  <c r="DI51" i="3" s="1"/>
  <c r="DG62" i="3"/>
  <c r="DI62" i="3" s="1"/>
  <c r="DG18" i="3"/>
  <c r="ID18" i="3" s="1"/>
  <c r="DG63" i="3"/>
  <c r="DI63" i="3" s="1"/>
  <c r="DF66" i="3"/>
  <c r="DF27" i="3"/>
  <c r="DF44" i="3"/>
  <c r="DF47" i="3"/>
  <c r="DF70" i="3"/>
  <c r="HV10" i="3"/>
  <c r="ID10" i="3" s="1"/>
  <c r="ID12" i="3"/>
  <c r="M65" i="3"/>
  <c r="L65" i="3"/>
  <c r="CC63" i="3"/>
  <c r="L22" i="3"/>
  <c r="M22" i="3"/>
  <c r="HP22" i="3" s="1"/>
  <c r="L34" i="3"/>
  <c r="M34" i="3"/>
  <c r="HP34" i="3" s="1"/>
  <c r="W34" i="3" s="1"/>
  <c r="M46" i="3"/>
  <c r="HP46" i="3" s="1"/>
  <c r="W46" i="3" s="1"/>
  <c r="L46" i="3"/>
  <c r="M73" i="3"/>
  <c r="HP73" i="3" s="1"/>
  <c r="L73" i="3"/>
  <c r="DG11" i="3"/>
  <c r="DI11" i="3" s="1"/>
  <c r="HV11" i="3"/>
  <c r="DF83" i="3"/>
  <c r="DF82" i="3"/>
  <c r="DF77" i="3"/>
  <c r="HO10" i="3"/>
  <c r="DF16" i="3"/>
  <c r="DF60" i="3"/>
  <c r="DF48" i="3"/>
  <c r="HO12" i="3"/>
  <c r="M75" i="3"/>
  <c r="HP75" i="3" s="1"/>
  <c r="L75" i="3"/>
  <c r="L36" i="3"/>
  <c r="M36" i="3"/>
  <c r="HP36" i="3" s="1"/>
  <c r="HT11" i="3"/>
  <c r="HP11" i="3"/>
  <c r="W11" i="3" s="1"/>
  <c r="CD63" i="3"/>
  <c r="M68" i="3"/>
  <c r="HP68" i="3" s="1"/>
  <c r="W68" i="3" s="1"/>
  <c r="L68" i="3"/>
  <c r="DI10" i="3" l="1"/>
  <c r="CD150" i="3"/>
  <c r="DG150" i="3"/>
  <c r="DI150" i="3" s="1"/>
  <c r="HU45" i="3"/>
  <c r="DF45" i="3"/>
  <c r="DH45" i="3" s="1"/>
  <c r="HT150" i="3"/>
  <c r="CC150" i="3"/>
  <c r="W63" i="3"/>
  <c r="W36" i="3"/>
  <c r="W75" i="3"/>
  <c r="W55" i="3"/>
  <c r="AQ151" i="3"/>
  <c r="W69" i="3"/>
  <c r="DF69" i="3" s="1"/>
  <c r="ID148" i="3"/>
  <c r="IB148" i="3"/>
  <c r="HY148" i="3" s="1"/>
  <c r="W148" i="3"/>
  <c r="DF148" i="3" s="1"/>
  <c r="HO148" i="3"/>
  <c r="W22" i="3"/>
  <c r="HZ148" i="3"/>
  <c r="IA148" i="3"/>
  <c r="HX148" i="3"/>
  <c r="FW150" i="3"/>
  <c r="FZ150" i="3" s="1"/>
  <c r="V151" i="3"/>
  <c r="DD151" i="3"/>
  <c r="DC151" i="3" s="1"/>
  <c r="DB151" i="3" s="1"/>
  <c r="DA151" i="3" s="1"/>
  <c r="HT151" i="3" s="1"/>
  <c r="W151" i="3" s="1"/>
  <c r="DF151" i="3" s="1"/>
  <c r="FQ150" i="3"/>
  <c r="HO50" i="3"/>
  <c r="W50" i="3"/>
  <c r="DF50" i="3" s="1"/>
  <c r="GF151" i="3"/>
  <c r="GG151" i="3" a="1"/>
  <c r="GG151" i="3" s="1"/>
  <c r="GH151" i="3" s="1"/>
  <c r="HO73" i="3"/>
  <c r="W73" i="3"/>
  <c r="AP152" i="3"/>
  <c r="CS152" i="3" s="1"/>
  <c r="C153" i="3"/>
  <c r="GP152" i="3"/>
  <c r="AX152" i="3"/>
  <c r="IC152" i="3"/>
  <c r="GY152" i="3"/>
  <c r="AN152" i="3"/>
  <c r="HO68" i="3"/>
  <c r="ID150" i="3"/>
  <c r="HO22" i="3"/>
  <c r="HO46" i="3"/>
  <c r="ID74" i="3"/>
  <c r="ID59" i="3"/>
  <c r="BI155" i="3"/>
  <c r="EA155" i="3" s="1"/>
  <c r="BJ155" i="3"/>
  <c r="CO155" i="3" s="1"/>
  <c r="HO75" i="3"/>
  <c r="ID69" i="3"/>
  <c r="U156" i="3"/>
  <c r="P156" i="3"/>
  <c r="S156" i="3"/>
  <c r="EG156" i="3" s="1"/>
  <c r="I156" i="3"/>
  <c r="J156" i="3" s="1"/>
  <c r="CH156" i="3"/>
  <c r="CY156" i="3"/>
  <c r="B157" i="3"/>
  <c r="CZ156" i="3"/>
  <c r="CF156" i="3"/>
  <c r="CG156" i="3"/>
  <c r="BC156" i="3"/>
  <c r="BB156" i="3"/>
  <c r="IB34" i="3"/>
  <c r="HY34" i="3" s="1"/>
  <c r="IA34" i="3"/>
  <c r="HX34" i="3"/>
  <c r="HZ34" i="3"/>
  <c r="HO34" i="3"/>
  <c r="ID55" i="3"/>
  <c r="IB22" i="3"/>
  <c r="HY22" i="3" s="1"/>
  <c r="HZ22" i="3"/>
  <c r="IA22" i="3"/>
  <c r="HX22" i="3"/>
  <c r="ID32" i="3"/>
  <c r="HR155" i="3"/>
  <c r="HX68" i="3"/>
  <c r="HZ68" i="3"/>
  <c r="IB68" i="3"/>
  <c r="HY68" i="3" s="1"/>
  <c r="IA68" i="3"/>
  <c r="HX46" i="3"/>
  <c r="IB46" i="3"/>
  <c r="HY46" i="3" s="1"/>
  <c r="HZ46" i="3"/>
  <c r="IA46" i="3"/>
  <c r="HA158" i="3"/>
  <c r="HD157" i="3"/>
  <c r="IB73" i="3"/>
  <c r="HY73" i="3" s="1"/>
  <c r="HX73" i="3"/>
  <c r="IA73" i="3"/>
  <c r="HZ73" i="3"/>
  <c r="HO36" i="3"/>
  <c r="DF63" i="3"/>
  <c r="HJ63" i="3" s="1"/>
  <c r="ID57" i="3"/>
  <c r="IB75" i="3"/>
  <c r="HY75" i="3" s="1"/>
  <c r="HZ75" i="3"/>
  <c r="HX75" i="3"/>
  <c r="IA75" i="3"/>
  <c r="HZ36" i="3"/>
  <c r="IB36" i="3"/>
  <c r="HY36" i="3" s="1"/>
  <c r="HX36" i="3"/>
  <c r="IA36" i="3"/>
  <c r="DI18" i="3"/>
  <c r="ID72" i="3"/>
  <c r="K155" i="3"/>
  <c r="DG36" i="3"/>
  <c r="DI36" i="3" s="1"/>
  <c r="HV36" i="3"/>
  <c r="IB69" i="3"/>
  <c r="HY69" i="3" s="1"/>
  <c r="IA69" i="3"/>
  <c r="HX69" i="3"/>
  <c r="HZ69" i="3"/>
  <c r="DG75" i="3"/>
  <c r="DI75" i="3" s="1"/>
  <c r="HV75" i="3"/>
  <c r="DG73" i="3"/>
  <c r="DI73" i="3" s="1"/>
  <c r="HV73" i="3"/>
  <c r="HU151" i="3"/>
  <c r="CC151" i="3"/>
  <c r="HO69" i="3"/>
  <c r="ID63" i="3"/>
  <c r="DG68" i="3"/>
  <c r="DI68" i="3" s="1"/>
  <c r="HV68" i="3"/>
  <c r="DG65" i="3"/>
  <c r="DI65" i="3" s="1"/>
  <c r="HV65" i="3"/>
  <c r="ID62" i="3"/>
  <c r="ID51" i="3"/>
  <c r="ID53" i="3"/>
  <c r="DG46" i="3"/>
  <c r="DI46" i="3" s="1"/>
  <c r="HV46" i="3"/>
  <c r="HP65" i="3"/>
  <c r="HT65" i="3"/>
  <c r="DG151" i="3"/>
  <c r="DI151" i="3" s="1"/>
  <c r="IB55" i="3"/>
  <c r="HY55" i="3" s="1"/>
  <c r="HX55" i="3"/>
  <c r="IA55" i="3"/>
  <c r="HZ55" i="3"/>
  <c r="HV151" i="3"/>
  <c r="CD151" i="3"/>
  <c r="DG22" i="3"/>
  <c r="DI22" i="3" s="1"/>
  <c r="HV22" i="3"/>
  <c r="HO55" i="3"/>
  <c r="ID31" i="3"/>
  <c r="ID23" i="3"/>
  <c r="DG34" i="3"/>
  <c r="DI34" i="3" s="1"/>
  <c r="HV34" i="3"/>
  <c r="ID49" i="3"/>
  <c r="DH149" i="3"/>
  <c r="HJ149" i="3"/>
  <c r="IB63" i="3"/>
  <c r="HY63" i="3" s="1"/>
  <c r="HX63" i="3"/>
  <c r="HZ63" i="3"/>
  <c r="IA63" i="3"/>
  <c r="HO63" i="3"/>
  <c r="IA150" i="3"/>
  <c r="ID50" i="3"/>
  <c r="DH83" i="3"/>
  <c r="HJ83" i="3"/>
  <c r="DH44" i="3"/>
  <c r="HJ44" i="3"/>
  <c r="DH77" i="3"/>
  <c r="HJ77" i="3"/>
  <c r="DH82" i="3"/>
  <c r="HJ82" i="3"/>
  <c r="DH47" i="3"/>
  <c r="HJ47" i="3"/>
  <c r="DH42" i="3"/>
  <c r="HJ42" i="3"/>
  <c r="DH70" i="3"/>
  <c r="HJ70" i="3"/>
  <c r="DH27" i="3"/>
  <c r="HJ27" i="3"/>
  <c r="DH66" i="3"/>
  <c r="HJ66" i="3"/>
  <c r="DH48" i="3"/>
  <c r="HJ48" i="3"/>
  <c r="DH60" i="3"/>
  <c r="HJ60" i="3"/>
  <c r="DH16" i="3"/>
  <c r="HJ16" i="3"/>
  <c r="DF72" i="3"/>
  <c r="DF32" i="3"/>
  <c r="DF53" i="3"/>
  <c r="CD66" i="3"/>
  <c r="CC66" i="3"/>
  <c r="DF23" i="3"/>
  <c r="CC27" i="3"/>
  <c r="CD27" i="3"/>
  <c r="DF59" i="3"/>
  <c r="CD10" i="3"/>
  <c r="CC10" i="3"/>
  <c r="HX10" i="3"/>
  <c r="IB10" i="3"/>
  <c r="DF57" i="3"/>
  <c r="IA10" i="3"/>
  <c r="HZ10" i="3"/>
  <c r="DE12" i="3"/>
  <c r="CC44" i="3"/>
  <c r="CD44" i="3"/>
  <c r="DF49" i="3"/>
  <c r="DF18" i="3"/>
  <c r="DF74" i="3"/>
  <c r="DF10" i="3"/>
  <c r="DF55" i="3"/>
  <c r="DF62" i="3"/>
  <c r="DF51" i="3"/>
  <c r="DF31" i="3"/>
  <c r="ID11" i="3"/>
  <c r="HO11" i="3"/>
  <c r="L152" i="3" l="1"/>
  <c r="DE152" i="3"/>
  <c r="W150" i="3"/>
  <c r="DF150" i="3" s="1"/>
  <c r="HJ150" i="3" s="1"/>
  <c r="HX150" i="3"/>
  <c r="HO150" i="3"/>
  <c r="HZ150" i="3"/>
  <c r="DH10" i="3"/>
  <c r="DH150" i="3"/>
  <c r="HX45" i="3"/>
  <c r="M152" i="3"/>
  <c r="HP152" i="3" s="1"/>
  <c r="IB150" i="3"/>
  <c r="HY150" i="3" s="1"/>
  <c r="AQ152" i="3"/>
  <c r="W65" i="3"/>
  <c r="V152" i="3"/>
  <c r="DD152" i="3"/>
  <c r="DC152" i="3" s="1"/>
  <c r="DB152" i="3" s="1"/>
  <c r="DA152" i="3" s="1"/>
  <c r="HT152" i="3" s="1"/>
  <c r="W152" i="3" s="1"/>
  <c r="DF152" i="3" s="1"/>
  <c r="HJ148" i="3"/>
  <c r="DH148" i="3"/>
  <c r="FX151" i="3"/>
  <c r="FQ151" i="3"/>
  <c r="FY151" i="3"/>
  <c r="FW151" i="3"/>
  <c r="GF152" i="3"/>
  <c r="GG152" i="3" a="1"/>
  <c r="GG152" i="3" s="1"/>
  <c r="GH152" i="3" s="1"/>
  <c r="AP153" i="3"/>
  <c r="AN153" i="3"/>
  <c r="AX153" i="3"/>
  <c r="GP153" i="3"/>
  <c r="C154" i="3"/>
  <c r="IC153" i="3"/>
  <c r="GF153" i="3" s="1"/>
  <c r="GY153" i="3"/>
  <c r="HO151" i="3"/>
  <c r="HY10" i="3"/>
  <c r="DH63" i="3"/>
  <c r="BJ156" i="3"/>
  <c r="CO156" i="3" s="1"/>
  <c r="HR156" i="3"/>
  <c r="BI156" i="3"/>
  <c r="EA156" i="3" s="1"/>
  <c r="DG152" i="3"/>
  <c r="DI152" i="3" s="1"/>
  <c r="ID73" i="3"/>
  <c r="ID22" i="3"/>
  <c r="S157" i="3"/>
  <c r="EG157" i="3" s="1"/>
  <c r="U157" i="3"/>
  <c r="P157" i="3"/>
  <c r="I157" i="3"/>
  <c r="J157" i="3" s="1"/>
  <c r="CY157" i="3"/>
  <c r="CZ157" i="3"/>
  <c r="B158" i="3"/>
  <c r="CG157" i="3"/>
  <c r="CF157" i="3"/>
  <c r="CH157" i="3"/>
  <c r="BC157" i="3"/>
  <c r="BB157" i="3"/>
  <c r="ID68" i="3"/>
  <c r="K156" i="3"/>
  <c r="DJ156" i="3" s="1"/>
  <c r="HD158" i="3"/>
  <c r="HA159" i="3"/>
  <c r="ID151" i="3"/>
  <c r="DJ155" i="3"/>
  <c r="DH151" i="3"/>
  <c r="HJ151" i="3"/>
  <c r="ID65" i="3"/>
  <c r="HX151" i="3"/>
  <c r="HZ151" i="3"/>
  <c r="IA151" i="3"/>
  <c r="IB65" i="3"/>
  <c r="HY65" i="3" s="1"/>
  <c r="HX65" i="3"/>
  <c r="IA65" i="3"/>
  <c r="HZ65" i="3"/>
  <c r="HO65" i="3"/>
  <c r="HU152" i="3"/>
  <c r="CC152" i="3"/>
  <c r="ID46" i="3"/>
  <c r="ID75" i="3"/>
  <c r="ID36" i="3"/>
  <c r="ID34" i="3"/>
  <c r="CD152" i="3"/>
  <c r="HV152" i="3"/>
  <c r="IB151" i="3"/>
  <c r="HY151" i="3" s="1"/>
  <c r="DH51" i="3"/>
  <c r="HJ51" i="3"/>
  <c r="DH62" i="3"/>
  <c r="HJ62" i="3"/>
  <c r="DH55" i="3"/>
  <c r="HJ55" i="3"/>
  <c r="HJ45" i="3"/>
  <c r="DH23" i="3"/>
  <c r="HJ23" i="3"/>
  <c r="DH49" i="3"/>
  <c r="HJ49" i="3"/>
  <c r="DH72" i="3"/>
  <c r="HJ72" i="3"/>
  <c r="DH50" i="3"/>
  <c r="HJ50" i="3"/>
  <c r="HZ45" i="3"/>
  <c r="IB45" i="3"/>
  <c r="HY45" i="3" s="1"/>
  <c r="IA45" i="3"/>
  <c r="DH18" i="3"/>
  <c r="HJ18" i="3"/>
  <c r="DH53" i="3"/>
  <c r="HJ53" i="3"/>
  <c r="DH59" i="3"/>
  <c r="HJ59" i="3"/>
  <c r="DH74" i="3"/>
  <c r="HJ74" i="3"/>
  <c r="DH69" i="3"/>
  <c r="HJ69" i="3"/>
  <c r="DH32" i="3"/>
  <c r="HJ32" i="3"/>
  <c r="DH57" i="3"/>
  <c r="HJ57" i="3"/>
  <c r="DH31" i="3"/>
  <c r="HJ31" i="3"/>
  <c r="CC83" i="3"/>
  <c r="CD82" i="3"/>
  <c r="CD83" i="3"/>
  <c r="CC82" i="3"/>
  <c r="CD60" i="3"/>
  <c r="CC60" i="3"/>
  <c r="DF22" i="3"/>
  <c r="DF36" i="3"/>
  <c r="CD42" i="3"/>
  <c r="CC42" i="3"/>
  <c r="CC48" i="3"/>
  <c r="CD48" i="3"/>
  <c r="CD23" i="3"/>
  <c r="CC23" i="3"/>
  <c r="CC47" i="3"/>
  <c r="CD47" i="3"/>
  <c r="CD69" i="3"/>
  <c r="CC69" i="3"/>
  <c r="CC45" i="3"/>
  <c r="CD45" i="3"/>
  <c r="CC77" i="3"/>
  <c r="CD77" i="3"/>
  <c r="DE11" i="3"/>
  <c r="DF11" i="3" s="1"/>
  <c r="CC53" i="3"/>
  <c r="CD53" i="3"/>
  <c r="HU12" i="3"/>
  <c r="CD12" i="3"/>
  <c r="CC12" i="3"/>
  <c r="CD72" i="3"/>
  <c r="CC72" i="3"/>
  <c r="CC16" i="3"/>
  <c r="CD16" i="3"/>
  <c r="CD32" i="3"/>
  <c r="CC32" i="3"/>
  <c r="DF12" i="3"/>
  <c r="CC70" i="3"/>
  <c r="CD70" i="3"/>
  <c r="DF46" i="3"/>
  <c r="DF75" i="3"/>
  <c r="DF73" i="3"/>
  <c r="DF65" i="3"/>
  <c r="DF68" i="3"/>
  <c r="DF34" i="3"/>
  <c r="HJ10" i="3"/>
  <c r="FT152" i="3" l="1"/>
  <c r="DH11" i="3"/>
  <c r="HJ11" i="3"/>
  <c r="FZ151" i="3"/>
  <c r="FW152" i="3"/>
  <c r="FQ152" i="3"/>
  <c r="HO152" i="3"/>
  <c r="BJ157" i="3"/>
  <c r="CO157" i="3" s="1"/>
  <c r="AX154" i="3"/>
  <c r="AN154" i="3"/>
  <c r="GP154" i="3"/>
  <c r="AP154" i="3"/>
  <c r="CS154" i="3" s="1"/>
  <c r="GY154" i="3"/>
  <c r="C155" i="3"/>
  <c r="IC154" i="3"/>
  <c r="V153" i="3"/>
  <c r="DD153" i="3"/>
  <c r="DC153" i="3" s="1"/>
  <c r="DB153" i="3" s="1"/>
  <c r="DA153" i="3" s="1"/>
  <c r="FX153" i="3" s="1"/>
  <c r="FY152" i="3"/>
  <c r="CS153" i="3"/>
  <c r="AQ153" i="3"/>
  <c r="FX152" i="3"/>
  <c r="ID152" i="3"/>
  <c r="HR157" i="3"/>
  <c r="K157" i="3"/>
  <c r="HD159" i="3"/>
  <c r="HA160" i="3"/>
  <c r="S158" i="3"/>
  <c r="EG158" i="3" s="1"/>
  <c r="U158" i="3"/>
  <c r="P158" i="3"/>
  <c r="I158" i="3"/>
  <c r="J158" i="3" s="1"/>
  <c r="CY158" i="3"/>
  <c r="CF158" i="3"/>
  <c r="B159" i="3"/>
  <c r="CZ158" i="3"/>
  <c r="CG158" i="3"/>
  <c r="CH158" i="3"/>
  <c r="BB158" i="3"/>
  <c r="BC158" i="3"/>
  <c r="BI157" i="3"/>
  <c r="EA157" i="3" s="1"/>
  <c r="DJ157" i="3"/>
  <c r="DH152" i="3"/>
  <c r="HJ152" i="3"/>
  <c r="DE154" i="3"/>
  <c r="M154" i="3"/>
  <c r="HP154" i="3" s="1"/>
  <c r="IA152" i="3"/>
  <c r="HZ152" i="3"/>
  <c r="HX152" i="3"/>
  <c r="IB152" i="3"/>
  <c r="HY152" i="3" s="1"/>
  <c r="DH65" i="3"/>
  <c r="HJ65" i="3"/>
  <c r="DH75" i="3"/>
  <c r="HJ75" i="3"/>
  <c r="DH34" i="3"/>
  <c r="HJ34" i="3"/>
  <c r="DH46" i="3"/>
  <c r="HJ46" i="3"/>
  <c r="DH73" i="3"/>
  <c r="HJ73" i="3"/>
  <c r="DH36" i="3"/>
  <c r="HJ36" i="3"/>
  <c r="DH22" i="3"/>
  <c r="HJ22" i="3"/>
  <c r="DH68" i="3"/>
  <c r="HJ68" i="3"/>
  <c r="CD18" i="3"/>
  <c r="CC18" i="3"/>
  <c r="CC31" i="3"/>
  <c r="CD31" i="3"/>
  <c r="CC22" i="3"/>
  <c r="CD22" i="3"/>
  <c r="CC62" i="3"/>
  <c r="CD62" i="3"/>
  <c r="CD49" i="3"/>
  <c r="CC49" i="3"/>
  <c r="HZ12" i="3"/>
  <c r="IB12" i="3"/>
  <c r="HY12" i="3" s="1"/>
  <c r="IA12" i="3"/>
  <c r="HX12" i="3"/>
  <c r="HJ12" i="3"/>
  <c r="DH12" i="3"/>
  <c r="CD74" i="3"/>
  <c r="CC74" i="3"/>
  <c r="CD36" i="3"/>
  <c r="CC36" i="3"/>
  <c r="CD50" i="3"/>
  <c r="CC50" i="3"/>
  <c r="CC55" i="3"/>
  <c r="CD55" i="3"/>
  <c r="CC57" i="3"/>
  <c r="CD57" i="3"/>
  <c r="CC51" i="3"/>
  <c r="CD51" i="3"/>
  <c r="CD59" i="3"/>
  <c r="CC59" i="3"/>
  <c r="CC11" i="3"/>
  <c r="HU11" i="3"/>
  <c r="CD11" i="3"/>
  <c r="CC73" i="3"/>
  <c r="CD73" i="3"/>
  <c r="N36" i="4"/>
  <c r="L154" i="3" l="1"/>
  <c r="FZ152" i="3"/>
  <c r="FW153" i="3"/>
  <c r="AQ154" i="3"/>
  <c r="C156" i="3"/>
  <c r="IC155" i="3"/>
  <c r="GY155" i="3"/>
  <c r="AP155" i="3"/>
  <c r="CS155" i="3" s="1"/>
  <c r="AN155" i="3"/>
  <c r="GP155" i="3"/>
  <c r="AX155" i="3"/>
  <c r="FY153" i="3"/>
  <c r="DE153" i="3"/>
  <c r="L153" i="3"/>
  <c r="M153" i="3"/>
  <c r="HP153" i="3" s="1"/>
  <c r="DD154" i="3"/>
  <c r="DC154" i="3" s="1"/>
  <c r="DB154" i="3" s="1"/>
  <c r="DA154" i="3" s="1"/>
  <c r="HT154" i="3" s="1"/>
  <c r="W154" i="3" s="1"/>
  <c r="DF154" i="3" s="1"/>
  <c r="V154" i="3"/>
  <c r="FT153" i="3"/>
  <c r="FQ153" i="3"/>
  <c r="GG154" i="3" a="1"/>
  <c r="GG154" i="3" s="1"/>
  <c r="GH154" i="3" s="1"/>
  <c r="GF154" i="3"/>
  <c r="BI158" i="3"/>
  <c r="EA158" i="3" s="1"/>
  <c r="HR158" i="3"/>
  <c r="BJ158" i="3"/>
  <c r="CO158" i="3" s="1"/>
  <c r="DG154" i="3"/>
  <c r="DI154" i="3" s="1"/>
  <c r="S159" i="3"/>
  <c r="EG159" i="3" s="1"/>
  <c r="P159" i="3"/>
  <c r="HR159" i="3" s="1"/>
  <c r="I159" i="3"/>
  <c r="J159" i="3" s="1"/>
  <c r="U159" i="3"/>
  <c r="CZ159" i="3"/>
  <c r="B160" i="3"/>
  <c r="CG159" i="3"/>
  <c r="CF159" i="3"/>
  <c r="CY159" i="3"/>
  <c r="CH159" i="3"/>
  <c r="BB159" i="3"/>
  <c r="BC159" i="3"/>
  <c r="HA161" i="3"/>
  <c r="HD160" i="3"/>
  <c r="K158" i="3"/>
  <c r="HV154" i="3"/>
  <c r="CD154" i="3"/>
  <c r="FZ153" i="3"/>
  <c r="HU154" i="3"/>
  <c r="CC154" i="3"/>
  <c r="CC68" i="3"/>
  <c r="CD68" i="3"/>
  <c r="CD46" i="3"/>
  <c r="CC46" i="3"/>
  <c r="CC75" i="3"/>
  <c r="CD75" i="3"/>
  <c r="IB11" i="3"/>
  <c r="HX11" i="3"/>
  <c r="HZ11" i="3"/>
  <c r="IA11" i="3"/>
  <c r="CD65" i="3"/>
  <c r="CC65" i="3"/>
  <c r="CD34" i="3"/>
  <c r="CC34" i="3"/>
  <c r="N65" i="4"/>
  <c r="HT153" i="3" l="1"/>
  <c r="DG153" i="3"/>
  <c r="DI153" i="3" s="1"/>
  <c r="FW154" i="3"/>
  <c r="FX154" i="3"/>
  <c r="FQ154" i="3"/>
  <c r="HO154" i="3"/>
  <c r="AQ155" i="3"/>
  <c r="FY154" i="3"/>
  <c r="FZ154" i="3" s="1"/>
  <c r="V155" i="3"/>
  <c r="DD155" i="3"/>
  <c r="DC155" i="3" s="1"/>
  <c r="DB155" i="3" s="1"/>
  <c r="DA155" i="3" s="1"/>
  <c r="HT155" i="3" s="1"/>
  <c r="W153" i="3"/>
  <c r="DF153" i="3" s="1"/>
  <c r="HO153" i="3"/>
  <c r="L155" i="3"/>
  <c r="M155" i="3"/>
  <c r="HP155" i="3" s="1"/>
  <c r="DE155" i="3"/>
  <c r="HV153" i="3"/>
  <c r="ID153" i="3" s="1"/>
  <c r="CD153" i="3"/>
  <c r="HU153" i="3"/>
  <c r="CC153" i="3"/>
  <c r="GG155" i="3" a="1"/>
  <c r="GG155" i="3" s="1"/>
  <c r="GH155" i="3" s="1"/>
  <c r="GF155" i="3"/>
  <c r="AX156" i="3"/>
  <c r="GY156" i="3"/>
  <c r="IC156" i="3"/>
  <c r="AP156" i="3"/>
  <c r="GP156" i="3"/>
  <c r="AN156" i="3"/>
  <c r="C157" i="3"/>
  <c r="FT154" i="3"/>
  <c r="HY11" i="3"/>
  <c r="ID154" i="3"/>
  <c r="BI159" i="3"/>
  <c r="EA159" i="3" s="1"/>
  <c r="BJ159" i="3"/>
  <c r="CO159" i="3" s="1"/>
  <c r="K159" i="3"/>
  <c r="DJ159" i="3" s="1"/>
  <c r="HD161" i="3"/>
  <c r="HA162" i="3"/>
  <c r="S160" i="3"/>
  <c r="EG160" i="3" s="1"/>
  <c r="U160" i="3"/>
  <c r="P160" i="3"/>
  <c r="I160" i="3"/>
  <c r="K160" i="3" s="1"/>
  <c r="CH160" i="3"/>
  <c r="CY160" i="3"/>
  <c r="CZ160" i="3"/>
  <c r="B161" i="3"/>
  <c r="CG160" i="3"/>
  <c r="CF160" i="3"/>
  <c r="BC160" i="3"/>
  <c r="BB160" i="3"/>
  <c r="DJ158" i="3"/>
  <c r="HJ154" i="3"/>
  <c r="DH154" i="3"/>
  <c r="HZ154" i="3"/>
  <c r="IA154" i="3"/>
  <c r="HX154" i="3"/>
  <c r="IB154" i="3"/>
  <c r="HY154" i="3" s="1"/>
  <c r="J25" i="5"/>
  <c r="J23" i="5" s="1"/>
  <c r="J79" i="5" s="1"/>
  <c r="J19" i="5"/>
  <c r="J14" i="5" s="1"/>
  <c r="J78" i="5" s="1"/>
  <c r="A1" i="5"/>
  <c r="L65" i="4"/>
  <c r="N39" i="4"/>
  <c r="N38" i="4"/>
  <c r="N37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F1" i="4"/>
  <c r="O73" i="2"/>
  <c r="O75" i="2" s="1"/>
  <c r="C73" i="2"/>
  <c r="O65" i="2"/>
  <c r="O67" i="2" s="1"/>
  <c r="O57" i="2"/>
  <c r="O59" i="2" s="1"/>
  <c r="A46" i="2"/>
  <c r="A45" i="2"/>
  <c r="O51" i="2"/>
  <c r="O23" i="2"/>
  <c r="O19" i="2"/>
  <c r="O14" i="2"/>
  <c r="O15" i="2" s="1"/>
  <c r="O10" i="2"/>
  <c r="O11" i="2" s="1"/>
  <c r="J4" i="2"/>
  <c r="P81" i="3" s="1"/>
  <c r="CO81" i="3" s="1"/>
  <c r="DG155" i="3" l="1"/>
  <c r="DI155" i="3" s="1"/>
  <c r="FW155" i="3"/>
  <c r="HO155" i="3"/>
  <c r="FX155" i="3"/>
  <c r="FT155" i="3"/>
  <c r="DG81" i="3"/>
  <c r="FQ155" i="3"/>
  <c r="DH153" i="3"/>
  <c r="HJ153" i="3"/>
  <c r="HU155" i="3"/>
  <c r="CC155" i="3"/>
  <c r="C158" i="3"/>
  <c r="AX157" i="3"/>
  <c r="IC157" i="3"/>
  <c r="AP157" i="3"/>
  <c r="GP157" i="3"/>
  <c r="AN157" i="3"/>
  <c r="GY157" i="3"/>
  <c r="W155" i="3"/>
  <c r="DF155" i="3" s="1"/>
  <c r="HV155" i="3"/>
  <c r="ID155" i="3" s="1"/>
  <c r="CD155" i="3"/>
  <c r="V156" i="3"/>
  <c r="DD156" i="3"/>
  <c r="DC156" i="3" s="1"/>
  <c r="DB156" i="3" s="1"/>
  <c r="DA156" i="3" s="1"/>
  <c r="HT156" i="3" s="1"/>
  <c r="GF156" i="3"/>
  <c r="GG156" i="3" a="1"/>
  <c r="GG156" i="3" s="1"/>
  <c r="GH156" i="3" s="1"/>
  <c r="HX153" i="3"/>
  <c r="HZ153" i="3"/>
  <c r="IA153" i="3"/>
  <c r="IB153" i="3"/>
  <c r="HY153" i="3" s="1"/>
  <c r="AQ156" i="3"/>
  <c r="CS156" i="3"/>
  <c r="BJ160" i="3"/>
  <c r="CO160" i="3" s="1"/>
  <c r="BI160" i="3"/>
  <c r="EA160" i="3" s="1"/>
  <c r="U161" i="3"/>
  <c r="P161" i="3"/>
  <c r="S161" i="3"/>
  <c r="EG161" i="3" s="1"/>
  <c r="I161" i="3"/>
  <c r="K161" i="3" s="1"/>
  <c r="CY161" i="3"/>
  <c r="CZ161" i="3"/>
  <c r="B162" i="3"/>
  <c r="CH161" i="3"/>
  <c r="CF161" i="3"/>
  <c r="CG161" i="3"/>
  <c r="BC161" i="3"/>
  <c r="BB161" i="3"/>
  <c r="BJ161" i="3" s="1"/>
  <c r="HA163" i="3"/>
  <c r="HD162" i="3"/>
  <c r="J160" i="3"/>
  <c r="DJ160" i="3" s="1"/>
  <c r="HR160" i="3"/>
  <c r="J39" i="2"/>
  <c r="P80" i="3"/>
  <c r="CO80" i="3" s="1"/>
  <c r="O25" i="2"/>
  <c r="J45" i="2"/>
  <c r="J46" i="2" s="1"/>
  <c r="J51" i="2" s="1"/>
  <c r="DG80" i="3" l="1"/>
  <c r="DH155" i="3"/>
  <c r="GG157" i="3" a="1"/>
  <c r="GG157" i="3" s="1"/>
  <c r="GH157" i="3" s="1"/>
  <c r="GF157" i="3"/>
  <c r="AQ157" i="3"/>
  <c r="CS157" i="3"/>
  <c r="FX156" i="3"/>
  <c r="FQ156" i="3"/>
  <c r="AX158" i="3"/>
  <c r="IC158" i="3"/>
  <c r="AN158" i="3"/>
  <c r="GY158" i="3"/>
  <c r="GP158" i="3"/>
  <c r="AP158" i="3"/>
  <c r="C159" i="3"/>
  <c r="HJ155" i="3"/>
  <c r="M156" i="3"/>
  <c r="HP156" i="3" s="1"/>
  <c r="L156" i="3"/>
  <c r="DE156" i="3"/>
  <c r="FW156" i="3"/>
  <c r="FY156" i="3"/>
  <c r="FT156" i="3"/>
  <c r="V157" i="3"/>
  <c r="DD157" i="3"/>
  <c r="DC157" i="3" s="1"/>
  <c r="DB157" i="3" s="1"/>
  <c r="DA157" i="3" s="1"/>
  <c r="HT157" i="3" s="1"/>
  <c r="IB155" i="3"/>
  <c r="HY155" i="3" s="1"/>
  <c r="HZ155" i="3"/>
  <c r="HX155" i="3"/>
  <c r="IA155" i="3"/>
  <c r="CO161" i="3"/>
  <c r="BI161" i="3"/>
  <c r="EA161" i="3" s="1"/>
  <c r="J161" i="3"/>
  <c r="DJ161" i="3" s="1"/>
  <c r="HR161" i="3"/>
  <c r="HA164" i="3"/>
  <c r="HD163" i="3"/>
  <c r="U162" i="3"/>
  <c r="P162" i="3"/>
  <c r="S162" i="3"/>
  <c r="EG162" i="3" s="1"/>
  <c r="I162" i="3"/>
  <c r="J162" i="3" s="1"/>
  <c r="CZ162" i="3"/>
  <c r="B163" i="3"/>
  <c r="CF162" i="3"/>
  <c r="CG162" i="3"/>
  <c r="CH162" i="3"/>
  <c r="CY162" i="3"/>
  <c r="BB162" i="3"/>
  <c r="BC162" i="3"/>
  <c r="M81" i="3"/>
  <c r="L81" i="3"/>
  <c r="J8" i="5"/>
  <c r="O26" i="2"/>
  <c r="K34" i="4"/>
  <c r="K29" i="4"/>
  <c r="BI162" i="3" l="1"/>
  <c r="EA162" i="3" s="1"/>
  <c r="FZ156" i="3"/>
  <c r="W156" i="3"/>
  <c r="HO156" i="3"/>
  <c r="FQ157" i="3"/>
  <c r="CD156" i="3"/>
  <c r="HV156" i="3"/>
  <c r="AP159" i="3"/>
  <c r="GP159" i="3"/>
  <c r="AN159" i="3"/>
  <c r="C160" i="3"/>
  <c r="IC159" i="3"/>
  <c r="GY159" i="3"/>
  <c r="AX159" i="3"/>
  <c r="GF158" i="3"/>
  <c r="GG158" i="3" a="1"/>
  <c r="GG158" i="3" s="1"/>
  <c r="GH158" i="3" s="1"/>
  <c r="FY157" i="3"/>
  <c r="DG156" i="3"/>
  <c r="AQ158" i="3"/>
  <c r="CS158" i="3"/>
  <c r="M157" i="3"/>
  <c r="HP157" i="3" s="1"/>
  <c r="L157" i="3"/>
  <c r="DE157" i="3"/>
  <c r="FT157" i="3"/>
  <c r="FX157" i="3"/>
  <c r="FW157" i="3"/>
  <c r="CC156" i="3"/>
  <c r="HU156" i="3"/>
  <c r="DF156" i="3"/>
  <c r="V158" i="3"/>
  <c r="DD158" i="3"/>
  <c r="DC158" i="3" s="1"/>
  <c r="DB158" i="3" s="1"/>
  <c r="DA158" i="3" s="1"/>
  <c r="HT158" i="3" s="1"/>
  <c r="HR162" i="3"/>
  <c r="HV81" i="3"/>
  <c r="ID81" i="3" s="1"/>
  <c r="BJ162" i="3"/>
  <c r="CO162" i="3" s="1"/>
  <c r="K162" i="3"/>
  <c r="DJ162" i="3" s="1"/>
  <c r="I163" i="3"/>
  <c r="J163" i="3" s="1"/>
  <c r="P163" i="3"/>
  <c r="U163" i="3"/>
  <c r="S163" i="3"/>
  <c r="EG163" i="3" s="1"/>
  <c r="CZ163" i="3"/>
  <c r="B164" i="3"/>
  <c r="CG163" i="3"/>
  <c r="CH163" i="3"/>
  <c r="CF163" i="3"/>
  <c r="CY163" i="3"/>
  <c r="BB163" i="3"/>
  <c r="BC163" i="3"/>
  <c r="HD164" i="3"/>
  <c r="HA165" i="3"/>
  <c r="DI81" i="3"/>
  <c r="HP81" i="3"/>
  <c r="HR81" i="3"/>
  <c r="HT81" i="3"/>
  <c r="L80" i="3"/>
  <c r="M80" i="3"/>
  <c r="K31" i="4"/>
  <c r="DI156" i="3" l="1"/>
  <c r="FZ157" i="3"/>
  <c r="FY158" i="3"/>
  <c r="FX158" i="3"/>
  <c r="FT158" i="3"/>
  <c r="W81" i="3"/>
  <c r="DE81" i="3" s="1"/>
  <c r="HU157" i="3"/>
  <c r="CC157" i="3"/>
  <c r="FW158" i="3"/>
  <c r="HV157" i="3"/>
  <c r="DG157" i="3"/>
  <c r="DI157" i="3" s="1"/>
  <c r="CD157" i="3"/>
  <c r="ID156" i="3"/>
  <c r="CS159" i="3"/>
  <c r="AQ159" i="3"/>
  <c r="FQ158" i="3"/>
  <c r="HJ156" i="3"/>
  <c r="DH156" i="3"/>
  <c r="W157" i="3"/>
  <c r="DF157" i="3" s="1"/>
  <c r="HO157" i="3"/>
  <c r="IB156" i="3"/>
  <c r="HY156" i="3" s="1"/>
  <c r="IA156" i="3"/>
  <c r="HX156" i="3"/>
  <c r="HZ156" i="3"/>
  <c r="L158" i="3"/>
  <c r="M158" i="3"/>
  <c r="HP158" i="3" s="1"/>
  <c r="DE158" i="3"/>
  <c r="GF159" i="3"/>
  <c r="GG159" i="3" a="1"/>
  <c r="GG159" i="3" s="1"/>
  <c r="GH159" i="3" s="1"/>
  <c r="IC160" i="3"/>
  <c r="AX160" i="3"/>
  <c r="GY160" i="3"/>
  <c r="AN160" i="3"/>
  <c r="AP160" i="3"/>
  <c r="GP160" i="3"/>
  <c r="C161" i="3"/>
  <c r="DD159" i="3"/>
  <c r="DC159" i="3" s="1"/>
  <c r="DB159" i="3" s="1"/>
  <c r="DA159" i="3" s="1"/>
  <c r="FW159" i="3" s="1"/>
  <c r="V159" i="3"/>
  <c r="K163" i="3"/>
  <c r="DJ163" i="3" s="1"/>
  <c r="BI163" i="3"/>
  <c r="EA163" i="3" s="1"/>
  <c r="BJ163" i="3"/>
  <c r="CO163" i="3" s="1"/>
  <c r="U164" i="3"/>
  <c r="P164" i="3"/>
  <c r="S164" i="3"/>
  <c r="EG164" i="3" s="1"/>
  <c r="I164" i="3"/>
  <c r="J164" i="3" s="1"/>
  <c r="CF164" i="3"/>
  <c r="CG164" i="3"/>
  <c r="CH164" i="3"/>
  <c r="CY164" i="3"/>
  <c r="CZ164" i="3"/>
  <c r="B165" i="3"/>
  <c r="BC164" i="3"/>
  <c r="BB164" i="3"/>
  <c r="HD165" i="3"/>
  <c r="HA166" i="3"/>
  <c r="HR163" i="3"/>
  <c r="HO81" i="3"/>
  <c r="HP80" i="3"/>
  <c r="HR80" i="3"/>
  <c r="HT80" i="3"/>
  <c r="HV80" i="3"/>
  <c r="ID80" i="3" s="1"/>
  <c r="DI80" i="3"/>
  <c r="FZ158" i="3" l="1"/>
  <c r="HT159" i="3"/>
  <c r="FT159" i="3"/>
  <c r="FQ159" i="3"/>
  <c r="AQ160" i="3"/>
  <c r="CS160" i="3"/>
  <c r="HU158" i="3"/>
  <c r="CC158" i="3"/>
  <c r="W158" i="3"/>
  <c r="DF158" i="3" s="1"/>
  <c r="HO158" i="3"/>
  <c r="FY159" i="3"/>
  <c r="CD158" i="3"/>
  <c r="DG158" i="3"/>
  <c r="DI158" i="3" s="1"/>
  <c r="HV158" i="3"/>
  <c r="ID157" i="3"/>
  <c r="V160" i="3"/>
  <c r="DD160" i="3"/>
  <c r="DC160" i="3" s="1"/>
  <c r="DB160" i="3" s="1"/>
  <c r="DA160" i="3" s="1"/>
  <c r="HT160" i="3" s="1"/>
  <c r="W80" i="3"/>
  <c r="GY161" i="3"/>
  <c r="AP161" i="3"/>
  <c r="CS161" i="3" s="1"/>
  <c r="AN161" i="3"/>
  <c r="AX161" i="3"/>
  <c r="GP161" i="3"/>
  <c r="C162" i="3"/>
  <c r="IC161" i="3"/>
  <c r="GF161" i="3" s="1"/>
  <c r="FX159" i="3"/>
  <c r="GG160" i="3" a="1"/>
  <c r="GG160" i="3" s="1"/>
  <c r="GH160" i="3" s="1"/>
  <c r="GF160" i="3"/>
  <c r="HZ157" i="3"/>
  <c r="HX157" i="3"/>
  <c r="IA157" i="3"/>
  <c r="IB157" i="3"/>
  <c r="HY157" i="3" s="1"/>
  <c r="L159" i="3"/>
  <c r="M159" i="3"/>
  <c r="HP159" i="3" s="1"/>
  <c r="W159" i="3" s="1"/>
  <c r="DE159" i="3"/>
  <c r="HJ157" i="3"/>
  <c r="DH157" i="3"/>
  <c r="BJ164" i="3"/>
  <c r="CO164" i="3" s="1"/>
  <c r="DE80" i="3"/>
  <c r="DF80" i="3" s="1"/>
  <c r="BI164" i="3"/>
  <c r="EA164" i="3" s="1"/>
  <c r="K164" i="3"/>
  <c r="S165" i="3"/>
  <c r="EG165" i="3" s="1"/>
  <c r="U165" i="3"/>
  <c r="P165" i="3"/>
  <c r="I165" i="3"/>
  <c r="J165" i="3" s="1"/>
  <c r="CH165" i="3"/>
  <c r="CY165" i="3"/>
  <c r="CZ165" i="3"/>
  <c r="B166" i="3"/>
  <c r="CF165" i="3"/>
  <c r="CG165" i="3"/>
  <c r="BC165" i="3"/>
  <c r="BB165" i="3"/>
  <c r="HD166" i="3"/>
  <c r="HA167" i="3"/>
  <c r="HD167" i="3" s="1"/>
  <c r="HQ164" i="3"/>
  <c r="HR164" i="3"/>
  <c r="HT164" i="3"/>
  <c r="HO80" i="3"/>
  <c r="DF81" i="3"/>
  <c r="HU81" i="3"/>
  <c r="H51" i="5"/>
  <c r="DF159" i="3" l="1"/>
  <c r="HJ159" i="3" s="1"/>
  <c r="BJ165" i="3"/>
  <c r="CO165" i="3" s="1"/>
  <c r="ID158" i="3"/>
  <c r="FZ159" i="3"/>
  <c r="FW160" i="3"/>
  <c r="FT160" i="3"/>
  <c r="DH158" i="3"/>
  <c r="HJ158" i="3"/>
  <c r="IB158" i="3"/>
  <c r="HY158" i="3" s="1"/>
  <c r="IA158" i="3"/>
  <c r="HZ158" i="3"/>
  <c r="HX158" i="3"/>
  <c r="IC162" i="3"/>
  <c r="AX162" i="3"/>
  <c r="GY162" i="3"/>
  <c r="AP162" i="3"/>
  <c r="CS162" i="3" s="1"/>
  <c r="GP162" i="3"/>
  <c r="AN162" i="3"/>
  <c r="C163" i="3"/>
  <c r="FQ160" i="3"/>
  <c r="FX160" i="3"/>
  <c r="FY160" i="3"/>
  <c r="HU159" i="3"/>
  <c r="CC159" i="3"/>
  <c r="V161" i="3"/>
  <c r="DD161" i="3"/>
  <c r="DC161" i="3" s="1"/>
  <c r="DB161" i="3" s="1"/>
  <c r="DA161" i="3" s="1"/>
  <c r="FQ161" i="3" s="1"/>
  <c r="M161" i="3"/>
  <c r="HP161" i="3" s="1"/>
  <c r="DE161" i="3"/>
  <c r="L161" i="3"/>
  <c r="DE160" i="3"/>
  <c r="M160" i="3"/>
  <c r="HP160" i="3" s="1"/>
  <c r="L160" i="3"/>
  <c r="AQ162" i="3"/>
  <c r="HV159" i="3"/>
  <c r="DG159" i="3"/>
  <c r="DI159" i="3" s="1"/>
  <c r="CD159" i="3"/>
  <c r="HO159" i="3"/>
  <c r="AQ161" i="3"/>
  <c r="HU80" i="3"/>
  <c r="HR165" i="3"/>
  <c r="BI165" i="3"/>
  <c r="EA165" i="3" s="1"/>
  <c r="K165" i="3"/>
  <c r="DJ165" i="3" s="1"/>
  <c r="S166" i="3"/>
  <c r="P166" i="3"/>
  <c r="I166" i="3"/>
  <c r="J166" i="3" s="1"/>
  <c r="U166" i="3"/>
  <c r="CZ166" i="3"/>
  <c r="B167" i="3"/>
  <c r="CF166" i="3"/>
  <c r="CH166" i="3"/>
  <c r="CY166" i="3"/>
  <c r="CG166" i="3"/>
  <c r="BB166" i="3"/>
  <c r="BC166" i="3"/>
  <c r="DJ164" i="3"/>
  <c r="DE162" i="3"/>
  <c r="HX81" i="3"/>
  <c r="HZ81" i="3"/>
  <c r="IA81" i="3"/>
  <c r="IB81" i="3"/>
  <c r="HY81" i="3" s="1"/>
  <c r="DH80" i="3"/>
  <c r="HJ80" i="3"/>
  <c r="DH81" i="3"/>
  <c r="HJ81" i="3"/>
  <c r="CD80" i="3"/>
  <c r="CC80" i="3"/>
  <c r="CD81" i="3"/>
  <c r="CC81" i="3"/>
  <c r="J51" i="5"/>
  <c r="M162" i="3" l="1"/>
  <c r="HX80" i="3"/>
  <c r="IB80" i="3"/>
  <c r="IA80" i="3"/>
  <c r="FZ160" i="3"/>
  <c r="FT161" i="3"/>
  <c r="FY161" i="3"/>
  <c r="HT161" i="3"/>
  <c r="W161" i="3" s="1"/>
  <c r="L162" i="3"/>
  <c r="HZ80" i="3"/>
  <c r="GP163" i="3"/>
  <c r="IC163" i="3"/>
  <c r="AN163" i="3"/>
  <c r="GY163" i="3"/>
  <c r="AP163" i="3"/>
  <c r="C164" i="3"/>
  <c r="AX163" i="3"/>
  <c r="V162" i="3"/>
  <c r="DD162" i="3"/>
  <c r="DC162" i="3" s="1"/>
  <c r="DB162" i="3" s="1"/>
  <c r="DA162" i="3" s="1"/>
  <c r="HT162" i="3" s="1"/>
  <c r="FX161" i="3"/>
  <c r="ID159" i="3"/>
  <c r="FW161" i="3"/>
  <c r="DG160" i="3"/>
  <c r="DI160" i="3" s="1"/>
  <c r="HV160" i="3"/>
  <c r="CD160" i="3"/>
  <c r="W160" i="3"/>
  <c r="DF160" i="3" s="1"/>
  <c r="HO160" i="3"/>
  <c r="HZ159" i="3"/>
  <c r="IB159" i="3"/>
  <c r="HY159" i="3" s="1"/>
  <c r="IA159" i="3"/>
  <c r="HX159" i="3"/>
  <c r="CC160" i="3"/>
  <c r="HU160" i="3"/>
  <c r="DH159" i="3"/>
  <c r="CD161" i="3"/>
  <c r="DG161" i="3"/>
  <c r="DI161" i="3" s="1"/>
  <c r="HV161" i="3"/>
  <c r="GG162" i="3" a="1"/>
  <c r="GG162" i="3" s="1"/>
  <c r="GH162" i="3" s="1"/>
  <c r="GF162" i="3"/>
  <c r="CC161" i="3"/>
  <c r="HU161" i="3"/>
  <c r="IA161" i="3" s="1"/>
  <c r="HY80" i="3"/>
  <c r="BI166" i="3"/>
  <c r="EA166" i="3" s="1"/>
  <c r="K166" i="3"/>
  <c r="DJ166" i="3" s="1"/>
  <c r="BJ166" i="3"/>
  <c r="CO166" i="3" s="1"/>
  <c r="S167" i="3"/>
  <c r="I167" i="3"/>
  <c r="J167" i="3" s="1"/>
  <c r="J7" i="3" s="1"/>
  <c r="P167" i="3"/>
  <c r="U167" i="3"/>
  <c r="CY167" i="3"/>
  <c r="CY5" i="3" s="1"/>
  <c r="CH167" i="3"/>
  <c r="CG167" i="3"/>
  <c r="CF167" i="3"/>
  <c r="CZ167" i="3"/>
  <c r="CZ5" i="3" s="1"/>
  <c r="BB167" i="3"/>
  <c r="BC167" i="3"/>
  <c r="IB161" i="3"/>
  <c r="HY161" i="3" s="1"/>
  <c r="HO161" i="3"/>
  <c r="HV162" i="3"/>
  <c r="CD162" i="3"/>
  <c r="HP162" i="3"/>
  <c r="HU162" i="3"/>
  <c r="CC162" i="3"/>
  <c r="HZ161" i="3"/>
  <c r="DG162" i="3"/>
  <c r="HX161" i="3" l="1"/>
  <c r="FZ161" i="3"/>
  <c r="ID161" i="3"/>
  <c r="W162" i="3"/>
  <c r="FW162" i="3"/>
  <c r="FT162" i="3"/>
  <c r="FX162" i="3"/>
  <c r="FQ162" i="3"/>
  <c r="C165" i="3"/>
  <c r="AX164" i="3"/>
  <c r="GY164" i="3"/>
  <c r="IC164" i="3"/>
  <c r="AP164" i="3"/>
  <c r="AN164" i="3"/>
  <c r="GP164" i="3"/>
  <c r="CS163" i="3"/>
  <c r="AQ163" i="3"/>
  <c r="IB160" i="3"/>
  <c r="HY160" i="3" s="1"/>
  <c r="HX160" i="3"/>
  <c r="IA160" i="3"/>
  <c r="HZ160" i="3"/>
  <c r="V163" i="3"/>
  <c r="DD163" i="3"/>
  <c r="DC163" i="3" s="1"/>
  <c r="DB163" i="3" s="1"/>
  <c r="DA163" i="3" s="1"/>
  <c r="HT163" i="3" s="1"/>
  <c r="HJ160" i="3"/>
  <c r="DH160" i="3"/>
  <c r="DO160" i="3" s="1"/>
  <c r="GF163" i="3"/>
  <c r="GG163" i="3" a="1"/>
  <c r="GG163" i="3" s="1"/>
  <c r="GH163" i="3" s="1"/>
  <c r="ID160" i="3"/>
  <c r="BI167" i="3"/>
  <c r="EA167" i="3" s="1"/>
  <c r="K167" i="3"/>
  <c r="DG166" i="3"/>
  <c r="M166" i="3"/>
  <c r="BJ167" i="3"/>
  <c r="CO167" i="3" s="1"/>
  <c r="L167" i="3" s="1"/>
  <c r="L166" i="3"/>
  <c r="HO162" i="3"/>
  <c r="DF162" i="3"/>
  <c r="DF161" i="3"/>
  <c r="IA162" i="3"/>
  <c r="HX162" i="3"/>
  <c r="HZ162" i="3"/>
  <c r="ID162" i="3"/>
  <c r="DI162" i="3"/>
  <c r="IB162" i="3"/>
  <c r="HY162" i="3" s="1"/>
  <c r="FX163" i="3" l="1"/>
  <c r="V164" i="3"/>
  <c r="DD164" i="3"/>
  <c r="DC164" i="3" s="1"/>
  <c r="DB164" i="3" s="1"/>
  <c r="DA164" i="3" s="1"/>
  <c r="CS164" i="3"/>
  <c r="AQ164" i="3"/>
  <c r="GG164" i="3" a="1"/>
  <c r="GG164" i="3" s="1"/>
  <c r="GH164" i="3" s="1"/>
  <c r="GF164" i="3"/>
  <c r="FW163" i="3"/>
  <c r="FT163" i="3"/>
  <c r="FQ163" i="3"/>
  <c r="IC165" i="3"/>
  <c r="C166" i="3"/>
  <c r="AX165" i="3"/>
  <c r="GY165" i="3"/>
  <c r="AN165" i="3"/>
  <c r="GP165" i="3"/>
  <c r="AP165" i="3"/>
  <c r="M163" i="3"/>
  <c r="HP163" i="3" s="1"/>
  <c r="L163" i="3"/>
  <c r="DG163" i="3" s="1"/>
  <c r="DI163" i="3" s="1"/>
  <c r="DE163" i="3"/>
  <c r="DG167" i="3"/>
  <c r="DI166" i="3"/>
  <c r="HP166" i="3"/>
  <c r="HR166" i="3"/>
  <c r="HV166" i="3"/>
  <c r="ID166" i="3" s="1"/>
  <c r="K7" i="3"/>
  <c r="J54" i="5" s="1"/>
  <c r="O7" i="3"/>
  <c r="DJ167" i="3"/>
  <c r="DJ6" i="3" s="1"/>
  <c r="M167" i="3"/>
  <c r="HJ162" i="3"/>
  <c r="DH162" i="3"/>
  <c r="HJ161" i="3"/>
  <c r="DH161" i="3"/>
  <c r="K23" i="4"/>
  <c r="HV163" i="3" l="1"/>
  <c r="ID163" i="3" s="1"/>
  <c r="CD163" i="3"/>
  <c r="GG165" i="3" a="1"/>
  <c r="GG165" i="3" s="1"/>
  <c r="GH165" i="3" s="1"/>
  <c r="GF165" i="3"/>
  <c r="W163" i="3"/>
  <c r="DF163" i="3" s="1"/>
  <c r="HO163" i="3"/>
  <c r="L164" i="3"/>
  <c r="M164" i="3"/>
  <c r="HP164" i="3" s="1"/>
  <c r="DE164" i="3"/>
  <c r="GP166" i="3"/>
  <c r="AX166" i="3"/>
  <c r="C167" i="3"/>
  <c r="IC166" i="3"/>
  <c r="GY166" i="3"/>
  <c r="AN166" i="3"/>
  <c r="CS165" i="3"/>
  <c r="AQ165" i="3"/>
  <c r="FW164" i="3"/>
  <c r="FQ164" i="3"/>
  <c r="FX164" i="3"/>
  <c r="FY164" i="3"/>
  <c r="FT164" i="3"/>
  <c r="HU163" i="3"/>
  <c r="CC163" i="3"/>
  <c r="V165" i="3"/>
  <c r="DD165" i="3"/>
  <c r="DC165" i="3" s="1"/>
  <c r="DB165" i="3" s="1"/>
  <c r="DA165" i="3" s="1"/>
  <c r="J66" i="5"/>
  <c r="J35" i="5" s="1"/>
  <c r="J34" i="5" s="1"/>
  <c r="J85" i="5"/>
  <c r="J83" i="5" s="1"/>
  <c r="J88" i="5"/>
  <c r="DI167" i="3"/>
  <c r="HP167" i="3"/>
  <c r="HQ167" i="3"/>
  <c r="HR167" i="3"/>
  <c r="HV167" i="3"/>
  <c r="ID167" i="3" s="1"/>
  <c r="HT165" i="3" l="1"/>
  <c r="IF165" i="3"/>
  <c r="DH163" i="3"/>
  <c r="HJ163" i="3"/>
  <c r="GY167" i="3"/>
  <c r="AN167" i="3"/>
  <c r="GP167" i="3"/>
  <c r="AX167" i="3"/>
  <c r="IC167" i="3"/>
  <c r="FZ164" i="3"/>
  <c r="FY165" i="3"/>
  <c r="FW165" i="3"/>
  <c r="L165" i="3"/>
  <c r="DG165" i="3"/>
  <c r="M165" i="3"/>
  <c r="DG164" i="3"/>
  <c r="FT165" i="3"/>
  <c r="FX165" i="3"/>
  <c r="HX163" i="3"/>
  <c r="HZ163" i="3"/>
  <c r="IA163" i="3"/>
  <c r="IB163" i="3"/>
  <c r="HY163" i="3" s="1"/>
  <c r="V166" i="3"/>
  <c r="DD166" i="3"/>
  <c r="DC166" i="3" s="1"/>
  <c r="DB166" i="3" s="1"/>
  <c r="DA166" i="3" s="1"/>
  <c r="HU164" i="3"/>
  <c r="CC164" i="3"/>
  <c r="FQ165" i="3"/>
  <c r="W164" i="3"/>
  <c r="DF164" i="3" s="1"/>
  <c r="HO164" i="3"/>
  <c r="HM10" i="3"/>
  <c r="GF166" i="3"/>
  <c r="GG166" i="3" a="1"/>
  <c r="GG166" i="3" s="1"/>
  <c r="GH166" i="3" s="1"/>
  <c r="CD164" i="3"/>
  <c r="HV164" i="3"/>
  <c r="HL11" i="3"/>
  <c r="DI164" i="3" l="1"/>
  <c r="DG6" i="3"/>
  <c r="J32" i="2" s="1"/>
  <c r="FZ165" i="3"/>
  <c r="HT166" i="3"/>
  <c r="W166" i="3" s="1"/>
  <c r="DE166" i="3" s="1"/>
  <c r="IF166" i="3"/>
  <c r="FW166" i="3"/>
  <c r="FQ166" i="3"/>
  <c r="FT166" i="3"/>
  <c r="FX166" i="3"/>
  <c r="ID164" i="3"/>
  <c r="HJ164" i="3"/>
  <c r="DH164" i="3"/>
  <c r="GF167" i="3"/>
  <c r="GG167" i="3" a="1"/>
  <c r="GG167" i="3" s="1"/>
  <c r="GH167" i="3" s="1"/>
  <c r="HP165" i="3"/>
  <c r="DI165" i="3"/>
  <c r="DI6" i="3" s="1"/>
  <c r="M7" i="3"/>
  <c r="HM11" i="3"/>
  <c r="HL12" i="3"/>
  <c r="L7" i="3"/>
  <c r="HV165" i="3"/>
  <c r="ID165" i="3" s="1"/>
  <c r="V167" i="3"/>
  <c r="DD167" i="3"/>
  <c r="FY166" i="3"/>
  <c r="IB164" i="3"/>
  <c r="HY164" i="3" s="1"/>
  <c r="HX164" i="3"/>
  <c r="HZ164" i="3"/>
  <c r="IA164" i="3"/>
  <c r="HU166" i="3"/>
  <c r="DF166" i="3"/>
  <c r="CD166" i="3"/>
  <c r="CC166" i="3"/>
  <c r="HO166" i="3" l="1"/>
  <c r="J25" i="2"/>
  <c r="J27" i="2" s="1"/>
  <c r="FZ166" i="3"/>
  <c r="J5" i="2"/>
  <c r="GK3" i="3" s="1"/>
  <c r="DC167" i="3"/>
  <c r="HT167" i="3"/>
  <c r="DD5" i="3"/>
  <c r="W165" i="3"/>
  <c r="DE165" i="3" s="1"/>
  <c r="HU165" i="3" s="1"/>
  <c r="HP8" i="3"/>
  <c r="HO165" i="3"/>
  <c r="HL13" i="3"/>
  <c r="HM12" i="3"/>
  <c r="GC164" i="3"/>
  <c r="GD164" i="3" s="1"/>
  <c r="GE164" i="3" s="1"/>
  <c r="DO164" i="3"/>
  <c r="DO4" i="3" s="1"/>
  <c r="K21" i="4" s="1"/>
  <c r="EV3" i="3"/>
  <c r="M32" i="4" s="1"/>
  <c r="HJ166" i="3"/>
  <c r="DH166" i="3"/>
  <c r="HZ166" i="3"/>
  <c r="HX166" i="3"/>
  <c r="IA166" i="3"/>
  <c r="IB166" i="3"/>
  <c r="HY166" i="3" s="1"/>
  <c r="EJ3" i="3" l="1"/>
  <c r="EJ5" i="3" s="1"/>
  <c r="HC2" i="3"/>
  <c r="M36" i="4" s="1"/>
  <c r="EP3" i="3"/>
  <c r="CD165" i="3"/>
  <c r="DO3" i="3"/>
  <c r="M21" i="4" s="1"/>
  <c r="CC165" i="3"/>
  <c r="M28" i="4"/>
  <c r="ES3" i="3"/>
  <c r="GK2" i="3"/>
  <c r="DX3" i="3"/>
  <c r="M24" i="4" s="1"/>
  <c r="FB3" i="3"/>
  <c r="GT4" i="3"/>
  <c r="EG3" i="3"/>
  <c r="M27" i="4" s="1"/>
  <c r="GK4" i="3"/>
  <c r="GT2" i="3"/>
  <c r="FW3" i="3"/>
  <c r="M39" i="4" s="1"/>
  <c r="DU3" i="3"/>
  <c r="FE3" i="3"/>
  <c r="M35" i="4" s="1"/>
  <c r="FQ3" i="3"/>
  <c r="M38" i="4" s="1"/>
  <c r="EM3" i="3"/>
  <c r="EA3" i="3"/>
  <c r="M25" i="4" s="1"/>
  <c r="GT3" i="3"/>
  <c r="DF165" i="3"/>
  <c r="DH165" i="3" s="1"/>
  <c r="ED3" i="3"/>
  <c r="M26" i="4" s="1"/>
  <c r="DR3" i="3"/>
  <c r="M22" i="4" s="1"/>
  <c r="FT3" i="3"/>
  <c r="M37" i="4" s="1"/>
  <c r="EY3" i="3"/>
  <c r="M33" i="4" s="1"/>
  <c r="EP5" i="3"/>
  <c r="M30" i="4"/>
  <c r="HL14" i="3"/>
  <c r="HM13" i="3"/>
  <c r="HT7" i="3"/>
  <c r="W167" i="3"/>
  <c r="HO167" i="3"/>
  <c r="HO8" i="3" s="1"/>
  <c r="DC5" i="3"/>
  <c r="DB167" i="3"/>
  <c r="IA165" i="3"/>
  <c r="HX165" i="3"/>
  <c r="HZ165" i="3"/>
  <c r="IB165" i="3"/>
  <c r="DO5" i="3" l="1"/>
  <c r="HJ165" i="3"/>
  <c r="FB5" i="3"/>
  <c r="O34" i="4" s="1"/>
  <c r="M34" i="4"/>
  <c r="DU5" i="3"/>
  <c r="O23" i="4" s="1"/>
  <c r="M23" i="4"/>
  <c r="ES5" i="3"/>
  <c r="O31" i="4" s="1"/>
  <c r="M31" i="4"/>
  <c r="EM5" i="3"/>
  <c r="O29" i="4" s="1"/>
  <c r="M29" i="4"/>
  <c r="W7" i="3"/>
  <c r="DE167" i="3"/>
  <c r="HL15" i="3"/>
  <c r="HM14" i="3"/>
  <c r="DA167" i="3"/>
  <c r="IF167" i="3" s="1"/>
  <c r="DB5" i="3"/>
  <c r="DO6" i="3"/>
  <c r="O21" i="4"/>
  <c r="HY165" i="3"/>
  <c r="DP16" i="3" l="1"/>
  <c r="DQ16" i="3" s="1"/>
  <c r="DP46" i="3"/>
  <c r="DQ46" i="3" s="1"/>
  <c r="DP13" i="3"/>
  <c r="DQ13" i="3" s="1"/>
  <c r="DP124" i="3"/>
  <c r="DQ124" i="3" s="1"/>
  <c r="DP51" i="3"/>
  <c r="DQ51" i="3" s="1"/>
  <c r="DP31" i="3"/>
  <c r="DQ31" i="3" s="1"/>
  <c r="DP133" i="3"/>
  <c r="DQ133" i="3" s="1"/>
  <c r="DP35" i="3"/>
  <c r="DQ35" i="3" s="1"/>
  <c r="DP74" i="3"/>
  <c r="DQ74" i="3" s="1"/>
  <c r="DP64" i="3"/>
  <c r="DQ64" i="3" s="1"/>
  <c r="DP163" i="3"/>
  <c r="DQ163" i="3" s="1"/>
  <c r="DP10" i="3"/>
  <c r="DP123" i="3"/>
  <c r="DQ123" i="3" s="1"/>
  <c r="DP72" i="3"/>
  <c r="DQ72" i="3" s="1"/>
  <c r="DP109" i="3"/>
  <c r="DQ109" i="3" s="1"/>
  <c r="DP157" i="3"/>
  <c r="DQ157" i="3" s="1"/>
  <c r="DP165" i="3"/>
  <c r="DQ165" i="3" s="1"/>
  <c r="DP162" i="3"/>
  <c r="DQ162" i="3" s="1"/>
  <c r="DP96" i="3"/>
  <c r="DQ96" i="3" s="1"/>
  <c r="DP159" i="3"/>
  <c r="DQ159" i="3" s="1"/>
  <c r="DP77" i="3"/>
  <c r="DQ77" i="3" s="1"/>
  <c r="DP55" i="3"/>
  <c r="DQ55" i="3" s="1"/>
  <c r="DP101" i="3"/>
  <c r="DQ101" i="3" s="1"/>
  <c r="DP50" i="3"/>
  <c r="DQ50" i="3" s="1"/>
  <c r="DP126" i="3"/>
  <c r="DQ126" i="3" s="1"/>
  <c r="DP117" i="3"/>
  <c r="DQ117" i="3" s="1"/>
  <c r="DP134" i="3"/>
  <c r="DQ134" i="3" s="1"/>
  <c r="DP158" i="3"/>
  <c r="DQ158" i="3" s="1"/>
  <c r="DP149" i="3"/>
  <c r="DQ149" i="3" s="1"/>
  <c r="DP63" i="3"/>
  <c r="DQ63" i="3" s="1"/>
  <c r="DP148" i="3"/>
  <c r="DQ148" i="3" s="1"/>
  <c r="DP112" i="3"/>
  <c r="DQ112" i="3" s="1"/>
  <c r="DP56" i="3"/>
  <c r="DQ56" i="3" s="1"/>
  <c r="DP128" i="3"/>
  <c r="DQ128" i="3" s="1"/>
  <c r="DP132" i="3"/>
  <c r="DQ132" i="3" s="1"/>
  <c r="DP104" i="3"/>
  <c r="DQ104" i="3" s="1"/>
  <c r="DP68" i="3"/>
  <c r="DQ68" i="3" s="1"/>
  <c r="DP30" i="3"/>
  <c r="DQ30" i="3" s="1"/>
  <c r="DP131" i="3"/>
  <c r="DQ131" i="3" s="1"/>
  <c r="DP119" i="3"/>
  <c r="DQ119" i="3" s="1"/>
  <c r="DP41" i="3"/>
  <c r="DQ41" i="3" s="1"/>
  <c r="DP42" i="3"/>
  <c r="DQ42" i="3" s="1"/>
  <c r="DP103" i="3"/>
  <c r="DQ103" i="3" s="1"/>
  <c r="DP79" i="3"/>
  <c r="DQ79" i="3" s="1"/>
  <c r="DP24" i="3"/>
  <c r="DQ24" i="3" s="1"/>
  <c r="DP62" i="3"/>
  <c r="DQ62" i="3" s="1"/>
  <c r="DP20" i="3"/>
  <c r="DQ20" i="3" s="1"/>
  <c r="DP145" i="3"/>
  <c r="DQ145" i="3" s="1"/>
  <c r="DP135" i="3"/>
  <c r="DQ135" i="3" s="1"/>
  <c r="DP47" i="3"/>
  <c r="DQ47" i="3" s="1"/>
  <c r="DP153" i="3"/>
  <c r="DQ153" i="3" s="1"/>
  <c r="DP127" i="3"/>
  <c r="DQ127" i="3" s="1"/>
  <c r="DP73" i="3"/>
  <c r="DQ73" i="3" s="1"/>
  <c r="DP100" i="3"/>
  <c r="DQ100" i="3" s="1"/>
  <c r="DP21" i="3"/>
  <c r="DQ21" i="3" s="1"/>
  <c r="DP59" i="3"/>
  <c r="DQ59" i="3" s="1"/>
  <c r="DP129" i="3"/>
  <c r="DQ129" i="3" s="1"/>
  <c r="DP91" i="3"/>
  <c r="DQ91" i="3" s="1"/>
  <c r="DP154" i="3"/>
  <c r="DQ154" i="3" s="1"/>
  <c r="DP166" i="3"/>
  <c r="DQ166" i="3" s="1"/>
  <c r="DP54" i="3"/>
  <c r="DQ54" i="3" s="1"/>
  <c r="DP37" i="3"/>
  <c r="DQ37" i="3" s="1"/>
  <c r="DP108" i="3"/>
  <c r="DQ108" i="3" s="1"/>
  <c r="DP156" i="3"/>
  <c r="DQ156" i="3" s="1"/>
  <c r="DP82" i="3"/>
  <c r="DQ82" i="3" s="1"/>
  <c r="DP83" i="3"/>
  <c r="DQ83" i="3" s="1"/>
  <c r="DP155" i="3"/>
  <c r="DQ155" i="3" s="1"/>
  <c r="DP139" i="3"/>
  <c r="DQ139" i="3" s="1"/>
  <c r="DP25" i="3"/>
  <c r="DQ25" i="3" s="1"/>
  <c r="DP142" i="3"/>
  <c r="DQ142" i="3" s="1"/>
  <c r="DP98" i="3"/>
  <c r="DQ98" i="3" s="1"/>
  <c r="DP164" i="3"/>
  <c r="DQ164" i="3" s="1"/>
  <c r="DR164" i="3" s="1"/>
  <c r="DP93" i="3"/>
  <c r="DQ93" i="3" s="1"/>
  <c r="DP144" i="3"/>
  <c r="DQ144" i="3" s="1"/>
  <c r="DP121" i="3"/>
  <c r="DQ121" i="3" s="1"/>
  <c r="DP143" i="3"/>
  <c r="DQ143" i="3" s="1"/>
  <c r="DP32" i="3"/>
  <c r="DQ32" i="3" s="1"/>
  <c r="DP107" i="3"/>
  <c r="DQ107" i="3" s="1"/>
  <c r="DP78" i="3"/>
  <c r="DQ78" i="3" s="1"/>
  <c r="DP66" i="3"/>
  <c r="DQ66" i="3" s="1"/>
  <c r="DP152" i="3"/>
  <c r="DQ152" i="3" s="1"/>
  <c r="DP39" i="3"/>
  <c r="DQ39" i="3" s="1"/>
  <c r="DP94" i="3"/>
  <c r="DQ94" i="3" s="1"/>
  <c r="DP99" i="3"/>
  <c r="DQ99" i="3" s="1"/>
  <c r="DP27" i="3"/>
  <c r="DQ27" i="3" s="1"/>
  <c r="DP138" i="3"/>
  <c r="DQ138" i="3" s="1"/>
  <c r="DP147" i="3"/>
  <c r="DQ147" i="3" s="1"/>
  <c r="DP85" i="3"/>
  <c r="DQ85" i="3" s="1"/>
  <c r="DP116" i="3"/>
  <c r="DQ116" i="3" s="1"/>
  <c r="DP15" i="3"/>
  <c r="DQ15" i="3" s="1"/>
  <c r="DP11" i="3"/>
  <c r="DQ11" i="3" s="1"/>
  <c r="DP110" i="3"/>
  <c r="DQ110" i="3" s="1"/>
  <c r="DP102" i="3"/>
  <c r="DQ102" i="3" s="1"/>
  <c r="DP160" i="3"/>
  <c r="DQ160" i="3" s="1"/>
  <c r="DR160" i="3" s="1"/>
  <c r="DP53" i="3"/>
  <c r="DQ53" i="3" s="1"/>
  <c r="DP49" i="3"/>
  <c r="DQ49" i="3" s="1"/>
  <c r="DP130" i="3"/>
  <c r="DQ130" i="3" s="1"/>
  <c r="DP81" i="3"/>
  <c r="DQ81" i="3" s="1"/>
  <c r="DP141" i="3"/>
  <c r="DQ141" i="3" s="1"/>
  <c r="DP14" i="3"/>
  <c r="DQ14" i="3" s="1"/>
  <c r="DP12" i="3"/>
  <c r="DQ12" i="3" s="1"/>
  <c r="DP70" i="3"/>
  <c r="DQ70" i="3" s="1"/>
  <c r="DP38" i="3"/>
  <c r="DQ38" i="3" s="1"/>
  <c r="DP137" i="3"/>
  <c r="DQ137" i="3" s="1"/>
  <c r="DP60" i="3"/>
  <c r="DQ60" i="3" s="1"/>
  <c r="DP26" i="3"/>
  <c r="DQ26" i="3" s="1"/>
  <c r="DP18" i="3"/>
  <c r="DQ18" i="3" s="1"/>
  <c r="DP57" i="3"/>
  <c r="DQ57" i="3" s="1"/>
  <c r="DP80" i="3"/>
  <c r="DQ80" i="3" s="1"/>
  <c r="DP120" i="3"/>
  <c r="DQ120" i="3" s="1"/>
  <c r="DP34" i="3"/>
  <c r="DQ34" i="3" s="1"/>
  <c r="DP75" i="3"/>
  <c r="DQ75" i="3" s="1"/>
  <c r="DP150" i="3"/>
  <c r="DQ150" i="3" s="1"/>
  <c r="DP146" i="3"/>
  <c r="DQ146" i="3" s="1"/>
  <c r="DP40" i="3"/>
  <c r="DQ40" i="3" s="1"/>
  <c r="DP45" i="3"/>
  <c r="DQ45" i="3" s="1"/>
  <c r="DP105" i="3"/>
  <c r="DQ105" i="3" s="1"/>
  <c r="DP58" i="3"/>
  <c r="DQ58" i="3" s="1"/>
  <c r="DP61" i="3"/>
  <c r="DQ61" i="3" s="1"/>
  <c r="DP92" i="3"/>
  <c r="DQ92" i="3" s="1"/>
  <c r="DP151" i="3"/>
  <c r="DQ151" i="3" s="1"/>
  <c r="DP95" i="3"/>
  <c r="DQ95" i="3" s="1"/>
  <c r="DP76" i="3"/>
  <c r="DQ76" i="3" s="1"/>
  <c r="DP106" i="3"/>
  <c r="DQ106" i="3" s="1"/>
  <c r="DP161" i="3"/>
  <c r="DQ161" i="3" s="1"/>
  <c r="DP17" i="3"/>
  <c r="DQ17" i="3" s="1"/>
  <c r="DP115" i="3"/>
  <c r="DQ115" i="3" s="1"/>
  <c r="DP36" i="3"/>
  <c r="DQ36" i="3" s="1"/>
  <c r="DP118" i="3"/>
  <c r="DQ118" i="3" s="1"/>
  <c r="DP140" i="3"/>
  <c r="DQ140" i="3" s="1"/>
  <c r="DP28" i="3"/>
  <c r="DQ28" i="3" s="1"/>
  <c r="DP22" i="3"/>
  <c r="DQ22" i="3" s="1"/>
  <c r="DP89" i="3"/>
  <c r="DQ89" i="3" s="1"/>
  <c r="DP87" i="3"/>
  <c r="DQ87" i="3" s="1"/>
  <c r="DP88" i="3"/>
  <c r="DQ88" i="3" s="1"/>
  <c r="DP122" i="3"/>
  <c r="DQ122" i="3" s="1"/>
  <c r="DP19" i="3"/>
  <c r="DQ19" i="3" s="1"/>
  <c r="DP23" i="3"/>
  <c r="DQ23" i="3" s="1"/>
  <c r="DP86" i="3"/>
  <c r="DQ86" i="3" s="1"/>
  <c r="DP111" i="3"/>
  <c r="DQ111" i="3" s="1"/>
  <c r="DP113" i="3"/>
  <c r="DQ113" i="3" s="1"/>
  <c r="DP136" i="3"/>
  <c r="DQ136" i="3" s="1"/>
  <c r="DP48" i="3"/>
  <c r="DQ48" i="3" s="1"/>
  <c r="DP52" i="3"/>
  <c r="DQ52" i="3" s="1"/>
  <c r="DP90" i="3"/>
  <c r="DQ90" i="3" s="1"/>
  <c r="DP167" i="3"/>
  <c r="DP43" i="3"/>
  <c r="DQ43" i="3" s="1"/>
  <c r="DP84" i="3"/>
  <c r="DQ84" i="3" s="1"/>
  <c r="DP71" i="3"/>
  <c r="DQ71" i="3" s="1"/>
  <c r="DP97" i="3"/>
  <c r="DQ97" i="3" s="1"/>
  <c r="DP29" i="3"/>
  <c r="DQ29" i="3" s="1"/>
  <c r="DP44" i="3"/>
  <c r="DQ44" i="3" s="1"/>
  <c r="DP114" i="3"/>
  <c r="DQ114" i="3" s="1"/>
  <c r="DP125" i="3"/>
  <c r="DQ125" i="3" s="1"/>
  <c r="DP69" i="3"/>
  <c r="DQ69" i="3" s="1"/>
  <c r="DP65" i="3"/>
  <c r="DQ65" i="3" s="1"/>
  <c r="DP33" i="3"/>
  <c r="DQ33" i="3" s="1"/>
  <c r="DP67" i="3"/>
  <c r="DQ67" i="3" s="1"/>
  <c r="FT167" i="3"/>
  <c r="FY167" i="3"/>
  <c r="FQ167" i="3"/>
  <c r="FX167" i="3"/>
  <c r="FW167" i="3"/>
  <c r="DA5" i="3"/>
  <c r="HM15" i="3"/>
  <c r="HL16" i="3"/>
  <c r="HU167" i="3"/>
  <c r="DF167" i="3"/>
  <c r="DF6" i="3" s="1"/>
  <c r="CD167" i="3"/>
  <c r="CC167" i="3"/>
  <c r="AZ5" i="3" s="1"/>
  <c r="O12" i="4" s="1"/>
  <c r="O11" i="4" s="1"/>
  <c r="HV8" i="3" l="1"/>
  <c r="J14" i="2" s="1"/>
  <c r="HX167" i="3"/>
  <c r="HX8" i="3" s="1"/>
  <c r="IB167" i="3"/>
  <c r="IB8" i="3" s="1"/>
  <c r="J12" i="2" s="1"/>
  <c r="IA167" i="3"/>
  <c r="IA8" i="3" s="1"/>
  <c r="J13" i="2" s="1"/>
  <c r="HZ167" i="3"/>
  <c r="HZ8" i="3" s="1"/>
  <c r="J15" i="2" s="1"/>
  <c r="DH167" i="3"/>
  <c r="HJ167" i="3"/>
  <c r="HL17" i="3"/>
  <c r="HM16" i="3"/>
  <c r="DR4" i="3"/>
  <c r="DQ10" i="3"/>
  <c r="DP6" i="3"/>
  <c r="FZ167" i="3"/>
  <c r="HY167" i="3" l="1"/>
  <c r="HY8" i="3" s="1"/>
  <c r="J16" i="2" s="1"/>
  <c r="J11" i="2"/>
  <c r="DH6" i="3"/>
  <c r="GC167" i="3"/>
  <c r="GD167" i="3" s="1"/>
  <c r="GE167" i="3" s="1"/>
  <c r="DQ167" i="3"/>
  <c r="AW5" i="3"/>
  <c r="O8" i="4" s="1"/>
  <c r="O7" i="4" s="1"/>
  <c r="AZ3" i="3"/>
  <c r="O16" i="4" s="1"/>
  <c r="O15" i="4" s="1"/>
  <c r="DR5" i="3"/>
  <c r="DR6" i="3" s="1"/>
  <c r="K22" i="4"/>
  <c r="HL18" i="3"/>
  <c r="HM17" i="3"/>
  <c r="J10" i="2" l="1"/>
  <c r="O5" i="4"/>
  <c r="J58" i="2" s="1"/>
  <c r="HL19" i="3"/>
  <c r="HM18" i="3"/>
  <c r="DS18" i="3"/>
  <c r="DT18" i="3" s="1"/>
  <c r="DW18" i="3" s="1"/>
  <c r="DS106" i="3"/>
  <c r="DT106" i="3" s="1"/>
  <c r="DW106" i="3" s="1"/>
  <c r="DS102" i="3"/>
  <c r="DT102" i="3" s="1"/>
  <c r="DW102" i="3" s="1"/>
  <c r="DS137" i="3"/>
  <c r="DT137" i="3" s="1"/>
  <c r="DW137" i="3" s="1"/>
  <c r="DS51" i="3"/>
  <c r="DT51" i="3" s="1"/>
  <c r="DW51" i="3" s="1"/>
  <c r="DS12" i="3"/>
  <c r="DT12" i="3" s="1"/>
  <c r="DW12" i="3" s="1"/>
  <c r="DS94" i="3"/>
  <c r="DT94" i="3" s="1"/>
  <c r="DW94" i="3" s="1"/>
  <c r="DS149" i="3"/>
  <c r="DT149" i="3" s="1"/>
  <c r="DW149" i="3" s="1"/>
  <c r="DS141" i="3"/>
  <c r="DT141" i="3" s="1"/>
  <c r="DW141" i="3" s="1"/>
  <c r="DS43" i="3"/>
  <c r="DT43" i="3" s="1"/>
  <c r="DW43" i="3" s="1"/>
  <c r="DS11" i="3"/>
  <c r="DT11" i="3" s="1"/>
  <c r="DW11" i="3" s="1"/>
  <c r="DS125" i="3"/>
  <c r="DT125" i="3" s="1"/>
  <c r="DW125" i="3" s="1"/>
  <c r="DS41" i="3"/>
  <c r="DT41" i="3" s="1"/>
  <c r="DW41" i="3" s="1"/>
  <c r="DS37" i="3"/>
  <c r="DT37" i="3" s="1"/>
  <c r="DW37" i="3" s="1"/>
  <c r="DS90" i="3"/>
  <c r="DT90" i="3" s="1"/>
  <c r="DW90" i="3" s="1"/>
  <c r="DS19" i="3"/>
  <c r="DT19" i="3" s="1"/>
  <c r="DW19" i="3" s="1"/>
  <c r="DS44" i="3"/>
  <c r="DT44" i="3" s="1"/>
  <c r="DW44" i="3" s="1"/>
  <c r="DS74" i="3"/>
  <c r="DT74" i="3" s="1"/>
  <c r="DW74" i="3" s="1"/>
  <c r="DS120" i="3"/>
  <c r="DT120" i="3" s="1"/>
  <c r="DW120" i="3" s="1"/>
  <c r="DS52" i="3"/>
  <c r="DT52" i="3" s="1"/>
  <c r="DW52" i="3" s="1"/>
  <c r="DS82" i="3"/>
  <c r="DT82" i="3" s="1"/>
  <c r="DW82" i="3" s="1"/>
  <c r="DS63" i="3"/>
  <c r="DT63" i="3" s="1"/>
  <c r="DW63" i="3" s="1"/>
  <c r="DS33" i="3"/>
  <c r="DT33" i="3" s="1"/>
  <c r="DW33" i="3" s="1"/>
  <c r="DS167" i="3"/>
  <c r="DT167" i="3" s="1"/>
  <c r="DW167" i="3" s="1"/>
  <c r="DS114" i="3"/>
  <c r="DT114" i="3" s="1"/>
  <c r="DW114" i="3" s="1"/>
  <c r="DS95" i="3"/>
  <c r="DT95" i="3" s="1"/>
  <c r="DW95" i="3" s="1"/>
  <c r="DS163" i="3"/>
  <c r="DT163" i="3" s="1"/>
  <c r="DW163" i="3" s="1"/>
  <c r="DS124" i="3"/>
  <c r="DT124" i="3" s="1"/>
  <c r="DW124" i="3" s="1"/>
  <c r="DS122" i="3"/>
  <c r="DT122" i="3" s="1"/>
  <c r="DW122" i="3" s="1"/>
  <c r="DS34" i="3"/>
  <c r="DT34" i="3" s="1"/>
  <c r="DW34" i="3" s="1"/>
  <c r="DS57" i="3"/>
  <c r="DT57" i="3" s="1"/>
  <c r="DW57" i="3" s="1"/>
  <c r="DS115" i="3"/>
  <c r="DT115" i="3" s="1"/>
  <c r="DW115" i="3" s="1"/>
  <c r="DS154" i="3"/>
  <c r="DT154" i="3" s="1"/>
  <c r="DW154" i="3" s="1"/>
  <c r="DS142" i="3"/>
  <c r="DT142" i="3" s="1"/>
  <c r="DW142" i="3" s="1"/>
  <c r="DS68" i="3"/>
  <c r="DT68" i="3" s="1"/>
  <c r="DW68" i="3" s="1"/>
  <c r="DS62" i="3"/>
  <c r="DT62" i="3" s="1"/>
  <c r="DW62" i="3" s="1"/>
  <c r="DS162" i="3"/>
  <c r="DT162" i="3" s="1"/>
  <c r="DW162" i="3" s="1"/>
  <c r="DS148" i="3"/>
  <c r="DT148" i="3" s="1"/>
  <c r="DW148" i="3" s="1"/>
  <c r="DS136" i="3"/>
  <c r="DT136" i="3" s="1"/>
  <c r="DW136" i="3" s="1"/>
  <c r="DS38" i="3"/>
  <c r="DT38" i="3" s="1"/>
  <c r="DW38" i="3" s="1"/>
  <c r="DS46" i="3"/>
  <c r="DT46" i="3" s="1"/>
  <c r="DW46" i="3" s="1"/>
  <c r="DS108" i="3"/>
  <c r="DT108" i="3" s="1"/>
  <c r="DW108" i="3" s="1"/>
  <c r="DS109" i="3"/>
  <c r="DT109" i="3" s="1"/>
  <c r="DW109" i="3" s="1"/>
  <c r="DS70" i="3"/>
  <c r="DT70" i="3" s="1"/>
  <c r="DW70" i="3" s="1"/>
  <c r="DS48" i="3"/>
  <c r="DT48" i="3" s="1"/>
  <c r="DW48" i="3" s="1"/>
  <c r="DS73" i="3"/>
  <c r="DT73" i="3" s="1"/>
  <c r="DW73" i="3" s="1"/>
  <c r="DS132" i="3"/>
  <c r="DT132" i="3" s="1"/>
  <c r="DW132" i="3" s="1"/>
  <c r="DS35" i="3"/>
  <c r="DT35" i="3" s="1"/>
  <c r="DW35" i="3" s="1"/>
  <c r="DS71" i="3"/>
  <c r="DT71" i="3" s="1"/>
  <c r="DW71" i="3" s="1"/>
  <c r="DS65" i="3"/>
  <c r="DT65" i="3" s="1"/>
  <c r="DW65" i="3" s="1"/>
  <c r="DS129" i="3"/>
  <c r="DT129" i="3" s="1"/>
  <c r="DW129" i="3" s="1"/>
  <c r="DS31" i="3"/>
  <c r="DT31" i="3" s="1"/>
  <c r="DW31" i="3" s="1"/>
  <c r="DS30" i="3"/>
  <c r="DT30" i="3" s="1"/>
  <c r="DW30" i="3" s="1"/>
  <c r="DS159" i="3"/>
  <c r="DT159" i="3" s="1"/>
  <c r="DW159" i="3" s="1"/>
  <c r="DS161" i="3"/>
  <c r="DT161" i="3" s="1"/>
  <c r="DW161" i="3" s="1"/>
  <c r="DS152" i="3"/>
  <c r="DT152" i="3" s="1"/>
  <c r="DW152" i="3" s="1"/>
  <c r="DS56" i="3"/>
  <c r="DT56" i="3" s="1"/>
  <c r="DW56" i="3" s="1"/>
  <c r="DS58" i="3"/>
  <c r="DT58" i="3" s="1"/>
  <c r="DW58" i="3" s="1"/>
  <c r="DS134" i="3"/>
  <c r="DT134" i="3" s="1"/>
  <c r="DW134" i="3" s="1"/>
  <c r="DS47" i="3"/>
  <c r="DT47" i="3" s="1"/>
  <c r="DW47" i="3" s="1"/>
  <c r="DS24" i="3"/>
  <c r="DT24" i="3" s="1"/>
  <c r="DW24" i="3" s="1"/>
  <c r="DS36" i="3"/>
  <c r="DT36" i="3" s="1"/>
  <c r="DW36" i="3" s="1"/>
  <c r="DS16" i="3"/>
  <c r="DT16" i="3" s="1"/>
  <c r="DW16" i="3" s="1"/>
  <c r="DS166" i="3"/>
  <c r="DT166" i="3" s="1"/>
  <c r="DW166" i="3" s="1"/>
  <c r="DS111" i="3"/>
  <c r="DT111" i="3" s="1"/>
  <c r="DW111" i="3" s="1"/>
  <c r="DS40" i="3"/>
  <c r="DT40" i="3" s="1"/>
  <c r="DW40" i="3" s="1"/>
  <c r="DS117" i="3"/>
  <c r="DT117" i="3" s="1"/>
  <c r="DW117" i="3" s="1"/>
  <c r="DS50" i="3"/>
  <c r="DT50" i="3" s="1"/>
  <c r="DW50" i="3" s="1"/>
  <c r="DS69" i="3"/>
  <c r="DT69" i="3" s="1"/>
  <c r="DW69" i="3" s="1"/>
  <c r="DS26" i="3"/>
  <c r="DT26" i="3" s="1"/>
  <c r="DW26" i="3" s="1"/>
  <c r="DS21" i="3"/>
  <c r="DT21" i="3" s="1"/>
  <c r="DW21" i="3" s="1"/>
  <c r="DS96" i="3"/>
  <c r="DT96" i="3" s="1"/>
  <c r="DW96" i="3" s="1"/>
  <c r="DS93" i="3"/>
  <c r="DT93" i="3" s="1"/>
  <c r="DW93" i="3" s="1"/>
  <c r="DS80" i="3"/>
  <c r="DT80" i="3" s="1"/>
  <c r="DW80" i="3" s="1"/>
  <c r="DS151" i="3"/>
  <c r="DT151" i="3" s="1"/>
  <c r="DW151" i="3" s="1"/>
  <c r="DS39" i="3"/>
  <c r="DT39" i="3" s="1"/>
  <c r="DW39" i="3" s="1"/>
  <c r="DS13" i="3"/>
  <c r="DT13" i="3" s="1"/>
  <c r="DW13" i="3" s="1"/>
  <c r="DS67" i="3"/>
  <c r="DT67" i="3" s="1"/>
  <c r="DW67" i="3" s="1"/>
  <c r="DS88" i="3"/>
  <c r="DT88" i="3" s="1"/>
  <c r="DW88" i="3" s="1"/>
  <c r="DS113" i="3"/>
  <c r="DT113" i="3" s="1"/>
  <c r="DW113" i="3" s="1"/>
  <c r="DS25" i="3"/>
  <c r="DT25" i="3" s="1"/>
  <c r="DW25" i="3" s="1"/>
  <c r="DS23" i="3"/>
  <c r="DT23" i="3" s="1"/>
  <c r="DW23" i="3" s="1"/>
  <c r="DS135" i="3"/>
  <c r="DT135" i="3" s="1"/>
  <c r="DW135" i="3" s="1"/>
  <c r="DS15" i="3"/>
  <c r="DT15" i="3" s="1"/>
  <c r="DW15" i="3" s="1"/>
  <c r="DS10" i="3"/>
  <c r="DS72" i="3"/>
  <c r="DT72" i="3" s="1"/>
  <c r="DW72" i="3" s="1"/>
  <c r="DS101" i="3"/>
  <c r="DT101" i="3" s="1"/>
  <c r="DW101" i="3" s="1"/>
  <c r="DS29" i="3"/>
  <c r="DT29" i="3" s="1"/>
  <c r="DW29" i="3" s="1"/>
  <c r="DS130" i="3"/>
  <c r="DT130" i="3" s="1"/>
  <c r="DW130" i="3" s="1"/>
  <c r="DS14" i="3"/>
  <c r="DT14" i="3" s="1"/>
  <c r="DW14" i="3" s="1"/>
  <c r="DS84" i="3"/>
  <c r="DT84" i="3" s="1"/>
  <c r="DW84" i="3" s="1"/>
  <c r="DS32" i="3"/>
  <c r="DT32" i="3" s="1"/>
  <c r="DW32" i="3" s="1"/>
  <c r="DS158" i="3"/>
  <c r="DT158" i="3" s="1"/>
  <c r="DW158" i="3" s="1"/>
  <c r="DS91" i="3"/>
  <c r="DT91" i="3" s="1"/>
  <c r="DW91" i="3" s="1"/>
  <c r="DS138" i="3"/>
  <c r="DT138" i="3" s="1"/>
  <c r="DW138" i="3" s="1"/>
  <c r="DS155" i="3"/>
  <c r="DT155" i="3" s="1"/>
  <c r="DW155" i="3" s="1"/>
  <c r="DS119" i="3"/>
  <c r="DT119" i="3" s="1"/>
  <c r="DW119" i="3" s="1"/>
  <c r="DS28" i="3"/>
  <c r="DT28" i="3" s="1"/>
  <c r="DW28" i="3" s="1"/>
  <c r="DS22" i="3"/>
  <c r="DT22" i="3" s="1"/>
  <c r="DW22" i="3" s="1"/>
  <c r="DS87" i="3"/>
  <c r="DT87" i="3" s="1"/>
  <c r="DW87" i="3" s="1"/>
  <c r="DS140" i="3"/>
  <c r="DT140" i="3" s="1"/>
  <c r="DW140" i="3" s="1"/>
  <c r="DS144" i="3"/>
  <c r="DT144" i="3" s="1"/>
  <c r="DW144" i="3" s="1"/>
  <c r="DS147" i="3"/>
  <c r="DT147" i="3" s="1"/>
  <c r="DW147" i="3" s="1"/>
  <c r="DS61" i="3"/>
  <c r="DT61" i="3" s="1"/>
  <c r="DW61" i="3" s="1"/>
  <c r="DS76" i="3"/>
  <c r="DT76" i="3" s="1"/>
  <c r="DW76" i="3" s="1"/>
  <c r="DS78" i="3"/>
  <c r="DT78" i="3" s="1"/>
  <c r="DW78" i="3" s="1"/>
  <c r="DS92" i="3"/>
  <c r="DT92" i="3" s="1"/>
  <c r="DW92" i="3" s="1"/>
  <c r="DS55" i="3"/>
  <c r="DT55" i="3" s="1"/>
  <c r="DW55" i="3" s="1"/>
  <c r="DS100" i="3"/>
  <c r="DT100" i="3" s="1"/>
  <c r="DW100" i="3" s="1"/>
  <c r="DS105" i="3"/>
  <c r="DT105" i="3" s="1"/>
  <c r="DW105" i="3" s="1"/>
  <c r="DS157" i="3"/>
  <c r="DT157" i="3" s="1"/>
  <c r="DW157" i="3" s="1"/>
  <c r="DS89" i="3"/>
  <c r="DT89" i="3" s="1"/>
  <c r="DW89" i="3" s="1"/>
  <c r="DS143" i="3"/>
  <c r="DT143" i="3" s="1"/>
  <c r="DW143" i="3" s="1"/>
  <c r="DS128" i="3"/>
  <c r="DT128" i="3" s="1"/>
  <c r="DW128" i="3" s="1"/>
  <c r="DS49" i="3"/>
  <c r="DT49" i="3" s="1"/>
  <c r="DW49" i="3" s="1"/>
  <c r="DS107" i="3"/>
  <c r="DT107" i="3" s="1"/>
  <c r="DW107" i="3" s="1"/>
  <c r="DS17" i="3"/>
  <c r="DT17" i="3" s="1"/>
  <c r="DW17" i="3" s="1"/>
  <c r="DS156" i="3"/>
  <c r="DT156" i="3" s="1"/>
  <c r="DW156" i="3" s="1"/>
  <c r="DS86" i="3"/>
  <c r="DT86" i="3" s="1"/>
  <c r="DW86" i="3" s="1"/>
  <c r="DS112" i="3"/>
  <c r="DT112" i="3" s="1"/>
  <c r="DW112" i="3" s="1"/>
  <c r="DS54" i="3"/>
  <c r="DT54" i="3" s="1"/>
  <c r="DW54" i="3" s="1"/>
  <c r="DS45" i="3"/>
  <c r="DT45" i="3" s="1"/>
  <c r="DW45" i="3" s="1"/>
  <c r="DS42" i="3"/>
  <c r="DT42" i="3" s="1"/>
  <c r="DW42" i="3" s="1"/>
  <c r="DS53" i="3"/>
  <c r="DT53" i="3" s="1"/>
  <c r="DW53" i="3" s="1"/>
  <c r="DS131" i="3"/>
  <c r="DT131" i="3" s="1"/>
  <c r="DW131" i="3" s="1"/>
  <c r="DS64" i="3"/>
  <c r="DT64" i="3" s="1"/>
  <c r="DW64" i="3" s="1"/>
  <c r="DS118" i="3"/>
  <c r="DT118" i="3" s="1"/>
  <c r="DW118" i="3" s="1"/>
  <c r="DS110" i="3"/>
  <c r="DT110" i="3" s="1"/>
  <c r="DW110" i="3" s="1"/>
  <c r="DS66" i="3"/>
  <c r="DT66" i="3" s="1"/>
  <c r="DW66" i="3" s="1"/>
  <c r="DS127" i="3"/>
  <c r="DT127" i="3" s="1"/>
  <c r="DW127" i="3" s="1"/>
  <c r="DS116" i="3"/>
  <c r="DT116" i="3" s="1"/>
  <c r="DW116" i="3" s="1"/>
  <c r="DS103" i="3"/>
  <c r="DT103" i="3" s="1"/>
  <c r="DW103" i="3" s="1"/>
  <c r="DS81" i="3"/>
  <c r="DT81" i="3" s="1"/>
  <c r="DW81" i="3" s="1"/>
  <c r="DS20" i="3"/>
  <c r="DT20" i="3" s="1"/>
  <c r="DW20" i="3" s="1"/>
  <c r="DS77" i="3"/>
  <c r="DT77" i="3" s="1"/>
  <c r="DW77" i="3" s="1"/>
  <c r="DS104" i="3"/>
  <c r="DT104" i="3" s="1"/>
  <c r="DW104" i="3" s="1"/>
  <c r="DS165" i="3"/>
  <c r="DT165" i="3" s="1"/>
  <c r="DW165" i="3" s="1"/>
  <c r="DS139" i="3"/>
  <c r="DT139" i="3" s="1"/>
  <c r="DW139" i="3" s="1"/>
  <c r="DS126" i="3"/>
  <c r="DT126" i="3" s="1"/>
  <c r="DW126" i="3" s="1"/>
  <c r="DS79" i="3"/>
  <c r="DT79" i="3" s="1"/>
  <c r="DW79" i="3" s="1"/>
  <c r="DS83" i="3"/>
  <c r="DT83" i="3" s="1"/>
  <c r="DW83" i="3" s="1"/>
  <c r="DS85" i="3"/>
  <c r="DT85" i="3" s="1"/>
  <c r="DW85" i="3" s="1"/>
  <c r="DS97" i="3"/>
  <c r="DT97" i="3" s="1"/>
  <c r="DW97" i="3" s="1"/>
  <c r="DS99" i="3"/>
  <c r="DT99" i="3" s="1"/>
  <c r="DW99" i="3" s="1"/>
  <c r="DS133" i="3"/>
  <c r="DT133" i="3" s="1"/>
  <c r="DW133" i="3" s="1"/>
  <c r="DS75" i="3"/>
  <c r="DT75" i="3" s="1"/>
  <c r="DW75" i="3" s="1"/>
  <c r="DS27" i="3"/>
  <c r="DT27" i="3" s="1"/>
  <c r="DW27" i="3" s="1"/>
  <c r="DS145" i="3"/>
  <c r="DT145" i="3" s="1"/>
  <c r="DW145" i="3" s="1"/>
  <c r="DS121" i="3"/>
  <c r="DT121" i="3" s="1"/>
  <c r="DW121" i="3" s="1"/>
  <c r="DS150" i="3"/>
  <c r="DT150" i="3" s="1"/>
  <c r="DW150" i="3" s="1"/>
  <c r="DS59" i="3"/>
  <c r="DT59" i="3" s="1"/>
  <c r="DW59" i="3" s="1"/>
  <c r="DS60" i="3"/>
  <c r="DT60" i="3" s="1"/>
  <c r="DW60" i="3" s="1"/>
  <c r="DS146" i="3"/>
  <c r="DT146" i="3" s="1"/>
  <c r="DW146" i="3" s="1"/>
  <c r="DS123" i="3"/>
  <c r="DT123" i="3" s="1"/>
  <c r="DW123" i="3" s="1"/>
  <c r="DS153" i="3"/>
  <c r="DT153" i="3" s="1"/>
  <c r="DW153" i="3" s="1"/>
  <c r="DX153" i="3" s="1"/>
  <c r="DX4" i="3" s="1"/>
  <c r="DS98" i="3"/>
  <c r="DT98" i="3" s="1"/>
  <c r="DW98" i="3" s="1"/>
  <c r="DS164" i="3"/>
  <c r="DT164" i="3" s="1"/>
  <c r="DW164" i="3" s="1"/>
  <c r="DS160" i="3"/>
  <c r="DT160" i="3" s="1"/>
  <c r="DW160" i="3" s="1"/>
  <c r="DQ6" i="3"/>
  <c r="K28" i="4"/>
  <c r="O28" i="4"/>
  <c r="J37" i="2" l="1"/>
  <c r="HL20" i="3"/>
  <c r="HM19" i="3"/>
  <c r="DS6" i="3"/>
  <c r="O22" i="4" s="1"/>
  <c r="DT10" i="3"/>
  <c r="DX5" i="3"/>
  <c r="K24" i="4"/>
  <c r="DX6" i="3" l="1"/>
  <c r="O24" i="4"/>
  <c r="DW10" i="3"/>
  <c r="DT6" i="3"/>
  <c r="HL21" i="3"/>
  <c r="HM20" i="3"/>
  <c r="HM21" i="3" l="1"/>
  <c r="HL22" i="3"/>
  <c r="DW6" i="3"/>
  <c r="DY153" i="3"/>
  <c r="DZ153" i="3" s="1"/>
  <c r="DY72" i="3"/>
  <c r="DZ72" i="3" s="1"/>
  <c r="DY35" i="3"/>
  <c r="DZ35" i="3" s="1"/>
  <c r="DY161" i="3"/>
  <c r="DZ161" i="3" s="1"/>
  <c r="DY129" i="3"/>
  <c r="DZ129" i="3" s="1"/>
  <c r="DY83" i="3"/>
  <c r="DZ83" i="3" s="1"/>
  <c r="DY142" i="3"/>
  <c r="DZ142" i="3" s="1"/>
  <c r="DY136" i="3"/>
  <c r="DZ136" i="3" s="1"/>
  <c r="DY46" i="3"/>
  <c r="DZ46" i="3" s="1"/>
  <c r="DY125" i="3"/>
  <c r="DZ125" i="3" s="1"/>
  <c r="EA125" i="3" s="1"/>
  <c r="DY36" i="3"/>
  <c r="DZ36" i="3" s="1"/>
  <c r="DY166" i="3"/>
  <c r="DZ166" i="3" s="1"/>
  <c r="DY150" i="3"/>
  <c r="DZ150" i="3" s="1"/>
  <c r="DY74" i="3"/>
  <c r="DZ74" i="3" s="1"/>
  <c r="DY17" i="3"/>
  <c r="DZ17" i="3" s="1"/>
  <c r="DY119" i="3"/>
  <c r="DZ119" i="3" s="1"/>
  <c r="DY101" i="3"/>
  <c r="DZ101" i="3" s="1"/>
  <c r="DY25" i="3"/>
  <c r="DZ25" i="3" s="1"/>
  <c r="DY44" i="3"/>
  <c r="DZ44" i="3" s="1"/>
  <c r="DY90" i="3"/>
  <c r="DZ90" i="3" s="1"/>
  <c r="DY38" i="3"/>
  <c r="DZ38" i="3" s="1"/>
  <c r="DY40" i="3"/>
  <c r="DZ40" i="3" s="1"/>
  <c r="DY102" i="3"/>
  <c r="DZ102" i="3" s="1"/>
  <c r="DY53" i="3"/>
  <c r="DZ53" i="3" s="1"/>
  <c r="DY116" i="3"/>
  <c r="DZ116" i="3" s="1"/>
  <c r="DY80" i="3"/>
  <c r="DZ80" i="3" s="1"/>
  <c r="DY88" i="3"/>
  <c r="DZ88" i="3" s="1"/>
  <c r="DY137" i="3"/>
  <c r="DZ137" i="3" s="1"/>
  <c r="DY24" i="3"/>
  <c r="DZ24" i="3" s="1"/>
  <c r="DY37" i="3"/>
  <c r="DZ37" i="3" s="1"/>
  <c r="DY164" i="3"/>
  <c r="DZ164" i="3" s="1"/>
  <c r="DY131" i="3"/>
  <c r="DZ131" i="3" s="1"/>
  <c r="DY85" i="3"/>
  <c r="DZ85" i="3" s="1"/>
  <c r="DY43" i="3"/>
  <c r="DZ43" i="3" s="1"/>
  <c r="DY99" i="3"/>
  <c r="DZ99" i="3" s="1"/>
  <c r="DY92" i="3"/>
  <c r="DZ92" i="3" s="1"/>
  <c r="EA92" i="3" s="1"/>
  <c r="DY106" i="3"/>
  <c r="DZ106" i="3" s="1"/>
  <c r="DY127" i="3"/>
  <c r="DZ127" i="3" s="1"/>
  <c r="DY29" i="3"/>
  <c r="DZ29" i="3" s="1"/>
  <c r="DY19" i="3"/>
  <c r="DZ19" i="3" s="1"/>
  <c r="DY49" i="3"/>
  <c r="DZ49" i="3" s="1"/>
  <c r="DY47" i="3"/>
  <c r="DZ47" i="3" s="1"/>
  <c r="DY133" i="3"/>
  <c r="DZ133" i="3" s="1"/>
  <c r="DY22" i="3"/>
  <c r="DZ22" i="3" s="1"/>
  <c r="DY64" i="3"/>
  <c r="DZ64" i="3" s="1"/>
  <c r="DY11" i="3"/>
  <c r="DZ11" i="3" s="1"/>
  <c r="DY32" i="3"/>
  <c r="DZ32" i="3" s="1"/>
  <c r="DY108" i="3"/>
  <c r="DZ108" i="3" s="1"/>
  <c r="DY141" i="3"/>
  <c r="DZ141" i="3" s="1"/>
  <c r="DY93" i="3"/>
  <c r="DZ93" i="3" s="1"/>
  <c r="EA93" i="3" s="1"/>
  <c r="DY91" i="3"/>
  <c r="DZ91" i="3" s="1"/>
  <c r="DY62" i="3"/>
  <c r="DZ62" i="3" s="1"/>
  <c r="DY113" i="3"/>
  <c r="DZ113" i="3" s="1"/>
  <c r="DY155" i="3"/>
  <c r="DZ155" i="3" s="1"/>
  <c r="DY109" i="3"/>
  <c r="DZ109" i="3" s="1"/>
  <c r="DY14" i="3"/>
  <c r="DZ14" i="3" s="1"/>
  <c r="DY148" i="3"/>
  <c r="DZ148" i="3" s="1"/>
  <c r="DY118" i="3"/>
  <c r="DZ118" i="3" s="1"/>
  <c r="DY157" i="3"/>
  <c r="DZ157" i="3" s="1"/>
  <c r="DY45" i="3"/>
  <c r="DZ45" i="3" s="1"/>
  <c r="DY111" i="3"/>
  <c r="DZ111" i="3" s="1"/>
  <c r="DY73" i="3"/>
  <c r="DZ73" i="3" s="1"/>
  <c r="DY52" i="3"/>
  <c r="DZ52" i="3" s="1"/>
  <c r="DY65" i="3"/>
  <c r="DZ65" i="3" s="1"/>
  <c r="DY103" i="3"/>
  <c r="DZ103" i="3" s="1"/>
  <c r="DY154" i="3"/>
  <c r="DZ154" i="3" s="1"/>
  <c r="DY122" i="3"/>
  <c r="DZ122" i="3" s="1"/>
  <c r="DY139" i="3"/>
  <c r="DZ139" i="3" s="1"/>
  <c r="DY70" i="3"/>
  <c r="DZ70" i="3" s="1"/>
  <c r="DY79" i="3"/>
  <c r="DZ79" i="3" s="1"/>
  <c r="DY42" i="3"/>
  <c r="DZ42" i="3" s="1"/>
  <c r="DY96" i="3"/>
  <c r="DZ96" i="3" s="1"/>
  <c r="DY165" i="3"/>
  <c r="DZ165" i="3" s="1"/>
  <c r="DY138" i="3"/>
  <c r="DZ138" i="3" s="1"/>
  <c r="DY134" i="3"/>
  <c r="DZ134" i="3" s="1"/>
  <c r="DY71" i="3"/>
  <c r="DZ71" i="3" s="1"/>
  <c r="DY98" i="3"/>
  <c r="DZ98" i="3" s="1"/>
  <c r="DY30" i="3"/>
  <c r="DZ30" i="3" s="1"/>
  <c r="DY112" i="3"/>
  <c r="DZ112" i="3" s="1"/>
  <c r="DY33" i="3"/>
  <c r="DZ33" i="3" s="1"/>
  <c r="DY128" i="3"/>
  <c r="DZ128" i="3" s="1"/>
  <c r="DY26" i="3"/>
  <c r="DZ26" i="3" s="1"/>
  <c r="DY23" i="3"/>
  <c r="DZ23" i="3" s="1"/>
  <c r="DY95" i="3"/>
  <c r="DZ95" i="3" s="1"/>
  <c r="DY13" i="3"/>
  <c r="DZ13" i="3" s="1"/>
  <c r="DY123" i="3"/>
  <c r="DZ123" i="3" s="1"/>
  <c r="DY67" i="3"/>
  <c r="DZ67" i="3" s="1"/>
  <c r="DY60" i="3"/>
  <c r="DZ60" i="3" s="1"/>
  <c r="DY89" i="3"/>
  <c r="DZ89" i="3" s="1"/>
  <c r="DY105" i="3"/>
  <c r="DZ105" i="3" s="1"/>
  <c r="DY41" i="3"/>
  <c r="DZ41" i="3" s="1"/>
  <c r="DY75" i="3"/>
  <c r="DZ75" i="3" s="1"/>
  <c r="DY104" i="3"/>
  <c r="DZ104" i="3" s="1"/>
  <c r="DY140" i="3"/>
  <c r="DZ140" i="3" s="1"/>
  <c r="DY31" i="3"/>
  <c r="DZ31" i="3" s="1"/>
  <c r="DY143" i="3"/>
  <c r="DZ143" i="3" s="1"/>
  <c r="DY145" i="3"/>
  <c r="DZ145" i="3" s="1"/>
  <c r="EA145" i="3" s="1"/>
  <c r="DY94" i="3"/>
  <c r="DZ94" i="3" s="1"/>
  <c r="DY15" i="3"/>
  <c r="DZ15" i="3" s="1"/>
  <c r="DY121" i="3"/>
  <c r="DZ121" i="3" s="1"/>
  <c r="DY50" i="3"/>
  <c r="DZ50" i="3" s="1"/>
  <c r="DY56" i="3"/>
  <c r="DZ56" i="3" s="1"/>
  <c r="DY68" i="3"/>
  <c r="DZ68" i="3" s="1"/>
  <c r="DY167" i="3"/>
  <c r="DZ167" i="3" s="1"/>
  <c r="DY100" i="3"/>
  <c r="DZ100" i="3" s="1"/>
  <c r="DY152" i="3"/>
  <c r="DZ152" i="3" s="1"/>
  <c r="DY97" i="3"/>
  <c r="DZ97" i="3" s="1"/>
  <c r="DY59" i="3"/>
  <c r="DZ59" i="3" s="1"/>
  <c r="DY63" i="3"/>
  <c r="DZ63" i="3" s="1"/>
  <c r="DY124" i="3"/>
  <c r="DZ124" i="3" s="1"/>
  <c r="EA124" i="3" s="1"/>
  <c r="DY144" i="3"/>
  <c r="DZ144" i="3" s="1"/>
  <c r="DY78" i="3"/>
  <c r="DZ78" i="3" s="1"/>
  <c r="DY57" i="3"/>
  <c r="DZ57" i="3" s="1"/>
  <c r="DY87" i="3"/>
  <c r="DZ87" i="3" s="1"/>
  <c r="DY77" i="3"/>
  <c r="DZ77" i="3" s="1"/>
  <c r="DY84" i="3"/>
  <c r="DZ84" i="3" s="1"/>
  <c r="DY66" i="3"/>
  <c r="DZ66" i="3" s="1"/>
  <c r="DY132" i="3"/>
  <c r="DZ132" i="3" s="1"/>
  <c r="DY61" i="3"/>
  <c r="DZ61" i="3" s="1"/>
  <c r="DY16" i="3"/>
  <c r="DZ16" i="3" s="1"/>
  <c r="DY76" i="3"/>
  <c r="DZ76" i="3" s="1"/>
  <c r="DY159" i="3"/>
  <c r="DZ159" i="3" s="1"/>
  <c r="DY110" i="3"/>
  <c r="DZ110" i="3" s="1"/>
  <c r="DY86" i="3"/>
  <c r="DZ86" i="3" s="1"/>
  <c r="DY158" i="3"/>
  <c r="DZ158" i="3" s="1"/>
  <c r="DY82" i="3"/>
  <c r="DZ82" i="3" s="1"/>
  <c r="DY130" i="3"/>
  <c r="DZ130" i="3" s="1"/>
  <c r="DY55" i="3"/>
  <c r="DZ55" i="3" s="1"/>
  <c r="DY115" i="3"/>
  <c r="DZ115" i="3" s="1"/>
  <c r="DY10" i="3"/>
  <c r="DY162" i="3"/>
  <c r="DZ162" i="3" s="1"/>
  <c r="DY48" i="3"/>
  <c r="DZ48" i="3" s="1"/>
  <c r="DY151" i="3"/>
  <c r="DZ151" i="3" s="1"/>
  <c r="DY69" i="3"/>
  <c r="DZ69" i="3" s="1"/>
  <c r="DY39" i="3"/>
  <c r="DZ39" i="3" s="1"/>
  <c r="DY20" i="3"/>
  <c r="DZ20" i="3" s="1"/>
  <c r="DY18" i="3"/>
  <c r="DZ18" i="3" s="1"/>
  <c r="DY117" i="3"/>
  <c r="DZ117" i="3" s="1"/>
  <c r="DY12" i="3"/>
  <c r="DZ12" i="3" s="1"/>
  <c r="DY120" i="3"/>
  <c r="DZ120" i="3" s="1"/>
  <c r="DY27" i="3"/>
  <c r="DZ27" i="3" s="1"/>
  <c r="DY58" i="3"/>
  <c r="DZ58" i="3" s="1"/>
  <c r="DY81" i="3"/>
  <c r="DZ81" i="3" s="1"/>
  <c r="DY126" i="3"/>
  <c r="DZ126" i="3" s="1"/>
  <c r="DY54" i="3"/>
  <c r="DZ54" i="3" s="1"/>
  <c r="DY160" i="3"/>
  <c r="DZ160" i="3" s="1"/>
  <c r="DY156" i="3"/>
  <c r="DZ156" i="3" s="1"/>
  <c r="DY34" i="3"/>
  <c r="DZ34" i="3" s="1"/>
  <c r="DY163" i="3"/>
  <c r="DZ163" i="3" s="1"/>
  <c r="DY114" i="3"/>
  <c r="DZ114" i="3" s="1"/>
  <c r="DY51" i="3"/>
  <c r="DZ51" i="3" s="1"/>
  <c r="DY149" i="3"/>
  <c r="DZ149" i="3" s="1"/>
  <c r="DY146" i="3"/>
  <c r="DZ146" i="3" s="1"/>
  <c r="DY135" i="3"/>
  <c r="DZ135" i="3" s="1"/>
  <c r="DY21" i="3"/>
  <c r="DZ21" i="3" s="1"/>
  <c r="DY147" i="3"/>
  <c r="DZ147" i="3" s="1"/>
  <c r="DY107" i="3"/>
  <c r="DZ107" i="3" s="1"/>
  <c r="DY28" i="3"/>
  <c r="DZ28" i="3" s="1"/>
  <c r="K30" i="4"/>
  <c r="O30" i="4"/>
  <c r="DY6" i="3" l="1"/>
  <c r="EA4" i="3"/>
  <c r="DZ10" i="3"/>
  <c r="DZ6" i="3" s="1"/>
  <c r="HM22" i="3"/>
  <c r="HL23" i="3"/>
  <c r="EA5" i="3" l="1"/>
  <c r="K25" i="4"/>
  <c r="HL24" i="3"/>
  <c r="HM23" i="3"/>
  <c r="HL25" i="3" l="1"/>
  <c r="HM24" i="3"/>
  <c r="EA6" i="3"/>
  <c r="O25" i="4"/>
  <c r="EB125" i="3" l="1"/>
  <c r="EC125" i="3" s="1"/>
  <c r="EB50" i="3"/>
  <c r="EC50" i="3" s="1"/>
  <c r="EB10" i="3"/>
  <c r="EB123" i="3"/>
  <c r="EC123" i="3" s="1"/>
  <c r="EB65" i="3"/>
  <c r="EC65" i="3" s="1"/>
  <c r="EB114" i="3"/>
  <c r="EC114" i="3" s="1"/>
  <c r="EB141" i="3"/>
  <c r="EC141" i="3" s="1"/>
  <c r="EB20" i="3"/>
  <c r="EC20" i="3" s="1"/>
  <c r="EB149" i="3"/>
  <c r="EC149" i="3" s="1"/>
  <c r="EB99" i="3"/>
  <c r="EC99" i="3" s="1"/>
  <c r="EB44" i="3"/>
  <c r="EC44" i="3" s="1"/>
  <c r="EB155" i="3"/>
  <c r="EC155" i="3" s="1"/>
  <c r="EB13" i="3"/>
  <c r="EC13" i="3" s="1"/>
  <c r="EB100" i="3"/>
  <c r="EC100" i="3" s="1"/>
  <c r="EB156" i="3"/>
  <c r="EC156" i="3" s="1"/>
  <c r="EB61" i="3"/>
  <c r="EC61" i="3" s="1"/>
  <c r="EB138" i="3"/>
  <c r="EC138" i="3" s="1"/>
  <c r="EB38" i="3"/>
  <c r="EC38" i="3" s="1"/>
  <c r="EB55" i="3"/>
  <c r="EC55" i="3" s="1"/>
  <c r="EB45" i="3"/>
  <c r="EC45" i="3" s="1"/>
  <c r="EB147" i="3"/>
  <c r="EC147" i="3" s="1"/>
  <c r="EB34" i="3"/>
  <c r="EC34" i="3" s="1"/>
  <c r="EB62" i="3"/>
  <c r="EC62" i="3" s="1"/>
  <c r="EB112" i="3"/>
  <c r="EC112" i="3" s="1"/>
  <c r="EB67" i="3"/>
  <c r="EC67" i="3" s="1"/>
  <c r="EB151" i="3"/>
  <c r="EC151" i="3" s="1"/>
  <c r="EB27" i="3"/>
  <c r="EC27" i="3" s="1"/>
  <c r="EB121" i="3"/>
  <c r="EC121" i="3" s="1"/>
  <c r="EB165" i="3"/>
  <c r="EC165" i="3" s="1"/>
  <c r="EB47" i="3"/>
  <c r="EC47" i="3" s="1"/>
  <c r="EB91" i="3"/>
  <c r="EC91" i="3" s="1"/>
  <c r="EB39" i="3"/>
  <c r="EC39" i="3" s="1"/>
  <c r="EB87" i="3"/>
  <c r="EC87" i="3" s="1"/>
  <c r="ED87" i="3" s="1"/>
  <c r="EB136" i="3"/>
  <c r="EC136" i="3" s="1"/>
  <c r="EB49" i="3"/>
  <c r="EC49" i="3" s="1"/>
  <c r="EB117" i="3"/>
  <c r="EC117" i="3" s="1"/>
  <c r="EB132" i="3"/>
  <c r="EC132" i="3" s="1"/>
  <c r="EB160" i="3"/>
  <c r="EC160" i="3" s="1"/>
  <c r="EB36" i="3"/>
  <c r="EC36" i="3" s="1"/>
  <c r="EB158" i="3"/>
  <c r="EC158" i="3" s="1"/>
  <c r="EB97" i="3"/>
  <c r="EC97" i="3" s="1"/>
  <c r="EB146" i="3"/>
  <c r="EC146" i="3" s="1"/>
  <c r="EB105" i="3"/>
  <c r="EC105" i="3" s="1"/>
  <c r="EB159" i="3"/>
  <c r="EC159" i="3" s="1"/>
  <c r="EB51" i="3"/>
  <c r="EC51" i="3" s="1"/>
  <c r="EB30" i="3"/>
  <c r="EC30" i="3" s="1"/>
  <c r="EB82" i="3"/>
  <c r="EC82" i="3" s="1"/>
  <c r="EB128" i="3"/>
  <c r="EC128" i="3" s="1"/>
  <c r="EB23" i="3"/>
  <c r="EC23" i="3" s="1"/>
  <c r="EB89" i="3"/>
  <c r="EC89" i="3" s="1"/>
  <c r="ED89" i="3" s="1"/>
  <c r="EB104" i="3"/>
  <c r="EC104" i="3" s="1"/>
  <c r="EB113" i="3"/>
  <c r="EC113" i="3" s="1"/>
  <c r="EB14" i="3"/>
  <c r="EC14" i="3" s="1"/>
  <c r="EB90" i="3"/>
  <c r="EC90" i="3" s="1"/>
  <c r="EB154" i="3"/>
  <c r="EC154" i="3" s="1"/>
  <c r="EB59" i="3"/>
  <c r="EC59" i="3" s="1"/>
  <c r="EB19" i="3"/>
  <c r="EC19" i="3" s="1"/>
  <c r="EB72" i="3"/>
  <c r="EC72" i="3" s="1"/>
  <c r="EB41" i="3"/>
  <c r="EC41" i="3" s="1"/>
  <c r="EB98" i="3"/>
  <c r="EC98" i="3" s="1"/>
  <c r="EB75" i="3"/>
  <c r="EC75" i="3" s="1"/>
  <c r="EB102" i="3"/>
  <c r="EC102" i="3" s="1"/>
  <c r="EB40" i="3"/>
  <c r="EC40" i="3" s="1"/>
  <c r="EB116" i="3"/>
  <c r="EC116" i="3" s="1"/>
  <c r="EB64" i="3"/>
  <c r="EC64" i="3" s="1"/>
  <c r="EB24" i="3"/>
  <c r="EC24" i="3" s="1"/>
  <c r="EB86" i="3"/>
  <c r="EC86" i="3" s="1"/>
  <c r="ED86" i="3" s="1"/>
  <c r="EB126" i="3"/>
  <c r="EC126" i="3" s="1"/>
  <c r="EB133" i="3"/>
  <c r="EC133" i="3" s="1"/>
  <c r="EB31" i="3"/>
  <c r="EC31" i="3" s="1"/>
  <c r="EB137" i="3"/>
  <c r="EC137" i="3" s="1"/>
  <c r="EB96" i="3"/>
  <c r="EC96" i="3" s="1"/>
  <c r="EB150" i="3"/>
  <c r="EC150" i="3" s="1"/>
  <c r="EB70" i="3"/>
  <c r="EC70" i="3" s="1"/>
  <c r="EB17" i="3"/>
  <c r="EC17" i="3" s="1"/>
  <c r="EB163" i="3"/>
  <c r="EC163" i="3" s="1"/>
  <c r="EB106" i="3"/>
  <c r="EC106" i="3" s="1"/>
  <c r="EB77" i="3"/>
  <c r="EC77" i="3" s="1"/>
  <c r="EB84" i="3"/>
  <c r="EC84" i="3" s="1"/>
  <c r="EB166" i="3"/>
  <c r="EC166" i="3" s="1"/>
  <c r="EB25" i="3"/>
  <c r="EC25" i="3" s="1"/>
  <c r="EB130" i="3"/>
  <c r="EC130" i="3" s="1"/>
  <c r="EB95" i="3"/>
  <c r="EC95" i="3" s="1"/>
  <c r="EB134" i="3"/>
  <c r="EC134" i="3" s="1"/>
  <c r="EB157" i="3"/>
  <c r="EC157" i="3" s="1"/>
  <c r="EB33" i="3"/>
  <c r="EC33" i="3" s="1"/>
  <c r="EB52" i="3"/>
  <c r="EC52" i="3" s="1"/>
  <c r="EB12" i="3"/>
  <c r="EC12" i="3" s="1"/>
  <c r="ED12" i="3" s="1"/>
  <c r="EB16" i="3"/>
  <c r="EC16" i="3" s="1"/>
  <c r="EB32" i="3"/>
  <c r="EC32" i="3" s="1"/>
  <c r="ED32" i="3" s="1"/>
  <c r="EB58" i="3"/>
  <c r="EC58" i="3" s="1"/>
  <c r="EB76" i="3"/>
  <c r="EC76" i="3" s="1"/>
  <c r="EB148" i="3"/>
  <c r="EC148" i="3" s="1"/>
  <c r="EB78" i="3"/>
  <c r="EC78" i="3" s="1"/>
  <c r="EB66" i="3"/>
  <c r="EC66" i="3" s="1"/>
  <c r="EB81" i="3"/>
  <c r="EC81" i="3" s="1"/>
  <c r="EB119" i="3"/>
  <c r="EC119" i="3" s="1"/>
  <c r="EB53" i="3"/>
  <c r="EC53" i="3" s="1"/>
  <c r="EB18" i="3"/>
  <c r="EC18" i="3" s="1"/>
  <c r="EB101" i="3"/>
  <c r="EC101" i="3" s="1"/>
  <c r="EB43" i="3"/>
  <c r="EC43" i="3" s="1"/>
  <c r="EB54" i="3"/>
  <c r="EC54" i="3" s="1"/>
  <c r="EB143" i="3"/>
  <c r="EC143" i="3" s="1"/>
  <c r="EB115" i="3"/>
  <c r="EC115" i="3" s="1"/>
  <c r="EB142" i="3"/>
  <c r="EC142" i="3" s="1"/>
  <c r="EB167" i="3"/>
  <c r="EC167" i="3" s="1"/>
  <c r="EB111" i="3"/>
  <c r="EC111" i="3" s="1"/>
  <c r="EB108" i="3"/>
  <c r="EC108" i="3" s="1"/>
  <c r="EB29" i="3"/>
  <c r="EC29" i="3" s="1"/>
  <c r="EB152" i="3"/>
  <c r="EC152" i="3" s="1"/>
  <c r="EB35" i="3"/>
  <c r="EC35" i="3" s="1"/>
  <c r="EB85" i="3"/>
  <c r="EC85" i="3" s="1"/>
  <c r="ED85" i="3" s="1"/>
  <c r="EB140" i="3"/>
  <c r="EC140" i="3" s="1"/>
  <c r="EB131" i="3"/>
  <c r="EC131" i="3" s="1"/>
  <c r="EB83" i="3"/>
  <c r="EC83" i="3" s="1"/>
  <c r="EB88" i="3"/>
  <c r="EC88" i="3" s="1"/>
  <c r="ED88" i="3" s="1"/>
  <c r="EB164" i="3"/>
  <c r="EC164" i="3" s="1"/>
  <c r="EB15" i="3"/>
  <c r="EC15" i="3" s="1"/>
  <c r="EB63" i="3"/>
  <c r="EC63" i="3" s="1"/>
  <c r="EB103" i="3"/>
  <c r="EC103" i="3" s="1"/>
  <c r="EB110" i="3"/>
  <c r="EC110" i="3" s="1"/>
  <c r="EB135" i="3"/>
  <c r="EC135" i="3" s="1"/>
  <c r="EB37" i="3"/>
  <c r="EC37" i="3" s="1"/>
  <c r="EB120" i="3"/>
  <c r="EC120" i="3" s="1"/>
  <c r="EB153" i="3"/>
  <c r="EC153" i="3" s="1"/>
  <c r="EB68" i="3"/>
  <c r="EC68" i="3" s="1"/>
  <c r="EB48" i="3"/>
  <c r="EC48" i="3" s="1"/>
  <c r="EB28" i="3"/>
  <c r="EC28" i="3" s="1"/>
  <c r="EB122" i="3"/>
  <c r="EC122" i="3" s="1"/>
  <c r="EB57" i="3"/>
  <c r="EC57" i="3" s="1"/>
  <c r="EB21" i="3"/>
  <c r="EC21" i="3" s="1"/>
  <c r="EB42" i="3"/>
  <c r="EC42" i="3" s="1"/>
  <c r="EB79" i="3"/>
  <c r="EC79" i="3" s="1"/>
  <c r="EB46" i="3"/>
  <c r="EC46" i="3" s="1"/>
  <c r="EB71" i="3"/>
  <c r="EC71" i="3" s="1"/>
  <c r="EB60" i="3"/>
  <c r="EC60" i="3" s="1"/>
  <c r="EB73" i="3"/>
  <c r="EC73" i="3" s="1"/>
  <c r="EB162" i="3"/>
  <c r="EC162" i="3" s="1"/>
  <c r="EB109" i="3"/>
  <c r="EC109" i="3" s="1"/>
  <c r="EB118" i="3"/>
  <c r="EC118" i="3" s="1"/>
  <c r="EB139" i="3"/>
  <c r="EC139" i="3" s="1"/>
  <c r="EB11" i="3"/>
  <c r="EC11" i="3" s="1"/>
  <c r="EB80" i="3"/>
  <c r="EC80" i="3" s="1"/>
  <c r="EB69" i="3"/>
  <c r="EC69" i="3" s="1"/>
  <c r="EB127" i="3"/>
  <c r="EC127" i="3" s="1"/>
  <c r="EB74" i="3"/>
  <c r="EC74" i="3" s="1"/>
  <c r="EB26" i="3"/>
  <c r="EC26" i="3" s="1"/>
  <c r="EB129" i="3"/>
  <c r="EC129" i="3" s="1"/>
  <c r="EB107" i="3"/>
  <c r="EC107" i="3" s="1"/>
  <c r="EB94" i="3"/>
  <c r="EC94" i="3" s="1"/>
  <c r="EB22" i="3"/>
  <c r="EC22" i="3" s="1"/>
  <c r="EB144" i="3"/>
  <c r="EC144" i="3" s="1"/>
  <c r="EB161" i="3"/>
  <c r="EC161" i="3" s="1"/>
  <c r="EB56" i="3"/>
  <c r="EC56" i="3" s="1"/>
  <c r="EB93" i="3"/>
  <c r="EC93" i="3" s="1"/>
  <c r="EB92" i="3"/>
  <c r="EC92" i="3" s="1"/>
  <c r="EB145" i="3"/>
  <c r="EC145" i="3" s="1"/>
  <c r="EB124" i="3"/>
  <c r="EC124" i="3" s="1"/>
  <c r="HL26" i="3"/>
  <c r="HM25" i="3"/>
  <c r="EV4" i="3"/>
  <c r="ED4" i="3" l="1"/>
  <c r="HL27" i="3"/>
  <c r="HM26" i="3"/>
  <c r="EC10" i="3"/>
  <c r="EC6" i="3" s="1"/>
  <c r="EB6" i="3"/>
  <c r="K32" i="4"/>
  <c r="EV5" i="3"/>
  <c r="EV6" i="3" s="1"/>
  <c r="HL28" i="3" l="1"/>
  <c r="HM27" i="3"/>
  <c r="ED5" i="3"/>
  <c r="K26" i="4"/>
  <c r="EW62" i="3"/>
  <c r="EW132" i="3"/>
  <c r="EW15" i="3"/>
  <c r="EW84" i="3"/>
  <c r="EW158" i="3"/>
  <c r="EW97" i="3"/>
  <c r="EW67" i="3"/>
  <c r="EW87" i="3"/>
  <c r="EW82" i="3"/>
  <c r="EW128" i="3"/>
  <c r="EW30" i="3"/>
  <c r="EW154" i="3"/>
  <c r="EW33" i="3"/>
  <c r="EW109" i="3"/>
  <c r="EW145" i="3"/>
  <c r="EW81" i="3"/>
  <c r="EW130" i="3"/>
  <c r="EW68" i="3"/>
  <c r="EW111" i="3"/>
  <c r="EW77" i="3"/>
  <c r="EW162" i="3"/>
  <c r="EW39" i="3"/>
  <c r="EW163" i="3"/>
  <c r="EW118" i="3"/>
  <c r="EW127" i="3"/>
  <c r="EW83" i="3"/>
  <c r="EW161" i="3"/>
  <c r="EW155" i="3"/>
  <c r="EW88" i="3"/>
  <c r="EW147" i="3"/>
  <c r="EW101" i="3"/>
  <c r="EW148" i="3"/>
  <c r="EW103" i="3"/>
  <c r="EW90" i="3"/>
  <c r="EW56" i="3"/>
  <c r="EW137" i="3"/>
  <c r="EW157" i="3"/>
  <c r="EW49" i="3"/>
  <c r="EW117" i="3"/>
  <c r="EW57" i="3"/>
  <c r="EW75" i="3"/>
  <c r="EW120" i="3"/>
  <c r="EW71" i="3"/>
  <c r="EW35" i="3"/>
  <c r="EW138" i="3"/>
  <c r="EW129" i="3"/>
  <c r="EW91" i="3"/>
  <c r="EW146" i="3"/>
  <c r="EW96" i="3"/>
  <c r="EW153" i="3"/>
  <c r="EW114" i="3"/>
  <c r="EW140" i="3"/>
  <c r="EW124" i="3"/>
  <c r="EW119" i="3"/>
  <c r="EW78" i="3"/>
  <c r="EW142" i="3"/>
  <c r="EW79" i="3"/>
  <c r="EW47" i="3"/>
  <c r="EW122" i="3"/>
  <c r="EW14" i="3"/>
  <c r="EW94" i="3"/>
  <c r="EW28" i="3"/>
  <c r="EW31" i="3"/>
  <c r="EW121" i="3"/>
  <c r="EW20" i="3"/>
  <c r="EW102" i="3"/>
  <c r="EW61" i="3"/>
  <c r="EW106" i="3"/>
  <c r="EW70" i="3"/>
  <c r="EW85" i="3"/>
  <c r="EW98" i="3"/>
  <c r="EW160" i="3"/>
  <c r="EW76" i="3"/>
  <c r="EW66" i="3"/>
  <c r="EW25" i="3"/>
  <c r="EW93" i="3"/>
  <c r="EW53" i="3"/>
  <c r="EW123" i="3"/>
  <c r="EW11" i="3"/>
  <c r="EW143" i="3"/>
  <c r="EW156" i="3"/>
  <c r="EW86" i="3"/>
  <c r="EW166" i="3"/>
  <c r="EW89" i="3"/>
  <c r="EW108" i="3"/>
  <c r="EW136" i="3"/>
  <c r="EW22" i="3"/>
  <c r="EW105" i="3"/>
  <c r="EW55" i="3"/>
  <c r="EW13" i="3"/>
  <c r="EW107" i="3"/>
  <c r="EW112" i="3"/>
  <c r="EW37" i="3"/>
  <c r="EW113" i="3"/>
  <c r="EW149" i="3"/>
  <c r="EW60" i="3"/>
  <c r="EW133" i="3"/>
  <c r="EW10" i="3"/>
  <c r="EW164" i="3"/>
  <c r="EW74" i="3"/>
  <c r="EW99" i="3"/>
  <c r="EW151" i="3"/>
  <c r="EW100" i="3"/>
  <c r="EW134" i="3"/>
  <c r="EW80" i="3"/>
  <c r="EW141" i="3"/>
  <c r="EW32" i="3"/>
  <c r="EW110" i="3"/>
  <c r="EW63" i="3"/>
  <c r="EW159" i="3"/>
  <c r="EW12" i="3"/>
  <c r="EW135" i="3"/>
  <c r="EW116" i="3"/>
  <c r="EW46" i="3"/>
  <c r="EW152" i="3"/>
  <c r="EW165" i="3"/>
  <c r="EW92" i="3"/>
  <c r="EW64" i="3"/>
  <c r="EW126" i="3"/>
  <c r="EW69" i="3"/>
  <c r="EW144" i="3"/>
  <c r="EW150" i="3"/>
  <c r="EW95" i="3"/>
  <c r="EW72" i="3"/>
  <c r="EW51" i="3"/>
  <c r="EW27" i="3"/>
  <c r="EW115" i="3"/>
  <c r="EW73" i="3"/>
  <c r="EW167" i="3"/>
  <c r="EW21" i="3"/>
  <c r="EW104" i="3"/>
  <c r="EW41" i="3"/>
  <c r="EW65" i="3"/>
  <c r="EW125" i="3"/>
  <c r="EW139" i="3"/>
  <c r="EW131" i="3"/>
  <c r="EW48" i="3"/>
  <c r="EW42" i="3"/>
  <c r="EW16" i="3"/>
  <c r="EW29" i="3"/>
  <c r="EW17" i="3"/>
  <c r="EW24" i="3"/>
  <c r="EW26" i="3"/>
  <c r="EW45" i="3"/>
  <c r="EW59" i="3"/>
  <c r="EW50" i="3"/>
  <c r="EW38" i="3"/>
  <c r="EW18" i="3"/>
  <c r="EW43" i="3"/>
  <c r="EW54" i="3"/>
  <c r="EW19" i="3"/>
  <c r="EW58" i="3"/>
  <c r="EW44" i="3"/>
  <c r="EW52" i="3"/>
  <c r="EW34" i="3"/>
  <c r="EW23" i="3"/>
  <c r="EW36" i="3"/>
  <c r="EW40" i="3"/>
  <c r="ED6" i="3" l="1"/>
  <c r="O26" i="4"/>
  <c r="HL29" i="3"/>
  <c r="HM28" i="3"/>
  <c r="EW6" i="3"/>
  <c r="O32" i="4" s="1"/>
  <c r="HL30" i="3" l="1"/>
  <c r="HM29" i="3"/>
  <c r="EE95" i="3"/>
  <c r="EF95" i="3" s="1"/>
  <c r="EE80" i="3"/>
  <c r="EF80" i="3" s="1"/>
  <c r="EG80" i="3" s="1"/>
  <c r="EE134" i="3"/>
  <c r="EF134" i="3" s="1"/>
  <c r="EE103" i="3"/>
  <c r="EF103" i="3" s="1"/>
  <c r="EE119" i="3"/>
  <c r="EF119" i="3" s="1"/>
  <c r="EE163" i="3"/>
  <c r="EF163" i="3" s="1"/>
  <c r="EE50" i="3"/>
  <c r="EF50" i="3" s="1"/>
  <c r="EE31" i="3"/>
  <c r="EF31" i="3" s="1"/>
  <c r="EE105" i="3"/>
  <c r="EF105" i="3" s="1"/>
  <c r="EG105" i="3" s="1"/>
  <c r="EE138" i="3"/>
  <c r="EF138" i="3" s="1"/>
  <c r="EE149" i="3"/>
  <c r="EF149" i="3" s="1"/>
  <c r="EE26" i="3"/>
  <c r="EF26" i="3" s="1"/>
  <c r="EE124" i="3"/>
  <c r="EF124" i="3" s="1"/>
  <c r="EE127" i="3"/>
  <c r="EF127" i="3" s="1"/>
  <c r="EE45" i="3"/>
  <c r="EF45" i="3" s="1"/>
  <c r="EG45" i="3" s="1"/>
  <c r="EE167" i="3"/>
  <c r="EF167" i="3" s="1"/>
  <c r="EG167" i="3" s="1"/>
  <c r="EE69" i="3"/>
  <c r="EF69" i="3" s="1"/>
  <c r="EE126" i="3"/>
  <c r="EF126" i="3" s="1"/>
  <c r="EE16" i="3"/>
  <c r="EF16" i="3" s="1"/>
  <c r="EE65" i="3"/>
  <c r="EF65" i="3" s="1"/>
  <c r="EE58" i="3"/>
  <c r="EF58" i="3" s="1"/>
  <c r="EE135" i="3"/>
  <c r="EF135" i="3" s="1"/>
  <c r="EE101" i="3"/>
  <c r="EF101" i="3" s="1"/>
  <c r="EE107" i="3"/>
  <c r="EF107" i="3" s="1"/>
  <c r="EE76" i="3"/>
  <c r="EF76" i="3" s="1"/>
  <c r="EE92" i="3"/>
  <c r="EF92" i="3" s="1"/>
  <c r="EE84" i="3"/>
  <c r="EF84" i="3" s="1"/>
  <c r="EE132" i="3"/>
  <c r="EF132" i="3" s="1"/>
  <c r="EE66" i="3"/>
  <c r="EF66" i="3" s="1"/>
  <c r="EE79" i="3"/>
  <c r="EF79" i="3" s="1"/>
  <c r="EG79" i="3" s="1"/>
  <c r="EE37" i="3"/>
  <c r="EF37" i="3" s="1"/>
  <c r="EE55" i="3"/>
  <c r="EF55" i="3" s="1"/>
  <c r="EE39" i="3"/>
  <c r="EF39" i="3" s="1"/>
  <c r="EE112" i="3"/>
  <c r="EF112" i="3" s="1"/>
  <c r="EE121" i="3"/>
  <c r="EF121" i="3" s="1"/>
  <c r="EE62" i="3"/>
  <c r="EF62" i="3" s="1"/>
  <c r="EE78" i="3"/>
  <c r="EF78" i="3" s="1"/>
  <c r="EE53" i="3"/>
  <c r="EF53" i="3" s="1"/>
  <c r="EE83" i="3"/>
  <c r="EF83" i="3" s="1"/>
  <c r="EE156" i="3"/>
  <c r="EF156" i="3" s="1"/>
  <c r="EE21" i="3"/>
  <c r="EF21" i="3" s="1"/>
  <c r="EE110" i="3"/>
  <c r="EF110" i="3" s="1"/>
  <c r="EE152" i="3"/>
  <c r="EF152" i="3" s="1"/>
  <c r="EE63" i="3"/>
  <c r="EF63" i="3" s="1"/>
  <c r="EE10" i="3"/>
  <c r="EE98" i="3"/>
  <c r="EF98" i="3" s="1"/>
  <c r="EE90" i="3"/>
  <c r="EF90" i="3" s="1"/>
  <c r="EE68" i="3"/>
  <c r="EF68" i="3" s="1"/>
  <c r="EE148" i="3"/>
  <c r="EF148" i="3" s="1"/>
  <c r="EE120" i="3"/>
  <c r="EF120" i="3" s="1"/>
  <c r="EE29" i="3"/>
  <c r="EF29" i="3" s="1"/>
  <c r="EG29" i="3" s="1"/>
  <c r="EE142" i="3"/>
  <c r="EF142" i="3" s="1"/>
  <c r="EE161" i="3"/>
  <c r="EF161" i="3" s="1"/>
  <c r="EE71" i="3"/>
  <c r="EF71" i="3" s="1"/>
  <c r="EE91" i="3"/>
  <c r="EF91" i="3" s="1"/>
  <c r="EE47" i="3"/>
  <c r="EF47" i="3" s="1"/>
  <c r="EE131" i="3"/>
  <c r="EF131" i="3" s="1"/>
  <c r="EE153" i="3"/>
  <c r="EF153" i="3" s="1"/>
  <c r="EE139" i="3"/>
  <c r="EF139" i="3" s="1"/>
  <c r="EE94" i="3"/>
  <c r="EF94" i="3" s="1"/>
  <c r="EE111" i="3"/>
  <c r="EF111" i="3" s="1"/>
  <c r="EE136" i="3"/>
  <c r="EF136" i="3" s="1"/>
  <c r="EE38" i="3"/>
  <c r="EF38" i="3" s="1"/>
  <c r="EE106" i="3"/>
  <c r="EF106" i="3" s="1"/>
  <c r="EE166" i="3"/>
  <c r="EF166" i="3" s="1"/>
  <c r="EG166" i="3" s="1"/>
  <c r="EE102" i="3"/>
  <c r="EF102" i="3" s="1"/>
  <c r="EE49" i="3"/>
  <c r="EF49" i="3" s="1"/>
  <c r="EE18" i="3"/>
  <c r="EF18" i="3" s="1"/>
  <c r="EE15" i="3"/>
  <c r="EF15" i="3" s="1"/>
  <c r="EE157" i="3"/>
  <c r="EF157" i="3" s="1"/>
  <c r="EE118" i="3"/>
  <c r="EF118" i="3" s="1"/>
  <c r="EE75" i="3"/>
  <c r="EF75" i="3" s="1"/>
  <c r="EE125" i="3"/>
  <c r="EF125" i="3" s="1"/>
  <c r="EE52" i="3"/>
  <c r="EF52" i="3" s="1"/>
  <c r="EE99" i="3"/>
  <c r="EF99" i="3" s="1"/>
  <c r="EE22" i="3"/>
  <c r="EF22" i="3" s="1"/>
  <c r="EE48" i="3"/>
  <c r="EF48" i="3" s="1"/>
  <c r="EE14" i="3"/>
  <c r="EF14" i="3" s="1"/>
  <c r="EE33" i="3"/>
  <c r="EF33" i="3" s="1"/>
  <c r="EE144" i="3"/>
  <c r="EF144" i="3" s="1"/>
  <c r="EE36" i="3"/>
  <c r="EF36" i="3" s="1"/>
  <c r="EE104" i="3"/>
  <c r="EF104" i="3" s="1"/>
  <c r="EE28" i="3"/>
  <c r="EF28" i="3" s="1"/>
  <c r="EE13" i="3"/>
  <c r="EF13" i="3" s="1"/>
  <c r="EE115" i="3"/>
  <c r="EF115" i="3" s="1"/>
  <c r="EG115" i="3" s="1"/>
  <c r="EE77" i="3"/>
  <c r="EF77" i="3" s="1"/>
  <c r="EG77" i="3" s="1"/>
  <c r="EE42" i="3"/>
  <c r="EF42" i="3" s="1"/>
  <c r="EG42" i="3" s="1"/>
  <c r="EE57" i="3"/>
  <c r="EF57" i="3" s="1"/>
  <c r="EE24" i="3"/>
  <c r="EF24" i="3" s="1"/>
  <c r="EE93" i="3"/>
  <c r="EF93" i="3" s="1"/>
  <c r="EE143" i="3"/>
  <c r="EF143" i="3" s="1"/>
  <c r="EE67" i="3"/>
  <c r="EF67" i="3" s="1"/>
  <c r="EE158" i="3"/>
  <c r="EF158" i="3" s="1"/>
  <c r="EE11" i="3"/>
  <c r="EF11" i="3" s="1"/>
  <c r="EE51" i="3"/>
  <c r="EF51" i="3" s="1"/>
  <c r="EE64" i="3"/>
  <c r="EF64" i="3" s="1"/>
  <c r="EE81" i="3"/>
  <c r="EF81" i="3" s="1"/>
  <c r="EG81" i="3" s="1"/>
  <c r="EE151" i="3"/>
  <c r="EF151" i="3" s="1"/>
  <c r="EE147" i="3"/>
  <c r="EF147" i="3" s="1"/>
  <c r="EE137" i="3"/>
  <c r="EF137" i="3" s="1"/>
  <c r="EE162" i="3"/>
  <c r="EF162" i="3" s="1"/>
  <c r="EE109" i="3"/>
  <c r="EF109" i="3" s="1"/>
  <c r="EE141" i="3"/>
  <c r="EF141" i="3" s="1"/>
  <c r="EE128" i="3"/>
  <c r="EF128" i="3" s="1"/>
  <c r="EE73" i="3"/>
  <c r="EF73" i="3" s="1"/>
  <c r="EE40" i="3"/>
  <c r="EF40" i="3" s="1"/>
  <c r="EE41" i="3"/>
  <c r="EF41" i="3" s="1"/>
  <c r="EE155" i="3"/>
  <c r="EF155" i="3" s="1"/>
  <c r="EE54" i="3"/>
  <c r="EF54" i="3" s="1"/>
  <c r="EE150" i="3"/>
  <c r="EF150" i="3" s="1"/>
  <c r="EE61" i="3"/>
  <c r="EF61" i="3" s="1"/>
  <c r="EE97" i="3"/>
  <c r="EF97" i="3" s="1"/>
  <c r="EG97" i="3" s="1"/>
  <c r="EE17" i="3"/>
  <c r="EF17" i="3" s="1"/>
  <c r="EE35" i="3"/>
  <c r="EF35" i="3" s="1"/>
  <c r="EE46" i="3"/>
  <c r="EF46" i="3" s="1"/>
  <c r="EE96" i="3"/>
  <c r="EF96" i="3" s="1"/>
  <c r="EE82" i="3"/>
  <c r="EF82" i="3" s="1"/>
  <c r="EE108" i="3"/>
  <c r="EF108" i="3" s="1"/>
  <c r="EE56" i="3"/>
  <c r="EF56" i="3" s="1"/>
  <c r="EE43" i="3"/>
  <c r="EF43" i="3" s="1"/>
  <c r="EE60" i="3"/>
  <c r="EF60" i="3" s="1"/>
  <c r="EE30" i="3"/>
  <c r="EF30" i="3" s="1"/>
  <c r="EE160" i="3"/>
  <c r="EF160" i="3" s="1"/>
  <c r="EE154" i="3"/>
  <c r="EF154" i="3" s="1"/>
  <c r="EE140" i="3"/>
  <c r="EF140" i="3" s="1"/>
  <c r="EE159" i="3"/>
  <c r="EF159" i="3" s="1"/>
  <c r="EE129" i="3"/>
  <c r="EF129" i="3" s="1"/>
  <c r="EE122" i="3"/>
  <c r="EF122" i="3" s="1"/>
  <c r="EE116" i="3"/>
  <c r="EF116" i="3" s="1"/>
  <c r="EE34" i="3"/>
  <c r="EF34" i="3" s="1"/>
  <c r="EE25" i="3"/>
  <c r="EF25" i="3" s="1"/>
  <c r="EE145" i="3"/>
  <c r="EF145" i="3" s="1"/>
  <c r="EE23" i="3"/>
  <c r="EF23" i="3" s="1"/>
  <c r="EE44" i="3"/>
  <c r="EF44" i="3" s="1"/>
  <c r="EE117" i="3"/>
  <c r="EF117" i="3" s="1"/>
  <c r="EE114" i="3"/>
  <c r="EF114" i="3" s="1"/>
  <c r="EG114" i="3" s="1"/>
  <c r="EE27" i="3"/>
  <c r="EF27" i="3" s="1"/>
  <c r="EE74" i="3"/>
  <c r="EF74" i="3" s="1"/>
  <c r="EE59" i="3"/>
  <c r="EF59" i="3" s="1"/>
  <c r="EE100" i="3"/>
  <c r="EF100" i="3" s="1"/>
  <c r="EE130" i="3"/>
  <c r="EF130" i="3" s="1"/>
  <c r="EE146" i="3"/>
  <c r="EF146" i="3" s="1"/>
  <c r="EE113" i="3"/>
  <c r="EF113" i="3" s="1"/>
  <c r="EE123" i="3"/>
  <c r="EF123" i="3" s="1"/>
  <c r="EE133" i="3"/>
  <c r="EF133" i="3" s="1"/>
  <c r="EE20" i="3"/>
  <c r="EF20" i="3" s="1"/>
  <c r="EE19" i="3"/>
  <c r="EF19" i="3" s="1"/>
  <c r="EE164" i="3"/>
  <c r="EF164" i="3" s="1"/>
  <c r="EE70" i="3"/>
  <c r="EF70" i="3" s="1"/>
  <c r="EE72" i="3"/>
  <c r="EF72" i="3" s="1"/>
  <c r="EE165" i="3"/>
  <c r="EF165" i="3" s="1"/>
  <c r="EE85" i="3"/>
  <c r="EF85" i="3" s="1"/>
  <c r="EE32" i="3"/>
  <c r="EF32" i="3" s="1"/>
  <c r="EE88" i="3"/>
  <c r="EF88" i="3" s="1"/>
  <c r="EE86" i="3"/>
  <c r="EF86" i="3" s="1"/>
  <c r="EE12" i="3"/>
  <c r="EF12" i="3" s="1"/>
  <c r="EE89" i="3"/>
  <c r="EF89" i="3" s="1"/>
  <c r="EE87" i="3"/>
  <c r="EF87" i="3" s="1"/>
  <c r="EG4" i="3" l="1"/>
  <c r="EF10" i="3"/>
  <c r="EE6" i="3"/>
  <c r="HL31" i="3"/>
  <c r="HM30" i="3"/>
  <c r="EF6" i="3" l="1"/>
  <c r="EG5" i="3"/>
  <c r="K27" i="4"/>
  <c r="HM31" i="3"/>
  <c r="HL32" i="3"/>
  <c r="HL33" i="3" l="1"/>
  <c r="HM32" i="3"/>
  <c r="EG6" i="3"/>
  <c r="O27" i="4"/>
  <c r="EH34" i="3" l="1"/>
  <c r="EI34" i="3" s="1"/>
  <c r="EL34" i="3" s="1"/>
  <c r="EO34" i="3" s="1"/>
  <c r="ER34" i="3" s="1"/>
  <c r="EU34" i="3" s="1"/>
  <c r="EX34" i="3" s="1"/>
  <c r="EH67" i="3"/>
  <c r="EI67" i="3" s="1"/>
  <c r="EL67" i="3" s="1"/>
  <c r="EO67" i="3" s="1"/>
  <c r="ER67" i="3" s="1"/>
  <c r="EU67" i="3" s="1"/>
  <c r="EX67" i="3" s="1"/>
  <c r="EH95" i="3"/>
  <c r="EI95" i="3" s="1"/>
  <c r="EL95" i="3" s="1"/>
  <c r="EO95" i="3" s="1"/>
  <c r="ER95" i="3" s="1"/>
  <c r="EU95" i="3" s="1"/>
  <c r="EX95" i="3" s="1"/>
  <c r="EH106" i="3"/>
  <c r="EI106" i="3" s="1"/>
  <c r="EL106" i="3" s="1"/>
  <c r="EO106" i="3" s="1"/>
  <c r="ER106" i="3" s="1"/>
  <c r="EU106" i="3" s="1"/>
  <c r="EX106" i="3" s="1"/>
  <c r="EH121" i="3"/>
  <c r="EI121" i="3" s="1"/>
  <c r="EL121" i="3" s="1"/>
  <c r="EO121" i="3" s="1"/>
  <c r="ER121" i="3" s="1"/>
  <c r="EU121" i="3" s="1"/>
  <c r="EX121" i="3" s="1"/>
  <c r="EH118" i="3"/>
  <c r="EI118" i="3" s="1"/>
  <c r="EL118" i="3" s="1"/>
  <c r="EO118" i="3" s="1"/>
  <c r="ER118" i="3" s="1"/>
  <c r="EU118" i="3" s="1"/>
  <c r="EX118" i="3" s="1"/>
  <c r="EH161" i="3"/>
  <c r="EI161" i="3" s="1"/>
  <c r="EL161" i="3" s="1"/>
  <c r="EO161" i="3" s="1"/>
  <c r="ER161" i="3" s="1"/>
  <c r="EU161" i="3" s="1"/>
  <c r="EX161" i="3" s="1"/>
  <c r="EH23" i="3"/>
  <c r="EI23" i="3" s="1"/>
  <c r="EL23" i="3" s="1"/>
  <c r="EO23" i="3" s="1"/>
  <c r="ER23" i="3" s="1"/>
  <c r="EU23" i="3" s="1"/>
  <c r="EX23" i="3" s="1"/>
  <c r="EH53" i="3"/>
  <c r="EI53" i="3" s="1"/>
  <c r="EL53" i="3" s="1"/>
  <c r="EO53" i="3" s="1"/>
  <c r="ER53" i="3" s="1"/>
  <c r="EU53" i="3" s="1"/>
  <c r="EX53" i="3" s="1"/>
  <c r="EH158" i="3"/>
  <c r="EI158" i="3" s="1"/>
  <c r="EL158" i="3" s="1"/>
  <c r="EO158" i="3" s="1"/>
  <c r="ER158" i="3" s="1"/>
  <c r="EU158" i="3" s="1"/>
  <c r="EX158" i="3" s="1"/>
  <c r="EH149" i="3"/>
  <c r="EI149" i="3" s="1"/>
  <c r="EL149" i="3" s="1"/>
  <c r="EO149" i="3" s="1"/>
  <c r="ER149" i="3" s="1"/>
  <c r="EU149" i="3" s="1"/>
  <c r="EX149" i="3" s="1"/>
  <c r="EH14" i="3"/>
  <c r="EI14" i="3" s="1"/>
  <c r="EL14" i="3" s="1"/>
  <c r="EO14" i="3" s="1"/>
  <c r="ER14" i="3" s="1"/>
  <c r="EU14" i="3" s="1"/>
  <c r="EX14" i="3" s="1"/>
  <c r="EH17" i="3"/>
  <c r="EI17" i="3" s="1"/>
  <c r="EL17" i="3" s="1"/>
  <c r="EO17" i="3" s="1"/>
  <c r="ER17" i="3" s="1"/>
  <c r="EU17" i="3" s="1"/>
  <c r="EX17" i="3" s="1"/>
  <c r="EH89" i="3"/>
  <c r="EI89" i="3" s="1"/>
  <c r="EL89" i="3" s="1"/>
  <c r="EO89" i="3" s="1"/>
  <c r="ER89" i="3" s="1"/>
  <c r="EU89" i="3" s="1"/>
  <c r="EX89" i="3" s="1"/>
  <c r="EH148" i="3"/>
  <c r="EI148" i="3" s="1"/>
  <c r="EL148" i="3" s="1"/>
  <c r="EO148" i="3" s="1"/>
  <c r="ER148" i="3" s="1"/>
  <c r="EU148" i="3" s="1"/>
  <c r="EX148" i="3" s="1"/>
  <c r="EH94" i="3"/>
  <c r="EI94" i="3" s="1"/>
  <c r="EL94" i="3" s="1"/>
  <c r="EO94" i="3" s="1"/>
  <c r="ER94" i="3" s="1"/>
  <c r="EU94" i="3" s="1"/>
  <c r="EX94" i="3" s="1"/>
  <c r="EH109" i="3"/>
  <c r="EI109" i="3" s="1"/>
  <c r="EL109" i="3" s="1"/>
  <c r="EO109" i="3" s="1"/>
  <c r="ER109" i="3" s="1"/>
  <c r="EU109" i="3" s="1"/>
  <c r="EX109" i="3" s="1"/>
  <c r="EH132" i="3"/>
  <c r="EI132" i="3" s="1"/>
  <c r="EL132" i="3" s="1"/>
  <c r="EO132" i="3" s="1"/>
  <c r="ER132" i="3" s="1"/>
  <c r="EU132" i="3" s="1"/>
  <c r="EX132" i="3" s="1"/>
  <c r="EH41" i="3"/>
  <c r="EI41" i="3" s="1"/>
  <c r="EL41" i="3" s="1"/>
  <c r="EO41" i="3" s="1"/>
  <c r="ER41" i="3" s="1"/>
  <c r="EU41" i="3" s="1"/>
  <c r="EX41" i="3" s="1"/>
  <c r="EH11" i="3"/>
  <c r="EI11" i="3" s="1"/>
  <c r="EL11" i="3" s="1"/>
  <c r="EO11" i="3" s="1"/>
  <c r="ER11" i="3" s="1"/>
  <c r="EU11" i="3" s="1"/>
  <c r="EX11" i="3" s="1"/>
  <c r="EH73" i="3"/>
  <c r="EI73" i="3" s="1"/>
  <c r="EL73" i="3" s="1"/>
  <c r="EO73" i="3" s="1"/>
  <c r="ER73" i="3" s="1"/>
  <c r="EU73" i="3" s="1"/>
  <c r="EX73" i="3" s="1"/>
  <c r="EH142" i="3"/>
  <c r="EI142" i="3" s="1"/>
  <c r="EL142" i="3" s="1"/>
  <c r="EO142" i="3" s="1"/>
  <c r="ER142" i="3" s="1"/>
  <c r="EU142" i="3" s="1"/>
  <c r="EX142" i="3" s="1"/>
  <c r="EH33" i="3"/>
  <c r="EI33" i="3" s="1"/>
  <c r="EL33" i="3" s="1"/>
  <c r="EO33" i="3" s="1"/>
  <c r="ER33" i="3" s="1"/>
  <c r="EU33" i="3" s="1"/>
  <c r="EX33" i="3" s="1"/>
  <c r="EH156" i="3"/>
  <c r="EI156" i="3" s="1"/>
  <c r="EL156" i="3" s="1"/>
  <c r="EO156" i="3" s="1"/>
  <c r="ER156" i="3" s="1"/>
  <c r="EU156" i="3" s="1"/>
  <c r="EX156" i="3" s="1"/>
  <c r="EH153" i="3"/>
  <c r="EI153" i="3" s="1"/>
  <c r="EL153" i="3" s="1"/>
  <c r="EO153" i="3" s="1"/>
  <c r="ER153" i="3" s="1"/>
  <c r="EU153" i="3" s="1"/>
  <c r="EX153" i="3" s="1"/>
  <c r="EH154" i="3"/>
  <c r="EI154" i="3" s="1"/>
  <c r="EL154" i="3" s="1"/>
  <c r="EO154" i="3" s="1"/>
  <c r="ER154" i="3" s="1"/>
  <c r="EU154" i="3" s="1"/>
  <c r="EX154" i="3" s="1"/>
  <c r="EH16" i="3"/>
  <c r="EI16" i="3" s="1"/>
  <c r="EL16" i="3" s="1"/>
  <c r="EO16" i="3" s="1"/>
  <c r="ER16" i="3" s="1"/>
  <c r="EU16" i="3" s="1"/>
  <c r="EX16" i="3" s="1"/>
  <c r="EH146" i="3"/>
  <c r="EI146" i="3" s="1"/>
  <c r="EL146" i="3" s="1"/>
  <c r="EO146" i="3" s="1"/>
  <c r="ER146" i="3" s="1"/>
  <c r="EU146" i="3" s="1"/>
  <c r="EX146" i="3" s="1"/>
  <c r="EH38" i="3"/>
  <c r="EI38" i="3" s="1"/>
  <c r="EL38" i="3" s="1"/>
  <c r="EO38" i="3" s="1"/>
  <c r="ER38" i="3" s="1"/>
  <c r="EU38" i="3" s="1"/>
  <c r="EX38" i="3" s="1"/>
  <c r="EH37" i="3"/>
  <c r="EI37" i="3" s="1"/>
  <c r="EL37" i="3" s="1"/>
  <c r="EO37" i="3" s="1"/>
  <c r="ER37" i="3" s="1"/>
  <c r="EU37" i="3" s="1"/>
  <c r="EX37" i="3" s="1"/>
  <c r="EH32" i="3"/>
  <c r="EI32" i="3" s="1"/>
  <c r="EL32" i="3" s="1"/>
  <c r="EO32" i="3" s="1"/>
  <c r="ER32" i="3" s="1"/>
  <c r="EU32" i="3" s="1"/>
  <c r="EX32" i="3" s="1"/>
  <c r="EH36" i="3"/>
  <c r="EI36" i="3" s="1"/>
  <c r="EL36" i="3" s="1"/>
  <c r="EO36" i="3" s="1"/>
  <c r="ER36" i="3" s="1"/>
  <c r="EU36" i="3" s="1"/>
  <c r="EX36" i="3" s="1"/>
  <c r="EH69" i="3"/>
  <c r="EI69" i="3" s="1"/>
  <c r="EL69" i="3" s="1"/>
  <c r="EO69" i="3" s="1"/>
  <c r="ER69" i="3" s="1"/>
  <c r="EU69" i="3" s="1"/>
  <c r="EX69" i="3" s="1"/>
  <c r="EH99" i="3"/>
  <c r="EI99" i="3" s="1"/>
  <c r="EL99" i="3" s="1"/>
  <c r="EO99" i="3" s="1"/>
  <c r="ER99" i="3" s="1"/>
  <c r="EU99" i="3" s="1"/>
  <c r="EX99" i="3" s="1"/>
  <c r="EH110" i="3"/>
  <c r="EI110" i="3" s="1"/>
  <c r="EL110" i="3" s="1"/>
  <c r="EO110" i="3" s="1"/>
  <c r="ER110" i="3" s="1"/>
  <c r="EU110" i="3" s="1"/>
  <c r="EX110" i="3" s="1"/>
  <c r="EH119" i="3"/>
  <c r="EI119" i="3" s="1"/>
  <c r="EL119" i="3" s="1"/>
  <c r="EO119" i="3" s="1"/>
  <c r="ER119" i="3" s="1"/>
  <c r="EU119" i="3" s="1"/>
  <c r="EX119" i="3" s="1"/>
  <c r="EH127" i="3"/>
  <c r="EI127" i="3" s="1"/>
  <c r="EL127" i="3" s="1"/>
  <c r="EO127" i="3" s="1"/>
  <c r="ER127" i="3" s="1"/>
  <c r="EU127" i="3" s="1"/>
  <c r="EX127" i="3" s="1"/>
  <c r="EH162" i="3"/>
  <c r="EI162" i="3" s="1"/>
  <c r="EL162" i="3" s="1"/>
  <c r="EO162" i="3" s="1"/>
  <c r="ER162" i="3" s="1"/>
  <c r="EU162" i="3" s="1"/>
  <c r="EX162" i="3" s="1"/>
  <c r="EH28" i="3"/>
  <c r="EI28" i="3" s="1"/>
  <c r="EL28" i="3" s="1"/>
  <c r="EO28" i="3" s="1"/>
  <c r="ER28" i="3" s="1"/>
  <c r="EU28" i="3" s="1"/>
  <c r="EX28" i="3" s="1"/>
  <c r="EH44" i="3"/>
  <c r="EI44" i="3" s="1"/>
  <c r="EL44" i="3" s="1"/>
  <c r="EO44" i="3" s="1"/>
  <c r="ER44" i="3" s="1"/>
  <c r="EU44" i="3" s="1"/>
  <c r="EX44" i="3" s="1"/>
  <c r="EH133" i="3"/>
  <c r="EI133" i="3" s="1"/>
  <c r="EL133" i="3" s="1"/>
  <c r="EO133" i="3" s="1"/>
  <c r="ER133" i="3" s="1"/>
  <c r="EU133" i="3" s="1"/>
  <c r="EX133" i="3" s="1"/>
  <c r="EH138" i="3"/>
  <c r="EI138" i="3" s="1"/>
  <c r="EL138" i="3" s="1"/>
  <c r="EO138" i="3" s="1"/>
  <c r="ER138" i="3" s="1"/>
  <c r="EU138" i="3" s="1"/>
  <c r="EX138" i="3" s="1"/>
  <c r="EH157" i="3"/>
  <c r="EI157" i="3" s="1"/>
  <c r="EL157" i="3" s="1"/>
  <c r="EO157" i="3" s="1"/>
  <c r="ER157" i="3" s="1"/>
  <c r="EU157" i="3" s="1"/>
  <c r="EX157" i="3" s="1"/>
  <c r="EH159" i="3"/>
  <c r="EI159" i="3" s="1"/>
  <c r="EL159" i="3" s="1"/>
  <c r="EO159" i="3" s="1"/>
  <c r="ER159" i="3" s="1"/>
  <c r="EU159" i="3" s="1"/>
  <c r="EX159" i="3" s="1"/>
  <c r="EH82" i="3"/>
  <c r="EI82" i="3" s="1"/>
  <c r="EL82" i="3" s="1"/>
  <c r="EO82" i="3" s="1"/>
  <c r="ER82" i="3" s="1"/>
  <c r="EU82" i="3" s="1"/>
  <c r="EX82" i="3" s="1"/>
  <c r="EH51" i="3"/>
  <c r="EI51" i="3" s="1"/>
  <c r="EL51" i="3" s="1"/>
  <c r="EO51" i="3" s="1"/>
  <c r="ER51" i="3" s="1"/>
  <c r="EU51" i="3" s="1"/>
  <c r="EX51" i="3" s="1"/>
  <c r="EH21" i="3"/>
  <c r="EI21" i="3" s="1"/>
  <c r="EL21" i="3" s="1"/>
  <c r="EO21" i="3" s="1"/>
  <c r="ER21" i="3" s="1"/>
  <c r="EU21" i="3" s="1"/>
  <c r="EX21" i="3" s="1"/>
  <c r="EH86" i="3"/>
  <c r="EI86" i="3" s="1"/>
  <c r="EL86" i="3" s="1"/>
  <c r="EO86" i="3" s="1"/>
  <c r="ER86" i="3" s="1"/>
  <c r="EU86" i="3" s="1"/>
  <c r="EX86" i="3" s="1"/>
  <c r="EH91" i="3"/>
  <c r="EI91" i="3" s="1"/>
  <c r="EL91" i="3" s="1"/>
  <c r="EO91" i="3" s="1"/>
  <c r="ER91" i="3" s="1"/>
  <c r="EU91" i="3" s="1"/>
  <c r="EX91" i="3" s="1"/>
  <c r="EH31" i="3"/>
  <c r="EI31" i="3" s="1"/>
  <c r="EL31" i="3" s="1"/>
  <c r="EO31" i="3" s="1"/>
  <c r="ER31" i="3" s="1"/>
  <c r="EU31" i="3" s="1"/>
  <c r="EX31" i="3" s="1"/>
  <c r="EH52" i="3"/>
  <c r="EI52" i="3" s="1"/>
  <c r="EL52" i="3" s="1"/>
  <c r="EO52" i="3" s="1"/>
  <c r="ER52" i="3" s="1"/>
  <c r="EU52" i="3" s="1"/>
  <c r="EX52" i="3" s="1"/>
  <c r="EH112" i="3"/>
  <c r="EI112" i="3" s="1"/>
  <c r="EL112" i="3" s="1"/>
  <c r="EO112" i="3" s="1"/>
  <c r="ER112" i="3" s="1"/>
  <c r="EU112" i="3" s="1"/>
  <c r="EX112" i="3" s="1"/>
  <c r="EH145" i="3"/>
  <c r="EI145" i="3" s="1"/>
  <c r="EL145" i="3" s="1"/>
  <c r="EO145" i="3" s="1"/>
  <c r="ER145" i="3" s="1"/>
  <c r="EU145" i="3" s="1"/>
  <c r="EX145" i="3" s="1"/>
  <c r="EH12" i="3"/>
  <c r="EI12" i="3" s="1"/>
  <c r="EL12" i="3" s="1"/>
  <c r="EO12" i="3" s="1"/>
  <c r="ER12" i="3" s="1"/>
  <c r="EU12" i="3" s="1"/>
  <c r="EX12" i="3" s="1"/>
  <c r="EH104" i="3"/>
  <c r="EI104" i="3" s="1"/>
  <c r="EL104" i="3" s="1"/>
  <c r="EO104" i="3" s="1"/>
  <c r="ER104" i="3" s="1"/>
  <c r="EU104" i="3" s="1"/>
  <c r="EX104" i="3" s="1"/>
  <c r="EH54" i="3"/>
  <c r="EI54" i="3" s="1"/>
  <c r="EL54" i="3" s="1"/>
  <c r="EO54" i="3" s="1"/>
  <c r="ER54" i="3" s="1"/>
  <c r="EU54" i="3" s="1"/>
  <c r="EX54" i="3" s="1"/>
  <c r="EH93" i="3"/>
  <c r="EI93" i="3" s="1"/>
  <c r="EL93" i="3" s="1"/>
  <c r="EO93" i="3" s="1"/>
  <c r="ER93" i="3" s="1"/>
  <c r="EU93" i="3" s="1"/>
  <c r="EX93" i="3" s="1"/>
  <c r="EH39" i="3"/>
  <c r="EI39" i="3" s="1"/>
  <c r="EL39" i="3" s="1"/>
  <c r="EO39" i="3" s="1"/>
  <c r="ER39" i="3" s="1"/>
  <c r="EU39" i="3" s="1"/>
  <c r="EX39" i="3" s="1"/>
  <c r="EH72" i="3"/>
  <c r="EI72" i="3" s="1"/>
  <c r="EL72" i="3" s="1"/>
  <c r="EO72" i="3" s="1"/>
  <c r="ER72" i="3" s="1"/>
  <c r="EU72" i="3" s="1"/>
  <c r="EX72" i="3" s="1"/>
  <c r="EH76" i="3"/>
  <c r="EI76" i="3" s="1"/>
  <c r="EL76" i="3" s="1"/>
  <c r="EO76" i="3" s="1"/>
  <c r="ER76" i="3" s="1"/>
  <c r="EU76" i="3" s="1"/>
  <c r="EX76" i="3" s="1"/>
  <c r="EH98" i="3"/>
  <c r="EI98" i="3" s="1"/>
  <c r="EL98" i="3" s="1"/>
  <c r="EO98" i="3" s="1"/>
  <c r="ER98" i="3" s="1"/>
  <c r="EU98" i="3" s="1"/>
  <c r="EX98" i="3" s="1"/>
  <c r="EH123" i="3"/>
  <c r="EI123" i="3" s="1"/>
  <c r="EL123" i="3" s="1"/>
  <c r="EO123" i="3" s="1"/>
  <c r="ER123" i="3" s="1"/>
  <c r="EU123" i="3" s="1"/>
  <c r="EX123" i="3" s="1"/>
  <c r="EH141" i="3"/>
  <c r="EI141" i="3" s="1"/>
  <c r="EL141" i="3" s="1"/>
  <c r="EO141" i="3" s="1"/>
  <c r="ER141" i="3" s="1"/>
  <c r="EU141" i="3" s="1"/>
  <c r="EX141" i="3" s="1"/>
  <c r="EH150" i="3"/>
  <c r="EI150" i="3" s="1"/>
  <c r="EL150" i="3" s="1"/>
  <c r="EO150" i="3" s="1"/>
  <c r="ER150" i="3" s="1"/>
  <c r="EU150" i="3" s="1"/>
  <c r="EX150" i="3" s="1"/>
  <c r="EH163" i="3"/>
  <c r="EI163" i="3" s="1"/>
  <c r="EL163" i="3" s="1"/>
  <c r="EO163" i="3" s="1"/>
  <c r="ER163" i="3" s="1"/>
  <c r="EU163" i="3" s="1"/>
  <c r="EX163" i="3" s="1"/>
  <c r="EH18" i="3"/>
  <c r="EI18" i="3" s="1"/>
  <c r="EL18" i="3" s="1"/>
  <c r="EO18" i="3" s="1"/>
  <c r="ER18" i="3" s="1"/>
  <c r="EU18" i="3" s="1"/>
  <c r="EX18" i="3" s="1"/>
  <c r="EH131" i="3"/>
  <c r="EI131" i="3" s="1"/>
  <c r="EL131" i="3" s="1"/>
  <c r="EO131" i="3" s="1"/>
  <c r="ER131" i="3" s="1"/>
  <c r="EU131" i="3" s="1"/>
  <c r="EX131" i="3" s="1"/>
  <c r="EH151" i="3"/>
  <c r="EI151" i="3" s="1"/>
  <c r="EL151" i="3" s="1"/>
  <c r="EO151" i="3" s="1"/>
  <c r="ER151" i="3" s="1"/>
  <c r="EU151" i="3" s="1"/>
  <c r="EX151" i="3" s="1"/>
  <c r="EH111" i="3"/>
  <c r="EI111" i="3" s="1"/>
  <c r="EL111" i="3" s="1"/>
  <c r="EO111" i="3" s="1"/>
  <c r="ER111" i="3" s="1"/>
  <c r="EU111" i="3" s="1"/>
  <c r="EX111" i="3" s="1"/>
  <c r="EH143" i="3"/>
  <c r="EI143" i="3" s="1"/>
  <c r="EL143" i="3" s="1"/>
  <c r="EO143" i="3" s="1"/>
  <c r="ER143" i="3" s="1"/>
  <c r="EU143" i="3" s="1"/>
  <c r="EX143" i="3" s="1"/>
  <c r="EH61" i="3"/>
  <c r="EI61" i="3" s="1"/>
  <c r="EL61" i="3" s="1"/>
  <c r="EO61" i="3" s="1"/>
  <c r="ER61" i="3" s="1"/>
  <c r="EU61" i="3" s="1"/>
  <c r="EX61" i="3" s="1"/>
  <c r="EH147" i="3"/>
  <c r="EI147" i="3" s="1"/>
  <c r="EL147" i="3" s="1"/>
  <c r="EO147" i="3" s="1"/>
  <c r="ER147" i="3" s="1"/>
  <c r="EU147" i="3" s="1"/>
  <c r="EX147" i="3" s="1"/>
  <c r="EH55" i="3"/>
  <c r="EI55" i="3" s="1"/>
  <c r="EL55" i="3" s="1"/>
  <c r="EO55" i="3" s="1"/>
  <c r="ER55" i="3" s="1"/>
  <c r="EU55" i="3" s="1"/>
  <c r="EX55" i="3" s="1"/>
  <c r="EH71" i="3"/>
  <c r="EI71" i="3" s="1"/>
  <c r="EL71" i="3" s="1"/>
  <c r="EO71" i="3" s="1"/>
  <c r="ER71" i="3" s="1"/>
  <c r="EU71" i="3" s="1"/>
  <c r="EX71" i="3" s="1"/>
  <c r="EH117" i="3"/>
  <c r="EI117" i="3" s="1"/>
  <c r="EL117" i="3" s="1"/>
  <c r="EO117" i="3" s="1"/>
  <c r="ER117" i="3" s="1"/>
  <c r="EU117" i="3" s="1"/>
  <c r="EX117" i="3" s="1"/>
  <c r="EH57" i="3"/>
  <c r="EI57" i="3" s="1"/>
  <c r="EL57" i="3" s="1"/>
  <c r="EO57" i="3" s="1"/>
  <c r="ER57" i="3" s="1"/>
  <c r="EU57" i="3" s="1"/>
  <c r="EX57" i="3" s="1"/>
  <c r="EH88" i="3"/>
  <c r="EI88" i="3" s="1"/>
  <c r="EL88" i="3" s="1"/>
  <c r="EO88" i="3" s="1"/>
  <c r="ER88" i="3" s="1"/>
  <c r="EU88" i="3" s="1"/>
  <c r="EX88" i="3" s="1"/>
  <c r="EH43" i="3"/>
  <c r="EI43" i="3" s="1"/>
  <c r="EL43" i="3" s="1"/>
  <c r="EO43" i="3" s="1"/>
  <c r="ER43" i="3" s="1"/>
  <c r="EU43" i="3" s="1"/>
  <c r="EX43" i="3" s="1"/>
  <c r="EH27" i="3"/>
  <c r="EI27" i="3" s="1"/>
  <c r="EL27" i="3" s="1"/>
  <c r="EO27" i="3" s="1"/>
  <c r="ER27" i="3" s="1"/>
  <c r="EU27" i="3" s="1"/>
  <c r="EX27" i="3" s="1"/>
  <c r="EH60" i="3"/>
  <c r="EI60" i="3" s="1"/>
  <c r="EL60" i="3" s="1"/>
  <c r="EO60" i="3" s="1"/>
  <c r="ER60" i="3" s="1"/>
  <c r="EU60" i="3" s="1"/>
  <c r="EX60" i="3" s="1"/>
  <c r="EH74" i="3"/>
  <c r="EI74" i="3" s="1"/>
  <c r="EL74" i="3" s="1"/>
  <c r="EO74" i="3" s="1"/>
  <c r="ER74" i="3" s="1"/>
  <c r="EU74" i="3" s="1"/>
  <c r="EX74" i="3" s="1"/>
  <c r="EH120" i="3"/>
  <c r="EI120" i="3" s="1"/>
  <c r="EL120" i="3" s="1"/>
  <c r="EO120" i="3" s="1"/>
  <c r="ER120" i="3" s="1"/>
  <c r="EU120" i="3" s="1"/>
  <c r="EX120" i="3" s="1"/>
  <c r="EH25" i="3"/>
  <c r="EI25" i="3" s="1"/>
  <c r="EL25" i="3" s="1"/>
  <c r="EO25" i="3" s="1"/>
  <c r="ER25" i="3" s="1"/>
  <c r="EU25" i="3" s="1"/>
  <c r="EX25" i="3" s="1"/>
  <c r="EH59" i="3"/>
  <c r="EI59" i="3" s="1"/>
  <c r="EL59" i="3" s="1"/>
  <c r="EO59" i="3" s="1"/>
  <c r="ER59" i="3" s="1"/>
  <c r="EU59" i="3" s="1"/>
  <c r="EX59" i="3" s="1"/>
  <c r="EH101" i="3"/>
  <c r="EI101" i="3" s="1"/>
  <c r="EL101" i="3" s="1"/>
  <c r="EO101" i="3" s="1"/>
  <c r="ER101" i="3" s="1"/>
  <c r="EU101" i="3" s="1"/>
  <c r="EX101" i="3" s="1"/>
  <c r="EH96" i="3"/>
  <c r="EI96" i="3" s="1"/>
  <c r="EL96" i="3" s="1"/>
  <c r="EO96" i="3" s="1"/>
  <c r="ER96" i="3" s="1"/>
  <c r="EU96" i="3" s="1"/>
  <c r="EX96" i="3" s="1"/>
  <c r="EH160" i="3"/>
  <c r="EI160" i="3" s="1"/>
  <c r="EL160" i="3" s="1"/>
  <c r="EO160" i="3" s="1"/>
  <c r="ER160" i="3" s="1"/>
  <c r="EU160" i="3" s="1"/>
  <c r="EX160" i="3" s="1"/>
  <c r="EH64" i="3"/>
  <c r="EI64" i="3" s="1"/>
  <c r="EL64" i="3" s="1"/>
  <c r="EO64" i="3" s="1"/>
  <c r="ER64" i="3" s="1"/>
  <c r="EU64" i="3" s="1"/>
  <c r="EX64" i="3" s="1"/>
  <c r="EH62" i="3"/>
  <c r="EI62" i="3" s="1"/>
  <c r="EL62" i="3" s="1"/>
  <c r="EO62" i="3" s="1"/>
  <c r="ER62" i="3" s="1"/>
  <c r="EU62" i="3" s="1"/>
  <c r="EX62" i="3" s="1"/>
  <c r="EH100" i="3"/>
  <c r="EI100" i="3" s="1"/>
  <c r="EL100" i="3" s="1"/>
  <c r="EO100" i="3" s="1"/>
  <c r="ER100" i="3" s="1"/>
  <c r="EU100" i="3" s="1"/>
  <c r="EX100" i="3" s="1"/>
  <c r="EH108" i="3"/>
  <c r="EI108" i="3" s="1"/>
  <c r="EL108" i="3" s="1"/>
  <c r="EO108" i="3" s="1"/>
  <c r="ER108" i="3" s="1"/>
  <c r="EU108" i="3" s="1"/>
  <c r="EX108" i="3" s="1"/>
  <c r="EH124" i="3"/>
  <c r="EI124" i="3" s="1"/>
  <c r="EL124" i="3" s="1"/>
  <c r="EO124" i="3" s="1"/>
  <c r="ER124" i="3" s="1"/>
  <c r="EU124" i="3" s="1"/>
  <c r="EX124" i="3" s="1"/>
  <c r="EH126" i="3"/>
  <c r="EI126" i="3" s="1"/>
  <c r="EL126" i="3" s="1"/>
  <c r="EO126" i="3" s="1"/>
  <c r="ER126" i="3" s="1"/>
  <c r="EU126" i="3" s="1"/>
  <c r="EX126" i="3" s="1"/>
  <c r="EH26" i="3"/>
  <c r="EI26" i="3" s="1"/>
  <c r="EL26" i="3" s="1"/>
  <c r="EO26" i="3" s="1"/>
  <c r="ER26" i="3" s="1"/>
  <c r="EU26" i="3" s="1"/>
  <c r="EX26" i="3" s="1"/>
  <c r="EH155" i="3"/>
  <c r="EI155" i="3" s="1"/>
  <c r="EL155" i="3" s="1"/>
  <c r="EO155" i="3" s="1"/>
  <c r="ER155" i="3" s="1"/>
  <c r="EU155" i="3" s="1"/>
  <c r="EX155" i="3" s="1"/>
  <c r="EH134" i="3"/>
  <c r="EI134" i="3" s="1"/>
  <c r="EL134" i="3" s="1"/>
  <c r="EO134" i="3" s="1"/>
  <c r="ER134" i="3" s="1"/>
  <c r="EU134" i="3" s="1"/>
  <c r="EX134" i="3" s="1"/>
  <c r="EH63" i="3"/>
  <c r="EI63" i="3" s="1"/>
  <c r="EL63" i="3" s="1"/>
  <c r="EO63" i="3" s="1"/>
  <c r="ER63" i="3" s="1"/>
  <c r="EU63" i="3" s="1"/>
  <c r="EX63" i="3" s="1"/>
  <c r="EH92" i="3"/>
  <c r="EI92" i="3" s="1"/>
  <c r="EL92" i="3" s="1"/>
  <c r="EO92" i="3" s="1"/>
  <c r="ER92" i="3" s="1"/>
  <c r="EU92" i="3" s="1"/>
  <c r="EX92" i="3" s="1"/>
  <c r="EH48" i="3"/>
  <c r="EI48" i="3" s="1"/>
  <c r="EL48" i="3" s="1"/>
  <c r="EO48" i="3" s="1"/>
  <c r="ER48" i="3" s="1"/>
  <c r="EU48" i="3" s="1"/>
  <c r="EX48" i="3" s="1"/>
  <c r="EH152" i="3"/>
  <c r="EI152" i="3" s="1"/>
  <c r="EL152" i="3" s="1"/>
  <c r="EO152" i="3" s="1"/>
  <c r="ER152" i="3" s="1"/>
  <c r="EU152" i="3" s="1"/>
  <c r="EX152" i="3" s="1"/>
  <c r="EH30" i="3"/>
  <c r="EI30" i="3" s="1"/>
  <c r="EL30" i="3" s="1"/>
  <c r="EO30" i="3" s="1"/>
  <c r="ER30" i="3" s="1"/>
  <c r="EU30" i="3" s="1"/>
  <c r="EX30" i="3" s="1"/>
  <c r="EH85" i="3"/>
  <c r="EI85" i="3" s="1"/>
  <c r="EL85" i="3" s="1"/>
  <c r="EO85" i="3" s="1"/>
  <c r="ER85" i="3" s="1"/>
  <c r="EU85" i="3" s="1"/>
  <c r="EX85" i="3" s="1"/>
  <c r="EH125" i="3"/>
  <c r="EI125" i="3" s="1"/>
  <c r="EL125" i="3" s="1"/>
  <c r="EO125" i="3" s="1"/>
  <c r="ER125" i="3" s="1"/>
  <c r="EU125" i="3" s="1"/>
  <c r="EX125" i="3" s="1"/>
  <c r="EH24" i="3"/>
  <c r="EI24" i="3" s="1"/>
  <c r="EL24" i="3" s="1"/>
  <c r="EO24" i="3" s="1"/>
  <c r="ER24" i="3" s="1"/>
  <c r="EU24" i="3" s="1"/>
  <c r="EX24" i="3" s="1"/>
  <c r="EH10" i="3"/>
  <c r="EH13" i="3"/>
  <c r="EI13" i="3" s="1"/>
  <c r="EL13" i="3" s="1"/>
  <c r="EO13" i="3" s="1"/>
  <c r="ER13" i="3" s="1"/>
  <c r="EU13" i="3" s="1"/>
  <c r="EX13" i="3" s="1"/>
  <c r="EH68" i="3"/>
  <c r="EI68" i="3" s="1"/>
  <c r="EL68" i="3" s="1"/>
  <c r="EO68" i="3" s="1"/>
  <c r="ER68" i="3" s="1"/>
  <c r="EU68" i="3" s="1"/>
  <c r="EX68" i="3" s="1"/>
  <c r="EH103" i="3"/>
  <c r="EI103" i="3" s="1"/>
  <c r="EL103" i="3" s="1"/>
  <c r="EO103" i="3" s="1"/>
  <c r="ER103" i="3" s="1"/>
  <c r="EU103" i="3" s="1"/>
  <c r="EX103" i="3" s="1"/>
  <c r="EH107" i="3"/>
  <c r="EI107" i="3" s="1"/>
  <c r="EL107" i="3" s="1"/>
  <c r="EO107" i="3" s="1"/>
  <c r="ER107" i="3" s="1"/>
  <c r="EU107" i="3" s="1"/>
  <c r="EX107" i="3" s="1"/>
  <c r="EH78" i="3"/>
  <c r="EI78" i="3" s="1"/>
  <c r="EL78" i="3" s="1"/>
  <c r="EO78" i="3" s="1"/>
  <c r="ER78" i="3" s="1"/>
  <c r="EU78" i="3" s="1"/>
  <c r="EX78" i="3" s="1"/>
  <c r="EH87" i="3"/>
  <c r="EI87" i="3" s="1"/>
  <c r="EL87" i="3" s="1"/>
  <c r="EO87" i="3" s="1"/>
  <c r="ER87" i="3" s="1"/>
  <c r="EU87" i="3" s="1"/>
  <c r="EX87" i="3" s="1"/>
  <c r="EH50" i="3"/>
  <c r="EI50" i="3" s="1"/>
  <c r="EL50" i="3" s="1"/>
  <c r="EO50" i="3" s="1"/>
  <c r="ER50" i="3" s="1"/>
  <c r="EU50" i="3" s="1"/>
  <c r="EX50" i="3" s="1"/>
  <c r="EH90" i="3"/>
  <c r="EI90" i="3" s="1"/>
  <c r="EL90" i="3" s="1"/>
  <c r="EO90" i="3" s="1"/>
  <c r="ER90" i="3" s="1"/>
  <c r="EU90" i="3" s="1"/>
  <c r="EX90" i="3" s="1"/>
  <c r="EH128" i="3"/>
  <c r="EI128" i="3" s="1"/>
  <c r="EL128" i="3" s="1"/>
  <c r="EO128" i="3" s="1"/>
  <c r="ER128" i="3" s="1"/>
  <c r="EU128" i="3" s="1"/>
  <c r="EX128" i="3" s="1"/>
  <c r="EH19" i="3"/>
  <c r="EI19" i="3" s="1"/>
  <c r="EL19" i="3" s="1"/>
  <c r="EO19" i="3" s="1"/>
  <c r="ER19" i="3" s="1"/>
  <c r="EU19" i="3" s="1"/>
  <c r="EX19" i="3" s="1"/>
  <c r="EH40" i="3"/>
  <c r="EI40" i="3" s="1"/>
  <c r="EL40" i="3" s="1"/>
  <c r="EO40" i="3" s="1"/>
  <c r="ER40" i="3" s="1"/>
  <c r="EU40" i="3" s="1"/>
  <c r="EX40" i="3" s="1"/>
  <c r="EH70" i="3"/>
  <c r="EI70" i="3" s="1"/>
  <c r="EL70" i="3" s="1"/>
  <c r="EO70" i="3" s="1"/>
  <c r="ER70" i="3" s="1"/>
  <c r="EU70" i="3" s="1"/>
  <c r="EX70" i="3" s="1"/>
  <c r="EH66" i="3"/>
  <c r="EI66" i="3" s="1"/>
  <c r="EL66" i="3" s="1"/>
  <c r="EO66" i="3" s="1"/>
  <c r="ER66" i="3" s="1"/>
  <c r="EU66" i="3" s="1"/>
  <c r="EX66" i="3" s="1"/>
  <c r="EH102" i="3"/>
  <c r="EI102" i="3" s="1"/>
  <c r="EL102" i="3" s="1"/>
  <c r="EO102" i="3" s="1"/>
  <c r="ER102" i="3" s="1"/>
  <c r="EU102" i="3" s="1"/>
  <c r="EX102" i="3" s="1"/>
  <c r="EH113" i="3"/>
  <c r="EI113" i="3" s="1"/>
  <c r="EL113" i="3" s="1"/>
  <c r="EO113" i="3" s="1"/>
  <c r="ER113" i="3" s="1"/>
  <c r="EU113" i="3" s="1"/>
  <c r="EX113" i="3" s="1"/>
  <c r="EH129" i="3"/>
  <c r="EI129" i="3" s="1"/>
  <c r="EL129" i="3" s="1"/>
  <c r="EO129" i="3" s="1"/>
  <c r="ER129" i="3" s="1"/>
  <c r="EU129" i="3" s="1"/>
  <c r="EX129" i="3" s="1"/>
  <c r="EH137" i="3"/>
  <c r="EI137" i="3" s="1"/>
  <c r="EL137" i="3" s="1"/>
  <c r="EO137" i="3" s="1"/>
  <c r="ER137" i="3" s="1"/>
  <c r="EU137" i="3" s="1"/>
  <c r="EX137" i="3" s="1"/>
  <c r="EY137" i="3" s="1"/>
  <c r="EH22" i="3"/>
  <c r="EI22" i="3" s="1"/>
  <c r="EL22" i="3" s="1"/>
  <c r="EO22" i="3" s="1"/>
  <c r="ER22" i="3" s="1"/>
  <c r="EU22" i="3" s="1"/>
  <c r="EX22" i="3" s="1"/>
  <c r="EH136" i="3"/>
  <c r="EI136" i="3" s="1"/>
  <c r="EL136" i="3" s="1"/>
  <c r="EO136" i="3" s="1"/>
  <c r="ER136" i="3" s="1"/>
  <c r="EU136" i="3" s="1"/>
  <c r="EX136" i="3" s="1"/>
  <c r="EY136" i="3" s="1"/>
  <c r="EH130" i="3"/>
  <c r="EI130" i="3" s="1"/>
  <c r="EL130" i="3" s="1"/>
  <c r="EO130" i="3" s="1"/>
  <c r="ER130" i="3" s="1"/>
  <c r="EU130" i="3" s="1"/>
  <c r="EX130" i="3" s="1"/>
  <c r="EH56" i="3"/>
  <c r="EI56" i="3" s="1"/>
  <c r="EL56" i="3" s="1"/>
  <c r="EO56" i="3" s="1"/>
  <c r="ER56" i="3" s="1"/>
  <c r="EU56" i="3" s="1"/>
  <c r="EX56" i="3" s="1"/>
  <c r="EH49" i="3"/>
  <c r="EI49" i="3" s="1"/>
  <c r="EL49" i="3" s="1"/>
  <c r="EO49" i="3" s="1"/>
  <c r="ER49" i="3" s="1"/>
  <c r="EU49" i="3" s="1"/>
  <c r="EX49" i="3" s="1"/>
  <c r="EH15" i="3"/>
  <c r="EI15" i="3" s="1"/>
  <c r="EL15" i="3" s="1"/>
  <c r="EO15" i="3" s="1"/>
  <c r="ER15" i="3" s="1"/>
  <c r="EU15" i="3" s="1"/>
  <c r="EX15" i="3" s="1"/>
  <c r="EH140" i="3"/>
  <c r="EI140" i="3" s="1"/>
  <c r="EL140" i="3" s="1"/>
  <c r="EO140" i="3" s="1"/>
  <c r="ER140" i="3" s="1"/>
  <c r="EU140" i="3" s="1"/>
  <c r="EX140" i="3" s="1"/>
  <c r="EH46" i="3"/>
  <c r="EI46" i="3" s="1"/>
  <c r="EL46" i="3" s="1"/>
  <c r="EO46" i="3" s="1"/>
  <c r="ER46" i="3" s="1"/>
  <c r="EU46" i="3" s="1"/>
  <c r="EX46" i="3" s="1"/>
  <c r="EH165" i="3"/>
  <c r="EI165" i="3" s="1"/>
  <c r="EL165" i="3" s="1"/>
  <c r="EO165" i="3" s="1"/>
  <c r="ER165" i="3" s="1"/>
  <c r="EU165" i="3" s="1"/>
  <c r="EX165" i="3" s="1"/>
  <c r="EH84" i="3"/>
  <c r="EI84" i="3" s="1"/>
  <c r="EL84" i="3" s="1"/>
  <c r="EO84" i="3" s="1"/>
  <c r="ER84" i="3" s="1"/>
  <c r="EU84" i="3" s="1"/>
  <c r="EX84" i="3" s="1"/>
  <c r="EH135" i="3"/>
  <c r="EI135" i="3" s="1"/>
  <c r="EL135" i="3" s="1"/>
  <c r="EO135" i="3" s="1"/>
  <c r="ER135" i="3" s="1"/>
  <c r="EU135" i="3" s="1"/>
  <c r="EX135" i="3" s="1"/>
  <c r="EY135" i="3" s="1"/>
  <c r="EH65" i="3"/>
  <c r="EI65" i="3" s="1"/>
  <c r="EL65" i="3" s="1"/>
  <c r="EO65" i="3" s="1"/>
  <c r="ER65" i="3" s="1"/>
  <c r="EU65" i="3" s="1"/>
  <c r="EX65" i="3" s="1"/>
  <c r="EH116" i="3"/>
  <c r="EI116" i="3" s="1"/>
  <c r="EL116" i="3" s="1"/>
  <c r="EO116" i="3" s="1"/>
  <c r="ER116" i="3" s="1"/>
  <c r="EU116" i="3" s="1"/>
  <c r="EX116" i="3" s="1"/>
  <c r="EH139" i="3"/>
  <c r="EI139" i="3" s="1"/>
  <c r="EL139" i="3" s="1"/>
  <c r="EO139" i="3" s="1"/>
  <c r="ER139" i="3" s="1"/>
  <c r="EU139" i="3" s="1"/>
  <c r="EX139" i="3" s="1"/>
  <c r="EH83" i="3"/>
  <c r="EI83" i="3" s="1"/>
  <c r="EL83" i="3" s="1"/>
  <c r="EO83" i="3" s="1"/>
  <c r="ER83" i="3" s="1"/>
  <c r="EU83" i="3" s="1"/>
  <c r="EX83" i="3" s="1"/>
  <c r="EH35" i="3"/>
  <c r="EI35" i="3" s="1"/>
  <c r="EL35" i="3" s="1"/>
  <c r="EO35" i="3" s="1"/>
  <c r="ER35" i="3" s="1"/>
  <c r="EU35" i="3" s="1"/>
  <c r="EX35" i="3" s="1"/>
  <c r="EH144" i="3"/>
  <c r="EI144" i="3" s="1"/>
  <c r="EL144" i="3" s="1"/>
  <c r="EO144" i="3" s="1"/>
  <c r="ER144" i="3" s="1"/>
  <c r="EU144" i="3" s="1"/>
  <c r="EX144" i="3" s="1"/>
  <c r="EH47" i="3"/>
  <c r="EI47" i="3" s="1"/>
  <c r="EL47" i="3" s="1"/>
  <c r="EO47" i="3" s="1"/>
  <c r="ER47" i="3" s="1"/>
  <c r="EU47" i="3" s="1"/>
  <c r="EX47" i="3" s="1"/>
  <c r="EH20" i="3"/>
  <c r="EI20" i="3" s="1"/>
  <c r="EL20" i="3" s="1"/>
  <c r="EO20" i="3" s="1"/>
  <c r="ER20" i="3" s="1"/>
  <c r="EU20" i="3" s="1"/>
  <c r="EX20" i="3" s="1"/>
  <c r="EH75" i="3"/>
  <c r="EI75" i="3" s="1"/>
  <c r="EL75" i="3" s="1"/>
  <c r="EO75" i="3" s="1"/>
  <c r="ER75" i="3" s="1"/>
  <c r="EU75" i="3" s="1"/>
  <c r="EX75" i="3" s="1"/>
  <c r="EH122" i="3"/>
  <c r="EI122" i="3" s="1"/>
  <c r="EL122" i="3" s="1"/>
  <c r="EO122" i="3" s="1"/>
  <c r="ER122" i="3" s="1"/>
  <c r="EU122" i="3" s="1"/>
  <c r="EX122" i="3" s="1"/>
  <c r="EH164" i="3"/>
  <c r="EI164" i="3" s="1"/>
  <c r="EL164" i="3" s="1"/>
  <c r="EO164" i="3" s="1"/>
  <c r="ER164" i="3" s="1"/>
  <c r="EU164" i="3" s="1"/>
  <c r="EX164" i="3" s="1"/>
  <c r="EH58" i="3"/>
  <c r="EI58" i="3" s="1"/>
  <c r="EL58" i="3" s="1"/>
  <c r="EO58" i="3" s="1"/>
  <c r="ER58" i="3" s="1"/>
  <c r="EU58" i="3" s="1"/>
  <c r="EX58" i="3" s="1"/>
  <c r="EH77" i="3"/>
  <c r="EI77" i="3" s="1"/>
  <c r="EL77" i="3" s="1"/>
  <c r="EO77" i="3" s="1"/>
  <c r="ER77" i="3" s="1"/>
  <c r="EU77" i="3" s="1"/>
  <c r="EX77" i="3" s="1"/>
  <c r="EH166" i="3"/>
  <c r="EI166" i="3" s="1"/>
  <c r="EL166" i="3" s="1"/>
  <c r="EO166" i="3" s="1"/>
  <c r="ER166" i="3" s="1"/>
  <c r="EU166" i="3" s="1"/>
  <c r="EX166" i="3" s="1"/>
  <c r="EH79" i="3"/>
  <c r="EI79" i="3" s="1"/>
  <c r="EL79" i="3" s="1"/>
  <c r="EO79" i="3" s="1"/>
  <c r="ER79" i="3" s="1"/>
  <c r="EU79" i="3" s="1"/>
  <c r="EX79" i="3" s="1"/>
  <c r="EH105" i="3"/>
  <c r="EI105" i="3" s="1"/>
  <c r="EL105" i="3" s="1"/>
  <c r="EO105" i="3" s="1"/>
  <c r="ER105" i="3" s="1"/>
  <c r="EU105" i="3" s="1"/>
  <c r="EX105" i="3" s="1"/>
  <c r="EH114" i="3"/>
  <c r="EI114" i="3" s="1"/>
  <c r="EL114" i="3" s="1"/>
  <c r="EO114" i="3" s="1"/>
  <c r="ER114" i="3" s="1"/>
  <c r="EU114" i="3" s="1"/>
  <c r="EX114" i="3" s="1"/>
  <c r="EH29" i="3"/>
  <c r="EI29" i="3" s="1"/>
  <c r="EL29" i="3" s="1"/>
  <c r="EO29" i="3" s="1"/>
  <c r="ER29" i="3" s="1"/>
  <c r="EU29" i="3" s="1"/>
  <c r="EX29" i="3" s="1"/>
  <c r="EH97" i="3"/>
  <c r="EI97" i="3" s="1"/>
  <c r="EL97" i="3" s="1"/>
  <c r="EO97" i="3" s="1"/>
  <c r="ER97" i="3" s="1"/>
  <c r="EU97" i="3" s="1"/>
  <c r="EX97" i="3" s="1"/>
  <c r="EH167" i="3"/>
  <c r="EI167" i="3" s="1"/>
  <c r="EL167" i="3" s="1"/>
  <c r="EO167" i="3" s="1"/>
  <c r="ER167" i="3" s="1"/>
  <c r="EU167" i="3" s="1"/>
  <c r="EX167" i="3" s="1"/>
  <c r="EH115" i="3"/>
  <c r="EI115" i="3" s="1"/>
  <c r="EL115" i="3" s="1"/>
  <c r="EO115" i="3" s="1"/>
  <c r="ER115" i="3" s="1"/>
  <c r="EU115" i="3" s="1"/>
  <c r="EX115" i="3" s="1"/>
  <c r="EH81" i="3"/>
  <c r="EI81" i="3" s="1"/>
  <c r="EL81" i="3" s="1"/>
  <c r="EO81" i="3" s="1"/>
  <c r="ER81" i="3" s="1"/>
  <c r="EU81" i="3" s="1"/>
  <c r="EX81" i="3" s="1"/>
  <c r="EH45" i="3"/>
  <c r="EI45" i="3" s="1"/>
  <c r="EL45" i="3" s="1"/>
  <c r="EO45" i="3" s="1"/>
  <c r="ER45" i="3" s="1"/>
  <c r="EU45" i="3" s="1"/>
  <c r="EX45" i="3" s="1"/>
  <c r="EH80" i="3"/>
  <c r="EI80" i="3" s="1"/>
  <c r="EL80" i="3" s="1"/>
  <c r="EO80" i="3" s="1"/>
  <c r="ER80" i="3" s="1"/>
  <c r="EU80" i="3" s="1"/>
  <c r="EX80" i="3" s="1"/>
  <c r="EH42" i="3"/>
  <c r="EI42" i="3" s="1"/>
  <c r="EL42" i="3" s="1"/>
  <c r="EO42" i="3" s="1"/>
  <c r="ER42" i="3" s="1"/>
  <c r="EU42" i="3" s="1"/>
  <c r="EX42" i="3" s="1"/>
  <c r="HL34" i="3"/>
  <c r="HM33" i="3"/>
  <c r="GQ23" i="3"/>
  <c r="GQ26" i="3"/>
  <c r="GQ52" i="3"/>
  <c r="GQ80" i="3"/>
  <c r="GQ81" i="3"/>
  <c r="GQ66" i="3"/>
  <c r="GQ58" i="3"/>
  <c r="GQ36" i="3"/>
  <c r="GQ50" i="3"/>
  <c r="GQ17" i="3"/>
  <c r="GQ32" i="3"/>
  <c r="GQ40" i="3"/>
  <c r="HL35" i="3" l="1"/>
  <c r="HM34" i="3"/>
  <c r="EY4" i="3"/>
  <c r="EH6" i="3"/>
  <c r="EI10" i="3"/>
  <c r="EL10" i="3" l="1"/>
  <c r="EI6" i="3"/>
  <c r="EY5" i="3"/>
  <c r="EY6" i="3" s="1"/>
  <c r="K33" i="4"/>
  <c r="HL36" i="3"/>
  <c r="HM35" i="3"/>
  <c r="HL37" i="3" l="1"/>
  <c r="HM36" i="3"/>
  <c r="EZ141" i="3"/>
  <c r="FA141" i="3" s="1"/>
  <c r="FD141" i="3" s="1"/>
  <c r="EZ121" i="3"/>
  <c r="FA121" i="3" s="1"/>
  <c r="FD121" i="3" s="1"/>
  <c r="EZ155" i="3"/>
  <c r="FA155" i="3" s="1"/>
  <c r="FD155" i="3" s="1"/>
  <c r="EZ31" i="3"/>
  <c r="FA31" i="3" s="1"/>
  <c r="FD31" i="3" s="1"/>
  <c r="EZ146" i="3"/>
  <c r="FA146" i="3" s="1"/>
  <c r="FD146" i="3" s="1"/>
  <c r="EZ164" i="3"/>
  <c r="FA164" i="3" s="1"/>
  <c r="FD164" i="3" s="1"/>
  <c r="EZ71" i="3"/>
  <c r="FA71" i="3" s="1"/>
  <c r="FD71" i="3" s="1"/>
  <c r="EZ13" i="3"/>
  <c r="FA13" i="3" s="1"/>
  <c r="FD13" i="3" s="1"/>
  <c r="EZ161" i="3"/>
  <c r="FA161" i="3" s="1"/>
  <c r="FD161" i="3" s="1"/>
  <c r="EZ159" i="3"/>
  <c r="FA159" i="3" s="1"/>
  <c r="FD159" i="3" s="1"/>
  <c r="EZ32" i="3"/>
  <c r="FA32" i="3" s="1"/>
  <c r="FD32" i="3" s="1"/>
  <c r="EZ79" i="3"/>
  <c r="FA79" i="3" s="1"/>
  <c r="FD79" i="3" s="1"/>
  <c r="EZ139" i="3"/>
  <c r="FA139" i="3" s="1"/>
  <c r="FD139" i="3" s="1"/>
  <c r="EZ85" i="3"/>
  <c r="FA85" i="3" s="1"/>
  <c r="FD85" i="3" s="1"/>
  <c r="EZ154" i="3"/>
  <c r="FA154" i="3" s="1"/>
  <c r="FD154" i="3" s="1"/>
  <c r="EZ19" i="3"/>
  <c r="FA19" i="3" s="1"/>
  <c r="FD19" i="3" s="1"/>
  <c r="EZ166" i="3"/>
  <c r="FA166" i="3" s="1"/>
  <c r="FD166" i="3" s="1"/>
  <c r="EZ10" i="3"/>
  <c r="EZ17" i="3"/>
  <c r="FA17" i="3" s="1"/>
  <c r="FD17" i="3" s="1"/>
  <c r="EZ148" i="3"/>
  <c r="FA148" i="3" s="1"/>
  <c r="FD148" i="3" s="1"/>
  <c r="EZ165" i="3"/>
  <c r="FA165" i="3" s="1"/>
  <c r="FD165" i="3" s="1"/>
  <c r="EZ25" i="3"/>
  <c r="FA25" i="3" s="1"/>
  <c r="FD25" i="3" s="1"/>
  <c r="EZ128" i="3"/>
  <c r="FA128" i="3" s="1"/>
  <c r="FD128" i="3" s="1"/>
  <c r="EZ101" i="3"/>
  <c r="FA101" i="3" s="1"/>
  <c r="FD101" i="3" s="1"/>
  <c r="EZ26" i="3"/>
  <c r="FA26" i="3" s="1"/>
  <c r="FD26" i="3" s="1"/>
  <c r="EZ80" i="3"/>
  <c r="FA80" i="3" s="1"/>
  <c r="FD80" i="3" s="1"/>
  <c r="EZ163" i="3"/>
  <c r="FA163" i="3" s="1"/>
  <c r="FD163" i="3" s="1"/>
  <c r="EZ153" i="3"/>
  <c r="FA153" i="3" s="1"/>
  <c r="FD153" i="3" s="1"/>
  <c r="EZ28" i="3"/>
  <c r="FA28" i="3" s="1"/>
  <c r="FD28" i="3" s="1"/>
  <c r="EZ157" i="3"/>
  <c r="FA157" i="3" s="1"/>
  <c r="FD157" i="3" s="1"/>
  <c r="EZ50" i="3"/>
  <c r="FA50" i="3" s="1"/>
  <c r="FD50" i="3" s="1"/>
  <c r="EZ97" i="3"/>
  <c r="FA97" i="3" s="1"/>
  <c r="FD97" i="3" s="1"/>
  <c r="EZ14" i="3"/>
  <c r="FA14" i="3" s="1"/>
  <c r="FD14" i="3" s="1"/>
  <c r="EZ49" i="3"/>
  <c r="FA49" i="3" s="1"/>
  <c r="FD49" i="3" s="1"/>
  <c r="EZ125" i="3"/>
  <c r="FA125" i="3" s="1"/>
  <c r="FD125" i="3" s="1"/>
  <c r="EZ83" i="3"/>
  <c r="FA83" i="3" s="1"/>
  <c r="FD83" i="3" s="1"/>
  <c r="EZ129" i="3"/>
  <c r="FA129" i="3" s="1"/>
  <c r="FD129" i="3" s="1"/>
  <c r="EZ149" i="3"/>
  <c r="FA149" i="3" s="1"/>
  <c r="FD149" i="3" s="1"/>
  <c r="EZ105" i="3"/>
  <c r="FA105" i="3" s="1"/>
  <c r="FD105" i="3" s="1"/>
  <c r="EZ82" i="3"/>
  <c r="FA82" i="3" s="1"/>
  <c r="FD82" i="3" s="1"/>
  <c r="EZ103" i="3"/>
  <c r="FA103" i="3" s="1"/>
  <c r="FD103" i="3" s="1"/>
  <c r="EZ108" i="3"/>
  <c r="FA108" i="3" s="1"/>
  <c r="FD108" i="3" s="1"/>
  <c r="EZ106" i="3"/>
  <c r="FA106" i="3" s="1"/>
  <c r="FD106" i="3" s="1"/>
  <c r="EZ16" i="3"/>
  <c r="FA16" i="3" s="1"/>
  <c r="FD16" i="3" s="1"/>
  <c r="EZ22" i="3"/>
  <c r="FA22" i="3" s="1"/>
  <c r="FD22" i="3" s="1"/>
  <c r="EZ72" i="3"/>
  <c r="FA72" i="3" s="1"/>
  <c r="FD72" i="3" s="1"/>
  <c r="EZ61" i="3"/>
  <c r="FA61" i="3" s="1"/>
  <c r="FD61" i="3" s="1"/>
  <c r="EZ56" i="3"/>
  <c r="FA56" i="3" s="1"/>
  <c r="FD56" i="3" s="1"/>
  <c r="EZ42" i="3"/>
  <c r="FA42" i="3" s="1"/>
  <c r="FD42" i="3" s="1"/>
  <c r="EZ144" i="3"/>
  <c r="FA144" i="3" s="1"/>
  <c r="FD144" i="3" s="1"/>
  <c r="EZ147" i="3"/>
  <c r="FA147" i="3" s="1"/>
  <c r="FD147" i="3" s="1"/>
  <c r="EZ94" i="3"/>
  <c r="FA94" i="3" s="1"/>
  <c r="FD94" i="3" s="1"/>
  <c r="EZ20" i="3"/>
  <c r="FA20" i="3" s="1"/>
  <c r="FD20" i="3" s="1"/>
  <c r="EZ119" i="3"/>
  <c r="FA119" i="3" s="1"/>
  <c r="FD119" i="3" s="1"/>
  <c r="EZ118" i="3"/>
  <c r="FA118" i="3" s="1"/>
  <c r="FD118" i="3" s="1"/>
  <c r="EZ54" i="3"/>
  <c r="FA54" i="3" s="1"/>
  <c r="FD54" i="3" s="1"/>
  <c r="EZ21" i="3"/>
  <c r="FA21" i="3" s="1"/>
  <c r="FD21" i="3" s="1"/>
  <c r="EZ115" i="3"/>
  <c r="FA115" i="3" s="1"/>
  <c r="FD115" i="3" s="1"/>
  <c r="EZ51" i="3"/>
  <c r="FA51" i="3" s="1"/>
  <c r="FD51" i="3" s="1"/>
  <c r="EZ64" i="3"/>
  <c r="FA64" i="3" s="1"/>
  <c r="FD64" i="3" s="1"/>
  <c r="EZ38" i="3"/>
  <c r="FA38" i="3" s="1"/>
  <c r="FD38" i="3" s="1"/>
  <c r="EZ120" i="3"/>
  <c r="FA120" i="3" s="1"/>
  <c r="FD120" i="3" s="1"/>
  <c r="EZ84" i="3"/>
  <c r="FA84" i="3" s="1"/>
  <c r="FD84" i="3" s="1"/>
  <c r="EZ78" i="3"/>
  <c r="FA78" i="3" s="1"/>
  <c r="FD78" i="3" s="1"/>
  <c r="EZ36" i="3"/>
  <c r="FA36" i="3" s="1"/>
  <c r="FD36" i="3" s="1"/>
  <c r="EZ70" i="3"/>
  <c r="FA70" i="3" s="1"/>
  <c r="FD70" i="3" s="1"/>
  <c r="EZ114" i="3"/>
  <c r="FA114" i="3" s="1"/>
  <c r="FD114" i="3" s="1"/>
  <c r="EZ143" i="3"/>
  <c r="FA143" i="3" s="1"/>
  <c r="FD143" i="3" s="1"/>
  <c r="EZ30" i="3"/>
  <c r="FA30" i="3" s="1"/>
  <c r="FD30" i="3" s="1"/>
  <c r="EZ52" i="3"/>
  <c r="FA52" i="3" s="1"/>
  <c r="FD52" i="3" s="1"/>
  <c r="EZ77" i="3"/>
  <c r="FA77" i="3" s="1"/>
  <c r="FD77" i="3" s="1"/>
  <c r="EZ27" i="3"/>
  <c r="FA27" i="3" s="1"/>
  <c r="FD27" i="3" s="1"/>
  <c r="EZ138" i="3"/>
  <c r="FA138" i="3" s="1"/>
  <c r="FD138" i="3" s="1"/>
  <c r="EZ75" i="3"/>
  <c r="FA75" i="3" s="1"/>
  <c r="FD75" i="3" s="1"/>
  <c r="EZ134" i="3"/>
  <c r="FA134" i="3" s="1"/>
  <c r="FD134" i="3" s="1"/>
  <c r="EZ127" i="3"/>
  <c r="FA127" i="3" s="1"/>
  <c r="FD127" i="3" s="1"/>
  <c r="EZ123" i="3"/>
  <c r="FA123" i="3" s="1"/>
  <c r="FD123" i="3" s="1"/>
  <c r="EZ167" i="3"/>
  <c r="FA167" i="3" s="1"/>
  <c r="FD167" i="3" s="1"/>
  <c r="EZ107" i="3"/>
  <c r="FA107" i="3" s="1"/>
  <c r="FD107" i="3" s="1"/>
  <c r="EZ126" i="3"/>
  <c r="FA126" i="3" s="1"/>
  <c r="FD126" i="3" s="1"/>
  <c r="EZ81" i="3"/>
  <c r="FA81" i="3" s="1"/>
  <c r="FD81" i="3" s="1"/>
  <c r="EZ34" i="3"/>
  <c r="FA34" i="3" s="1"/>
  <c r="FD34" i="3" s="1"/>
  <c r="EZ91" i="3"/>
  <c r="FA91" i="3" s="1"/>
  <c r="FD91" i="3" s="1"/>
  <c r="EZ40" i="3"/>
  <c r="FA40" i="3" s="1"/>
  <c r="FD40" i="3" s="1"/>
  <c r="EZ150" i="3"/>
  <c r="FA150" i="3" s="1"/>
  <c r="FD150" i="3" s="1"/>
  <c r="EZ58" i="3"/>
  <c r="FA58" i="3" s="1"/>
  <c r="FD58" i="3" s="1"/>
  <c r="EZ63" i="3"/>
  <c r="FA63" i="3" s="1"/>
  <c r="FD63" i="3" s="1"/>
  <c r="EZ33" i="3"/>
  <c r="FA33" i="3" s="1"/>
  <c r="FD33" i="3" s="1"/>
  <c r="EZ43" i="3"/>
  <c r="FA43" i="3" s="1"/>
  <c r="FD43" i="3" s="1"/>
  <c r="EZ24" i="3"/>
  <c r="FA24" i="3" s="1"/>
  <c r="FD24" i="3" s="1"/>
  <c r="EZ112" i="3"/>
  <c r="FA112" i="3" s="1"/>
  <c r="FD112" i="3" s="1"/>
  <c r="EZ37" i="3"/>
  <c r="FA37" i="3" s="1"/>
  <c r="FD37" i="3" s="1"/>
  <c r="EZ68" i="3"/>
  <c r="FA68" i="3" s="1"/>
  <c r="FD68" i="3" s="1"/>
  <c r="EZ73" i="3"/>
  <c r="FA73" i="3" s="1"/>
  <c r="FD73" i="3" s="1"/>
  <c r="EZ57" i="3"/>
  <c r="FA57" i="3" s="1"/>
  <c r="FD57" i="3" s="1"/>
  <c r="EZ93" i="3"/>
  <c r="FA93" i="3" s="1"/>
  <c r="FD93" i="3" s="1"/>
  <c r="EZ152" i="3"/>
  <c r="FA152" i="3" s="1"/>
  <c r="FD152" i="3" s="1"/>
  <c r="EZ111" i="3"/>
  <c r="FA111" i="3" s="1"/>
  <c r="FD111" i="3" s="1"/>
  <c r="EZ29" i="3"/>
  <c r="FA29" i="3" s="1"/>
  <c r="FD29" i="3" s="1"/>
  <c r="EZ41" i="3"/>
  <c r="FA41" i="3" s="1"/>
  <c r="FD41" i="3" s="1"/>
  <c r="EZ88" i="3"/>
  <c r="FA88" i="3" s="1"/>
  <c r="FD88" i="3" s="1"/>
  <c r="EZ18" i="3"/>
  <c r="FA18" i="3" s="1"/>
  <c r="FD18" i="3" s="1"/>
  <c r="EZ74" i="3"/>
  <c r="FA74" i="3" s="1"/>
  <c r="FD74" i="3" s="1"/>
  <c r="EZ113" i="3"/>
  <c r="FA113" i="3" s="1"/>
  <c r="FD113" i="3" s="1"/>
  <c r="EZ92" i="3"/>
  <c r="FA92" i="3" s="1"/>
  <c r="FD92" i="3" s="1"/>
  <c r="EZ102" i="3"/>
  <c r="FA102" i="3" s="1"/>
  <c r="FD102" i="3" s="1"/>
  <c r="EZ65" i="3"/>
  <c r="FA65" i="3" s="1"/>
  <c r="FD65" i="3" s="1"/>
  <c r="EZ76" i="3"/>
  <c r="FA76" i="3" s="1"/>
  <c r="FD76" i="3" s="1"/>
  <c r="EZ12" i="3"/>
  <c r="FA12" i="3" s="1"/>
  <c r="FD12" i="3" s="1"/>
  <c r="EZ66" i="3"/>
  <c r="FA66" i="3" s="1"/>
  <c r="FD66" i="3" s="1"/>
  <c r="EZ35" i="3"/>
  <c r="FA35" i="3" s="1"/>
  <c r="FD35" i="3" s="1"/>
  <c r="EZ124" i="3"/>
  <c r="FA124" i="3" s="1"/>
  <c r="FD124" i="3" s="1"/>
  <c r="EZ131" i="3"/>
  <c r="FA131" i="3" s="1"/>
  <c r="FD131" i="3" s="1"/>
  <c r="EZ96" i="3"/>
  <c r="FA96" i="3" s="1"/>
  <c r="FD96" i="3" s="1"/>
  <c r="EZ23" i="3"/>
  <c r="FA23" i="3" s="1"/>
  <c r="FD23" i="3" s="1"/>
  <c r="EZ117" i="3"/>
  <c r="FA117" i="3" s="1"/>
  <c r="FD117" i="3" s="1"/>
  <c r="EZ46" i="3"/>
  <c r="FA46" i="3" s="1"/>
  <c r="FD46" i="3" s="1"/>
  <c r="EZ99" i="3"/>
  <c r="FA99" i="3" s="1"/>
  <c r="FD99" i="3" s="1"/>
  <c r="EZ160" i="3"/>
  <c r="FA160" i="3" s="1"/>
  <c r="FD160" i="3" s="1"/>
  <c r="EZ110" i="3"/>
  <c r="FA110" i="3" s="1"/>
  <c r="FD110" i="3" s="1"/>
  <c r="EZ39" i="3"/>
  <c r="FA39" i="3" s="1"/>
  <c r="FD39" i="3" s="1"/>
  <c r="EZ132" i="3"/>
  <c r="FA132" i="3" s="1"/>
  <c r="FD132" i="3" s="1"/>
  <c r="EZ100" i="3"/>
  <c r="FA100" i="3" s="1"/>
  <c r="FD100" i="3" s="1"/>
  <c r="EZ47" i="3"/>
  <c r="FA47" i="3" s="1"/>
  <c r="FD47" i="3" s="1"/>
  <c r="EZ133" i="3"/>
  <c r="FA133" i="3" s="1"/>
  <c r="FD133" i="3" s="1"/>
  <c r="EZ62" i="3"/>
  <c r="FA62" i="3" s="1"/>
  <c r="FD62" i="3" s="1"/>
  <c r="EZ142" i="3"/>
  <c r="FA142" i="3" s="1"/>
  <c r="FD142" i="3" s="1"/>
  <c r="EZ98" i="3"/>
  <c r="FA98" i="3" s="1"/>
  <c r="FD98" i="3" s="1"/>
  <c r="EZ158" i="3"/>
  <c r="FA158" i="3" s="1"/>
  <c r="FD158" i="3" s="1"/>
  <c r="EZ45" i="3"/>
  <c r="FA45" i="3" s="1"/>
  <c r="FD45" i="3" s="1"/>
  <c r="EZ140" i="3"/>
  <c r="FA140" i="3" s="1"/>
  <c r="FD140" i="3" s="1"/>
  <c r="EZ95" i="3"/>
  <c r="FA95" i="3" s="1"/>
  <c r="FD95" i="3" s="1"/>
  <c r="EZ55" i="3"/>
  <c r="FA55" i="3" s="1"/>
  <c r="FD55" i="3" s="1"/>
  <c r="EZ151" i="3"/>
  <c r="FA151" i="3" s="1"/>
  <c r="FD151" i="3" s="1"/>
  <c r="EZ130" i="3"/>
  <c r="FA130" i="3" s="1"/>
  <c r="FD130" i="3" s="1"/>
  <c r="EZ89" i="3"/>
  <c r="FA89" i="3" s="1"/>
  <c r="FD89" i="3" s="1"/>
  <c r="EZ109" i="3"/>
  <c r="FA109" i="3" s="1"/>
  <c r="FD109" i="3" s="1"/>
  <c r="EZ53" i="3"/>
  <c r="FA53" i="3" s="1"/>
  <c r="FD53" i="3" s="1"/>
  <c r="EZ145" i="3"/>
  <c r="FA145" i="3" s="1"/>
  <c r="FD145" i="3" s="1"/>
  <c r="EZ87" i="3"/>
  <c r="FA87" i="3" s="1"/>
  <c r="FD87" i="3" s="1"/>
  <c r="EZ69" i="3"/>
  <c r="FA69" i="3" s="1"/>
  <c r="FD69" i="3" s="1"/>
  <c r="EZ67" i="3"/>
  <c r="FA67" i="3" s="1"/>
  <c r="FD67" i="3" s="1"/>
  <c r="EZ122" i="3"/>
  <c r="FA122" i="3" s="1"/>
  <c r="FD122" i="3" s="1"/>
  <c r="EZ162" i="3"/>
  <c r="FA162" i="3" s="1"/>
  <c r="FD162" i="3" s="1"/>
  <c r="EZ15" i="3"/>
  <c r="FA15" i="3" s="1"/>
  <c r="FD15" i="3" s="1"/>
  <c r="EZ90" i="3"/>
  <c r="FA90" i="3" s="1"/>
  <c r="FD90" i="3" s="1"/>
  <c r="EZ86" i="3"/>
  <c r="FA86" i="3" s="1"/>
  <c r="FD86" i="3" s="1"/>
  <c r="FE86" i="3" s="1"/>
  <c r="EZ59" i="3"/>
  <c r="FA59" i="3" s="1"/>
  <c r="FD59" i="3" s="1"/>
  <c r="EZ104" i="3"/>
  <c r="FA104" i="3" s="1"/>
  <c r="FD104" i="3" s="1"/>
  <c r="EZ48" i="3"/>
  <c r="FA48" i="3" s="1"/>
  <c r="FD48" i="3" s="1"/>
  <c r="EZ11" i="3"/>
  <c r="FA11" i="3" s="1"/>
  <c r="FD11" i="3" s="1"/>
  <c r="EZ44" i="3"/>
  <c r="FA44" i="3" s="1"/>
  <c r="FD44" i="3" s="1"/>
  <c r="EZ156" i="3"/>
  <c r="FA156" i="3" s="1"/>
  <c r="FD156" i="3" s="1"/>
  <c r="EZ116" i="3"/>
  <c r="FA116" i="3" s="1"/>
  <c r="FD116" i="3" s="1"/>
  <c r="EZ60" i="3"/>
  <c r="FA60" i="3" s="1"/>
  <c r="FD60" i="3" s="1"/>
  <c r="EZ135" i="3"/>
  <c r="FA135" i="3" s="1"/>
  <c r="FD135" i="3" s="1"/>
  <c r="EZ136" i="3"/>
  <c r="FA136" i="3" s="1"/>
  <c r="FD136" i="3" s="1"/>
  <c r="EZ137" i="3"/>
  <c r="FA137" i="3" s="1"/>
  <c r="FD137" i="3" s="1"/>
  <c r="EO10" i="3"/>
  <c r="EL6" i="3"/>
  <c r="FE4" i="3" l="1"/>
  <c r="EZ6" i="3"/>
  <c r="O33" i="4" s="1"/>
  <c r="EO6" i="3"/>
  <c r="ER10" i="3"/>
  <c r="HM37" i="3"/>
  <c r="HL38" i="3"/>
  <c r="ER6" i="3" l="1"/>
  <c r="EU10" i="3"/>
  <c r="HL39" i="3"/>
  <c r="HM38" i="3"/>
  <c r="FE5" i="3"/>
  <c r="FE6" i="3" s="1"/>
  <c r="K35" i="4"/>
  <c r="FF32" i="3" l="1"/>
  <c r="FG32" i="3" s="1"/>
  <c r="FF49" i="3"/>
  <c r="FG49" i="3" s="1"/>
  <c r="FF72" i="3"/>
  <c r="FG72" i="3" s="1"/>
  <c r="FF97" i="3"/>
  <c r="FG97" i="3" s="1"/>
  <c r="FF84" i="3"/>
  <c r="FG84" i="3" s="1"/>
  <c r="FF137" i="3"/>
  <c r="FG137" i="3" s="1"/>
  <c r="FF146" i="3"/>
  <c r="FG146" i="3" s="1"/>
  <c r="FF158" i="3"/>
  <c r="FG158" i="3" s="1"/>
  <c r="FF145" i="3"/>
  <c r="FG145" i="3" s="1"/>
  <c r="FF114" i="3"/>
  <c r="FG114" i="3" s="1"/>
  <c r="FF19" i="3"/>
  <c r="FG19" i="3" s="1"/>
  <c r="FF126" i="3"/>
  <c r="FG126" i="3" s="1"/>
  <c r="FF59" i="3"/>
  <c r="FG59" i="3" s="1"/>
  <c r="FF111" i="3"/>
  <c r="FG111" i="3" s="1"/>
  <c r="FF148" i="3"/>
  <c r="FG148" i="3" s="1"/>
  <c r="FF130" i="3"/>
  <c r="FG130" i="3" s="1"/>
  <c r="FF57" i="3"/>
  <c r="FG57" i="3" s="1"/>
  <c r="FF122" i="3"/>
  <c r="FG122" i="3" s="1"/>
  <c r="FF131" i="3"/>
  <c r="FG131" i="3" s="1"/>
  <c r="FF14" i="3"/>
  <c r="FG14" i="3" s="1"/>
  <c r="FF116" i="3"/>
  <c r="FG116" i="3" s="1"/>
  <c r="FF51" i="3"/>
  <c r="FG51" i="3" s="1"/>
  <c r="FF93" i="3"/>
  <c r="FG93" i="3" s="1"/>
  <c r="FF41" i="3"/>
  <c r="FG41" i="3" s="1"/>
  <c r="FF132" i="3"/>
  <c r="FG132" i="3" s="1"/>
  <c r="FF144" i="3"/>
  <c r="FG144" i="3" s="1"/>
  <c r="FF33" i="3"/>
  <c r="FG33" i="3" s="1"/>
  <c r="FF48" i="3"/>
  <c r="FG48" i="3" s="1"/>
  <c r="FF23" i="3"/>
  <c r="FG23" i="3" s="1"/>
  <c r="FF160" i="3"/>
  <c r="FG160" i="3" s="1"/>
  <c r="FF43" i="3"/>
  <c r="FG43" i="3" s="1"/>
  <c r="FF65" i="3"/>
  <c r="FG65" i="3" s="1"/>
  <c r="FF73" i="3"/>
  <c r="FG73" i="3" s="1"/>
  <c r="FF87" i="3"/>
  <c r="FG87" i="3" s="1"/>
  <c r="FF94" i="3"/>
  <c r="FG94" i="3" s="1"/>
  <c r="FF138" i="3"/>
  <c r="FG138" i="3" s="1"/>
  <c r="FF163" i="3"/>
  <c r="FG163" i="3" s="1"/>
  <c r="FF167" i="3"/>
  <c r="FG167" i="3" s="1"/>
  <c r="FF118" i="3"/>
  <c r="FG118" i="3" s="1"/>
  <c r="FF60" i="3"/>
  <c r="FG60" i="3" s="1"/>
  <c r="FF159" i="3"/>
  <c r="FG159" i="3" s="1"/>
  <c r="FF83" i="3"/>
  <c r="FG83" i="3" s="1"/>
  <c r="FF39" i="3"/>
  <c r="FG39" i="3" s="1"/>
  <c r="FF24" i="3"/>
  <c r="FG24" i="3" s="1"/>
  <c r="FF40" i="3"/>
  <c r="FG40" i="3" s="1"/>
  <c r="FF105" i="3"/>
  <c r="FG105" i="3" s="1"/>
  <c r="FF22" i="3"/>
  <c r="FG22" i="3" s="1"/>
  <c r="FF80" i="3"/>
  <c r="FG80" i="3" s="1"/>
  <c r="FF96" i="3"/>
  <c r="FG96" i="3" s="1"/>
  <c r="FF95" i="3"/>
  <c r="FG95" i="3" s="1"/>
  <c r="FF155" i="3"/>
  <c r="FG155" i="3" s="1"/>
  <c r="FF68" i="3"/>
  <c r="FG68" i="3" s="1"/>
  <c r="FF18" i="3"/>
  <c r="FG18" i="3" s="1"/>
  <c r="FF79" i="3"/>
  <c r="FG79" i="3" s="1"/>
  <c r="FF11" i="3"/>
  <c r="FG11" i="3" s="1"/>
  <c r="FF134" i="3"/>
  <c r="FG134" i="3" s="1"/>
  <c r="FF56" i="3"/>
  <c r="FG56" i="3" s="1"/>
  <c r="FF99" i="3"/>
  <c r="FG99" i="3" s="1"/>
  <c r="FF76" i="3"/>
  <c r="FG76" i="3" s="1"/>
  <c r="FF153" i="3"/>
  <c r="FG153" i="3" s="1"/>
  <c r="FF100" i="3"/>
  <c r="FG100" i="3" s="1"/>
  <c r="FF16" i="3"/>
  <c r="FG16" i="3" s="1"/>
  <c r="FF44" i="3"/>
  <c r="FG44" i="3" s="1"/>
  <c r="FF66" i="3"/>
  <c r="FG66" i="3" s="1"/>
  <c r="FF74" i="3"/>
  <c r="FG74" i="3" s="1"/>
  <c r="FF77" i="3"/>
  <c r="FG77" i="3" s="1"/>
  <c r="FF98" i="3"/>
  <c r="FG98" i="3" s="1"/>
  <c r="FF139" i="3"/>
  <c r="FG139" i="3" s="1"/>
  <c r="FF154" i="3"/>
  <c r="FG154" i="3" s="1"/>
  <c r="FF162" i="3"/>
  <c r="FG162" i="3" s="1"/>
  <c r="FF115" i="3"/>
  <c r="FG115" i="3" s="1"/>
  <c r="FF34" i="3"/>
  <c r="FG34" i="3" s="1"/>
  <c r="FF127" i="3"/>
  <c r="FG127" i="3" s="1"/>
  <c r="FF102" i="3"/>
  <c r="FG102" i="3" s="1"/>
  <c r="FF37" i="3"/>
  <c r="FG37" i="3" s="1"/>
  <c r="FF120" i="3"/>
  <c r="FG120" i="3" s="1"/>
  <c r="FF20" i="3"/>
  <c r="FG20" i="3" s="1"/>
  <c r="FF58" i="3"/>
  <c r="FG58" i="3" s="1"/>
  <c r="FF104" i="3"/>
  <c r="FG104" i="3" s="1"/>
  <c r="FF82" i="3"/>
  <c r="FG82" i="3" s="1"/>
  <c r="FF149" i="3"/>
  <c r="FG149" i="3" s="1"/>
  <c r="FF147" i="3"/>
  <c r="FG147" i="3" s="1"/>
  <c r="FF12" i="3"/>
  <c r="FG12" i="3" s="1"/>
  <c r="FF89" i="3"/>
  <c r="FG89" i="3" s="1"/>
  <c r="FF112" i="3"/>
  <c r="FG112" i="3" s="1"/>
  <c r="FF54" i="3"/>
  <c r="FG54" i="3" s="1"/>
  <c r="FF108" i="3"/>
  <c r="FG108" i="3" s="1"/>
  <c r="FF52" i="3"/>
  <c r="FG52" i="3" s="1"/>
  <c r="FF28" i="3"/>
  <c r="FG28" i="3" s="1"/>
  <c r="FF123" i="3"/>
  <c r="FG123" i="3" s="1"/>
  <c r="FF101" i="3"/>
  <c r="FG101" i="3" s="1"/>
  <c r="FF142" i="3"/>
  <c r="FG142" i="3" s="1"/>
  <c r="FF165" i="3"/>
  <c r="FG165" i="3" s="1"/>
  <c r="FF55" i="3"/>
  <c r="FG55" i="3" s="1"/>
  <c r="FF45" i="3"/>
  <c r="FG45" i="3" s="1"/>
  <c r="FF67" i="3"/>
  <c r="FG67" i="3" s="1"/>
  <c r="FF75" i="3"/>
  <c r="FG75" i="3" s="1"/>
  <c r="FF91" i="3"/>
  <c r="FG91" i="3" s="1"/>
  <c r="FF92" i="3"/>
  <c r="FG92" i="3" s="1"/>
  <c r="FF140" i="3"/>
  <c r="FG140" i="3" s="1"/>
  <c r="FF156" i="3"/>
  <c r="FG156" i="3" s="1"/>
  <c r="FF110" i="3"/>
  <c r="FG110" i="3" s="1"/>
  <c r="FF128" i="3"/>
  <c r="FG128" i="3" s="1"/>
  <c r="FF17" i="3"/>
  <c r="FG17" i="3" s="1"/>
  <c r="FF107" i="3"/>
  <c r="FG107" i="3" s="1"/>
  <c r="FF53" i="3"/>
  <c r="FG53" i="3" s="1"/>
  <c r="FF30" i="3"/>
  <c r="FG30" i="3" s="1"/>
  <c r="FF117" i="3"/>
  <c r="FG117" i="3" s="1"/>
  <c r="FF166" i="3"/>
  <c r="FG166" i="3" s="1"/>
  <c r="FF61" i="3"/>
  <c r="FG61" i="3" s="1"/>
  <c r="FF141" i="3"/>
  <c r="FG141" i="3" s="1"/>
  <c r="FF103" i="3"/>
  <c r="FG103" i="3" s="1"/>
  <c r="FF27" i="3"/>
  <c r="FG27" i="3" s="1"/>
  <c r="FF152" i="3"/>
  <c r="FG152" i="3" s="1"/>
  <c r="FF113" i="3"/>
  <c r="FG113" i="3" s="1"/>
  <c r="FF21" i="3"/>
  <c r="FG21" i="3" s="1"/>
  <c r="FF129" i="3"/>
  <c r="FG129" i="3" s="1"/>
  <c r="FF50" i="3"/>
  <c r="FG50" i="3" s="1"/>
  <c r="FF133" i="3"/>
  <c r="FG133" i="3" s="1"/>
  <c r="FF151" i="3"/>
  <c r="FG151" i="3" s="1"/>
  <c r="FF29" i="3"/>
  <c r="FG29" i="3" s="1"/>
  <c r="FF15" i="3"/>
  <c r="FG15" i="3" s="1"/>
  <c r="FF38" i="3"/>
  <c r="FG38" i="3" s="1"/>
  <c r="FF70" i="3"/>
  <c r="FG70" i="3" s="1"/>
  <c r="FF150" i="3"/>
  <c r="FG150" i="3" s="1"/>
  <c r="FF36" i="3"/>
  <c r="FG36" i="3" s="1"/>
  <c r="FF47" i="3"/>
  <c r="FG47" i="3" s="1"/>
  <c r="FF69" i="3"/>
  <c r="FG69" i="3" s="1"/>
  <c r="FF63" i="3"/>
  <c r="FG63" i="3" s="1"/>
  <c r="FF90" i="3"/>
  <c r="FG90" i="3" s="1"/>
  <c r="FF25" i="3"/>
  <c r="FG25" i="3" s="1"/>
  <c r="FF46" i="3"/>
  <c r="FG46" i="3" s="1"/>
  <c r="FF71" i="3"/>
  <c r="FG71" i="3" s="1"/>
  <c r="FF78" i="3"/>
  <c r="FG78" i="3" s="1"/>
  <c r="FF81" i="3"/>
  <c r="FG81" i="3" s="1"/>
  <c r="FF136" i="3"/>
  <c r="FG136" i="3" s="1"/>
  <c r="FF143" i="3"/>
  <c r="FG143" i="3" s="1"/>
  <c r="FF161" i="3"/>
  <c r="FG161" i="3" s="1"/>
  <c r="FF13" i="3"/>
  <c r="FG13" i="3" s="1"/>
  <c r="FF124" i="3"/>
  <c r="FG124" i="3" s="1"/>
  <c r="FF31" i="3"/>
  <c r="FG31" i="3" s="1"/>
  <c r="FF157" i="3"/>
  <c r="FG157" i="3" s="1"/>
  <c r="FF85" i="3"/>
  <c r="FG85" i="3" s="1"/>
  <c r="FF119" i="3"/>
  <c r="FG119" i="3" s="1"/>
  <c r="FF42" i="3"/>
  <c r="FG42" i="3" s="1"/>
  <c r="FF106" i="3"/>
  <c r="FG106" i="3" s="1"/>
  <c r="FF164" i="3"/>
  <c r="FG164" i="3" s="1"/>
  <c r="FF62" i="3"/>
  <c r="FG62" i="3" s="1"/>
  <c r="FF26" i="3"/>
  <c r="FG26" i="3" s="1"/>
  <c r="FF35" i="3"/>
  <c r="FG35" i="3" s="1"/>
  <c r="FF125" i="3"/>
  <c r="FG125" i="3" s="1"/>
  <c r="FF88" i="3"/>
  <c r="FG88" i="3" s="1"/>
  <c r="FF121" i="3"/>
  <c r="FG121" i="3" s="1"/>
  <c r="FF10" i="3"/>
  <c r="FF135" i="3"/>
  <c r="FG135" i="3" s="1"/>
  <c r="FF109" i="3"/>
  <c r="FG109" i="3" s="1"/>
  <c r="FF64" i="3"/>
  <c r="FG64" i="3" s="1"/>
  <c r="FF86" i="3"/>
  <c r="FG86" i="3" s="1"/>
  <c r="HL40" i="3"/>
  <c r="HM39" i="3"/>
  <c r="EU6" i="3"/>
  <c r="EX10" i="3"/>
  <c r="FH136" i="3" l="1"/>
  <c r="FH17" i="3"/>
  <c r="GZ17" i="3" s="1"/>
  <c r="FH34" i="3"/>
  <c r="FH80" i="3"/>
  <c r="FI80" i="3"/>
  <c r="FJ80" i="3" s="1"/>
  <c r="FH41" i="3"/>
  <c r="FH85" i="3"/>
  <c r="FI81" i="3"/>
  <c r="FJ81" i="3" s="1"/>
  <c r="FH81" i="3"/>
  <c r="FH47" i="3"/>
  <c r="FI133" i="3"/>
  <c r="FJ133" i="3" s="1"/>
  <c r="FH133" i="3"/>
  <c r="FH141" i="3"/>
  <c r="FH128" i="3"/>
  <c r="FH45" i="3"/>
  <c r="FI45" i="3"/>
  <c r="FJ45" i="3" s="1"/>
  <c r="FI108" i="3"/>
  <c r="FJ108" i="3" s="1"/>
  <c r="FH108" i="3"/>
  <c r="FH104" i="3"/>
  <c r="FI115" i="3"/>
  <c r="FJ115" i="3" s="1"/>
  <c r="FH115" i="3"/>
  <c r="FH44" i="3"/>
  <c r="FH11" i="3"/>
  <c r="FH22" i="3"/>
  <c r="FH118" i="3"/>
  <c r="FH43" i="3"/>
  <c r="FH93" i="3"/>
  <c r="FH148" i="3"/>
  <c r="FH146" i="3"/>
  <c r="FI146" i="3"/>
  <c r="FJ146" i="3" s="1"/>
  <c r="FH151" i="3"/>
  <c r="FH67" i="3"/>
  <c r="FH66" i="3"/>
  <c r="FH60" i="3"/>
  <c r="FH65" i="3"/>
  <c r="FH35" i="3"/>
  <c r="FH36" i="3"/>
  <c r="FH50" i="3"/>
  <c r="FH61" i="3"/>
  <c r="FH110" i="3"/>
  <c r="FH55" i="3"/>
  <c r="FH54" i="3"/>
  <c r="FH58" i="3"/>
  <c r="FH162" i="3"/>
  <c r="FH16" i="3"/>
  <c r="FH79" i="3"/>
  <c r="FI79" i="3"/>
  <c r="FJ79" i="3" s="1"/>
  <c r="FH105" i="3"/>
  <c r="FH167" i="3"/>
  <c r="FI167" i="3"/>
  <c r="FJ167" i="3" s="1"/>
  <c r="FH160" i="3"/>
  <c r="FH51" i="3"/>
  <c r="FH111" i="3"/>
  <c r="FH137" i="3"/>
  <c r="FH88" i="3"/>
  <c r="FH134" i="3"/>
  <c r="FI134" i="3"/>
  <c r="FJ134" i="3" s="1"/>
  <c r="FH64" i="3"/>
  <c r="FH31" i="3"/>
  <c r="FH71" i="3"/>
  <c r="FI150" i="3"/>
  <c r="FJ150" i="3" s="1"/>
  <c r="FH150" i="3"/>
  <c r="FH129" i="3"/>
  <c r="FH166" i="3"/>
  <c r="FI166" i="3"/>
  <c r="FJ166" i="3" s="1"/>
  <c r="FH156" i="3"/>
  <c r="FH165" i="3"/>
  <c r="FI165" i="3"/>
  <c r="FJ165" i="3" s="1"/>
  <c r="FH112" i="3"/>
  <c r="FI112" i="3"/>
  <c r="FJ112" i="3" s="1"/>
  <c r="FH20" i="3"/>
  <c r="FH154" i="3"/>
  <c r="FH100" i="3"/>
  <c r="FH18" i="3"/>
  <c r="FH40" i="3"/>
  <c r="FH163" i="3"/>
  <c r="FH23" i="3"/>
  <c r="FH116" i="3"/>
  <c r="FI116" i="3"/>
  <c r="FJ116" i="3" s="1"/>
  <c r="FH59" i="3"/>
  <c r="FH84" i="3"/>
  <c r="FH69" i="3"/>
  <c r="FH82" i="3"/>
  <c r="FH130" i="3"/>
  <c r="FH125" i="3"/>
  <c r="FH86" i="3"/>
  <c r="FH124" i="3"/>
  <c r="FH21" i="3"/>
  <c r="FH117" i="3"/>
  <c r="FI117" i="3"/>
  <c r="FJ117" i="3" s="1"/>
  <c r="FH140" i="3"/>
  <c r="FH142" i="3"/>
  <c r="FH89" i="3"/>
  <c r="FH120" i="3"/>
  <c r="FH139" i="3"/>
  <c r="FH153" i="3"/>
  <c r="FI153" i="3"/>
  <c r="FJ153" i="3" s="1"/>
  <c r="FH68" i="3"/>
  <c r="FH24" i="3"/>
  <c r="FH138" i="3"/>
  <c r="FH48" i="3"/>
  <c r="FH14" i="3"/>
  <c r="FH126" i="3"/>
  <c r="FH97" i="3"/>
  <c r="FH119" i="3"/>
  <c r="FH52" i="3"/>
  <c r="FH158" i="3"/>
  <c r="FH78" i="3"/>
  <c r="FH26" i="3"/>
  <c r="FH109" i="3"/>
  <c r="FH70" i="3"/>
  <c r="FH135" i="3"/>
  <c r="FH164" i="3"/>
  <c r="FI164" i="3"/>
  <c r="FJ164" i="3" s="1"/>
  <c r="FH13" i="3"/>
  <c r="FH25" i="3"/>
  <c r="FH38" i="3"/>
  <c r="FH113" i="3"/>
  <c r="FH30" i="3"/>
  <c r="FH92" i="3"/>
  <c r="FH101" i="3"/>
  <c r="FH12" i="3"/>
  <c r="FH37" i="3"/>
  <c r="FH98" i="3"/>
  <c r="FH76" i="3"/>
  <c r="FH155" i="3"/>
  <c r="FH39" i="3"/>
  <c r="FH94" i="3"/>
  <c r="FH33" i="3"/>
  <c r="FH131" i="3"/>
  <c r="FH19" i="3"/>
  <c r="FH72" i="3"/>
  <c r="HL41" i="3"/>
  <c r="HM40" i="3"/>
  <c r="FH157" i="3"/>
  <c r="FH62" i="3"/>
  <c r="FH46" i="3"/>
  <c r="EX6" i="3"/>
  <c r="FA10" i="3"/>
  <c r="FF6" i="3"/>
  <c r="O35" i="4" s="1"/>
  <c r="FH106" i="3"/>
  <c r="FH161" i="3"/>
  <c r="FH90" i="3"/>
  <c r="FH15" i="3"/>
  <c r="FH152" i="3"/>
  <c r="FH53" i="3"/>
  <c r="FH91" i="3"/>
  <c r="FH123" i="3"/>
  <c r="FI147" i="3"/>
  <c r="FJ147" i="3" s="1"/>
  <c r="FH147" i="3"/>
  <c r="FH102" i="3"/>
  <c r="FH77" i="3"/>
  <c r="FH99" i="3"/>
  <c r="FH95" i="3"/>
  <c r="FI95" i="3"/>
  <c r="FJ95" i="3" s="1"/>
  <c r="FH83" i="3"/>
  <c r="FH87" i="3"/>
  <c r="FH144" i="3"/>
  <c r="FH122" i="3"/>
  <c r="FH114" i="3"/>
  <c r="FI114" i="3"/>
  <c r="FJ114" i="3" s="1"/>
  <c r="FH49" i="3"/>
  <c r="FI103" i="3"/>
  <c r="FJ103" i="3" s="1"/>
  <c r="FH103" i="3"/>
  <c r="FH121" i="3"/>
  <c r="FH42" i="3"/>
  <c r="FH143" i="3"/>
  <c r="FH63" i="3"/>
  <c r="FH29" i="3"/>
  <c r="FH27" i="3"/>
  <c r="FH107" i="3"/>
  <c r="FH75" i="3"/>
  <c r="FH28" i="3"/>
  <c r="FH149" i="3"/>
  <c r="FH127" i="3"/>
  <c r="FH74" i="3"/>
  <c r="FH56" i="3"/>
  <c r="FH96" i="3"/>
  <c r="FH159" i="3"/>
  <c r="FH73" i="3"/>
  <c r="FH132" i="3"/>
  <c r="FH57" i="3"/>
  <c r="FH145" i="3"/>
  <c r="FH32" i="3"/>
  <c r="GZ29" i="3" l="1"/>
  <c r="GQ29" i="3"/>
  <c r="GQ152" i="3"/>
  <c r="GZ152" i="3"/>
  <c r="GZ103" i="3"/>
  <c r="GQ103" i="3"/>
  <c r="GQ157" i="3"/>
  <c r="GZ157" i="3"/>
  <c r="GZ131" i="3"/>
  <c r="GQ131" i="3"/>
  <c r="GQ155" i="3"/>
  <c r="GZ155" i="3"/>
  <c r="GZ12" i="3"/>
  <c r="GQ12" i="3"/>
  <c r="GZ113" i="3"/>
  <c r="GQ113" i="3"/>
  <c r="GQ164" i="3"/>
  <c r="GZ164" i="3"/>
  <c r="GZ48" i="3"/>
  <c r="GQ48" i="3"/>
  <c r="GQ153" i="3"/>
  <c r="GZ153" i="3"/>
  <c r="GZ142" i="3"/>
  <c r="GQ142" i="3"/>
  <c r="GQ124" i="3"/>
  <c r="GZ124" i="3"/>
  <c r="GZ82" i="3"/>
  <c r="GQ82" i="3"/>
  <c r="GQ116" i="3"/>
  <c r="GZ116" i="3"/>
  <c r="GZ18" i="3"/>
  <c r="GQ18" i="3"/>
  <c r="GZ112" i="3"/>
  <c r="GQ112" i="3"/>
  <c r="GZ129" i="3"/>
  <c r="GQ129" i="3"/>
  <c r="GZ64" i="3"/>
  <c r="GQ64" i="3"/>
  <c r="GQ111" i="3"/>
  <c r="GZ111" i="3"/>
  <c r="GZ105" i="3"/>
  <c r="GQ105" i="3"/>
  <c r="GZ61" i="3"/>
  <c r="GQ61" i="3"/>
  <c r="GZ65" i="3"/>
  <c r="GQ65" i="3"/>
  <c r="GZ151" i="3"/>
  <c r="GQ151" i="3"/>
  <c r="GZ43" i="3"/>
  <c r="GQ43" i="3"/>
  <c r="GZ44" i="3"/>
  <c r="GQ44" i="3"/>
  <c r="GZ45" i="3"/>
  <c r="GQ45" i="3"/>
  <c r="GZ47" i="3"/>
  <c r="GQ47" i="3"/>
  <c r="GZ28" i="3"/>
  <c r="GQ28" i="3"/>
  <c r="FK165" i="3"/>
  <c r="FL165" i="3"/>
  <c r="FM165" i="3" s="1"/>
  <c r="GZ150" i="3"/>
  <c r="GQ150" i="3"/>
  <c r="FK134" i="3"/>
  <c r="FL134" i="3"/>
  <c r="FM134" i="3" s="1"/>
  <c r="FL79" i="3"/>
  <c r="FM79" i="3" s="1"/>
  <c r="FK79" i="3"/>
  <c r="FK146" i="3"/>
  <c r="FL146" i="3"/>
  <c r="FM146" i="3" s="1"/>
  <c r="FL147" i="3"/>
  <c r="FM147" i="3" s="1"/>
  <c r="FK147" i="3"/>
  <c r="FL153" i="3"/>
  <c r="FM153" i="3" s="1"/>
  <c r="FK153" i="3"/>
  <c r="GG153" i="3" a="1"/>
  <c r="GG153" i="3" s="1"/>
  <c r="GH153" i="3" s="1"/>
  <c r="HM41" i="3"/>
  <c r="HL42" i="3"/>
  <c r="GZ33" i="3"/>
  <c r="GQ33" i="3"/>
  <c r="GZ76" i="3"/>
  <c r="GQ76" i="3"/>
  <c r="GZ101" i="3"/>
  <c r="GQ101" i="3"/>
  <c r="GZ38" i="3"/>
  <c r="GQ38" i="3"/>
  <c r="GZ135" i="3"/>
  <c r="GQ135" i="3"/>
  <c r="GZ78" i="3"/>
  <c r="GQ78" i="3"/>
  <c r="GZ97" i="3"/>
  <c r="GQ97" i="3"/>
  <c r="GZ138" i="3"/>
  <c r="GQ138" i="3"/>
  <c r="GQ140" i="3"/>
  <c r="GZ140" i="3"/>
  <c r="GZ69" i="3"/>
  <c r="GQ69" i="3"/>
  <c r="GQ100" i="3"/>
  <c r="GZ100" i="3"/>
  <c r="GZ165" i="3"/>
  <c r="GQ165" i="3"/>
  <c r="FL150" i="3"/>
  <c r="FM150" i="3" s="1"/>
  <c r="FK150" i="3"/>
  <c r="GQ51" i="3"/>
  <c r="GZ51" i="3"/>
  <c r="GZ79" i="3"/>
  <c r="GQ79" i="3"/>
  <c r="GZ54" i="3"/>
  <c r="GQ54" i="3"/>
  <c r="GZ60" i="3"/>
  <c r="GQ60" i="3"/>
  <c r="GQ146" i="3"/>
  <c r="GZ146" i="3"/>
  <c r="GZ118" i="3"/>
  <c r="GQ118" i="3"/>
  <c r="FL115" i="3"/>
  <c r="FM115" i="3" s="1"/>
  <c r="FK115" i="3"/>
  <c r="GZ128" i="3"/>
  <c r="GQ128" i="3"/>
  <c r="FL81" i="3"/>
  <c r="FM81" i="3" s="1"/>
  <c r="FK81" i="3"/>
  <c r="GZ34" i="3"/>
  <c r="GQ34" i="3"/>
  <c r="GZ106" i="3"/>
  <c r="GQ106" i="3"/>
  <c r="FK164" i="3"/>
  <c r="FL164" i="3"/>
  <c r="FM164" i="3" s="1"/>
  <c r="FK112" i="3"/>
  <c r="FL112" i="3"/>
  <c r="FM112" i="3" s="1"/>
  <c r="FL80" i="3"/>
  <c r="FM80" i="3" s="1"/>
  <c r="FK80" i="3"/>
  <c r="GG103" i="3" a="1"/>
  <c r="GG103" i="3" s="1"/>
  <c r="GH103" i="3" s="1"/>
  <c r="FL103" i="3"/>
  <c r="FM103" i="3" s="1"/>
  <c r="FK103" i="3"/>
  <c r="FD10" i="3"/>
  <c r="FA6" i="3"/>
  <c r="GZ107" i="3"/>
  <c r="GQ107" i="3"/>
  <c r="GZ90" i="3"/>
  <c r="GQ90" i="3"/>
  <c r="FK117" i="3"/>
  <c r="FL117" i="3"/>
  <c r="FM117" i="3" s="1"/>
  <c r="GQ95" i="3"/>
  <c r="GZ95" i="3"/>
  <c r="GG114" i="3" a="1"/>
  <c r="GG114" i="3" s="1"/>
  <c r="GH114" i="3" s="1"/>
  <c r="FK114" i="3"/>
  <c r="FL114" i="3"/>
  <c r="FM114" i="3" s="1"/>
  <c r="GZ46" i="3"/>
  <c r="GQ46" i="3"/>
  <c r="GZ72" i="3"/>
  <c r="GQ72" i="3"/>
  <c r="GQ94" i="3"/>
  <c r="GZ94" i="3"/>
  <c r="GQ98" i="3"/>
  <c r="GZ98" i="3"/>
  <c r="GZ92" i="3"/>
  <c r="GQ92" i="3"/>
  <c r="GZ25" i="3"/>
  <c r="GQ25" i="3"/>
  <c r="GZ70" i="3"/>
  <c r="GQ70" i="3"/>
  <c r="GQ158" i="3"/>
  <c r="GZ158" i="3"/>
  <c r="GQ126" i="3"/>
  <c r="GZ126" i="3"/>
  <c r="GZ24" i="3"/>
  <c r="GQ24" i="3"/>
  <c r="GZ154" i="3"/>
  <c r="GQ154" i="3"/>
  <c r="GQ156" i="3"/>
  <c r="GZ156" i="3"/>
  <c r="GZ71" i="3"/>
  <c r="GQ71" i="3"/>
  <c r="GZ88" i="3"/>
  <c r="GQ88" i="3"/>
  <c r="GZ16" i="3"/>
  <c r="GQ16" i="3"/>
  <c r="GZ55" i="3"/>
  <c r="GQ55" i="3"/>
  <c r="GQ148" i="3"/>
  <c r="GZ148" i="3"/>
  <c r="GZ22" i="3"/>
  <c r="GQ22" i="3"/>
  <c r="GZ104" i="3"/>
  <c r="GQ104" i="3"/>
  <c r="GZ141" i="3"/>
  <c r="GQ141" i="3"/>
  <c r="GQ85" i="3"/>
  <c r="GZ85" i="3"/>
  <c r="GZ56" i="3"/>
  <c r="GQ56" i="3"/>
  <c r="FL116" i="3"/>
  <c r="FM116" i="3" s="1"/>
  <c r="FK116" i="3"/>
  <c r="GZ74" i="3"/>
  <c r="GQ74" i="3"/>
  <c r="GZ63" i="3"/>
  <c r="GQ63" i="3"/>
  <c r="GZ15" i="3"/>
  <c r="GQ15" i="3"/>
  <c r="GQ145" i="3"/>
  <c r="GZ145" i="3"/>
  <c r="GZ127" i="3"/>
  <c r="GQ127" i="3"/>
  <c r="GQ49" i="3"/>
  <c r="GZ49" i="3"/>
  <c r="GZ83" i="3"/>
  <c r="GQ83" i="3"/>
  <c r="FK166" i="3"/>
  <c r="FL166" i="3"/>
  <c r="FM166" i="3" s="1"/>
  <c r="FK167" i="3"/>
  <c r="FL167" i="3"/>
  <c r="FM167" i="3" s="1"/>
  <c r="GQ108" i="3"/>
  <c r="GZ108" i="3"/>
  <c r="GZ133" i="3"/>
  <c r="GQ133" i="3"/>
  <c r="GQ132" i="3"/>
  <c r="GZ132" i="3"/>
  <c r="GZ122" i="3"/>
  <c r="GQ122" i="3"/>
  <c r="FK45" i="3"/>
  <c r="FL45" i="3"/>
  <c r="FM45" i="3" s="1"/>
  <c r="GZ73" i="3"/>
  <c r="GQ73" i="3"/>
  <c r="GZ75" i="3"/>
  <c r="GQ75" i="3"/>
  <c r="GQ123" i="3"/>
  <c r="GZ123" i="3"/>
  <c r="GZ143" i="3"/>
  <c r="GQ143" i="3"/>
  <c r="GZ77" i="3"/>
  <c r="GQ77" i="3"/>
  <c r="GZ57" i="3"/>
  <c r="GQ57" i="3"/>
  <c r="GZ27" i="3"/>
  <c r="GQ27" i="3"/>
  <c r="GZ42" i="3"/>
  <c r="GQ42" i="3"/>
  <c r="GQ114" i="3"/>
  <c r="GZ114" i="3"/>
  <c r="GZ102" i="3"/>
  <c r="GQ102" i="3"/>
  <c r="GZ53" i="3"/>
  <c r="GQ53" i="3"/>
  <c r="GQ161" i="3"/>
  <c r="GZ161" i="3"/>
  <c r="FL95" i="3"/>
  <c r="FM95" i="3" s="1"/>
  <c r="FK95" i="3"/>
  <c r="GZ62" i="3"/>
  <c r="GQ62" i="3"/>
  <c r="GZ19" i="3"/>
  <c r="GQ19" i="3"/>
  <c r="GQ39" i="3"/>
  <c r="GZ39" i="3"/>
  <c r="GZ37" i="3"/>
  <c r="GQ37" i="3"/>
  <c r="GZ30" i="3"/>
  <c r="GQ30" i="3"/>
  <c r="GZ13" i="3"/>
  <c r="GQ13" i="3"/>
  <c r="GQ109" i="3"/>
  <c r="GZ109" i="3"/>
  <c r="GZ14" i="3"/>
  <c r="GQ14" i="3"/>
  <c r="GZ68" i="3"/>
  <c r="GQ68" i="3"/>
  <c r="GZ21" i="3"/>
  <c r="GQ21" i="3"/>
  <c r="GZ59" i="3"/>
  <c r="GQ59" i="3"/>
  <c r="GZ20" i="3"/>
  <c r="GQ20" i="3"/>
  <c r="GZ31" i="3"/>
  <c r="GQ31" i="3"/>
  <c r="GQ162" i="3"/>
  <c r="GZ162" i="3"/>
  <c r="GZ110" i="3"/>
  <c r="GQ110" i="3"/>
  <c r="GZ35" i="3"/>
  <c r="GQ35" i="3"/>
  <c r="GZ67" i="3"/>
  <c r="GQ67" i="3"/>
  <c r="GZ11" i="3"/>
  <c r="GQ11" i="3"/>
  <c r="FL108" i="3"/>
  <c r="FM108" i="3" s="1"/>
  <c r="FK108" i="3"/>
  <c r="FL133" i="3"/>
  <c r="FM133" i="3" s="1"/>
  <c r="FK133" i="3"/>
  <c r="GZ41" i="3"/>
  <c r="GQ41" i="3"/>
  <c r="FN80" i="3" l="1"/>
  <c r="FO80" i="3"/>
  <c r="FP80" i="3" s="1"/>
  <c r="FO134" i="3"/>
  <c r="FP134" i="3" s="1"/>
  <c r="FN134" i="3"/>
  <c r="FN116" i="3"/>
  <c r="FO116" i="3"/>
  <c r="FP116" i="3" s="1"/>
  <c r="FN81" i="3"/>
  <c r="FO81" i="3"/>
  <c r="FP81" i="3" s="1"/>
  <c r="FN166" i="3"/>
  <c r="FO166" i="3"/>
  <c r="FP166" i="3" s="1"/>
  <c r="FD6" i="3"/>
  <c r="FG10" i="3"/>
  <c r="FN164" i="3"/>
  <c r="FO164" i="3"/>
  <c r="FP164" i="3" s="1"/>
  <c r="FN147" i="3"/>
  <c r="FO147" i="3"/>
  <c r="FP147" i="3" s="1"/>
  <c r="FN112" i="3"/>
  <c r="FO112" i="3"/>
  <c r="FP112" i="3" s="1"/>
  <c r="FN153" i="3"/>
  <c r="FO153" i="3"/>
  <c r="FP153" i="3" s="1"/>
  <c r="FN133" i="3"/>
  <c r="FO133" i="3"/>
  <c r="FP133" i="3" s="1"/>
  <c r="FN95" i="3"/>
  <c r="FO95" i="3"/>
  <c r="FP95" i="3" s="1"/>
  <c r="FO117" i="3"/>
  <c r="FP117" i="3" s="1"/>
  <c r="FN117" i="3"/>
  <c r="FN150" i="3"/>
  <c r="FO150" i="3"/>
  <c r="FP150" i="3" s="1"/>
  <c r="FN146" i="3"/>
  <c r="FO146" i="3"/>
  <c r="FP146" i="3" s="1"/>
  <c r="FN165" i="3"/>
  <c r="FO165" i="3"/>
  <c r="FP165" i="3" s="1"/>
  <c r="FN45" i="3"/>
  <c r="FO45" i="3"/>
  <c r="FP45" i="3" s="1"/>
  <c r="FN103" i="3"/>
  <c r="FO103" i="3"/>
  <c r="FP103" i="3" s="1"/>
  <c r="HM42" i="3"/>
  <c r="HL43" i="3"/>
  <c r="FO108" i="3"/>
  <c r="FP108" i="3" s="1"/>
  <c r="FN108" i="3"/>
  <c r="FN115" i="3"/>
  <c r="FO115" i="3"/>
  <c r="FP115" i="3" s="1"/>
  <c r="FN167" i="3"/>
  <c r="FO167" i="3"/>
  <c r="FP167" i="3" s="1"/>
  <c r="FN114" i="3"/>
  <c r="FO114" i="3"/>
  <c r="FP114" i="3" s="1"/>
  <c r="FO79" i="3"/>
  <c r="FP79" i="3" s="1"/>
  <c r="FN79" i="3"/>
  <c r="HL44" i="3" l="1"/>
  <c r="HM43" i="3"/>
  <c r="FG6" i="3"/>
  <c r="FH10" i="3"/>
  <c r="GQ10" i="3" l="1"/>
  <c r="GZ10" i="3"/>
  <c r="HL45" i="3"/>
  <c r="HM44" i="3"/>
  <c r="HL46" i="3" l="1"/>
  <c r="HM45" i="3"/>
  <c r="HB18" i="3"/>
  <c r="HB26" i="3"/>
  <c r="HB34" i="3"/>
  <c r="HB42" i="3"/>
  <c r="HB50" i="3"/>
  <c r="HB58" i="3"/>
  <c r="HB66" i="3"/>
  <c r="HB74" i="3"/>
  <c r="HB82" i="3"/>
  <c r="HB90" i="3"/>
  <c r="HB98" i="3"/>
  <c r="HB106" i="3"/>
  <c r="HB114" i="3"/>
  <c r="HB122" i="3"/>
  <c r="HB130" i="3"/>
  <c r="HB138" i="3"/>
  <c r="HB146" i="3"/>
  <c r="HB154" i="3"/>
  <c r="HB162" i="3"/>
  <c r="HB57" i="3"/>
  <c r="HB137" i="3"/>
  <c r="HB19" i="3"/>
  <c r="HB27" i="3"/>
  <c r="HB35" i="3"/>
  <c r="HB43" i="3"/>
  <c r="HB51" i="3"/>
  <c r="HB59" i="3"/>
  <c r="HB67" i="3"/>
  <c r="HB75" i="3"/>
  <c r="HB83" i="3"/>
  <c r="HB91" i="3"/>
  <c r="HB99" i="3"/>
  <c r="HB107" i="3"/>
  <c r="HB115" i="3"/>
  <c r="HB123" i="3"/>
  <c r="HB131" i="3"/>
  <c r="HB139" i="3"/>
  <c r="HB147" i="3"/>
  <c r="HB155" i="3"/>
  <c r="HB163" i="3"/>
  <c r="HB41" i="3"/>
  <c r="HB97" i="3"/>
  <c r="HB153" i="3"/>
  <c r="HB11" i="3"/>
  <c r="HB20" i="3"/>
  <c r="HB28" i="3"/>
  <c r="HB36" i="3"/>
  <c r="HB44" i="3"/>
  <c r="HB52" i="3"/>
  <c r="HB60" i="3"/>
  <c r="HB68" i="3"/>
  <c r="HB76" i="3"/>
  <c r="HB84" i="3"/>
  <c r="HB92" i="3"/>
  <c r="HB100" i="3"/>
  <c r="HB108" i="3"/>
  <c r="HB116" i="3"/>
  <c r="HB124" i="3"/>
  <c r="HB132" i="3"/>
  <c r="HB140" i="3"/>
  <c r="HB148" i="3"/>
  <c r="HB156" i="3"/>
  <c r="HB164" i="3"/>
  <c r="HB25" i="3"/>
  <c r="HB81" i="3"/>
  <c r="HB129" i="3"/>
  <c r="HB13" i="3"/>
  <c r="HB21" i="3"/>
  <c r="HB29" i="3"/>
  <c r="HB37" i="3"/>
  <c r="HB45" i="3"/>
  <c r="HB53" i="3"/>
  <c r="HB61" i="3"/>
  <c r="HB69" i="3"/>
  <c r="HB77" i="3"/>
  <c r="HB85" i="3"/>
  <c r="HB93" i="3"/>
  <c r="HB101" i="3"/>
  <c r="HB109" i="3"/>
  <c r="HB117" i="3"/>
  <c r="HB125" i="3"/>
  <c r="HB133" i="3"/>
  <c r="HB141" i="3"/>
  <c r="HB149" i="3"/>
  <c r="HB157" i="3"/>
  <c r="HB165" i="3"/>
  <c r="HB73" i="3"/>
  <c r="HB105" i="3"/>
  <c r="HB161" i="3"/>
  <c r="HB15" i="3"/>
  <c r="HB22" i="3"/>
  <c r="HB30" i="3"/>
  <c r="HB38" i="3"/>
  <c r="HB46" i="3"/>
  <c r="HB54" i="3"/>
  <c r="HB62" i="3"/>
  <c r="HB70" i="3"/>
  <c r="HB78" i="3"/>
  <c r="HB86" i="3"/>
  <c r="HB94" i="3"/>
  <c r="HB102" i="3"/>
  <c r="HB110" i="3"/>
  <c r="HB118" i="3"/>
  <c r="HB126" i="3"/>
  <c r="HB134" i="3"/>
  <c r="HB142" i="3"/>
  <c r="HB150" i="3"/>
  <c r="HB158" i="3"/>
  <c r="HB166" i="3"/>
  <c r="GZ6" i="3"/>
  <c r="HB49" i="3"/>
  <c r="HB89" i="3"/>
  <c r="HB145" i="3"/>
  <c r="HB14" i="3"/>
  <c r="HB23" i="3"/>
  <c r="HB31" i="3"/>
  <c r="HB39" i="3"/>
  <c r="HB47" i="3"/>
  <c r="HB55" i="3"/>
  <c r="HB63" i="3"/>
  <c r="HB71" i="3"/>
  <c r="HB79" i="3"/>
  <c r="HB87" i="3"/>
  <c r="HB95" i="3"/>
  <c r="HB103" i="3"/>
  <c r="HB111" i="3"/>
  <c r="HB119" i="3"/>
  <c r="HB127" i="3"/>
  <c r="HB135" i="3"/>
  <c r="HB143" i="3"/>
  <c r="HB151" i="3"/>
  <c r="HB159" i="3"/>
  <c r="HB167" i="3"/>
  <c r="GZ5" i="3"/>
  <c r="HA6" i="3" s="1"/>
  <c r="HB33" i="3"/>
  <c r="HB121" i="3"/>
  <c r="HB16" i="3"/>
  <c r="HB24" i="3"/>
  <c r="HB32" i="3"/>
  <c r="HB40" i="3"/>
  <c r="HB48" i="3"/>
  <c r="HB56" i="3"/>
  <c r="HB64" i="3"/>
  <c r="HB72" i="3"/>
  <c r="HB80" i="3"/>
  <c r="HB88" i="3"/>
  <c r="HB96" i="3"/>
  <c r="HB104" i="3"/>
  <c r="HB112" i="3"/>
  <c r="HB120" i="3"/>
  <c r="HB128" i="3"/>
  <c r="HB136" i="3"/>
  <c r="HB144" i="3"/>
  <c r="HB152" i="3"/>
  <c r="HB160" i="3"/>
  <c r="HB12" i="3"/>
  <c r="HB10" i="3"/>
  <c r="HB17" i="3"/>
  <c r="HB65" i="3"/>
  <c r="HB113" i="3"/>
  <c r="GS86" i="3"/>
  <c r="GS93" i="3"/>
  <c r="GS101" i="3"/>
  <c r="GS109" i="3"/>
  <c r="GS117" i="3"/>
  <c r="GS125" i="3"/>
  <c r="GS133" i="3"/>
  <c r="GS141" i="3"/>
  <c r="GS149" i="3"/>
  <c r="GS157" i="3"/>
  <c r="GS165" i="3"/>
  <c r="GS14" i="3"/>
  <c r="GS22" i="3"/>
  <c r="GS30" i="3"/>
  <c r="GS38" i="3"/>
  <c r="GS46" i="3"/>
  <c r="GS54" i="3"/>
  <c r="GS62" i="3"/>
  <c r="GS70" i="3"/>
  <c r="GS78" i="3"/>
  <c r="GQ5" i="3"/>
  <c r="GR6" i="3" s="1"/>
  <c r="GS61" i="3"/>
  <c r="GS84" i="3"/>
  <c r="GS94" i="3"/>
  <c r="GS102" i="3"/>
  <c r="GS110" i="3"/>
  <c r="GS118" i="3"/>
  <c r="GS126" i="3"/>
  <c r="GS134" i="3"/>
  <c r="GS142" i="3"/>
  <c r="GS150" i="3"/>
  <c r="GS158" i="3"/>
  <c r="GS166" i="3"/>
  <c r="GS15" i="3"/>
  <c r="GS23" i="3"/>
  <c r="GS31" i="3"/>
  <c r="GS39" i="3"/>
  <c r="GS47" i="3"/>
  <c r="GS55" i="3"/>
  <c r="GS63" i="3"/>
  <c r="GS71" i="3"/>
  <c r="GS79" i="3"/>
  <c r="GQ6" i="3"/>
  <c r="GS92" i="3"/>
  <c r="GS45" i="3"/>
  <c r="GS87" i="3"/>
  <c r="GS95" i="3"/>
  <c r="GS103" i="3"/>
  <c r="GS111" i="3"/>
  <c r="GS119" i="3"/>
  <c r="GS127" i="3"/>
  <c r="GS135" i="3"/>
  <c r="GS143" i="3"/>
  <c r="GS151" i="3"/>
  <c r="GS159" i="3"/>
  <c r="GS167" i="3"/>
  <c r="GS16" i="3"/>
  <c r="GS24" i="3"/>
  <c r="GS32" i="3"/>
  <c r="GS40" i="3"/>
  <c r="GS48" i="3"/>
  <c r="GS56" i="3"/>
  <c r="GS64" i="3"/>
  <c r="GS72" i="3"/>
  <c r="GS80" i="3"/>
  <c r="GS10" i="3"/>
  <c r="GS100" i="3"/>
  <c r="GS29" i="3"/>
  <c r="GS12" i="3"/>
  <c r="GS88" i="3"/>
  <c r="GS96" i="3"/>
  <c r="GS104" i="3"/>
  <c r="GS112" i="3"/>
  <c r="GS120" i="3"/>
  <c r="GS128" i="3"/>
  <c r="GS136" i="3"/>
  <c r="GS144" i="3"/>
  <c r="GS152" i="3"/>
  <c r="GS160" i="3"/>
  <c r="GS17" i="3"/>
  <c r="GS25" i="3"/>
  <c r="GS33" i="3"/>
  <c r="GS41" i="3"/>
  <c r="GS49" i="3"/>
  <c r="GS57" i="3"/>
  <c r="GS65" i="3"/>
  <c r="GS73" i="3"/>
  <c r="GS81" i="3"/>
  <c r="GS11" i="3"/>
  <c r="GS116" i="3"/>
  <c r="GV116" i="3" s="1" a="1"/>
  <c r="GV116" i="3" s="1"/>
  <c r="GS164" i="3"/>
  <c r="GS69" i="3"/>
  <c r="GS89" i="3"/>
  <c r="GS97" i="3"/>
  <c r="GS105" i="3"/>
  <c r="GS113" i="3"/>
  <c r="GS121" i="3"/>
  <c r="GS129" i="3"/>
  <c r="GS137" i="3"/>
  <c r="GS145" i="3"/>
  <c r="GS153" i="3"/>
  <c r="GS161" i="3"/>
  <c r="GS18" i="3"/>
  <c r="GS26" i="3"/>
  <c r="GS34" i="3"/>
  <c r="GS42" i="3"/>
  <c r="GS50" i="3"/>
  <c r="GS58" i="3"/>
  <c r="GS66" i="3"/>
  <c r="GS74" i="3"/>
  <c r="GS82" i="3"/>
  <c r="GS140" i="3"/>
  <c r="GS156" i="3"/>
  <c r="GS21" i="3"/>
  <c r="GS77" i="3"/>
  <c r="GS90" i="3"/>
  <c r="GS98" i="3"/>
  <c r="GS106" i="3"/>
  <c r="GS114" i="3"/>
  <c r="GS122" i="3"/>
  <c r="GS130" i="3"/>
  <c r="GS138" i="3"/>
  <c r="GS146" i="3"/>
  <c r="GS154" i="3"/>
  <c r="GS162" i="3"/>
  <c r="GS19" i="3"/>
  <c r="GS27" i="3"/>
  <c r="GS35" i="3"/>
  <c r="GS43" i="3"/>
  <c r="GS51" i="3"/>
  <c r="GS59" i="3"/>
  <c r="GS67" i="3"/>
  <c r="GS75" i="3"/>
  <c r="GS83" i="3"/>
  <c r="GS37" i="3"/>
  <c r="GS91" i="3"/>
  <c r="GS99" i="3"/>
  <c r="GS107" i="3"/>
  <c r="GS115" i="3"/>
  <c r="GS123" i="3"/>
  <c r="GS131" i="3"/>
  <c r="GS139" i="3"/>
  <c r="GS147" i="3"/>
  <c r="GS155" i="3"/>
  <c r="GS163" i="3"/>
  <c r="GS85" i="3"/>
  <c r="GS20" i="3"/>
  <c r="GS28" i="3"/>
  <c r="GS36" i="3"/>
  <c r="GS44" i="3"/>
  <c r="GS52" i="3"/>
  <c r="GS60" i="3"/>
  <c r="GS68" i="3"/>
  <c r="GS76" i="3"/>
  <c r="GS108" i="3"/>
  <c r="GS124" i="3"/>
  <c r="GS132" i="3"/>
  <c r="GS148" i="3"/>
  <c r="GS13" i="3"/>
  <c r="GS53" i="3"/>
  <c r="GV66" i="3" l="1" a="1"/>
  <c r="GV66" i="3" s="1"/>
  <c r="GV75" i="3" a="1"/>
  <c r="GV75" i="3" s="1"/>
  <c r="GV36" i="3" a="1"/>
  <c r="GV36" i="3" s="1"/>
  <c r="GV98" i="3" a="1"/>
  <c r="GV98" i="3" s="1"/>
  <c r="GV132" i="3" a="1"/>
  <c r="GV132" i="3" s="1"/>
  <c r="GW132" i="3"/>
  <c r="GV48" i="3" a="1"/>
  <c r="GV48" i="3" s="1"/>
  <c r="GV52" i="3" a="1"/>
  <c r="GV52" i="3" s="1"/>
  <c r="GW147" i="3"/>
  <c r="GV147" i="3" a="1"/>
  <c r="GV147" i="3" s="1"/>
  <c r="GW148" i="3"/>
  <c r="GV148" i="3" a="1"/>
  <c r="GV148" i="3" s="1"/>
  <c r="GV44" i="3" a="1"/>
  <c r="GV44" i="3" s="1"/>
  <c r="GW139" i="3"/>
  <c r="GV139" i="3" a="1"/>
  <c r="GV139" i="3" s="1"/>
  <c r="GV83" i="3" a="1"/>
  <c r="GV83" i="3" s="1"/>
  <c r="GV19" i="3" a="1"/>
  <c r="GV19" i="3" s="1"/>
  <c r="F51" i="4" s="1"/>
  <c r="GV106" i="3" a="1"/>
  <c r="GV106" i="3" s="1"/>
  <c r="GV74" i="3" a="1"/>
  <c r="GV74" i="3" s="1"/>
  <c r="GV161" i="3" a="1"/>
  <c r="GV161" i="3" s="1"/>
  <c r="GW161" i="3"/>
  <c r="GV97" i="3" a="1"/>
  <c r="GV97" i="3" s="1"/>
  <c r="GV65" i="3" a="1"/>
  <c r="GV65" i="3" s="1"/>
  <c r="GW152" i="3"/>
  <c r="GV152" i="3" a="1"/>
  <c r="GV152" i="3" s="1"/>
  <c r="GV88" i="3" a="1"/>
  <c r="GV88" i="3" s="1"/>
  <c r="GV56" i="3" a="1"/>
  <c r="GV56" i="3" s="1"/>
  <c r="GW151" i="3"/>
  <c r="GV151" i="3" a="1"/>
  <c r="GV151" i="3" s="1"/>
  <c r="GV87" i="3" a="1"/>
  <c r="GV87" i="3" s="1"/>
  <c r="GV47" i="3" a="1"/>
  <c r="GV47" i="3" s="1"/>
  <c r="GW142" i="3"/>
  <c r="GV142" i="3" a="1"/>
  <c r="GV142" i="3" s="1"/>
  <c r="GV61" i="3" a="1"/>
  <c r="GV61" i="3" s="1"/>
  <c r="GV30" i="3" a="1"/>
  <c r="GV30" i="3" s="1"/>
  <c r="GW125" i="3"/>
  <c r="GV125" i="3" a="1"/>
  <c r="GV125" i="3" s="1"/>
  <c r="HF17" i="3"/>
  <c r="HE17" i="3" a="1"/>
  <c r="HE17" i="3" s="1"/>
  <c r="HE120" i="3" a="1"/>
  <c r="HE120" i="3" s="1"/>
  <c r="HF120" i="3"/>
  <c r="HF56" i="3"/>
  <c r="HE56" i="3" a="1"/>
  <c r="HE56" i="3" s="1"/>
  <c r="HE111" i="3" a="1"/>
  <c r="HE111" i="3" s="1"/>
  <c r="HF111" i="3"/>
  <c r="HF47" i="3"/>
  <c r="HE47" i="3" a="1"/>
  <c r="HE47" i="3" s="1"/>
  <c r="HF110" i="3"/>
  <c r="HE110" i="3" a="1"/>
  <c r="HE110" i="3" s="1"/>
  <c r="HF46" i="3"/>
  <c r="HE46" i="3" a="1"/>
  <c r="HE46" i="3" s="1"/>
  <c r="HF165" i="3"/>
  <c r="HE165" i="3" a="1"/>
  <c r="HE165" i="3" s="1"/>
  <c r="HF101" i="3"/>
  <c r="HE101" i="3" a="1"/>
  <c r="HE101" i="3" s="1"/>
  <c r="HF37" i="3"/>
  <c r="HE37" i="3" a="1"/>
  <c r="HE37" i="3" s="1"/>
  <c r="HE156" i="3" a="1"/>
  <c r="HE156" i="3" s="1"/>
  <c r="HF156" i="3"/>
  <c r="HF92" i="3"/>
  <c r="HE92" i="3" a="1"/>
  <c r="HE92" i="3" s="1"/>
  <c r="HF28" i="3"/>
  <c r="HE28" i="3" a="1"/>
  <c r="HE28" i="3" s="1"/>
  <c r="HF147" i="3"/>
  <c r="HE147" i="3" a="1"/>
  <c r="HE147" i="3" s="1"/>
  <c r="HF83" i="3"/>
  <c r="HE83" i="3" a="1"/>
  <c r="HE83" i="3" s="1"/>
  <c r="HF19" i="3"/>
  <c r="HE19" i="3" a="1"/>
  <c r="HE19" i="3" s="1"/>
  <c r="HE122" i="3" a="1"/>
  <c r="HE122" i="3" s="1"/>
  <c r="HF122" i="3"/>
  <c r="HF58" i="3"/>
  <c r="HE58" i="3" a="1"/>
  <c r="HE58" i="3" s="1"/>
  <c r="GV45" i="3" a="1"/>
  <c r="GV45" i="3" s="1"/>
  <c r="GT86" i="3"/>
  <c r="GU86" i="3" s="1"/>
  <c r="GW86" i="3" s="1"/>
  <c r="GT94" i="3"/>
  <c r="GU94" i="3" s="1"/>
  <c r="GW94" i="3" s="1"/>
  <c r="GT102" i="3"/>
  <c r="GU102" i="3" s="1"/>
  <c r="GW102" i="3" s="1"/>
  <c r="GT110" i="3"/>
  <c r="GU110" i="3" s="1"/>
  <c r="GW110" i="3" s="1"/>
  <c r="GT118" i="3"/>
  <c r="GU118" i="3" s="1"/>
  <c r="GT126" i="3"/>
  <c r="GU126" i="3" s="1"/>
  <c r="GT134" i="3"/>
  <c r="GU134" i="3" s="1"/>
  <c r="GT142" i="3"/>
  <c r="GU142" i="3" s="1"/>
  <c r="GT150" i="3"/>
  <c r="GU150" i="3" s="1"/>
  <c r="GT158" i="3"/>
  <c r="GU158" i="3" s="1"/>
  <c r="GT166" i="3"/>
  <c r="GU166" i="3" s="1"/>
  <c r="GT19" i="3"/>
  <c r="GU19" i="3" s="1"/>
  <c r="GW19" i="3" s="1"/>
  <c r="GT27" i="3"/>
  <c r="GU27" i="3" s="1"/>
  <c r="GW27" i="3" s="1"/>
  <c r="GT35" i="3"/>
  <c r="GU35" i="3" s="1"/>
  <c r="GW35" i="3" s="1"/>
  <c r="GT43" i="3"/>
  <c r="GU43" i="3" s="1"/>
  <c r="GW43" i="3" s="1"/>
  <c r="GT51" i="3"/>
  <c r="GU51" i="3" s="1"/>
  <c r="GW51" i="3" s="1"/>
  <c r="GT59" i="3"/>
  <c r="GU59" i="3" s="1"/>
  <c r="GW59" i="3" s="1"/>
  <c r="GT67" i="3"/>
  <c r="GU67" i="3" s="1"/>
  <c r="GW67" i="3" s="1"/>
  <c r="GT75" i="3"/>
  <c r="GU75" i="3" s="1"/>
  <c r="GW75" i="3" s="1"/>
  <c r="GT83" i="3"/>
  <c r="GU83" i="3" s="1"/>
  <c r="GW83" i="3" s="1"/>
  <c r="GT87" i="3"/>
  <c r="GU87" i="3" s="1"/>
  <c r="GW87" i="3" s="1"/>
  <c r="GT95" i="3"/>
  <c r="GU95" i="3" s="1"/>
  <c r="GW95" i="3" s="1"/>
  <c r="GT103" i="3"/>
  <c r="GU103" i="3" s="1"/>
  <c r="GW103" i="3" s="1"/>
  <c r="GT111" i="3"/>
  <c r="GU111" i="3" s="1"/>
  <c r="GW111" i="3" s="1"/>
  <c r="GT119" i="3"/>
  <c r="GU119" i="3" s="1"/>
  <c r="GT127" i="3"/>
  <c r="GU127" i="3" s="1"/>
  <c r="GT135" i="3"/>
  <c r="GU135" i="3" s="1"/>
  <c r="GT143" i="3"/>
  <c r="GU143" i="3" s="1"/>
  <c r="GT151" i="3"/>
  <c r="GU151" i="3" s="1"/>
  <c r="GT159" i="3"/>
  <c r="GU159" i="3" s="1"/>
  <c r="GT167" i="3"/>
  <c r="GU167" i="3" s="1"/>
  <c r="GT20" i="3"/>
  <c r="GU20" i="3" s="1"/>
  <c r="GW20" i="3" s="1"/>
  <c r="GT28" i="3"/>
  <c r="GU28" i="3" s="1"/>
  <c r="GW28" i="3" s="1"/>
  <c r="GT36" i="3"/>
  <c r="GU36" i="3" s="1"/>
  <c r="GW36" i="3" s="1"/>
  <c r="GT44" i="3"/>
  <c r="GU44" i="3" s="1"/>
  <c r="GW44" i="3" s="1"/>
  <c r="GT52" i="3"/>
  <c r="GU52" i="3" s="1"/>
  <c r="GW52" i="3" s="1"/>
  <c r="GT60" i="3"/>
  <c r="GU60" i="3" s="1"/>
  <c r="GW60" i="3" s="1"/>
  <c r="GT68" i="3"/>
  <c r="GU68" i="3" s="1"/>
  <c r="GW68" i="3" s="1"/>
  <c r="GT76" i="3"/>
  <c r="GU76" i="3" s="1"/>
  <c r="GW76" i="3" s="1"/>
  <c r="GT88" i="3"/>
  <c r="GU88" i="3" s="1"/>
  <c r="GW88" i="3" s="1"/>
  <c r="GT96" i="3"/>
  <c r="GU96" i="3" s="1"/>
  <c r="GW96" i="3" s="1"/>
  <c r="GT104" i="3"/>
  <c r="GU104" i="3" s="1"/>
  <c r="GW104" i="3" s="1"/>
  <c r="GT112" i="3"/>
  <c r="GU112" i="3" s="1"/>
  <c r="GW112" i="3" s="1"/>
  <c r="GT120" i="3"/>
  <c r="GU120" i="3" s="1"/>
  <c r="GT128" i="3"/>
  <c r="GU128" i="3" s="1"/>
  <c r="GT136" i="3"/>
  <c r="GU136" i="3" s="1"/>
  <c r="GT144" i="3"/>
  <c r="GU144" i="3" s="1"/>
  <c r="GT152" i="3"/>
  <c r="GU152" i="3" s="1"/>
  <c r="GT160" i="3"/>
  <c r="GU160" i="3" s="1"/>
  <c r="GT13" i="3"/>
  <c r="GU13" i="3" s="1"/>
  <c r="GW13" i="3" s="1"/>
  <c r="GT21" i="3"/>
  <c r="GU21" i="3" s="1"/>
  <c r="GW21" i="3" s="1"/>
  <c r="GT29" i="3"/>
  <c r="GU29" i="3" s="1"/>
  <c r="GW29" i="3" s="1"/>
  <c r="GT37" i="3"/>
  <c r="GU37" i="3" s="1"/>
  <c r="GW37" i="3" s="1"/>
  <c r="GT45" i="3"/>
  <c r="GU45" i="3" s="1"/>
  <c r="GW45" i="3" s="1"/>
  <c r="GT53" i="3"/>
  <c r="GU53" i="3" s="1"/>
  <c r="GW53" i="3" s="1"/>
  <c r="GT61" i="3"/>
  <c r="GU61" i="3" s="1"/>
  <c r="GW61" i="3" s="1"/>
  <c r="GT69" i="3"/>
  <c r="GU69" i="3" s="1"/>
  <c r="GW69" i="3" s="1"/>
  <c r="GT77" i="3"/>
  <c r="GU77" i="3" s="1"/>
  <c r="GW77" i="3" s="1"/>
  <c r="GT89" i="3"/>
  <c r="GU89" i="3" s="1"/>
  <c r="GW89" i="3" s="1"/>
  <c r="GT97" i="3"/>
  <c r="GU97" i="3" s="1"/>
  <c r="GW97" i="3" s="1"/>
  <c r="GT105" i="3"/>
  <c r="GU105" i="3" s="1"/>
  <c r="GW105" i="3" s="1"/>
  <c r="GT113" i="3"/>
  <c r="GU113" i="3" s="1"/>
  <c r="GW113" i="3" s="1"/>
  <c r="GT121" i="3"/>
  <c r="GU121" i="3" s="1"/>
  <c r="GT129" i="3"/>
  <c r="GU129" i="3" s="1"/>
  <c r="GT137" i="3"/>
  <c r="GU137" i="3" s="1"/>
  <c r="GT145" i="3"/>
  <c r="GU145" i="3" s="1"/>
  <c r="GT153" i="3"/>
  <c r="GU153" i="3" s="1"/>
  <c r="GT161" i="3"/>
  <c r="GU161" i="3" s="1"/>
  <c r="GT14" i="3"/>
  <c r="GU14" i="3" s="1"/>
  <c r="GW14" i="3" s="1"/>
  <c r="GT22" i="3"/>
  <c r="GU22" i="3" s="1"/>
  <c r="GW22" i="3" s="1"/>
  <c r="GT30" i="3"/>
  <c r="GU30" i="3" s="1"/>
  <c r="GW30" i="3" s="1"/>
  <c r="GT38" i="3"/>
  <c r="GU38" i="3" s="1"/>
  <c r="GW38" i="3" s="1"/>
  <c r="GT46" i="3"/>
  <c r="GU46" i="3" s="1"/>
  <c r="GW46" i="3" s="1"/>
  <c r="GT54" i="3"/>
  <c r="GU54" i="3" s="1"/>
  <c r="GW54" i="3" s="1"/>
  <c r="GT62" i="3"/>
  <c r="GU62" i="3" s="1"/>
  <c r="GW62" i="3" s="1"/>
  <c r="GT70" i="3"/>
  <c r="GU70" i="3" s="1"/>
  <c r="GW70" i="3" s="1"/>
  <c r="GT78" i="3"/>
  <c r="GU78" i="3" s="1"/>
  <c r="GW78" i="3" s="1"/>
  <c r="GT12" i="3"/>
  <c r="GU12" i="3" s="1"/>
  <c r="GW12" i="3" s="1"/>
  <c r="GT90" i="3"/>
  <c r="GU90" i="3" s="1"/>
  <c r="GW90" i="3" s="1"/>
  <c r="GT98" i="3"/>
  <c r="GU98" i="3" s="1"/>
  <c r="GW98" i="3" s="1"/>
  <c r="GT106" i="3"/>
  <c r="GU106" i="3" s="1"/>
  <c r="GW106" i="3" s="1"/>
  <c r="GT114" i="3"/>
  <c r="GU114" i="3" s="1"/>
  <c r="GW114" i="3" s="1"/>
  <c r="GT122" i="3"/>
  <c r="GU122" i="3" s="1"/>
  <c r="GT130" i="3"/>
  <c r="GU130" i="3" s="1"/>
  <c r="GT138" i="3"/>
  <c r="GU138" i="3" s="1"/>
  <c r="GT146" i="3"/>
  <c r="GU146" i="3" s="1"/>
  <c r="GT154" i="3"/>
  <c r="GU154" i="3" s="1"/>
  <c r="GT162" i="3"/>
  <c r="GU162" i="3" s="1"/>
  <c r="GT15" i="3"/>
  <c r="GU15" i="3" s="1"/>
  <c r="GW15" i="3" s="1"/>
  <c r="GT23" i="3"/>
  <c r="GU23" i="3" s="1"/>
  <c r="GW23" i="3" s="1"/>
  <c r="GT31" i="3"/>
  <c r="GU31" i="3" s="1"/>
  <c r="GW31" i="3" s="1"/>
  <c r="GT39" i="3"/>
  <c r="GU39" i="3" s="1"/>
  <c r="GW39" i="3" s="1"/>
  <c r="GT47" i="3"/>
  <c r="GU47" i="3" s="1"/>
  <c r="GW47" i="3" s="1"/>
  <c r="GT55" i="3"/>
  <c r="GU55" i="3" s="1"/>
  <c r="GW55" i="3" s="1"/>
  <c r="GT63" i="3"/>
  <c r="GU63" i="3" s="1"/>
  <c r="GW63" i="3" s="1"/>
  <c r="GT71" i="3"/>
  <c r="GU71" i="3" s="1"/>
  <c r="GW71" i="3" s="1"/>
  <c r="GT79" i="3"/>
  <c r="GU79" i="3" s="1"/>
  <c r="GW79" i="3" s="1"/>
  <c r="GT91" i="3"/>
  <c r="GU91" i="3" s="1"/>
  <c r="GW91" i="3" s="1"/>
  <c r="GT99" i="3"/>
  <c r="GU99" i="3" s="1"/>
  <c r="GW99" i="3" s="1"/>
  <c r="GT107" i="3"/>
  <c r="GU107" i="3" s="1"/>
  <c r="GW107" i="3" s="1"/>
  <c r="GT115" i="3"/>
  <c r="GU115" i="3" s="1"/>
  <c r="GW115" i="3" s="1"/>
  <c r="GT123" i="3"/>
  <c r="GU123" i="3" s="1"/>
  <c r="GT131" i="3"/>
  <c r="GU131" i="3" s="1"/>
  <c r="GT139" i="3"/>
  <c r="GU139" i="3" s="1"/>
  <c r="GT147" i="3"/>
  <c r="GU147" i="3" s="1"/>
  <c r="GT155" i="3"/>
  <c r="GU155" i="3" s="1"/>
  <c r="GT163" i="3"/>
  <c r="GU163" i="3" s="1"/>
  <c r="GT16" i="3"/>
  <c r="GU16" i="3" s="1"/>
  <c r="GW16" i="3" s="1"/>
  <c r="GT24" i="3"/>
  <c r="GU24" i="3" s="1"/>
  <c r="GW24" i="3" s="1"/>
  <c r="GT32" i="3"/>
  <c r="GU32" i="3" s="1"/>
  <c r="GW32" i="3" s="1"/>
  <c r="GT40" i="3"/>
  <c r="GU40" i="3" s="1"/>
  <c r="GW40" i="3" s="1"/>
  <c r="GT48" i="3"/>
  <c r="GU48" i="3" s="1"/>
  <c r="GW48" i="3" s="1"/>
  <c r="GT56" i="3"/>
  <c r="GU56" i="3" s="1"/>
  <c r="GW56" i="3" s="1"/>
  <c r="GT64" i="3"/>
  <c r="GU64" i="3" s="1"/>
  <c r="GW64" i="3" s="1"/>
  <c r="GT72" i="3"/>
  <c r="GU72" i="3" s="1"/>
  <c r="GW72" i="3" s="1"/>
  <c r="GT80" i="3"/>
  <c r="GU80" i="3" s="1"/>
  <c r="GW80" i="3" s="1"/>
  <c r="GT11" i="3"/>
  <c r="GU11" i="3" s="1"/>
  <c r="GW11" i="3" s="1"/>
  <c r="GT85" i="3"/>
  <c r="GU85" i="3" s="1"/>
  <c r="GW85" i="3" s="1"/>
  <c r="GT93" i="3"/>
  <c r="GU93" i="3" s="1"/>
  <c r="GW93" i="3" s="1"/>
  <c r="GT101" i="3"/>
  <c r="GU101" i="3" s="1"/>
  <c r="GW101" i="3" s="1"/>
  <c r="GT109" i="3"/>
  <c r="GU109" i="3" s="1"/>
  <c r="GW109" i="3" s="1"/>
  <c r="GT117" i="3"/>
  <c r="GU117" i="3" s="1"/>
  <c r="GT125" i="3"/>
  <c r="GU125" i="3" s="1"/>
  <c r="GT133" i="3"/>
  <c r="GU133" i="3" s="1"/>
  <c r="GT141" i="3"/>
  <c r="GU141" i="3" s="1"/>
  <c r="GT149" i="3"/>
  <c r="GU149" i="3" s="1"/>
  <c r="GT157" i="3"/>
  <c r="GU157" i="3" s="1"/>
  <c r="GT165" i="3"/>
  <c r="GU165" i="3" s="1"/>
  <c r="GT18" i="3"/>
  <c r="GU18" i="3" s="1"/>
  <c r="GW18" i="3" s="1"/>
  <c r="GT26" i="3"/>
  <c r="GU26" i="3" s="1"/>
  <c r="GW26" i="3" s="1"/>
  <c r="GT34" i="3"/>
  <c r="GU34" i="3" s="1"/>
  <c r="GW34" i="3" s="1"/>
  <c r="GT42" i="3"/>
  <c r="GU42" i="3" s="1"/>
  <c r="GW42" i="3" s="1"/>
  <c r="GT50" i="3"/>
  <c r="GU50" i="3" s="1"/>
  <c r="GW50" i="3" s="1"/>
  <c r="GT58" i="3"/>
  <c r="GU58" i="3" s="1"/>
  <c r="GW58" i="3" s="1"/>
  <c r="GT66" i="3"/>
  <c r="GU66" i="3" s="1"/>
  <c r="GW66" i="3" s="1"/>
  <c r="GT74" i="3"/>
  <c r="GU74" i="3" s="1"/>
  <c r="GW74" i="3" s="1"/>
  <c r="GT82" i="3"/>
  <c r="GU82" i="3" s="1"/>
  <c r="GW82" i="3" s="1"/>
  <c r="GT84" i="3"/>
  <c r="GU84" i="3" s="1"/>
  <c r="GW84" i="3" s="1"/>
  <c r="GT148" i="3"/>
  <c r="GU148" i="3" s="1"/>
  <c r="GT49" i="3"/>
  <c r="GU49" i="3" s="1"/>
  <c r="GW49" i="3" s="1"/>
  <c r="GT100" i="3"/>
  <c r="GU100" i="3" s="1"/>
  <c r="GW100" i="3" s="1"/>
  <c r="GT108" i="3"/>
  <c r="GU108" i="3" s="1"/>
  <c r="GW108" i="3" s="1"/>
  <c r="GT81" i="3"/>
  <c r="GU81" i="3" s="1"/>
  <c r="GW81" i="3" s="1"/>
  <c r="GT25" i="3"/>
  <c r="GU25" i="3" s="1"/>
  <c r="GW25" i="3" s="1"/>
  <c r="GT132" i="3"/>
  <c r="GU132" i="3" s="1"/>
  <c r="GT92" i="3"/>
  <c r="GU92" i="3" s="1"/>
  <c r="GW92" i="3" s="1"/>
  <c r="GT156" i="3"/>
  <c r="GU156" i="3" s="1"/>
  <c r="GT57" i="3"/>
  <c r="GU57" i="3" s="1"/>
  <c r="GW57" i="3" s="1"/>
  <c r="GT164" i="3"/>
  <c r="GU164" i="3" s="1"/>
  <c r="GT65" i="3"/>
  <c r="GU65" i="3" s="1"/>
  <c r="GW65" i="3" s="1"/>
  <c r="GT73" i="3"/>
  <c r="GU73" i="3" s="1"/>
  <c r="GW73" i="3" s="1"/>
  <c r="GT17" i="3"/>
  <c r="GU17" i="3" s="1"/>
  <c r="GW17" i="3" s="1"/>
  <c r="GT140" i="3"/>
  <c r="GU140" i="3" s="1"/>
  <c r="GT116" i="3"/>
  <c r="GU116" i="3" s="1"/>
  <c r="GW116" i="3" s="1"/>
  <c r="GT33" i="3"/>
  <c r="GU33" i="3" s="1"/>
  <c r="GW33" i="3" s="1"/>
  <c r="GT41" i="3"/>
  <c r="GU41" i="3" s="1"/>
  <c r="GW41" i="3" s="1"/>
  <c r="GT124" i="3"/>
  <c r="GU124" i="3" s="1"/>
  <c r="GT10" i="3"/>
  <c r="GU10" i="3" s="1"/>
  <c r="HF48" i="3"/>
  <c r="HE48" i="3" a="1"/>
  <c r="HE48" i="3" s="1"/>
  <c r="HE102" i="3" a="1"/>
  <c r="HE102" i="3" s="1"/>
  <c r="HF102" i="3"/>
  <c r="HE157" i="3" a="1"/>
  <c r="HE157" i="3" s="1"/>
  <c r="HF157" i="3"/>
  <c r="HF29" i="3"/>
  <c r="HE29" i="3" a="1"/>
  <c r="HE29" i="3" s="1"/>
  <c r="HF20" i="3"/>
  <c r="HE20" i="3" a="1"/>
  <c r="HE20" i="3" s="1"/>
  <c r="HE139" i="3" a="1"/>
  <c r="HE139" i="3" s="1"/>
  <c r="HF139" i="3"/>
  <c r="HE137" i="3" a="1"/>
  <c r="HE137" i="3" s="1"/>
  <c r="HF137" i="3"/>
  <c r="HF50" i="3"/>
  <c r="HE50" i="3" a="1"/>
  <c r="HE50" i="3" s="1"/>
  <c r="GV124" i="3" a="1"/>
  <c r="GV124" i="3" s="1"/>
  <c r="GW124" i="3"/>
  <c r="GV67" i="3" a="1"/>
  <c r="GV67" i="3" s="1"/>
  <c r="GV154" i="3" a="1"/>
  <c r="GV154" i="3" s="1"/>
  <c r="GW154" i="3"/>
  <c r="GV90" i="3" a="1"/>
  <c r="GV90" i="3" s="1"/>
  <c r="GV58" i="3" a="1"/>
  <c r="GV58" i="3" s="1"/>
  <c r="GV145" i="3" a="1"/>
  <c r="GV145" i="3" s="1"/>
  <c r="GW145" i="3"/>
  <c r="GV69" i="3" a="1"/>
  <c r="GV69" i="3" s="1"/>
  <c r="GV49" i="3" a="1"/>
  <c r="GV49" i="3" s="1"/>
  <c r="GV136" i="3" a="1"/>
  <c r="GV136" i="3" s="1"/>
  <c r="GW136" i="3"/>
  <c r="GV29" i="3" a="1"/>
  <c r="GV29" i="3" s="1"/>
  <c r="GV40" i="3" a="1"/>
  <c r="GV40" i="3" s="1"/>
  <c r="GV135" i="3" a="1"/>
  <c r="GV135" i="3" s="1"/>
  <c r="GW135" i="3"/>
  <c r="GV92" i="3" a="1"/>
  <c r="GV92" i="3" s="1"/>
  <c r="GV31" i="3" a="1"/>
  <c r="GV31" i="3" s="1"/>
  <c r="GW126" i="3"/>
  <c r="GV126" i="3" a="1"/>
  <c r="GV126" i="3" s="1"/>
  <c r="GV78" i="3" a="1"/>
  <c r="GV78" i="3" s="1"/>
  <c r="GV14" i="3" a="1"/>
  <c r="GV14" i="3" s="1"/>
  <c r="F46" i="4" s="1"/>
  <c r="GV109" i="3" a="1"/>
  <c r="GV109" i="3" s="1"/>
  <c r="HE12" i="3" a="1"/>
  <c r="HE12" i="3" s="1"/>
  <c r="HF104" i="3"/>
  <c r="HE104" i="3" a="1"/>
  <c r="HE104" i="3" s="1"/>
  <c r="HF40" i="3"/>
  <c r="HE40" i="3" a="1"/>
  <c r="HE40" i="3" s="1"/>
  <c r="HF159" i="3"/>
  <c r="HE159" i="3" a="1"/>
  <c r="HE159" i="3" s="1"/>
  <c r="HF95" i="3"/>
  <c r="HE95" i="3" a="1"/>
  <c r="HE95" i="3" s="1"/>
  <c r="HF31" i="3"/>
  <c r="HE31" i="3" a="1"/>
  <c r="HE31" i="3" s="1"/>
  <c r="HE158" i="3" a="1"/>
  <c r="HE158" i="3" s="1"/>
  <c r="HF158" i="3"/>
  <c r="HE94" i="3" a="1"/>
  <c r="HE94" i="3" s="1"/>
  <c r="HF94" i="3"/>
  <c r="HF30" i="3"/>
  <c r="HE30" i="3" a="1"/>
  <c r="HE30" i="3" s="1"/>
  <c r="HF149" i="3"/>
  <c r="HE149" i="3" a="1"/>
  <c r="HE149" i="3" s="1"/>
  <c r="HF85" i="3"/>
  <c r="HE85" i="3" a="1"/>
  <c r="HE85" i="3" s="1"/>
  <c r="HF21" i="3"/>
  <c r="HE21" i="3" a="1"/>
  <c r="HE21" i="3" s="1"/>
  <c r="HE140" i="3" a="1"/>
  <c r="HE140" i="3" s="1"/>
  <c r="HF140" i="3"/>
  <c r="HE76" i="3" a="1"/>
  <c r="HE76" i="3" s="1"/>
  <c r="HF76" i="3"/>
  <c r="HE11" i="3" a="1"/>
  <c r="HE11" i="3" s="1"/>
  <c r="HE131" i="3" a="1"/>
  <c r="HE131" i="3" s="1"/>
  <c r="HF131" i="3"/>
  <c r="HF67" i="3"/>
  <c r="HE67" i="3" a="1"/>
  <c r="HE67" i="3" s="1"/>
  <c r="HF57" i="3"/>
  <c r="HE57" i="3" a="1"/>
  <c r="HE57" i="3" s="1"/>
  <c r="HE106" i="3" a="1"/>
  <c r="HE106" i="3" s="1"/>
  <c r="HF106" i="3"/>
  <c r="HF42" i="3"/>
  <c r="HE42" i="3" a="1"/>
  <c r="HE42" i="3" s="1"/>
  <c r="GV39" i="3" a="1"/>
  <c r="GV39" i="3" s="1"/>
  <c r="GV134" i="3" a="1"/>
  <c r="GV134" i="3" s="1"/>
  <c r="GW134" i="3"/>
  <c r="HF112" i="3"/>
  <c r="HE112" i="3" a="1"/>
  <c r="HE112" i="3" s="1"/>
  <c r="HE103" i="3" a="1"/>
  <c r="HE103" i="3" s="1"/>
  <c r="HF103" i="3"/>
  <c r="HF38" i="3"/>
  <c r="HE38" i="3" a="1"/>
  <c r="HE38" i="3" s="1"/>
  <c r="HE84" i="3" a="1"/>
  <c r="HE84" i="3" s="1"/>
  <c r="HF84" i="3"/>
  <c r="HE75" i="3" a="1"/>
  <c r="HE75" i="3" s="1"/>
  <c r="HF75" i="3"/>
  <c r="GV108" i="3" a="1"/>
  <c r="GV108" i="3" s="1"/>
  <c r="GV20" i="3" a="1"/>
  <c r="GV20" i="3" s="1"/>
  <c r="GV115" i="3" a="1"/>
  <c r="GV115" i="3" s="1"/>
  <c r="GV59" i="3" a="1"/>
  <c r="GV59" i="3" s="1"/>
  <c r="GV146" i="3" a="1"/>
  <c r="GV146" i="3" s="1"/>
  <c r="GW146" i="3"/>
  <c r="GV77" i="3" a="1"/>
  <c r="GV77" i="3" s="1"/>
  <c r="GV50" i="3" a="1"/>
  <c r="GV50" i="3" s="1"/>
  <c r="GW137" i="3"/>
  <c r="GV137" i="3" a="1"/>
  <c r="GV137" i="3" s="1"/>
  <c r="GW164" i="3"/>
  <c r="GV164" i="3" a="1"/>
  <c r="GV164" i="3" s="1"/>
  <c r="GV41" i="3" a="1"/>
  <c r="GV41" i="3" s="1"/>
  <c r="GV128" i="3" a="1"/>
  <c r="GV128" i="3" s="1"/>
  <c r="GW128" i="3"/>
  <c r="GV100" i="3" a="1"/>
  <c r="GV100" i="3" s="1"/>
  <c r="GV32" i="3" a="1"/>
  <c r="GV32" i="3" s="1"/>
  <c r="GV127" i="3" a="1"/>
  <c r="GV127" i="3" s="1"/>
  <c r="GW127" i="3"/>
  <c r="GV23" i="3" a="1"/>
  <c r="GV23" i="3" s="1"/>
  <c r="GV118" i="3" a="1"/>
  <c r="GV118" i="3" s="1"/>
  <c r="GW118" i="3"/>
  <c r="GV70" i="3" a="1"/>
  <c r="GV70" i="3" s="1"/>
  <c r="GV165" i="3" a="1"/>
  <c r="GV165" i="3" s="1"/>
  <c r="GW165" i="3"/>
  <c r="GV101" i="3" a="1"/>
  <c r="GV101" i="3" s="1"/>
  <c r="HE160" i="3" a="1"/>
  <c r="HE160" i="3" s="1"/>
  <c r="HF160" i="3"/>
  <c r="HE96" i="3" a="1"/>
  <c r="HE96" i="3" s="1"/>
  <c r="HF96" i="3"/>
  <c r="HF32" i="3"/>
  <c r="HE32" i="3" a="1"/>
  <c r="HE32" i="3" s="1"/>
  <c r="HE151" i="3" a="1"/>
  <c r="HE151" i="3" s="1"/>
  <c r="HF151" i="3"/>
  <c r="HE87" i="3" a="1"/>
  <c r="HE87" i="3" s="1"/>
  <c r="HF87" i="3"/>
  <c r="HF23" i="3"/>
  <c r="HE23" i="3" a="1"/>
  <c r="HE23" i="3" s="1"/>
  <c r="HE150" i="3" a="1"/>
  <c r="HE150" i="3" s="1"/>
  <c r="HF150" i="3"/>
  <c r="HE86" i="3" a="1"/>
  <c r="HE86" i="3" s="1"/>
  <c r="HF86" i="3"/>
  <c r="HF22" i="3"/>
  <c r="HE22" i="3" a="1"/>
  <c r="HE22" i="3" s="1"/>
  <c r="HF141" i="3"/>
  <c r="HE141" i="3" a="1"/>
  <c r="HE141" i="3" s="1"/>
  <c r="HF77" i="3"/>
  <c r="HE77" i="3" a="1"/>
  <c r="HE77" i="3" s="1"/>
  <c r="HE13" i="3" a="1"/>
  <c r="HE13" i="3" s="1"/>
  <c r="HE132" i="3" a="1"/>
  <c r="HE132" i="3" s="1"/>
  <c r="HF132" i="3"/>
  <c r="HF68" i="3"/>
  <c r="HE68" i="3" a="1"/>
  <c r="HE68" i="3" s="1"/>
  <c r="HE153" i="3" a="1"/>
  <c r="HE153" i="3" s="1"/>
  <c r="HF153" i="3"/>
  <c r="HE123" i="3" a="1"/>
  <c r="HE123" i="3" s="1"/>
  <c r="HF123" i="3"/>
  <c r="HF59" i="3"/>
  <c r="HE59" i="3" a="1"/>
  <c r="HE59" i="3" s="1"/>
  <c r="HE162" i="3" a="1"/>
  <c r="HE162" i="3" s="1"/>
  <c r="HF162" i="3"/>
  <c r="HE98" i="3" a="1"/>
  <c r="HE98" i="3" s="1"/>
  <c r="HF98" i="3"/>
  <c r="HF34" i="3"/>
  <c r="HE34" i="3" a="1"/>
  <c r="HE34" i="3" s="1"/>
  <c r="GV153" i="3" a="1"/>
  <c r="GV153" i="3" s="1"/>
  <c r="GW153" i="3"/>
  <c r="GV22" i="3" a="1"/>
  <c r="GV22" i="3" s="1"/>
  <c r="GV117" i="3" a="1"/>
  <c r="GV117" i="3" s="1"/>
  <c r="GW117" i="3"/>
  <c r="K36" i="4"/>
  <c r="HB6" i="3"/>
  <c r="HD2" i="3"/>
  <c r="HE10" i="3" a="1"/>
  <c r="HE10" i="3" s="1"/>
  <c r="HF167" i="3"/>
  <c r="HE167" i="3" a="1"/>
  <c r="HE167" i="3" s="1"/>
  <c r="HF39" i="3"/>
  <c r="HE39" i="3" a="1"/>
  <c r="HE39" i="3" s="1"/>
  <c r="HE166" i="3" a="1"/>
  <c r="HE166" i="3" s="1"/>
  <c r="HF166" i="3"/>
  <c r="HF93" i="3"/>
  <c r="HE93" i="3" a="1"/>
  <c r="HE93" i="3" s="1"/>
  <c r="HE148" i="3" a="1"/>
  <c r="HE148" i="3" s="1"/>
  <c r="HF148" i="3"/>
  <c r="HF114" i="3"/>
  <c r="HE114" i="3" a="1"/>
  <c r="HE114" i="3" s="1"/>
  <c r="GV28" i="3" a="1"/>
  <c r="GV28" i="3" s="1"/>
  <c r="GV123" i="3" a="1"/>
  <c r="GV123" i="3" s="1"/>
  <c r="GW123" i="3"/>
  <c r="GV76" i="3" a="1"/>
  <c r="GV76" i="3" s="1"/>
  <c r="GV85" i="3" a="1"/>
  <c r="GV85" i="3" s="1"/>
  <c r="GV107" i="3" a="1"/>
  <c r="GV107" i="3" s="1"/>
  <c r="GV51" i="3" a="1"/>
  <c r="GV51" i="3" s="1"/>
  <c r="GW138" i="3"/>
  <c r="GV138" i="3" a="1"/>
  <c r="GV138" i="3" s="1"/>
  <c r="GV21" i="3" a="1"/>
  <c r="GV21" i="3" s="1"/>
  <c r="GV42" i="3" a="1"/>
  <c r="GV42" i="3" s="1"/>
  <c r="GW129" i="3"/>
  <c r="GV129" i="3" a="1"/>
  <c r="GV129" i="3" s="1"/>
  <c r="GV33" i="3" a="1"/>
  <c r="GV33" i="3" s="1"/>
  <c r="GV120" i="3" a="1"/>
  <c r="GV120" i="3" s="1"/>
  <c r="GW120" i="3"/>
  <c r="GS6" i="3"/>
  <c r="GV10" i="3" a="1"/>
  <c r="GV10" i="3" s="1"/>
  <c r="GV24" i="3" a="1"/>
  <c r="GV24" i="3" s="1"/>
  <c r="GV119" i="3" a="1"/>
  <c r="GV119" i="3" s="1"/>
  <c r="GW119" i="3"/>
  <c r="GV79" i="3" a="1"/>
  <c r="GV79" i="3" s="1"/>
  <c r="GV15" i="3" a="1"/>
  <c r="GV15" i="3" s="1"/>
  <c r="F47" i="4" s="1"/>
  <c r="GV110" i="3" a="1"/>
  <c r="GV110" i="3" s="1"/>
  <c r="GV62" i="3" a="1"/>
  <c r="GV62" i="3" s="1"/>
  <c r="GW157" i="3"/>
  <c r="GV157" i="3" a="1"/>
  <c r="GV157" i="3" s="1"/>
  <c r="GV93" i="3" a="1"/>
  <c r="GV93" i="3" s="1"/>
  <c r="HE152" i="3" a="1"/>
  <c r="HE152" i="3" s="1"/>
  <c r="HF152" i="3"/>
  <c r="HE88" i="3" a="1"/>
  <c r="HE88" i="3" s="1"/>
  <c r="HF88" i="3"/>
  <c r="HF24" i="3"/>
  <c r="HE24" i="3" a="1"/>
  <c r="HE24" i="3" s="1"/>
  <c r="HF143" i="3"/>
  <c r="HE143" i="3" a="1"/>
  <c r="HE143" i="3" s="1"/>
  <c r="HF79" i="3"/>
  <c r="HE79" i="3" a="1"/>
  <c r="HE79" i="3" s="1"/>
  <c r="HE14" i="3" a="1"/>
  <c r="HE14" i="3" s="1"/>
  <c r="HE142" i="3" a="1"/>
  <c r="HE142" i="3" s="1"/>
  <c r="HF142" i="3"/>
  <c r="HE78" i="3" a="1"/>
  <c r="HE78" i="3" s="1"/>
  <c r="HF78" i="3"/>
  <c r="HF15" i="3"/>
  <c r="HE15" i="3" a="1"/>
  <c r="HE15" i="3" s="1"/>
  <c r="HE133" i="3" a="1"/>
  <c r="HE133" i="3" s="1"/>
  <c r="HF133" i="3"/>
  <c r="HF69" i="3"/>
  <c r="HE69" i="3" a="1"/>
  <c r="HE69" i="3" s="1"/>
  <c r="HE129" i="3" a="1"/>
  <c r="HE129" i="3" s="1"/>
  <c r="HF129" i="3"/>
  <c r="HF124" i="3"/>
  <c r="HE124" i="3" a="1"/>
  <c r="HE124" i="3" s="1"/>
  <c r="HF60" i="3"/>
  <c r="HE60" i="3" a="1"/>
  <c r="HE60" i="3" s="1"/>
  <c r="HE97" i="3" a="1"/>
  <c r="HE97" i="3" s="1"/>
  <c r="HF97" i="3"/>
  <c r="HE115" i="3" a="1"/>
  <c r="HE115" i="3" s="1"/>
  <c r="HF115" i="3"/>
  <c r="HF51" i="3"/>
  <c r="HE51" i="3" a="1"/>
  <c r="HE51" i="3" s="1"/>
  <c r="HE154" i="3" a="1"/>
  <c r="HE154" i="3" s="1"/>
  <c r="HF154" i="3"/>
  <c r="HF90" i="3"/>
  <c r="HE90" i="3" a="1"/>
  <c r="HE90" i="3" s="1"/>
  <c r="HF26" i="3"/>
  <c r="HE26" i="3" a="1"/>
  <c r="HE26" i="3" s="1"/>
  <c r="GV89" i="3" a="1"/>
  <c r="GV89" i="3" s="1"/>
  <c r="GV144" i="3" a="1"/>
  <c r="GV144" i="3" s="1"/>
  <c r="GW144" i="3"/>
  <c r="GV68" i="3" a="1"/>
  <c r="GV68" i="3" s="1"/>
  <c r="GW163" i="3"/>
  <c r="GV163" i="3" a="1"/>
  <c r="GV163" i="3" s="1"/>
  <c r="GV99" i="3" a="1"/>
  <c r="GV99" i="3" s="1"/>
  <c r="GV43" i="3" a="1"/>
  <c r="GV43" i="3" s="1"/>
  <c r="GW130" i="3"/>
  <c r="GV130" i="3" a="1"/>
  <c r="GV130" i="3" s="1"/>
  <c r="GW156" i="3"/>
  <c r="GV156" i="3" a="1"/>
  <c r="GV156" i="3" s="1"/>
  <c r="GV34" i="3" a="1"/>
  <c r="GV34" i="3" s="1"/>
  <c r="GV121" i="3" a="1"/>
  <c r="GV121" i="3" s="1"/>
  <c r="GW121" i="3"/>
  <c r="GV11" i="3" a="1"/>
  <c r="GV11" i="3" s="1"/>
  <c r="F43" i="4" s="1"/>
  <c r="GV25" i="3" a="1"/>
  <c r="GV25" i="3" s="1"/>
  <c r="GV112" i="3" a="1"/>
  <c r="GV112" i="3" s="1"/>
  <c r="GV80" i="3" a="1"/>
  <c r="GV80" i="3" s="1"/>
  <c r="GV16" i="3" a="1"/>
  <c r="GV16" i="3" s="1"/>
  <c r="F48" i="4" s="1"/>
  <c r="GV111" i="3" a="1"/>
  <c r="GV111" i="3" s="1"/>
  <c r="GV71" i="3" a="1"/>
  <c r="GV71" i="3" s="1"/>
  <c r="GV166" i="3" a="1"/>
  <c r="GV166" i="3" s="1"/>
  <c r="GW166" i="3"/>
  <c r="GV102" i="3" a="1"/>
  <c r="GV102" i="3" s="1"/>
  <c r="GV54" i="3" a="1"/>
  <c r="GV54" i="3" s="1"/>
  <c r="GW149" i="3"/>
  <c r="GV149" i="3" a="1"/>
  <c r="GV149" i="3" s="1"/>
  <c r="GV86" i="3" a="1"/>
  <c r="GV86" i="3" s="1"/>
  <c r="HE144" i="3" a="1"/>
  <c r="HE144" i="3" s="1"/>
  <c r="HF144" i="3"/>
  <c r="HE80" i="3" a="1"/>
  <c r="HE80" i="3" s="1"/>
  <c r="HF80" i="3"/>
  <c r="HF16" i="3"/>
  <c r="HE16" i="3" a="1"/>
  <c r="HE16" i="3" s="1"/>
  <c r="HE135" i="3" a="1"/>
  <c r="HE135" i="3" s="1"/>
  <c r="HF135" i="3"/>
  <c r="HF71" i="3"/>
  <c r="HE71" i="3" a="1"/>
  <c r="HE71" i="3" s="1"/>
  <c r="HF145" i="3"/>
  <c r="HE145" i="3" a="1"/>
  <c r="HE145" i="3" s="1"/>
  <c r="HF134" i="3"/>
  <c r="HE134" i="3" a="1"/>
  <c r="HE134" i="3" s="1"/>
  <c r="HF70" i="3"/>
  <c r="HE70" i="3" a="1"/>
  <c r="HE70" i="3" s="1"/>
  <c r="HF161" i="3"/>
  <c r="HE161" i="3" a="1"/>
  <c r="HE161" i="3" s="1"/>
  <c r="HE125" i="3" a="1"/>
  <c r="HE125" i="3" s="1"/>
  <c r="HF125" i="3"/>
  <c r="HF61" i="3"/>
  <c r="HE61" i="3" a="1"/>
  <c r="HE61" i="3" s="1"/>
  <c r="HF81" i="3"/>
  <c r="HE81" i="3" a="1"/>
  <c r="HE81" i="3" s="1"/>
  <c r="HF116" i="3"/>
  <c r="HE116" i="3" a="1"/>
  <c r="HE116" i="3" s="1"/>
  <c r="HF52" i="3"/>
  <c r="HE52" i="3" a="1"/>
  <c r="HE52" i="3" s="1"/>
  <c r="HF41" i="3"/>
  <c r="HE41" i="3" a="1"/>
  <c r="HE41" i="3" s="1"/>
  <c r="HF107" i="3"/>
  <c r="HE107" i="3" a="1"/>
  <c r="HE107" i="3" s="1"/>
  <c r="HF43" i="3"/>
  <c r="HE43" i="3" a="1"/>
  <c r="HE43" i="3" s="1"/>
  <c r="HF146" i="3"/>
  <c r="HE146" i="3" a="1"/>
  <c r="HE146" i="3" s="1"/>
  <c r="HE82" i="3" a="1"/>
  <c r="HE82" i="3" s="1"/>
  <c r="HF82" i="3"/>
  <c r="HF18" i="3"/>
  <c r="HE18" i="3" a="1"/>
  <c r="HE18" i="3" s="1"/>
  <c r="GW131" i="3"/>
  <c r="GV131" i="3" a="1"/>
  <c r="GV131" i="3" s="1"/>
  <c r="GV162" i="3" a="1"/>
  <c r="GV162" i="3" s="1"/>
  <c r="GW162" i="3"/>
  <c r="GV12" i="3" a="1"/>
  <c r="GV12" i="3" s="1"/>
  <c r="F44" i="4" s="1"/>
  <c r="GV53" i="3" a="1"/>
  <c r="GV53" i="3" s="1"/>
  <c r="GV60" i="3" a="1"/>
  <c r="GV60" i="3" s="1"/>
  <c r="GW155" i="3"/>
  <c r="GV155" i="3" a="1"/>
  <c r="GV155" i="3" s="1"/>
  <c r="GV91" i="3" a="1"/>
  <c r="GV91" i="3" s="1"/>
  <c r="GV35" i="3" a="1"/>
  <c r="GV35" i="3" s="1"/>
  <c r="GW122" i="3"/>
  <c r="GV122" i="3" a="1"/>
  <c r="GV122" i="3" s="1"/>
  <c r="GV140" i="3" a="1"/>
  <c r="GV140" i="3" s="1"/>
  <c r="GW140" i="3"/>
  <c r="GV26" i="3" a="1"/>
  <c r="GV26" i="3" s="1"/>
  <c r="GV113" i="3" a="1"/>
  <c r="GV113" i="3" s="1"/>
  <c r="GV81" i="3" a="1"/>
  <c r="GV81" i="3" s="1"/>
  <c r="GV17" i="3" a="1"/>
  <c r="GV17" i="3" s="1"/>
  <c r="F49" i="4" s="1"/>
  <c r="GV104" i="3" a="1"/>
  <c r="GV104" i="3" s="1"/>
  <c r="GV72" i="3" a="1"/>
  <c r="GV72" i="3" s="1"/>
  <c r="GW167" i="3"/>
  <c r="GV167" i="3" a="1"/>
  <c r="GV167" i="3" s="1"/>
  <c r="GV103" i="3" a="1"/>
  <c r="GV103" i="3" s="1"/>
  <c r="GV63" i="3" a="1"/>
  <c r="GV63" i="3" s="1"/>
  <c r="GV158" i="3" a="1"/>
  <c r="GV158" i="3" s="1"/>
  <c r="GW158" i="3"/>
  <c r="GV94" i="3" a="1"/>
  <c r="GV94" i="3" s="1"/>
  <c r="GV46" i="3" a="1"/>
  <c r="GV46" i="3" s="1"/>
  <c r="GW141" i="3"/>
  <c r="GV141" i="3" a="1"/>
  <c r="GV141" i="3" s="1"/>
  <c r="HE113" i="3" a="1"/>
  <c r="HE113" i="3" s="1"/>
  <c r="HF113" i="3"/>
  <c r="HE136" i="3" a="1"/>
  <c r="HE136" i="3" s="1"/>
  <c r="HF136" i="3"/>
  <c r="HF72" i="3"/>
  <c r="HE72" i="3" a="1"/>
  <c r="HE72" i="3" s="1"/>
  <c r="HE121" i="3" a="1"/>
  <c r="HE121" i="3" s="1"/>
  <c r="HF121" i="3"/>
  <c r="HE127" i="3" a="1"/>
  <c r="HE127" i="3" s="1"/>
  <c r="HF127" i="3"/>
  <c r="HF63" i="3"/>
  <c r="HE63" i="3" a="1"/>
  <c r="HE63" i="3" s="1"/>
  <c r="HE89" i="3" a="1"/>
  <c r="HE89" i="3" s="1"/>
  <c r="HF89" i="3"/>
  <c r="HF126" i="3"/>
  <c r="HE126" i="3" a="1"/>
  <c r="HE126" i="3" s="1"/>
  <c r="HF62" i="3"/>
  <c r="HE62" i="3" a="1"/>
  <c r="HE62" i="3" s="1"/>
  <c r="HE105" i="3" a="1"/>
  <c r="HE105" i="3" s="1"/>
  <c r="HF105" i="3"/>
  <c r="HF117" i="3"/>
  <c r="HE117" i="3" a="1"/>
  <c r="HE117" i="3" s="1"/>
  <c r="HF53" i="3"/>
  <c r="HE53" i="3" a="1"/>
  <c r="HE53" i="3" s="1"/>
  <c r="HF25" i="3"/>
  <c r="HE25" i="3" a="1"/>
  <c r="HE25" i="3" s="1"/>
  <c r="HF108" i="3"/>
  <c r="HE108" i="3" a="1"/>
  <c r="HE108" i="3" s="1"/>
  <c r="HF44" i="3"/>
  <c r="HE44" i="3" a="1"/>
  <c r="HE44" i="3" s="1"/>
  <c r="HF163" i="3"/>
  <c r="HE163" i="3" a="1"/>
  <c r="HE163" i="3" s="1"/>
  <c r="HE99" i="3" a="1"/>
  <c r="HE99" i="3" s="1"/>
  <c r="HF99" i="3"/>
  <c r="HF35" i="3"/>
  <c r="HE35" i="3" a="1"/>
  <c r="HE35" i="3" s="1"/>
  <c r="HF138" i="3"/>
  <c r="HE138" i="3" a="1"/>
  <c r="HE138" i="3" s="1"/>
  <c r="HF74" i="3"/>
  <c r="HE74" i="3" a="1"/>
  <c r="HE74" i="3" s="1"/>
  <c r="GV57" i="3" a="1"/>
  <c r="GV57" i="3" s="1"/>
  <c r="GW143" i="3"/>
  <c r="GV143" i="3" a="1"/>
  <c r="GV143" i="3" s="1"/>
  <c r="GV13" i="3" a="1"/>
  <c r="GV13" i="3" s="1"/>
  <c r="F45" i="4" s="1"/>
  <c r="GV37" i="3" a="1"/>
  <c r="GV37" i="3" s="1"/>
  <c r="GV27" i="3" a="1"/>
  <c r="GV27" i="3" s="1"/>
  <c r="GV114" i="3" a="1"/>
  <c r="GV114" i="3" s="1"/>
  <c r="GV82" i="3" a="1"/>
  <c r="GV82" i="3" s="1"/>
  <c r="GV18" i="3" a="1"/>
  <c r="GV18" i="3" s="1"/>
  <c r="F50" i="4" s="1"/>
  <c r="GV105" i="3" a="1"/>
  <c r="GV105" i="3" s="1"/>
  <c r="GV73" i="3" a="1"/>
  <c r="GV73" i="3" s="1"/>
  <c r="GV160" i="3" a="1"/>
  <c r="GV160" i="3" s="1"/>
  <c r="GW160" i="3"/>
  <c r="GV96" i="3" a="1"/>
  <c r="GV96" i="3" s="1"/>
  <c r="GV64" i="3" a="1"/>
  <c r="GV64" i="3" s="1"/>
  <c r="GV159" i="3" a="1"/>
  <c r="GV159" i="3" s="1"/>
  <c r="GW159" i="3"/>
  <c r="GV95" i="3" a="1"/>
  <c r="GV95" i="3" s="1"/>
  <c r="GV55" i="3" a="1"/>
  <c r="GV55" i="3" s="1"/>
  <c r="GV150" i="3" a="1"/>
  <c r="GV150" i="3" s="1"/>
  <c r="GW150" i="3"/>
  <c r="GV84" i="3" a="1"/>
  <c r="GV84" i="3" s="1"/>
  <c r="GV38" i="3" a="1"/>
  <c r="GV38" i="3" s="1"/>
  <c r="GW133" i="3"/>
  <c r="GV133" i="3" a="1"/>
  <c r="GV133" i="3" s="1"/>
  <c r="HF65" i="3"/>
  <c r="HE65" i="3" a="1"/>
  <c r="HE65" i="3" s="1"/>
  <c r="HF128" i="3"/>
  <c r="HE128" i="3" a="1"/>
  <c r="HE128" i="3" s="1"/>
  <c r="HF64" i="3"/>
  <c r="HE64" i="3" a="1"/>
  <c r="HE64" i="3" s="1"/>
  <c r="HF33" i="3"/>
  <c r="HE33" i="3" a="1"/>
  <c r="HE33" i="3" s="1"/>
  <c r="HE119" i="3" a="1"/>
  <c r="HE119" i="3" s="1"/>
  <c r="HF119" i="3"/>
  <c r="HF55" i="3"/>
  <c r="HE55" i="3" a="1"/>
  <c r="HE55" i="3" s="1"/>
  <c r="HF49" i="3"/>
  <c r="HE49" i="3" a="1"/>
  <c r="HE49" i="3" s="1"/>
  <c r="HF118" i="3"/>
  <c r="HE118" i="3" a="1"/>
  <c r="HE118" i="3" s="1"/>
  <c r="HF54" i="3"/>
  <c r="HE54" i="3" a="1"/>
  <c r="HE54" i="3" s="1"/>
  <c r="HE73" i="3" a="1"/>
  <c r="HE73" i="3" s="1"/>
  <c r="HF73" i="3"/>
  <c r="HE109" i="3" a="1"/>
  <c r="HE109" i="3" s="1"/>
  <c r="HF109" i="3"/>
  <c r="HF45" i="3"/>
  <c r="HE45" i="3" a="1"/>
  <c r="HE45" i="3" s="1"/>
  <c r="HE164" i="3" a="1"/>
  <c r="HE164" i="3" s="1"/>
  <c r="HF164" i="3"/>
  <c r="HE100" i="3" a="1"/>
  <c r="HE100" i="3" s="1"/>
  <c r="HF100" i="3"/>
  <c r="HF36" i="3"/>
  <c r="HE36" i="3" a="1"/>
  <c r="HE36" i="3" s="1"/>
  <c r="HF155" i="3"/>
  <c r="HE155" i="3" a="1"/>
  <c r="HE155" i="3" s="1"/>
  <c r="HF91" i="3"/>
  <c r="HE91" i="3" a="1"/>
  <c r="HE91" i="3" s="1"/>
  <c r="HF27" i="3"/>
  <c r="HE27" i="3" a="1"/>
  <c r="HE27" i="3" s="1"/>
  <c r="HF130" i="3"/>
  <c r="HE130" i="3" a="1"/>
  <c r="HE130" i="3" s="1"/>
  <c r="HF66" i="3"/>
  <c r="HE66" i="3" a="1"/>
  <c r="HE66" i="3" s="1"/>
  <c r="HL47" i="3"/>
  <c r="HM46" i="3"/>
  <c r="K48" i="4" l="1"/>
  <c r="M48" i="4"/>
  <c r="N48" i="4" s="1"/>
  <c r="O48" i="4"/>
  <c r="M47" i="4"/>
  <c r="N47" i="4" s="1"/>
  <c r="K47" i="4"/>
  <c r="O47" i="4"/>
  <c r="K44" i="4"/>
  <c r="O44" i="4"/>
  <c r="M44" i="4"/>
  <c r="N44" i="4" s="1"/>
  <c r="M51" i="4"/>
  <c r="N51" i="4" s="1"/>
  <c r="K51" i="4"/>
  <c r="O51" i="4"/>
  <c r="GW10" i="3"/>
  <c r="FI107" i="3" s="1"/>
  <c r="FJ107" i="3" s="1"/>
  <c r="GU6" i="3"/>
  <c r="K50" i="4"/>
  <c r="M50" i="4"/>
  <c r="N50" i="4" s="1"/>
  <c r="O50" i="4"/>
  <c r="O45" i="4"/>
  <c r="K45" i="4"/>
  <c r="M45" i="4"/>
  <c r="N45" i="4" s="1"/>
  <c r="M49" i="4"/>
  <c r="N49" i="4" s="1"/>
  <c r="O49" i="4"/>
  <c r="K49" i="4"/>
  <c r="K43" i="4"/>
  <c r="M43" i="4"/>
  <c r="N43" i="4" s="1"/>
  <c r="O43" i="4"/>
  <c r="K46" i="4"/>
  <c r="M46" i="4"/>
  <c r="N46" i="4" s="1"/>
  <c r="O46" i="4"/>
  <c r="F42" i="4"/>
  <c r="FI106" i="3"/>
  <c r="FJ106" i="3" s="1"/>
  <c r="FI152" i="3"/>
  <c r="FJ152" i="3" s="1"/>
  <c r="FI122" i="3"/>
  <c r="FJ122" i="3" s="1"/>
  <c r="FI121" i="3"/>
  <c r="FJ121" i="3" s="1"/>
  <c r="FI29" i="3"/>
  <c r="FJ29" i="3" s="1"/>
  <c r="FI28" i="3"/>
  <c r="FJ28" i="3" s="1"/>
  <c r="FI56" i="3"/>
  <c r="FJ56" i="3" s="1"/>
  <c r="FI132" i="3"/>
  <c r="FJ132" i="3" s="1"/>
  <c r="FI21" i="3"/>
  <c r="FJ21" i="3" s="1"/>
  <c r="FI52" i="3"/>
  <c r="FJ52" i="3" s="1"/>
  <c r="FI13" i="3"/>
  <c r="FJ13" i="3" s="1"/>
  <c r="FI37" i="3"/>
  <c r="FJ37" i="3" s="1"/>
  <c r="FI19" i="3"/>
  <c r="FJ19" i="3" s="1"/>
  <c r="FI27" i="3"/>
  <c r="FJ27" i="3" s="1"/>
  <c r="FI96" i="3"/>
  <c r="FJ96" i="3" s="1"/>
  <c r="FI98" i="3"/>
  <c r="FJ98" i="3" s="1"/>
  <c r="FI46" i="3"/>
  <c r="FJ46" i="3" s="1"/>
  <c r="FI90" i="3"/>
  <c r="FJ90" i="3" s="1"/>
  <c r="FI77" i="3"/>
  <c r="FJ77" i="3" s="1"/>
  <c r="FI143" i="3"/>
  <c r="FJ143" i="3" s="1"/>
  <c r="FI159" i="3"/>
  <c r="FJ159" i="3" s="1"/>
  <c r="FI32" i="3"/>
  <c r="FJ32" i="3" s="1"/>
  <c r="FI129" i="3"/>
  <c r="FJ129" i="3" s="1"/>
  <c r="FI142" i="3"/>
  <c r="FJ142" i="3" s="1"/>
  <c r="FI155" i="3"/>
  <c r="FJ155" i="3" s="1"/>
  <c r="FI136" i="3"/>
  <c r="FJ136" i="3" s="1"/>
  <c r="FI41" i="3"/>
  <c r="FJ41" i="3" s="1"/>
  <c r="FI11" i="3"/>
  <c r="FJ11" i="3" s="1"/>
  <c r="FI93" i="3"/>
  <c r="FJ93" i="3" s="1"/>
  <c r="FI67" i="3"/>
  <c r="FJ67" i="3" s="1"/>
  <c r="FI35" i="3"/>
  <c r="FJ35" i="3" s="1"/>
  <c r="FI110" i="3"/>
  <c r="FJ110" i="3" s="1"/>
  <c r="FI162" i="3"/>
  <c r="FJ162" i="3" s="1"/>
  <c r="FI137" i="3"/>
  <c r="FJ137" i="3" s="1"/>
  <c r="FI31" i="3"/>
  <c r="FJ31" i="3" s="1"/>
  <c r="FI20" i="3"/>
  <c r="FJ20" i="3" s="1"/>
  <c r="FI40" i="3"/>
  <c r="FJ40" i="3" s="1"/>
  <c r="FI59" i="3"/>
  <c r="FJ59" i="3" s="1"/>
  <c r="FI130" i="3"/>
  <c r="FJ130" i="3" s="1"/>
  <c r="FI89" i="3"/>
  <c r="FJ89" i="3" s="1"/>
  <c r="FI68" i="3"/>
  <c r="FJ68" i="3" s="1"/>
  <c r="FI14" i="3"/>
  <c r="FJ14" i="3" s="1"/>
  <c r="FI109" i="3"/>
  <c r="FJ109" i="3" s="1"/>
  <c r="FI30" i="3"/>
  <c r="FJ30" i="3" s="1"/>
  <c r="FI39" i="3"/>
  <c r="FJ39" i="3" s="1"/>
  <c r="FI62" i="3"/>
  <c r="FJ62" i="3" s="1"/>
  <c r="FI57" i="3"/>
  <c r="FJ57" i="3" s="1"/>
  <c r="FI92" i="3"/>
  <c r="FJ92" i="3" s="1"/>
  <c r="FI72" i="3"/>
  <c r="FJ72" i="3" s="1"/>
  <c r="FI91" i="3"/>
  <c r="FJ91" i="3" s="1"/>
  <c r="FI87" i="3"/>
  <c r="FJ87" i="3" s="1"/>
  <c r="FI73" i="3"/>
  <c r="FJ73" i="3" s="1"/>
  <c r="FI44" i="3"/>
  <c r="FJ44" i="3" s="1"/>
  <c r="FI105" i="3"/>
  <c r="FJ105" i="3" s="1"/>
  <c r="FI119" i="3"/>
  <c r="FJ119" i="3" s="1"/>
  <c r="FI157" i="3"/>
  <c r="FJ157" i="3" s="1"/>
  <c r="FI161" i="3"/>
  <c r="FJ161" i="3" s="1"/>
  <c r="FI53" i="3"/>
  <c r="FJ53" i="3" s="1"/>
  <c r="FI102" i="3"/>
  <c r="FJ102" i="3" s="1"/>
  <c r="FI83" i="3"/>
  <c r="FJ83" i="3" s="1"/>
  <c r="FI42" i="3"/>
  <c r="FJ42" i="3" s="1"/>
  <c r="FI149" i="3"/>
  <c r="FJ149" i="3" s="1"/>
  <c r="FI151" i="3"/>
  <c r="FJ151" i="3" s="1"/>
  <c r="FI58" i="3"/>
  <c r="FJ58" i="3" s="1"/>
  <c r="FI18" i="3"/>
  <c r="FJ18" i="3" s="1"/>
  <c r="FI48" i="3"/>
  <c r="FJ48" i="3" s="1"/>
  <c r="FI12" i="3"/>
  <c r="FJ12" i="3" s="1"/>
  <c r="FI17" i="3"/>
  <c r="FJ17" i="3" s="1"/>
  <c r="FI85" i="3"/>
  <c r="FJ85" i="3" s="1"/>
  <c r="FI141" i="3"/>
  <c r="FJ141" i="3" s="1"/>
  <c r="FI104" i="3"/>
  <c r="FJ104" i="3" s="1"/>
  <c r="FI22" i="3"/>
  <c r="FJ22" i="3" s="1"/>
  <c r="FI148" i="3"/>
  <c r="FJ148" i="3" s="1"/>
  <c r="FI66" i="3"/>
  <c r="FJ66" i="3" s="1"/>
  <c r="FI36" i="3"/>
  <c r="FJ36" i="3" s="1"/>
  <c r="FI55" i="3"/>
  <c r="FJ55" i="3" s="1"/>
  <c r="FI16" i="3"/>
  <c r="FJ16" i="3" s="1"/>
  <c r="FI160" i="3"/>
  <c r="FJ160" i="3" s="1"/>
  <c r="FI88" i="3"/>
  <c r="FJ88" i="3" s="1"/>
  <c r="FI71" i="3"/>
  <c r="FJ71" i="3" s="1"/>
  <c r="FI156" i="3"/>
  <c r="FJ156" i="3" s="1"/>
  <c r="FI154" i="3"/>
  <c r="FJ154" i="3" s="1"/>
  <c r="FI163" i="3"/>
  <c r="FJ163" i="3" s="1"/>
  <c r="FI84" i="3"/>
  <c r="FJ84" i="3" s="1"/>
  <c r="FI125" i="3"/>
  <c r="FJ125" i="3" s="1"/>
  <c r="FI120" i="3"/>
  <c r="FJ120" i="3" s="1"/>
  <c r="FI24" i="3"/>
  <c r="FJ24" i="3" s="1"/>
  <c r="FI126" i="3"/>
  <c r="FJ126" i="3" s="1"/>
  <c r="FI158" i="3"/>
  <c r="FJ158" i="3" s="1"/>
  <c r="FI70" i="3"/>
  <c r="FJ70" i="3" s="1"/>
  <c r="FI25" i="3"/>
  <c r="FJ25" i="3" s="1"/>
  <c r="FI94" i="3"/>
  <c r="FJ94" i="3" s="1"/>
  <c r="FI49" i="3"/>
  <c r="FJ49" i="3" s="1"/>
  <c r="FI127" i="3"/>
  <c r="FJ127" i="3" s="1"/>
  <c r="FI65" i="3"/>
  <c r="FJ65" i="3" s="1"/>
  <c r="FI124" i="3"/>
  <c r="FJ124" i="3" s="1"/>
  <c r="FI145" i="3"/>
  <c r="FJ145" i="3" s="1"/>
  <c r="FI47" i="3"/>
  <c r="FJ47" i="3" s="1"/>
  <c r="FI111" i="3"/>
  <c r="FJ111" i="3" s="1"/>
  <c r="FI113" i="3"/>
  <c r="FJ113" i="3" s="1"/>
  <c r="FI34" i="3"/>
  <c r="FJ34" i="3" s="1"/>
  <c r="FI128" i="3"/>
  <c r="FJ128" i="3" s="1"/>
  <c r="FI118" i="3"/>
  <c r="FJ118" i="3" s="1"/>
  <c r="FI60" i="3"/>
  <c r="FJ60" i="3" s="1"/>
  <c r="FI50" i="3"/>
  <c r="FJ50" i="3" s="1"/>
  <c r="FI54" i="3"/>
  <c r="FJ54" i="3" s="1"/>
  <c r="FI51" i="3"/>
  <c r="FJ51" i="3" s="1"/>
  <c r="FI100" i="3"/>
  <c r="FJ100" i="3" s="1"/>
  <c r="FI23" i="3"/>
  <c r="FJ23" i="3" s="1"/>
  <c r="FI69" i="3"/>
  <c r="FJ69" i="3" s="1"/>
  <c r="FI86" i="3"/>
  <c r="FJ86" i="3" s="1"/>
  <c r="FI140" i="3"/>
  <c r="FJ140" i="3" s="1"/>
  <c r="FI139" i="3"/>
  <c r="FJ139" i="3" s="1"/>
  <c r="FI138" i="3"/>
  <c r="FJ138" i="3" s="1"/>
  <c r="FI97" i="3"/>
  <c r="FJ97" i="3" s="1"/>
  <c r="FI78" i="3"/>
  <c r="FJ78" i="3" s="1"/>
  <c r="FI135" i="3"/>
  <c r="FJ135" i="3" s="1"/>
  <c r="FI38" i="3"/>
  <c r="FJ38" i="3" s="1"/>
  <c r="FI101" i="3"/>
  <c r="FJ101" i="3" s="1"/>
  <c r="FI76" i="3"/>
  <c r="FJ76" i="3" s="1"/>
  <c r="FI33" i="3"/>
  <c r="FJ33" i="3" s="1"/>
  <c r="FI131" i="3"/>
  <c r="FJ131" i="3" s="1"/>
  <c r="FI15" i="3"/>
  <c r="FJ15" i="3" s="1"/>
  <c r="FI123" i="3"/>
  <c r="FJ123" i="3" s="1"/>
  <c r="FI99" i="3"/>
  <c r="FJ99" i="3" s="1"/>
  <c r="FI144" i="3"/>
  <c r="FJ144" i="3" s="1"/>
  <c r="FI63" i="3"/>
  <c r="FJ63" i="3" s="1"/>
  <c r="FI75" i="3"/>
  <c r="FJ75" i="3" s="1"/>
  <c r="FI74" i="3"/>
  <c r="FJ74" i="3" s="1"/>
  <c r="FI43" i="3"/>
  <c r="FJ43" i="3" s="1"/>
  <c r="FI61" i="3"/>
  <c r="FJ61" i="3" s="1"/>
  <c r="FI64" i="3"/>
  <c r="FJ64" i="3" s="1"/>
  <c r="FI82" i="3"/>
  <c r="FJ82" i="3" s="1"/>
  <c r="FI26" i="3"/>
  <c r="FJ26" i="3" s="1"/>
  <c r="FI10" i="3"/>
  <c r="HD11" i="3"/>
  <c r="HF11" i="3" s="1"/>
  <c r="O36" i="4"/>
  <c r="HD14" i="3"/>
  <c r="HF14" i="3" s="1"/>
  <c r="HD12" i="3"/>
  <c r="HF12" i="3" s="1"/>
  <c r="HD13" i="3"/>
  <c r="HF13" i="3" s="1"/>
  <c r="HD10" i="3"/>
  <c r="HL48" i="3"/>
  <c r="HM47" i="3"/>
  <c r="FK75" i="3" l="1"/>
  <c r="FK71" i="3"/>
  <c r="FK155" i="3"/>
  <c r="FK65" i="3"/>
  <c r="FK74" i="3"/>
  <c r="FK33" i="3"/>
  <c r="FK139" i="3"/>
  <c r="FK50" i="3"/>
  <c r="FK145" i="3"/>
  <c r="FK158" i="3"/>
  <c r="FK156" i="3"/>
  <c r="FK148" i="3"/>
  <c r="FK18" i="3"/>
  <c r="GG18" i="3" a="1"/>
  <c r="GG18" i="3" s="1"/>
  <c r="GH18" i="3" s="1"/>
  <c r="FK161" i="3"/>
  <c r="GG161" i="3" a="1"/>
  <c r="GG161" i="3" s="1"/>
  <c r="GH161" i="3" s="1"/>
  <c r="FK91" i="3"/>
  <c r="FK14" i="3"/>
  <c r="GG14" i="3" a="1"/>
  <c r="GG14" i="3" s="1"/>
  <c r="GH14" i="3" s="1"/>
  <c r="FK137" i="3"/>
  <c r="FK136" i="3"/>
  <c r="FK90" i="3"/>
  <c r="FK52" i="3"/>
  <c r="FK152" i="3"/>
  <c r="FK60" i="3"/>
  <c r="FK22" i="3"/>
  <c r="GG22" i="3" a="1"/>
  <c r="GG22" i="3" s="1"/>
  <c r="GH22" i="3" s="1"/>
  <c r="FK68" i="3"/>
  <c r="FK106" i="3"/>
  <c r="FK118" i="3"/>
  <c r="GG88" i="3" a="1"/>
  <c r="GG88" i="3" s="1"/>
  <c r="GH88" i="3" s="1"/>
  <c r="FK88" i="3"/>
  <c r="FK104" i="3"/>
  <c r="FK151" i="3"/>
  <c r="FK119" i="3"/>
  <c r="FK92" i="3"/>
  <c r="FK89" i="3"/>
  <c r="FK110" i="3"/>
  <c r="FK142" i="3"/>
  <c r="FK98" i="3"/>
  <c r="FK132" i="3"/>
  <c r="K42" i="4"/>
  <c r="O42" i="4"/>
  <c r="M42" i="4"/>
  <c r="N42" i="4" s="1"/>
  <c r="FK140" i="3"/>
  <c r="FK157" i="3"/>
  <c r="FI6" i="3"/>
  <c r="FJ10" i="3"/>
  <c r="FK86" i="3"/>
  <c r="FK26" i="3"/>
  <c r="FK144" i="3"/>
  <c r="GG38" i="3" a="1"/>
  <c r="GG38" i="3" s="1"/>
  <c r="GH38" i="3" s="1"/>
  <c r="FK38" i="3"/>
  <c r="FK69" i="3"/>
  <c r="FK128" i="3"/>
  <c r="FK127" i="3"/>
  <c r="FK120" i="3"/>
  <c r="FK160" i="3"/>
  <c r="FK141" i="3"/>
  <c r="FK149" i="3"/>
  <c r="FK105" i="3"/>
  <c r="FK57" i="3"/>
  <c r="FK130" i="3"/>
  <c r="FK35" i="3"/>
  <c r="FK129" i="3"/>
  <c r="FK96" i="3"/>
  <c r="FK56" i="3"/>
  <c r="FK76" i="3"/>
  <c r="FK126" i="3"/>
  <c r="FK58" i="3"/>
  <c r="FK162" i="3"/>
  <c r="FK21" i="3"/>
  <c r="FK63" i="3"/>
  <c r="HD6" i="3"/>
  <c r="HF10" i="3"/>
  <c r="FK23" i="3"/>
  <c r="FK49" i="3"/>
  <c r="GG49" i="3" a="1"/>
  <c r="GG49" i="3" s="1"/>
  <c r="GH49" i="3" s="1"/>
  <c r="FK125" i="3"/>
  <c r="FK16" i="3"/>
  <c r="FK85" i="3"/>
  <c r="FK42" i="3"/>
  <c r="FK44" i="3"/>
  <c r="FK62" i="3"/>
  <c r="GG62" i="3" a="1"/>
  <c r="GG62" i="3" s="1"/>
  <c r="GH62" i="3" s="1"/>
  <c r="GG59" i="3" a="1"/>
  <c r="GG59" i="3" s="1"/>
  <c r="GH59" i="3" s="1"/>
  <c r="FK59" i="3"/>
  <c r="FK67" i="3"/>
  <c r="FK32" i="3"/>
  <c r="FK27" i="3"/>
  <c r="GG27" i="3" a="1"/>
  <c r="GG27" i="3" s="1"/>
  <c r="GH27" i="3" s="1"/>
  <c r="FK28" i="3"/>
  <c r="FK24" i="3"/>
  <c r="GG24" i="3" a="1"/>
  <c r="GG24" i="3" s="1"/>
  <c r="GH24" i="3" s="1"/>
  <c r="FK34" i="3"/>
  <c r="FK64" i="3"/>
  <c r="GG123" i="3" a="1"/>
  <c r="GG123" i="3" s="1"/>
  <c r="GH123" i="3" s="1"/>
  <c r="FK123" i="3"/>
  <c r="FK78" i="3"/>
  <c r="FK100" i="3"/>
  <c r="FK113" i="3"/>
  <c r="FK94" i="3"/>
  <c r="FK84" i="3"/>
  <c r="FK55" i="3"/>
  <c r="FK17" i="3"/>
  <c r="FK83" i="3"/>
  <c r="FK73" i="3"/>
  <c r="GG73" i="3" a="1"/>
  <c r="GG73" i="3" s="1"/>
  <c r="GH73" i="3" s="1"/>
  <c r="FK39" i="3"/>
  <c r="FK40" i="3"/>
  <c r="FK93" i="3"/>
  <c r="FK159" i="3"/>
  <c r="FK19" i="3"/>
  <c r="FK29" i="3"/>
  <c r="GG29" i="3" a="1"/>
  <c r="GG29" i="3" s="1"/>
  <c r="GH29" i="3" s="1"/>
  <c r="HL49" i="3"/>
  <c r="HM48" i="3"/>
  <c r="FK135" i="3"/>
  <c r="GG61" i="3" a="1"/>
  <c r="GG61" i="3" s="1"/>
  <c r="GH61" i="3" s="1"/>
  <c r="FK61" i="3"/>
  <c r="FK15" i="3"/>
  <c r="GG15" i="3" a="1"/>
  <c r="GG15" i="3" s="1"/>
  <c r="GH15" i="3" s="1"/>
  <c r="FK97" i="3"/>
  <c r="FK51" i="3"/>
  <c r="GG51" i="3" a="1"/>
  <c r="GG51" i="3" s="1"/>
  <c r="GH51" i="3" s="1"/>
  <c r="FK111" i="3"/>
  <c r="FK25" i="3"/>
  <c r="GG25" i="3" a="1"/>
  <c r="GG25" i="3" s="1"/>
  <c r="GH25" i="3" s="1"/>
  <c r="FK163" i="3"/>
  <c r="FK36" i="3"/>
  <c r="GG12" i="3" a="1"/>
  <c r="GG12" i="3" s="1"/>
  <c r="GH12" i="3" s="1"/>
  <c r="FK12" i="3"/>
  <c r="FK102" i="3"/>
  <c r="FK107" i="3"/>
  <c r="GG107" i="3" a="1"/>
  <c r="GG107" i="3" s="1"/>
  <c r="GH107" i="3" s="1"/>
  <c r="GG30" i="3" a="1"/>
  <c r="GG30" i="3" s="1"/>
  <c r="GH30" i="3" s="1"/>
  <c r="FK30" i="3"/>
  <c r="FK20" i="3"/>
  <c r="GG20" i="3" a="1"/>
  <c r="GG20" i="3" s="1"/>
  <c r="GH20" i="3" s="1"/>
  <c r="GG11" i="3" a="1"/>
  <c r="GG11" i="3" s="1"/>
  <c r="GH11" i="3" s="1"/>
  <c r="FK11" i="3"/>
  <c r="FK143" i="3"/>
  <c r="FK37" i="3"/>
  <c r="FK121" i="3"/>
  <c r="FK124" i="3"/>
  <c r="GG124" i="3" a="1"/>
  <c r="GG124" i="3" s="1"/>
  <c r="GH124" i="3" s="1"/>
  <c r="FK72" i="3"/>
  <c r="FK46" i="3"/>
  <c r="FK101" i="3"/>
  <c r="FK82" i="3"/>
  <c r="FK99" i="3"/>
  <c r="FK43" i="3"/>
  <c r="FK131" i="3"/>
  <c r="FK138" i="3"/>
  <c r="FK54" i="3"/>
  <c r="FK47" i="3"/>
  <c r="FK70" i="3"/>
  <c r="FK154" i="3"/>
  <c r="FK66" i="3"/>
  <c r="FK48" i="3"/>
  <c r="FK53" i="3"/>
  <c r="FK87" i="3"/>
  <c r="FK109" i="3"/>
  <c r="FK31" i="3"/>
  <c r="FK41" i="3"/>
  <c r="FK77" i="3"/>
  <c r="FK13" i="3"/>
  <c r="FK122" i="3"/>
  <c r="FJ6" i="3" l="1"/>
  <c r="FK10" i="3"/>
  <c r="FK6" i="3" s="1"/>
  <c r="GG10" i="3" a="1"/>
  <c r="GG10" i="3" s="1"/>
  <c r="HL50" i="3"/>
  <c r="HM49" i="3"/>
  <c r="FT12" i="3"/>
  <c r="HM50" i="3" l="1"/>
  <c r="HL51" i="3"/>
  <c r="GH10" i="3"/>
  <c r="GH5" i="3"/>
  <c r="GI6" i="3" s="1"/>
  <c r="GK132" i="3" l="1"/>
  <c r="GK12" i="3"/>
  <c r="GK50" i="3"/>
  <c r="GK82" i="3"/>
  <c r="GK15" i="3"/>
  <c r="GK21" i="3"/>
  <c r="GK29" i="3"/>
  <c r="GK37" i="3"/>
  <c r="GK45" i="3"/>
  <c r="GK53" i="3"/>
  <c r="GK61" i="3"/>
  <c r="GK69" i="3"/>
  <c r="GK77" i="3"/>
  <c r="GK85" i="3"/>
  <c r="GK93" i="3"/>
  <c r="GK101" i="3"/>
  <c r="GK109" i="3"/>
  <c r="GK117" i="3"/>
  <c r="GK125" i="3"/>
  <c r="GK133" i="3"/>
  <c r="GK141" i="3"/>
  <c r="GK149" i="3"/>
  <c r="GK157" i="3"/>
  <c r="GK165" i="3"/>
  <c r="GK10" i="3"/>
  <c r="GK14" i="3"/>
  <c r="GK22" i="3"/>
  <c r="GK30" i="3"/>
  <c r="GK38" i="3"/>
  <c r="GK46" i="3"/>
  <c r="GK54" i="3"/>
  <c r="GK62" i="3"/>
  <c r="GK70" i="3"/>
  <c r="GK78" i="3"/>
  <c r="GK86" i="3"/>
  <c r="GK94" i="3"/>
  <c r="GK102" i="3"/>
  <c r="GK110" i="3"/>
  <c r="GK118" i="3"/>
  <c r="GK126" i="3"/>
  <c r="GK134" i="3"/>
  <c r="GK142" i="3"/>
  <c r="GK150" i="3"/>
  <c r="GK158" i="3"/>
  <c r="GK166" i="3"/>
  <c r="GK11" i="3"/>
  <c r="GK13" i="3"/>
  <c r="GK23" i="3"/>
  <c r="GK31" i="3"/>
  <c r="GK39" i="3"/>
  <c r="GK47" i="3"/>
  <c r="GK55" i="3"/>
  <c r="GK63" i="3"/>
  <c r="GK71" i="3"/>
  <c r="GK79" i="3"/>
  <c r="GK87" i="3"/>
  <c r="GK95" i="3"/>
  <c r="GK103" i="3"/>
  <c r="GK111" i="3"/>
  <c r="GK119" i="3"/>
  <c r="GK127" i="3"/>
  <c r="GK135" i="3"/>
  <c r="GK143" i="3"/>
  <c r="GK151" i="3"/>
  <c r="GK159" i="3"/>
  <c r="GK167" i="3"/>
  <c r="GK16" i="3"/>
  <c r="GK24" i="3"/>
  <c r="GK32" i="3"/>
  <c r="GK40" i="3"/>
  <c r="GK48" i="3"/>
  <c r="GK56" i="3"/>
  <c r="GK64" i="3"/>
  <c r="GK72" i="3"/>
  <c r="GK80" i="3"/>
  <c r="GK88" i="3"/>
  <c r="GK96" i="3"/>
  <c r="GK104" i="3"/>
  <c r="GK112" i="3"/>
  <c r="GK120" i="3"/>
  <c r="GK128" i="3"/>
  <c r="GK136" i="3"/>
  <c r="GK144" i="3"/>
  <c r="GK152" i="3"/>
  <c r="GK160" i="3"/>
  <c r="GK17" i="3"/>
  <c r="GK25" i="3"/>
  <c r="GK33" i="3"/>
  <c r="GK41" i="3"/>
  <c r="GK49" i="3"/>
  <c r="GK57" i="3"/>
  <c r="GK65" i="3"/>
  <c r="GK73" i="3"/>
  <c r="GK81" i="3"/>
  <c r="GK89" i="3"/>
  <c r="GK97" i="3"/>
  <c r="GK105" i="3"/>
  <c r="GK113" i="3"/>
  <c r="GK121" i="3"/>
  <c r="GK129" i="3"/>
  <c r="GK137" i="3"/>
  <c r="GK145" i="3"/>
  <c r="GK153" i="3"/>
  <c r="GK161" i="3"/>
  <c r="GK19" i="3"/>
  <c r="GK27" i="3"/>
  <c r="GK35" i="3"/>
  <c r="GK43" i="3"/>
  <c r="GK51" i="3"/>
  <c r="GK59" i="3"/>
  <c r="GK67" i="3"/>
  <c r="GK75" i="3"/>
  <c r="GK83" i="3"/>
  <c r="GK91" i="3"/>
  <c r="GK99" i="3"/>
  <c r="GK107" i="3"/>
  <c r="GK115" i="3"/>
  <c r="GK123" i="3"/>
  <c r="GK131" i="3"/>
  <c r="GK139" i="3"/>
  <c r="GK147" i="3"/>
  <c r="GK155" i="3"/>
  <c r="GK163" i="3"/>
  <c r="GK20" i="3"/>
  <c r="GK28" i="3"/>
  <c r="GK36" i="3"/>
  <c r="GK44" i="3"/>
  <c r="GK52" i="3"/>
  <c r="GK60" i="3"/>
  <c r="GK68" i="3"/>
  <c r="GK76" i="3"/>
  <c r="GK84" i="3"/>
  <c r="GK92" i="3"/>
  <c r="GK100" i="3"/>
  <c r="GK108" i="3"/>
  <c r="GK116" i="3"/>
  <c r="GK124" i="3"/>
  <c r="GK140" i="3"/>
  <c r="GK148" i="3"/>
  <c r="GK156" i="3"/>
  <c r="GK164" i="3"/>
  <c r="GK18" i="3"/>
  <c r="GK26" i="3"/>
  <c r="GK34" i="3"/>
  <c r="GK42" i="3"/>
  <c r="GK58" i="3"/>
  <c r="GK66" i="3"/>
  <c r="GK74" i="3"/>
  <c r="GK98" i="3"/>
  <c r="GK162" i="3"/>
  <c r="GK106" i="3"/>
  <c r="GK122" i="3"/>
  <c r="GK138" i="3"/>
  <c r="GK114" i="3"/>
  <c r="GK146" i="3"/>
  <c r="GK130" i="3"/>
  <c r="GK90" i="3"/>
  <c r="GK154" i="3"/>
  <c r="GJ33" i="3"/>
  <c r="GJ65" i="3"/>
  <c r="GJ81" i="3"/>
  <c r="GJ97" i="3"/>
  <c r="GJ113" i="3"/>
  <c r="GJ129" i="3"/>
  <c r="GJ145" i="3"/>
  <c r="GJ50" i="3"/>
  <c r="GJ74" i="3"/>
  <c r="GJ98" i="3"/>
  <c r="GJ122" i="3"/>
  <c r="GJ146" i="3"/>
  <c r="GJ162" i="3"/>
  <c r="GJ18" i="3"/>
  <c r="GJ26" i="3"/>
  <c r="GJ42" i="3"/>
  <c r="GJ58" i="3"/>
  <c r="GJ82" i="3"/>
  <c r="GJ106" i="3"/>
  <c r="GJ138" i="3"/>
  <c r="GJ19" i="3"/>
  <c r="GJ27" i="3"/>
  <c r="GJ35" i="3"/>
  <c r="GJ43" i="3"/>
  <c r="GJ51" i="3"/>
  <c r="GJ59" i="3"/>
  <c r="GJ67" i="3"/>
  <c r="GJ75" i="3"/>
  <c r="GJ83" i="3"/>
  <c r="GJ91" i="3"/>
  <c r="GJ99" i="3"/>
  <c r="GJ107" i="3"/>
  <c r="GJ115" i="3"/>
  <c r="GJ123" i="3"/>
  <c r="GJ131" i="3"/>
  <c r="GJ139" i="3"/>
  <c r="GJ147" i="3"/>
  <c r="GJ155" i="3"/>
  <c r="GJ163" i="3"/>
  <c r="GJ20" i="3"/>
  <c r="GJ28" i="3"/>
  <c r="GJ36" i="3"/>
  <c r="GJ44" i="3"/>
  <c r="GJ52" i="3"/>
  <c r="GJ60" i="3"/>
  <c r="GJ68" i="3"/>
  <c r="GJ76" i="3"/>
  <c r="GJ84" i="3"/>
  <c r="GJ92" i="3"/>
  <c r="GJ100" i="3"/>
  <c r="GJ108" i="3"/>
  <c r="GJ116" i="3"/>
  <c r="GJ124" i="3"/>
  <c r="GJ132" i="3"/>
  <c r="GJ140" i="3"/>
  <c r="GJ148" i="3"/>
  <c r="GJ156" i="3"/>
  <c r="GJ164" i="3"/>
  <c r="GH6" i="3"/>
  <c r="GJ14" i="3"/>
  <c r="GJ21" i="3"/>
  <c r="GJ29" i="3"/>
  <c r="GJ37" i="3"/>
  <c r="GJ45" i="3"/>
  <c r="GJ53" i="3"/>
  <c r="GJ61" i="3"/>
  <c r="GJ69" i="3"/>
  <c r="GJ77" i="3"/>
  <c r="GJ85" i="3"/>
  <c r="GJ93" i="3"/>
  <c r="GJ101" i="3"/>
  <c r="GJ109" i="3"/>
  <c r="GJ117" i="3"/>
  <c r="GJ125" i="3"/>
  <c r="GJ133" i="3"/>
  <c r="GJ141" i="3"/>
  <c r="GJ149" i="3"/>
  <c r="GJ157" i="3"/>
  <c r="GJ165" i="3"/>
  <c r="GJ10" i="3"/>
  <c r="GJ13" i="3"/>
  <c r="GJ22" i="3"/>
  <c r="GJ30" i="3"/>
  <c r="GJ38" i="3"/>
  <c r="GJ46" i="3"/>
  <c r="GJ54" i="3"/>
  <c r="GJ62" i="3"/>
  <c r="GJ70" i="3"/>
  <c r="GJ78" i="3"/>
  <c r="GJ86" i="3"/>
  <c r="GJ94" i="3"/>
  <c r="GJ102" i="3"/>
  <c r="GJ110" i="3"/>
  <c r="GJ118" i="3"/>
  <c r="GJ126" i="3"/>
  <c r="GJ134" i="3"/>
  <c r="GJ142" i="3"/>
  <c r="GJ150" i="3"/>
  <c r="GJ158" i="3"/>
  <c r="GJ166" i="3"/>
  <c r="GJ11" i="3"/>
  <c r="GJ16" i="3"/>
  <c r="GJ24" i="3"/>
  <c r="GJ32" i="3"/>
  <c r="GJ40" i="3"/>
  <c r="GJ48" i="3"/>
  <c r="GJ56" i="3"/>
  <c r="GJ64" i="3"/>
  <c r="GJ72" i="3"/>
  <c r="GJ80" i="3"/>
  <c r="GJ88" i="3"/>
  <c r="GJ96" i="3"/>
  <c r="GJ104" i="3"/>
  <c r="GJ112" i="3"/>
  <c r="GJ120" i="3"/>
  <c r="GJ128" i="3"/>
  <c r="GJ136" i="3"/>
  <c r="GJ144" i="3"/>
  <c r="GJ152" i="3"/>
  <c r="GJ160" i="3"/>
  <c r="GJ12" i="3"/>
  <c r="GJ17" i="3"/>
  <c r="GJ25" i="3"/>
  <c r="GJ41" i="3"/>
  <c r="GJ49" i="3"/>
  <c r="GJ57" i="3"/>
  <c r="GJ73" i="3"/>
  <c r="GJ89" i="3"/>
  <c r="GJ105" i="3"/>
  <c r="GJ121" i="3"/>
  <c r="GJ137" i="3"/>
  <c r="GJ153" i="3"/>
  <c r="GJ161" i="3"/>
  <c r="GJ34" i="3"/>
  <c r="GJ66" i="3"/>
  <c r="GJ90" i="3"/>
  <c r="GJ114" i="3"/>
  <c r="GJ130" i="3"/>
  <c r="GJ154" i="3"/>
  <c r="GJ71" i="3"/>
  <c r="GJ135" i="3"/>
  <c r="GJ23" i="3"/>
  <c r="GJ95" i="3"/>
  <c r="GJ15" i="3"/>
  <c r="GJ79" i="3"/>
  <c r="GJ143" i="3"/>
  <c r="GJ151" i="3"/>
  <c r="GJ159" i="3"/>
  <c r="GJ167" i="3"/>
  <c r="GJ87" i="3"/>
  <c r="GJ31" i="3"/>
  <c r="GJ103" i="3"/>
  <c r="GJ111" i="3"/>
  <c r="GJ55" i="3"/>
  <c r="GJ39" i="3"/>
  <c r="GJ47" i="3"/>
  <c r="GJ63" i="3"/>
  <c r="GJ127" i="3"/>
  <c r="GJ119" i="3"/>
  <c r="HM51" i="3"/>
  <c r="HL52" i="3"/>
  <c r="GL112" i="3" l="1"/>
  <c r="GM112" i="3" a="1"/>
  <c r="GM112" i="3" s="1"/>
  <c r="GN112" i="3"/>
  <c r="GN100" i="3"/>
  <c r="GM100" i="3" a="1"/>
  <c r="GM100" i="3" s="1"/>
  <c r="GL100" i="3"/>
  <c r="GN98" i="3"/>
  <c r="GL98" i="3"/>
  <c r="GM98" i="3" a="1"/>
  <c r="GM98" i="3" s="1"/>
  <c r="GL114" i="3"/>
  <c r="GM114" i="3" a="1"/>
  <c r="GM114" i="3" s="1"/>
  <c r="GN114" i="3"/>
  <c r="GL40" i="3"/>
  <c r="GM40" i="3" a="1"/>
  <c r="GM40" i="3" s="1"/>
  <c r="GN40" i="3"/>
  <c r="GL53" i="3"/>
  <c r="GN53" i="3"/>
  <c r="GM53" i="3" a="1"/>
  <c r="GM53" i="3" s="1"/>
  <c r="GN115" i="3"/>
  <c r="GL115" i="3"/>
  <c r="GM115" i="3" a="1"/>
  <c r="GM115" i="3" s="1"/>
  <c r="GL103" i="3"/>
  <c r="GM103" i="3" a="1"/>
  <c r="GM103" i="3" s="1"/>
  <c r="GN103" i="3"/>
  <c r="GL15" i="3"/>
  <c r="GN15" i="3" s="1"/>
  <c r="GM15" i="3" a="1"/>
  <c r="GM15" i="3" s="1"/>
  <c r="F59" i="4" s="1"/>
  <c r="GM90" i="3" a="1"/>
  <c r="GM90" i="3" s="1"/>
  <c r="GN90" i="3"/>
  <c r="GL90" i="3"/>
  <c r="GL89" i="3"/>
  <c r="GN89" i="3"/>
  <c r="GM89" i="3" a="1"/>
  <c r="GM89" i="3" s="1"/>
  <c r="GN160" i="3"/>
  <c r="GL160" i="3"/>
  <c r="GM160" i="3" a="1"/>
  <c r="GM160" i="3" s="1"/>
  <c r="GM96" i="3" a="1"/>
  <c r="GM96" i="3" s="1"/>
  <c r="GN96" i="3"/>
  <c r="GL96" i="3"/>
  <c r="GM32" i="3" a="1"/>
  <c r="GM32" i="3" s="1"/>
  <c r="GL32" i="3"/>
  <c r="GN32" i="3" s="1"/>
  <c r="GL134" i="3"/>
  <c r="GN134" i="3"/>
  <c r="GM134" i="3" a="1"/>
  <c r="GM134" i="3" s="1"/>
  <c r="GN70" i="3"/>
  <c r="GM70" i="3" a="1"/>
  <c r="GM70" i="3" s="1"/>
  <c r="GL70" i="3"/>
  <c r="GJ6" i="3"/>
  <c r="GM10" i="3" a="1"/>
  <c r="GM10" i="3" s="1"/>
  <c r="GL10" i="3"/>
  <c r="GL109" i="3"/>
  <c r="GM109" i="3" a="1"/>
  <c r="GM109" i="3" s="1"/>
  <c r="GN109" i="3"/>
  <c r="GM45" i="3" a="1"/>
  <c r="GM45" i="3" s="1"/>
  <c r="GN45" i="3"/>
  <c r="GL45" i="3"/>
  <c r="GN148" i="3"/>
  <c r="GM148" i="3" a="1"/>
  <c r="GM148" i="3" s="1"/>
  <c r="GL148" i="3"/>
  <c r="GN84" i="3"/>
  <c r="GL84" i="3"/>
  <c r="GM84" i="3" a="1"/>
  <c r="GM84" i="3" s="1"/>
  <c r="GM20" i="3" a="1"/>
  <c r="GM20" i="3" s="1"/>
  <c r="F63" i="4" s="1"/>
  <c r="GL20" i="3"/>
  <c r="GN20" i="3" s="1"/>
  <c r="GN107" i="3"/>
  <c r="GL107" i="3"/>
  <c r="GM107" i="3" a="1"/>
  <c r="GM107" i="3" s="1"/>
  <c r="GM43" i="3" a="1"/>
  <c r="GM43" i="3" s="1"/>
  <c r="GN43" i="3"/>
  <c r="GL43" i="3"/>
  <c r="GN42" i="3"/>
  <c r="GM42" i="3" a="1"/>
  <c r="GM42" i="3" s="1"/>
  <c r="GL42" i="3"/>
  <c r="GN50" i="3"/>
  <c r="GM50" i="3" a="1"/>
  <c r="GM50" i="3" s="1"/>
  <c r="GL50" i="3"/>
  <c r="GL55" i="3"/>
  <c r="GN55" i="3"/>
  <c r="GM55" i="3" a="1"/>
  <c r="GM55" i="3" s="1"/>
  <c r="GL22" i="3"/>
  <c r="GN22" i="3" s="1"/>
  <c r="GM22" i="3" a="1"/>
  <c r="GM22" i="3" s="1"/>
  <c r="GM123" i="3" a="1"/>
  <c r="GM123" i="3" s="1"/>
  <c r="GN123" i="3"/>
  <c r="GL123" i="3"/>
  <c r="GM79" i="3" a="1"/>
  <c r="GM79" i="3" s="1"/>
  <c r="GL79" i="3"/>
  <c r="GN79" i="3"/>
  <c r="GM13" i="3" a="1"/>
  <c r="GM13" i="3" s="1"/>
  <c r="F58" i="4" s="1"/>
  <c r="GL13" i="3"/>
  <c r="GN13" i="3" s="1"/>
  <c r="GL92" i="3"/>
  <c r="GM92" i="3" a="1"/>
  <c r="GM92" i="3" s="1"/>
  <c r="GN92" i="3"/>
  <c r="GL58" i="3"/>
  <c r="GN58" i="3"/>
  <c r="GM58" i="3" a="1"/>
  <c r="GM58" i="3" s="1"/>
  <c r="GL73" i="3"/>
  <c r="GM73" i="3" a="1"/>
  <c r="GM73" i="3" s="1"/>
  <c r="GN73" i="3"/>
  <c r="GM152" i="3" a="1"/>
  <c r="GM152" i="3" s="1"/>
  <c r="GN152" i="3"/>
  <c r="GL152" i="3"/>
  <c r="GM88" i="3" a="1"/>
  <c r="GM88" i="3" s="1"/>
  <c r="GL88" i="3"/>
  <c r="GN88" i="3"/>
  <c r="GL24" i="3"/>
  <c r="GN24" i="3" s="1"/>
  <c r="GM24" i="3" a="1"/>
  <c r="GM24" i="3" s="1"/>
  <c r="GM126" i="3" a="1"/>
  <c r="GM126" i="3" s="1"/>
  <c r="GL126" i="3"/>
  <c r="GN126" i="3"/>
  <c r="GL62" i="3"/>
  <c r="GM62" i="3" a="1"/>
  <c r="GM62" i="3" s="1"/>
  <c r="GN62" i="3"/>
  <c r="GL165" i="3"/>
  <c r="GM165" i="3" a="1"/>
  <c r="GM165" i="3" s="1"/>
  <c r="GN165" i="3"/>
  <c r="GN101" i="3"/>
  <c r="GL101" i="3"/>
  <c r="GM101" i="3" a="1"/>
  <c r="GM101" i="3" s="1"/>
  <c r="GL37" i="3"/>
  <c r="GM37" i="3" a="1"/>
  <c r="GM37" i="3" s="1"/>
  <c r="GN37" i="3"/>
  <c r="GL140" i="3"/>
  <c r="GN140" i="3"/>
  <c r="GM140" i="3" a="1"/>
  <c r="GM140" i="3" s="1"/>
  <c r="GM76" i="3" a="1"/>
  <c r="GM76" i="3" s="1"/>
  <c r="GN76" i="3"/>
  <c r="GL76" i="3"/>
  <c r="GL163" i="3"/>
  <c r="GM163" i="3" a="1"/>
  <c r="GM163" i="3" s="1"/>
  <c r="GN163" i="3"/>
  <c r="GN99" i="3"/>
  <c r="GM99" i="3" a="1"/>
  <c r="GM99" i="3" s="1"/>
  <c r="GL99" i="3"/>
  <c r="GN35" i="3"/>
  <c r="GM35" i="3" a="1"/>
  <c r="GM35" i="3" s="1"/>
  <c r="GL35" i="3"/>
  <c r="GL26" i="3"/>
  <c r="GN26" i="3" s="1"/>
  <c r="GM26" i="3" a="1"/>
  <c r="GM26" i="3" s="1"/>
  <c r="GN145" i="3"/>
  <c r="GM145" i="3" a="1"/>
  <c r="GM145" i="3" s="1"/>
  <c r="GL145" i="3"/>
  <c r="GL17" i="3"/>
  <c r="GN17" i="3" s="1"/>
  <c r="GM17" i="3" a="1"/>
  <c r="GM17" i="3" s="1"/>
  <c r="F61" i="4" s="1"/>
  <c r="GM125" i="3" a="1"/>
  <c r="GM125" i="3" s="1"/>
  <c r="GN125" i="3"/>
  <c r="GL125" i="3"/>
  <c r="GL82" i="3"/>
  <c r="GN82" i="3"/>
  <c r="GM82" i="3" a="1"/>
  <c r="GM82" i="3" s="1"/>
  <c r="GN111" i="3"/>
  <c r="GL111" i="3"/>
  <c r="GM111" i="3" a="1"/>
  <c r="GM111" i="3" s="1"/>
  <c r="GL142" i="3"/>
  <c r="GN142" i="3"/>
  <c r="GM142" i="3" a="1"/>
  <c r="GM142" i="3" s="1"/>
  <c r="GL33" i="3"/>
  <c r="GN33" i="3" s="1"/>
  <c r="GM33" i="3" a="1"/>
  <c r="GM33" i="3" s="1"/>
  <c r="GL23" i="3"/>
  <c r="GN23" i="3" s="1"/>
  <c r="GM23" i="3" a="1"/>
  <c r="GM23" i="3" s="1"/>
  <c r="GL144" i="3"/>
  <c r="GM144" i="3" a="1"/>
  <c r="GM144" i="3" s="1"/>
  <c r="GN144" i="3"/>
  <c r="GM118" i="3" a="1"/>
  <c r="GM118" i="3" s="1"/>
  <c r="GN118" i="3"/>
  <c r="GL118" i="3"/>
  <c r="GL54" i="3"/>
  <c r="GN54" i="3"/>
  <c r="GM54" i="3" a="1"/>
  <c r="GM54" i="3" s="1"/>
  <c r="GN157" i="3"/>
  <c r="GL157" i="3"/>
  <c r="GM157" i="3" a="1"/>
  <c r="GM157" i="3" s="1"/>
  <c r="GN93" i="3"/>
  <c r="GL93" i="3"/>
  <c r="GM93" i="3" a="1"/>
  <c r="GM93" i="3" s="1"/>
  <c r="GL29" i="3"/>
  <c r="GN29" i="3" s="1"/>
  <c r="GM29" i="3" a="1"/>
  <c r="GM29" i="3" s="1"/>
  <c r="GM132" i="3" a="1"/>
  <c r="GM132" i="3" s="1"/>
  <c r="GN132" i="3"/>
  <c r="GL132" i="3"/>
  <c r="GL68" i="3"/>
  <c r="GN68" i="3"/>
  <c r="GM68" i="3" a="1"/>
  <c r="GM68" i="3" s="1"/>
  <c r="GL155" i="3"/>
  <c r="GM155" i="3" a="1"/>
  <c r="GM155" i="3" s="1"/>
  <c r="GN155" i="3"/>
  <c r="GN91" i="3"/>
  <c r="GL91" i="3"/>
  <c r="GM91" i="3" a="1"/>
  <c r="GM91" i="3" s="1"/>
  <c r="GL27" i="3"/>
  <c r="GN27" i="3" s="1"/>
  <c r="GM27" i="3" a="1"/>
  <c r="GM27" i="3" s="1"/>
  <c r="GL18" i="3"/>
  <c r="GN18" i="3" s="1"/>
  <c r="GM18" i="3" a="1"/>
  <c r="GM18" i="3" s="1"/>
  <c r="F62" i="4" s="1"/>
  <c r="GL129" i="3"/>
  <c r="GM129" i="3" a="1"/>
  <c r="GM129" i="3" s="1"/>
  <c r="GN129" i="3"/>
  <c r="GM121" i="3" a="1"/>
  <c r="GM121" i="3" s="1"/>
  <c r="GL121" i="3"/>
  <c r="GN121" i="3"/>
  <c r="GL86" i="3"/>
  <c r="GN86" i="3"/>
  <c r="GM86" i="3" a="1"/>
  <c r="GM86" i="3" s="1"/>
  <c r="GN36" i="3"/>
  <c r="GL36" i="3"/>
  <c r="GM36" i="3" a="1"/>
  <c r="GM36" i="3" s="1"/>
  <c r="HL53" i="3"/>
  <c r="HM52" i="3"/>
  <c r="GM104" i="3" a="1"/>
  <c r="GM104" i="3" s="1"/>
  <c r="GN104" i="3"/>
  <c r="GL104" i="3"/>
  <c r="GN117" i="3"/>
  <c r="GM117" i="3" a="1"/>
  <c r="GM117" i="3" s="1"/>
  <c r="GL117" i="3"/>
  <c r="GL31" i="3"/>
  <c r="GN31" i="3" s="1"/>
  <c r="GM31" i="3" a="1"/>
  <c r="GM31" i="3" s="1"/>
  <c r="GL127" i="3"/>
  <c r="GM127" i="3" a="1"/>
  <c r="GM127" i="3" s="1"/>
  <c r="GN127" i="3"/>
  <c r="GL34" i="3"/>
  <c r="GN34" i="3" s="1"/>
  <c r="GM34" i="3" a="1"/>
  <c r="GM34" i="3" s="1"/>
  <c r="GL80" i="3"/>
  <c r="GM80" i="3" a="1"/>
  <c r="GM80" i="3" s="1"/>
  <c r="GN80" i="3"/>
  <c r="GM63" i="3" a="1"/>
  <c r="GM63" i="3" s="1"/>
  <c r="GL63" i="3"/>
  <c r="GN63" i="3"/>
  <c r="GN135" i="3"/>
  <c r="GL135" i="3"/>
  <c r="GM135" i="3" a="1"/>
  <c r="GM135" i="3" s="1"/>
  <c r="GL49" i="3"/>
  <c r="GM49" i="3" a="1"/>
  <c r="GM49" i="3" s="1"/>
  <c r="GN49" i="3"/>
  <c r="GN136" i="3"/>
  <c r="GM136" i="3" a="1"/>
  <c r="GM136" i="3" s="1"/>
  <c r="GL136" i="3"/>
  <c r="GL72" i="3"/>
  <c r="GM72" i="3" a="1"/>
  <c r="GM72" i="3" s="1"/>
  <c r="GN72" i="3"/>
  <c r="GM11" i="3" a="1"/>
  <c r="GM11" i="3" s="1"/>
  <c r="F56" i="4" s="1"/>
  <c r="GL11" i="3"/>
  <c r="GN11" i="3" s="1"/>
  <c r="GM110" i="3" a="1"/>
  <c r="GM110" i="3" s="1"/>
  <c r="GL110" i="3"/>
  <c r="GN110" i="3"/>
  <c r="GL46" i="3"/>
  <c r="GM46" i="3" a="1"/>
  <c r="GM46" i="3" s="1"/>
  <c r="GN46" i="3"/>
  <c r="GM149" i="3" a="1"/>
  <c r="GM149" i="3" s="1"/>
  <c r="GN149" i="3"/>
  <c r="GL149" i="3"/>
  <c r="GN85" i="3"/>
  <c r="GL85" i="3"/>
  <c r="GM85" i="3" a="1"/>
  <c r="GM85" i="3" s="1"/>
  <c r="GM21" i="3" a="1"/>
  <c r="GM21" i="3" s="1"/>
  <c r="F64" i="4" s="1"/>
  <c r="GL21" i="3"/>
  <c r="GN21" i="3" s="1"/>
  <c r="GM124" i="3" a="1"/>
  <c r="GM124" i="3" s="1"/>
  <c r="GN124" i="3"/>
  <c r="GL124" i="3"/>
  <c r="GL60" i="3"/>
  <c r="GN60" i="3"/>
  <c r="GM60" i="3" a="1"/>
  <c r="GM60" i="3" s="1"/>
  <c r="GM147" i="3" a="1"/>
  <c r="GM147" i="3" s="1"/>
  <c r="GL147" i="3"/>
  <c r="GN147" i="3"/>
  <c r="GN83" i="3"/>
  <c r="GM83" i="3" a="1"/>
  <c r="GM83" i="3" s="1"/>
  <c r="GL83" i="3"/>
  <c r="GL19" i="3"/>
  <c r="GN19" i="3" s="1"/>
  <c r="GM19" i="3" a="1"/>
  <c r="GM19" i="3" s="1"/>
  <c r="GL162" i="3"/>
  <c r="GM162" i="3" a="1"/>
  <c r="GM162" i="3" s="1"/>
  <c r="GN162" i="3"/>
  <c r="GL113" i="3"/>
  <c r="GN113" i="3"/>
  <c r="GM113" i="3" a="1"/>
  <c r="GM113" i="3" s="1"/>
  <c r="GM130" i="3" a="1"/>
  <c r="GM130" i="3" s="1"/>
  <c r="GN130" i="3"/>
  <c r="GL130" i="3"/>
  <c r="GL150" i="3"/>
  <c r="GM150" i="3" a="1"/>
  <c r="GM150" i="3" s="1"/>
  <c r="GN150" i="3"/>
  <c r="GM164" i="3" a="1"/>
  <c r="GM164" i="3" s="1"/>
  <c r="GL164" i="3"/>
  <c r="GN164" i="3"/>
  <c r="GL59" i="3"/>
  <c r="GN59" i="3"/>
  <c r="GM59" i="3" a="1"/>
  <c r="GM59" i="3" s="1"/>
  <c r="GM105" i="3" a="1"/>
  <c r="GM105" i="3" s="1"/>
  <c r="GN105" i="3"/>
  <c r="GL105" i="3"/>
  <c r="GM28" i="3" a="1"/>
  <c r="GM28" i="3" s="1"/>
  <c r="GL28" i="3"/>
  <c r="GN28" i="3" s="1"/>
  <c r="GL74" i="3"/>
  <c r="GN74" i="3"/>
  <c r="GM74" i="3" a="1"/>
  <c r="GM74" i="3" s="1"/>
  <c r="GM95" i="3" a="1"/>
  <c r="GM95" i="3" s="1"/>
  <c r="GN95" i="3"/>
  <c r="GL95" i="3"/>
  <c r="GL16" i="3"/>
  <c r="GN16" i="3" s="1"/>
  <c r="GM16" i="3" a="1"/>
  <c r="GM16" i="3" s="1"/>
  <c r="F60" i="4" s="1"/>
  <c r="GM167" i="3" a="1"/>
  <c r="GM167" i="3" s="1"/>
  <c r="GN167" i="3"/>
  <c r="GL167" i="3"/>
  <c r="GL161" i="3"/>
  <c r="GM161" i="3" a="1"/>
  <c r="GM161" i="3" s="1"/>
  <c r="GN161" i="3"/>
  <c r="GL47" i="3"/>
  <c r="GM47" i="3" a="1"/>
  <c r="GM47" i="3" s="1"/>
  <c r="GN47" i="3"/>
  <c r="GN159" i="3"/>
  <c r="GL159" i="3"/>
  <c r="GM159" i="3" a="1"/>
  <c r="GM159" i="3" s="1"/>
  <c r="GL71" i="3"/>
  <c r="GM71" i="3" a="1"/>
  <c r="GM71" i="3" s="1"/>
  <c r="GN71" i="3"/>
  <c r="GN153" i="3"/>
  <c r="GM153" i="3" a="1"/>
  <c r="GM153" i="3" s="1"/>
  <c r="GL153" i="3"/>
  <c r="GL41" i="3"/>
  <c r="GM41" i="3" a="1"/>
  <c r="GM41" i="3" s="1"/>
  <c r="GN41" i="3"/>
  <c r="GM128" i="3" a="1"/>
  <c r="GM128" i="3" s="1"/>
  <c r="GN128" i="3"/>
  <c r="GL128" i="3"/>
  <c r="GN64" i="3"/>
  <c r="GL64" i="3"/>
  <c r="GM64" i="3" a="1"/>
  <c r="GM64" i="3" s="1"/>
  <c r="GN166" i="3"/>
  <c r="GM166" i="3" a="1"/>
  <c r="GM166" i="3" s="1"/>
  <c r="GL166" i="3"/>
  <c r="GL102" i="3"/>
  <c r="GM102" i="3" a="1"/>
  <c r="GM102" i="3" s="1"/>
  <c r="GN102" i="3"/>
  <c r="GL38" i="3"/>
  <c r="GM38" i="3" a="1"/>
  <c r="GM38" i="3" s="1"/>
  <c r="GN38" i="3"/>
  <c r="GL141" i="3"/>
  <c r="GN141" i="3"/>
  <c r="GM141" i="3" a="1"/>
  <c r="GM141" i="3" s="1"/>
  <c r="GM77" i="3" a="1"/>
  <c r="GM77" i="3" s="1"/>
  <c r="GN77" i="3"/>
  <c r="GL77" i="3"/>
  <c r="GM14" i="3" a="1"/>
  <c r="GM14" i="3" s="1"/>
  <c r="GL14" i="3"/>
  <c r="GN14" i="3" s="1"/>
  <c r="GM116" i="3" a="1"/>
  <c r="GM116" i="3" s="1"/>
  <c r="GL116" i="3"/>
  <c r="GN116" i="3"/>
  <c r="GL52" i="3"/>
  <c r="GN52" i="3"/>
  <c r="GM52" i="3" a="1"/>
  <c r="GM52" i="3" s="1"/>
  <c r="GL139" i="3"/>
  <c r="GM139" i="3" a="1"/>
  <c r="GM139" i="3" s="1"/>
  <c r="GN139" i="3"/>
  <c r="GN75" i="3"/>
  <c r="GM75" i="3" a="1"/>
  <c r="GM75" i="3" s="1"/>
  <c r="GL75" i="3"/>
  <c r="GL138" i="3"/>
  <c r="GM138" i="3" a="1"/>
  <c r="GM138" i="3" s="1"/>
  <c r="GN138" i="3"/>
  <c r="GM146" i="3" a="1"/>
  <c r="GM146" i="3" s="1"/>
  <c r="GN146" i="3"/>
  <c r="GL146" i="3"/>
  <c r="GL97" i="3"/>
  <c r="GM97" i="3" a="1"/>
  <c r="GM97" i="3" s="1"/>
  <c r="GN97" i="3"/>
  <c r="GM143" i="3" a="1"/>
  <c r="GM143" i="3" s="1"/>
  <c r="GN143" i="3"/>
  <c r="GL143" i="3"/>
  <c r="GL48" i="3"/>
  <c r="GM48" i="3" a="1"/>
  <c r="GM48" i="3" s="1"/>
  <c r="GN48" i="3"/>
  <c r="GL61" i="3"/>
  <c r="GN61" i="3"/>
  <c r="GM61" i="3" a="1"/>
  <c r="GM61" i="3" s="1"/>
  <c r="GL65" i="3"/>
  <c r="GM65" i="3" a="1"/>
  <c r="GM65" i="3" s="1"/>
  <c r="GN65" i="3"/>
  <c r="GL12" i="3"/>
  <c r="GN12" i="3" s="1"/>
  <c r="GM12" i="3" a="1"/>
  <c r="GM12" i="3" s="1"/>
  <c r="F57" i="4" s="1"/>
  <c r="GM78" i="3" a="1"/>
  <c r="GM78" i="3" s="1"/>
  <c r="GL78" i="3"/>
  <c r="GN78" i="3"/>
  <c r="GN156" i="3"/>
  <c r="GM156" i="3" a="1"/>
  <c r="GM156" i="3" s="1"/>
  <c r="GL156" i="3"/>
  <c r="GL51" i="3"/>
  <c r="GM51" i="3" a="1"/>
  <c r="GM51" i="3" s="1"/>
  <c r="GN51" i="3"/>
  <c r="GM119" i="3" a="1"/>
  <c r="GM119" i="3" s="1"/>
  <c r="GL119" i="3"/>
  <c r="GN119" i="3"/>
  <c r="GL66" i="3"/>
  <c r="GM66" i="3" a="1"/>
  <c r="GM66" i="3" s="1"/>
  <c r="GN66" i="3"/>
  <c r="GL87" i="3"/>
  <c r="GN87" i="3"/>
  <c r="GM87" i="3" a="1"/>
  <c r="GM87" i="3" s="1"/>
  <c r="GL57" i="3"/>
  <c r="GN57" i="3"/>
  <c r="GM57" i="3" a="1"/>
  <c r="GM57" i="3" s="1"/>
  <c r="GM39" i="3" a="1"/>
  <c r="GM39" i="3" s="1"/>
  <c r="GN39" i="3"/>
  <c r="GL39" i="3"/>
  <c r="GL151" i="3"/>
  <c r="GN151" i="3"/>
  <c r="GM151" i="3" a="1"/>
  <c r="GM151" i="3" s="1"/>
  <c r="GM154" i="3" a="1"/>
  <c r="GM154" i="3" s="1"/>
  <c r="GL154" i="3"/>
  <c r="GN154" i="3"/>
  <c r="GL137" i="3"/>
  <c r="GM137" i="3" a="1"/>
  <c r="GM137" i="3" s="1"/>
  <c r="GN137" i="3"/>
  <c r="GM25" i="3" a="1"/>
  <c r="GM25" i="3" s="1"/>
  <c r="GL25" i="3"/>
  <c r="GN25" i="3" s="1"/>
  <c r="GM120" i="3" a="1"/>
  <c r="GM120" i="3" s="1"/>
  <c r="GL120" i="3"/>
  <c r="GN120" i="3"/>
  <c r="GL56" i="3"/>
  <c r="GN56" i="3"/>
  <c r="GM56" i="3" a="1"/>
  <c r="GM56" i="3" s="1"/>
  <c r="GL158" i="3"/>
  <c r="GN158" i="3"/>
  <c r="GM158" i="3" a="1"/>
  <c r="GM158" i="3" s="1"/>
  <c r="GN94" i="3"/>
  <c r="GL94" i="3"/>
  <c r="GM94" i="3" a="1"/>
  <c r="GM94" i="3" s="1"/>
  <c r="GL30" i="3"/>
  <c r="GN30" i="3" s="1"/>
  <c r="GM30" i="3" a="1"/>
  <c r="GM30" i="3" s="1"/>
  <c r="GL133" i="3"/>
  <c r="GM133" i="3" a="1"/>
  <c r="GM133" i="3" s="1"/>
  <c r="GN133" i="3"/>
  <c r="GN69" i="3"/>
  <c r="GM69" i="3" a="1"/>
  <c r="GM69" i="3" s="1"/>
  <c r="GL69" i="3"/>
  <c r="GL108" i="3"/>
  <c r="GN108" i="3"/>
  <c r="GM108" i="3" a="1"/>
  <c r="GM108" i="3" s="1"/>
  <c r="GL44" i="3"/>
  <c r="GM44" i="3" a="1"/>
  <c r="GM44" i="3" s="1"/>
  <c r="GN44" i="3"/>
  <c r="GN131" i="3"/>
  <c r="GM131" i="3" a="1"/>
  <c r="GM131" i="3" s="1"/>
  <c r="GL131" i="3"/>
  <c r="GL67" i="3"/>
  <c r="GM67" i="3" a="1"/>
  <c r="GM67" i="3" s="1"/>
  <c r="GN67" i="3"/>
  <c r="GL106" i="3"/>
  <c r="GM106" i="3" a="1"/>
  <c r="GM106" i="3" s="1"/>
  <c r="GN106" i="3"/>
  <c r="GN122" i="3"/>
  <c r="GL122" i="3"/>
  <c r="GM122" i="3" a="1"/>
  <c r="GM122" i="3" s="1"/>
  <c r="GM81" i="3" a="1"/>
  <c r="GM81" i="3" s="1"/>
  <c r="GN81" i="3"/>
  <c r="GL81" i="3"/>
  <c r="M61" i="4" l="1"/>
  <c r="N61" i="4" s="1"/>
  <c r="L61" i="4"/>
  <c r="O61" i="4"/>
  <c r="K61" i="4"/>
  <c r="K63" i="4"/>
  <c r="L63" i="4"/>
  <c r="M63" i="4"/>
  <c r="N63" i="4" s="1"/>
  <c r="O63" i="4"/>
  <c r="K62" i="4"/>
  <c r="L62" i="4"/>
  <c r="O62" i="4"/>
  <c r="M62" i="4"/>
  <c r="N62" i="4" s="1"/>
  <c r="L58" i="4"/>
  <c r="M58" i="4"/>
  <c r="N58" i="4" s="1"/>
  <c r="O58" i="4"/>
  <c r="K58" i="4"/>
  <c r="L56" i="4"/>
  <c r="O56" i="4"/>
  <c r="K56" i="4"/>
  <c r="M56" i="4"/>
  <c r="N56" i="4" s="1"/>
  <c r="HM53" i="3"/>
  <c r="HL54" i="3"/>
  <c r="O57" i="4"/>
  <c r="K57" i="4"/>
  <c r="L57" i="4"/>
  <c r="M57" i="4"/>
  <c r="N57" i="4" s="1"/>
  <c r="M64" i="4"/>
  <c r="N64" i="4" s="1"/>
  <c r="L64" i="4"/>
  <c r="O64" i="4"/>
  <c r="K64" i="4"/>
  <c r="M59" i="4"/>
  <c r="N59" i="4" s="1"/>
  <c r="K59" i="4"/>
  <c r="O59" i="4"/>
  <c r="L59" i="4"/>
  <c r="F55" i="4"/>
  <c r="FL90" i="3"/>
  <c r="FM90" i="3" s="1"/>
  <c r="FL119" i="3"/>
  <c r="FM119" i="3" s="1"/>
  <c r="FL142" i="3"/>
  <c r="FM142" i="3" s="1"/>
  <c r="FL69" i="3"/>
  <c r="FM69" i="3" s="1"/>
  <c r="FL160" i="3"/>
  <c r="FM160" i="3" s="1"/>
  <c r="FL57" i="3"/>
  <c r="FM57" i="3" s="1"/>
  <c r="FL96" i="3"/>
  <c r="FM96" i="3" s="1"/>
  <c r="FL58" i="3"/>
  <c r="FM58" i="3" s="1"/>
  <c r="FL123" i="3"/>
  <c r="FM123" i="3" s="1"/>
  <c r="FL94" i="3"/>
  <c r="FM94" i="3" s="1"/>
  <c r="FL83" i="3"/>
  <c r="FM83" i="3" s="1"/>
  <c r="FL29" i="3"/>
  <c r="FM29" i="3" s="1"/>
  <c r="FL36" i="3"/>
  <c r="FM36" i="3" s="1"/>
  <c r="FL107" i="3"/>
  <c r="FM107" i="3" s="1"/>
  <c r="FL101" i="3"/>
  <c r="FM101" i="3" s="1"/>
  <c r="FL131" i="3"/>
  <c r="FM131" i="3" s="1"/>
  <c r="FL70" i="3"/>
  <c r="FM70" i="3" s="1"/>
  <c r="FL53" i="3"/>
  <c r="FM53" i="3" s="1"/>
  <c r="FL41" i="3"/>
  <c r="FM41" i="3" s="1"/>
  <c r="FL75" i="3"/>
  <c r="FM75" i="3" s="1"/>
  <c r="FL145" i="3"/>
  <c r="FM145" i="3" s="1"/>
  <c r="FL22" i="3"/>
  <c r="FM22" i="3" s="1"/>
  <c r="FL26" i="3"/>
  <c r="FM26" i="3" s="1"/>
  <c r="FL16" i="3"/>
  <c r="FM16" i="3" s="1"/>
  <c r="FL24" i="3"/>
  <c r="FM24" i="3" s="1"/>
  <c r="FL93" i="3"/>
  <c r="FM93" i="3" s="1"/>
  <c r="FL111" i="3"/>
  <c r="FM111" i="3" s="1"/>
  <c r="FL11" i="3"/>
  <c r="FM11" i="3" s="1"/>
  <c r="FL18" i="3"/>
  <c r="FM18" i="3" s="1"/>
  <c r="FL14" i="3"/>
  <c r="FM14" i="3" s="1"/>
  <c r="FL52" i="3"/>
  <c r="FM52" i="3" s="1"/>
  <c r="FL88" i="3"/>
  <c r="FM88" i="3" s="1"/>
  <c r="FL92" i="3"/>
  <c r="FM92" i="3" s="1"/>
  <c r="FL98" i="3"/>
  <c r="FM98" i="3" s="1"/>
  <c r="FL128" i="3"/>
  <c r="FM128" i="3" s="1"/>
  <c r="FL141" i="3"/>
  <c r="FM141" i="3" s="1"/>
  <c r="FL130" i="3"/>
  <c r="FM130" i="3" s="1"/>
  <c r="FL56" i="3"/>
  <c r="FM56" i="3" s="1"/>
  <c r="FL162" i="3"/>
  <c r="FM162" i="3" s="1"/>
  <c r="FL23" i="3"/>
  <c r="FM23" i="3" s="1"/>
  <c r="FL62" i="3"/>
  <c r="FM62" i="3" s="1"/>
  <c r="FL84" i="3"/>
  <c r="FM84" i="3" s="1"/>
  <c r="FL15" i="3"/>
  <c r="FM15" i="3" s="1"/>
  <c r="FL124" i="3"/>
  <c r="FM124" i="3" s="1"/>
  <c r="FL82" i="3"/>
  <c r="FM82" i="3" s="1"/>
  <c r="FL138" i="3"/>
  <c r="FM138" i="3" s="1"/>
  <c r="FL154" i="3"/>
  <c r="FM154" i="3" s="1"/>
  <c r="FL87" i="3"/>
  <c r="FM87" i="3" s="1"/>
  <c r="FL30" i="3"/>
  <c r="FM30" i="3" s="1"/>
  <c r="FL27" i="3"/>
  <c r="FM27" i="3" s="1"/>
  <c r="FL55" i="3"/>
  <c r="FM55" i="3" s="1"/>
  <c r="FL97" i="3"/>
  <c r="FM97" i="3" s="1"/>
  <c r="FL99" i="3"/>
  <c r="FM99" i="3" s="1"/>
  <c r="FL54" i="3"/>
  <c r="FM54" i="3" s="1"/>
  <c r="FL109" i="3"/>
  <c r="FM109" i="3" s="1"/>
  <c r="FL71" i="3"/>
  <c r="FM71" i="3" s="1"/>
  <c r="FL158" i="3"/>
  <c r="FM158" i="3" s="1"/>
  <c r="FL68" i="3"/>
  <c r="FM68" i="3" s="1"/>
  <c r="FL157" i="3"/>
  <c r="FM157" i="3" s="1"/>
  <c r="FL144" i="3"/>
  <c r="FM144" i="3" s="1"/>
  <c r="FL85" i="3"/>
  <c r="FM85" i="3" s="1"/>
  <c r="FL34" i="3"/>
  <c r="FM34" i="3" s="1"/>
  <c r="FL73" i="3"/>
  <c r="FM73" i="3" s="1"/>
  <c r="FL159" i="3"/>
  <c r="FM159" i="3" s="1"/>
  <c r="FL12" i="3"/>
  <c r="FM12" i="3" s="1"/>
  <c r="FL143" i="3"/>
  <c r="FM143" i="3" s="1"/>
  <c r="FL100" i="3"/>
  <c r="FM100" i="3" s="1"/>
  <c r="FL135" i="3"/>
  <c r="FM135" i="3" s="1"/>
  <c r="FL25" i="3"/>
  <c r="FM25" i="3" s="1"/>
  <c r="FL72" i="3"/>
  <c r="FM72" i="3" s="1"/>
  <c r="FL66" i="3"/>
  <c r="FM66" i="3" s="1"/>
  <c r="FL121" i="3"/>
  <c r="FM121" i="3" s="1"/>
  <c r="FL137" i="3"/>
  <c r="FM137" i="3" s="1"/>
  <c r="FL152" i="3"/>
  <c r="FM152" i="3" s="1"/>
  <c r="FL104" i="3"/>
  <c r="FM104" i="3" s="1"/>
  <c r="FL89" i="3"/>
  <c r="FM89" i="3" s="1"/>
  <c r="FL132" i="3"/>
  <c r="FM132" i="3" s="1"/>
  <c r="FL127" i="3"/>
  <c r="FM127" i="3" s="1"/>
  <c r="FL149" i="3"/>
  <c r="FM149" i="3" s="1"/>
  <c r="FL35" i="3"/>
  <c r="FM35" i="3" s="1"/>
  <c r="FL21" i="3"/>
  <c r="FM21" i="3" s="1"/>
  <c r="FL139" i="3"/>
  <c r="FM139" i="3" s="1"/>
  <c r="FL156" i="3"/>
  <c r="FM156" i="3" s="1"/>
  <c r="FL161" i="3"/>
  <c r="FM161" i="3" s="1"/>
  <c r="FL106" i="3"/>
  <c r="FM106" i="3" s="1"/>
  <c r="FL49" i="3"/>
  <c r="FM49" i="3" s="1"/>
  <c r="FL42" i="3"/>
  <c r="FM42" i="3" s="1"/>
  <c r="FL59" i="3"/>
  <c r="FM59" i="3" s="1"/>
  <c r="FL64" i="3"/>
  <c r="FM64" i="3" s="1"/>
  <c r="FL39" i="3"/>
  <c r="FM39" i="3" s="1"/>
  <c r="FL19" i="3"/>
  <c r="FM19" i="3" s="1"/>
  <c r="FL102" i="3"/>
  <c r="FM102" i="3" s="1"/>
  <c r="FL37" i="3"/>
  <c r="FM37" i="3" s="1"/>
  <c r="FL65" i="3"/>
  <c r="FM65" i="3" s="1"/>
  <c r="FL91" i="3"/>
  <c r="FM91" i="3" s="1"/>
  <c r="FL125" i="3"/>
  <c r="FM125" i="3" s="1"/>
  <c r="FL44" i="3"/>
  <c r="FM44" i="3" s="1"/>
  <c r="FL67" i="3"/>
  <c r="FM67" i="3" s="1"/>
  <c r="FL40" i="3"/>
  <c r="FM40" i="3" s="1"/>
  <c r="FL136" i="3"/>
  <c r="FM136" i="3" s="1"/>
  <c r="FL60" i="3"/>
  <c r="FM60" i="3" s="1"/>
  <c r="FL151" i="3"/>
  <c r="FM151" i="3" s="1"/>
  <c r="FL110" i="3"/>
  <c r="FM110" i="3" s="1"/>
  <c r="FL38" i="3"/>
  <c r="FM38" i="3" s="1"/>
  <c r="FL120" i="3"/>
  <c r="FM120" i="3" s="1"/>
  <c r="FL105" i="3"/>
  <c r="FM105" i="3" s="1"/>
  <c r="FL129" i="3"/>
  <c r="FM129" i="3" s="1"/>
  <c r="FL126" i="3"/>
  <c r="FM126" i="3" s="1"/>
  <c r="FL63" i="3"/>
  <c r="FM63" i="3" s="1"/>
  <c r="FL28" i="3"/>
  <c r="FM28" i="3" s="1"/>
  <c r="FL113" i="3"/>
  <c r="FM113" i="3" s="1"/>
  <c r="FL163" i="3"/>
  <c r="FM163" i="3" s="1"/>
  <c r="FL20" i="3"/>
  <c r="FM20" i="3" s="1"/>
  <c r="FL46" i="3"/>
  <c r="FM46" i="3" s="1"/>
  <c r="FL43" i="3"/>
  <c r="FM43" i="3" s="1"/>
  <c r="FL47" i="3"/>
  <c r="FM47" i="3" s="1"/>
  <c r="FL48" i="3"/>
  <c r="FM48" i="3" s="1"/>
  <c r="FL122" i="3"/>
  <c r="FM122" i="3" s="1"/>
  <c r="FL50" i="3"/>
  <c r="FM50" i="3" s="1"/>
  <c r="FL148" i="3"/>
  <c r="FM148" i="3" s="1"/>
  <c r="FL118" i="3"/>
  <c r="FM118" i="3" s="1"/>
  <c r="FL86" i="3"/>
  <c r="FM86" i="3" s="1"/>
  <c r="FL61" i="3"/>
  <c r="FM61" i="3" s="1"/>
  <c r="FL51" i="3"/>
  <c r="FM51" i="3" s="1"/>
  <c r="M60" i="4"/>
  <c r="N60" i="4" s="1"/>
  <c r="L60" i="4"/>
  <c r="K60" i="4"/>
  <c r="O60" i="4"/>
  <c r="GN10" i="3"/>
  <c r="FL33" i="3" s="1"/>
  <c r="FM33" i="3" s="1"/>
  <c r="GL6" i="3"/>
  <c r="FX4" i="3"/>
  <c r="FO33" i="3" l="1"/>
  <c r="FP33" i="3" s="1"/>
  <c r="FN33" i="3"/>
  <c r="FO126" i="3"/>
  <c r="FP126" i="3" s="1"/>
  <c r="FN126" i="3"/>
  <c r="FN127" i="3"/>
  <c r="FO127" i="3"/>
  <c r="FP127" i="3" s="1"/>
  <c r="FQ127" i="3" s="1"/>
  <c r="FN93" i="3"/>
  <c r="FO93" i="3"/>
  <c r="FP93" i="3" s="1"/>
  <c r="FO46" i="3"/>
  <c r="FP46" i="3" s="1"/>
  <c r="FN46" i="3"/>
  <c r="FN156" i="3"/>
  <c r="FO156" i="3"/>
  <c r="FP156" i="3" s="1"/>
  <c r="FN87" i="3"/>
  <c r="FO87" i="3"/>
  <c r="FP87" i="3" s="1"/>
  <c r="FO69" i="3"/>
  <c r="FP69" i="3" s="1"/>
  <c r="FN69" i="3"/>
  <c r="FN148" i="3"/>
  <c r="FO148" i="3"/>
  <c r="FP148" i="3" s="1"/>
  <c r="FO105" i="3"/>
  <c r="FP105" i="3" s="1"/>
  <c r="FN105" i="3"/>
  <c r="FN67" i="3"/>
  <c r="FO67" i="3"/>
  <c r="FP67" i="3" s="1"/>
  <c r="FN39" i="3"/>
  <c r="FO39" i="3"/>
  <c r="FP39" i="3" s="1"/>
  <c r="FO139" i="3"/>
  <c r="FP139" i="3" s="1"/>
  <c r="FN139" i="3"/>
  <c r="FO89" i="3"/>
  <c r="FP89" i="3" s="1"/>
  <c r="FN89" i="3"/>
  <c r="FN25" i="3"/>
  <c r="FO25" i="3"/>
  <c r="FP25" i="3" s="1"/>
  <c r="FN85" i="3"/>
  <c r="FO85" i="3"/>
  <c r="FP85" i="3" s="1"/>
  <c r="FN54" i="3"/>
  <c r="FO54" i="3"/>
  <c r="FP54" i="3" s="1"/>
  <c r="FN154" i="3"/>
  <c r="FO154" i="3"/>
  <c r="FP154" i="3" s="1"/>
  <c r="FN23" i="3"/>
  <c r="FO23" i="3"/>
  <c r="FP23" i="3" s="1"/>
  <c r="FN88" i="3"/>
  <c r="FO88" i="3"/>
  <c r="FP88" i="3" s="1"/>
  <c r="FL32" i="3"/>
  <c r="FM32" i="3" s="1"/>
  <c r="FN41" i="3"/>
  <c r="FO41" i="3"/>
  <c r="FP41" i="3" s="1"/>
  <c r="FN83" i="3"/>
  <c r="FO83" i="3"/>
  <c r="FP83" i="3" s="1"/>
  <c r="FO142" i="3"/>
  <c r="FP142" i="3" s="1"/>
  <c r="FN142" i="3"/>
  <c r="HM54" i="3"/>
  <c r="HL55" i="3"/>
  <c r="FN102" i="3"/>
  <c r="FO102" i="3"/>
  <c r="FP102" i="3" s="1"/>
  <c r="FO71" i="3"/>
  <c r="FP71" i="3" s="1"/>
  <c r="FN71" i="3"/>
  <c r="FO98" i="3"/>
  <c r="FP98" i="3" s="1"/>
  <c r="FN98" i="3"/>
  <c r="FN160" i="3"/>
  <c r="FO160" i="3"/>
  <c r="FP160" i="3" s="1"/>
  <c r="FN129" i="3"/>
  <c r="FO129" i="3"/>
  <c r="FP129" i="3" s="1"/>
  <c r="FO34" i="3"/>
  <c r="FP34" i="3" s="1"/>
  <c r="FN34" i="3"/>
  <c r="FO92" i="3"/>
  <c r="FP92" i="3" s="1"/>
  <c r="FN92" i="3"/>
  <c r="FO75" i="3"/>
  <c r="FP75" i="3" s="1"/>
  <c r="FN75" i="3"/>
  <c r="FO20" i="3"/>
  <c r="FP20" i="3" s="1"/>
  <c r="FN20" i="3"/>
  <c r="FN50" i="3"/>
  <c r="FO50" i="3"/>
  <c r="FP50" i="3" s="1"/>
  <c r="FN120" i="3"/>
  <c r="FO120" i="3"/>
  <c r="FP120" i="3" s="1"/>
  <c r="FN44" i="3"/>
  <c r="FO44" i="3"/>
  <c r="FP44" i="3" s="1"/>
  <c r="FO64" i="3"/>
  <c r="FP64" i="3" s="1"/>
  <c r="FN64" i="3"/>
  <c r="FL155" i="3"/>
  <c r="FM155" i="3" s="1"/>
  <c r="FO104" i="3"/>
  <c r="FP104" i="3" s="1"/>
  <c r="FN104" i="3"/>
  <c r="FO135" i="3"/>
  <c r="FP135" i="3" s="1"/>
  <c r="FN135" i="3"/>
  <c r="FO144" i="3"/>
  <c r="FP144" i="3" s="1"/>
  <c r="FN144" i="3"/>
  <c r="FN99" i="3"/>
  <c r="FO99" i="3"/>
  <c r="FP99" i="3" s="1"/>
  <c r="FN138" i="3"/>
  <c r="FO138" i="3"/>
  <c r="FP138" i="3" s="1"/>
  <c r="FN162" i="3"/>
  <c r="FO162" i="3"/>
  <c r="FP162" i="3" s="1"/>
  <c r="FN52" i="3"/>
  <c r="FO52" i="3"/>
  <c r="FP52" i="3" s="1"/>
  <c r="FN16" i="3"/>
  <c r="FO16" i="3"/>
  <c r="FP16" i="3" s="1"/>
  <c r="FN53" i="3"/>
  <c r="FO53" i="3"/>
  <c r="FP53" i="3" s="1"/>
  <c r="FN94" i="3"/>
  <c r="FO94" i="3"/>
  <c r="FP94" i="3" s="1"/>
  <c r="FO119" i="3"/>
  <c r="FP119" i="3" s="1"/>
  <c r="FN119" i="3"/>
  <c r="FN19" i="3"/>
  <c r="FO19" i="3"/>
  <c r="FP19" i="3" s="1"/>
  <c r="FN24" i="3"/>
  <c r="FO24" i="3"/>
  <c r="FP24" i="3" s="1"/>
  <c r="FN122" i="3"/>
  <c r="FO122" i="3"/>
  <c r="FP122" i="3" s="1"/>
  <c r="FL17" i="3"/>
  <c r="FM17" i="3" s="1"/>
  <c r="FN38" i="3"/>
  <c r="FO38" i="3"/>
  <c r="FP38" i="3" s="1"/>
  <c r="FO125" i="3"/>
  <c r="FP125" i="3" s="1"/>
  <c r="FN125" i="3"/>
  <c r="FN59" i="3"/>
  <c r="FO59" i="3"/>
  <c r="FP59" i="3" s="1"/>
  <c r="FN21" i="3"/>
  <c r="FO21" i="3"/>
  <c r="FP21" i="3" s="1"/>
  <c r="FO152" i="3"/>
  <c r="FP152" i="3" s="1"/>
  <c r="FN152" i="3"/>
  <c r="FO100" i="3"/>
  <c r="FP100" i="3" s="1"/>
  <c r="FN100" i="3"/>
  <c r="FN157" i="3"/>
  <c r="FO157" i="3"/>
  <c r="FP157" i="3" s="1"/>
  <c r="FN97" i="3"/>
  <c r="FO97" i="3"/>
  <c r="FP97" i="3" s="1"/>
  <c r="FN82" i="3"/>
  <c r="FO82" i="3"/>
  <c r="FP82" i="3" s="1"/>
  <c r="FN56" i="3"/>
  <c r="FO56" i="3"/>
  <c r="FP56" i="3" s="1"/>
  <c r="FO14" i="3"/>
  <c r="FP14" i="3" s="1"/>
  <c r="FN14" i="3"/>
  <c r="FO26" i="3"/>
  <c r="FP26" i="3" s="1"/>
  <c r="FN26" i="3"/>
  <c r="FN70" i="3"/>
  <c r="FO70" i="3"/>
  <c r="FP70" i="3" s="1"/>
  <c r="FO123" i="3"/>
  <c r="FP123" i="3" s="1"/>
  <c r="FN123" i="3"/>
  <c r="FO90" i="3"/>
  <c r="FP90" i="3" s="1"/>
  <c r="FN90" i="3"/>
  <c r="FN136" i="3"/>
  <c r="FO136" i="3"/>
  <c r="FP136" i="3" s="1"/>
  <c r="FN73" i="3"/>
  <c r="FO73" i="3"/>
  <c r="FP73" i="3" s="1"/>
  <c r="FL74" i="3"/>
  <c r="FM74" i="3" s="1"/>
  <c r="FO118" i="3"/>
  <c r="FP118" i="3" s="1"/>
  <c r="FN118" i="3"/>
  <c r="FN132" i="3"/>
  <c r="FO132" i="3"/>
  <c r="FP132" i="3" s="1"/>
  <c r="FN62" i="3"/>
  <c r="FO62" i="3"/>
  <c r="FP62" i="3" s="1"/>
  <c r="FN29" i="3"/>
  <c r="FO29" i="3"/>
  <c r="FP29" i="3" s="1"/>
  <c r="FO163" i="3"/>
  <c r="FP163" i="3" s="1"/>
  <c r="FN163" i="3"/>
  <c r="FL10" i="3"/>
  <c r="FL31" i="3"/>
  <c r="FM31" i="3" s="1"/>
  <c r="FN113" i="3"/>
  <c r="FO113" i="3"/>
  <c r="FP113" i="3" s="1"/>
  <c r="FO110" i="3"/>
  <c r="FP110" i="3" s="1"/>
  <c r="FN110" i="3"/>
  <c r="FN91" i="3"/>
  <c r="FO91" i="3"/>
  <c r="FP91" i="3" s="1"/>
  <c r="FO42" i="3"/>
  <c r="FP42" i="3" s="1"/>
  <c r="FN42" i="3"/>
  <c r="FL76" i="3"/>
  <c r="FM76" i="3" s="1"/>
  <c r="FO137" i="3"/>
  <c r="FP137" i="3" s="1"/>
  <c r="FN137" i="3"/>
  <c r="FN143" i="3"/>
  <c r="FO143" i="3"/>
  <c r="FP143" i="3" s="1"/>
  <c r="FN68" i="3"/>
  <c r="FO68" i="3"/>
  <c r="FP68" i="3" s="1"/>
  <c r="FN55" i="3"/>
  <c r="FO55" i="3"/>
  <c r="FP55" i="3" s="1"/>
  <c r="FN124" i="3"/>
  <c r="FO124" i="3"/>
  <c r="FP124" i="3" s="1"/>
  <c r="FO130" i="3"/>
  <c r="FP130" i="3" s="1"/>
  <c r="FN130" i="3"/>
  <c r="FN18" i="3"/>
  <c r="FO18" i="3"/>
  <c r="FP18" i="3" s="1"/>
  <c r="FL140" i="3"/>
  <c r="FM140" i="3" s="1"/>
  <c r="FO131" i="3"/>
  <c r="FP131" i="3" s="1"/>
  <c r="FN131" i="3"/>
  <c r="FN58" i="3"/>
  <c r="FO58" i="3"/>
  <c r="FP58" i="3" s="1"/>
  <c r="K55" i="4"/>
  <c r="M55" i="4"/>
  <c r="N55" i="4" s="1"/>
  <c r="O55" i="4"/>
  <c r="L55" i="4"/>
  <c r="FO86" i="3"/>
  <c r="FP86" i="3" s="1"/>
  <c r="FN86" i="3"/>
  <c r="FN161" i="3"/>
  <c r="FO161" i="3"/>
  <c r="FP161" i="3" s="1"/>
  <c r="FL78" i="3"/>
  <c r="FM78" i="3" s="1"/>
  <c r="FN40" i="3"/>
  <c r="FO40" i="3"/>
  <c r="FP40" i="3" s="1"/>
  <c r="FN109" i="3"/>
  <c r="FO109" i="3"/>
  <c r="FP109" i="3" s="1"/>
  <c r="FO51" i="3"/>
  <c r="FP51" i="3" s="1"/>
  <c r="FN51" i="3"/>
  <c r="FN48" i="3"/>
  <c r="FO48" i="3"/>
  <c r="FP48" i="3" s="1"/>
  <c r="FN28" i="3"/>
  <c r="FO28" i="3"/>
  <c r="FP28" i="3" s="1"/>
  <c r="FN151" i="3"/>
  <c r="FO151" i="3"/>
  <c r="FP151" i="3" s="1"/>
  <c r="FN65" i="3"/>
  <c r="FO65" i="3"/>
  <c r="FP65" i="3" s="1"/>
  <c r="FN49" i="3"/>
  <c r="FO49" i="3"/>
  <c r="FP49" i="3" s="1"/>
  <c r="FN35" i="3"/>
  <c r="FO35" i="3"/>
  <c r="FP35" i="3" s="1"/>
  <c r="FN121" i="3"/>
  <c r="FO121" i="3"/>
  <c r="FP121" i="3" s="1"/>
  <c r="FO12" i="3"/>
  <c r="FP12" i="3" s="1"/>
  <c r="FN12" i="3"/>
  <c r="FO158" i="3"/>
  <c r="FP158" i="3" s="1"/>
  <c r="FN158" i="3"/>
  <c r="FN27" i="3"/>
  <c r="FO27" i="3"/>
  <c r="FP27" i="3" s="1"/>
  <c r="FO15" i="3"/>
  <c r="FP15" i="3" s="1"/>
  <c r="FN15" i="3"/>
  <c r="FN141" i="3"/>
  <c r="FO141" i="3"/>
  <c r="FP141" i="3" s="1"/>
  <c r="FN11" i="3"/>
  <c r="FO11" i="3"/>
  <c r="FP11" i="3" s="1"/>
  <c r="FO22" i="3"/>
  <c r="FP22" i="3" s="1"/>
  <c r="FN22" i="3"/>
  <c r="FN101" i="3"/>
  <c r="FO101" i="3"/>
  <c r="FP101" i="3" s="1"/>
  <c r="FN96" i="3"/>
  <c r="FO96" i="3"/>
  <c r="FP96" i="3" s="1"/>
  <c r="FN43" i="3"/>
  <c r="FO43" i="3"/>
  <c r="FP43" i="3" s="1"/>
  <c r="FO66" i="3"/>
  <c r="FP66" i="3" s="1"/>
  <c r="FN66" i="3"/>
  <c r="FL77" i="3"/>
  <c r="FM77" i="3" s="1"/>
  <c r="FN36" i="3"/>
  <c r="FO36" i="3"/>
  <c r="FP36" i="3" s="1"/>
  <c r="FN72" i="3"/>
  <c r="FO72" i="3"/>
  <c r="FP72" i="3" s="1"/>
  <c r="FO61" i="3"/>
  <c r="FP61" i="3" s="1"/>
  <c r="FN61" i="3"/>
  <c r="FN47" i="3"/>
  <c r="FO47" i="3"/>
  <c r="FP47" i="3" s="1"/>
  <c r="FN63" i="3"/>
  <c r="FO63" i="3"/>
  <c r="FP63" i="3" s="1"/>
  <c r="FN60" i="3"/>
  <c r="FO60" i="3"/>
  <c r="FP60" i="3" s="1"/>
  <c r="FN37" i="3"/>
  <c r="FO37" i="3"/>
  <c r="FP37" i="3" s="1"/>
  <c r="FN106" i="3"/>
  <c r="FO106" i="3"/>
  <c r="FP106" i="3" s="1"/>
  <c r="FN149" i="3"/>
  <c r="FO149" i="3"/>
  <c r="FP149" i="3" s="1"/>
  <c r="FL13" i="3"/>
  <c r="FM13" i="3" s="1"/>
  <c r="FN159" i="3"/>
  <c r="FO159" i="3"/>
  <c r="FP159" i="3" s="1"/>
  <c r="FN30" i="3"/>
  <c r="FO30" i="3"/>
  <c r="FP30" i="3" s="1"/>
  <c r="FN84" i="3"/>
  <c r="FO84" i="3"/>
  <c r="FP84" i="3" s="1"/>
  <c r="FO128" i="3"/>
  <c r="FP128" i="3" s="1"/>
  <c r="FN128" i="3"/>
  <c r="FN111" i="3"/>
  <c r="FO111" i="3"/>
  <c r="FP111" i="3" s="1"/>
  <c r="FN145" i="3"/>
  <c r="FO145" i="3"/>
  <c r="FP145" i="3" s="1"/>
  <c r="FN107" i="3"/>
  <c r="FO107" i="3"/>
  <c r="FP107" i="3" s="1"/>
  <c r="FN57" i="3"/>
  <c r="FO57" i="3"/>
  <c r="FP57" i="3" s="1"/>
  <c r="FN140" i="3" l="1"/>
  <c r="FO140" i="3"/>
  <c r="FP140" i="3" s="1"/>
  <c r="FQ4" i="3"/>
  <c r="FO78" i="3"/>
  <c r="FP78" i="3" s="1"/>
  <c r="FN78" i="3"/>
  <c r="FO77" i="3"/>
  <c r="FP77" i="3" s="1"/>
  <c r="FN77" i="3"/>
  <c r="FN31" i="3"/>
  <c r="FO31" i="3"/>
  <c r="FP31" i="3" s="1"/>
  <c r="FN74" i="3"/>
  <c r="FO74" i="3"/>
  <c r="FP74" i="3" s="1"/>
  <c r="FO155" i="3"/>
  <c r="FP155" i="3" s="1"/>
  <c r="FN155" i="3"/>
  <c r="FL6" i="3"/>
  <c r="FM10" i="3"/>
  <c r="FO13" i="3"/>
  <c r="FP13" i="3" s="1"/>
  <c r="FN13" i="3"/>
  <c r="FN76" i="3"/>
  <c r="FO76" i="3"/>
  <c r="FP76" i="3" s="1"/>
  <c r="FN17" i="3"/>
  <c r="FO17" i="3"/>
  <c r="FP17" i="3" s="1"/>
  <c r="HL56" i="3"/>
  <c r="HM55" i="3"/>
  <c r="FN32" i="3"/>
  <c r="FO32" i="3"/>
  <c r="FP32" i="3" s="1"/>
  <c r="FO10" i="3" l="1"/>
  <c r="FO6" i="3" s="1"/>
  <c r="FM6" i="3"/>
  <c r="FN10" i="3"/>
  <c r="FQ5" i="3"/>
  <c r="FQ6" i="3" s="1"/>
  <c r="K38" i="4"/>
  <c r="HL57" i="3"/>
  <c r="HM56" i="3"/>
  <c r="FP10" i="3" l="1"/>
  <c r="HM57" i="3"/>
  <c r="HL58" i="3"/>
  <c r="FP6" i="3"/>
  <c r="FR43" i="3"/>
  <c r="FS43" i="3" s="1"/>
  <c r="FR53" i="3"/>
  <c r="FS53" i="3" s="1"/>
  <c r="FR62" i="3"/>
  <c r="FS62" i="3" s="1"/>
  <c r="FR67" i="3"/>
  <c r="FS67" i="3" s="1"/>
  <c r="FR110" i="3"/>
  <c r="FS110" i="3" s="1"/>
  <c r="FR143" i="3"/>
  <c r="FS143" i="3" s="1"/>
  <c r="FT143" i="3" s="1"/>
  <c r="FR165" i="3"/>
  <c r="FS165" i="3" s="1"/>
  <c r="FR121" i="3"/>
  <c r="FS121" i="3" s="1"/>
  <c r="FR50" i="3"/>
  <c r="FS50" i="3" s="1"/>
  <c r="FR60" i="3"/>
  <c r="FS60" i="3" s="1"/>
  <c r="FR78" i="3"/>
  <c r="FS78" i="3" s="1"/>
  <c r="FR154" i="3"/>
  <c r="FS154" i="3" s="1"/>
  <c r="FR76" i="3"/>
  <c r="FS76" i="3" s="1"/>
  <c r="FR131" i="3"/>
  <c r="FS131" i="3" s="1"/>
  <c r="FR111" i="3"/>
  <c r="FS111" i="3" s="1"/>
  <c r="FT111" i="3" s="1"/>
  <c r="FR114" i="3"/>
  <c r="FS114" i="3" s="1"/>
  <c r="FR141" i="3"/>
  <c r="FS141" i="3" s="1"/>
  <c r="FR153" i="3"/>
  <c r="FS153" i="3" s="1"/>
  <c r="FR20" i="3"/>
  <c r="FS20" i="3" s="1"/>
  <c r="FR34" i="3"/>
  <c r="FS34" i="3" s="1"/>
  <c r="FT34" i="3" s="1"/>
  <c r="FR48" i="3"/>
  <c r="FS48" i="3" s="1"/>
  <c r="FR55" i="3"/>
  <c r="FS55" i="3" s="1"/>
  <c r="FR66" i="3"/>
  <c r="FS66" i="3" s="1"/>
  <c r="FR72" i="3"/>
  <c r="FS72" i="3" s="1"/>
  <c r="FR112" i="3"/>
  <c r="FS112" i="3" s="1"/>
  <c r="FR145" i="3"/>
  <c r="FS145" i="3" s="1"/>
  <c r="FR166" i="3"/>
  <c r="FS166" i="3" s="1"/>
  <c r="FR79" i="3"/>
  <c r="FS79" i="3" s="1"/>
  <c r="FR44" i="3"/>
  <c r="FS44" i="3" s="1"/>
  <c r="FR57" i="3"/>
  <c r="FS57" i="3" s="1"/>
  <c r="FT57" i="3" s="1"/>
  <c r="FR13" i="3"/>
  <c r="FS13" i="3" s="1"/>
  <c r="FR116" i="3"/>
  <c r="FS116" i="3" s="1"/>
  <c r="FR21" i="3"/>
  <c r="FS21" i="3" s="1"/>
  <c r="FR40" i="3"/>
  <c r="FS40" i="3" s="1"/>
  <c r="FR51" i="3"/>
  <c r="FS51" i="3" s="1"/>
  <c r="FR68" i="3"/>
  <c r="FS68" i="3" s="1"/>
  <c r="FR71" i="3"/>
  <c r="FS71" i="3" s="1"/>
  <c r="FR98" i="3"/>
  <c r="FS98" i="3" s="1"/>
  <c r="FR99" i="3"/>
  <c r="FS99" i="3" s="1"/>
  <c r="FR135" i="3"/>
  <c r="FS135" i="3" s="1"/>
  <c r="FR152" i="3"/>
  <c r="FS152" i="3" s="1"/>
  <c r="FR23" i="3"/>
  <c r="FS23" i="3" s="1"/>
  <c r="FR22" i="3"/>
  <c r="FS22" i="3" s="1"/>
  <c r="FR163" i="3"/>
  <c r="FS163" i="3" s="1"/>
  <c r="FR18" i="3"/>
  <c r="FS18" i="3" s="1"/>
  <c r="FT18" i="3" s="1"/>
  <c r="FR101" i="3"/>
  <c r="FS101" i="3" s="1"/>
  <c r="FR146" i="3"/>
  <c r="FS146" i="3" s="1"/>
  <c r="FR118" i="3"/>
  <c r="FS118" i="3" s="1"/>
  <c r="FR90" i="3"/>
  <c r="FS90" i="3" s="1"/>
  <c r="FR108" i="3"/>
  <c r="FS108" i="3" s="1"/>
  <c r="FR123" i="3"/>
  <c r="FS123" i="3" s="1"/>
  <c r="FR24" i="3"/>
  <c r="FS24" i="3" s="1"/>
  <c r="FR14" i="3"/>
  <c r="FS14" i="3" s="1"/>
  <c r="FT14" i="3" s="1"/>
  <c r="FR42" i="3"/>
  <c r="FS42" i="3" s="1"/>
  <c r="FR73" i="3"/>
  <c r="FS73" i="3" s="1"/>
  <c r="FR94" i="3"/>
  <c r="FS94" i="3" s="1"/>
  <c r="FR81" i="3"/>
  <c r="FS81" i="3" s="1"/>
  <c r="FR156" i="3"/>
  <c r="FS156" i="3" s="1"/>
  <c r="FR122" i="3"/>
  <c r="FS122" i="3" s="1"/>
  <c r="FR115" i="3"/>
  <c r="FS115" i="3" s="1"/>
  <c r="FR87" i="3"/>
  <c r="FS87" i="3" s="1"/>
  <c r="FR56" i="3"/>
  <c r="FS56" i="3" s="1"/>
  <c r="FR37" i="3"/>
  <c r="FS37" i="3" s="1"/>
  <c r="FR58" i="3"/>
  <c r="FS58" i="3" s="1"/>
  <c r="FT58" i="3" s="1"/>
  <c r="FR52" i="3"/>
  <c r="FS52" i="3" s="1"/>
  <c r="FR38" i="3"/>
  <c r="FS38" i="3" s="1"/>
  <c r="FR65" i="3"/>
  <c r="FS65" i="3" s="1"/>
  <c r="FR84" i="3"/>
  <c r="FS84" i="3" s="1"/>
  <c r="FR162" i="3"/>
  <c r="FS162" i="3" s="1"/>
  <c r="FR157" i="3"/>
  <c r="FS157" i="3" s="1"/>
  <c r="FR102" i="3"/>
  <c r="FS102" i="3" s="1"/>
  <c r="FR69" i="3"/>
  <c r="FS69" i="3" s="1"/>
  <c r="FR26" i="3"/>
  <c r="FS26" i="3" s="1"/>
  <c r="FR142" i="3"/>
  <c r="FS142" i="3" s="1"/>
  <c r="FR139" i="3"/>
  <c r="FS139" i="3" s="1"/>
  <c r="FR17" i="3"/>
  <c r="FS17" i="3" s="1"/>
  <c r="FR46" i="3"/>
  <c r="FS46" i="3" s="1"/>
  <c r="FR88" i="3"/>
  <c r="FS88" i="3" s="1"/>
  <c r="FR155" i="3"/>
  <c r="FS155" i="3" s="1"/>
  <c r="FR132" i="3"/>
  <c r="FS132" i="3" s="1"/>
  <c r="FR124" i="3"/>
  <c r="FS124" i="3" s="1"/>
  <c r="FR25" i="3"/>
  <c r="FS25" i="3" s="1"/>
  <c r="FR100" i="3"/>
  <c r="FS100" i="3" s="1"/>
  <c r="FR39" i="3"/>
  <c r="FS39" i="3" s="1"/>
  <c r="FR91" i="3"/>
  <c r="FS91" i="3" s="1"/>
  <c r="FR128" i="3"/>
  <c r="FS128" i="3" s="1"/>
  <c r="FR119" i="3"/>
  <c r="FS119" i="3" s="1"/>
  <c r="FR144" i="3"/>
  <c r="FS144" i="3" s="1"/>
  <c r="FT144" i="3" s="1"/>
  <c r="FR80" i="3"/>
  <c r="FS80" i="3" s="1"/>
  <c r="FR32" i="3"/>
  <c r="FS32" i="3" s="1"/>
  <c r="FR126" i="3"/>
  <c r="FS126" i="3" s="1"/>
  <c r="FR11" i="3"/>
  <c r="FS11" i="3" s="1"/>
  <c r="FR41" i="3"/>
  <c r="FS41" i="3" s="1"/>
  <c r="FR77" i="3"/>
  <c r="FS77" i="3" s="1"/>
  <c r="FR47" i="3"/>
  <c r="FS47" i="3" s="1"/>
  <c r="FR133" i="3"/>
  <c r="FS133" i="3" s="1"/>
  <c r="FR61" i="3"/>
  <c r="FS61" i="3" s="1"/>
  <c r="FR83" i="3"/>
  <c r="FS83" i="3" s="1"/>
  <c r="FR138" i="3"/>
  <c r="FS138" i="3" s="1"/>
  <c r="FR129" i="3"/>
  <c r="FS129" i="3" s="1"/>
  <c r="FR31" i="3"/>
  <c r="FS31" i="3" s="1"/>
  <c r="FR19" i="3"/>
  <c r="FS19" i="3" s="1"/>
  <c r="FR125" i="3"/>
  <c r="FS125" i="3" s="1"/>
  <c r="FR89" i="3"/>
  <c r="FS89" i="3" s="1"/>
  <c r="FR64" i="3"/>
  <c r="FS64" i="3" s="1"/>
  <c r="FT64" i="3" s="1"/>
  <c r="FR97" i="3"/>
  <c r="FS97" i="3" s="1"/>
  <c r="FR167" i="3"/>
  <c r="FS167" i="3" s="1"/>
  <c r="FR82" i="3"/>
  <c r="FS82" i="3" s="1"/>
  <c r="FR30" i="3"/>
  <c r="FS30" i="3" s="1"/>
  <c r="FT30" i="3" s="1"/>
  <c r="FR158" i="3"/>
  <c r="FS158" i="3" s="1"/>
  <c r="FR136" i="3"/>
  <c r="FS136" i="3" s="1"/>
  <c r="FR45" i="3"/>
  <c r="FS45" i="3" s="1"/>
  <c r="FR147" i="3"/>
  <c r="FS147" i="3" s="1"/>
  <c r="FR104" i="3"/>
  <c r="FS104" i="3" s="1"/>
  <c r="FR36" i="3"/>
  <c r="FS36" i="3" s="1"/>
  <c r="FR63" i="3"/>
  <c r="FS63" i="3" s="1"/>
  <c r="FR70" i="3"/>
  <c r="FS70" i="3" s="1"/>
  <c r="FR93" i="3"/>
  <c r="FS93" i="3" s="1"/>
  <c r="FR109" i="3"/>
  <c r="FS109" i="3" s="1"/>
  <c r="FR130" i="3"/>
  <c r="FS130" i="3" s="1"/>
  <c r="FR149" i="3"/>
  <c r="FS149" i="3" s="1"/>
  <c r="FR148" i="3"/>
  <c r="FS148" i="3" s="1"/>
  <c r="FR107" i="3"/>
  <c r="FS107" i="3" s="1"/>
  <c r="FR106" i="3"/>
  <c r="FS106" i="3" s="1"/>
  <c r="FR120" i="3"/>
  <c r="FS120" i="3" s="1"/>
  <c r="FR54" i="3"/>
  <c r="FS54" i="3" s="1"/>
  <c r="FR86" i="3"/>
  <c r="FS86" i="3" s="1"/>
  <c r="FR151" i="3"/>
  <c r="FS151" i="3" s="1"/>
  <c r="FT151" i="3" s="1"/>
  <c r="FR16" i="3"/>
  <c r="FS16" i="3" s="1"/>
  <c r="FR85" i="3"/>
  <c r="FS85" i="3" s="1"/>
  <c r="FR117" i="3"/>
  <c r="FS117" i="3" s="1"/>
  <c r="FR29" i="3"/>
  <c r="FS29" i="3" s="1"/>
  <c r="FR27" i="3"/>
  <c r="FS27" i="3" s="1"/>
  <c r="FT27" i="3" s="1"/>
  <c r="FR12" i="3"/>
  <c r="FS12" i="3" s="1"/>
  <c r="FR59" i="3"/>
  <c r="FS59" i="3" s="1"/>
  <c r="FR33" i="3"/>
  <c r="FS33" i="3" s="1"/>
  <c r="FR103" i="3"/>
  <c r="FS103" i="3" s="1"/>
  <c r="FR75" i="3"/>
  <c r="FS75" i="3" s="1"/>
  <c r="FR164" i="3"/>
  <c r="FS164" i="3" s="1"/>
  <c r="FR28" i="3"/>
  <c r="FS28" i="3" s="1"/>
  <c r="FR137" i="3"/>
  <c r="FS137" i="3" s="1"/>
  <c r="FR35" i="3"/>
  <c r="FS35" i="3" s="1"/>
  <c r="FR49" i="3"/>
  <c r="FS49" i="3" s="1"/>
  <c r="FR74" i="3"/>
  <c r="FS74" i="3" s="1"/>
  <c r="FR95" i="3"/>
  <c r="FS95" i="3" s="1"/>
  <c r="FR113" i="3"/>
  <c r="FS113" i="3" s="1"/>
  <c r="FR140" i="3"/>
  <c r="FS140" i="3" s="1"/>
  <c r="FR160" i="3"/>
  <c r="FS160" i="3" s="1"/>
  <c r="FR159" i="3"/>
  <c r="FS159" i="3" s="1"/>
  <c r="FR92" i="3"/>
  <c r="FS92" i="3" s="1"/>
  <c r="FR105" i="3"/>
  <c r="FS105" i="3" s="1"/>
  <c r="FR96" i="3"/>
  <c r="FS96" i="3" s="1"/>
  <c r="FR15" i="3"/>
  <c r="FS15" i="3" s="1"/>
  <c r="FT15" i="3" s="1"/>
  <c r="FR161" i="3"/>
  <c r="FS161" i="3" s="1"/>
  <c r="FR150" i="3"/>
  <c r="FS150" i="3" s="1"/>
  <c r="FR134" i="3"/>
  <c r="FS134" i="3" s="1"/>
  <c r="FR10" i="3"/>
  <c r="FS10" i="3" s="1"/>
  <c r="FR127" i="3"/>
  <c r="FS127" i="3" s="1"/>
  <c r="FT127" i="3" s="1"/>
  <c r="FS6" i="3" l="1"/>
  <c r="HL59" i="3"/>
  <c r="HM58" i="3"/>
  <c r="FR6" i="3"/>
  <c r="O38" i="4" s="1"/>
  <c r="FT4" i="3"/>
  <c r="HL60" i="3" l="1"/>
  <c r="HM59" i="3"/>
  <c r="FT5" i="3"/>
  <c r="FT6" i="3" s="1"/>
  <c r="K37" i="4"/>
  <c r="FU44" i="3" l="1"/>
  <c r="FV44" i="3" s="1"/>
  <c r="FU33" i="3"/>
  <c r="FV33" i="3" s="1"/>
  <c r="FW33" i="3" s="1"/>
  <c r="FZ33" i="3" s="1"/>
  <c r="FU79" i="3"/>
  <c r="FV79" i="3" s="1"/>
  <c r="FU94" i="3"/>
  <c r="FV94" i="3" s="1"/>
  <c r="FU117" i="3"/>
  <c r="FV117" i="3" s="1"/>
  <c r="FU126" i="3"/>
  <c r="FV126" i="3" s="1"/>
  <c r="FU161" i="3"/>
  <c r="FV161" i="3" s="1"/>
  <c r="FU17" i="3"/>
  <c r="FV17" i="3" s="1"/>
  <c r="FU110" i="3"/>
  <c r="FV110" i="3" s="1"/>
  <c r="FU69" i="3"/>
  <c r="FV69" i="3" s="1"/>
  <c r="FU101" i="3"/>
  <c r="FV101" i="3" s="1"/>
  <c r="FW101" i="3" s="1"/>
  <c r="FZ101" i="3" s="1"/>
  <c r="FU142" i="3"/>
  <c r="FV142" i="3" s="1"/>
  <c r="FU130" i="3"/>
  <c r="FV130" i="3" s="1"/>
  <c r="FU108" i="3"/>
  <c r="FV108" i="3" s="1"/>
  <c r="FU164" i="3"/>
  <c r="FV164" i="3" s="1"/>
  <c r="FU62" i="3"/>
  <c r="FV62" i="3" s="1"/>
  <c r="FU40" i="3"/>
  <c r="FV40" i="3" s="1"/>
  <c r="FU72" i="3"/>
  <c r="FV72" i="3" s="1"/>
  <c r="FU53" i="3"/>
  <c r="FV53" i="3" s="1"/>
  <c r="FU115" i="3"/>
  <c r="FV115" i="3" s="1"/>
  <c r="FU153" i="3"/>
  <c r="FV153" i="3" s="1"/>
  <c r="FU157" i="3"/>
  <c r="FV157" i="3" s="1"/>
  <c r="FU22" i="3"/>
  <c r="FV22" i="3" s="1"/>
  <c r="FU39" i="3"/>
  <c r="FV39" i="3" s="1"/>
  <c r="FU134" i="3"/>
  <c r="FV134" i="3" s="1"/>
  <c r="FU70" i="3"/>
  <c r="FV70" i="3" s="1"/>
  <c r="FW70" i="3" s="1"/>
  <c r="FZ70" i="3" s="1"/>
  <c r="FU45" i="3"/>
  <c r="FV45" i="3" s="1"/>
  <c r="FU77" i="3"/>
  <c r="FV77" i="3" s="1"/>
  <c r="FU78" i="3"/>
  <c r="FV78" i="3" s="1"/>
  <c r="FU85" i="3"/>
  <c r="FV85" i="3" s="1"/>
  <c r="FY85" i="3" s="1"/>
  <c r="FZ85" i="3" s="1"/>
  <c r="FU118" i="3"/>
  <c r="FV118" i="3" s="1"/>
  <c r="FU148" i="3"/>
  <c r="FV148" i="3" s="1"/>
  <c r="FU146" i="3"/>
  <c r="FV146" i="3" s="1"/>
  <c r="FU137" i="3"/>
  <c r="FV137" i="3" s="1"/>
  <c r="FU75" i="3"/>
  <c r="FV75" i="3" s="1"/>
  <c r="FU38" i="3"/>
  <c r="FV38" i="3" s="1"/>
  <c r="FU55" i="3"/>
  <c r="FV55" i="3" s="1"/>
  <c r="FU100" i="3"/>
  <c r="FV100" i="3" s="1"/>
  <c r="FU129" i="3"/>
  <c r="FV129" i="3" s="1"/>
  <c r="FU107" i="3"/>
  <c r="FV107" i="3" s="1"/>
  <c r="FU154" i="3"/>
  <c r="FV154" i="3" s="1"/>
  <c r="FU65" i="3"/>
  <c r="FV65" i="3" s="1"/>
  <c r="FU73" i="3"/>
  <c r="FV73" i="3" s="1"/>
  <c r="FU21" i="3"/>
  <c r="FV21" i="3" s="1"/>
  <c r="FW21" i="3" s="1"/>
  <c r="FZ21" i="3" s="1"/>
  <c r="FU11" i="3"/>
  <c r="FV11" i="3" s="1"/>
  <c r="FU32" i="3"/>
  <c r="FV32" i="3" s="1"/>
  <c r="FY32" i="3" s="1"/>
  <c r="FZ32" i="3" s="1"/>
  <c r="FU93" i="3"/>
  <c r="FV93" i="3" s="1"/>
  <c r="FU90" i="3"/>
  <c r="FV90" i="3" s="1"/>
  <c r="FU125" i="3"/>
  <c r="FV125" i="3" s="1"/>
  <c r="FU92" i="3"/>
  <c r="FV92" i="3" s="1"/>
  <c r="FU89" i="3"/>
  <c r="FV89" i="3" s="1"/>
  <c r="FU42" i="3"/>
  <c r="FV42" i="3" s="1"/>
  <c r="FU16" i="3"/>
  <c r="FV16" i="3" s="1"/>
  <c r="FU133" i="3"/>
  <c r="FV133" i="3" s="1"/>
  <c r="FU71" i="3"/>
  <c r="FV71" i="3" s="1"/>
  <c r="FU28" i="3"/>
  <c r="FV28" i="3" s="1"/>
  <c r="FU97" i="3"/>
  <c r="FV97" i="3" s="1"/>
  <c r="FU80" i="3"/>
  <c r="FV80" i="3" s="1"/>
  <c r="FU87" i="3"/>
  <c r="FV87" i="3" s="1"/>
  <c r="FY87" i="3" s="1"/>
  <c r="FZ87" i="3" s="1"/>
  <c r="FU119" i="3"/>
  <c r="FV119" i="3" s="1"/>
  <c r="FU149" i="3"/>
  <c r="FV149" i="3" s="1"/>
  <c r="FU147" i="3"/>
  <c r="FV147" i="3" s="1"/>
  <c r="FU138" i="3"/>
  <c r="FV138" i="3" s="1"/>
  <c r="FU46" i="3"/>
  <c r="FV46" i="3" s="1"/>
  <c r="FU135" i="3"/>
  <c r="FV135" i="3" s="1"/>
  <c r="FU136" i="3"/>
  <c r="FV136" i="3" s="1"/>
  <c r="FU67" i="3"/>
  <c r="FV67" i="3" s="1"/>
  <c r="FU112" i="3"/>
  <c r="FV112" i="3" s="1"/>
  <c r="FU68" i="3"/>
  <c r="FV68" i="3" s="1"/>
  <c r="FU140" i="3"/>
  <c r="FV140" i="3" s="1"/>
  <c r="FU29" i="3"/>
  <c r="FV29" i="3" s="1"/>
  <c r="FU36" i="3"/>
  <c r="FV36" i="3" s="1"/>
  <c r="FU25" i="3"/>
  <c r="FV25" i="3" s="1"/>
  <c r="FU10" i="3"/>
  <c r="FU31" i="3"/>
  <c r="FV31" i="3" s="1"/>
  <c r="FY31" i="3" s="1"/>
  <c r="FU81" i="3"/>
  <c r="FV81" i="3" s="1"/>
  <c r="FU82" i="3"/>
  <c r="FV82" i="3" s="1"/>
  <c r="FU109" i="3"/>
  <c r="FV109" i="3" s="1"/>
  <c r="FU120" i="3"/>
  <c r="FV120" i="3" s="1"/>
  <c r="FU152" i="3"/>
  <c r="FV152" i="3" s="1"/>
  <c r="FU160" i="3"/>
  <c r="FV160" i="3" s="1"/>
  <c r="FU95" i="3"/>
  <c r="FV95" i="3" s="1"/>
  <c r="FU48" i="3"/>
  <c r="FV48" i="3" s="1"/>
  <c r="FU131" i="3"/>
  <c r="FV131" i="3" s="1"/>
  <c r="FU102" i="3"/>
  <c r="FV102" i="3" s="1"/>
  <c r="FU59" i="3"/>
  <c r="FV59" i="3" s="1"/>
  <c r="FU76" i="3"/>
  <c r="FV76" i="3" s="1"/>
  <c r="FU47" i="3"/>
  <c r="FV47" i="3" s="1"/>
  <c r="FU155" i="3"/>
  <c r="FV155" i="3" s="1"/>
  <c r="FY155" i="3" s="1"/>
  <c r="FZ155" i="3" s="1"/>
  <c r="FU35" i="3"/>
  <c r="FV35" i="3" s="1"/>
  <c r="FU103" i="3"/>
  <c r="FV103" i="3" s="1"/>
  <c r="FU12" i="3"/>
  <c r="FV12" i="3" s="1"/>
  <c r="FW12" i="3" s="1"/>
  <c r="FZ12" i="3" s="1"/>
  <c r="FU41" i="3"/>
  <c r="FV41" i="3" s="1"/>
  <c r="FU51" i="3"/>
  <c r="FV51" i="3" s="1"/>
  <c r="FU105" i="3"/>
  <c r="FV105" i="3" s="1"/>
  <c r="FU56" i="3"/>
  <c r="FV56" i="3" s="1"/>
  <c r="FU19" i="3"/>
  <c r="FV19" i="3" s="1"/>
  <c r="FU37" i="3"/>
  <c r="FV37" i="3" s="1"/>
  <c r="FU50" i="3"/>
  <c r="FV50" i="3" s="1"/>
  <c r="FU91" i="3"/>
  <c r="FV91" i="3" s="1"/>
  <c r="FU122" i="3"/>
  <c r="FV122" i="3" s="1"/>
  <c r="FW122" i="3" s="1"/>
  <c r="FZ122" i="3" s="1"/>
  <c r="FU84" i="3"/>
  <c r="FV84" i="3" s="1"/>
  <c r="FU23" i="3"/>
  <c r="FV23" i="3" s="1"/>
  <c r="FU74" i="3"/>
  <c r="FV74" i="3" s="1"/>
  <c r="FU114" i="3"/>
  <c r="FV114" i="3" s="1"/>
  <c r="FU49" i="3"/>
  <c r="FV49" i="3" s="1"/>
  <c r="FU145" i="3"/>
  <c r="FV145" i="3" s="1"/>
  <c r="FU88" i="3"/>
  <c r="FV88" i="3" s="1"/>
  <c r="FU86" i="3"/>
  <c r="FV86" i="3" s="1"/>
  <c r="FY86" i="3" s="1"/>
  <c r="FZ86" i="3" s="1"/>
  <c r="FU113" i="3"/>
  <c r="FV113" i="3" s="1"/>
  <c r="FU121" i="3"/>
  <c r="FV121" i="3" s="1"/>
  <c r="FU150" i="3"/>
  <c r="FV150" i="3" s="1"/>
  <c r="FU124" i="3"/>
  <c r="FV124" i="3" s="1"/>
  <c r="FU156" i="3"/>
  <c r="FV156" i="3" s="1"/>
  <c r="FU61" i="3"/>
  <c r="FV61" i="3" s="1"/>
  <c r="FU13" i="3"/>
  <c r="FV13" i="3" s="1"/>
  <c r="FW13" i="3" s="1"/>
  <c r="FZ13" i="3" s="1"/>
  <c r="FU166" i="3"/>
  <c r="FV166" i="3" s="1"/>
  <c r="FU99" i="3"/>
  <c r="FV99" i="3" s="1"/>
  <c r="FU139" i="3"/>
  <c r="FV139" i="3" s="1"/>
  <c r="FU128" i="3"/>
  <c r="FV128" i="3" s="1"/>
  <c r="FU167" i="3"/>
  <c r="FV167" i="3" s="1"/>
  <c r="FU43" i="3"/>
  <c r="FV43" i="3" s="1"/>
  <c r="FU116" i="3"/>
  <c r="FV116" i="3" s="1"/>
  <c r="FU162" i="3"/>
  <c r="FV162" i="3" s="1"/>
  <c r="FY162" i="3" s="1"/>
  <c r="FZ162" i="3" s="1"/>
  <c r="FU141" i="3"/>
  <c r="FV141" i="3" s="1"/>
  <c r="FU20" i="3"/>
  <c r="FV20" i="3" s="1"/>
  <c r="FU123" i="3"/>
  <c r="FV123" i="3" s="1"/>
  <c r="FU24" i="3"/>
  <c r="FV24" i="3" s="1"/>
  <c r="FU96" i="3"/>
  <c r="FV96" i="3" s="1"/>
  <c r="FY96" i="3" s="1"/>
  <c r="FZ96" i="3" s="1"/>
  <c r="FU52" i="3"/>
  <c r="FV52" i="3" s="1"/>
  <c r="FU159" i="3"/>
  <c r="FV159" i="3" s="1"/>
  <c r="FU158" i="3"/>
  <c r="FV158" i="3" s="1"/>
  <c r="FU66" i="3"/>
  <c r="FV66" i="3" s="1"/>
  <c r="FU163" i="3"/>
  <c r="FV163" i="3" s="1"/>
  <c r="FY163" i="3" s="1"/>
  <c r="FZ163" i="3" s="1"/>
  <c r="FU54" i="3"/>
  <c r="FV54" i="3" s="1"/>
  <c r="FU83" i="3"/>
  <c r="FV83" i="3" s="1"/>
  <c r="FU98" i="3"/>
  <c r="FV98" i="3" s="1"/>
  <c r="FU132" i="3"/>
  <c r="FV132" i="3" s="1"/>
  <c r="FW132" i="3" s="1"/>
  <c r="FZ132" i="3" s="1"/>
  <c r="FU60" i="3"/>
  <c r="FV60" i="3" s="1"/>
  <c r="FU63" i="3"/>
  <c r="FV63" i="3" s="1"/>
  <c r="FU106" i="3"/>
  <c r="FV106" i="3" s="1"/>
  <c r="FU165" i="3"/>
  <c r="FV165" i="3" s="1"/>
  <c r="FU26" i="3"/>
  <c r="FV26" i="3" s="1"/>
  <c r="FU104" i="3"/>
  <c r="FV104" i="3" s="1"/>
  <c r="FU34" i="3"/>
  <c r="FV34" i="3" s="1"/>
  <c r="FY34" i="3" s="1"/>
  <c r="FZ34" i="3" s="1"/>
  <c r="FU30" i="3"/>
  <c r="FV30" i="3" s="1"/>
  <c r="FU127" i="3"/>
  <c r="FV127" i="3" s="1"/>
  <c r="FU58" i="3"/>
  <c r="FV58" i="3" s="1"/>
  <c r="FU111" i="3"/>
  <c r="FV111" i="3" s="1"/>
  <c r="FU15" i="3"/>
  <c r="FV15" i="3" s="1"/>
  <c r="FU57" i="3"/>
  <c r="FV57" i="3" s="1"/>
  <c r="FU14" i="3"/>
  <c r="FV14" i="3" s="1"/>
  <c r="FW14" i="3" s="1"/>
  <c r="FZ14" i="3" s="1"/>
  <c r="FU27" i="3"/>
  <c r="FV27" i="3" s="1"/>
  <c r="FW27" i="3" s="1"/>
  <c r="FZ27" i="3" s="1"/>
  <c r="FU64" i="3"/>
  <c r="FV64" i="3" s="1"/>
  <c r="FU143" i="3"/>
  <c r="FV143" i="3" s="1"/>
  <c r="FU18" i="3"/>
  <c r="FV18" i="3" s="1"/>
  <c r="FU151" i="3"/>
  <c r="FV151" i="3" s="1"/>
  <c r="FU144" i="3"/>
  <c r="FV144" i="3" s="1"/>
  <c r="HL61" i="3"/>
  <c r="HM60" i="3"/>
  <c r="HL62" i="3" l="1"/>
  <c r="HM61" i="3"/>
  <c r="FZ31" i="3"/>
  <c r="FY4" i="3"/>
  <c r="FU6" i="3"/>
  <c r="O37" i="4" s="1"/>
  <c r="FV10" i="3"/>
  <c r="FV6" i="3" s="1"/>
  <c r="FZ4" i="3" l="1"/>
  <c r="FW5" i="3" s="1"/>
  <c r="FW4" i="3"/>
  <c r="HL63" i="3"/>
  <c r="HM62" i="3"/>
  <c r="HM63" i="3" l="1"/>
  <c r="HL64" i="3"/>
  <c r="K39" i="4"/>
  <c r="FW6" i="3"/>
  <c r="GA13" i="3" l="1"/>
  <c r="GB13" i="3" s="1"/>
  <c r="GA81" i="3"/>
  <c r="GB81" i="3" s="1"/>
  <c r="GA133" i="3"/>
  <c r="GB133" i="3" s="1"/>
  <c r="GA17" i="3"/>
  <c r="GB17" i="3" s="1"/>
  <c r="GA41" i="3"/>
  <c r="GB41" i="3" s="1"/>
  <c r="GA105" i="3"/>
  <c r="GB105" i="3" s="1"/>
  <c r="GA40" i="3"/>
  <c r="GB40" i="3" s="1"/>
  <c r="GA36" i="3"/>
  <c r="GB36" i="3" s="1"/>
  <c r="GA148" i="3"/>
  <c r="GB148" i="3" s="1"/>
  <c r="GA127" i="3"/>
  <c r="GB127" i="3" s="1"/>
  <c r="GA118" i="3"/>
  <c r="GB118" i="3" s="1"/>
  <c r="GA15" i="3"/>
  <c r="GB15" i="3" s="1"/>
  <c r="GA19" i="3"/>
  <c r="GB19" i="3" s="1"/>
  <c r="GA44" i="3"/>
  <c r="GB44" i="3" s="1"/>
  <c r="GA107" i="3"/>
  <c r="GB107" i="3" s="1"/>
  <c r="GA39" i="3"/>
  <c r="GB39" i="3" s="1"/>
  <c r="GA59" i="3"/>
  <c r="GB59" i="3" s="1"/>
  <c r="GA157" i="3"/>
  <c r="GB157" i="3" s="1"/>
  <c r="GA10" i="3"/>
  <c r="GA124" i="3"/>
  <c r="GB124" i="3" s="1"/>
  <c r="GA152" i="3"/>
  <c r="GB152" i="3" s="1"/>
  <c r="GA22" i="3"/>
  <c r="GB22" i="3" s="1"/>
  <c r="GA26" i="3"/>
  <c r="GB26" i="3" s="1"/>
  <c r="GA63" i="3"/>
  <c r="GB63" i="3" s="1"/>
  <c r="GA121" i="3"/>
  <c r="GB121" i="3" s="1"/>
  <c r="GA144" i="3"/>
  <c r="GB144" i="3" s="1"/>
  <c r="GA102" i="3"/>
  <c r="GB102" i="3" s="1"/>
  <c r="GA95" i="3"/>
  <c r="GB95" i="3" s="1"/>
  <c r="GA69" i="3"/>
  <c r="GB69" i="3" s="1"/>
  <c r="GA78" i="3"/>
  <c r="GB78" i="3" s="1"/>
  <c r="GA156" i="3"/>
  <c r="GB156" i="3" s="1"/>
  <c r="GA23" i="3"/>
  <c r="GB23" i="3" s="1"/>
  <c r="GA49" i="3"/>
  <c r="GB49" i="3" s="1"/>
  <c r="GA94" i="3"/>
  <c r="GB94" i="3" s="1"/>
  <c r="GA43" i="3"/>
  <c r="GB43" i="3" s="1"/>
  <c r="GA166" i="3"/>
  <c r="GB166" i="3" s="1"/>
  <c r="GA104" i="3"/>
  <c r="GB104" i="3" s="1"/>
  <c r="GA106" i="3"/>
  <c r="GB106" i="3" s="1"/>
  <c r="GA98" i="3"/>
  <c r="GB98" i="3" s="1"/>
  <c r="GA130" i="3"/>
  <c r="GB130" i="3" s="1"/>
  <c r="GA91" i="3"/>
  <c r="GB91" i="3" s="1"/>
  <c r="GA139" i="3"/>
  <c r="GB139" i="3" s="1"/>
  <c r="GA16" i="3"/>
  <c r="GB16" i="3" s="1"/>
  <c r="GA28" i="3"/>
  <c r="GB28" i="3" s="1"/>
  <c r="GA45" i="3"/>
  <c r="GB45" i="3" s="1"/>
  <c r="GA18" i="3"/>
  <c r="GB18" i="3" s="1"/>
  <c r="GA129" i="3"/>
  <c r="GB129" i="3" s="1"/>
  <c r="GA103" i="3"/>
  <c r="GB103" i="3" s="1"/>
  <c r="GA150" i="3"/>
  <c r="GB150" i="3" s="1"/>
  <c r="GA164" i="3"/>
  <c r="GB164" i="3" s="1"/>
  <c r="HH164" i="3" s="1"/>
  <c r="GA116" i="3"/>
  <c r="GB116" i="3" s="1"/>
  <c r="GA73" i="3"/>
  <c r="GB73" i="3" s="1"/>
  <c r="GA160" i="3"/>
  <c r="GB160" i="3" s="1"/>
  <c r="GA167" i="3"/>
  <c r="GB167" i="3" s="1"/>
  <c r="HH167" i="3" s="1"/>
  <c r="GA67" i="3"/>
  <c r="GB67" i="3" s="1"/>
  <c r="GA80" i="3"/>
  <c r="GB80" i="3" s="1"/>
  <c r="GA115" i="3"/>
  <c r="GB115" i="3" s="1"/>
  <c r="GA154" i="3"/>
  <c r="GB154" i="3" s="1"/>
  <c r="GA119" i="3"/>
  <c r="GB119" i="3" s="1"/>
  <c r="GA165" i="3"/>
  <c r="GB165" i="3" s="1"/>
  <c r="GA65" i="3"/>
  <c r="GB65" i="3" s="1"/>
  <c r="GA55" i="3"/>
  <c r="GB55" i="3" s="1"/>
  <c r="GA42" i="3"/>
  <c r="GB42" i="3" s="1"/>
  <c r="GA75" i="3"/>
  <c r="GB75" i="3" s="1"/>
  <c r="GA111" i="3"/>
  <c r="GB111" i="3" s="1"/>
  <c r="GA47" i="3"/>
  <c r="GB47" i="3" s="1"/>
  <c r="GA151" i="3"/>
  <c r="GB151" i="3" s="1"/>
  <c r="GA153" i="3"/>
  <c r="GB153" i="3" s="1"/>
  <c r="GA93" i="3"/>
  <c r="GB93" i="3" s="1"/>
  <c r="GA125" i="3"/>
  <c r="GB125" i="3" s="1"/>
  <c r="GA146" i="3"/>
  <c r="GB146" i="3" s="1"/>
  <c r="GA141" i="3"/>
  <c r="GB141" i="3" s="1"/>
  <c r="GA66" i="3"/>
  <c r="GB66" i="3" s="1"/>
  <c r="GA64" i="3"/>
  <c r="GB64" i="3" s="1"/>
  <c r="GA149" i="3"/>
  <c r="GB149" i="3" s="1"/>
  <c r="GA99" i="3"/>
  <c r="GB99" i="3" s="1"/>
  <c r="GA90" i="3"/>
  <c r="GB90" i="3" s="1"/>
  <c r="GA110" i="3"/>
  <c r="GB110" i="3" s="1"/>
  <c r="GA61" i="3"/>
  <c r="GB61" i="3" s="1"/>
  <c r="GA113" i="3"/>
  <c r="GB113" i="3" s="1"/>
  <c r="GA58" i="3"/>
  <c r="GB58" i="3" s="1"/>
  <c r="GA128" i="3"/>
  <c r="GB128" i="3" s="1"/>
  <c r="GA56" i="3"/>
  <c r="GB56" i="3" s="1"/>
  <c r="GA62" i="3"/>
  <c r="GB62" i="3" s="1"/>
  <c r="GA147" i="3"/>
  <c r="GB147" i="3" s="1"/>
  <c r="GA60" i="3"/>
  <c r="GB60" i="3" s="1"/>
  <c r="GA136" i="3"/>
  <c r="GB136" i="3" s="1"/>
  <c r="GA114" i="3"/>
  <c r="GB114" i="3" s="1"/>
  <c r="GA145" i="3"/>
  <c r="GB145" i="3" s="1"/>
  <c r="GA143" i="3"/>
  <c r="GB143" i="3" s="1"/>
  <c r="GA71" i="3"/>
  <c r="GB71" i="3" s="1"/>
  <c r="GA123" i="3"/>
  <c r="GB123" i="3" s="1"/>
  <c r="GA50" i="3"/>
  <c r="GB50" i="3" s="1"/>
  <c r="GA83" i="3"/>
  <c r="GB83" i="3" s="1"/>
  <c r="GA52" i="3"/>
  <c r="GB52" i="3" s="1"/>
  <c r="GA108" i="3"/>
  <c r="GB108" i="3" s="1"/>
  <c r="GA140" i="3"/>
  <c r="GB140" i="3" s="1"/>
  <c r="GA117" i="3"/>
  <c r="GB117" i="3" s="1"/>
  <c r="GA24" i="3"/>
  <c r="GB24" i="3" s="1"/>
  <c r="GA30" i="3"/>
  <c r="GB30" i="3" s="1"/>
  <c r="GA112" i="3"/>
  <c r="GB112" i="3" s="1"/>
  <c r="GA77" i="3"/>
  <c r="GB77" i="3" s="1"/>
  <c r="GA25" i="3"/>
  <c r="GB25" i="3" s="1"/>
  <c r="GA97" i="3"/>
  <c r="GB97" i="3" s="1"/>
  <c r="GA142" i="3"/>
  <c r="GB142" i="3" s="1"/>
  <c r="GA48" i="3"/>
  <c r="GB48" i="3" s="1"/>
  <c r="GA88" i="3"/>
  <c r="GB88" i="3" s="1"/>
  <c r="GA29" i="3"/>
  <c r="GB29" i="3" s="1"/>
  <c r="GA74" i="3"/>
  <c r="GB74" i="3" s="1"/>
  <c r="GA82" i="3"/>
  <c r="GB82" i="3" s="1"/>
  <c r="GA131" i="3"/>
  <c r="GB131" i="3" s="1"/>
  <c r="GA72" i="3"/>
  <c r="GB72" i="3" s="1"/>
  <c r="GA76" i="3"/>
  <c r="GB76" i="3" s="1"/>
  <c r="GA89" i="3"/>
  <c r="GB89" i="3" s="1"/>
  <c r="GA37" i="3"/>
  <c r="GB37" i="3" s="1"/>
  <c r="GA158" i="3"/>
  <c r="GB158" i="3" s="1"/>
  <c r="GA53" i="3"/>
  <c r="GB53" i="3" s="1"/>
  <c r="GA135" i="3"/>
  <c r="GB135" i="3" s="1"/>
  <c r="GA126" i="3"/>
  <c r="GB126" i="3" s="1"/>
  <c r="GA120" i="3"/>
  <c r="GB120" i="3" s="1"/>
  <c r="GA159" i="3"/>
  <c r="GB159" i="3" s="1"/>
  <c r="GA161" i="3"/>
  <c r="GB161" i="3" s="1"/>
  <c r="GA92" i="3"/>
  <c r="GB92" i="3" s="1"/>
  <c r="GA68" i="3"/>
  <c r="GB68" i="3" s="1"/>
  <c r="GA20" i="3"/>
  <c r="GB20" i="3" s="1"/>
  <c r="GA51" i="3"/>
  <c r="GB51" i="3" s="1"/>
  <c r="GA137" i="3"/>
  <c r="GB137" i="3" s="1"/>
  <c r="GA46" i="3"/>
  <c r="GB46" i="3" s="1"/>
  <c r="GA35" i="3"/>
  <c r="GB35" i="3" s="1"/>
  <c r="GA109" i="3"/>
  <c r="GB109" i="3" s="1"/>
  <c r="GA100" i="3"/>
  <c r="GB100" i="3" s="1"/>
  <c r="GA57" i="3"/>
  <c r="GB57" i="3" s="1"/>
  <c r="GA54" i="3"/>
  <c r="GB54" i="3" s="1"/>
  <c r="GA84" i="3"/>
  <c r="GB84" i="3" s="1"/>
  <c r="GA79" i="3"/>
  <c r="GB79" i="3" s="1"/>
  <c r="GA138" i="3"/>
  <c r="GB138" i="3" s="1"/>
  <c r="GA11" i="3"/>
  <c r="GB11" i="3" s="1"/>
  <c r="GA38" i="3"/>
  <c r="GB38" i="3" s="1"/>
  <c r="GA134" i="3"/>
  <c r="GB134" i="3" s="1"/>
  <c r="GA163" i="3"/>
  <c r="GB163" i="3" s="1"/>
  <c r="GA162" i="3"/>
  <c r="GB162" i="3" s="1"/>
  <c r="GA101" i="3"/>
  <c r="GB101" i="3" s="1"/>
  <c r="GA96" i="3"/>
  <c r="GB96" i="3" s="1"/>
  <c r="GA33" i="3"/>
  <c r="GB33" i="3" s="1"/>
  <c r="GA32" i="3"/>
  <c r="GB32" i="3" s="1"/>
  <c r="GA132" i="3"/>
  <c r="GB132" i="3" s="1"/>
  <c r="GA155" i="3"/>
  <c r="GB155" i="3" s="1"/>
  <c r="GA85" i="3"/>
  <c r="GB85" i="3" s="1"/>
  <c r="GA14" i="3"/>
  <c r="GB14" i="3" s="1"/>
  <c r="GA12" i="3"/>
  <c r="GB12" i="3" s="1"/>
  <c r="GA86" i="3"/>
  <c r="GB86" i="3" s="1"/>
  <c r="GA21" i="3"/>
  <c r="GB21" i="3" s="1"/>
  <c r="GA70" i="3"/>
  <c r="GB70" i="3" s="1"/>
  <c r="GA122" i="3"/>
  <c r="GB122" i="3" s="1"/>
  <c r="GA27" i="3"/>
  <c r="GB27" i="3" s="1"/>
  <c r="GA87" i="3"/>
  <c r="GB87" i="3" s="1"/>
  <c r="HH87" i="3" s="1"/>
  <c r="GA34" i="3"/>
  <c r="GB34" i="3" s="1"/>
  <c r="GA31" i="3"/>
  <c r="GB31" i="3" s="1"/>
  <c r="HM64" i="3"/>
  <c r="HL65" i="3"/>
  <c r="HL66" i="3" l="1"/>
  <c r="HM65" i="3"/>
  <c r="HH21" i="3"/>
  <c r="GC21" i="3"/>
  <c r="GD21" i="3" s="1"/>
  <c r="GE21" i="3" s="1"/>
  <c r="GC33" i="3"/>
  <c r="GD33" i="3" s="1"/>
  <c r="GE33" i="3" s="1"/>
  <c r="HH33" i="3"/>
  <c r="GC138" i="3"/>
  <c r="GD138" i="3" s="1"/>
  <c r="GE138" i="3" s="1"/>
  <c r="HH138" i="3"/>
  <c r="HH46" i="3"/>
  <c r="GC46" i="3"/>
  <c r="GD46" i="3" s="1"/>
  <c r="GE46" i="3" s="1"/>
  <c r="HH120" i="3"/>
  <c r="GC120" i="3"/>
  <c r="GD120" i="3" s="1"/>
  <c r="GE120" i="3" s="1"/>
  <c r="HH72" i="3"/>
  <c r="GC72" i="3"/>
  <c r="GD72" i="3" s="1"/>
  <c r="GE72" i="3" s="1"/>
  <c r="HH97" i="3"/>
  <c r="GC97" i="3"/>
  <c r="GD97" i="3" s="1"/>
  <c r="GE97" i="3" s="1"/>
  <c r="HH108" i="3"/>
  <c r="GC108" i="3"/>
  <c r="GD108" i="3" s="1"/>
  <c r="GE108" i="3" s="1"/>
  <c r="GC114" i="3"/>
  <c r="GD114" i="3" s="1"/>
  <c r="GE114" i="3" s="1"/>
  <c r="HH114" i="3"/>
  <c r="GC113" i="3"/>
  <c r="GD113" i="3" s="1"/>
  <c r="GE113" i="3" s="1"/>
  <c r="HH113" i="3"/>
  <c r="GC141" i="3"/>
  <c r="GD141" i="3" s="1"/>
  <c r="GE141" i="3" s="1"/>
  <c r="HH141" i="3"/>
  <c r="GC75" i="3"/>
  <c r="GD75" i="3" s="1"/>
  <c r="GE75" i="3" s="1"/>
  <c r="HH75" i="3"/>
  <c r="HH80" i="3"/>
  <c r="GC80" i="3"/>
  <c r="GD80" i="3" s="1"/>
  <c r="GE80" i="3" s="1"/>
  <c r="GC103" i="3"/>
  <c r="GD103" i="3" s="1"/>
  <c r="GE103" i="3" s="1"/>
  <c r="HH103" i="3"/>
  <c r="GC130" i="3"/>
  <c r="GD130" i="3" s="1"/>
  <c r="GE130" i="3" s="1"/>
  <c r="HH130" i="3"/>
  <c r="HH23" i="3"/>
  <c r="GC23" i="3"/>
  <c r="GD23" i="3" s="1"/>
  <c r="GE23" i="3" s="1"/>
  <c r="GC63" i="3"/>
  <c r="GD63" i="3" s="1"/>
  <c r="GE63" i="3" s="1"/>
  <c r="HH63" i="3"/>
  <c r="GC39" i="3"/>
  <c r="GD39" i="3" s="1"/>
  <c r="GE39" i="3" s="1"/>
  <c r="HH39" i="3"/>
  <c r="HH36" i="3"/>
  <c r="GC36" i="3"/>
  <c r="GD36" i="3" s="1"/>
  <c r="GE36" i="3" s="1"/>
  <c r="GC96" i="3"/>
  <c r="GD96" i="3" s="1"/>
  <c r="GE96" i="3" s="1"/>
  <c r="HH96" i="3"/>
  <c r="HH25" i="3"/>
  <c r="GC25" i="3"/>
  <c r="GD25" i="3" s="1"/>
  <c r="GE25" i="3" s="1"/>
  <c r="GC42" i="3"/>
  <c r="GD42" i="3" s="1"/>
  <c r="GE42" i="3" s="1"/>
  <c r="HH42" i="3"/>
  <c r="HH26" i="3"/>
  <c r="GC26" i="3"/>
  <c r="GD26" i="3" s="1"/>
  <c r="GE26" i="3" s="1"/>
  <c r="HH101" i="3"/>
  <c r="GC101" i="3"/>
  <c r="GD101" i="3" s="1"/>
  <c r="GE101" i="3" s="1"/>
  <c r="GC77" i="3"/>
  <c r="GD77" i="3" s="1"/>
  <c r="GE77" i="3" s="1"/>
  <c r="HH77" i="3"/>
  <c r="HH125" i="3"/>
  <c r="GC125" i="3"/>
  <c r="GD125" i="3" s="1"/>
  <c r="GE125" i="3" s="1"/>
  <c r="GC105" i="3"/>
  <c r="GD105" i="3" s="1"/>
  <c r="GE105" i="3" s="1"/>
  <c r="HH105" i="3"/>
  <c r="GC14" i="3"/>
  <c r="GD14" i="3" s="1"/>
  <c r="GE14" i="3" s="1"/>
  <c r="HH14" i="3"/>
  <c r="GC162" i="3"/>
  <c r="GD162" i="3" s="1"/>
  <c r="GE162" i="3" s="1"/>
  <c r="HH162" i="3"/>
  <c r="HH54" i="3"/>
  <c r="GC54" i="3"/>
  <c r="GD54" i="3" s="1"/>
  <c r="GE54" i="3" s="1"/>
  <c r="GC20" i="3"/>
  <c r="GD20" i="3" s="1"/>
  <c r="GE20" i="3" s="1"/>
  <c r="HH20" i="3"/>
  <c r="GC53" i="3"/>
  <c r="GD53" i="3" s="1"/>
  <c r="GE53" i="3" s="1"/>
  <c r="HH53" i="3"/>
  <c r="GC74" i="3"/>
  <c r="GD74" i="3" s="1"/>
  <c r="GE74" i="3" s="1"/>
  <c r="HH74" i="3"/>
  <c r="GC112" i="3"/>
  <c r="GD112" i="3" s="1"/>
  <c r="GE112" i="3" s="1"/>
  <c r="HH112" i="3"/>
  <c r="GC50" i="3"/>
  <c r="GD50" i="3" s="1"/>
  <c r="GE50" i="3" s="1"/>
  <c r="HH50" i="3"/>
  <c r="HH147" i="3"/>
  <c r="GC147" i="3"/>
  <c r="GD147" i="3" s="1"/>
  <c r="GE147" i="3" s="1"/>
  <c r="GC90" i="3"/>
  <c r="GD90" i="3" s="1"/>
  <c r="GE90" i="3" s="1"/>
  <c r="HH90" i="3"/>
  <c r="HH93" i="3"/>
  <c r="GC93" i="3"/>
  <c r="GD93" i="3" s="1"/>
  <c r="GE93" i="3" s="1"/>
  <c r="HH65" i="3"/>
  <c r="GC65" i="3"/>
  <c r="GD65" i="3" s="1"/>
  <c r="GE65" i="3" s="1"/>
  <c r="GC160" i="3"/>
  <c r="GD160" i="3" s="1"/>
  <c r="GE160" i="3" s="1"/>
  <c r="HH160" i="3"/>
  <c r="HH45" i="3"/>
  <c r="GC45" i="3"/>
  <c r="GD45" i="3" s="1"/>
  <c r="GE45" i="3" s="1"/>
  <c r="HH104" i="3"/>
  <c r="GC104" i="3"/>
  <c r="GD104" i="3" s="1"/>
  <c r="GE104" i="3" s="1"/>
  <c r="GC69" i="3"/>
  <c r="GD69" i="3" s="1"/>
  <c r="GE69" i="3" s="1"/>
  <c r="HH69" i="3"/>
  <c r="GC152" i="3"/>
  <c r="GD152" i="3" s="1"/>
  <c r="GE152" i="3" s="1"/>
  <c r="HH152" i="3"/>
  <c r="GC19" i="3"/>
  <c r="GD19" i="3" s="1"/>
  <c r="GE19" i="3" s="1"/>
  <c r="HH19" i="3"/>
  <c r="HH41" i="3"/>
  <c r="GC41" i="3"/>
  <c r="GD41" i="3" s="1"/>
  <c r="GE41" i="3" s="1"/>
  <c r="GC126" i="3"/>
  <c r="GD126" i="3" s="1"/>
  <c r="GE126" i="3" s="1"/>
  <c r="HH126" i="3"/>
  <c r="GC61" i="3"/>
  <c r="GD61" i="3" s="1"/>
  <c r="GE61" i="3" s="1"/>
  <c r="HH61" i="3"/>
  <c r="HH156" i="3"/>
  <c r="GC156" i="3"/>
  <c r="GD156" i="3" s="1"/>
  <c r="GE156" i="3" s="1"/>
  <c r="HH12" i="3"/>
  <c r="GC12" i="3"/>
  <c r="GD12" i="3" s="1"/>
  <c r="GE12" i="3" s="1"/>
  <c r="GC82" i="3"/>
  <c r="GD82" i="3" s="1"/>
  <c r="GE82" i="3" s="1"/>
  <c r="HH82" i="3"/>
  <c r="GC110" i="3"/>
  <c r="GD110" i="3" s="1"/>
  <c r="GE110" i="3" s="1"/>
  <c r="HH110" i="3"/>
  <c r="GC106" i="3"/>
  <c r="GD106" i="3" s="1"/>
  <c r="GE106" i="3" s="1"/>
  <c r="HH106" i="3"/>
  <c r="HH163" i="3"/>
  <c r="GC163" i="3"/>
  <c r="GD163" i="3" s="1"/>
  <c r="GE163" i="3" s="1"/>
  <c r="GC29" i="3"/>
  <c r="GD29" i="3" s="1"/>
  <c r="GE29" i="3" s="1"/>
  <c r="HH29" i="3"/>
  <c r="GC30" i="3"/>
  <c r="GD30" i="3" s="1"/>
  <c r="GE30" i="3" s="1"/>
  <c r="HH30" i="3"/>
  <c r="GC123" i="3"/>
  <c r="GD123" i="3" s="1"/>
  <c r="GE123" i="3" s="1"/>
  <c r="HH123" i="3"/>
  <c r="GC62" i="3"/>
  <c r="GD62" i="3" s="1"/>
  <c r="GE62" i="3" s="1"/>
  <c r="HH62" i="3"/>
  <c r="HH99" i="3"/>
  <c r="GC99" i="3"/>
  <c r="GD99" i="3" s="1"/>
  <c r="GE99" i="3" s="1"/>
  <c r="GC153" i="3"/>
  <c r="GD153" i="3" s="1"/>
  <c r="GE153" i="3" s="1"/>
  <c r="HH153" i="3"/>
  <c r="GC165" i="3"/>
  <c r="GD165" i="3" s="1"/>
  <c r="GE165" i="3" s="1"/>
  <c r="HH165" i="3"/>
  <c r="GC73" i="3"/>
  <c r="GD73" i="3" s="1"/>
  <c r="GE73" i="3" s="1"/>
  <c r="HH73" i="3"/>
  <c r="GC28" i="3"/>
  <c r="GD28" i="3" s="1"/>
  <c r="GE28" i="3" s="1"/>
  <c r="HH28" i="3"/>
  <c r="HH166" i="3"/>
  <c r="GC166" i="3"/>
  <c r="GD166" i="3" s="1"/>
  <c r="GE166" i="3" s="1"/>
  <c r="HH95" i="3"/>
  <c r="GC95" i="3"/>
  <c r="GD95" i="3" s="1"/>
  <c r="GE95" i="3" s="1"/>
  <c r="HH124" i="3"/>
  <c r="GC124" i="3"/>
  <c r="GD124" i="3" s="1"/>
  <c r="GE124" i="3" s="1"/>
  <c r="GC15" i="3"/>
  <c r="GD15" i="3" s="1"/>
  <c r="GE15" i="3" s="1"/>
  <c r="HH15" i="3"/>
  <c r="HH17" i="3"/>
  <c r="GC17" i="3"/>
  <c r="GD17" i="3" s="1"/>
  <c r="GE17" i="3" s="1"/>
  <c r="HH86" i="3"/>
  <c r="DK86" i="3" s="1"/>
  <c r="DM86" i="3" s="1"/>
  <c r="DM6" i="3" s="1"/>
  <c r="J31" i="2" s="1"/>
  <c r="GC86" i="3"/>
  <c r="GD86" i="3" s="1"/>
  <c r="GE86" i="3" s="1"/>
  <c r="GC131" i="3"/>
  <c r="GD131" i="3" s="1"/>
  <c r="GE131" i="3" s="1"/>
  <c r="HH131" i="3"/>
  <c r="HH146" i="3"/>
  <c r="GC146" i="3"/>
  <c r="GD146" i="3" s="1"/>
  <c r="GE146" i="3" s="1"/>
  <c r="GC98" i="3"/>
  <c r="GD98" i="3" s="1"/>
  <c r="GE98" i="3" s="1"/>
  <c r="HH98" i="3"/>
  <c r="GC31" i="3"/>
  <c r="GD31" i="3" s="1"/>
  <c r="GE31" i="3" s="1"/>
  <c r="HH31" i="3"/>
  <c r="GC135" i="3"/>
  <c r="GD135" i="3" s="1"/>
  <c r="GE135" i="3" s="1"/>
  <c r="HH135" i="3"/>
  <c r="GC44" i="3"/>
  <c r="GD44" i="3" s="1"/>
  <c r="GE44" i="3" s="1"/>
  <c r="HH44" i="3"/>
  <c r="GC85" i="3"/>
  <c r="GD85" i="3" s="1"/>
  <c r="GE85" i="3" s="1"/>
  <c r="HH85" i="3"/>
  <c r="HH57" i="3"/>
  <c r="GC57" i="3"/>
  <c r="GD57" i="3" s="1"/>
  <c r="GE57" i="3" s="1"/>
  <c r="HH155" i="3"/>
  <c r="GC155" i="3"/>
  <c r="GD155" i="3" s="1"/>
  <c r="GE155" i="3" s="1"/>
  <c r="GC134" i="3"/>
  <c r="GD134" i="3" s="1"/>
  <c r="GE134" i="3" s="1"/>
  <c r="HH134" i="3"/>
  <c r="HH100" i="3"/>
  <c r="GC100" i="3"/>
  <c r="GD100" i="3" s="1"/>
  <c r="GE100" i="3" s="1"/>
  <c r="GC92" i="3"/>
  <c r="GD92" i="3" s="1"/>
  <c r="GE92" i="3" s="1"/>
  <c r="HH92" i="3"/>
  <c r="GC37" i="3"/>
  <c r="GD37" i="3" s="1"/>
  <c r="GE37" i="3" s="1"/>
  <c r="HH37" i="3"/>
  <c r="HH88" i="3"/>
  <c r="GC88" i="3"/>
  <c r="GD88" i="3" s="1"/>
  <c r="GE88" i="3" s="1"/>
  <c r="HH24" i="3"/>
  <c r="GC24" i="3"/>
  <c r="GD24" i="3" s="1"/>
  <c r="GE24" i="3" s="1"/>
  <c r="GC71" i="3"/>
  <c r="GD71" i="3" s="1"/>
  <c r="GE71" i="3" s="1"/>
  <c r="HH71" i="3"/>
  <c r="GC56" i="3"/>
  <c r="GD56" i="3" s="1"/>
  <c r="GE56" i="3" s="1"/>
  <c r="HH56" i="3"/>
  <c r="HH149" i="3"/>
  <c r="GC149" i="3"/>
  <c r="GD149" i="3" s="1"/>
  <c r="GE149" i="3" s="1"/>
  <c r="HH151" i="3"/>
  <c r="GC151" i="3"/>
  <c r="GD151" i="3" s="1"/>
  <c r="GE151" i="3" s="1"/>
  <c r="GC119" i="3"/>
  <c r="GD119" i="3" s="1"/>
  <c r="GE119" i="3" s="1"/>
  <c r="HH119" i="3"/>
  <c r="GC116" i="3"/>
  <c r="GD116" i="3" s="1"/>
  <c r="GE116" i="3" s="1"/>
  <c r="HH116" i="3"/>
  <c r="GC16" i="3"/>
  <c r="GD16" i="3" s="1"/>
  <c r="GE16" i="3" s="1"/>
  <c r="HH16" i="3"/>
  <c r="HH43" i="3"/>
  <c r="GC43" i="3"/>
  <c r="GD43" i="3" s="1"/>
  <c r="GE43" i="3" s="1"/>
  <c r="GC102" i="3"/>
  <c r="GD102" i="3" s="1"/>
  <c r="GE102" i="3" s="1"/>
  <c r="HH102" i="3"/>
  <c r="GB10" i="3"/>
  <c r="GA6" i="3"/>
  <c r="O39" i="4" s="1"/>
  <c r="O67" i="4" s="1"/>
  <c r="HH118" i="3"/>
  <c r="GC118" i="3"/>
  <c r="GD118" i="3" s="1"/>
  <c r="GE118" i="3" s="1"/>
  <c r="HH133" i="3"/>
  <c r="GC133" i="3"/>
  <c r="GD133" i="3" s="1"/>
  <c r="GE133" i="3" s="1"/>
  <c r="GC79" i="3"/>
  <c r="GD79" i="3" s="1"/>
  <c r="GE79" i="3" s="1"/>
  <c r="HH79" i="3"/>
  <c r="GC52" i="3"/>
  <c r="GD52" i="3" s="1"/>
  <c r="GE52" i="3" s="1"/>
  <c r="HH52" i="3"/>
  <c r="GC67" i="3"/>
  <c r="GD67" i="3" s="1"/>
  <c r="GE67" i="3" s="1"/>
  <c r="HH67" i="3"/>
  <c r="GC107" i="3"/>
  <c r="GD107" i="3" s="1"/>
  <c r="GE107" i="3" s="1"/>
  <c r="HH107" i="3"/>
  <c r="HH84" i="3"/>
  <c r="GC84" i="3"/>
  <c r="GD84" i="3" s="1"/>
  <c r="GE84" i="3" s="1"/>
  <c r="HH83" i="3"/>
  <c r="GC83" i="3"/>
  <c r="GD83" i="3" s="1"/>
  <c r="GE83" i="3" s="1"/>
  <c r="HH55" i="3"/>
  <c r="GC55" i="3"/>
  <c r="GD55" i="3" s="1"/>
  <c r="GE55" i="3" s="1"/>
  <c r="HH22" i="3"/>
  <c r="GC22" i="3"/>
  <c r="GD22" i="3" s="1"/>
  <c r="GE22" i="3" s="1"/>
  <c r="HH34" i="3"/>
  <c r="GC34" i="3"/>
  <c r="GD34" i="3" s="1"/>
  <c r="GE34" i="3" s="1"/>
  <c r="GC158" i="3"/>
  <c r="GD158" i="3" s="1"/>
  <c r="GE158" i="3" s="1"/>
  <c r="HH158" i="3"/>
  <c r="GC38" i="3"/>
  <c r="GD38" i="3" s="1"/>
  <c r="GE38" i="3" s="1"/>
  <c r="HH38" i="3"/>
  <c r="GC161" i="3"/>
  <c r="GD161" i="3" s="1"/>
  <c r="GE161" i="3" s="1"/>
  <c r="HH161" i="3"/>
  <c r="HH89" i="3"/>
  <c r="GC89" i="3"/>
  <c r="GD89" i="3" s="1"/>
  <c r="GE89" i="3" s="1"/>
  <c r="HH48" i="3"/>
  <c r="GC48" i="3"/>
  <c r="GD48" i="3" s="1"/>
  <c r="GE48" i="3" s="1"/>
  <c r="HH117" i="3"/>
  <c r="GC117" i="3"/>
  <c r="GD117" i="3" s="1"/>
  <c r="GE117" i="3" s="1"/>
  <c r="GC143" i="3"/>
  <c r="GD143" i="3" s="1"/>
  <c r="GE143" i="3" s="1"/>
  <c r="HH143" i="3"/>
  <c r="GC128" i="3"/>
  <c r="GD128" i="3" s="1"/>
  <c r="GE128" i="3" s="1"/>
  <c r="HH128" i="3"/>
  <c r="HH64" i="3"/>
  <c r="GC64" i="3"/>
  <c r="GD64" i="3" s="1"/>
  <c r="GE64" i="3" s="1"/>
  <c r="GC47" i="3"/>
  <c r="GD47" i="3" s="1"/>
  <c r="GE47" i="3" s="1"/>
  <c r="HH47" i="3"/>
  <c r="GC154" i="3"/>
  <c r="GD154" i="3" s="1"/>
  <c r="GE154" i="3" s="1"/>
  <c r="HH154" i="3"/>
  <c r="HH139" i="3"/>
  <c r="GC139" i="3"/>
  <c r="GD139" i="3" s="1"/>
  <c r="GE139" i="3" s="1"/>
  <c r="GC94" i="3"/>
  <c r="GD94" i="3" s="1"/>
  <c r="GE94" i="3" s="1"/>
  <c r="HH94" i="3"/>
  <c r="HH144" i="3"/>
  <c r="GC144" i="3"/>
  <c r="GD144" i="3" s="1"/>
  <c r="GE144" i="3" s="1"/>
  <c r="GC157" i="3"/>
  <c r="GD157" i="3" s="1"/>
  <c r="GE157" i="3" s="1"/>
  <c r="HH157" i="3"/>
  <c r="HH127" i="3"/>
  <c r="GC127" i="3"/>
  <c r="GD127" i="3" s="1"/>
  <c r="GE127" i="3" s="1"/>
  <c r="GC81" i="3"/>
  <c r="GD81" i="3" s="1"/>
  <c r="GE81" i="3" s="1"/>
  <c r="HH81" i="3"/>
  <c r="GC137" i="3"/>
  <c r="GD137" i="3" s="1"/>
  <c r="GE137" i="3" s="1"/>
  <c r="HH137" i="3"/>
  <c r="GC136" i="3"/>
  <c r="GD136" i="3" s="1"/>
  <c r="GE136" i="3" s="1"/>
  <c r="HH136" i="3"/>
  <c r="HH129" i="3"/>
  <c r="GC129" i="3"/>
  <c r="GD129" i="3" s="1"/>
  <c r="GE129" i="3" s="1"/>
  <c r="GC40" i="3"/>
  <c r="GD40" i="3" s="1"/>
  <c r="GE40" i="3" s="1"/>
  <c r="HH40" i="3"/>
  <c r="GC51" i="3"/>
  <c r="GD51" i="3" s="1"/>
  <c r="GE51" i="3" s="1"/>
  <c r="HH51" i="3"/>
  <c r="GC60" i="3"/>
  <c r="GD60" i="3" s="1"/>
  <c r="GE60" i="3" s="1"/>
  <c r="HH60" i="3"/>
  <c r="GC18" i="3"/>
  <c r="GD18" i="3" s="1"/>
  <c r="GE18" i="3" s="1"/>
  <c r="HH18" i="3"/>
  <c r="GC78" i="3"/>
  <c r="GD78" i="3" s="1"/>
  <c r="GE78" i="3" s="1"/>
  <c r="HH78" i="3"/>
  <c r="GC68" i="3"/>
  <c r="GD68" i="3" s="1"/>
  <c r="GE68" i="3" s="1"/>
  <c r="HH68" i="3"/>
  <c r="GC27" i="3"/>
  <c r="GD27" i="3" s="1"/>
  <c r="GE27" i="3" s="1"/>
  <c r="HH27" i="3"/>
  <c r="HH122" i="3"/>
  <c r="GC122" i="3"/>
  <c r="GD122" i="3" s="1"/>
  <c r="GE122" i="3" s="1"/>
  <c r="GC132" i="3"/>
  <c r="GD132" i="3" s="1"/>
  <c r="GE132" i="3" s="1"/>
  <c r="HH132" i="3"/>
  <c r="HH109" i="3"/>
  <c r="GC109" i="3"/>
  <c r="GD109" i="3" s="1"/>
  <c r="GE109" i="3" s="1"/>
  <c r="GC70" i="3"/>
  <c r="GD70" i="3" s="1"/>
  <c r="GE70" i="3" s="1"/>
  <c r="HH70" i="3"/>
  <c r="HH32" i="3"/>
  <c r="GC32" i="3"/>
  <c r="GD32" i="3" s="1"/>
  <c r="GE32" i="3" s="1"/>
  <c r="GC11" i="3"/>
  <c r="GD11" i="3" s="1"/>
  <c r="GE11" i="3" s="1"/>
  <c r="HH11" i="3"/>
  <c r="HH35" i="3"/>
  <c r="GC35" i="3"/>
  <c r="GD35" i="3" s="1"/>
  <c r="GE35" i="3" s="1"/>
  <c r="HH159" i="3"/>
  <c r="GC159" i="3"/>
  <c r="GD159" i="3" s="1"/>
  <c r="GE159" i="3" s="1"/>
  <c r="HH76" i="3"/>
  <c r="GC76" i="3"/>
  <c r="GD76" i="3" s="1"/>
  <c r="GE76" i="3" s="1"/>
  <c r="GC142" i="3"/>
  <c r="GD142" i="3" s="1"/>
  <c r="GE142" i="3" s="1"/>
  <c r="HH142" i="3"/>
  <c r="GC140" i="3"/>
  <c r="GD140" i="3" s="1"/>
  <c r="GE140" i="3" s="1"/>
  <c r="HH140" i="3"/>
  <c r="GC145" i="3"/>
  <c r="GD145" i="3" s="1"/>
  <c r="GE145" i="3" s="1"/>
  <c r="HH145" i="3"/>
  <c r="HH58" i="3"/>
  <c r="GC58" i="3"/>
  <c r="GD58" i="3" s="1"/>
  <c r="GE58" i="3" s="1"/>
  <c r="HH66" i="3"/>
  <c r="GC66" i="3"/>
  <c r="GD66" i="3" s="1"/>
  <c r="GE66" i="3" s="1"/>
  <c r="HH111" i="3"/>
  <c r="GC111" i="3"/>
  <c r="GD111" i="3" s="1"/>
  <c r="GE111" i="3" s="1"/>
  <c r="HH115" i="3"/>
  <c r="GC115" i="3"/>
  <c r="GD115" i="3" s="1"/>
  <c r="GE115" i="3" s="1"/>
  <c r="GC150" i="3"/>
  <c r="GD150" i="3" s="1"/>
  <c r="GE150" i="3" s="1"/>
  <c r="HH150" i="3"/>
  <c r="HH91" i="3"/>
  <c r="GC91" i="3"/>
  <c r="GD91" i="3" s="1"/>
  <c r="GE91" i="3" s="1"/>
  <c r="HH49" i="3"/>
  <c r="GC49" i="3"/>
  <c r="GD49" i="3" s="1"/>
  <c r="GE49" i="3" s="1"/>
  <c r="GC121" i="3"/>
  <c r="GD121" i="3" s="1"/>
  <c r="GE121" i="3" s="1"/>
  <c r="HH121" i="3"/>
  <c r="GC59" i="3"/>
  <c r="GD59" i="3" s="1"/>
  <c r="GE59" i="3" s="1"/>
  <c r="HH59" i="3"/>
  <c r="GC148" i="3"/>
  <c r="GD148" i="3" s="1"/>
  <c r="GE148" i="3" s="1"/>
  <c r="HH148" i="3"/>
  <c r="GC13" i="3"/>
  <c r="GD13" i="3" s="1"/>
  <c r="GE13" i="3" s="1"/>
  <c r="HH13" i="3"/>
  <c r="GB6" i="3" l="1"/>
  <c r="GC10" i="3"/>
  <c r="HH10" i="3"/>
  <c r="HH6" i="3" s="1"/>
  <c r="J18" i="2" s="1"/>
  <c r="HL67" i="3"/>
  <c r="HM66" i="3"/>
  <c r="HM67" i="3" l="1"/>
  <c r="HL68" i="3"/>
  <c r="J29" i="2"/>
  <c r="O29" i="2"/>
  <c r="GC6" i="3"/>
  <c r="AZ2" i="3"/>
  <c r="J30" i="2" s="1"/>
  <c r="GD10" i="3"/>
  <c r="GD6" i="3" l="1"/>
  <c r="GE10" i="3"/>
  <c r="J35" i="2"/>
  <c r="HL69" i="3"/>
  <c r="HM68" i="3"/>
  <c r="HL70" i="3" l="1"/>
  <c r="HM69" i="3"/>
  <c r="HM70" i="3" l="1"/>
  <c r="HL71" i="3"/>
  <c r="HL72" i="3" l="1"/>
  <c r="HM71" i="3"/>
  <c r="HL73" i="3" l="1"/>
  <c r="HM72" i="3"/>
  <c r="HL74" i="3" l="1"/>
  <c r="HM73" i="3"/>
  <c r="HL75" i="3" l="1"/>
  <c r="HM74" i="3"/>
  <c r="HL76" i="3" l="1"/>
  <c r="HM75" i="3"/>
  <c r="HL77" i="3" l="1"/>
  <c r="HM76" i="3"/>
  <c r="HL78" i="3" l="1"/>
  <c r="HM77" i="3"/>
  <c r="HL79" i="3" l="1"/>
  <c r="HM78" i="3"/>
  <c r="HL80" i="3" l="1"/>
  <c r="HM79" i="3"/>
  <c r="HL81" i="3" l="1"/>
  <c r="HM80" i="3"/>
  <c r="HL82" i="3" l="1"/>
  <c r="HM81" i="3"/>
  <c r="HL83" i="3" l="1"/>
  <c r="HM82" i="3"/>
  <c r="HL84" i="3" l="1"/>
  <c r="HM83" i="3"/>
  <c r="HL85" i="3" l="1"/>
  <c r="HM84" i="3"/>
  <c r="HL86" i="3" l="1"/>
  <c r="HM85" i="3"/>
  <c r="HL87" i="3" l="1"/>
  <c r="HM86" i="3"/>
  <c r="HL88" i="3" l="1"/>
  <c r="HM87" i="3"/>
  <c r="HL89" i="3" l="1"/>
  <c r="HM88" i="3"/>
  <c r="HL90" i="3" l="1"/>
  <c r="HM89" i="3"/>
  <c r="HL91" i="3" l="1"/>
  <c r="HM90" i="3"/>
  <c r="HL92" i="3" l="1"/>
  <c r="HM91" i="3"/>
  <c r="HM92" i="3" l="1"/>
  <c r="HL93" i="3"/>
  <c r="HL94" i="3" l="1"/>
  <c r="HM93" i="3"/>
  <c r="HL95" i="3" l="1"/>
  <c r="HM94" i="3"/>
  <c r="HL96" i="3" l="1"/>
  <c r="HM95" i="3"/>
  <c r="HL97" i="3" l="1"/>
  <c r="HM96" i="3"/>
  <c r="HL98" i="3" l="1"/>
  <c r="HM97" i="3"/>
  <c r="HL99" i="3" l="1"/>
  <c r="HM98" i="3"/>
  <c r="HL100" i="3" l="1"/>
  <c r="HM99" i="3"/>
  <c r="HL101" i="3" l="1"/>
  <c r="HM100" i="3"/>
  <c r="HL102" i="3" l="1"/>
  <c r="HM101" i="3"/>
  <c r="HL103" i="3" l="1"/>
  <c r="HM102" i="3"/>
  <c r="HL104" i="3" l="1"/>
  <c r="HM103" i="3"/>
  <c r="HL105" i="3" l="1"/>
  <c r="HM104" i="3"/>
  <c r="HL106" i="3" l="1"/>
  <c r="HM105" i="3"/>
  <c r="HL107" i="3" l="1"/>
  <c r="HM106" i="3"/>
  <c r="HL108" i="3" l="1"/>
  <c r="HM107" i="3"/>
  <c r="HL109" i="3" l="1"/>
  <c r="HM108" i="3"/>
  <c r="HL110" i="3" l="1"/>
  <c r="HM109" i="3"/>
  <c r="HL111" i="3" l="1"/>
  <c r="HM110" i="3"/>
  <c r="HL112" i="3" l="1"/>
  <c r="HM111" i="3"/>
  <c r="HL113" i="3" l="1"/>
  <c r="HM112" i="3"/>
  <c r="HL114" i="3" l="1"/>
  <c r="HM113" i="3"/>
  <c r="HL115" i="3" l="1"/>
  <c r="HM114" i="3"/>
  <c r="HL116" i="3" l="1"/>
  <c r="HM115" i="3"/>
  <c r="HL117" i="3" l="1"/>
  <c r="HM116" i="3"/>
  <c r="HL118" i="3" l="1"/>
  <c r="HM117" i="3"/>
  <c r="HL119" i="3" l="1"/>
  <c r="HM118" i="3"/>
  <c r="HL120" i="3" l="1"/>
  <c r="HM119" i="3"/>
  <c r="HL121" i="3" l="1"/>
  <c r="HM120" i="3"/>
  <c r="HM121" i="3" l="1"/>
  <c r="HL122" i="3"/>
  <c r="HL123" i="3" l="1"/>
  <c r="HM122" i="3"/>
  <c r="HM123" i="3" l="1"/>
  <c r="HL124" i="3"/>
  <c r="HM124" i="3" l="1"/>
  <c r="HL125" i="3"/>
  <c r="HM125" i="3" l="1"/>
  <c r="HL126" i="3"/>
  <c r="HL127" i="3" l="1"/>
  <c r="HM126" i="3"/>
  <c r="HM127" i="3" l="1"/>
  <c r="HL128" i="3"/>
  <c r="HM128" i="3" l="1"/>
  <c r="HL129" i="3"/>
  <c r="HM129" i="3" l="1"/>
  <c r="HL130" i="3"/>
  <c r="HM130" i="3" l="1"/>
  <c r="HL131" i="3"/>
  <c r="HM131" i="3" l="1"/>
  <c r="HL132" i="3"/>
  <c r="HM132" i="3" l="1"/>
  <c r="HL133" i="3"/>
  <c r="HM133" i="3" l="1"/>
  <c r="HL134" i="3"/>
  <c r="HM134" i="3" l="1"/>
  <c r="HL135" i="3"/>
  <c r="HM135" i="3" l="1"/>
  <c r="HL136" i="3"/>
  <c r="HL137" i="3" l="1"/>
  <c r="HM136" i="3"/>
  <c r="HM137" i="3" l="1"/>
  <c r="HL138" i="3"/>
  <c r="HL139" i="3" l="1"/>
  <c r="HM138" i="3"/>
  <c r="HM139" i="3" l="1"/>
  <c r="HL140" i="3"/>
  <c r="HM140" i="3" l="1"/>
  <c r="HL141" i="3"/>
  <c r="HL142" i="3" l="1"/>
  <c r="HM141" i="3"/>
  <c r="HL143" i="3" l="1"/>
  <c r="HM142" i="3"/>
  <c r="HM143" i="3" l="1"/>
  <c r="HL144" i="3"/>
  <c r="HL145" i="3" l="1"/>
  <c r="HM144" i="3"/>
  <c r="HM145" i="3" l="1"/>
  <c r="HL146" i="3"/>
  <c r="HM146" i="3" l="1"/>
  <c r="HL147" i="3"/>
  <c r="HM147" i="3" l="1"/>
  <c r="HL148" i="3"/>
  <c r="HM148" i="3" l="1"/>
  <c r="HL149" i="3"/>
  <c r="HM149" i="3" l="1"/>
  <c r="HL150" i="3"/>
  <c r="HM150" i="3" l="1"/>
  <c r="HL151" i="3"/>
  <c r="HM151" i="3" l="1"/>
  <c r="HL152" i="3"/>
  <c r="HM152" i="3" l="1"/>
  <c r="HL153" i="3"/>
  <c r="HM153" i="3" l="1"/>
  <c r="HL154" i="3"/>
  <c r="HM154" i="3" l="1"/>
  <c r="HL155" i="3"/>
  <c r="HM155" i="3" l="1"/>
  <c r="HL156" i="3"/>
  <c r="HM156" i="3" l="1"/>
  <c r="HL157" i="3"/>
  <c r="HM157" i="3" l="1"/>
  <c r="HL158" i="3"/>
  <c r="HL159" i="3" l="1"/>
  <c r="HM158" i="3"/>
  <c r="HL160" i="3" l="1"/>
  <c r="HM159" i="3"/>
  <c r="HM160" i="3" l="1"/>
  <c r="HL161" i="3"/>
  <c r="HM161" i="3" l="1"/>
  <c r="HL162" i="3"/>
  <c r="HL163" i="3" l="1"/>
  <c r="HM162" i="3"/>
  <c r="HL164" i="3" l="1"/>
  <c r="HM163" i="3"/>
  <c r="HM164" i="3" l="1"/>
  <c r="HL165" i="3"/>
  <c r="HM165" i="3" l="1"/>
  <c r="HL166" i="3"/>
  <c r="HL167" i="3" l="1"/>
  <c r="HM167" i="3" s="1"/>
  <c r="J38" i="2" s="1"/>
  <c r="J40" i="2" s="1"/>
  <c r="J20" i="2" s="1"/>
  <c r="J50" i="2" s="1"/>
  <c r="HM166" i="3"/>
  <c r="J53" i="2" l="1"/>
  <c r="O28" i="2" s="1"/>
  <c r="J9" i="5"/>
  <c r="J7" i="5" s="1"/>
  <c r="J5" i="5" l="1"/>
  <c r="J57" i="2" s="1"/>
  <c r="J77" i="5"/>
  <c r="J75" i="5" s="1"/>
  <c r="J5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Glen Daci</author>
  </authors>
  <commentList>
    <comment ref="F9" authorId="0" shapeId="0" xr:uid="{00000000-0006-0000-0200-000001000000}">
      <text>
        <r>
          <rPr>
            <sz val="9"/>
            <color indexed="81"/>
            <rFont val="Tahoma"/>
            <family val="2"/>
          </rPr>
          <t>PennantPark: We will populate going forward.</t>
        </r>
      </text>
    </comment>
    <comment ref="BD78" authorId="0" shapeId="0" xr:uid="{DA33EC75-68B8-4A52-9A79-FED09D23B448}">
      <text>
        <r>
          <rPr>
            <sz val="9"/>
            <color indexed="81"/>
            <rFont val="Tahoma"/>
            <family val="2"/>
          </rPr>
          <t>Quarterly payments with 1M resets</t>
        </r>
      </text>
    </comment>
  </commentList>
</comments>
</file>

<file path=xl/sharedStrings.xml><?xml version="1.0" encoding="utf-8"?>
<sst xmlns="http://schemas.openxmlformats.org/spreadsheetml/2006/main" count="6959" uniqueCount="864">
  <si>
    <t>PENNANTPARK FLOATING RATE FUNDING I, LLC</t>
  </si>
  <si>
    <t>SERVICING REPORT</t>
  </si>
  <si>
    <t>Amounts are pro forma for proposed borrowing and related use of proceeds</t>
  </si>
  <si>
    <t>INPUTS</t>
  </si>
  <si>
    <t>Determination Date</t>
  </si>
  <si>
    <t>Minimum Equity Amount Floor</t>
  </si>
  <si>
    <t>Exchange Rates</t>
  </si>
  <si>
    <t>USD</t>
  </si>
  <si>
    <t>CAD</t>
  </si>
  <si>
    <t>AUD</t>
  </si>
  <si>
    <t>EUR</t>
  </si>
  <si>
    <t>BORROWING BASE CERTIFICATE</t>
  </si>
  <si>
    <t>DETERMINATION DATE</t>
  </si>
  <si>
    <t xml:space="preserve">CONCENTRATION TEST AMOUNT </t>
  </si>
  <si>
    <t>Cash and Credit Facility Balance Projections</t>
  </si>
  <si>
    <r>
      <t>BORROWING BASE</t>
    </r>
    <r>
      <rPr>
        <sz val="9"/>
        <rFont val="Arial"/>
        <family val="2"/>
      </rPr>
      <t xml:space="preserve"> - (A) minus (B) minus (A)(iv)</t>
    </r>
  </si>
  <si>
    <t>Check</t>
  </si>
  <si>
    <t>Current Credit Facility Balance</t>
  </si>
  <si>
    <t>(A)</t>
  </si>
  <si>
    <r>
      <t xml:space="preserve">Aggregate Collateral Balance (without duplication) </t>
    </r>
    <r>
      <rPr>
        <sz val="9"/>
        <rFont val="Arial"/>
        <family val="2"/>
      </rPr>
      <t>sum of (i)-(vi)</t>
    </r>
  </si>
  <si>
    <t>Borrowing</t>
  </si>
  <si>
    <t>(i) Aggregate Principal Balance of all Collateral Loans (other than Defaulted, Restructured, Haircut Ineligible, and Discount)</t>
  </si>
  <si>
    <t>Projected Credit Facility Balance</t>
  </si>
  <si>
    <t>(ii) Defaulted Collateral Loan Balance</t>
  </si>
  <si>
    <t>(iii) The aggregate purchase price of all Discount Loans that are Eligible Collateral Loans and not Defaulted, Haircut or Restructured</t>
  </si>
  <si>
    <t>(iv) The aggregate Unfunded Commitments of all Delayed Drawdown and Revolvers that are Eligible Loans</t>
  </si>
  <si>
    <t>(v) The Credit Improved Loan Balance</t>
  </si>
  <si>
    <t>(vi) The Haircut Collateral Loan Balance</t>
  </si>
  <si>
    <t>(B)</t>
  </si>
  <si>
    <t>Excess Concentration Amount</t>
  </si>
  <si>
    <r>
      <t xml:space="preserve">MAXIMUM AVAILABLE AMOUNT </t>
    </r>
    <r>
      <rPr>
        <sz val="9"/>
        <rFont val="Arial"/>
        <family val="2"/>
      </rPr>
      <t>- Least of (A), (B) and (C)</t>
    </r>
  </si>
  <si>
    <t>Least of:</t>
  </si>
  <si>
    <r>
      <t xml:space="preserve">Facility Amount, </t>
    </r>
    <r>
      <rPr>
        <i/>
        <sz val="9"/>
        <rFont val="Arial"/>
        <family val="2"/>
      </rPr>
      <t>less</t>
    </r>
  </si>
  <si>
    <r>
      <t xml:space="preserve">Revolving Exposure, </t>
    </r>
    <r>
      <rPr>
        <i/>
        <sz val="9"/>
        <rFont val="Arial"/>
        <family val="2"/>
      </rPr>
      <t>plus</t>
    </r>
  </si>
  <si>
    <t>Amount on deposit in the Revolving Reserve Account</t>
  </si>
  <si>
    <t>Equity/Cushion</t>
  </si>
  <si>
    <t>(i)</t>
  </si>
  <si>
    <r>
      <t xml:space="preserve">(x) Borrowing Base, </t>
    </r>
    <r>
      <rPr>
        <i/>
        <sz val="9"/>
        <rFont val="Arial"/>
        <family val="2"/>
      </rPr>
      <t xml:space="preserve">multipled by </t>
    </r>
  </si>
  <si>
    <t>Net Penalty</t>
  </si>
  <si>
    <r>
      <t xml:space="preserve">(y) Weighted Average Advance Rate, </t>
    </r>
    <r>
      <rPr>
        <i/>
        <sz val="9"/>
        <rFont val="Arial"/>
        <family val="2"/>
      </rPr>
      <t>minus</t>
    </r>
  </si>
  <si>
    <t>(ii)</t>
  </si>
  <si>
    <r>
      <t xml:space="preserve">Foreign Currency Variability Reserve, </t>
    </r>
    <r>
      <rPr>
        <i/>
        <sz val="9"/>
        <rFont val="Arial"/>
        <family val="2"/>
      </rPr>
      <t>minus</t>
    </r>
  </si>
  <si>
    <t>(iii)</t>
  </si>
  <si>
    <t>Cash - Current &amp; PreBorrowing</t>
  </si>
  <si>
    <t>(iv)</t>
  </si>
  <si>
    <t>Cash on deposit in Principal Collection Subaccount</t>
  </si>
  <si>
    <t>(v)</t>
  </si>
  <si>
    <t>Cash - Budgeted &amp; PostBorrowing</t>
  </si>
  <si>
    <t>(C)</t>
  </si>
  <si>
    <r>
      <t xml:space="preserve">Aggregate Collateral Balance, </t>
    </r>
    <r>
      <rPr>
        <i/>
        <sz val="9"/>
        <rFont val="Arial"/>
        <family val="2"/>
      </rPr>
      <t>minus</t>
    </r>
  </si>
  <si>
    <r>
      <t>Minimum Equity Amount,</t>
    </r>
    <r>
      <rPr>
        <i/>
        <sz val="9"/>
        <rFont val="Arial"/>
        <family val="2"/>
      </rPr>
      <t xml:space="preserve"> plus</t>
    </r>
  </si>
  <si>
    <t>ADVANCES OUTSTANDING</t>
  </si>
  <si>
    <t>Advances Outstanding at beginning of the Interest Accrual Period</t>
  </si>
  <si>
    <t>MAXIMUM AVAILABILITY</t>
  </si>
  <si>
    <t>(a)</t>
  </si>
  <si>
    <t>Maximum Available Amount</t>
  </si>
  <si>
    <t>(b)</t>
  </si>
  <si>
    <t>Advances</t>
  </si>
  <si>
    <t>Cash - Net of UnSettled Trades</t>
  </si>
  <si>
    <r>
      <t xml:space="preserve">AVAILABILITY - </t>
    </r>
    <r>
      <rPr>
        <sz val="9"/>
        <rFont val="Arial"/>
        <family val="2"/>
      </rPr>
      <t>(a) minus (b)</t>
    </r>
  </si>
  <si>
    <t>EVENTS OF DEFAULT</t>
  </si>
  <si>
    <t>COVERAGE TESTS</t>
  </si>
  <si>
    <t>PORTFOLIO QUALITY TESTS</t>
  </si>
  <si>
    <t>If not satisfied, improving:</t>
  </si>
  <si>
    <t>Yes</t>
  </si>
  <si>
    <t>IN WITNESS WHEREOF, the undersigned has duly executed this Report.</t>
  </si>
  <si>
    <t xml:space="preserve">By:  </t>
  </si>
  <si>
    <t>Signature</t>
  </si>
  <si>
    <t>(Print Name)</t>
  </si>
  <si>
    <t>Title</t>
  </si>
  <si>
    <t>Date</t>
  </si>
  <si>
    <t>20% Conc. Limit</t>
  </si>
  <si>
    <t>No of Industry</t>
  </si>
  <si>
    <t>Limit</t>
  </si>
  <si>
    <t>Limit $</t>
  </si>
  <si>
    <t>No of Obligor</t>
  </si>
  <si>
    <t>Limit %</t>
  </si>
  <si>
    <t>Loan List</t>
  </si>
  <si>
    <t>Tier 1 Obligor</t>
  </si>
  <si>
    <t>Tier 2 Obligor</t>
  </si>
  <si>
    <t>Tier 3 Obligor</t>
  </si>
  <si>
    <t>Weighted Average Advance Rate:</t>
  </si>
  <si>
    <t>SD/EBITDA</t>
  </si>
  <si>
    <t>Weighted Average Coupon:</t>
  </si>
  <si>
    <t>2 and 3</t>
  </si>
  <si>
    <t>All others</t>
  </si>
  <si>
    <t>TD/EBITDA</t>
  </si>
  <si>
    <t>Total</t>
  </si>
  <si>
    <t>Other</t>
  </si>
  <si>
    <t>UD/EBITDA</t>
  </si>
  <si>
    <t>Weighted Average Life:</t>
  </si>
  <si>
    <t>Weighted Average Spread:</t>
  </si>
  <si>
    <t>Excess</t>
  </si>
  <si>
    <t>Haircut Excess</t>
  </si>
  <si>
    <t>Haircut</t>
  </si>
  <si>
    <t>Eligible Unfunded</t>
  </si>
  <si>
    <t>Eligible Balances</t>
  </si>
  <si>
    <t>Loan Value Criteria</t>
  </si>
  <si>
    <t>Credit/Performance Metrics</t>
  </si>
  <si>
    <t>Interest Metrics</t>
  </si>
  <si>
    <t>Other Loan Characteristics</t>
  </si>
  <si>
    <t>Eligibility Criteria</t>
  </si>
  <si>
    <t>Excess Concentrations</t>
  </si>
  <si>
    <t>Loan Number</t>
  </si>
  <si>
    <t>Obligor</t>
  </si>
  <si>
    <t>Obligor Name</t>
  </si>
  <si>
    <t>Security Name</t>
  </si>
  <si>
    <t>Purchase Date 
(Date Loan contributed to the facility)</t>
  </si>
  <si>
    <t>Total
Commitment
(Issue Currency)</t>
  </si>
  <si>
    <t>Outstanding Principal Balance
(Issue Currency)</t>
  </si>
  <si>
    <t>Exchange Rate</t>
  </si>
  <si>
    <t>Total
Commitment
(USD)</t>
  </si>
  <si>
    <t>Outstanding Principal Balance
(USD)</t>
  </si>
  <si>
    <t>Eligible
Commitment
(USD)</t>
  </si>
  <si>
    <t>Eligible Outstanding Principal Balance
(USD)</t>
  </si>
  <si>
    <t>Defaulted Collateral Loan / Material Mod
(Y/N)</t>
  </si>
  <si>
    <t>Date of Default</t>
  </si>
  <si>
    <t>Months Since Default</t>
  </si>
  <si>
    <t>Credit Improved Loan
(Y/N)</t>
  </si>
  <si>
    <t>Purchase Price</t>
  </si>
  <si>
    <t>Discount Collateral Loan
(Y/N)</t>
  </si>
  <si>
    <t>Market Value</t>
  </si>
  <si>
    <t>Applicable Recovery Rate</t>
  </si>
  <si>
    <t>Advance Rate</t>
  </si>
  <si>
    <t>Aggregate 
Collateral Balance (Pre-Eligibility; Excluding Unfunded; Excluding Principal Acct)</t>
  </si>
  <si>
    <t>Stretch Senior Loan
(Y/N)</t>
  </si>
  <si>
    <t>Loan
Type (Term / Delayed Draw / Revolver)</t>
  </si>
  <si>
    <t>Current Moody's Rating</t>
  </si>
  <si>
    <t>Current 
S&amp;P
 Rating</t>
  </si>
  <si>
    <t>Initial Senior Debt/
EBITDA</t>
  </si>
  <si>
    <t>Initial Total Debt/
EBITDA</t>
  </si>
  <si>
    <t>Current Senior Debt/
EBITDA</t>
  </si>
  <si>
    <t>Current Total Debt/
EBITDA</t>
  </si>
  <si>
    <t>Initial TTM EBITDA</t>
  </si>
  <si>
    <t>Current TTM EBITDA</t>
  </si>
  <si>
    <t>Current As of Date For Leverage and EBITDA</t>
  </si>
  <si>
    <t>Tier 1 / Tier 2 Obligor</t>
  </si>
  <si>
    <t>Maturity Date</t>
  </si>
  <si>
    <t>Rem. Term to Maturity</t>
  </si>
  <si>
    <t>Avg Life</t>
  </si>
  <si>
    <t>Fixed Rate (Y/N)</t>
  </si>
  <si>
    <t>Floor Obligation
(Y/N)</t>
  </si>
  <si>
    <t>Floor</t>
  </si>
  <si>
    <t>Base Rate</t>
  </si>
  <si>
    <t>Greater of Base Rate and Floor</t>
  </si>
  <si>
    <t>For Revolvers/Delayed Draw, commitment or other unused fee</t>
  </si>
  <si>
    <t>Interest 
Paid</t>
  </si>
  <si>
    <t>Obligor Industry</t>
  </si>
  <si>
    <t>Obligor Country</t>
  </si>
  <si>
    <t>DIP Loan (Y/N)</t>
  </si>
  <si>
    <t>Partial PIK Loan
(Y/N)</t>
  </si>
  <si>
    <t>Warrants to Purchase Equity (Y/N)</t>
  </si>
  <si>
    <t>LBO Loan (Y/N)</t>
  </si>
  <si>
    <t>Parti-cipation (Y/N)</t>
  </si>
  <si>
    <t>Convertible to Equity (Y/N)</t>
  </si>
  <si>
    <t>Equity Security (Y/N)</t>
  </si>
  <si>
    <t>At Acquisition - Subject to offer or called for redemption (Y/N)</t>
  </si>
  <si>
    <t>Margin Stock (Y/N)</t>
  </si>
  <si>
    <t>Subject to withholding tax (Y/N)</t>
  </si>
  <si>
    <t>At Acquisition - Defaulted Collateral Loan</t>
  </si>
  <si>
    <t>Zero Coupon Obligation(Y/N)</t>
  </si>
  <si>
    <t>Covenant Lite
(Y/N)</t>
  </si>
  <si>
    <t>Eligible Covenant Lite
(Y/N)</t>
  </si>
  <si>
    <t>Structured Finance Obligation, finance lease or chattel paper (Y/N)</t>
  </si>
  <si>
    <t>Material Non-Credit Related Risk
(Y/N)</t>
  </si>
  <si>
    <t>Interest Only Security
(Y/N)</t>
  </si>
  <si>
    <t>Satisfies all Other Eligibility Criteria
(Y/N)</t>
  </si>
  <si>
    <t>Aggregate Funded Spread</t>
  </si>
  <si>
    <t>Aggregate Unfunded Spread</t>
  </si>
  <si>
    <t>Purchased Below 85% of Par</t>
  </si>
  <si>
    <t>Eligible Currency</t>
  </si>
  <si>
    <t>Eligible Country</t>
  </si>
  <si>
    <t>Convertible to Equity</t>
  </si>
  <si>
    <t>Equity Security</t>
  </si>
  <si>
    <t>Subject to offer or called for redemption</t>
  </si>
  <si>
    <t>Margin Stock</t>
  </si>
  <si>
    <t>Subject to withholding tax</t>
  </si>
  <si>
    <t>Non-cash PIK</t>
  </si>
  <si>
    <t>Zero Coupon Obligation</t>
  </si>
  <si>
    <t>Covenant Lite</t>
  </si>
  <si>
    <t>Structured Finance Obligation</t>
  </si>
  <si>
    <t>Remaining term &gt; 7 yrs</t>
  </si>
  <si>
    <t>Material Non-Credit Related Risk</t>
  </si>
  <si>
    <t>Interest Only Security</t>
  </si>
  <si>
    <t>Satisfies all Other Eligibility Criteria</t>
  </si>
  <si>
    <t>EBITDA Requirement at Acquisition</t>
  </si>
  <si>
    <t>EBITDA Requirement Ongoing</t>
  </si>
  <si>
    <t>Total Ineligible (excl. EBITDA and Leverage Ongoing)</t>
  </si>
  <si>
    <t>Aggregate
 Collateral
 Balance (Post Eligibility; Including Haircut Ineligible; Excluding Unfunded)</t>
  </si>
  <si>
    <t>Aggregate 
Collateral Balance (Post Eligibility; Including Eligible Unfunded)</t>
  </si>
  <si>
    <t>Revolving Exposure</t>
  </si>
  <si>
    <t>Foreign Currency Loan OC Balance</t>
  </si>
  <si>
    <t>Foreign Currency Variability Factor</t>
  </si>
  <si>
    <t>Foreign Currency Variability Reserve</t>
  </si>
  <si>
    <t>Second Lien and Split Lien</t>
  </si>
  <si>
    <t>Net Loan Balance</t>
  </si>
  <si>
    <t>Second Lien</t>
  </si>
  <si>
    <t>DIP Collateral Loans</t>
  </si>
  <si>
    <t>Eligible Foreign Country</t>
  </si>
  <si>
    <t>Partial PIK Loan</t>
  </si>
  <si>
    <t>Revolving / Delayed Drawdown</t>
  </si>
  <si>
    <t>Discount Loans</t>
  </si>
  <si>
    <t>Credit Improved Loans</t>
  </si>
  <si>
    <t>Less than Quarterly Pay</t>
  </si>
  <si>
    <t>Warrants to Purchase Equity Securities</t>
  </si>
  <si>
    <t>LBO Loan with Equity to Cap &lt;25%</t>
  </si>
  <si>
    <t>Participation Interests</t>
  </si>
  <si>
    <t>Eligible Covenant Lite Loans</t>
  </si>
  <si>
    <t>Fixed Rate Loan</t>
  </si>
  <si>
    <t>Agreed Foreign Currency</t>
  </si>
  <si>
    <t>Obligor 
Industry</t>
  </si>
  <si>
    <t>LTM EBITDA &lt; 15,000,000</t>
  </si>
  <si>
    <t>Excess; Haircut to 1-Recovery Rate</t>
  </si>
  <si>
    <t>LTM Snr Debt / EBITDA</t>
  </si>
  <si>
    <t>LTM Total Debt / EBITDA</t>
  </si>
  <si>
    <t>Stretch Senior LTM Total Debt / EBITDA</t>
  </si>
  <si>
    <t>Exceeds Leverage Limitation</t>
  </si>
  <si>
    <t>Excess Concentration Test</t>
  </si>
  <si>
    <t>Borrowing Base</t>
  </si>
  <si>
    <t>Industry No</t>
  </si>
  <si>
    <t>Lookups'!F2:F3 Loan Balance</t>
  </si>
  <si>
    <t>Industry Loan Balance</t>
  </si>
  <si>
    <t>Industry Order</t>
  </si>
  <si>
    <t>Outstanding Loan Balance</t>
  </si>
  <si>
    <t>Industry No (Matched)</t>
  </si>
  <si>
    <t>Obligor No</t>
  </si>
  <si>
    <t>Obligor Loan Balance</t>
  </si>
  <si>
    <t>Obligor Order</t>
  </si>
  <si>
    <t>Excess Concentration Amount (Dynamic)</t>
  </si>
  <si>
    <t>Excess Concentration Amount 
(HARD CODE on Last Day of Reinvestment Period)</t>
  </si>
  <si>
    <t>Applicable Excess Concentration Amount (Last Day of Reinvestment Period)</t>
  </si>
  <si>
    <t>Outstanding Principal Balance</t>
  </si>
  <si>
    <t>Defaulted Collateral Loan Balance</t>
  </si>
  <si>
    <t>Discount Loan Balance</t>
  </si>
  <si>
    <t>Credit Improved Balance</t>
  </si>
  <si>
    <t>Haircut Ineligible</t>
  </si>
  <si>
    <t>Ineligibles</t>
  </si>
  <si>
    <t>Total Unfunded</t>
  </si>
  <si>
    <t>APB (Other Than Def, Inelib, Restructured, Haircut)</t>
  </si>
  <si>
    <t>Ineligibles Test</t>
  </si>
  <si>
    <t>Haircut Test</t>
  </si>
  <si>
    <t>Credit Improved Test</t>
  </si>
  <si>
    <t>Discount Test</t>
  </si>
  <si>
    <t>Defaulted Test</t>
  </si>
  <si>
    <t>Lookups'!F2:F3 No</t>
  </si>
  <si>
    <t>N/A</t>
  </si>
  <si>
    <t>No</t>
  </si>
  <si>
    <t>Quarterly</t>
  </si>
  <si>
    <t>By Light Professional IT Services, LLC</t>
  </si>
  <si>
    <t>Monthly</t>
  </si>
  <si>
    <t>Efficient Collaborative Retail Marketing Company, LLC</t>
  </si>
  <si>
    <t>Lightspeed Buyer Inc.</t>
  </si>
  <si>
    <t>Recteq, LLC</t>
  </si>
  <si>
    <t>Schlesinger Global, Inc.</t>
  </si>
  <si>
    <t>Sigma Defense Systems, LLC</t>
  </si>
  <si>
    <t>Smile Brands Inc.</t>
  </si>
  <si>
    <t>PORTFOLIO QUALITY TEST</t>
  </si>
  <si>
    <t>WEIGHTED AVERAGE LIFE TEST</t>
  </si>
  <si>
    <t>Current</t>
  </si>
  <si>
    <t>Maximum</t>
  </si>
  <si>
    <t>WEIGHTED AVERAGE SPREAD TEST</t>
  </si>
  <si>
    <t>Minimum</t>
  </si>
  <si>
    <t>WEIGHTED AVERAGE COUPON TEST</t>
  </si>
  <si>
    <t>CONCENTRATION LIMITS</t>
  </si>
  <si>
    <t>Second and Split Lien Loans</t>
  </si>
  <si>
    <t>&lt;</t>
  </si>
  <si>
    <t>Second Lien Loans</t>
  </si>
  <si>
    <t>Partial PIK Loans</t>
  </si>
  <si>
    <t>Revolving and Delayed Drawdown Loans</t>
  </si>
  <si>
    <t>Discount Collateral Loans</t>
  </si>
  <si>
    <t>Interest Paid Less Than Quarterly</t>
  </si>
  <si>
    <t>LBO Loan</t>
  </si>
  <si>
    <t>Eligible Covenant Lite</t>
  </si>
  <si>
    <t>Fixed Rate</t>
  </si>
  <si>
    <t>Agreed Foreign Currrency</t>
  </si>
  <si>
    <t>Leverage Limitations</t>
  </si>
  <si>
    <t>TOP 10 OBLIGOR CONCENTRATIONS</t>
  </si>
  <si>
    <t>TOP 10 INDUSTRY CONCENTRATIONS</t>
  </si>
  <si>
    <t>EXCESS CONCENTRATION AMOUNT</t>
  </si>
  <si>
    <t>MAXIMUM ADVANCE RATE TEST</t>
  </si>
  <si>
    <t>Outstanding Principal Balance of the Advances</t>
  </si>
  <si>
    <t>Date on which Shortfall occurred:</t>
  </si>
  <si>
    <t>Date on which Shortfall was cured:</t>
  </si>
  <si>
    <t>Shortfall cured during permitted cure period?</t>
  </si>
  <si>
    <t>If Yes, see Borrowing Base Certificate as of date cured included in reporting deliverables</t>
  </si>
  <si>
    <t>INTEREST COVERAGE RATIO TEST</t>
  </si>
  <si>
    <r>
      <t xml:space="preserve">Interest Received, </t>
    </r>
    <r>
      <rPr>
        <i/>
        <sz val="9"/>
        <color theme="1"/>
        <rFont val="Arial"/>
        <family val="2"/>
      </rPr>
      <t>divided by</t>
    </r>
  </si>
  <si>
    <r>
      <t xml:space="preserve">Interest Due, </t>
    </r>
    <r>
      <rPr>
        <i/>
        <sz val="9"/>
        <color theme="1"/>
        <rFont val="Arial"/>
        <family val="2"/>
      </rPr>
      <t>plus</t>
    </r>
  </si>
  <si>
    <r>
      <t xml:space="preserve">Admin Expenses, </t>
    </r>
    <r>
      <rPr>
        <i/>
        <sz val="9"/>
        <color theme="1"/>
        <rFont val="Arial"/>
        <family val="2"/>
      </rPr>
      <t>plus</t>
    </r>
  </si>
  <si>
    <t>Senior Management Fee</t>
  </si>
  <si>
    <t>Current Interest Coverage Ratio</t>
  </si>
  <si>
    <t>COLLATERAL MANAGER EVENTS OF DEFAULT</t>
  </si>
  <si>
    <t>AUM TEST</t>
  </si>
  <si>
    <t>Current PennantPark Investment Advisers, LLC AUM</t>
  </si>
  <si>
    <t>billion</t>
  </si>
  <si>
    <t>Minimum PennantPark Investment Advisers, LLC AUM</t>
  </si>
  <si>
    <t>OTHER COLLATERAL MANAGER EODs AS DETAILED IN SECTION 6.02 of RCSA</t>
  </si>
  <si>
    <t>PASS</t>
  </si>
  <si>
    <t>COLLATERAL MANAGER REPLACEMENT EVENTS</t>
  </si>
  <si>
    <t>DEFAULT RATIO</t>
  </si>
  <si>
    <t>Current Default Ratio</t>
  </si>
  <si>
    <t>Defaulted Collateral Loans</t>
  </si>
  <si>
    <t>Principal Balance</t>
  </si>
  <si>
    <t>Current Month</t>
  </si>
  <si>
    <t>1 Month Prior</t>
  </si>
  <si>
    <t>2 Months Prior</t>
  </si>
  <si>
    <t>3 Months Prior</t>
  </si>
  <si>
    <t>4 Months Prior</t>
  </si>
  <si>
    <t>5 Months Prior</t>
  </si>
  <si>
    <t>6 Months Prior</t>
  </si>
  <si>
    <t>7 Months Prior</t>
  </si>
  <si>
    <t>8 Months Prior</t>
  </si>
  <si>
    <t>9 Months Prior</t>
  </si>
  <si>
    <t>10 Months Prior</t>
  </si>
  <si>
    <t>11 Months Prior</t>
  </si>
  <si>
    <t>Principal Balance - Beginning of Month</t>
  </si>
  <si>
    <t>OTHER EODs AS DETAILED IN SECTION 6.01 of RCSA</t>
  </si>
  <si>
    <t>SUBSTITUTIONS AND SALES TO AFFILIATES</t>
  </si>
  <si>
    <t>Substitutions and sales to affiliates in prior twelve months - All Collateral Loans</t>
  </si>
  <si>
    <t>Substitutions and sales to affiliates in prior twelve months - Defaulted Collateral Loans</t>
  </si>
  <si>
    <t>S&amp;P Rating</t>
  </si>
  <si>
    <t>Moody's Rating</t>
  </si>
  <si>
    <t>Numerical Rating</t>
  </si>
  <si>
    <t>Industry</t>
  </si>
  <si>
    <t>Aerospace &amp; Defense</t>
  </si>
  <si>
    <t>AAA</t>
  </si>
  <si>
    <t>Aaa</t>
  </si>
  <si>
    <t>Air Freight &amp; Logistics</t>
  </si>
  <si>
    <t>AA+</t>
  </si>
  <si>
    <t>Aa1</t>
  </si>
  <si>
    <t>Airlines</t>
  </si>
  <si>
    <t>AA</t>
  </si>
  <si>
    <t>Aa2</t>
  </si>
  <si>
    <t>Auto Components</t>
  </si>
  <si>
    <t>AA-</t>
  </si>
  <si>
    <t>Aa3</t>
  </si>
  <si>
    <t>Automobiles</t>
  </si>
  <si>
    <t>A+</t>
  </si>
  <si>
    <t>A1</t>
  </si>
  <si>
    <t>Banks</t>
  </si>
  <si>
    <t>A</t>
  </si>
  <si>
    <t>A2</t>
  </si>
  <si>
    <t>Beverages</t>
  </si>
  <si>
    <t>A-</t>
  </si>
  <si>
    <t>A3</t>
  </si>
  <si>
    <t>Biotechnology</t>
  </si>
  <si>
    <t>BBB+</t>
  </si>
  <si>
    <t>Baa1</t>
  </si>
  <si>
    <t>Building Products</t>
  </si>
  <si>
    <t>BBB</t>
  </si>
  <si>
    <t>Baa2</t>
  </si>
  <si>
    <t>Capital Markets</t>
  </si>
  <si>
    <t>BBB-</t>
  </si>
  <si>
    <t>Baa3</t>
  </si>
  <si>
    <t>Chemicals</t>
  </si>
  <si>
    <t>BB+</t>
  </si>
  <si>
    <t>Ba1</t>
  </si>
  <si>
    <t>Commercial Services &amp; Supplies</t>
  </si>
  <si>
    <t>BB</t>
  </si>
  <si>
    <t>Ba2</t>
  </si>
  <si>
    <t>Communications Equipment</t>
  </si>
  <si>
    <t>BB-</t>
  </si>
  <si>
    <t>Ba3</t>
  </si>
  <si>
    <t>Construction &amp; Engineering</t>
  </si>
  <si>
    <t>B+</t>
  </si>
  <si>
    <t>B1</t>
  </si>
  <si>
    <t>Construction Materials</t>
  </si>
  <si>
    <t>B</t>
  </si>
  <si>
    <t>B2</t>
  </si>
  <si>
    <t>Consumer Finance</t>
  </si>
  <si>
    <t>B-</t>
  </si>
  <si>
    <t>B3</t>
  </si>
  <si>
    <t>Containers &amp; Packaging</t>
  </si>
  <si>
    <t>CCC+</t>
  </si>
  <si>
    <t>Caa1</t>
  </si>
  <si>
    <t>Distributors</t>
  </si>
  <si>
    <t>CCC</t>
  </si>
  <si>
    <t>Caa</t>
  </si>
  <si>
    <t>Diversified Consumer Services</t>
  </si>
  <si>
    <t>Caa2</t>
  </si>
  <si>
    <t>Diversified Financial Services</t>
  </si>
  <si>
    <t>CCC-</t>
  </si>
  <si>
    <t>Caa3</t>
  </si>
  <si>
    <t>Diversified Telecommunication Services</t>
  </si>
  <si>
    <t>CC+</t>
  </si>
  <si>
    <t>Ca1</t>
  </si>
  <si>
    <t>Electric Utilities</t>
  </si>
  <si>
    <t>CC</t>
  </si>
  <si>
    <t>Ca2</t>
  </si>
  <si>
    <t>Electrical Equipment</t>
  </si>
  <si>
    <t>Ca</t>
  </si>
  <si>
    <t>Electronic Equipment, Instruments &amp; Components</t>
  </si>
  <si>
    <t>CC-</t>
  </si>
  <si>
    <t>Ca3</t>
  </si>
  <si>
    <t>Energy Equipment &amp; Services</t>
  </si>
  <si>
    <t>C+</t>
  </si>
  <si>
    <t>C1</t>
  </si>
  <si>
    <t>Equity Real Estate Investment Trusts (REITs)</t>
  </si>
  <si>
    <t>C</t>
  </si>
  <si>
    <t>C2</t>
  </si>
  <si>
    <t>Food &amp; Staples Retailing</t>
  </si>
  <si>
    <t>C-</t>
  </si>
  <si>
    <t>C3</t>
  </si>
  <si>
    <t>Food Products</t>
  </si>
  <si>
    <t>D</t>
  </si>
  <si>
    <t>Gas Utilities</t>
  </si>
  <si>
    <t>Health Care Equipment &amp; Supplies</t>
  </si>
  <si>
    <t>NR</t>
  </si>
  <si>
    <t>Health Care Providers &amp; Services</t>
  </si>
  <si>
    <t>NA</t>
  </si>
  <si>
    <t>Health Care Technology</t>
  </si>
  <si>
    <t>WR</t>
  </si>
  <si>
    <t>Hotels, Restaurants &amp; Leisure</t>
  </si>
  <si>
    <t>N/R</t>
  </si>
  <si>
    <t>Household Durables</t>
  </si>
  <si>
    <t>Household Products</t>
  </si>
  <si>
    <t>Australia</t>
  </si>
  <si>
    <t>Independent Power and Renewable Electricity Producers</t>
  </si>
  <si>
    <t>Austria</t>
  </si>
  <si>
    <t>Industrial Conglomerates</t>
  </si>
  <si>
    <t>Belgium</t>
  </si>
  <si>
    <t>Insurance</t>
  </si>
  <si>
    <t>Bermuda</t>
  </si>
  <si>
    <t>Internet and Catalog Retail</t>
  </si>
  <si>
    <t>British Virgin Islands</t>
  </si>
  <si>
    <t>Internet Software &amp; Services</t>
  </si>
  <si>
    <t>Canada</t>
  </si>
  <si>
    <t>IT Services</t>
  </si>
  <si>
    <t>Cayman Islands</t>
  </si>
  <si>
    <t>Leisure Products</t>
  </si>
  <si>
    <t>Channel Islands</t>
  </si>
  <si>
    <t>Life Sciences Tools &amp; Services</t>
  </si>
  <si>
    <t>Denmark</t>
  </si>
  <si>
    <t>Machinery</t>
  </si>
  <si>
    <t>Finland</t>
  </si>
  <si>
    <t>Marine</t>
  </si>
  <si>
    <t>Germany</t>
  </si>
  <si>
    <t>Media</t>
  </si>
  <si>
    <t>Iceland</t>
  </si>
  <si>
    <t>Metals &amp; Mining</t>
  </si>
  <si>
    <t>Ireland</t>
  </si>
  <si>
    <t>Mortgage Real Estate Investment Trusts (REITs)</t>
  </si>
  <si>
    <t>Isle of Man</t>
  </si>
  <si>
    <t>Multiline Retail</t>
  </si>
  <si>
    <t>Lichtenstein</t>
  </si>
  <si>
    <t>Multi-Utilities</t>
  </si>
  <si>
    <t>Luxemborg</t>
  </si>
  <si>
    <t>Oil, Gas &amp; Consumable Fuels</t>
  </si>
  <si>
    <t>Netherlands</t>
  </si>
  <si>
    <t>Paper &amp; Forest Products</t>
  </si>
  <si>
    <t>Netherlands Antilles</t>
  </si>
  <si>
    <t>Personal Products</t>
  </si>
  <si>
    <t>Norway</t>
  </si>
  <si>
    <t>Pharmaceuticals</t>
  </si>
  <si>
    <t>Sweden</t>
  </si>
  <si>
    <t>Professional Services</t>
  </si>
  <si>
    <t>Switzerland</t>
  </si>
  <si>
    <t>Real Estate Management &amp; Development</t>
  </si>
  <si>
    <t>United Kingdom</t>
  </si>
  <si>
    <t>Road &amp; Rail</t>
  </si>
  <si>
    <t>United States</t>
  </si>
  <si>
    <t>Semiconductors &amp; Semiconductor Equipment</t>
  </si>
  <si>
    <t>Software</t>
  </si>
  <si>
    <t>Specialty Retail</t>
  </si>
  <si>
    <t>Technology Hardware, Storage &amp; Peripherals</t>
  </si>
  <si>
    <t>Textiles, Apparel &amp; Luxury Goods</t>
  </si>
  <si>
    <t>Thrifts &amp; Mortgage Finance</t>
  </si>
  <si>
    <t>Tobacco</t>
  </si>
  <si>
    <t>Trading Companies &amp; Distributors</t>
  </si>
  <si>
    <t>Transportation Infrastructure</t>
  </si>
  <si>
    <t>Water Utilities</t>
  </si>
  <si>
    <t>Wireless Telecommunication Services</t>
  </si>
  <si>
    <t>By Light (Term Loan)</t>
  </si>
  <si>
    <t>By Light (Revolver)</t>
  </si>
  <si>
    <t>ECRM</t>
  </si>
  <si>
    <t>Centauri Health (TL)</t>
  </si>
  <si>
    <t>Marketplace Events (USD Term Loan)</t>
  </si>
  <si>
    <t>MeritDirect (Term Loan)</t>
  </si>
  <si>
    <t>Recteq (TL)</t>
  </si>
  <si>
    <t>Schlesinger (Term Loan)</t>
  </si>
  <si>
    <t>Sigma Defense (Term Loan)</t>
  </si>
  <si>
    <t>Smile Brands (TL)</t>
  </si>
  <si>
    <t>Walker Edison (TL)</t>
  </si>
  <si>
    <t>First Lien</t>
  </si>
  <si>
    <t>Term</t>
  </si>
  <si>
    <t>Revolver</t>
  </si>
  <si>
    <t>Ineligible</t>
  </si>
  <si>
    <t/>
  </si>
  <si>
    <t xml:space="preserve">N/A   </t>
  </si>
  <si>
    <t>Lien Type (First Lien / Split First Lien / Split Lien / Second Lien)</t>
  </si>
  <si>
    <t>Level 1 - 10% Haircut</t>
  </si>
  <si>
    <t>Level 2 - 20% Haircut</t>
  </si>
  <si>
    <t>Level 3 - 35% Haircut</t>
  </si>
  <si>
    <t>Level 4 - Max Eligibility - 50% Haircut</t>
  </si>
  <si>
    <t>Primarily Secured by Real Estate, Construction Loan or Project Finance Loan
(Y/N)</t>
  </si>
  <si>
    <t>Real Estate, Construction or Project Finance Loan</t>
  </si>
  <si>
    <t>Leverage 10% Haircut</t>
  </si>
  <si>
    <t>Leverage 20% Haircut</t>
  </si>
  <si>
    <t>Leverage 35% Haircut</t>
  </si>
  <si>
    <t>Leverage - Final Haircut - 50%</t>
  </si>
  <si>
    <t>Concentration Test Balance - OPB + Eligible Unfunded</t>
  </si>
  <si>
    <t>Excess; Haircut to 1-Min(90% and Market Value)</t>
  </si>
  <si>
    <t>Maximum - 20% of Highest LTM APB</t>
  </si>
  <si>
    <t>Maximum - 10% of Highest LTM APB</t>
  </si>
  <si>
    <t>LTM EBITDA &gt;= 5,000,000 but &lt; 7,500,000</t>
  </si>
  <si>
    <t>Initial Haircut Level</t>
  </si>
  <si>
    <t>LTM EBITDA &gt;= 5,000,000 and &lt; 7,500,000</t>
  </si>
  <si>
    <t>Dr. Scholl's (Term Loan)</t>
  </si>
  <si>
    <t>DRS Holdings III, Inc.</t>
  </si>
  <si>
    <t>Output Services Group, Inc.</t>
  </si>
  <si>
    <t>PlayPower (Term Loan)</t>
  </si>
  <si>
    <t>Rancho (TL)</t>
  </si>
  <si>
    <t>Schlesinger</t>
  </si>
  <si>
    <t>Smile Brands</t>
  </si>
  <si>
    <t>Delayed Draw</t>
  </si>
  <si>
    <t>NM</t>
  </si>
  <si>
    <t>Weighted Average Assigned Value Calculations</t>
  </si>
  <si>
    <t>Paid in Kind Interest (Capitalized Interest)</t>
  </si>
  <si>
    <t>Principal Balance (excl. PIK)</t>
  </si>
  <si>
    <t>+</t>
  </si>
  <si>
    <t>Principal Balance (incl. PIK)</t>
  </si>
  <si>
    <t>=</t>
  </si>
  <si>
    <t>PIK: 03/31/2021</t>
  </si>
  <si>
    <t>PIK: 06/30/2021</t>
  </si>
  <si>
    <t>Dr. Squatch (Term Loan)</t>
  </si>
  <si>
    <t>Lilly Lashes (TL)</t>
  </si>
  <si>
    <t>OpenRoad Lending (Term Loan)</t>
  </si>
  <si>
    <t>Lash OpCo, LLC</t>
  </si>
  <si>
    <t>Vertex (Term Loan)</t>
  </si>
  <si>
    <t>PIK: 09/30/2021</t>
  </si>
  <si>
    <t>Zips Car Wash, LLC</t>
  </si>
  <si>
    <t>KNS (Term Loan)</t>
  </si>
  <si>
    <t>MCR (Term Loan)</t>
  </si>
  <si>
    <t>Pink Lily (Term Loan)</t>
  </si>
  <si>
    <t>Zips</t>
  </si>
  <si>
    <t>Kinetic Purchaser, LLC</t>
  </si>
  <si>
    <t>PL Acquisitionco, LLC</t>
  </si>
  <si>
    <t xml:space="preserve">Walker Edison </t>
  </si>
  <si>
    <t>PIK: 12/31/2021</t>
  </si>
  <si>
    <t>Arcfield (Term Loan)</t>
  </si>
  <si>
    <t>Term Loan</t>
  </si>
  <si>
    <t>PIK: 03/31/2022</t>
  </si>
  <si>
    <t>PIK: 06/30/2022</t>
  </si>
  <si>
    <t>Anteriad, LLC (f/k/a MeritDirect, LLC)</t>
  </si>
  <si>
    <t>PIK: 09/30/2022 USB Adj</t>
  </si>
  <si>
    <t>Infinity Home Services (DDTL)</t>
  </si>
  <si>
    <t>PIK: 12/31/2022 USB Adj</t>
  </si>
  <si>
    <t>PIK: 01/31/2023 USB Adj</t>
  </si>
  <si>
    <t>PIK: 02/28/2023 USB Adj</t>
  </si>
  <si>
    <t>Five Star (TL)</t>
  </si>
  <si>
    <t>Specified Term SOFR:</t>
  </si>
  <si>
    <t>PIK: 04/30/2023 USB Adj</t>
  </si>
  <si>
    <t>Walker Edison Furniture, LLC</t>
  </si>
  <si>
    <t>Andrew Jordan</t>
  </si>
  <si>
    <t>Managing Director</t>
  </si>
  <si>
    <t>PIK: 05/31/2023 USB Adj</t>
  </si>
  <si>
    <t>PIK: 05/31/2023</t>
  </si>
  <si>
    <t>Loving Tan (TL)</t>
  </si>
  <si>
    <t>Loving Tan Intermediate II, Inc.</t>
  </si>
  <si>
    <t>Walker Edison (Common)</t>
  </si>
  <si>
    <t>PIK: 06/30/2023 USB Adj</t>
  </si>
  <si>
    <t>Walker Edison Holdco LLC</t>
  </si>
  <si>
    <t>By Light Professional IT Services, LLC - Unfunded Revolver</t>
  </si>
  <si>
    <t>Pink Lilly</t>
  </si>
  <si>
    <t>PIK: 07/31/2023 USB Adj</t>
  </si>
  <si>
    <t>PIK: 08/31/2023 USB Adj</t>
  </si>
  <si>
    <t>Avenu (TL)</t>
  </si>
  <si>
    <t>PIK: 09/30/2023 USB Adj</t>
  </si>
  <si>
    <t>PIK: 10/31/2023 USB Adj</t>
  </si>
  <si>
    <t>Lynx Technologies (TL)</t>
  </si>
  <si>
    <t>PIK: 11/30/2023 USB Adj</t>
  </si>
  <si>
    <t>Arcfield Acquisition Corp.</t>
  </si>
  <si>
    <t>Infinity Home Services Holdco, Inc. (CAD)</t>
  </si>
  <si>
    <t>Infinity Home Services Holdco, Inc.</t>
  </si>
  <si>
    <t>Infinity Home Services Holdco, Inc. -  1st Amendment Unfunded Term Loan</t>
  </si>
  <si>
    <t>Infinity Home Services (DDTL) CAD</t>
  </si>
  <si>
    <t>Output Services Group, Inc. - First-out Term Loan</t>
  </si>
  <si>
    <t>Output Services Group, Inc. - Last-out Term Loan</t>
  </si>
  <si>
    <t>Output Services Group, Inc. (Common Equity)</t>
  </si>
  <si>
    <t>Omnia (TL)</t>
  </si>
  <si>
    <t>Carisk Partners (TL)</t>
  </si>
  <si>
    <t>OSG (Common Equity)</t>
  </si>
  <si>
    <t>PIK: 12/31/2023 USB Adj</t>
  </si>
  <si>
    <t>OSG (TL1)</t>
  </si>
  <si>
    <t>OSG (TL2)</t>
  </si>
  <si>
    <t>PIK: 01/31/2024 USB Adj</t>
  </si>
  <si>
    <t>Pegasus Steel (DDTL)</t>
  </si>
  <si>
    <t>Carnegie Dartlet (Term Loan)</t>
  </si>
  <si>
    <t>TEAM Services Group (First Lien Term Loan)</t>
  </si>
  <si>
    <t>MOREgroup (Term Loan)</t>
  </si>
  <si>
    <t>Keel Platform, LLC</t>
  </si>
  <si>
    <t>Keel Platform, LLC - Unfunded Term Loan</t>
  </si>
  <si>
    <t>PIK: 02/29/2024 USB Adj</t>
  </si>
  <si>
    <t>Big Top Manufacturing (Term Loan)</t>
  </si>
  <si>
    <t>Big Top Holdings, LLC</t>
  </si>
  <si>
    <t>Carnegie Dartlet, LLC</t>
  </si>
  <si>
    <t>System Planning and Analysis, Inc.</t>
  </si>
  <si>
    <t>MOREGroup Holdings, Inc.</t>
  </si>
  <si>
    <t>PIK: 03/31/2024 USB Adj</t>
  </si>
  <si>
    <t xml:space="preserve"> Initial Fixed Charge Coverage Ratio</t>
  </si>
  <si>
    <t>Current Fixed Charge Coverage Ratio</t>
  </si>
  <si>
    <t>ORL Acquisition, Inc.</t>
  </si>
  <si>
    <t>Halo Buyer, Inc.</t>
  </si>
  <si>
    <t>Best Practice Associates, LLC</t>
  </si>
  <si>
    <t>Five Star Buyer, Inc.</t>
  </si>
  <si>
    <t>Beta+ (TL)</t>
  </si>
  <si>
    <t>Beta Plus Technologies, Inc.</t>
  </si>
  <si>
    <t>ACP Avenu Buyer, LLC</t>
  </si>
  <si>
    <t>The Vertex Companies, LLC</t>
  </si>
  <si>
    <t>OSP EMBEDDED PURCHASER, LLC</t>
  </si>
  <si>
    <t>Omnia Exterior Solutions, LLC</t>
  </si>
  <si>
    <t>Rancho Health MSO, Inc.</t>
  </si>
  <si>
    <t>PlayPower, Inc.</t>
  </si>
  <si>
    <t>RTIC Subsidiary Holdings, LLC</t>
  </si>
  <si>
    <t>Dr. Squatch, LLC</t>
  </si>
  <si>
    <t>Team Services Group, LLC</t>
  </si>
  <si>
    <t>PIK: 04/30/2024 USB Adj</t>
  </si>
  <si>
    <t>Infinity Home Services (DDTL) USD</t>
  </si>
  <si>
    <t>PIK: 05/31/2024 USB Adj</t>
  </si>
  <si>
    <t>EvAl (Term Loan)</t>
  </si>
  <si>
    <t>Safe Haven (Term Loan)</t>
  </si>
  <si>
    <t>RTIC (TL)</t>
  </si>
  <si>
    <t>-</t>
  </si>
  <si>
    <t>Eval Home Health Solutions Intermediate, LLC</t>
  </si>
  <si>
    <t>Safe Haven Defense US LLC</t>
  </si>
  <si>
    <t>TPCN (Term Loan)</t>
  </si>
  <si>
    <t>Beacon Behavioral (Term Loan)</t>
  </si>
  <si>
    <t>PIK: 06/30/2024 USB Adj</t>
  </si>
  <si>
    <t>Beacon Behavioral Support Service, LLC</t>
  </si>
  <si>
    <t>PIK: 07/31/2024 USB Adj</t>
  </si>
  <si>
    <t>ORL</t>
  </si>
  <si>
    <t>C5MI (Term Loan)</t>
  </si>
  <si>
    <t>Spread incl. PIK and PIK'able</t>
  </si>
  <si>
    <t>Cash Spread On Floating Rate Loans</t>
  </si>
  <si>
    <t>Cash Spread On Fixed Rate Loans</t>
  </si>
  <si>
    <t>Non-Cash PIK Loan (Y/N)</t>
  </si>
  <si>
    <t>Top 5 Obligors</t>
  </si>
  <si>
    <t>Total Excess</t>
  </si>
  <si>
    <t>Top 5 Obligors (Aggregate)</t>
  </si>
  <si>
    <t>Interest Paid At Least Semi Annually</t>
  </si>
  <si>
    <t>Coupon incl. PIK and PIK'able (if Fixed)</t>
  </si>
  <si>
    <t>PIK / PIK'able For Floating Rate Loans</t>
  </si>
  <si>
    <t>PIK / PIK'able For Fixed Rate Loans</t>
  </si>
  <si>
    <t>Currency (USD / CAD / GBP / AUD / EUR)</t>
  </si>
  <si>
    <t>Initial Debt to Capitalization Ratio</t>
  </si>
  <si>
    <t>PAR Excellence (Term Loan)</t>
  </si>
  <si>
    <t>Archer Lewis (Term Loan)</t>
  </si>
  <si>
    <t>Harris (Term Loan)</t>
  </si>
  <si>
    <t>Argano (Term Loan)</t>
  </si>
  <si>
    <t>Commercial Fire Protection (Term Loan)</t>
  </si>
  <si>
    <t>Archer Lewis, LLC</t>
  </si>
  <si>
    <t>C5MI Holdco, LLC</t>
  </si>
  <si>
    <t>Harris &amp; Co. LLC</t>
  </si>
  <si>
    <t>PIK: 08/31/2024 USB Adj</t>
  </si>
  <si>
    <t>PIK: 09/30/2024 USB Adj</t>
  </si>
  <si>
    <t>Research Now / SSI (SOTL)</t>
  </si>
  <si>
    <t>Guild Garage Group (Term Loan)</t>
  </si>
  <si>
    <t xml:space="preserve">Case Works Group (Term Loan) </t>
  </si>
  <si>
    <t>Duggal (Term Loan)</t>
  </si>
  <si>
    <t>ARGANO, LLC</t>
  </si>
  <si>
    <t>DUGGAL ACQUISITION, LLC</t>
  </si>
  <si>
    <t>Dynata, LLC - Last-Out Term Loan</t>
  </si>
  <si>
    <t>GGG MIDCO, LLC</t>
  </si>
  <si>
    <t>PIK: 10/31/2024 USB Adj</t>
  </si>
  <si>
    <t>Emergency Care Partners (Term Loan)</t>
  </si>
  <si>
    <t>Sabel Systems (Term Loan)</t>
  </si>
  <si>
    <t>PIK: 11/30/2024 USB Adj</t>
  </si>
  <si>
    <t>Bland Landscaping (Term Loan)</t>
  </si>
  <si>
    <t>BLC Holding Company, Inc.</t>
  </si>
  <si>
    <t>Carisk Buyer, Inc.</t>
  </si>
  <si>
    <t>Case Works, LLC</t>
  </si>
  <si>
    <t xml:space="preserve">Emergency Care Partners, LLC </t>
  </si>
  <si>
    <t>Sabel Systems Technology Solutions, LLC</t>
  </si>
  <si>
    <t>Azureon, LLC</t>
  </si>
  <si>
    <t>360DG (Term Loan)</t>
  </si>
  <si>
    <t>Boss Industries, LLC</t>
  </si>
  <si>
    <t>PIK: 12/31/2024 USB Adj</t>
  </si>
  <si>
    <t>Federal Advisory Partners (First Lien Term Loan)</t>
  </si>
  <si>
    <t>Boss Industries (Term Loan)</t>
  </si>
  <si>
    <t>Tranzact (Term Loan)</t>
  </si>
  <si>
    <t>Marketplace Events Acquisition, LLC</t>
  </si>
  <si>
    <t>Project Granite Buyer,Inc.</t>
  </si>
  <si>
    <t>MDI (TLB)</t>
  </si>
  <si>
    <t>PIK: 01/31/2025 USB Adj</t>
  </si>
  <si>
    <t>Halo (Term Loan)</t>
  </si>
  <si>
    <t>MDI Buyer, INC.</t>
  </si>
  <si>
    <t>PIK: 02/28/2025 USB Adj</t>
  </si>
  <si>
    <t>Track</t>
  </si>
  <si>
    <t>Sath Industries, LLC</t>
  </si>
  <si>
    <t>PAR Excellence Holdings, Inc.</t>
  </si>
  <si>
    <t>PIK: 03/31/2025 USB Adj</t>
  </si>
  <si>
    <t>Impact Advisors (Term Loan)</t>
  </si>
  <si>
    <t>Impact Advisors, LLC</t>
  </si>
  <si>
    <t>PIK: 04/30/2025 USB Adj</t>
  </si>
  <si>
    <t>Magnolia (First Lien Term Loan)</t>
  </si>
  <si>
    <t>Commercial Fire Protection Holdings, LLC</t>
  </si>
  <si>
    <t>Express Wash Intermediate, LLC</t>
  </si>
  <si>
    <t>Zips (New OpCo Term Loan)</t>
  </si>
  <si>
    <t xml:space="preserve">Cornerstone Advisors of Arizona, LLC </t>
  </si>
  <si>
    <t>Cornerstone Advisors (Term Loan)</t>
  </si>
  <si>
    <t>PIK: 05/31/2025 USB Adj</t>
  </si>
  <si>
    <t>First Medical Associates (Term Loan)</t>
  </si>
  <si>
    <t>C&amp;K Paving Contractors (Term Loan)</t>
  </si>
  <si>
    <t>Stronghouse Solutions (Term Loan)</t>
  </si>
  <si>
    <t>Aphix Buyer, Inc</t>
  </si>
  <si>
    <t>Capital Construction, LLC</t>
  </si>
  <si>
    <t>First Medical Associates, LLC</t>
  </si>
  <si>
    <t>Paving Lessor Corp.</t>
  </si>
  <si>
    <t>Penta Group Holdings, Inc.</t>
  </si>
  <si>
    <t>Aphix (Term Loan)</t>
  </si>
  <si>
    <t>Penta (Term Loan)</t>
  </si>
  <si>
    <t>PIK: 07/30/2025 USB Adj</t>
  </si>
  <si>
    <t>PIK: 07/31/2025 USB Adj</t>
  </si>
  <si>
    <t xml:space="preserve"> NR</t>
  </si>
  <si>
    <t xml:space="preserve"> CCC+</t>
  </si>
  <si>
    <t xml:space="preserve"> B</t>
  </si>
  <si>
    <t xml:space="preserve"> CCC-</t>
  </si>
  <si>
    <t xml:space="preserve"> B-</t>
  </si>
  <si>
    <t>Asset Purchases</t>
  </si>
  <si>
    <t>NARS Purchase</t>
  </si>
  <si>
    <t>A1 Garage Merger Sub, LLC</t>
  </si>
  <si>
    <t>ACP Avenu Buyer, LLC 2</t>
  </si>
  <si>
    <t>Ad.net Acquisition, LLC</t>
  </si>
  <si>
    <t>Amsive Holding Corporation</t>
  </si>
  <si>
    <t>Big Top Holdings, LLC 2</t>
  </si>
  <si>
    <t>Bioderm, Inc</t>
  </si>
  <si>
    <t>Beta Plus Technologies, Inc. 2</t>
  </si>
  <si>
    <t>Blue Cloud Pediatric Surgery Centers, LLC</t>
  </si>
  <si>
    <t>Burgess Point Purchaser Corporation</t>
  </si>
  <si>
    <t>CF512, Inc.</t>
  </si>
  <si>
    <t>Carisk Buyer, Inc. 2</t>
  </si>
  <si>
    <t>Cartessa Aesthetics, LLC</t>
  </si>
  <si>
    <t>Carnegie Dartlet, LLC 2</t>
  </si>
  <si>
    <t>Confluent Health, LLC</t>
  </si>
  <si>
    <t>Compex Legal Services, Inc</t>
  </si>
  <si>
    <t>Connatix Buyer, Inc.</t>
  </si>
  <si>
    <t>Coolsys, Inc.</t>
  </si>
  <si>
    <t>DRI Holding Inc.</t>
  </si>
  <si>
    <t>Dr. Squatch, LLC 2</t>
  </si>
  <si>
    <t>DRS Holdings III, Inc. 2</t>
  </si>
  <si>
    <t>Crane 1 Services, Inc.</t>
  </si>
  <si>
    <t>Eval Home Health Solutions Intermediate, LLC 2</t>
  </si>
  <si>
    <t>EDS Buyer, LLC</t>
  </si>
  <si>
    <t>ETE Intermediate II, LLC</t>
  </si>
  <si>
    <t>Exigo Intermediate II, LLC</t>
  </si>
  <si>
    <t>Five Star Buyer, Inc. 2</t>
  </si>
  <si>
    <t>Global Holdings InterCo LLC</t>
  </si>
  <si>
    <t xml:space="preserve">Painters Supply and Equipment </t>
  </si>
  <si>
    <t>HEC Purchaser Corp.</t>
  </si>
  <si>
    <t>Hanley Wood</t>
  </si>
  <si>
    <t>Insight Global</t>
  </si>
  <si>
    <t>Infolinks</t>
  </si>
  <si>
    <t>Integrated Data Systems</t>
  </si>
  <si>
    <t>Ledge Lounger, Inc.</t>
  </si>
  <si>
    <t>LJ Avalon Holdings LLC</t>
  </si>
  <si>
    <t>Magenta Buyer, LLC - First-Out Term Loan</t>
  </si>
  <si>
    <t>Magenta Buyer, LLC - Second-Out Term Loan</t>
  </si>
  <si>
    <t>Magenta Buyer, LLC - Third-Out Term Loan</t>
  </si>
  <si>
    <t>MOREGroup Holdings, Inc. 2</t>
  </si>
  <si>
    <t>Keel Platform, LLC - Unfunded Term Loan 2</t>
  </si>
  <si>
    <t>Kinetic Purchaser, LLC 2</t>
  </si>
  <si>
    <t>Lash OpCo, LLC 2</t>
  </si>
  <si>
    <t>System Planning and Analysis, Inc. 2</t>
  </si>
  <si>
    <t>HelpSystems</t>
  </si>
  <si>
    <t>Loving Tan Intermediate II, Inc. 2</t>
  </si>
  <si>
    <t>MAG DS Corp.</t>
  </si>
  <si>
    <t>MBS Holdings, Inc.</t>
  </si>
  <si>
    <t>Meadowlark Acquirer, LLC</t>
  </si>
  <si>
    <t>Medina Health, LLC</t>
  </si>
  <si>
    <t>Megawatt Acquisitionco, Inc</t>
  </si>
  <si>
    <t>Municipal Emergency Services, Inc.</t>
  </si>
  <si>
    <t>NARS</t>
  </si>
  <si>
    <t>NBH Group LLC</t>
  </si>
  <si>
    <t>NORA Acquisition, LLC</t>
  </si>
  <si>
    <t>ORL Acquisition, Inc. 2</t>
  </si>
  <si>
    <t>OSP EMBEDDED PURCHASER, LLC 2</t>
  </si>
  <si>
    <t>Output Services Group, Inc. - First-out Term Loan 2</t>
  </si>
  <si>
    <t>Output Services Group, Inc. - Last-out Term Loan 2</t>
  </si>
  <si>
    <t>One Stop Mailing, LLC</t>
  </si>
  <si>
    <t>PL Acquisitionco, LLC 2</t>
  </si>
  <si>
    <t>Podean</t>
  </si>
  <si>
    <t>Plimpton &amp; Hills</t>
  </si>
  <si>
    <t>Rancho Health MSO, Inc. 2</t>
  </si>
  <si>
    <t>Pacific Purchaser, LLC</t>
  </si>
  <si>
    <t>PCS Midco, Inc</t>
  </si>
  <si>
    <t>Recteq, LLC 2</t>
  </si>
  <si>
    <t>Dynata, LLC - Last-Out Term Loan 2</t>
  </si>
  <si>
    <t>Dynata, LLC - First-Out Term Loan</t>
  </si>
  <si>
    <t>RTIC Subsidiary Holdings, LLC 2</t>
  </si>
  <si>
    <t>Rural Sourcing Holdings, Inc. (HPA SPQ Merger Sub, Inc.)</t>
  </si>
  <si>
    <t>Symplr Software, Inc.</t>
  </si>
  <si>
    <t>Safe Haven Defense US LLC 2</t>
  </si>
  <si>
    <t>Sigma Defense Systems, LLC 2</t>
  </si>
  <si>
    <t>Smile Brands Inc. 2</t>
  </si>
  <si>
    <t>TCG 3.0 Jogger Acquisitionco</t>
  </si>
  <si>
    <t>The Bluebird Group LLC</t>
  </si>
  <si>
    <t>TPC US Parent, LLC</t>
  </si>
  <si>
    <t>Transgo, LLC</t>
  </si>
  <si>
    <t>Tyto Athene, LLC</t>
  </si>
  <si>
    <t>Urology Management Holdings, Inc</t>
  </si>
  <si>
    <t>US Fertility Enterprises, LLC</t>
  </si>
  <si>
    <t>Team Services Group, LLC 2</t>
  </si>
  <si>
    <t>Team Services Group, LLC 3</t>
  </si>
  <si>
    <t>The Vertex Companies, LLC 2</t>
  </si>
  <si>
    <t>A1 Garage (Term Loan)</t>
  </si>
  <si>
    <t>Ad.net (Term Loan)</t>
  </si>
  <si>
    <t>Vision Integrated (TL)</t>
  </si>
  <si>
    <t>BioDerm (Term Loan)</t>
  </si>
  <si>
    <t>Blue Cloud (Incr. Term Loan)</t>
  </si>
  <si>
    <t>BBB Industries (First Lien Term Loan)</t>
  </si>
  <si>
    <t>Gen3 Marketing (Term Loan)</t>
  </si>
  <si>
    <t>Cartessa (TL)</t>
  </si>
  <si>
    <t>Confluent Health (TL)</t>
  </si>
  <si>
    <t>Compex (TL)</t>
  </si>
  <si>
    <t>Connatix (Term Loan)</t>
  </si>
  <si>
    <t>Coolsys, Inc. (TL)</t>
  </si>
  <si>
    <t>Digital Room (Term Loan)</t>
  </si>
  <si>
    <t>Crane 1 (Term Loan)</t>
  </si>
  <si>
    <t>Epiq (TL)</t>
  </si>
  <si>
    <t>Engine &amp; Transmission (TL)</t>
  </si>
  <si>
    <t>Exigo (TL)</t>
  </si>
  <si>
    <t>Global (Term Loan)</t>
  </si>
  <si>
    <t>Painters Supply and Equipment (Term Loan)</t>
  </si>
  <si>
    <t>Health-E Commerce (Term Loan)</t>
  </si>
  <si>
    <t>Hanley Wood (TL)</t>
  </si>
  <si>
    <t>Insight Global (TL)</t>
  </si>
  <si>
    <t>Infolinks (TL)</t>
  </si>
  <si>
    <t>Integrated Data Systems (TL)</t>
  </si>
  <si>
    <t>Ledge Lounger (Term Loan)</t>
  </si>
  <si>
    <t>Ardurra (Term Loan)</t>
  </si>
  <si>
    <t>McAfee (First Lien)</t>
  </si>
  <si>
    <t>HelpSystems (TL)</t>
  </si>
  <si>
    <t>MAG Aerospace (TL)</t>
  </si>
  <si>
    <t>Momentum (Term Loan)</t>
  </si>
  <si>
    <t>Meadowlark (TL)</t>
  </si>
  <si>
    <t>Comprehensive Rehab Consultants (Term Loan)</t>
  </si>
  <si>
    <t>Mission Microwave (Term Loan)</t>
  </si>
  <si>
    <t>MES (Term Loan)</t>
  </si>
  <si>
    <t>NARS (TL)</t>
  </si>
  <si>
    <t>Nevada Behavioral Health Systems (Term Loan)</t>
  </si>
  <si>
    <t>NORA (Term Loan)</t>
  </si>
  <si>
    <t>OSM (Term Loan)</t>
  </si>
  <si>
    <t>Podean (Term Loan)</t>
  </si>
  <si>
    <t>Plimpton &amp; Hills (TL)</t>
  </si>
  <si>
    <t>ProSearch (TL)</t>
  </si>
  <si>
    <t>PCS Retirement (Term Loan)</t>
  </si>
  <si>
    <t>Research Now / SSI (FOTL)</t>
  </si>
  <si>
    <t>Sparq (TL)</t>
  </si>
  <si>
    <t>Symplr (TL)</t>
  </si>
  <si>
    <t>BiggerPockets (TL)</t>
  </si>
  <si>
    <t>Bluebird (Term Loan)</t>
  </si>
  <si>
    <t>Targeted Pet Care (Term Loan)</t>
  </si>
  <si>
    <t>TransGo (TL)</t>
  </si>
  <si>
    <t>Tyto Athene (Term Loan)</t>
  </si>
  <si>
    <t>Solaris Health (Term Loan)</t>
  </si>
  <si>
    <t>US Fertility (Term Loan)</t>
  </si>
  <si>
    <t>TEAM Services Group (Second Lien Term Loan)</t>
  </si>
  <si>
    <t>Magenta Buyer, LLC</t>
  </si>
  <si>
    <t xml:space="preserve">Dynata, LLC </t>
  </si>
  <si>
    <t xml:space="preserve"> B3</t>
  </si>
  <si>
    <t>Watchtower (TL)</t>
  </si>
  <si>
    <t>Transgo (TL)</t>
  </si>
  <si>
    <t>Temporary Participation Pool Acquisition Date</t>
  </si>
  <si>
    <t>Fifth Amendment Participation 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</si>
</sst>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0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&quot;$&quot;#,##0"/>
    <numFmt numFmtId="166" formatCode="0.000000"/>
    <numFmt numFmtId="167" formatCode="_(* #,##0_);_(* \(#,##0\);_(* &quot;-&quot;??_);_(@_)"/>
    <numFmt numFmtId="168" formatCode="#,##0.0%_);\(#,##0.0%\)"/>
    <numFmt numFmtId="169" formatCode="_(&quot;$&quot;* #,##0_);_(&quot;$&quot;* \(#,##0\);_(&quot;$&quot;* &quot;-&quot;??_);_(@_)"/>
    <numFmt numFmtId="170" formatCode="0.0000%"/>
    <numFmt numFmtId="171" formatCode="0.00\ \x"/>
    <numFmt numFmtId="172" formatCode="0.000%"/>
    <numFmt numFmtId="173" formatCode="[$-409]mmmm\ d\,\ yyyy;@"/>
    <numFmt numFmtId="174" formatCode="0.00\ &quot;yrs&quot;"/>
    <numFmt numFmtId="175" formatCode="_(* #,##0.0_);_(* \(#,##0.0\);_(* &quot;-&quot;??_);_(@_)"/>
    <numFmt numFmtId="176" formatCode="0;[Red]0"/>
    <numFmt numFmtId="177" formatCode="_(&quot;$&quot;* #,##0.00_);_(&quot;$&quot;* \(#,##0.00\);_(&quot;$&quot;* &quot;-&quot;_);_(@_)"/>
    <numFmt numFmtId="178" formatCode="_(&quot;$&quot;* #,##0.000_);_(&quot;$&quot;* \(#,##0.000\);_(&quot;$&quot;* &quot;-&quot;???_);_(@_)"/>
    <numFmt numFmtId="179" formatCode="&quot;$&quot;#,##0.0"/>
    <numFmt numFmtId="180" formatCode="&quot;$&quot;#,##0.00"/>
    <numFmt numFmtId="181" formatCode="0.0000000"/>
    <numFmt numFmtId="182" formatCode="0.0%"/>
    <numFmt numFmtId="183" formatCode="#,##0.000_);[Red]\(#,##0.000\)"/>
    <numFmt numFmtId="184" formatCode="0.00\x"/>
    <numFmt numFmtId="185" formatCode="0.00&quot;x&quot;"/>
    <numFmt numFmtId="186" formatCode="0.0"/>
    <numFmt numFmtId="187" formatCode="&quot;$&quot;#,##0.0_);\(&quot;$&quot;#,##0.0\)"/>
    <numFmt numFmtId="188" formatCode="#,##0.0_);\(#,##0.0\)"/>
    <numFmt numFmtId="189" formatCode="[$$-409]#,##0.0_);\([$$-409]#,##0.0\);[$$-409]#,##0.0_);@_)"/>
    <numFmt numFmtId="190" formatCode="[$$-409]#,##0_);\([$$-409]#,##0\);[$$-409]#,##0_);@_)"/>
    <numFmt numFmtId="191" formatCode="[$-409]mmm\-yy;@"/>
    <numFmt numFmtId="192" formatCode="#,##0.0"/>
    <numFmt numFmtId="193" formatCode="0.00%_);\(0.00%\)"/>
    <numFmt numFmtId="194" formatCode="0.0%;\(0.0\)%"/>
    <numFmt numFmtId="195" formatCode="0.00%;\(0.00\)%"/>
    <numFmt numFmtId="196" formatCode="0.00%_);[Red]\(0.00%\)"/>
    <numFmt numFmtId="197" formatCode="0.00%;[Red]\(0.00%\)"/>
    <numFmt numFmtId="198" formatCode="&quot;$&quot;#,##0.0;\(&quot;$&quot;#,##0.0\)"/>
    <numFmt numFmtId="199" formatCode="0%;\(0\)%"/>
    <numFmt numFmtId="200" formatCode="0%;\-0%;;"/>
    <numFmt numFmtId="201" formatCode="&quot;£&quot;#,##0.00;\-&quot;£&quot;#,##0.00"/>
    <numFmt numFmtId="202" formatCode="0.0_)\%;\(0.0\)\%;0.0_)\%;@_)_%"/>
    <numFmt numFmtId="203" formatCode="#,##0.0_)_%;\(#,##0.0\)_%;0.0_)_%;@_)_%"/>
    <numFmt numFmtId="204" formatCode="#,##0.0_);\(#,##0.0\);#,##0.0_);@_)"/>
    <numFmt numFmtId="205" formatCode="#,##0.000\x;&quot;NM&quot;_x"/>
    <numFmt numFmtId="206" formatCode="&quot;$&quot;_(#,##0.00_);&quot;$&quot;\(#,##0.00\);&quot;$&quot;_(0.00_);@_)"/>
    <numFmt numFmtId="207" formatCode="&quot;£&quot;_(#,##0.00_);&quot;£&quot;\(#,##0.00\)"/>
    <numFmt numFmtId="208" formatCode="#,##0.0_x;&quot;NM&quot;_x"/>
    <numFmt numFmtId="209" formatCode="#,##0.00_);\(#,##0.00\);0.00_);@_)"/>
    <numFmt numFmtId="210" formatCode="\€_(#,##0.00_);\€\(#,##0.00\);\€_(0.00_);@_)"/>
    <numFmt numFmtId="211" formatCode="#,##0_)\x;\(#,##0\)\x;0_)\x;@_)_x"/>
    <numFmt numFmtId="212" formatCode="#,##0.0_)\x;\(#,##0.0\)\x"/>
    <numFmt numFmtId="213" formatCode="#,##0_)_x;\(#,##0\)_x;0_)_x;@_)_x"/>
    <numFmt numFmtId="214" formatCode="#,##0.0_)_x;\(#,##0.0\)_x"/>
    <numFmt numFmtId="215" formatCode="0.0_)\%;\(0.0\)\%"/>
    <numFmt numFmtId="216" formatCode="#,##0.0_)_%;\(#,##0.0\)_%"/>
    <numFmt numFmtId="217" formatCode="0.0&quot;x&quot;"/>
    <numFmt numFmtId="218" formatCode="0.00\ ;\(0.00\)"/>
    <numFmt numFmtId="219" formatCode="_(* #,##0.0_);_(* \(#,##0.0\);_(* &quot;--- &quot;_)"/>
    <numFmt numFmtId="220" formatCode="m\-d\-yy"/>
    <numFmt numFmtId="221" formatCode="&quot;Volunteer&quot;;[Red]&quot;Error&quot;;&quot;Management&quot;"/>
    <numFmt numFmtId="222" formatCode="#,##0.00000000_);\(#,##0.00000000\)"/>
    <numFmt numFmtId="223" formatCode="\C&quot;$&quot;#,##0_);[Red]\(\C&quot;$&quot;#,##0\)"/>
    <numFmt numFmtId="224" formatCode="#,##0.0_);[Red]\(#,##0.0\)"/>
    <numFmt numFmtId="225" formatCode="mmm"/>
    <numFmt numFmtId="226" formatCode="0&quot; bp&quot;"/>
    <numFmt numFmtId="227" formatCode="\£#,##0_);\(\£#,##0\)"/>
    <numFmt numFmtId="228" formatCode="_ * #,##0.0000000_ ;_ * \-#,##0.0000000_ ;_ * &quot;-&quot;??_ ;_ @_ "/>
    <numFmt numFmtId="229" formatCode="_ * #,##0.0000_ ;_ * \-#,##0.0000_ ;_ * &quot;-&quot;??_ ;_ @_ "/>
    <numFmt numFmtId="230" formatCode="#,##0.000000;\(#,##0.000000\)"/>
    <numFmt numFmtId="231" formatCode="#,##0.0000_);\(#,##0.0000\)"/>
    <numFmt numFmtId="232" formatCode="&quot;$&quot;#,##0.00;\(&quot;$&quot;#,##0.00\)"/>
    <numFmt numFmtId="233" formatCode="#,##0_%_);\(#,##0\)_%;#,##0_%_);@_%_)"/>
    <numFmt numFmtId="234" formatCode="#,##0_%_);\(#,##0\)_%;**;@_%_)"/>
    <numFmt numFmtId="235" formatCode="m/d/yy_%_)"/>
    <numFmt numFmtId="236" formatCode="#,##0.00_%_);\(#,##0.00\)_%;#,##0.00_%_);@_%_)"/>
    <numFmt numFmtId="237" formatCode="&quot;$&quot;#,##0.00000"/>
    <numFmt numFmtId="238" formatCode="#,##0.0000000000_);\(#,##0.0000000000\)"/>
    <numFmt numFmtId="239" formatCode="#,##0.000000_);\(#,##0.000000\)"/>
    <numFmt numFmtId="240" formatCode="#,##0;\(#,##0\)"/>
    <numFmt numFmtId="241" formatCode="[&gt;=1000000]#,###,,&quot; m&quot;;[&gt;=1000]#,###,&quot; k&quot;;#,##0"/>
    <numFmt numFmtId="242" formatCode="0.000000%"/>
    <numFmt numFmtId="243" formatCode="&quot;$&quot;#,##0.00_);[Red]\(&quot;$&quot;#,##0.00\);&quot;--  &quot;;_(@_)"/>
    <numFmt numFmtId="244" formatCode="&quot;$&quot;#,##0_%_);\(&quot;$&quot;#,##0\)_%;&quot;$&quot;#,##0_%_);@_%_)"/>
    <numFmt numFmtId="245" formatCode="&quot;$&quot;#,##0.00_%_);\(&quot;$&quot;#,##0.00\)_%;&quot;$&quot;#,##0.00_%_);@_%_)"/>
    <numFmt numFmtId="246" formatCode="General_)"/>
    <numFmt numFmtId="247" formatCode="&quot;$&quot;0.00\ ;\(&quot;$&quot;0.00\)"/>
    <numFmt numFmtId="248" formatCode="mmm\-yyyy"/>
    <numFmt numFmtId="249" formatCode="yyyy"/>
    <numFmt numFmtId="250" formatCode="_-* #,##0\ _€_-;\-* #,##0\ _€_-;_-* &quot;-&quot;\ _€_-;_-@_-"/>
    <numFmt numFmtId="251" formatCode="_-* #,##0.00\ _€_-;\-* #,##0.00\ _€_-;_-* &quot;-&quot;??\ _€_-;_-@_-"/>
    <numFmt numFmtId="252" formatCode="&quot;C&quot;&quot;$&quot;#,##0.00_);[Red]\(&quot;C&quot;&quot;$&quot;#,##0.00\)"/>
    <numFmt numFmtId="253" formatCode="\$#,##0;\(\$#,##0\)"/>
    <numFmt numFmtId="254" formatCode="0_%_);\(0\)_%;0_%_);@_%_)"/>
    <numFmt numFmtId="255" formatCode="_(* #,##0_);_(* \(#,##0\);_(* &quot;-&quot;_)"/>
    <numFmt numFmtId="256" formatCode="0&quot;est&quot;"/>
    <numFmt numFmtId="257" formatCode="0_);[Red]\(0\)"/>
    <numFmt numFmtId="258" formatCode="0.0%_);[Red]\(0.0%\)"/>
    <numFmt numFmtId="259" formatCode="0.0\%_);\(0.0\%\);0.0\%_);@_%_)"/>
    <numFmt numFmtId="260" formatCode=";;;"/>
    <numFmt numFmtId="261" formatCode="0.0%;[Red]\(0.0%\)"/>
    <numFmt numFmtId="262" formatCode="#,##0.0##;[Red]\-#,##0.0##"/>
    <numFmt numFmtId="263" formatCode="0.00000000"/>
    <numFmt numFmtId="264" formatCode="_(* #,##0.0_);[Red]_(* \(#,##0.0\);&quot;nm &quot;"/>
    <numFmt numFmtId="265" formatCode="#,##0.0\ _]"/>
    <numFmt numFmtId="266" formatCode="_-* #,##0\ _F_-;\-* #,##0\ _F_-;_-* &quot;-&quot;\ _F_-;_-@_-"/>
    <numFmt numFmtId="267" formatCode="_-* #,##0.00\ _F_-;\-* #,##0.00\ _F_-;_-* &quot;-&quot;??\ _F_-;_-@_-"/>
    <numFmt numFmtId="268" formatCode="_-* #,##0\ &quot;F&quot;_-;\-* #,##0\ &quot;F&quot;_-;_-* &quot;-&quot;\ &quot;F&quot;_-;_-@_-"/>
    <numFmt numFmtId="269" formatCode="_-* #,##0.00\ &quot;F&quot;_-;\-* #,##0.00\ &quot;F&quot;_-;_-* &quot;-&quot;??\ &quot;F&quot;_-;_-@_-"/>
    <numFmt numFmtId="270" formatCode="0.0\x_)_);&quot;NM&quot;_x_)_);0.0\x_)_);@_%_)"/>
    <numFmt numFmtId="271" formatCode="#,##0.00\X"/>
    <numFmt numFmtId="272" formatCode="#,##0.0\X"/>
    <numFmt numFmtId="273" formatCode="#\ ##0_-;\-#\ ##0_-;_-0_-;_-@_ "/>
    <numFmt numFmtId="274" formatCode="#\ ##0.00_-;\-#\ ##0.00_-;_-0.00_-;_-@_ "/>
    <numFmt numFmtId="275" formatCode="#,##0.0_);[Red]\(#,##0.0\);&quot;--  &quot;"/>
    <numFmt numFmtId="276" formatCode="0.00_)"/>
    <numFmt numFmtId="277" formatCode="0.0%;\(0.0%\)"/>
    <numFmt numFmtId="278" formatCode="#,##0.00&quot;x&quot;;[Red]\(#,##0.00&quot;x&quot;\)"/>
    <numFmt numFmtId="279" formatCode="#,##0.00_)&quot; &quot;;[Red]\(#,##0.00\)&quot; &quot;"/>
    <numFmt numFmtId="280" formatCode="_(* #,##0.0_);_(* \(#,##0.0\);_(* &quot;-&quot;?_);_(@_)"/>
    <numFmt numFmtId="281" formatCode="#,##0.0\ ;\(#,##0.0\)"/>
    <numFmt numFmtId="282" formatCode="0.000_]"/>
    <numFmt numFmtId="283" formatCode="_ * #,##0_ ;\ \(#,##0\)_ ;_ * &quot;-&quot;_ ;_ @_ "/>
    <numFmt numFmtId="284" formatCode="0.0%;[Red]\(0.0%\);&quot;--  &quot;"/>
    <numFmt numFmtId="285" formatCode="0.000%;[Red]\(0.000%\)"/>
    <numFmt numFmtId="286" formatCode="0.000%;;&quot;-- &quot;"/>
    <numFmt numFmtId="287" formatCode="&quot;£&quot;#,##0_);[Red]\(&quot;£&quot;#,##0\)"/>
    <numFmt numFmtId="288" formatCode="0.00%;\(0.00%\)"/>
    <numFmt numFmtId="289" formatCode="0.00000%"/>
    <numFmt numFmtId="290" formatCode="&quot;Proj &quot;0;;"/>
    <numFmt numFmtId="291" formatCode="0.00000000000000000%"/>
    <numFmt numFmtId="292" formatCode="0.000"/>
    <numFmt numFmtId="293" formatCode="#####0"/>
    <numFmt numFmtId="294" formatCode="0.0_)"/>
    <numFmt numFmtId="295" formatCode="&quot;$&quot;#,##0.000_);[Red]\(&quot;$&quot;#,##0.000\)"/>
    <numFmt numFmtId="296" formatCode="0_);\(0\)"/>
    <numFmt numFmtId="297" formatCode="#,##0.00\ ;\(#,##0.00\)"/>
    <numFmt numFmtId="298" formatCode="_-&quot;$&quot;* #,##0.00_-;\-&quot;$&quot;* #,##0.00_-;_-&quot;$&quot;* &quot;-&quot;??_-;_-@_-"/>
    <numFmt numFmtId="299" formatCode="0.00\ "/>
    <numFmt numFmtId="300" formatCode="[&gt;9999]#,;[&gt;0]#0.0,;\-;"/>
    <numFmt numFmtId="301" formatCode="[&gt;9.9]#;[&gt;0]#0.0;\-;"/>
    <numFmt numFmtId="302" formatCode="_-* #,##0\ &quot;€&quot;_-;\-* #,##0\ &quot;€&quot;_-;_-* &quot;-&quot;\ &quot;€&quot;_-;_-@_-"/>
    <numFmt numFmtId="303" formatCode="_-* #,##0.00\ &quot;€&quot;_-;\-* #,##0.00\ &quot;€&quot;_-;_-* &quot;-&quot;??\ &quot;€&quot;_-;_-@_-"/>
    <numFmt numFmtId="304" formatCode="\¥#,##0_);\(\¥#,##0\)"/>
    <numFmt numFmtId="305" formatCode="_(#,##0.0_);_(\(#,##0.0\);\-??_);_(@_)_)"/>
    <numFmt numFmtId="306" formatCode="_-* #,##0.00_-;\-* #,##0.00_-;_-* &quot;-&quot;??_-;_-@_-"/>
    <numFmt numFmtId="307" formatCode="\1"/>
    <numFmt numFmtId="308" formatCode="#,##0_);\(#,##0\);&quot;-&quot;_);@_)"/>
    <numFmt numFmtId="309" formatCode="#,##0_);\(#,##0\);&quot; - &quot;_);@_)"/>
    <numFmt numFmtId="310" formatCode="#,##0;\(#,##0\);&quot;-&quot;"/>
    <numFmt numFmtId="311" formatCode="\ #,##0.0_);\(#,##0.0\);&quot; - &quot;_);@_)"/>
    <numFmt numFmtId="312" formatCode="[$$-409]#,##0.0"/>
    <numFmt numFmtId="313" formatCode="_(&quot;$&quot;\ #,##0_);_(\(&quot;$&quot;\ #,##0\);_(&quot;$&quot;\ &quot;-&quot;_);_(@_)"/>
    <numFmt numFmtId="314" formatCode="_(&quot;$&quot;\ #,##0.0_);_(&quot;$&quot;\ \(#,##0.0\);_(&quot;$&quot;\ &quot;-&quot;??_);_(@_)"/>
    <numFmt numFmtId="315" formatCode="[$-F800]dddd\,\ mmmm\ dd\,\ yyyy"/>
  </numFmts>
  <fonts count="3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4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i/>
      <sz val="9"/>
      <color theme="0" tint="-0.34998626667073579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9"/>
      <color rgb="FF0000FF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indexed="9"/>
      <name val="Arial"/>
      <family val="2"/>
    </font>
    <font>
      <sz val="10"/>
      <color theme="1"/>
      <name val="Arial"/>
      <family val="2"/>
    </font>
    <font>
      <sz val="9"/>
      <color indexed="22"/>
      <name val="Arial"/>
      <family val="2"/>
    </font>
    <font>
      <sz val="9"/>
      <color theme="0" tint="-0.34998626667073579"/>
      <name val="Arial"/>
      <family val="2"/>
    </font>
    <font>
      <b/>
      <sz val="9"/>
      <color rgb="FFFF0000"/>
      <name val="Arial"/>
      <family val="2"/>
    </font>
    <font>
      <b/>
      <u val="singleAccounting"/>
      <sz val="10"/>
      <name val="Arial"/>
      <family val="2"/>
    </font>
    <font>
      <sz val="9"/>
      <color indexed="12"/>
      <name val="Arial"/>
      <family val="2"/>
    </font>
    <font>
      <sz val="9"/>
      <color indexed="55"/>
      <name val="Arial"/>
      <family val="2"/>
    </font>
    <font>
      <b/>
      <u/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indexed="55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sz val="9"/>
      <color rgb="FFFF0000"/>
      <name val="Arial"/>
      <family val="2"/>
    </font>
    <font>
      <sz val="10"/>
      <color rgb="FF0070C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9"/>
      <color rgb="FF000000"/>
      <name val="Arial"/>
      <family val="2"/>
    </font>
    <font>
      <b/>
      <sz val="16"/>
      <name val="Arial"/>
      <family val="2"/>
    </font>
    <font>
      <b/>
      <sz val="9"/>
      <color rgb="FF0070C0"/>
      <name val="Arial"/>
      <family val="2"/>
    </font>
    <font>
      <b/>
      <sz val="11"/>
      <color rgb="FFFF0000"/>
      <name val="Arial"/>
      <family val="2"/>
    </font>
    <font>
      <sz val="8"/>
      <color theme="0" tint="-0.14999847407452621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sz val="9"/>
      <color rgb="FFFFFFFF"/>
      <name val="Arial"/>
      <family val="2"/>
    </font>
    <font>
      <sz val="9"/>
      <color theme="0"/>
      <name val="Arial"/>
      <family val="2"/>
    </font>
    <font>
      <b/>
      <u/>
      <sz val="9"/>
      <name val="Arial"/>
      <family val="2"/>
    </font>
    <font>
      <i/>
      <sz val="11"/>
      <color theme="2" tint="-0.249977111117893"/>
      <name val="Calibri"/>
      <family val="2"/>
      <scheme val="minor"/>
    </font>
    <font>
      <i/>
      <sz val="9"/>
      <color theme="1"/>
      <name val="Arial"/>
      <family val="2"/>
    </font>
    <font>
      <i/>
      <sz val="10"/>
      <color theme="2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2" tint="-0.249977111117893"/>
      <name val="Calibri"/>
      <family val="2"/>
      <scheme val="minor"/>
    </font>
    <font>
      <b/>
      <sz val="9"/>
      <color rgb="FF0000FF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sz val="9"/>
      <name val="Cg times"/>
    </font>
    <font>
      <b/>
      <sz val="9"/>
      <name val="Cg times"/>
    </font>
    <font>
      <sz val="9"/>
      <color rgb="FFFF0000"/>
      <name val="Cg times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8"/>
      <name val="Times New Roman"/>
      <family val="1"/>
    </font>
    <font>
      <sz val="8"/>
      <name val="Times New Roman"/>
      <family val="1"/>
    </font>
    <font>
      <sz val="8"/>
      <name val="Book Antiqua"/>
      <family val="1"/>
    </font>
    <font>
      <sz val="12"/>
      <name val="Garamond"/>
      <family val="1"/>
    </font>
    <font>
      <sz val="8"/>
      <color indexed="12"/>
      <name val="Arial"/>
      <family val="2"/>
    </font>
    <font>
      <sz val="10"/>
      <name val="Arial Narrow"/>
      <family val="2"/>
    </font>
    <font>
      <sz val="10"/>
      <name val="Helv"/>
    </font>
    <font>
      <sz val="8"/>
      <color indexed="17"/>
      <name val="Times New Roman"/>
      <family val="1"/>
    </font>
    <font>
      <sz val="8"/>
      <name val="MS Serif"/>
      <family val="1"/>
    </font>
    <font>
      <sz val="8"/>
      <color indexed="18"/>
      <name val="Times New Roman"/>
      <family val="1"/>
    </font>
    <font>
      <sz val="8"/>
      <name val="Helv"/>
    </font>
    <font>
      <sz val="10"/>
      <color indexed="8"/>
      <name val="MS Sans Serif"/>
      <family val="2"/>
    </font>
    <font>
      <u/>
      <sz val="8.4"/>
      <color indexed="12"/>
      <name val="Arial"/>
      <family val="2"/>
    </font>
    <font>
      <sz val="12"/>
      <name val="MS ??"/>
      <family val="1"/>
      <charset val="128"/>
    </font>
    <font>
      <b/>
      <sz val="22"/>
      <color indexed="18"/>
      <name val="Arial"/>
      <family val="2"/>
    </font>
    <font>
      <sz val="10"/>
      <name val="Helv"/>
      <charset val="204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2"/>
      <name val="Times New Roman"/>
      <family val="1"/>
    </font>
    <font>
      <sz val="11"/>
      <name val="‚l‚r ƒSƒVƒbƒN"/>
      <charset val="128"/>
    </font>
    <font>
      <u/>
      <sz val="10"/>
      <name val="Arial"/>
      <family val="2"/>
    </font>
    <font>
      <sz val="10"/>
      <name val="MS Sans Serif"/>
      <family val="2"/>
    </font>
    <font>
      <sz val="10"/>
      <name val="Palatino"/>
    </font>
    <font>
      <sz val="14"/>
      <name val="Tms Rmn"/>
    </font>
    <font>
      <sz val="12"/>
      <name val="Arial MT"/>
    </font>
    <font>
      <sz val="12"/>
      <name val="Helv"/>
    </font>
    <font>
      <sz val="9"/>
      <color indexed="12"/>
      <name val="Times New Roman"/>
      <family val="1"/>
    </font>
    <font>
      <sz val="8"/>
      <name val="Times"/>
      <family val="1"/>
    </font>
    <font>
      <sz val="12"/>
      <name val="Arial"/>
      <family val="2"/>
    </font>
    <font>
      <i/>
      <sz val="8"/>
      <name val="Arial"/>
      <family val="2"/>
    </font>
    <font>
      <sz val="8"/>
      <color indexed="12"/>
      <name val="Helv"/>
    </font>
    <font>
      <sz val="10"/>
      <name val="Geneva"/>
    </font>
    <font>
      <sz val="8"/>
      <color indexed="13"/>
      <name val="Arial"/>
      <family val="2"/>
    </font>
    <font>
      <b/>
      <sz val="8"/>
      <color indexed="9"/>
      <name val="Times New Roman"/>
      <family val="1"/>
    </font>
    <font>
      <sz val="10"/>
      <color indexed="8"/>
      <name val="Tms Rmn"/>
    </font>
    <font>
      <sz val="10"/>
      <color indexed="12"/>
      <name val="Times New Roman"/>
      <family val="1"/>
    </font>
    <font>
      <b/>
      <sz val="12"/>
      <name val="Palatino"/>
    </font>
    <font>
      <b/>
      <sz val="12"/>
      <name val="Times New Roman"/>
      <family val="1"/>
    </font>
    <font>
      <b/>
      <sz val="10"/>
      <name val="MS Sans Serif"/>
      <family val="2"/>
    </font>
    <font>
      <i/>
      <sz val="8"/>
      <color indexed="12"/>
      <name val="Arial"/>
      <family val="2"/>
    </font>
    <font>
      <u val="singleAccounting"/>
      <sz val="10"/>
      <name val="Arial"/>
      <family val="2"/>
    </font>
    <font>
      <sz val="11"/>
      <name val="?? ?????"/>
      <family val="3"/>
      <charset val="128"/>
    </font>
    <font>
      <b/>
      <i/>
      <sz val="18"/>
      <name val="Times New Roman"/>
      <family val="1"/>
    </font>
    <font>
      <b/>
      <sz val="10"/>
      <name val="MS Serif"/>
      <family val="1"/>
    </font>
    <font>
      <sz val="8"/>
      <name val="Tms Rmn"/>
    </font>
    <font>
      <sz val="10"/>
      <color indexed="18"/>
      <name val="Times New Roman"/>
      <family val="1"/>
    </font>
    <font>
      <b/>
      <i/>
      <sz val="8"/>
      <name val="Arial"/>
      <family val="2"/>
    </font>
    <font>
      <u/>
      <sz val="8"/>
      <color indexed="12"/>
      <name val="Times New Roman"/>
      <family val="1"/>
    </font>
    <font>
      <sz val="11"/>
      <name val="Tms Rmn"/>
      <family val="1"/>
    </font>
    <font>
      <sz val="8"/>
      <name val="Palatino"/>
      <family val="1"/>
    </font>
    <font>
      <sz val="10"/>
      <color indexed="24"/>
      <name val="Arial"/>
      <family val="2"/>
    </font>
    <font>
      <i/>
      <sz val="9"/>
      <name val="MS Sans Serif"/>
      <family val="2"/>
    </font>
    <font>
      <sz val="24"/>
      <name val="Arial"/>
      <family val="2"/>
    </font>
    <font>
      <b/>
      <sz val="11"/>
      <name val="Times New Roman"/>
      <family val="1"/>
    </font>
    <font>
      <sz val="7"/>
      <name val="Arial"/>
      <family val="2"/>
    </font>
    <font>
      <sz val="8"/>
      <color indexed="16"/>
      <name val="Palatino"/>
      <family val="1"/>
    </font>
    <font>
      <sz val="10"/>
      <name val="Helv"/>
      <family val="2"/>
    </font>
    <font>
      <sz val="8"/>
      <color indexed="12"/>
      <name val="Times New Roman"/>
      <family val="1"/>
    </font>
    <font>
      <sz val="10"/>
      <color indexed="8"/>
      <name val="Arial MT"/>
    </font>
    <font>
      <sz val="10"/>
      <name val="Courier"/>
      <family val="3"/>
    </font>
    <font>
      <sz val="10"/>
      <color indexed="8"/>
      <name val="Arial"/>
      <family val="2"/>
    </font>
    <font>
      <u val="doubleAccounting"/>
      <sz val="10"/>
      <name val="Arial"/>
      <family val="2"/>
    </font>
    <font>
      <b/>
      <sz val="14"/>
      <color indexed="8"/>
      <name val="Arial Narrow"/>
      <family val="2"/>
    </font>
    <font>
      <b/>
      <sz val="10"/>
      <color indexed="8"/>
      <name val="Arial Narrow"/>
      <family val="2"/>
    </font>
    <font>
      <b/>
      <sz val="10"/>
      <name val="Arial Narrow"/>
      <family val="2"/>
    </font>
    <font>
      <sz val="9"/>
      <name val="Arial Narrow"/>
      <family val="2"/>
    </font>
    <font>
      <sz val="8"/>
      <color indexed="8"/>
      <name val="GoudyOlSt BT"/>
      <family val="1"/>
    </font>
    <font>
      <i/>
      <sz val="9"/>
      <name val="Arial Narrow"/>
      <family val="2"/>
    </font>
    <font>
      <i/>
      <sz val="10"/>
      <name val="Arial Narrow"/>
      <family val="2"/>
    </font>
    <font>
      <i/>
      <sz val="9"/>
      <color indexed="8"/>
      <name val="Arial"/>
      <family val="2"/>
    </font>
    <font>
      <sz val="14"/>
      <name val="Times New Roman"/>
      <family val="1"/>
    </font>
    <font>
      <sz val="22"/>
      <name val="Times New Roman"/>
      <family val="1"/>
    </font>
    <font>
      <b/>
      <i/>
      <sz val="9"/>
      <color indexed="12"/>
      <name val="HelveticaNeue Condensed"/>
    </font>
    <font>
      <sz val="24"/>
      <color indexed="13"/>
      <name val="SWISS"/>
    </font>
    <font>
      <b/>
      <u/>
      <sz val="12"/>
      <name val="Arial Narrow"/>
      <family val="2"/>
    </font>
    <font>
      <sz val="10"/>
      <name val="SWISS"/>
    </font>
    <font>
      <sz val="10"/>
      <color indexed="2"/>
      <name val="Tahoma"/>
      <family val="2"/>
    </font>
    <font>
      <b/>
      <sz val="7"/>
      <color indexed="12"/>
      <name val="Arial"/>
      <family val="2"/>
    </font>
    <font>
      <sz val="14"/>
      <color indexed="32"/>
      <name val="Times New Roman"/>
      <family val="1"/>
    </font>
    <font>
      <b/>
      <sz val="10"/>
      <color indexed="0"/>
      <name val="Tahoma"/>
      <family val="2"/>
    </font>
    <font>
      <b/>
      <sz val="18"/>
      <name val="Arial"/>
      <family val="2"/>
    </font>
    <font>
      <sz val="6"/>
      <name val="Arial"/>
      <family val="2"/>
    </font>
    <font>
      <sz val="7"/>
      <name val="Palatino"/>
      <family val="1"/>
    </font>
    <font>
      <b/>
      <sz val="14"/>
      <name val="SWISS"/>
    </font>
    <font>
      <sz val="10"/>
      <color indexed="17"/>
      <name val="Times New Roman"/>
      <family val="1"/>
    </font>
    <font>
      <sz val="7"/>
      <color indexed="17"/>
      <name val="Times New Roman"/>
      <family val="1"/>
    </font>
    <font>
      <sz val="7"/>
      <name val="Times New Roman"/>
      <family val="1"/>
    </font>
    <font>
      <sz val="9"/>
      <name val="Futura UBS Bk"/>
      <family val="2"/>
    </font>
    <font>
      <sz val="6"/>
      <color indexed="16"/>
      <name val="Palatino"/>
      <family val="1"/>
    </font>
    <font>
      <b/>
      <sz val="10"/>
      <name val="Helv"/>
    </font>
    <font>
      <b/>
      <sz val="10"/>
      <name val="Palatino"/>
    </font>
    <font>
      <b/>
      <sz val="16"/>
      <name val="Times New Roman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b/>
      <u/>
      <sz val="9"/>
      <name val="Times New Roman"/>
      <family val="1"/>
    </font>
    <font>
      <b/>
      <i/>
      <sz val="22"/>
      <name val="Times New Roman"/>
      <family val="1"/>
    </font>
    <font>
      <sz val="7"/>
      <color indexed="12"/>
      <name val="Helv"/>
    </font>
    <font>
      <sz val="10"/>
      <color indexed="12"/>
      <name val="Arial"/>
      <family val="2"/>
    </font>
    <font>
      <sz val="8"/>
      <color indexed="39"/>
      <name val="Arial"/>
      <family val="2"/>
    </font>
    <font>
      <sz val="10"/>
      <color indexed="17"/>
      <name val="Arial"/>
      <family val="2"/>
    </font>
    <font>
      <b/>
      <sz val="8"/>
      <color indexed="12"/>
      <name val="Times New Roman"/>
      <family val="1"/>
    </font>
    <font>
      <b/>
      <sz val="8"/>
      <color indexed="8"/>
      <name val="Times New Roman"/>
      <family val="1"/>
    </font>
    <font>
      <sz val="8"/>
      <color indexed="10"/>
      <name val="Helv"/>
    </font>
    <font>
      <b/>
      <i/>
      <sz val="20"/>
      <color indexed="8"/>
      <name val="Arial"/>
      <family val="2"/>
    </font>
    <font>
      <sz val="8"/>
      <color indexed="16"/>
      <name val="Arial"/>
      <family val="2"/>
    </font>
    <font>
      <sz val="10"/>
      <color indexed="16"/>
      <name val="MS Sans Serif"/>
      <family val="2"/>
    </font>
    <font>
      <sz val="10"/>
      <name val="Century Gothic"/>
      <family val="2"/>
    </font>
    <font>
      <sz val="8"/>
      <color indexed="8"/>
      <name val="Helv"/>
    </font>
    <font>
      <sz val="8"/>
      <color indexed="8"/>
      <name val="Arial"/>
      <family val="2"/>
    </font>
    <font>
      <b/>
      <sz val="36"/>
      <name val="Times New Roman"/>
      <family val="1"/>
    </font>
    <font>
      <b/>
      <i/>
      <sz val="10"/>
      <color indexed="4"/>
      <name val="Tahoma"/>
      <family val="2"/>
    </font>
    <font>
      <sz val="10"/>
      <color indexed="4"/>
      <name val="Tahoma"/>
      <family val="2"/>
    </font>
    <font>
      <sz val="10"/>
      <color indexed="20"/>
      <name val="Times New Roman"/>
      <family val="1"/>
    </font>
    <font>
      <sz val="14"/>
      <name val="Architecture"/>
      <family val="2"/>
    </font>
    <font>
      <sz val="7.5"/>
      <name val="Century Schoolbook"/>
      <family val="1"/>
    </font>
    <font>
      <b/>
      <sz val="10"/>
      <color indexed="17"/>
      <name val="Arial"/>
      <family val="2"/>
    </font>
    <font>
      <sz val="10"/>
      <name val="CG Times (WN)"/>
    </font>
    <font>
      <sz val="9"/>
      <name val="Times New Roman"/>
      <family val="1"/>
    </font>
    <font>
      <sz val="7"/>
      <name val="Small Fonts"/>
      <family val="2"/>
    </font>
    <font>
      <b/>
      <i/>
      <sz val="16"/>
      <name val="Helv"/>
    </font>
    <font>
      <sz val="10"/>
      <color indexed="16"/>
      <name val="Credit Suisse Type Roman"/>
      <family val="2"/>
    </font>
    <font>
      <sz val="10"/>
      <name val="Garamond"/>
      <family val="1"/>
    </font>
    <font>
      <sz val="10"/>
      <name val="Tahoma"/>
      <family val="2"/>
    </font>
    <font>
      <sz val="8"/>
      <color indexed="8"/>
      <name val="Helv"/>
      <family val="2"/>
    </font>
    <font>
      <sz val="10"/>
      <name val="Palatino"/>
      <family val="1"/>
    </font>
    <font>
      <b/>
      <i/>
      <sz val="24"/>
      <color indexed="8"/>
      <name val="Times New Roman"/>
      <family val="1"/>
    </font>
    <font>
      <sz val="7"/>
      <color indexed="12"/>
      <name val="Arial"/>
      <family val="2"/>
    </font>
    <font>
      <sz val="8"/>
      <color indexed="8"/>
      <name val="Times New Roman"/>
      <family val="1"/>
    </font>
    <font>
      <b/>
      <sz val="12"/>
      <color indexed="10"/>
      <name val="Century Gothic"/>
      <family val="2"/>
    </font>
    <font>
      <b/>
      <sz val="10"/>
      <color indexed="72"/>
      <name val="Arial"/>
      <family val="2"/>
    </font>
    <font>
      <b/>
      <sz val="13.5"/>
      <name val="MS Sans Serif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22"/>
      <color indexed="18"/>
      <name val="Times New Roman"/>
      <family val="1"/>
    </font>
    <font>
      <sz val="10"/>
      <color indexed="39"/>
      <name val="Arial"/>
      <family val="2"/>
    </font>
    <font>
      <b/>
      <sz val="26"/>
      <name val="Times New Roman"/>
      <family val="1"/>
    </font>
    <font>
      <sz val="10"/>
      <color indexed="16"/>
      <name val="Helvetica-Black"/>
    </font>
    <font>
      <b/>
      <sz val="10"/>
      <name val="Times New Roman"/>
      <family val="1"/>
    </font>
    <font>
      <sz val="9"/>
      <color indexed="13"/>
      <name val="GillSans"/>
      <family val="2"/>
    </font>
    <font>
      <b/>
      <sz val="8"/>
      <color indexed="18"/>
      <name val="Times New Roman"/>
      <family val="1"/>
    </font>
    <font>
      <b/>
      <sz val="14"/>
      <name val="Times New Roman"/>
      <family val="1"/>
    </font>
    <font>
      <sz val="8"/>
      <color indexed="32"/>
      <name val="Arial"/>
      <family val="2"/>
    </font>
    <font>
      <sz val="8"/>
      <color indexed="10"/>
      <name val="Arial"/>
      <family val="2"/>
    </font>
    <font>
      <sz val="10"/>
      <color indexed="10"/>
      <name val="MS Sans Serif"/>
      <family val="2"/>
    </font>
    <font>
      <sz val="8"/>
      <color indexed="12"/>
      <name val="Helvetica"/>
      <family val="2"/>
    </font>
    <font>
      <sz val="8"/>
      <name val="COUR"/>
    </font>
    <font>
      <sz val="9.5"/>
      <color indexed="23"/>
      <name val="Helvetica-Black"/>
    </font>
    <font>
      <b/>
      <sz val="8"/>
      <color indexed="8"/>
      <name val="Arial"/>
      <family val="2"/>
    </font>
    <font>
      <b/>
      <i/>
      <sz val="12"/>
      <color indexed="8"/>
      <name val="Arial"/>
      <family val="2"/>
    </font>
    <font>
      <b/>
      <sz val="10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sz val="10"/>
      <name val="Tms Rmn"/>
    </font>
    <font>
      <sz val="10"/>
      <color indexed="9"/>
      <name val="Arial"/>
      <family val="2"/>
    </font>
    <font>
      <sz val="10"/>
      <name val="Arial MT"/>
    </font>
    <font>
      <sz val="11"/>
      <name val="Times New Roman"/>
      <family val="1"/>
    </font>
    <font>
      <b/>
      <sz val="10"/>
      <color indexed="10"/>
      <name val="Arial"/>
      <family val="2"/>
    </font>
    <font>
      <b/>
      <sz val="8"/>
      <color indexed="16"/>
      <name val="Times New Roman"/>
      <family val="1"/>
    </font>
    <font>
      <sz val="7"/>
      <color indexed="18"/>
      <name val="Times New Roman"/>
      <family val="1"/>
    </font>
    <font>
      <i/>
      <sz val="12"/>
      <color indexed="12"/>
      <name val="Times New Roman"/>
      <family val="1"/>
    </font>
    <font>
      <sz val="8.5"/>
      <name val="Arial Narrow"/>
      <family val="2"/>
    </font>
    <font>
      <b/>
      <sz val="9"/>
      <name val="Palatino"/>
      <family val="1"/>
    </font>
    <font>
      <sz val="9"/>
      <color indexed="21"/>
      <name val="Helvetica-Black"/>
    </font>
    <font>
      <b/>
      <sz val="10"/>
      <name val="Palatino"/>
      <family val="1"/>
    </font>
    <font>
      <b/>
      <sz val="7"/>
      <name val="Arial"/>
      <family val="2"/>
    </font>
    <font>
      <sz val="9"/>
      <name val="Helvetica-Black"/>
    </font>
    <font>
      <sz val="12"/>
      <color indexed="8"/>
      <name val="Palatino"/>
      <family val="1"/>
    </font>
    <font>
      <sz val="11"/>
      <color indexed="8"/>
      <name val="Helvetica-Black"/>
    </font>
    <font>
      <b/>
      <sz val="10"/>
      <color indexed="8"/>
      <name val="Times New Roman"/>
      <family val="1"/>
    </font>
    <font>
      <sz val="11"/>
      <name val="Arial"/>
      <family val="2"/>
    </font>
    <font>
      <b/>
      <sz val="14"/>
      <name val="Helv"/>
    </font>
    <font>
      <b/>
      <sz val="14"/>
      <name val="Palatino"/>
    </font>
    <font>
      <sz val="8"/>
      <color indexed="9"/>
      <name val="Arial Black"/>
      <family val="2"/>
    </font>
    <font>
      <b/>
      <sz val="8"/>
      <name val="Helv"/>
    </font>
    <font>
      <b/>
      <i/>
      <sz val="24"/>
      <name val="Arial"/>
      <family val="2"/>
    </font>
    <font>
      <i/>
      <sz val="8"/>
      <name val="Times New Roman"/>
      <family val="1"/>
    </font>
    <font>
      <sz val="8"/>
      <color indexed="16"/>
      <name val="Helv"/>
    </font>
    <font>
      <b/>
      <i/>
      <sz val="10"/>
      <name val="Arial"/>
      <family val="2"/>
    </font>
    <font>
      <sz val="8"/>
      <color indexed="9"/>
      <name val="Arial"/>
      <family val="2"/>
    </font>
    <font>
      <b/>
      <i/>
      <sz val="12"/>
      <name val="Times New Roman"/>
      <family val="1"/>
    </font>
    <font>
      <u/>
      <sz val="10"/>
      <name val="Palatino"/>
    </font>
    <font>
      <b/>
      <sz val="10"/>
      <color indexed="18"/>
      <name val="CG Times (WN)"/>
    </font>
    <font>
      <u/>
      <sz val="11"/>
      <color indexed="12"/>
      <name val="ＭＳ Ｐゴシック"/>
      <family val="3"/>
      <charset val="128"/>
    </font>
    <font>
      <sz val="11"/>
      <name val="Book Antiqua"/>
      <family val="1"/>
    </font>
    <font>
      <sz val="10"/>
      <color rgb="FF000000"/>
      <name val="Arial"/>
      <family val="2"/>
    </font>
    <font>
      <sz val="8"/>
      <color indexed="12"/>
      <name val="Tms Rmn"/>
      <family val="1"/>
    </font>
    <font>
      <sz val="10"/>
      <color theme="1"/>
      <name val="Times New Roman"/>
      <family val="2"/>
    </font>
    <font>
      <sz val="11"/>
      <color indexed="8"/>
      <name val="Calibri"/>
      <family val="2"/>
      <scheme val="minor"/>
    </font>
    <font>
      <i/>
      <sz val="10"/>
      <color rgb="FF7F7E82"/>
      <name val="Arial Narrow"/>
      <family val="2"/>
    </font>
    <font>
      <b/>
      <sz val="10"/>
      <color rgb="FF7F7E82"/>
      <name val="Arial Narrow"/>
      <family val="2"/>
    </font>
    <font>
      <sz val="8"/>
      <color rgb="FF7F7E82"/>
      <name val="Arial Narrow"/>
      <family val="2"/>
    </font>
    <font>
      <b/>
      <sz val="8"/>
      <color theme="1" tint="4.9989318521683403E-2"/>
      <name val="Calibri"/>
      <family val="2"/>
    </font>
    <font>
      <sz val="8.25"/>
      <color rgb="FF000000"/>
      <name val="Microsoft Sans Serif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Arial Narrow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name val="Geneva"/>
      <family val="2"/>
    </font>
    <font>
      <b/>
      <sz val="12"/>
      <name val="Palatino"/>
      <family val="1"/>
    </font>
    <font>
      <b/>
      <sz val="14"/>
      <name val="Palatino"/>
      <family val="1"/>
    </font>
    <font>
      <u/>
      <sz val="10"/>
      <name val="Palatino"/>
      <family val="1"/>
    </font>
    <font>
      <sz val="12"/>
      <color theme="1"/>
      <name val="Calibri"/>
      <family val="2"/>
      <scheme val="minor"/>
    </font>
    <font>
      <sz val="10"/>
      <color theme="1"/>
      <name val="HelveticaNeueLT Std"/>
      <family val="2"/>
    </font>
    <font>
      <sz val="14"/>
      <color theme="1"/>
      <name val="Calibri"/>
      <family val="2"/>
      <scheme val="minor"/>
    </font>
    <font>
      <sz val="11"/>
      <color theme="1"/>
      <name val="Times New Roman"/>
      <family val="2"/>
    </font>
    <font>
      <sz val="8.85"/>
      <color rgb="FF000000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u/>
      <sz val="8"/>
      <color theme="10"/>
      <name val="Calibri"/>
      <family val="2"/>
      <scheme val="minor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sz val="10"/>
      <color rgb="FF0000FF"/>
      <name val="Arial"/>
      <family val="2"/>
    </font>
    <font>
      <sz val="10"/>
      <name val="Calibri"/>
      <family val="2"/>
      <scheme val="minor"/>
    </font>
  </fonts>
  <fills count="1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22"/>
      </patternFill>
    </fill>
    <fill>
      <patternFill patternType="solid">
        <fgColor indexed="43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</patternFill>
    </fill>
    <fill>
      <patternFill patternType="solid">
        <fgColor indexed="32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fgColor indexed="15"/>
      </patternFill>
    </fill>
    <fill>
      <patternFill patternType="gray0625"/>
    </fill>
    <fill>
      <patternFill patternType="lightGray">
        <fgColor indexed="12"/>
      </patternFill>
    </fill>
    <fill>
      <patternFill patternType="solid">
        <fgColor indexed="22"/>
        <bgColor indexed="64"/>
      </patternFill>
    </fill>
    <fill>
      <patternFill patternType="lightGray">
        <fgColor indexed="8"/>
      </patternFill>
    </fill>
    <fill>
      <patternFill patternType="solid">
        <fgColor indexed="24"/>
        <bgColor indexed="64"/>
      </patternFill>
    </fill>
    <fill>
      <patternFill patternType="solid">
        <fgColor indexed="12"/>
        <bgColor indexed="12"/>
      </patternFill>
    </fill>
    <fill>
      <patternFill patternType="solid">
        <fgColor indexed="8"/>
      </patternFill>
    </fill>
    <fill>
      <patternFill patternType="solid">
        <fgColor indexed="35"/>
        <bgColor indexed="64"/>
      </patternFill>
    </fill>
    <fill>
      <patternFill patternType="solid">
        <fgColor indexed="48"/>
      </patternFill>
    </fill>
    <fill>
      <patternFill patternType="solid">
        <fgColor indexed="13"/>
        <bgColor indexed="13"/>
      </patternFill>
    </fill>
    <fill>
      <patternFill patternType="lightGray">
        <fgColor indexed="13"/>
      </patternFill>
    </fill>
    <fill>
      <patternFill patternType="solid">
        <fgColor indexed="1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</patternFill>
    </fill>
    <fill>
      <patternFill patternType="lightGray">
        <fgColor indexed="10"/>
      </patternFill>
    </fill>
    <fill>
      <patternFill patternType="mediumGray">
        <fgColor indexed="22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0"/>
        <bgColor indexed="64"/>
      </patternFill>
    </fill>
    <fill>
      <patternFill patternType="gray0625">
        <fgColor indexed="15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1"/>
        <bgColor indexed="64"/>
      </patternFill>
    </fill>
    <fill>
      <patternFill patternType="mediumGray">
        <fgColor indexed="11"/>
      </patternFill>
    </fill>
    <fill>
      <patternFill patternType="lightGray">
        <fgColor indexed="11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rgb="FF000000"/>
      </patternFill>
    </fill>
  </fills>
  <borders count="73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44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medium">
        <color indexed="63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indexed="23"/>
      </bottom>
      <diagonal/>
    </border>
    <border>
      <left/>
      <right/>
      <top style="thick">
        <color indexed="17"/>
      </top>
      <bottom/>
      <diagonal/>
    </border>
    <border>
      <left/>
      <right/>
      <top/>
      <bottom style="thick">
        <color indexed="18"/>
      </bottom>
      <diagonal/>
    </border>
    <border>
      <left/>
      <right/>
      <top/>
      <bottom style="thin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dotted">
        <color indexed="64"/>
      </right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double">
        <color indexed="45"/>
      </bottom>
      <diagonal/>
    </border>
    <border>
      <left/>
      <right/>
      <top/>
      <bottom style="thin">
        <color indexed="1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 style="thin">
        <color indexed="23"/>
      </left>
      <right style="dashed">
        <color indexed="9"/>
      </right>
      <top/>
      <bottom style="dashed">
        <color indexed="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425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12" fillId="0" borderId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9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12" fillId="0" borderId="0"/>
    <xf numFmtId="0" fontId="59" fillId="0" borderId="0" applyNumberFormat="0" applyFill="0" applyBorder="0" applyAlignment="0" applyProtection="0"/>
    <xf numFmtId="0" fontId="60" fillId="0" borderId="28" applyNumberFormat="0" applyFill="0" applyAlignment="0" applyProtection="0"/>
    <xf numFmtId="0" fontId="61" fillId="0" borderId="29" applyNumberFormat="0" applyFill="0" applyAlignment="0" applyProtection="0"/>
    <xf numFmtId="0" fontId="62" fillId="0" borderId="30" applyNumberFormat="0" applyFill="0" applyAlignment="0" applyProtection="0"/>
    <xf numFmtId="0" fontId="62" fillId="0" borderId="0" applyNumberFormat="0" applyFill="0" applyBorder="0" applyAlignment="0" applyProtection="0"/>
    <xf numFmtId="0" fontId="63" fillId="19" borderId="0" applyNumberFormat="0" applyBorder="0" applyAlignment="0" applyProtection="0"/>
    <xf numFmtId="0" fontId="64" fillId="20" borderId="0" applyNumberFormat="0" applyBorder="0" applyAlignment="0" applyProtection="0"/>
    <xf numFmtId="0" fontId="65" fillId="21" borderId="0" applyNumberFormat="0" applyBorder="0" applyAlignment="0" applyProtection="0"/>
    <xf numFmtId="0" fontId="66" fillId="22" borderId="31" applyNumberFormat="0" applyAlignment="0" applyProtection="0"/>
    <xf numFmtId="0" fontId="67" fillId="23" borderId="32" applyNumberFormat="0" applyAlignment="0" applyProtection="0"/>
    <xf numFmtId="0" fontId="68" fillId="23" borderId="31" applyNumberFormat="0" applyAlignment="0" applyProtection="0"/>
    <xf numFmtId="0" fontId="69" fillId="0" borderId="33" applyNumberFormat="0" applyFill="0" applyAlignment="0" applyProtection="0"/>
    <xf numFmtId="0" fontId="70" fillId="24" borderId="34" applyNumberFormat="0" applyAlignment="0" applyProtection="0"/>
    <xf numFmtId="0" fontId="57" fillId="0" borderId="0" applyNumberFormat="0" applyFill="0" applyBorder="0" applyAlignment="0" applyProtection="0"/>
    <xf numFmtId="0" fontId="1" fillId="25" borderId="35" applyNumberFormat="0" applyFont="0" applyAlignment="0" applyProtection="0"/>
    <xf numFmtId="0" fontId="71" fillId="0" borderId="0" applyNumberFormat="0" applyFill="0" applyBorder="0" applyAlignment="0" applyProtection="0"/>
    <xf numFmtId="0" fontId="49" fillId="0" borderId="36" applyNumberFormat="0" applyFill="0" applyAlignment="0" applyProtection="0"/>
    <xf numFmtId="0" fontId="72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72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72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72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72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72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  <xf numFmtId="0" fontId="75" fillId="0" borderId="566" applyNumberFormat="0" applyFont="0" applyFill="0" applyAlignment="0" applyProtection="0"/>
    <xf numFmtId="186" fontId="146" fillId="3" borderId="493" applyBorder="0">
      <alignment horizontal="left" vertical="center"/>
    </xf>
    <xf numFmtId="222" fontId="79" fillId="0" borderId="516" applyBorder="0"/>
    <xf numFmtId="246" fontId="250" fillId="0" borderId="493" applyFill="0" applyProtection="0">
      <alignment horizontal="center"/>
    </xf>
    <xf numFmtId="0" fontId="315" fillId="21" borderId="0" applyNumberFormat="0" applyBorder="0" applyAlignment="0" applyProtection="0"/>
    <xf numFmtId="0" fontId="101" fillId="0" borderId="553" applyBorder="0"/>
    <xf numFmtId="254" fontId="240" fillId="0" borderId="529" applyBorder="0" applyProtection="0">
      <alignment horizontal="right" vertical="center"/>
    </xf>
    <xf numFmtId="0" fontId="25" fillId="10" borderId="572" applyNumberFormat="0" applyProtection="0">
      <alignment horizontal="left" vertical="top"/>
    </xf>
    <xf numFmtId="254" fontId="240" fillId="0" borderId="493" applyBorder="0" applyProtection="0">
      <alignment horizontal="right" vertical="center"/>
    </xf>
    <xf numFmtId="0" fontId="2" fillId="0" borderId="570" applyNumberFormat="0" applyAlignment="0" applyProtection="0"/>
    <xf numFmtId="248" fontId="46" fillId="0" borderId="565"/>
    <xf numFmtId="248" fontId="46" fillId="0" borderId="565"/>
    <xf numFmtId="264" fontId="12" fillId="14" borderId="565" applyFont="0" applyFill="0" applyBorder="0" applyAlignment="0" applyProtection="0">
      <alignment horizontal="right"/>
    </xf>
    <xf numFmtId="0" fontId="25" fillId="10" borderId="574" applyNumberFormat="0" applyProtection="0">
      <alignment horizontal="left" vertical="top"/>
    </xf>
    <xf numFmtId="0" fontId="165" fillId="0" borderId="565" applyFill="0" applyProtection="0">
      <alignment horizontal="center"/>
    </xf>
    <xf numFmtId="0" fontId="113" fillId="0" borderId="565" applyNumberFormat="0" applyFill="0" applyAlignment="0" applyProtection="0"/>
    <xf numFmtId="0" fontId="25" fillId="10" borderId="574" applyNumberFormat="0" applyProtection="0">
      <alignment horizontal="left" vertical="top"/>
    </xf>
    <xf numFmtId="0" fontId="49" fillId="0" borderId="36" applyNumberFormat="0" applyFill="0" applyAlignment="0" applyProtection="0"/>
    <xf numFmtId="0" fontId="25" fillId="10" borderId="572" applyNumberFormat="0" applyProtection="0">
      <alignment horizontal="left" vertical="top"/>
    </xf>
    <xf numFmtId="0" fontId="1" fillId="25" borderId="35" applyNumberFormat="0" applyFont="0" applyAlignment="0" applyProtection="0"/>
    <xf numFmtId="186" fontId="146" fillId="3" borderId="565" applyBorder="0">
      <alignment horizontal="left" vertical="center"/>
    </xf>
    <xf numFmtId="0" fontId="12" fillId="0" borderId="0"/>
    <xf numFmtId="43" fontId="7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73" fillId="0" borderId="0" applyFont="0" applyFill="0" applyBorder="0" applyAlignment="0" applyProtection="0"/>
    <xf numFmtId="0" fontId="1" fillId="0" borderId="0"/>
    <xf numFmtId="43" fontId="1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44" fontId="12" fillId="0" borderId="0" applyFont="0" applyFill="0" applyBorder="0" applyAlignment="0" applyProtection="0"/>
    <xf numFmtId="0" fontId="12" fillId="0" borderId="0"/>
    <xf numFmtId="0" fontId="1" fillId="0" borderId="0"/>
    <xf numFmtId="9" fontId="1" fillId="0" borderId="0" applyFont="0" applyFill="0" applyBorder="0" applyAlignment="0" applyProtection="0"/>
    <xf numFmtId="9" fontId="78" fillId="0" borderId="0">
      <alignment horizontal="right"/>
    </xf>
    <xf numFmtId="14" fontId="79" fillId="0" borderId="0">
      <alignment horizontal="right"/>
    </xf>
    <xf numFmtId="5" fontId="80" fillId="0" borderId="0" applyFont="0" applyFill="0" applyBorder="0" applyAlignment="0" applyProtection="0"/>
    <xf numFmtId="187" fontId="80" fillId="0" borderId="0" applyFont="0" applyFill="0" applyBorder="0" applyAlignment="0" applyProtection="0"/>
    <xf numFmtId="7" fontId="80" fillId="0" borderId="0" applyFont="0" applyFill="0" applyBorder="0" applyAlignment="0" applyProtection="0"/>
    <xf numFmtId="0" fontId="12" fillId="0" borderId="0"/>
    <xf numFmtId="194" fontId="80" fillId="0" borderId="0" applyFont="0" applyFill="0" applyBorder="0" applyAlignment="0" applyProtection="0"/>
    <xf numFmtId="195" fontId="80" fillId="0" borderId="0" applyFont="0" applyFill="0" applyBorder="0" applyAlignment="0" applyProtection="0"/>
    <xf numFmtId="196" fontId="81" fillId="0" borderId="0"/>
    <xf numFmtId="9" fontId="82" fillId="50" borderId="38">
      <alignment horizontal="right" vertical="center"/>
    </xf>
    <xf numFmtId="197" fontId="83" fillId="0" borderId="0"/>
    <xf numFmtId="0" fontId="75" fillId="0" borderId="0" applyBorder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198" fontId="80" fillId="0" borderId="0" applyFont="0" applyFill="0" applyBorder="0" applyAlignment="0" applyProtection="0"/>
    <xf numFmtId="199" fontId="80" fillId="0" borderId="0" applyFont="0" applyFill="0" applyBorder="0" applyAlignment="0" applyProtection="0"/>
    <xf numFmtId="198" fontId="80" fillId="0" borderId="0" applyFont="0" applyFill="0" applyBorder="0" applyAlignment="0" applyProtection="0"/>
    <xf numFmtId="199" fontId="80" fillId="0" borderId="0" applyFont="0" applyFill="0" applyBorder="0" applyAlignment="0" applyProtection="0"/>
    <xf numFmtId="199" fontId="80" fillId="0" borderId="0" applyFont="0" applyFill="0" applyBorder="0" applyAlignment="0" applyProtection="0"/>
    <xf numFmtId="199" fontId="80" fillId="0" borderId="0" applyFont="0" applyFill="0" applyBorder="0" applyAlignment="0" applyProtection="0"/>
    <xf numFmtId="198" fontId="80" fillId="0" borderId="0" applyFont="0" applyFill="0" applyBorder="0" applyAlignment="0" applyProtection="0"/>
    <xf numFmtId="199" fontId="80" fillId="0" borderId="0" applyFont="0" applyFill="0" applyBorder="0" applyAlignment="0" applyProtection="0"/>
    <xf numFmtId="199" fontId="80" fillId="0" borderId="0" applyFont="0" applyFill="0" applyBorder="0" applyAlignment="0" applyProtection="0"/>
    <xf numFmtId="199" fontId="80" fillId="0" borderId="0" applyFont="0" applyFill="0" applyBorder="0" applyAlignment="0" applyProtection="0"/>
    <xf numFmtId="198" fontId="80" fillId="0" borderId="0" applyFont="0" applyFill="0" applyBorder="0" applyAlignment="0" applyProtection="0"/>
    <xf numFmtId="199" fontId="80" fillId="0" borderId="0" applyFont="0" applyFill="0" applyBorder="0" applyAlignment="0" applyProtection="0"/>
    <xf numFmtId="199" fontId="80" fillId="0" borderId="0" applyFont="0" applyFill="0" applyBorder="0" applyAlignment="0" applyProtection="0"/>
    <xf numFmtId="199" fontId="80" fillId="0" borderId="0" applyFont="0" applyFill="0" applyBorder="0" applyAlignment="0" applyProtection="0"/>
    <xf numFmtId="198" fontId="80" fillId="0" borderId="0" applyFont="0" applyFill="0" applyBorder="0" applyAlignment="0" applyProtection="0"/>
    <xf numFmtId="199" fontId="80" fillId="0" borderId="0" applyFont="0" applyFill="0" applyBorder="0" applyAlignment="0" applyProtection="0"/>
    <xf numFmtId="199" fontId="80" fillId="0" borderId="0" applyFont="0" applyFill="0" applyBorder="0" applyAlignment="0" applyProtection="0"/>
    <xf numFmtId="199" fontId="80" fillId="0" borderId="0" applyFont="0" applyFill="0" applyBorder="0" applyAlignment="0" applyProtection="0"/>
    <xf numFmtId="198" fontId="80" fillId="0" borderId="0" applyFont="0" applyFill="0" applyBorder="0" applyAlignment="0" applyProtection="0"/>
    <xf numFmtId="199" fontId="80" fillId="0" borderId="0" applyFont="0" applyFill="0" applyBorder="0" applyAlignment="0" applyProtection="0"/>
    <xf numFmtId="199" fontId="80" fillId="0" borderId="0" applyFont="0" applyFill="0" applyBorder="0" applyAlignment="0" applyProtection="0"/>
    <xf numFmtId="199" fontId="80" fillId="0" borderId="0" applyFont="0" applyFill="0" applyBorder="0" applyAlignment="0" applyProtection="0"/>
    <xf numFmtId="198" fontId="80" fillId="0" borderId="0" applyFont="0" applyFill="0" applyBorder="0" applyAlignment="0" applyProtection="0"/>
    <xf numFmtId="199" fontId="80" fillId="0" borderId="0" applyFont="0" applyFill="0" applyBorder="0" applyAlignment="0" applyProtection="0"/>
    <xf numFmtId="199" fontId="80" fillId="0" borderId="0" applyFont="0" applyFill="0" applyBorder="0" applyAlignment="0" applyProtection="0"/>
    <xf numFmtId="0" fontId="80" fillId="0" borderId="0" applyFont="0" applyFill="0" applyBorder="0" applyAlignment="0" applyProtection="0"/>
    <xf numFmtId="199" fontId="80" fillId="0" borderId="0" applyFont="0" applyFill="0" applyBorder="0" applyAlignment="0" applyProtection="0"/>
    <xf numFmtId="199" fontId="80" fillId="0" borderId="0" applyFont="0" applyFill="0" applyBorder="0" applyAlignment="0" applyProtection="0"/>
    <xf numFmtId="199" fontId="80" fillId="0" borderId="0" applyFont="0" applyFill="0" applyBorder="0" applyAlignment="0" applyProtection="0"/>
    <xf numFmtId="200" fontId="84" fillId="0" borderId="0"/>
    <xf numFmtId="0" fontId="85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" fillId="0" borderId="0" applyFont="0" applyFill="0" applyBorder="0" applyAlignment="0"/>
    <xf numFmtId="201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/>
    <xf numFmtId="202" fontId="12" fillId="0" borderId="0" applyFont="0" applyFill="0" applyBorder="0" applyAlignment="0" applyProtection="0"/>
    <xf numFmtId="203" fontId="1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204" fontId="12" fillId="0" borderId="0" applyFont="0" applyFill="0" applyBorder="0" applyAlignment="0" applyProtection="0"/>
    <xf numFmtId="204" fontId="12" fillId="0" borderId="0" applyFont="0" applyFill="0" applyBorder="0" applyAlignment="0" applyProtection="0"/>
    <xf numFmtId="188" fontId="12" fillId="0" borderId="0" applyFont="0" applyFill="0" applyBorder="0" applyAlignment="0" applyProtection="0"/>
    <xf numFmtId="188" fontId="12" fillId="0" borderId="0" applyFont="0" applyFill="0" applyBorder="0" applyAlignment="0" applyProtection="0"/>
    <xf numFmtId="188" fontId="12" fillId="0" borderId="0" applyFont="0" applyFill="0" applyBorder="0" applyAlignment="0" applyProtection="0"/>
    <xf numFmtId="204" fontId="12" fillId="0" borderId="0" applyFont="0" applyFill="0" applyBorder="0" applyAlignment="0" applyProtection="0"/>
    <xf numFmtId="205" fontId="12" fillId="0" borderId="0" applyFont="0" applyFill="0" applyBorder="0" applyAlignment="0" applyProtection="0"/>
    <xf numFmtId="206" fontId="12" fillId="0" borderId="0" applyFont="0" applyFill="0" applyBorder="0" applyAlignment="0" applyProtection="0"/>
    <xf numFmtId="207" fontId="12" fillId="0" borderId="0" applyFont="0" applyFill="0" applyBorder="0" applyAlignment="0" applyProtection="0"/>
    <xf numFmtId="207" fontId="12" fillId="0" borderId="0" applyFont="0" applyFill="0" applyBorder="0" applyAlignment="0" applyProtection="0"/>
    <xf numFmtId="207" fontId="12" fillId="0" borderId="0" applyFont="0" applyFill="0" applyBorder="0" applyAlignment="0" applyProtection="0"/>
    <xf numFmtId="206" fontId="12" fillId="0" borderId="0" applyFont="0" applyFill="0" applyBorder="0" applyAlignment="0" applyProtection="0"/>
    <xf numFmtId="206" fontId="12" fillId="0" borderId="0" applyFont="0" applyFill="0" applyBorder="0" applyAlignment="0" applyProtection="0"/>
    <xf numFmtId="206" fontId="12" fillId="0" borderId="0" applyFont="0" applyFill="0" applyBorder="0" applyAlignment="0" applyProtection="0"/>
    <xf numFmtId="206" fontId="12" fillId="0" borderId="0" applyFont="0" applyFill="0" applyBorder="0" applyAlignment="0" applyProtection="0"/>
    <xf numFmtId="206" fontId="12" fillId="0" borderId="0" applyFont="0" applyFill="0" applyBorder="0" applyAlignment="0" applyProtection="0"/>
    <xf numFmtId="206" fontId="12" fillId="0" borderId="0" applyFont="0" applyFill="0" applyBorder="0" applyAlignment="0" applyProtection="0"/>
    <xf numFmtId="206" fontId="12" fillId="0" borderId="0" applyFont="0" applyFill="0" applyBorder="0" applyAlignment="0" applyProtection="0"/>
    <xf numFmtId="206" fontId="12" fillId="0" borderId="0" applyFont="0" applyFill="0" applyBorder="0" applyAlignment="0" applyProtection="0"/>
    <xf numFmtId="205" fontId="12" fillId="0" borderId="0" applyFont="0" applyFill="0" applyBorder="0" applyAlignment="0" applyProtection="0"/>
    <xf numFmtId="208" fontId="12" fillId="0" borderId="0" applyFont="0" applyFill="0" applyBorder="0" applyAlignment="0" applyProtection="0"/>
    <xf numFmtId="209" fontId="12" fillId="0" borderId="0" applyFont="0" applyFill="0" applyBorder="0" applyAlignment="0" applyProtection="0"/>
    <xf numFmtId="39" fontId="12" fillId="0" borderId="0" applyFont="0" applyFill="0" applyBorder="0" applyAlignment="0" applyProtection="0"/>
    <xf numFmtId="39" fontId="12" fillId="0" borderId="0" applyFont="0" applyFill="0" applyBorder="0" applyAlignment="0" applyProtection="0"/>
    <xf numFmtId="39" fontId="12" fillId="0" borderId="0" applyFont="0" applyFill="0" applyBorder="0" applyAlignment="0" applyProtection="0"/>
    <xf numFmtId="39" fontId="12" fillId="0" borderId="0" applyFont="0" applyFill="0" applyBorder="0" applyAlignment="0" applyProtection="0"/>
    <xf numFmtId="209" fontId="12" fillId="0" borderId="0" applyFont="0" applyFill="0" applyBorder="0" applyAlignment="0" applyProtection="0"/>
    <xf numFmtId="39" fontId="12" fillId="0" borderId="0" applyFont="0" applyFill="0" applyBorder="0" applyAlignment="0" applyProtection="0"/>
    <xf numFmtId="209" fontId="12" fillId="0" borderId="0" applyFont="0" applyFill="0" applyBorder="0" applyAlignment="0" applyProtection="0"/>
    <xf numFmtId="39" fontId="12" fillId="0" borderId="0" applyFont="0" applyFill="0" applyBorder="0" applyAlignment="0" applyProtection="0"/>
    <xf numFmtId="39" fontId="12" fillId="0" borderId="0" applyFont="0" applyFill="0" applyBorder="0" applyAlignment="0" applyProtection="0"/>
    <xf numFmtId="209" fontId="12" fillId="0" borderId="0" applyFont="0" applyFill="0" applyBorder="0" applyAlignment="0" applyProtection="0"/>
    <xf numFmtId="209" fontId="12" fillId="0" borderId="0" applyFont="0" applyFill="0" applyBorder="0" applyAlignment="0" applyProtection="0"/>
    <xf numFmtId="209" fontId="12" fillId="0" borderId="0" applyFont="0" applyFill="0" applyBorder="0" applyAlignment="0" applyProtection="0"/>
    <xf numFmtId="209" fontId="12" fillId="0" borderId="0" applyFont="0" applyFill="0" applyBorder="0" applyAlignment="0" applyProtection="0"/>
    <xf numFmtId="209" fontId="12" fillId="0" borderId="0" applyFont="0" applyFill="0" applyBorder="0" applyAlignment="0" applyProtection="0"/>
    <xf numFmtId="209" fontId="12" fillId="0" borderId="0" applyFont="0" applyFill="0" applyBorder="0" applyAlignment="0" applyProtection="0"/>
    <xf numFmtId="208" fontId="12" fillId="0" borderId="0" applyFont="0" applyFill="0" applyBorder="0" applyAlignment="0" applyProtection="0"/>
    <xf numFmtId="210" fontId="1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88" fillId="0" borderId="0" applyNumberFormat="0" applyFill="0" applyBorder="0" applyAlignment="0" applyProtection="0"/>
    <xf numFmtId="0" fontId="12" fillId="51" borderId="0" applyNumberFormat="0" applyFont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/>
    <xf numFmtId="0" fontId="12" fillId="0" borderId="0" applyFont="0" applyFill="0" applyBorder="0" applyAlignment="0" applyProtection="0"/>
    <xf numFmtId="211" fontId="12" fillId="0" borderId="0" applyFont="0" applyFill="0" applyBorder="0" applyAlignment="0" applyProtection="0"/>
    <xf numFmtId="211" fontId="12" fillId="0" borderId="0" applyFont="0" applyFill="0" applyBorder="0" applyAlignment="0" applyProtection="0"/>
    <xf numFmtId="212" fontId="12" fillId="0" borderId="0" applyFont="0" applyFill="0" applyBorder="0" applyAlignment="0" applyProtection="0"/>
    <xf numFmtId="212" fontId="12" fillId="0" borderId="0" applyFont="0" applyFill="0" applyBorder="0" applyAlignment="0" applyProtection="0"/>
    <xf numFmtId="212" fontId="12" fillId="0" borderId="0" applyFont="0" applyFill="0" applyBorder="0" applyAlignment="0" applyProtection="0"/>
    <xf numFmtId="211" fontId="12" fillId="0" borderId="0" applyFont="0" applyFill="0" applyBorder="0" applyAlignment="0" applyProtection="0"/>
    <xf numFmtId="213" fontId="12" fillId="0" borderId="0" applyFont="0" applyFill="0" applyBorder="0" applyProtection="0">
      <alignment horizontal="right"/>
    </xf>
    <xf numFmtId="213" fontId="12" fillId="0" borderId="0" applyFont="0" applyFill="0" applyBorder="0" applyProtection="0">
      <alignment horizontal="right"/>
    </xf>
    <xf numFmtId="214" fontId="12" fillId="0" borderId="0" applyFont="0" applyFill="0" applyBorder="0" applyAlignment="0" applyProtection="0"/>
    <xf numFmtId="214" fontId="12" fillId="0" borderId="0" applyFont="0" applyFill="0" applyBorder="0" applyAlignment="0" applyProtection="0"/>
    <xf numFmtId="214" fontId="12" fillId="0" borderId="0" applyFont="0" applyFill="0" applyBorder="0" applyAlignment="0" applyProtection="0"/>
    <xf numFmtId="213" fontId="12" fillId="0" borderId="0" applyFont="0" applyFill="0" applyBorder="0" applyProtection="0">
      <alignment horizontal="right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215" fontId="12" fillId="0" borderId="0" applyFont="0" applyFill="0" applyBorder="0" applyAlignment="0" applyProtection="0"/>
    <xf numFmtId="216" fontId="12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89" fillId="0" borderId="0"/>
    <xf numFmtId="0" fontId="90" fillId="0" borderId="0" applyNumberFormat="0" applyFill="0" applyBorder="0" applyProtection="0">
      <alignment vertical="top"/>
    </xf>
    <xf numFmtId="0" fontId="91" fillId="0" borderId="39" applyNumberFormat="0" applyFill="0" applyAlignment="0" applyProtection="0"/>
    <xf numFmtId="0" fontId="92" fillId="0" borderId="40" applyNumberFormat="0" applyFill="0" applyProtection="0">
      <alignment horizontal="center"/>
    </xf>
    <xf numFmtId="0" fontId="92" fillId="0" borderId="0" applyNumberFormat="0" applyFill="0" applyBorder="0" applyProtection="0">
      <alignment horizontal="left"/>
    </xf>
    <xf numFmtId="0" fontId="93" fillId="0" borderId="0" applyNumberFormat="0" applyFill="0" applyBorder="0" applyProtection="0">
      <alignment horizontal="centerContinuous"/>
    </xf>
    <xf numFmtId="37" fontId="79" fillId="0" borderId="0" applyFill="0" applyBorder="0">
      <alignment horizontal="right"/>
    </xf>
    <xf numFmtId="0" fontId="12" fillId="0" borderId="0" applyNumberForma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12" fillId="0" borderId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2" fillId="0" borderId="0"/>
    <xf numFmtId="0" fontId="95" fillId="0" borderId="0"/>
    <xf numFmtId="1" fontId="96" fillId="0" borderId="0"/>
    <xf numFmtId="9" fontId="12" fillId="0" borderId="0"/>
    <xf numFmtId="0" fontId="97" fillId="0" borderId="0"/>
    <xf numFmtId="217" fontId="98" fillId="0" borderId="0" applyFont="0" applyFill="0" applyBorder="0" applyAlignment="0" applyProtection="0"/>
    <xf numFmtId="0" fontId="97" fillId="0" borderId="0"/>
    <xf numFmtId="2" fontId="97" fillId="0" borderId="0"/>
    <xf numFmtId="185" fontId="98" fillId="0" borderId="0" applyFont="0" applyFill="0" applyBorder="0" applyAlignment="0" applyProtection="0"/>
    <xf numFmtId="10" fontId="97" fillId="0" borderId="0"/>
    <xf numFmtId="0" fontId="97" fillId="0" borderId="0"/>
    <xf numFmtId="38" fontId="2" fillId="0" borderId="24"/>
    <xf numFmtId="0" fontId="2" fillId="0" borderId="0"/>
    <xf numFmtId="188" fontId="12" fillId="0" borderId="0"/>
    <xf numFmtId="186" fontId="75" fillId="0" borderId="0"/>
    <xf numFmtId="218" fontId="99" fillId="0" borderId="0"/>
    <xf numFmtId="0" fontId="75" fillId="0" borderId="0"/>
    <xf numFmtId="40" fontId="75" fillId="0" borderId="0"/>
    <xf numFmtId="37" fontId="100" fillId="0" borderId="0">
      <alignment horizontal="center"/>
    </xf>
    <xf numFmtId="0" fontId="12" fillId="0" borderId="0"/>
    <xf numFmtId="0" fontId="101" fillId="0" borderId="2" applyBorder="0"/>
    <xf numFmtId="218" fontId="48" fillId="0" borderId="0" applyFont="0" applyFill="0" applyBorder="0" applyAlignment="0" applyProtection="0"/>
    <xf numFmtId="219" fontId="102" fillId="0" borderId="0" applyFont="0" applyFill="0" applyBorder="0" applyAlignment="0" applyProtection="0"/>
    <xf numFmtId="220" fontId="25" fillId="52" borderId="41">
      <alignment horizontal="center" vertical="center"/>
    </xf>
    <xf numFmtId="221" fontId="79" fillId="0" borderId="8"/>
    <xf numFmtId="0" fontId="103" fillId="0" borderId="0"/>
    <xf numFmtId="222" fontId="79" fillId="0" borderId="9" applyBorder="0"/>
    <xf numFmtId="0" fontId="12" fillId="53" borderId="0" applyNumberFormat="0" applyFill="0" applyBorder="0" applyAlignment="0"/>
    <xf numFmtId="0" fontId="12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2" fillId="0" borderId="42" applyNumberFormat="0" applyFill="0" applyBorder="0" applyAlignment="0" applyProtection="0"/>
    <xf numFmtId="0" fontId="46" fillId="0" borderId="42" applyNumberFormat="0" applyFill="0" applyBorder="0" applyAlignment="0" applyProtection="0"/>
    <xf numFmtId="0" fontId="105" fillId="0" borderId="42" applyNumberFormat="0" applyFill="0" applyBorder="0" applyAlignment="0" applyProtection="0"/>
    <xf numFmtId="0" fontId="48" fillId="0" borderId="42" applyNumberFormat="0" applyFill="0" applyAlignment="0" applyProtection="0"/>
    <xf numFmtId="0" fontId="106" fillId="0" borderId="43">
      <protection hidden="1"/>
    </xf>
    <xf numFmtId="0" fontId="107" fillId="54" borderId="43" applyNumberFormat="0" applyFont="0" applyBorder="0" applyAlignment="0" applyProtection="0">
      <protection hidden="1"/>
    </xf>
    <xf numFmtId="223" fontId="2" fillId="0" borderId="0"/>
    <xf numFmtId="196" fontId="83" fillId="0" borderId="0"/>
    <xf numFmtId="224" fontId="75" fillId="0" borderId="0" applyFill="0" applyBorder="0" applyProtection="0"/>
    <xf numFmtId="1" fontId="108" fillId="55" borderId="7" applyNumberFormat="0" applyBorder="0" applyAlignment="0">
      <alignment horizontal="center" vertical="top" wrapText="1"/>
      <protection hidden="1"/>
    </xf>
    <xf numFmtId="225" fontId="109" fillId="56" borderId="25" applyFont="0" applyFill="0" applyBorder="0" applyAlignment="0" applyProtection="0">
      <alignment horizontal="center"/>
    </xf>
    <xf numFmtId="0" fontId="110" fillId="0" borderId="0" applyNumberFormat="0" applyFill="0" applyBorder="0" applyAlignment="0" applyProtection="0"/>
    <xf numFmtId="0" fontId="12" fillId="0" borderId="0" applyNumberFormat="0" applyFont="0" applyAlignment="0" applyProtection="0"/>
    <xf numFmtId="37" fontId="111" fillId="0" borderId="0" applyNumberFormat="0" applyFill="0" applyBorder="0" applyAlignment="0" applyProtection="0"/>
    <xf numFmtId="7" fontId="111" fillId="0" borderId="0">
      <alignment horizontal="right"/>
      <protection locked="0"/>
    </xf>
    <xf numFmtId="0" fontId="112" fillId="0" borderId="0" applyNumberFormat="0"/>
    <xf numFmtId="0" fontId="113" fillId="0" borderId="2" applyNumberFormat="0" applyFill="0" applyAlignment="0" applyProtection="0"/>
    <xf numFmtId="5" fontId="114" fillId="0" borderId="3" applyAlignment="0" applyProtection="0"/>
    <xf numFmtId="0" fontId="75" fillId="0" borderId="15" applyNumberFormat="0" applyFont="0" applyFill="0" applyAlignment="0" applyProtection="0"/>
    <xf numFmtId="0" fontId="75" fillId="0" borderId="44" applyNumberFormat="0" applyFont="0" applyFill="0" applyAlignment="0" applyProtection="0"/>
    <xf numFmtId="0" fontId="12" fillId="0" borderId="3" applyNumberFormat="0" applyFont="0" applyFill="0" applyAlignment="0" applyProtection="0"/>
    <xf numFmtId="226" fontId="115" fillId="53" borderId="0" applyFont="0" applyFill="0" applyBorder="0" applyAlignment="0" applyProtection="0"/>
    <xf numFmtId="227" fontId="116" fillId="0" borderId="0" applyFont="0" applyFill="0" applyBorder="0" applyAlignment="0" applyProtection="0"/>
    <xf numFmtId="0" fontId="94" fillId="0" borderId="0" applyFont="0" applyFill="0" applyBorder="0" applyAlignment="0" applyProtection="0"/>
    <xf numFmtId="37" fontId="111" fillId="0" borderId="0" applyFont="0" applyFill="0" applyBorder="0" applyAlignment="0" applyProtection="0">
      <alignment vertical="center"/>
      <protection locked="0"/>
    </xf>
    <xf numFmtId="0" fontId="48" fillId="0" borderId="0"/>
    <xf numFmtId="188" fontId="19" fillId="0" borderId="0" applyFont="0" applyFill="0" applyBorder="0" applyAlignment="0" applyProtection="0">
      <protection locked="0"/>
    </xf>
    <xf numFmtId="0" fontId="117" fillId="0" borderId="0" applyFill="0" applyBorder="0" applyAlignment="0"/>
    <xf numFmtId="228" fontId="12" fillId="0" borderId="0" applyFill="0" applyBorder="0" applyAlignment="0"/>
    <xf numFmtId="229" fontId="12" fillId="0" borderId="0" applyFill="0" applyBorder="0" applyAlignment="0"/>
    <xf numFmtId="230" fontId="12" fillId="0" borderId="0" applyFill="0" applyBorder="0" applyAlignment="0"/>
    <xf numFmtId="231" fontId="12" fillId="0" borderId="0" applyFill="0" applyBorder="0" applyAlignment="0"/>
    <xf numFmtId="0" fontId="117" fillId="0" borderId="0" applyFill="0" applyBorder="0" applyAlignment="0"/>
    <xf numFmtId="0" fontId="117" fillId="0" borderId="0" applyFill="0" applyBorder="0" applyAlignment="0"/>
    <xf numFmtId="228" fontId="12" fillId="0" borderId="0" applyFill="0" applyBorder="0" applyAlignment="0"/>
    <xf numFmtId="209" fontId="111" fillId="0" borderId="0"/>
    <xf numFmtId="0" fontId="118" fillId="57" borderId="0" applyNumberFormat="0" applyFont="0" applyBorder="0" applyAlignment="0"/>
    <xf numFmtId="0" fontId="75" fillId="0" borderId="0" applyFill="0" applyBorder="0" applyProtection="0"/>
    <xf numFmtId="224" fontId="74" fillId="0" borderId="0" applyFont="0" applyFill="0" applyBorder="0" applyAlignment="0" applyProtection="0"/>
    <xf numFmtId="0" fontId="119" fillId="58" borderId="1"/>
    <xf numFmtId="0" fontId="120" fillId="0" borderId="0">
      <alignment horizontal="right"/>
    </xf>
    <xf numFmtId="232" fontId="120" fillId="0" borderId="0"/>
    <xf numFmtId="1" fontId="121" fillId="0" borderId="0"/>
    <xf numFmtId="0" fontId="48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12" fillId="0" borderId="2" applyNumberFormat="0" applyFill="0" applyBorder="0" applyAlignment="0" applyProtection="0">
      <alignment horizontal="center"/>
    </xf>
    <xf numFmtId="0" fontId="113" fillId="0" borderId="2" applyNumberFormat="0" applyFill="0" applyProtection="0">
      <alignment horizontal="left" vertical="center"/>
    </xf>
    <xf numFmtId="0" fontId="12" fillId="0" borderId="0">
      <alignment horizontal="center" wrapText="1"/>
      <protection hidden="1"/>
    </xf>
    <xf numFmtId="0" fontId="123" fillId="0" borderId="0" applyNumberFormat="0" applyFill="0" applyBorder="0" applyAlignment="0" applyProtection="0">
      <alignment vertical="top"/>
      <protection locked="0"/>
    </xf>
    <xf numFmtId="186" fontId="46" fillId="0" borderId="0" applyBorder="0">
      <alignment horizontal="right"/>
    </xf>
    <xf numFmtId="186" fontId="46" fillId="0" borderId="15" applyAlignment="0">
      <alignment horizontal="right"/>
    </xf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224" fontId="2" fillId="0" borderId="0"/>
    <xf numFmtId="0" fontId="117" fillId="0" borderId="0" applyFont="0" applyFill="0" applyBorder="0" applyAlignment="0" applyProtection="0"/>
    <xf numFmtId="188" fontId="80" fillId="0" borderId="0" applyFont="0" applyFill="0" applyBorder="0" applyAlignment="0" applyProtection="0"/>
    <xf numFmtId="39" fontId="80" fillId="0" borderId="0" applyFont="0" applyFill="0" applyBorder="0" applyAlignment="0" applyProtection="0"/>
    <xf numFmtId="233" fontId="125" fillId="0" borderId="0" applyFont="0" applyFill="0" applyBorder="0" applyAlignment="0" applyProtection="0">
      <alignment horizontal="right"/>
    </xf>
    <xf numFmtId="234" fontId="125" fillId="0" borderId="0" applyFont="0" applyFill="0" applyBorder="0" applyAlignment="0" applyProtection="0"/>
    <xf numFmtId="236" fontId="125" fillId="0" borderId="0" applyFont="0" applyFill="0" applyBorder="0" applyAlignment="0" applyProtection="0">
      <alignment horizontal="right"/>
    </xf>
    <xf numFmtId="237" fontId="94" fillId="0" borderId="0" applyFont="0" applyFill="0" applyBorder="0" applyAlignment="0" applyProtection="0"/>
    <xf numFmtId="43" fontId="1" fillId="0" borderId="0" applyFont="0" applyFill="0" applyBorder="0" applyAlignment="0" applyProtection="0"/>
    <xf numFmtId="239" fontId="94" fillId="0" borderId="0" applyFont="0" applyFill="0" applyBorder="0" applyAlignment="0" applyProtection="0"/>
    <xf numFmtId="240" fontId="2" fillId="0" borderId="0"/>
    <xf numFmtId="39" fontId="12" fillId="0" borderId="0" applyFont="0" applyFill="0" applyBorder="0" applyAlignment="0" applyProtection="0"/>
    <xf numFmtId="3" fontId="126" fillId="0" borderId="0" applyFont="0" applyFill="0" applyBorder="0" applyAlignment="0" applyProtection="0"/>
    <xf numFmtId="0" fontId="107" fillId="0" borderId="0" applyFont="0" applyFill="0" applyBorder="0" applyAlignment="0" applyProtection="0"/>
    <xf numFmtId="241" fontId="12" fillId="0" borderId="0" applyFont="0" applyFill="0" applyBorder="0" applyAlignment="0" applyProtection="0"/>
    <xf numFmtId="0" fontId="127" fillId="0" borderId="0"/>
    <xf numFmtId="0" fontId="128" fillId="59" borderId="0">
      <alignment horizontal="center" vertical="center" wrapText="1"/>
    </xf>
    <xf numFmtId="0" fontId="129" fillId="0" borderId="0" applyFill="0" applyBorder="0">
      <alignment horizontal="left"/>
    </xf>
    <xf numFmtId="238" fontId="79" fillId="0" borderId="0" applyFont="0" applyFill="0" applyBorder="0" applyAlignment="0" applyProtection="0"/>
    <xf numFmtId="242" fontId="79" fillId="0" borderId="0" applyFill="0" applyBorder="0">
      <alignment horizontal="right"/>
      <protection locked="0"/>
    </xf>
    <xf numFmtId="243" fontId="48" fillId="0" borderId="45" applyFont="0" applyFill="0" applyBorder="0" applyAlignment="0" applyProtection="0"/>
    <xf numFmtId="0" fontId="75" fillId="0" borderId="0"/>
    <xf numFmtId="5" fontId="130" fillId="0" borderId="0" applyFont="0" applyFill="0" applyBorder="0" applyAlignment="0" applyProtection="0">
      <alignment horizontal="center"/>
    </xf>
    <xf numFmtId="39" fontId="12" fillId="0" borderId="0" applyFont="0" applyFill="0" applyBorder="0" applyAlignment="0" applyProtection="0"/>
    <xf numFmtId="0" fontId="48" fillId="0" borderId="0" applyFont="0" applyFill="0" applyBorder="0" applyAlignment="0"/>
    <xf numFmtId="7" fontId="12" fillId="0" borderId="0" applyFont="0" applyFill="0" applyBorder="0" applyAlignment="0"/>
    <xf numFmtId="244" fontId="125" fillId="0" borderId="0" applyFont="0" applyFill="0" applyBorder="0" applyAlignment="0" applyProtection="0">
      <alignment horizontal="right"/>
    </xf>
    <xf numFmtId="198" fontId="84" fillId="0" borderId="43" applyBorder="0"/>
    <xf numFmtId="245" fontId="125" fillId="0" borderId="0" applyFont="0" applyFill="0" applyBorder="0" applyAlignment="0" applyProtection="0">
      <alignment horizontal="right"/>
    </xf>
    <xf numFmtId="246" fontId="131" fillId="0" borderId="0" applyFont="0" applyFill="0" applyBorder="0" applyAlignment="0" applyProtection="0"/>
    <xf numFmtId="246" fontId="131" fillId="0" borderId="0" applyFont="0" applyFill="0" applyBorder="0" applyAlignment="0" applyProtection="0"/>
    <xf numFmtId="8" fontId="82" fillId="60" borderId="38">
      <alignment horizontal="right"/>
    </xf>
    <xf numFmtId="0" fontId="126" fillId="0" borderId="0" applyFont="0" applyFill="0" applyBorder="0" applyAlignment="0" applyProtection="0"/>
    <xf numFmtId="187" fontId="132" fillId="60" borderId="0">
      <alignment horizontal="right"/>
    </xf>
    <xf numFmtId="187" fontId="133" fillId="0" borderId="0"/>
    <xf numFmtId="247" fontId="99" fillId="0" borderId="0" applyFill="0" applyBorder="0" applyProtection="0">
      <alignment horizontal="right"/>
    </xf>
    <xf numFmtId="7" fontId="48" fillId="0" borderId="0" applyFont="0" applyFill="0" applyBorder="0" applyAlignment="0" applyProtection="0"/>
    <xf numFmtId="0" fontId="134" fillId="61" borderId="0"/>
    <xf numFmtId="0" fontId="94" fillId="0" borderId="0" applyFont="0" applyFill="0" applyBorder="0" applyAlignment="0" applyProtection="0"/>
    <xf numFmtId="0" fontId="12" fillId="0" borderId="0" applyNumberFormat="0">
      <alignment horizontal="right"/>
    </xf>
    <xf numFmtId="0" fontId="135" fillId="0" borderId="0"/>
    <xf numFmtId="15" fontId="12" fillId="0" borderId="0" applyProtection="0"/>
    <xf numFmtId="15" fontId="46" fillId="0" borderId="0" applyFill="0" applyBorder="0" applyAlignment="0"/>
    <xf numFmtId="0" fontId="46" fillId="14" borderId="0" applyFont="0" applyFill="0" applyBorder="0" applyAlignment="0" applyProtection="0"/>
    <xf numFmtId="0" fontId="78" fillId="14" borderId="46" applyFont="0" applyFill="0" applyBorder="0" applyAlignment="0" applyProtection="0"/>
    <xf numFmtId="0" fontId="48" fillId="14" borderId="0" applyFont="0" applyFill="0" applyBorder="0" applyAlignment="0" applyProtection="0"/>
    <xf numFmtId="17" fontId="46" fillId="0" borderId="0" applyFill="0" applyBorder="0">
      <alignment horizontal="right"/>
    </xf>
    <xf numFmtId="248" fontId="46" fillId="0" borderId="2"/>
    <xf numFmtId="235" fontId="125" fillId="0" borderId="0" applyFont="0" applyFill="0" applyBorder="0" applyAlignment="0" applyProtection="0"/>
    <xf numFmtId="14" fontId="74" fillId="0" borderId="0" applyFill="0" applyBorder="0" applyProtection="0">
      <alignment horizontal="center"/>
    </xf>
    <xf numFmtId="14" fontId="48" fillId="0" borderId="0" applyFont="0" applyFill="0" applyBorder="0" applyAlignment="0" applyProtection="0"/>
    <xf numFmtId="14" fontId="136" fillId="0" borderId="0" applyFill="0" applyBorder="0" applyAlignment="0"/>
    <xf numFmtId="249" fontId="74" fillId="0" borderId="0" applyFill="0" applyBorder="0" applyProtection="0">
      <alignment horizontal="center"/>
    </xf>
    <xf numFmtId="15" fontId="12" fillId="0" borderId="0" applyProtection="0"/>
    <xf numFmtId="14" fontId="2" fillId="0" borderId="0">
      <alignment horizontal="right"/>
      <protection locked="0"/>
    </xf>
    <xf numFmtId="0" fontId="2" fillId="0" borderId="0"/>
    <xf numFmtId="17" fontId="12" fillId="0" borderId="0" applyFont="0" applyFill="0" applyBorder="0" applyAlignment="0" applyProtection="0">
      <alignment horizontal="center"/>
    </xf>
    <xf numFmtId="0" fontId="74" fillId="0" borderId="0" applyFont="0" applyFill="0" applyBorder="0" applyAlignment="0" applyProtection="0">
      <alignment horizontal="center"/>
    </xf>
    <xf numFmtId="0" fontId="74" fillId="0" borderId="3" applyFont="0" applyFill="0" applyBorder="0" applyAlignment="0" applyProtection="0">
      <alignment horizontal="center"/>
    </xf>
    <xf numFmtId="0" fontId="48" fillId="0" borderId="3" applyFont="0" applyFill="0" applyBorder="0" applyAlignment="0" applyProtection="0">
      <alignment horizontal="center"/>
    </xf>
    <xf numFmtId="0" fontId="75" fillId="0" borderId="0"/>
    <xf numFmtId="0" fontId="135" fillId="0" borderId="0"/>
    <xf numFmtId="37" fontId="113" fillId="58" borderId="47" applyNumberFormat="0" applyAlignment="0">
      <alignment horizontal="left"/>
    </xf>
    <xf numFmtId="250" fontId="12" fillId="0" borderId="0" applyFont="0" applyFill="0" applyBorder="0" applyAlignment="0" applyProtection="0"/>
    <xf numFmtId="251" fontId="12" fillId="0" borderId="0" applyFont="0" applyFill="0" applyBorder="0" applyAlignment="0" applyProtection="0"/>
    <xf numFmtId="38" fontId="75" fillId="3" borderId="0">
      <alignment horizontal="right"/>
    </xf>
    <xf numFmtId="8" fontId="75" fillId="0" borderId="0" applyFill="0" applyBorder="0" applyProtection="0"/>
    <xf numFmtId="252" fontId="74" fillId="0" borderId="0" applyFill="0" applyBorder="0" applyProtection="0"/>
    <xf numFmtId="253" fontId="2" fillId="0" borderId="0"/>
    <xf numFmtId="6" fontId="75" fillId="0" borderId="0" applyFill="0" applyBorder="0" applyProtection="0"/>
    <xf numFmtId="0" fontId="120" fillId="0" borderId="0"/>
    <xf numFmtId="0" fontId="75" fillId="0" borderId="0"/>
    <xf numFmtId="0" fontId="133" fillId="0" borderId="0">
      <protection locked="0"/>
    </xf>
    <xf numFmtId="7" fontId="75" fillId="0" borderId="0"/>
    <xf numFmtId="7" fontId="48" fillId="0" borderId="0"/>
    <xf numFmtId="6" fontId="75" fillId="0" borderId="0" applyFont="0" applyFill="0" applyBorder="0" applyAlignment="0" applyProtection="0"/>
    <xf numFmtId="254" fontId="125" fillId="0" borderId="48" applyNumberFormat="0" applyFont="0" applyFill="0" applyAlignment="0" applyProtection="0"/>
    <xf numFmtId="42" fontId="137" fillId="0" borderId="0" applyFill="0" applyBorder="0" applyAlignment="0" applyProtection="0"/>
    <xf numFmtId="38" fontId="48" fillId="60" borderId="0" applyNumberFormat="0" applyFont="0" applyBorder="0" applyAlignment="0" applyProtection="0"/>
    <xf numFmtId="186" fontId="79" fillId="62" borderId="0">
      <alignment vertical="center"/>
    </xf>
    <xf numFmtId="186" fontId="5" fillId="0" borderId="0">
      <alignment vertical="center"/>
    </xf>
    <xf numFmtId="186" fontId="3" fillId="0" borderId="0">
      <alignment vertical="center"/>
    </xf>
    <xf numFmtId="186" fontId="138" fillId="3" borderId="49" applyNumberFormat="0" applyAlignment="0">
      <alignment horizontal="center" vertical="center"/>
    </xf>
    <xf numFmtId="186" fontId="139" fillId="3" borderId="0">
      <alignment horizontal="center" vertical="center"/>
    </xf>
    <xf numFmtId="14" fontId="140" fillId="3" borderId="0">
      <alignment horizontal="center" vertical="center"/>
    </xf>
    <xf numFmtId="17" fontId="141" fillId="3" borderId="0">
      <alignment horizontal="center" vertical="center"/>
    </xf>
    <xf numFmtId="186" fontId="48" fillId="0" borderId="0">
      <alignment vertical="center"/>
    </xf>
    <xf numFmtId="186" fontId="142" fillId="3" borderId="0">
      <alignment vertical="center"/>
    </xf>
    <xf numFmtId="186" fontId="143" fillId="3" borderId="0">
      <alignment vertical="center"/>
    </xf>
    <xf numFmtId="182" fontId="144" fillId="3" borderId="50">
      <alignment vertical="center"/>
    </xf>
    <xf numFmtId="0" fontId="79" fillId="3" borderId="50">
      <alignment vertical="center"/>
    </xf>
    <xf numFmtId="37" fontId="141" fillId="3" borderId="0">
      <alignment horizontal="left" vertical="center"/>
    </xf>
    <xf numFmtId="186" fontId="141" fillId="3" borderId="0">
      <alignment horizontal="center" vertical="center"/>
    </xf>
    <xf numFmtId="179" fontId="91" fillId="3" borderId="0">
      <alignment horizontal="right" vertical="center"/>
    </xf>
    <xf numFmtId="180" fontId="91" fillId="3" borderId="0">
      <alignment horizontal="right" vertical="center"/>
    </xf>
    <xf numFmtId="182" fontId="145" fillId="3" borderId="0">
      <alignment horizontal="right" vertical="center"/>
    </xf>
    <xf numFmtId="182" fontId="145" fillId="3" borderId="3">
      <alignment horizontal="right" vertical="center"/>
    </xf>
    <xf numFmtId="180" fontId="9" fillId="3" borderId="50">
      <alignment horizontal="right" vertical="center"/>
    </xf>
    <xf numFmtId="192" fontId="91" fillId="3" borderId="0">
      <alignment horizontal="right" vertical="center"/>
    </xf>
    <xf numFmtId="4" fontId="91" fillId="3" borderId="0">
      <alignment horizontal="right" vertical="center"/>
    </xf>
    <xf numFmtId="192" fontId="9" fillId="3" borderId="2">
      <alignment horizontal="right" vertical="center"/>
    </xf>
    <xf numFmtId="180" fontId="9" fillId="3" borderId="2">
      <alignment horizontal="right" vertical="center"/>
    </xf>
    <xf numFmtId="180" fontId="11" fillId="3" borderId="0">
      <alignment horizontal="right" vertical="center"/>
    </xf>
    <xf numFmtId="184" fontId="9" fillId="3" borderId="0">
      <alignment horizontal="right" vertical="center"/>
    </xf>
    <xf numFmtId="186" fontId="79" fillId="0" borderId="0">
      <alignment vertical="center"/>
    </xf>
    <xf numFmtId="186" fontId="146" fillId="3" borderId="2" applyBorder="0">
      <alignment horizontal="left" vertical="center"/>
    </xf>
    <xf numFmtId="186" fontId="147" fillId="3" borderId="0">
      <alignment horizontal="left" vertical="center"/>
    </xf>
    <xf numFmtId="186" fontId="146" fillId="3" borderId="51">
      <alignment horizontal="left"/>
    </xf>
    <xf numFmtId="186" fontId="48" fillId="3" borderId="52">
      <alignment vertical="center"/>
    </xf>
    <xf numFmtId="186" fontId="48" fillId="3" borderId="53">
      <alignment vertical="center"/>
    </xf>
    <xf numFmtId="186" fontId="48" fillId="3" borderId="3">
      <alignment vertical="center"/>
    </xf>
    <xf numFmtId="186" fontId="140" fillId="3" borderId="54">
      <alignment horizontal="center" vertical="center"/>
    </xf>
    <xf numFmtId="186" fontId="25" fillId="0" borderId="0">
      <alignment vertical="center"/>
    </xf>
    <xf numFmtId="186" fontId="25" fillId="0" borderId="0">
      <alignment vertical="center"/>
    </xf>
    <xf numFmtId="186" fontId="25" fillId="0" borderId="0">
      <alignment vertical="center"/>
    </xf>
    <xf numFmtId="0" fontId="135" fillId="0" borderId="55"/>
    <xf numFmtId="0" fontId="135" fillId="0" borderId="55"/>
    <xf numFmtId="182" fontId="148" fillId="0" borderId="56" applyNumberFormat="0" applyAlignment="0" applyProtection="0">
      <alignment vertical="top"/>
    </xf>
    <xf numFmtId="0" fontId="48" fillId="53" borderId="0" applyNumberFormat="0" applyFont="0" applyBorder="0" applyAlignment="0" applyProtection="0"/>
    <xf numFmtId="0" fontId="149" fillId="63" borderId="0"/>
    <xf numFmtId="0" fontId="117" fillId="0" borderId="0" applyFill="0" applyBorder="0" applyAlignment="0"/>
    <xf numFmtId="228" fontId="12" fillId="0" borderId="0" applyFill="0" applyBorder="0" applyAlignment="0"/>
    <xf numFmtId="255" fontId="78" fillId="0" borderId="0" applyNumberFormat="0" applyFill="0" applyBorder="0" applyAlignment="0">
      <protection locked="0"/>
    </xf>
    <xf numFmtId="0" fontId="117" fillId="0" borderId="0" applyFill="0" applyBorder="0" applyAlignment="0"/>
    <xf numFmtId="0" fontId="117" fillId="0" borderId="0" applyFill="0" applyBorder="0" applyAlignment="0"/>
    <xf numFmtId="228" fontId="12" fillId="0" borderId="0" applyFill="0" applyBorder="0" applyAlignment="0"/>
    <xf numFmtId="17" fontId="109" fillId="64" borderId="0">
      <alignment horizontal="left"/>
    </xf>
    <xf numFmtId="8" fontId="150" fillId="0" borderId="0"/>
    <xf numFmtId="182" fontId="150" fillId="0" borderId="0"/>
    <xf numFmtId="188" fontId="150" fillId="0" borderId="0"/>
    <xf numFmtId="256" fontId="151" fillId="0" borderId="0" applyFont="0" applyFill="0" applyBorder="0" applyAlignment="0" applyProtection="0"/>
    <xf numFmtId="0" fontId="135" fillId="0" borderId="0"/>
    <xf numFmtId="0" fontId="152" fillId="0" borderId="0"/>
    <xf numFmtId="3" fontId="153" fillId="0" borderId="0" applyNumberFormat="0" applyFont="0" applyFill="0" applyBorder="0" applyAlignment="0" applyProtection="0">
      <alignment horizontal="left"/>
    </xf>
    <xf numFmtId="1" fontId="154" fillId="65" borderId="5" applyNumberFormat="0" applyBorder="0" applyAlignment="0">
      <alignment horizontal="centerContinuous" vertical="center"/>
      <protection locked="0"/>
    </xf>
    <xf numFmtId="0" fontId="155" fillId="66" borderId="0"/>
    <xf numFmtId="2" fontId="126" fillId="0" borderId="0" applyFont="0" applyFill="0" applyBorder="0" applyAlignment="0" applyProtection="0"/>
    <xf numFmtId="0" fontId="75" fillId="0" borderId="0"/>
    <xf numFmtId="257" fontId="48" fillId="0" borderId="0" applyFont="0" applyFill="0" applyBorder="0" applyProtection="0"/>
    <xf numFmtId="0" fontId="120" fillId="0" borderId="0"/>
    <xf numFmtId="0" fontId="12" fillId="0" borderId="0" applyFill="0" applyBorder="0" applyAlignment="0" applyProtection="0"/>
    <xf numFmtId="0" fontId="25" fillId="0" borderId="0" applyFill="0" applyBorder="0" applyAlignment="0" applyProtection="0"/>
    <xf numFmtId="0" fontId="104" fillId="0" borderId="0" applyFill="0" applyBorder="0" applyAlignment="0" applyProtection="0"/>
    <xf numFmtId="0" fontId="5" fillId="0" borderId="0" applyFill="0" applyBorder="0" applyAlignment="0" applyProtection="0"/>
    <xf numFmtId="0" fontId="3" fillId="0" borderId="0" applyFill="0" applyBorder="0" applyAlignment="0" applyProtection="0"/>
    <xf numFmtId="0" fontId="156" fillId="0" borderId="0" applyFill="0" applyBorder="0" applyAlignment="0" applyProtection="0"/>
    <xf numFmtId="0" fontId="157" fillId="0" borderId="0" applyFill="0" applyBorder="0" applyAlignment="0" applyProtection="0"/>
    <xf numFmtId="0" fontId="46" fillId="0" borderId="0" applyFill="0" applyBorder="0" applyAlignment="0" applyProtection="0"/>
    <xf numFmtId="0" fontId="158" fillId="0" borderId="0" applyFill="0" applyBorder="0" applyProtection="0">
      <alignment horizontal="left"/>
    </xf>
    <xf numFmtId="0" fontId="12" fillId="0" borderId="0" applyNumberFormat="0" applyFill="0" applyBorder="0" applyAlignment="0" applyProtection="0"/>
    <xf numFmtId="0" fontId="159" fillId="0" borderId="57"/>
    <xf numFmtId="0" fontId="159" fillId="0" borderId="55"/>
    <xf numFmtId="0" fontId="159" fillId="67" borderId="55"/>
    <xf numFmtId="0" fontId="12" fillId="0" borderId="0" applyBorder="0" applyProtection="0"/>
    <xf numFmtId="49" fontId="48" fillId="0" borderId="0" applyFill="0" applyBorder="0"/>
    <xf numFmtId="49" fontId="12" fillId="0" borderId="0"/>
    <xf numFmtId="49" fontId="12" fillId="0" borderId="0" applyFill="0" applyBorder="0">
      <alignment horizontal="right" vertical="center"/>
    </xf>
    <xf numFmtId="49" fontId="12" fillId="0" borderId="0" applyFill="0" applyBorder="0">
      <alignment horizontal="right" vertical="center"/>
    </xf>
    <xf numFmtId="224" fontId="75" fillId="0" borderId="0" applyFill="0" applyBorder="0" applyAlignment="0" applyProtection="0">
      <protection locked="0"/>
    </xf>
    <xf numFmtId="2" fontId="12" fillId="14" borderId="12" applyFill="0" applyBorder="0" applyProtection="0">
      <alignment horizontal="center"/>
    </xf>
    <xf numFmtId="37" fontId="25" fillId="0" borderId="14"/>
    <xf numFmtId="9" fontId="160" fillId="0" borderId="0" applyNumberFormat="0" applyFill="0" applyBorder="0" applyAlignment="0" applyProtection="0"/>
    <xf numFmtId="38" fontId="48" fillId="60" borderId="0" applyNumberFormat="0" applyBorder="0" applyAlignment="0" applyProtection="0"/>
    <xf numFmtId="0" fontId="48" fillId="0" borderId="0" applyFill="0" applyBorder="0" applyAlignment="0" applyProtection="0">
      <alignment horizontal="right"/>
    </xf>
    <xf numFmtId="197" fontId="81" fillId="0" borderId="0"/>
    <xf numFmtId="10" fontId="75" fillId="3" borderId="0" applyFill="0" applyAlignment="0">
      <alignment horizontal="right"/>
    </xf>
    <xf numFmtId="0" fontId="48" fillId="0" borderId="0" applyFill="0" applyBorder="0" applyAlignment="0" applyProtection="0"/>
    <xf numFmtId="258" fontId="161" fillId="0" borderId="0" applyAlignment="0">
      <alignment horizontal="left"/>
      <protection locked="0"/>
    </xf>
    <xf numFmtId="193" fontId="162" fillId="3" borderId="0" applyAlignment="0">
      <alignment horizontal="right"/>
    </xf>
    <xf numFmtId="182" fontId="12" fillId="10" borderId="1" applyNumberFormat="0" applyFont="0" applyBorder="0" applyAlignment="0" applyProtection="0"/>
    <xf numFmtId="199" fontId="94" fillId="14" borderId="1" applyNumberFormat="0" applyFont="0" applyAlignment="0"/>
    <xf numFmtId="259" fontId="125" fillId="0" borderId="0" applyFont="0" applyFill="0" applyBorder="0" applyAlignment="0" applyProtection="0">
      <alignment horizontal="right"/>
    </xf>
    <xf numFmtId="188" fontId="163" fillId="10" borderId="0" applyNumberFormat="0" applyFont="0" applyAlignment="0"/>
    <xf numFmtId="0" fontId="164" fillId="0" borderId="0" applyProtection="0">
      <alignment horizontal="right"/>
    </xf>
    <xf numFmtId="0" fontId="5" fillId="0" borderId="37" applyNumberFormat="0" applyAlignment="0" applyProtection="0">
      <alignment horizontal="left" vertical="center"/>
    </xf>
    <xf numFmtId="0" fontId="5" fillId="0" borderId="4">
      <alignment horizontal="left" vertical="center"/>
    </xf>
    <xf numFmtId="0" fontId="12" fillId="0" borderId="0">
      <alignment horizontal="center"/>
    </xf>
    <xf numFmtId="0" fontId="12" fillId="0" borderId="0">
      <alignment horizontal="center"/>
    </xf>
    <xf numFmtId="0" fontId="165" fillId="0" borderId="2" applyFill="0" applyProtection="0">
      <alignment horizontal="center"/>
    </xf>
    <xf numFmtId="0" fontId="166" fillId="0" borderId="2">
      <alignment horizontal="center"/>
    </xf>
    <xf numFmtId="246" fontId="167" fillId="0" borderId="0">
      <alignment horizontal="right"/>
    </xf>
    <xf numFmtId="246" fontId="167" fillId="0" borderId="0">
      <alignment horizontal="left"/>
    </xf>
    <xf numFmtId="37" fontId="167" fillId="0" borderId="0">
      <alignment horizontal="left"/>
    </xf>
    <xf numFmtId="37" fontId="168" fillId="0" borderId="0">
      <alignment horizontal="left"/>
    </xf>
    <xf numFmtId="37" fontId="113" fillId="0" borderId="0">
      <alignment horizontal="left"/>
    </xf>
    <xf numFmtId="0" fontId="169" fillId="0" borderId="0" applyNumberFormat="0" applyFill="0" applyBorder="0" applyAlignment="0" applyProtection="0">
      <alignment horizontal="center"/>
    </xf>
    <xf numFmtId="0" fontId="170" fillId="0" borderId="0" applyNumberFormat="0" applyFill="0" applyBorder="0" applyAlignment="0" applyProtection="0">
      <alignment horizontal="center"/>
    </xf>
    <xf numFmtId="0" fontId="171" fillId="0" borderId="58" applyNumberFormat="0" applyFill="0" applyBorder="0" applyAlignment="0" applyProtection="0">
      <alignment horizontal="left"/>
    </xf>
    <xf numFmtId="0" fontId="2" fillId="0" borderId="0"/>
    <xf numFmtId="260" fontId="172" fillId="0" borderId="0">
      <protection locked="0"/>
    </xf>
    <xf numFmtId="0" fontId="173" fillId="0" borderId="59" applyNumberFormat="0" applyFill="0" applyAlignment="0" applyProtection="0"/>
    <xf numFmtId="0" fontId="12" fillId="3" borderId="0" applyNumberFormat="0" applyFont="0" applyBorder="0" applyAlignment="0" applyProtection="0"/>
    <xf numFmtId="38" fontId="75" fillId="0" borderId="0"/>
    <xf numFmtId="0" fontId="75" fillId="0" borderId="0" applyFill="0" applyBorder="0" applyAlignment="0" applyProtection="0"/>
    <xf numFmtId="10" fontId="48" fillId="14" borderId="1" applyNumberFormat="0" applyBorder="0" applyAlignment="0" applyProtection="0"/>
    <xf numFmtId="37" fontId="12" fillId="0" borderId="0" applyProtection="0"/>
    <xf numFmtId="8" fontId="48" fillId="14" borderId="0" applyFont="0" applyBorder="0" applyAlignment="0" applyProtection="0">
      <protection locked="0"/>
    </xf>
    <xf numFmtId="0" fontId="48" fillId="14" borderId="0" applyFont="0" applyBorder="0" applyAlignment="0" applyProtection="0">
      <protection locked="0"/>
    </xf>
    <xf numFmtId="0" fontId="48" fillId="14" borderId="0" applyFont="0" applyBorder="0" applyAlignment="0">
      <protection locked="0"/>
    </xf>
    <xf numFmtId="0" fontId="48" fillId="14" borderId="0">
      <protection locked="0"/>
    </xf>
    <xf numFmtId="0" fontId="48" fillId="14" borderId="0" applyFont="0" applyBorder="0" applyAlignment="0">
      <protection locked="0"/>
    </xf>
    <xf numFmtId="10" fontId="48" fillId="14" borderId="0">
      <protection locked="0"/>
    </xf>
    <xf numFmtId="261" fontId="48" fillId="14" borderId="0" applyFont="0" applyBorder="0" applyAlignment="0">
      <protection locked="0"/>
    </xf>
    <xf numFmtId="0" fontId="174" fillId="14" borderId="0" applyNumberFormat="0" applyBorder="0" applyAlignment="0">
      <protection locked="0"/>
    </xf>
    <xf numFmtId="0" fontId="111" fillId="0" borderId="0" applyNumberFormat="0" applyFill="0" applyBorder="0" applyAlignment="0">
      <protection locked="0"/>
    </xf>
    <xf numFmtId="0" fontId="48" fillId="14" borderId="0" applyNumberFormat="0" applyFont="0" applyBorder="0" applyAlignment="0" applyProtection="0">
      <alignment horizontal="center"/>
      <protection locked="0"/>
    </xf>
    <xf numFmtId="0" fontId="175" fillId="0" borderId="0" applyNumberFormat="0" applyFill="0" applyBorder="0" applyAlignment="0">
      <protection locked="0"/>
    </xf>
    <xf numFmtId="0" fontId="12" fillId="0" borderId="0" applyFill="0" applyBorder="0">
      <alignment horizontal="right"/>
      <protection locked="0"/>
    </xf>
    <xf numFmtId="262" fontId="176" fillId="68" borderId="1" applyNumberFormat="0" applyFont="0" applyBorder="0" applyAlignment="0">
      <alignment horizontal="right"/>
    </xf>
    <xf numFmtId="262" fontId="177" fillId="68" borderId="1" applyNumberFormat="0" applyAlignment="0">
      <alignment horizontal="right"/>
    </xf>
    <xf numFmtId="262" fontId="176" fillId="68" borderId="1" applyNumberFormat="0" applyAlignment="0">
      <alignment horizontal="right"/>
    </xf>
    <xf numFmtId="263" fontId="79" fillId="0" borderId="0" applyFill="0" applyBorder="0">
      <alignment horizontal="right"/>
      <protection locked="0"/>
    </xf>
    <xf numFmtId="0" fontId="25" fillId="69" borderId="55">
      <alignment horizontal="left" vertical="center" wrapText="1"/>
    </xf>
    <xf numFmtId="187" fontId="104" fillId="60" borderId="0" applyFont="0">
      <alignment horizontal="center"/>
    </xf>
    <xf numFmtId="1" fontId="178" fillId="1" borderId="38">
      <protection locked="0"/>
    </xf>
    <xf numFmtId="0" fontId="94" fillId="0" borderId="0" applyNumberFormat="0" applyFill="0" applyBorder="0" applyProtection="0">
      <alignment horizontal="left" vertical="center"/>
    </xf>
    <xf numFmtId="0" fontId="75" fillId="0" borderId="0">
      <alignment horizontal="left"/>
    </xf>
    <xf numFmtId="224" fontId="179" fillId="0" borderId="0" applyNumberFormat="0" applyFill="0" applyBorder="0" applyAlignment="0" applyProtection="0"/>
    <xf numFmtId="0" fontId="12" fillId="0" borderId="0"/>
    <xf numFmtId="2" fontId="12" fillId="0" borderId="0" applyNumberFormat="0" applyBorder="0">
      <alignment horizontal="left"/>
    </xf>
    <xf numFmtId="37" fontId="12" fillId="0" borderId="0" applyNumberFormat="0" applyFill="0" applyBorder="0" applyAlignment="0" applyProtection="0"/>
    <xf numFmtId="0" fontId="117" fillId="0" borderId="0" applyFill="0" applyBorder="0" applyAlignment="0"/>
    <xf numFmtId="228" fontId="12" fillId="0" borderId="0" applyFill="0" applyBorder="0" applyAlignment="0"/>
    <xf numFmtId="0" fontId="117" fillId="0" borderId="0" applyFill="0" applyBorder="0" applyAlignment="0"/>
    <xf numFmtId="0" fontId="117" fillId="0" borderId="0" applyFill="0" applyBorder="0" applyAlignment="0"/>
    <xf numFmtId="228" fontId="12" fillId="0" borderId="0" applyFill="0" applyBorder="0" applyAlignment="0"/>
    <xf numFmtId="37" fontId="180" fillId="0" borderId="0" applyNumberFormat="0" applyFill="0" applyBorder="0" applyAlignment="0" applyProtection="0"/>
    <xf numFmtId="37" fontId="181" fillId="0" borderId="0" applyNumberFormat="0" applyFill="0" applyBorder="0" applyAlignment="0" applyProtection="0">
      <alignment horizontal="right"/>
    </xf>
    <xf numFmtId="37" fontId="12" fillId="0" borderId="0"/>
    <xf numFmtId="0" fontId="182" fillId="0" borderId="0" applyNumberFormat="0" applyFont="0" applyFill="0" applyBorder="0" applyAlignment="0"/>
    <xf numFmtId="0" fontId="134" fillId="61" borderId="0"/>
    <xf numFmtId="14" fontId="80" fillId="0" borderId="0" applyFont="0" applyFill="0" applyBorder="0" applyAlignment="0" applyProtection="0"/>
    <xf numFmtId="0" fontId="183" fillId="0" borderId="60">
      <alignment horizontal="left"/>
      <protection locked="0"/>
    </xf>
    <xf numFmtId="264" fontId="12" fillId="14" borderId="2" applyFont="0" applyFill="0" applyBorder="0" applyAlignment="0" applyProtection="0">
      <alignment horizontal="right"/>
    </xf>
    <xf numFmtId="0" fontId="184" fillId="0" borderId="61" applyAlignment="0">
      <alignment horizontal="left" wrapText="1"/>
    </xf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85" fillId="0" borderId="0" applyNumberFormat="0" applyFill="0" applyBorder="0" applyAlignment="0" applyProtection="0"/>
    <xf numFmtId="6" fontId="75" fillId="0" borderId="0" applyAlignment="0">
      <alignment horizontal="left"/>
    </xf>
    <xf numFmtId="0" fontId="48" fillId="0" borderId="0" applyFill="0" applyBorder="0" applyAlignment="0" applyProtection="0"/>
    <xf numFmtId="0" fontId="155" fillId="0" borderId="0"/>
    <xf numFmtId="0" fontId="186" fillId="0" borderId="0"/>
    <xf numFmtId="0" fontId="187" fillId="0" borderId="0"/>
    <xf numFmtId="38" fontId="117" fillId="0" borderId="0" applyFont="0" applyFill="0" applyBorder="0" applyAlignment="0" applyProtection="0"/>
    <xf numFmtId="40" fontId="117" fillId="0" borderId="0" applyFont="0" applyFill="0" applyBorder="0" applyAlignment="0" applyProtection="0"/>
    <xf numFmtId="0" fontId="188" fillId="0" borderId="0" applyBorder="0"/>
    <xf numFmtId="265" fontId="2" fillId="0" borderId="0"/>
    <xf numFmtId="266" fontId="12" fillId="0" borderId="0" applyFont="0" applyFill="0" applyBorder="0" applyAlignment="0" applyProtection="0"/>
    <xf numFmtId="267" fontId="12" fillId="0" borderId="0" applyFont="0" applyFill="0" applyBorder="0" applyAlignment="0" applyProtection="0"/>
    <xf numFmtId="188" fontId="25" fillId="0" borderId="4" applyFont="0" applyFill="0" applyBorder="0" applyAlignment="0" applyProtection="0">
      <alignment horizontal="center"/>
    </xf>
    <xf numFmtId="187" fontId="130" fillId="0" borderId="0" applyFill="0" applyProtection="0">
      <alignment horizontal="right"/>
    </xf>
    <xf numFmtId="3" fontId="130" fillId="0" borderId="0" applyFont="0" applyFill="0" applyBorder="0" applyAlignment="0" applyProtection="0">
      <alignment horizontal="center"/>
    </xf>
    <xf numFmtId="268" fontId="12" fillId="0" borderId="0" applyFont="0" applyFill="0" applyBorder="0" applyAlignment="0" applyProtection="0"/>
    <xf numFmtId="269" fontId="12" fillId="0" borderId="0" applyFont="0" applyFill="0" applyBorder="0" applyAlignment="0" applyProtection="0"/>
    <xf numFmtId="17" fontId="80" fillId="0" borderId="0" applyFont="0" applyFill="0" applyBorder="0" applyAlignment="0" applyProtection="0"/>
    <xf numFmtId="248" fontId="48" fillId="14" borderId="0">
      <alignment horizontal="center"/>
    </xf>
    <xf numFmtId="0" fontId="189" fillId="0" borderId="0"/>
    <xf numFmtId="270" fontId="125" fillId="0" borderId="0" applyFont="0" applyFill="0" applyBorder="0" applyAlignment="0" applyProtection="0">
      <alignment horizontal="right"/>
    </xf>
    <xf numFmtId="0" fontId="98" fillId="0" borderId="0" applyFont="0" applyFill="0" applyBorder="0" applyAlignment="0" applyProtection="0"/>
    <xf numFmtId="40" fontId="75" fillId="0" borderId="0" applyFill="0" applyBorder="0" applyAlignment="0" applyProtection="0">
      <alignment horizontal="left"/>
    </xf>
    <xf numFmtId="270" fontId="125" fillId="0" borderId="0" applyFont="0" applyFill="0" applyBorder="0" applyAlignment="0" applyProtection="0">
      <alignment horizontal="right"/>
    </xf>
    <xf numFmtId="271" fontId="79" fillId="0" borderId="0" applyFont="0" applyFill="0" applyBorder="0" applyAlignment="0"/>
    <xf numFmtId="272" fontId="79" fillId="0" borderId="0" applyFont="0" applyFill="0" applyBorder="0" applyAlignment="0">
      <alignment horizontal="right"/>
    </xf>
    <xf numFmtId="273" fontId="190" fillId="0" borderId="62" applyFill="0" applyBorder="0" applyProtection="0">
      <alignment horizontal="right" vertical="center"/>
    </xf>
    <xf numFmtId="274" fontId="190" fillId="0" borderId="0" applyFill="0" applyBorder="0" applyProtection="0">
      <alignment horizontal="right" vertical="center"/>
    </xf>
    <xf numFmtId="175" fontId="48" fillId="60" borderId="0" applyFont="0" applyBorder="0" applyAlignment="0" applyProtection="0">
      <alignment horizontal="right"/>
      <protection hidden="1"/>
    </xf>
    <xf numFmtId="0" fontId="191" fillId="0" borderId="0">
      <alignment horizontal="right"/>
    </xf>
    <xf numFmtId="0" fontId="12" fillId="0" borderId="0" applyNumberFormat="0" applyFont="0" applyFill="0" applyBorder="0" applyAlignment="0" applyProtection="0"/>
    <xf numFmtId="40" fontId="25" fillId="0" borderId="0" applyFont="0" applyFill="0" applyBorder="0" applyAlignment="0" applyProtection="0">
      <alignment horizontal="center"/>
    </xf>
    <xf numFmtId="0" fontId="175" fillId="0" borderId="63" applyNumberFormat="0" applyAlignment="0"/>
    <xf numFmtId="0" fontId="192" fillId="0" borderId="0"/>
    <xf numFmtId="0" fontId="193" fillId="0" borderId="0"/>
    <xf numFmtId="37" fontId="194" fillId="0" borderId="0"/>
    <xf numFmtId="0" fontId="134" fillId="64" borderId="0"/>
    <xf numFmtId="275" fontId="48" fillId="0" borderId="0" applyFont="0" applyFill="0" applyBorder="0" applyAlignment="0" applyProtection="0">
      <alignment horizontal="right"/>
    </xf>
    <xf numFmtId="276" fontId="195" fillId="0" borderId="0"/>
    <xf numFmtId="38" fontId="48" fillId="0" borderId="0" applyFont="0" applyFill="0" applyBorder="0" applyAlignment="0"/>
    <xf numFmtId="0" fontId="12" fillId="0" borderId="0" applyFont="0" applyFill="0" applyBorder="0" applyAlignment="0"/>
    <xf numFmtId="40" fontId="48" fillId="0" borderId="0" applyFont="0" applyFill="0" applyBorder="0" applyAlignment="0" applyProtection="0"/>
    <xf numFmtId="0" fontId="48" fillId="0" borderId="0" applyFont="0" applyFill="0" applyBorder="0" applyAlignment="0"/>
    <xf numFmtId="186" fontId="84" fillId="0" borderId="43" applyBorder="0"/>
    <xf numFmtId="0" fontId="77" fillId="0" borderId="0"/>
    <xf numFmtId="0" fontId="77" fillId="0" borderId="0"/>
    <xf numFmtId="0" fontId="12" fillId="0" borderId="0"/>
    <xf numFmtId="0" fontId="196" fillId="0" borderId="0" applyNumberFormat="0" applyFill="0" applyBorder="0" applyAlignment="0" applyProtection="0"/>
    <xf numFmtId="0" fontId="1" fillId="0" borderId="0"/>
    <xf numFmtId="0" fontId="46" fillId="0" borderId="0" applyNumberFormat="0" applyFill="0" applyBorder="0" applyAlignment="0" applyProtection="0"/>
    <xf numFmtId="0" fontId="48" fillId="0" borderId="0" applyFont="0" applyFill="0" applyBorder="0" applyAlignment="0" applyProtection="0"/>
    <xf numFmtId="0" fontId="2" fillId="0" borderId="0"/>
    <xf numFmtId="0" fontId="12" fillId="0" borderId="0">
      <alignment horizontal="right"/>
    </xf>
    <xf numFmtId="40" fontId="46" fillId="0" borderId="0">
      <alignment horizontal="left"/>
    </xf>
    <xf numFmtId="0" fontId="198" fillId="0" borderId="0"/>
    <xf numFmtId="276" fontId="199" fillId="0" borderId="0">
      <alignment horizontal="right"/>
    </xf>
    <xf numFmtId="0" fontId="200" fillId="0" borderId="0"/>
    <xf numFmtId="0" fontId="201" fillId="0" borderId="64"/>
    <xf numFmtId="224" fontId="48" fillId="0" borderId="0"/>
    <xf numFmtId="277" fontId="197" fillId="3" borderId="0" applyBorder="0">
      <alignment vertical="center"/>
    </xf>
    <xf numFmtId="40" fontId="12" fillId="0" borderId="0" applyBorder="0">
      <alignment horizontal="right"/>
    </xf>
    <xf numFmtId="278" fontId="48" fillId="0" borderId="0" applyFont="0" applyFill="0" applyBorder="0" applyAlignment="0" applyProtection="0"/>
    <xf numFmtId="279" fontId="48" fillId="0" borderId="0" applyFont="0" applyFill="0" applyBorder="0" applyAlignment="0" applyProtection="0"/>
    <xf numFmtId="37" fontId="202" fillId="0" borderId="0" applyNumberFormat="0" applyFont="0" applyFill="0" applyBorder="0" applyAlignment="0" applyProtection="0"/>
    <xf numFmtId="0" fontId="48" fillId="0" borderId="0" applyFont="0" applyFill="0" applyBorder="0" applyAlignment="0" applyProtection="0"/>
    <xf numFmtId="1" fontId="133" fillId="0" borderId="0">
      <alignment horizontal="right"/>
      <protection locked="0"/>
    </xf>
    <xf numFmtId="186" fontId="203" fillId="0" borderId="0">
      <alignment horizontal="right"/>
      <protection locked="0"/>
    </xf>
    <xf numFmtId="0" fontId="133" fillId="0" borderId="0">
      <protection locked="0"/>
    </xf>
    <xf numFmtId="2" fontId="203" fillId="0" borderId="0">
      <alignment horizontal="right"/>
      <protection locked="0"/>
    </xf>
    <xf numFmtId="2" fontId="133" fillId="0" borderId="0">
      <alignment horizontal="right"/>
      <protection locked="0"/>
    </xf>
    <xf numFmtId="280" fontId="78" fillId="0" borderId="0" applyFont="0" applyFill="0" applyBorder="0" applyProtection="0">
      <alignment horizontal="right"/>
    </xf>
    <xf numFmtId="40" fontId="12" fillId="0" borderId="0" applyFont="0" applyFill="0" applyBorder="0" applyAlignment="0" applyProtection="0">
      <alignment horizontal="center"/>
    </xf>
    <xf numFmtId="0" fontId="12" fillId="0" borderId="0" applyNumberFormat="0" applyFill="0" applyBorder="0" applyAlignment="0" applyProtection="0"/>
    <xf numFmtId="281" fontId="122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188" fontId="79" fillId="69" borderId="0" applyFont="0" applyFill="0" applyBorder="0" applyAlignment="0">
      <alignment horizontal="right"/>
    </xf>
    <xf numFmtId="0" fontId="48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04" fillId="3" borderId="1" applyNumberFormat="0" applyBorder="0">
      <alignment horizontal="center" vertical="center"/>
    </xf>
    <xf numFmtId="186" fontId="12" fillId="0" borderId="0"/>
    <xf numFmtId="224" fontId="75" fillId="0" borderId="0" applyFont="0" applyFill="0" applyBorder="0" applyAlignment="0" applyProtection="0"/>
    <xf numFmtId="0" fontId="205" fillId="0" borderId="0">
      <alignment horizontal="left" vertical="top"/>
      <protection locked="0"/>
    </xf>
    <xf numFmtId="197" fontId="83" fillId="0" borderId="0"/>
    <xf numFmtId="0" fontId="206" fillId="0" borderId="0">
      <alignment horizontal="left"/>
    </xf>
    <xf numFmtId="40" fontId="136" fillId="3" borderId="0">
      <alignment horizontal="right"/>
    </xf>
    <xf numFmtId="0" fontId="207" fillId="60" borderId="0">
      <alignment horizontal="right"/>
    </xf>
    <xf numFmtId="0" fontId="208" fillId="70" borderId="0"/>
    <xf numFmtId="0" fontId="2" fillId="0" borderId="0" applyBorder="0">
      <alignment horizontal="centerContinuous"/>
    </xf>
    <xf numFmtId="0" fontId="209" fillId="0" borderId="0" applyBorder="0">
      <alignment horizontal="centerContinuous"/>
    </xf>
    <xf numFmtId="37" fontId="79" fillId="3" borderId="0" applyAlignment="0"/>
    <xf numFmtId="0" fontId="210" fillId="0" borderId="2" applyNumberFormat="0" applyFill="0" applyBorder="0" applyAlignment="0">
      <protection locked="0"/>
    </xf>
    <xf numFmtId="282" fontId="2" fillId="0" borderId="0"/>
    <xf numFmtId="0" fontId="211" fillId="0" borderId="0" applyProtection="0">
      <alignment horizontal="left"/>
    </xf>
    <xf numFmtId="0" fontId="12" fillId="0" borderId="0" applyFill="0" applyBorder="0" applyProtection="0">
      <alignment horizontal="left"/>
    </xf>
    <xf numFmtId="0" fontId="12" fillId="0" borderId="0" applyFill="0" applyBorder="0" applyProtection="0">
      <alignment horizontal="left"/>
    </xf>
    <xf numFmtId="0" fontId="197" fillId="0" borderId="0" applyProtection="0">
      <alignment horizontal="left"/>
    </xf>
    <xf numFmtId="1" fontId="212" fillId="0" borderId="0" applyProtection="0">
      <alignment horizontal="right" vertical="center"/>
    </xf>
    <xf numFmtId="0" fontId="187" fillId="0" borderId="0"/>
    <xf numFmtId="0" fontId="213" fillId="0" borderId="65" applyNumberFormat="0" applyAlignment="0" applyProtection="0"/>
    <xf numFmtId="0" fontId="48" fillId="11" borderId="43" applyNumberFormat="0" applyFont="0" applyBorder="0" applyAlignment="0" applyProtection="0">
      <alignment horizontal="center"/>
    </xf>
    <xf numFmtId="0" fontId="2" fillId="0" borderId="66" applyNumberFormat="0" applyAlignment="0" applyProtection="0"/>
    <xf numFmtId="0" fontId="213" fillId="0" borderId="67" applyNumberFormat="0" applyAlignment="0" applyProtection="0"/>
    <xf numFmtId="0" fontId="48" fillId="0" borderId="0"/>
    <xf numFmtId="182" fontId="75" fillId="0" borderId="0">
      <alignment horizontal="right"/>
    </xf>
    <xf numFmtId="182" fontId="193" fillId="0" borderId="0"/>
    <xf numFmtId="0" fontId="12" fillId="0" borderId="0" applyFont="0" applyFill="0" applyBorder="0" applyAlignment="0"/>
    <xf numFmtId="283" fontId="12" fillId="0" borderId="0" applyFont="0" applyFill="0" applyBorder="0" applyAlignment="0" applyProtection="0"/>
    <xf numFmtId="0" fontId="48" fillId="0" borderId="0" applyFont="0" applyFill="0" applyBorder="0" applyAlignment="0"/>
    <xf numFmtId="284" fontId="105" fillId="0" borderId="0" applyFill="0" applyBorder="0" applyAlignment="0" applyProtection="0"/>
    <xf numFmtId="261" fontId="105" fillId="0" borderId="0" applyFont="0" applyFill="0" applyBorder="0" applyAlignment="0" applyProtection="0"/>
    <xf numFmtId="10" fontId="12" fillId="0" borderId="0" applyFont="0" applyFill="0" applyBorder="0" applyAlignment="0" applyProtection="0"/>
    <xf numFmtId="285" fontId="105" fillId="0" borderId="0" applyFill="0" applyBorder="0" applyAlignment="0" applyProtection="0"/>
    <xf numFmtId="286" fontId="105" fillId="71" borderId="0" applyFont="0" applyFill="0" applyBorder="0" applyAlignment="0" applyProtection="0"/>
    <xf numFmtId="0" fontId="84" fillId="0" borderId="43" applyBorder="0"/>
    <xf numFmtId="9" fontId="77" fillId="0" borderId="0" applyFont="0" applyFill="0" applyBorder="0" applyAlignment="0" applyProtection="0"/>
    <xf numFmtId="9" fontId="1" fillId="0" borderId="0" applyFont="0" applyFill="0" applyBorder="0" applyAlignment="0" applyProtection="0"/>
    <xf numFmtId="287" fontId="151" fillId="0" borderId="0" applyFont="0" applyFill="0" applyBorder="0" applyProtection="0">
      <alignment horizontal="right"/>
    </xf>
    <xf numFmtId="288" fontId="79" fillId="69" borderId="0" applyFont="0" applyFill="0" applyBorder="0" applyAlignment="0">
      <alignment horizontal="right"/>
    </xf>
    <xf numFmtId="9" fontId="2" fillId="0" borderId="0" applyFill="0" applyBorder="0" applyAlignment="0" applyProtection="0"/>
    <xf numFmtId="0" fontId="75" fillId="0" borderId="0"/>
    <xf numFmtId="0" fontId="133" fillId="0" borderId="0"/>
    <xf numFmtId="10" fontId="75" fillId="0" borderId="0"/>
    <xf numFmtId="10" fontId="133" fillId="0" borderId="0">
      <protection locked="0"/>
    </xf>
    <xf numFmtId="0" fontId="12" fillId="0" borderId="0"/>
    <xf numFmtId="289" fontId="79" fillId="0" borderId="0" applyFill="0" applyBorder="0">
      <alignment horizontal="right"/>
      <protection locked="0"/>
    </xf>
    <xf numFmtId="258" fontId="75" fillId="0" borderId="0" applyFont="0" applyFill="0" applyBorder="0" applyAlignment="0" applyProtection="0"/>
    <xf numFmtId="0" fontId="48" fillId="0" borderId="0" applyFont="0" applyFill="0" applyBorder="0" applyAlignment="0" applyProtection="0"/>
    <xf numFmtId="39" fontId="79" fillId="0" borderId="0" applyFont="0" applyFill="0" applyBorder="0" applyAlignment="0">
      <alignment horizontal="right"/>
    </xf>
    <xf numFmtId="0" fontId="214" fillId="0" borderId="68" applyNumberFormat="0" applyFont="0" applyFill="0" applyAlignment="0" applyProtection="0"/>
    <xf numFmtId="38" fontId="48" fillId="0" borderId="0" applyFill="0" applyBorder="0" applyAlignment="0" applyProtection="0">
      <alignment horizontal="right"/>
    </xf>
    <xf numFmtId="183" fontId="75" fillId="0" borderId="0" applyFill="0" applyBorder="0" applyAlignment="0" applyProtection="0">
      <alignment horizontal="left"/>
    </xf>
    <xf numFmtId="0" fontId="117" fillId="0" borderId="0" applyFill="0" applyBorder="0" applyAlignment="0"/>
    <xf numFmtId="228" fontId="12" fillId="0" borderId="0" applyFill="0" applyBorder="0" applyAlignment="0"/>
    <xf numFmtId="0" fontId="117" fillId="0" borderId="0" applyFill="0" applyBorder="0" applyAlignment="0"/>
    <xf numFmtId="0" fontId="117" fillId="0" borderId="0" applyFill="0" applyBorder="0" applyAlignment="0"/>
    <xf numFmtId="228" fontId="12" fillId="0" borderId="0" applyFill="0" applyBorder="0" applyAlignment="0"/>
    <xf numFmtId="38" fontId="75" fillId="0" borderId="0" applyFont="0" applyFill="0" applyBorder="0" applyAlignment="0" applyProtection="0"/>
    <xf numFmtId="8" fontId="215" fillId="0" borderId="25">
      <alignment horizontal="right"/>
    </xf>
    <xf numFmtId="232" fontId="133" fillId="0" borderId="0">
      <alignment horizontal="right"/>
      <protection locked="0"/>
    </xf>
    <xf numFmtId="37" fontId="104" fillId="72" borderId="0" applyNumberFormat="0" applyFont="0" applyFill="0" applyBorder="0" applyAlignment="0" applyProtection="0"/>
    <xf numFmtId="290" fontId="46" fillId="0" borderId="0" applyFill="0" applyBorder="0" applyProtection="0">
      <alignment horizontal="right"/>
    </xf>
    <xf numFmtId="0" fontId="216" fillId="0" borderId="0"/>
    <xf numFmtId="0" fontId="216" fillId="0" borderId="58">
      <alignment horizontal="right"/>
    </xf>
    <xf numFmtId="192" fontId="176" fillId="73" borderId="1">
      <alignment horizontal="right"/>
    </xf>
    <xf numFmtId="0" fontId="12" fillId="0" borderId="0" applyNumberFormat="0" applyFont="0" applyFill="0" applyBorder="0" applyAlignment="0">
      <protection hidden="1"/>
    </xf>
    <xf numFmtId="1" fontId="217" fillId="60" borderId="0">
      <alignment horizontal="center"/>
    </xf>
    <xf numFmtId="44" fontId="2" fillId="0" borderId="0">
      <alignment horizontal="center"/>
    </xf>
    <xf numFmtId="0" fontId="97" fillId="0" borderId="0" applyNumberFormat="0" applyFont="0" applyFill="0" applyBorder="0" applyAlignment="0" applyProtection="0">
      <alignment horizontal="left"/>
    </xf>
    <xf numFmtId="15" fontId="97" fillId="0" borderId="0" applyFont="0" applyFill="0" applyBorder="0" applyAlignment="0" applyProtection="0"/>
    <xf numFmtId="4" fontId="97" fillId="0" borderId="0" applyFont="0" applyFill="0" applyBorder="0" applyAlignment="0" applyProtection="0"/>
    <xf numFmtId="0" fontId="114" fillId="0" borderId="15">
      <alignment horizontal="center"/>
    </xf>
    <xf numFmtId="3" fontId="97" fillId="0" borderId="0" applyFont="0" applyFill="0" applyBorder="0" applyAlignment="0" applyProtection="0"/>
    <xf numFmtId="0" fontId="97" fillId="74" borderId="0" applyNumberFormat="0" applyFont="0" applyBorder="0" applyAlignment="0" applyProtection="0"/>
    <xf numFmtId="1" fontId="12" fillId="0" borderId="43" applyNumberFormat="0" applyFill="0" applyAlignment="0" applyProtection="0">
      <alignment horizontal="center" vertical="center"/>
    </xf>
    <xf numFmtId="0" fontId="2" fillId="0" borderId="0">
      <alignment vertical="top"/>
    </xf>
    <xf numFmtId="166" fontId="79" fillId="0" borderId="0">
      <alignment horizontal="right"/>
      <protection locked="0"/>
    </xf>
    <xf numFmtId="291" fontId="48" fillId="0" borderId="0"/>
    <xf numFmtId="0" fontId="218" fillId="0" borderId="0" applyNumberFormat="0" applyFill="0" applyBorder="0" applyAlignment="0" applyProtection="0">
      <alignment horizontal="left"/>
    </xf>
    <xf numFmtId="0" fontId="219" fillId="0" borderId="43" applyNumberFormat="0" applyFill="0" applyBorder="0" applyAlignment="0" applyProtection="0">
      <protection hidden="1"/>
    </xf>
    <xf numFmtId="0" fontId="135" fillId="0" borderId="0"/>
    <xf numFmtId="0" fontId="220" fillId="0" borderId="0"/>
    <xf numFmtId="0" fontId="94" fillId="0" borderId="0" applyNumberFormat="0" applyFill="0" applyBorder="0" applyProtection="0">
      <alignment horizontal="right" vertical="center"/>
    </xf>
    <xf numFmtId="0" fontId="221" fillId="72" borderId="0" applyFont="0" applyFill="0" applyAlignment="0"/>
    <xf numFmtId="0" fontId="2" fillId="0" borderId="0" applyNumberFormat="0" applyFont="0" applyFill="0" applyBorder="0" applyAlignment="0" applyProtection="0">
      <alignment horizontal="left" indent="1"/>
    </xf>
    <xf numFmtId="1" fontId="151" fillId="72" borderId="0" applyNumberFormat="0" applyFont="0" applyFill="0" applyBorder="0" applyAlignment="0" applyProtection="0"/>
    <xf numFmtId="1" fontId="151" fillId="72" borderId="0" applyNumberFormat="0" applyFont="0" applyFill="0" applyBorder="0" applyAlignment="0" applyProtection="0"/>
    <xf numFmtId="1" fontId="151" fillId="72" borderId="0" applyNumberFormat="0" applyFont="0" applyFill="0" applyBorder="0" applyAlignment="0" applyProtection="0"/>
    <xf numFmtId="1" fontId="151" fillId="72" borderId="0" applyNumberFormat="0" applyFont="0" applyFill="0" applyBorder="0" applyAlignment="0" applyProtection="0"/>
    <xf numFmtId="0" fontId="222" fillId="0" borderId="69">
      <alignment vertical="center"/>
    </xf>
    <xf numFmtId="4" fontId="223" fillId="53" borderId="70" applyNumberFormat="0" applyProtection="0">
      <alignment vertical="center"/>
    </xf>
    <xf numFmtId="4" fontId="224" fillId="53" borderId="70" applyNumberFormat="0" applyProtection="0">
      <alignment vertical="center"/>
    </xf>
    <xf numFmtId="4" fontId="184" fillId="53" borderId="70" applyNumberFormat="0" applyProtection="0">
      <alignment horizontal="left" vertical="center" indent="1"/>
    </xf>
    <xf numFmtId="0" fontId="225" fillId="53" borderId="70" applyNumberFormat="0" applyProtection="0">
      <alignment horizontal="left" vertical="top" indent="1"/>
    </xf>
    <xf numFmtId="4" fontId="184" fillId="75" borderId="0" applyNumberFormat="0" applyProtection="0">
      <alignment horizontal="left" vertical="center" indent="1"/>
    </xf>
    <xf numFmtId="4" fontId="226" fillId="76" borderId="70" applyNumberFormat="0" applyProtection="0">
      <alignment horizontal="right" vertical="center"/>
    </xf>
    <xf numFmtId="4" fontId="226" fillId="77" borderId="70" applyNumberFormat="0" applyProtection="0">
      <alignment horizontal="right" vertical="center"/>
    </xf>
    <xf numFmtId="4" fontId="226" fillId="78" borderId="70" applyNumberFormat="0" applyProtection="0">
      <alignment horizontal="right" vertical="center"/>
    </xf>
    <xf numFmtId="4" fontId="226" fillId="10" borderId="70" applyNumberFormat="0" applyProtection="0">
      <alignment horizontal="right" vertical="center"/>
    </xf>
    <xf numFmtId="4" fontId="226" fillId="79" borderId="70" applyNumberFormat="0" applyProtection="0">
      <alignment horizontal="right" vertical="center"/>
    </xf>
    <xf numFmtId="4" fontId="226" fillId="71" borderId="70" applyNumberFormat="0" applyProtection="0">
      <alignment horizontal="right" vertical="center"/>
    </xf>
    <xf numFmtId="4" fontId="226" fillId="80" borderId="70" applyNumberFormat="0" applyProtection="0">
      <alignment horizontal="right" vertical="center"/>
    </xf>
    <xf numFmtId="4" fontId="226" fillId="81" borderId="70" applyNumberFormat="0" applyProtection="0">
      <alignment horizontal="right" vertical="center"/>
    </xf>
    <xf numFmtId="4" fontId="226" fillId="82" borderId="70" applyNumberFormat="0" applyProtection="0">
      <alignment horizontal="right" vertical="center"/>
    </xf>
    <xf numFmtId="4" fontId="227" fillId="83" borderId="71" applyNumberFormat="0" applyProtection="0">
      <alignment horizontal="left" vertical="center" indent="1"/>
    </xf>
    <xf numFmtId="4" fontId="227" fillId="52" borderId="0" applyNumberFormat="0" applyProtection="0">
      <alignment horizontal="left" vertical="center" indent="1"/>
    </xf>
    <xf numFmtId="4" fontId="227" fillId="75" borderId="0" applyNumberFormat="0" applyProtection="0">
      <alignment horizontal="left" vertical="center" indent="1"/>
    </xf>
    <xf numFmtId="4" fontId="184" fillId="52" borderId="70" applyNumberFormat="0" applyProtection="0">
      <alignment horizontal="right" vertical="center"/>
    </xf>
    <xf numFmtId="4" fontId="136" fillId="52" borderId="0" applyNumberFormat="0" applyProtection="0">
      <alignment horizontal="left" vertical="center" indent="1"/>
    </xf>
    <xf numFmtId="4" fontId="136" fillId="75" borderId="0" applyNumberFormat="0" applyProtection="0">
      <alignment horizontal="left" vertical="center" indent="1"/>
    </xf>
    <xf numFmtId="0" fontId="12" fillId="75" borderId="70" applyNumberFormat="0" applyProtection="0">
      <alignment horizontal="left" vertical="center" indent="1"/>
    </xf>
    <xf numFmtId="0" fontId="12" fillId="75" borderId="70" applyNumberFormat="0" applyProtection="0">
      <alignment horizontal="left" vertical="top" indent="1"/>
    </xf>
    <xf numFmtId="0" fontId="12" fillId="84" borderId="70" applyNumberFormat="0" applyProtection="0">
      <alignment horizontal="left" vertical="center" indent="1"/>
    </xf>
    <xf numFmtId="0" fontId="12" fillId="84" borderId="70" applyNumberFormat="0" applyProtection="0">
      <alignment horizontal="left" vertical="top" indent="1"/>
    </xf>
    <xf numFmtId="0" fontId="12" fillId="52" borderId="70" applyNumberFormat="0" applyProtection="0">
      <alignment horizontal="left" vertical="center" indent="1"/>
    </xf>
    <xf numFmtId="0" fontId="12" fillId="52" borderId="70" applyNumberFormat="0" applyProtection="0">
      <alignment horizontal="left" vertical="top" indent="1"/>
    </xf>
    <xf numFmtId="0" fontId="12" fillId="11" borderId="70" applyNumberFormat="0" applyProtection="0">
      <alignment horizontal="left" vertical="center" indent="1"/>
    </xf>
    <xf numFmtId="0" fontId="12" fillId="11" borderId="70" applyNumberFormat="0" applyProtection="0">
      <alignment horizontal="left" vertical="top" indent="1"/>
    </xf>
    <xf numFmtId="4" fontId="226" fillId="11" borderId="70" applyNumberFormat="0" applyProtection="0">
      <alignment vertical="center"/>
    </xf>
    <xf numFmtId="4" fontId="228" fillId="11" borderId="70" applyNumberFormat="0" applyProtection="0">
      <alignment vertical="center"/>
    </xf>
    <xf numFmtId="4" fontId="227" fillId="52" borderId="72" applyNumberFormat="0" applyProtection="0">
      <alignment horizontal="left" vertical="center" indent="1"/>
    </xf>
    <xf numFmtId="0" fontId="136" fillId="14" borderId="70" applyNumberFormat="0" applyProtection="0">
      <alignment horizontal="left" vertical="top" indent="1"/>
    </xf>
    <xf numFmtId="4" fontId="184" fillId="11" borderId="70" applyNumberFormat="0" applyProtection="0">
      <alignment horizontal="right" vertical="center"/>
    </xf>
    <xf numFmtId="4" fontId="228" fillId="11" borderId="70" applyNumberFormat="0" applyProtection="0">
      <alignment horizontal="right" vertical="center"/>
    </xf>
    <xf numFmtId="4" fontId="223" fillId="52" borderId="70" applyNumberFormat="0" applyProtection="0">
      <alignment horizontal="left" vertical="center" indent="1"/>
    </xf>
    <xf numFmtId="0" fontId="136" fillId="84" borderId="70" applyNumberFormat="0" applyProtection="0">
      <alignment horizontal="left" vertical="top" indent="1"/>
    </xf>
    <xf numFmtId="4" fontId="229" fillId="84" borderId="72" applyNumberFormat="0" applyProtection="0">
      <alignment horizontal="left" vertical="center" indent="1"/>
    </xf>
    <xf numFmtId="4" fontId="230" fillId="11" borderId="70" applyNumberFormat="0" applyProtection="0">
      <alignment horizontal="right" vertical="center"/>
    </xf>
    <xf numFmtId="0" fontId="231" fillId="0" borderId="17"/>
    <xf numFmtId="0" fontId="5" fillId="59" borderId="1">
      <alignment horizontal="center" vertical="center" wrapText="1"/>
      <protection hidden="1"/>
    </xf>
    <xf numFmtId="0" fontId="2" fillId="85" borderId="0"/>
    <xf numFmtId="0" fontId="2" fillId="86" borderId="0" applyNumberFormat="0" applyFont="0" applyBorder="0" applyAlignment="0" applyProtection="0"/>
    <xf numFmtId="292" fontId="2" fillId="0" borderId="0"/>
    <xf numFmtId="37" fontId="12" fillId="0" borderId="1" applyBorder="0">
      <alignment horizontal="right"/>
      <protection locked="0"/>
    </xf>
    <xf numFmtId="42" fontId="116" fillId="0" borderId="0" applyFill="0" applyBorder="0" applyAlignment="0" applyProtection="0"/>
    <xf numFmtId="1" fontId="2" fillId="0" borderId="0" applyBorder="0">
      <alignment horizontal="left" vertical="top" wrapText="1"/>
    </xf>
    <xf numFmtId="0" fontId="232" fillId="87" borderId="0" applyNumberFormat="0" applyBorder="0" applyAlignment="0" applyProtection="0"/>
    <xf numFmtId="0" fontId="12" fillId="0" borderId="0" applyNumberFormat="0" applyFont="0" applyFill="0" applyBorder="0" applyAlignment="0" applyProtection="0"/>
    <xf numFmtId="0" fontId="232" fillId="88" borderId="0" applyNumberFormat="0" applyBorder="0" applyAlignment="0" applyProtection="0"/>
    <xf numFmtId="0" fontId="232" fillId="88" borderId="0" applyNumberFormat="0" applyBorder="0" applyAlignment="0" applyProtection="0"/>
    <xf numFmtId="3" fontId="12" fillId="0" borderId="0" applyNumberFormat="0" applyFont="0" applyFill="0" applyBorder="0" applyAlignment="0" applyProtection="0"/>
    <xf numFmtId="0" fontId="232" fillId="89" borderId="0" applyNumberFormat="0" applyBorder="0" applyAlignment="0" applyProtection="0"/>
    <xf numFmtId="0" fontId="232" fillId="89" borderId="0" applyNumberFormat="0" applyBorder="0" applyAlignment="0" applyProtection="0"/>
    <xf numFmtId="3" fontId="12" fillId="0" borderId="0" applyNumberFormat="0" applyFont="0" applyFill="0" applyBorder="0" applyAlignment="0" applyProtection="0"/>
    <xf numFmtId="0" fontId="12" fillId="90" borderId="0" applyNumberFormat="0" applyBorder="0" applyAlignment="0" applyProtection="0"/>
    <xf numFmtId="0" fontId="232" fillId="90" borderId="0" applyNumberFormat="0" applyBorder="0" applyAlignment="0" applyProtection="0"/>
    <xf numFmtId="3" fontId="12" fillId="0" borderId="0" applyNumberFormat="0" applyFont="0" applyFill="0" applyBorder="0" applyAlignment="0" applyProtection="0"/>
    <xf numFmtId="3" fontId="232" fillId="91" borderId="0" applyNumberFormat="0" applyBorder="0" applyAlignment="0" applyProtection="0"/>
    <xf numFmtId="3" fontId="232" fillId="91" borderId="0" applyNumberFormat="0" applyBorder="0" applyAlignment="0" applyProtection="0"/>
    <xf numFmtId="3" fontId="12" fillId="0" borderId="0" applyNumberFormat="0" applyFont="0" applyFill="0" applyBorder="0" applyAlignment="0" applyProtection="0"/>
    <xf numFmtId="3" fontId="232" fillId="78" borderId="0" applyNumberFormat="0" applyBorder="0" applyAlignment="0" applyProtection="0"/>
    <xf numFmtId="3" fontId="232" fillId="78" borderId="0" applyNumberFormat="0" applyBorder="0" applyAlignment="0" applyProtection="0"/>
    <xf numFmtId="0" fontId="12" fillId="0" borderId="0" applyFont="0" applyFill="0" applyBorder="0" applyAlignment="0" applyProtection="0"/>
    <xf numFmtId="3" fontId="12" fillId="0" borderId="0" applyFont="0" applyFill="0" applyBorder="0" applyAlignment="0" applyProtection="0"/>
    <xf numFmtId="0" fontId="12" fillId="78" borderId="0" applyNumberFormat="0" applyFont="0" applyBorder="0" applyAlignment="0" applyProtection="0"/>
    <xf numFmtId="4" fontId="12" fillId="0" borderId="0" applyFont="0" applyFill="0" applyBorder="0" applyAlignment="0" applyProtection="0"/>
    <xf numFmtId="3" fontId="12" fillId="60" borderId="73" applyFont="0" applyFill="0" applyBorder="0" applyAlignment="0" applyProtection="0"/>
    <xf numFmtId="4" fontId="12" fillId="60" borderId="73" applyFont="0" applyFill="0" applyBorder="0" applyAlignment="0" applyProtection="0"/>
    <xf numFmtId="183" fontId="12" fillId="60" borderId="73" applyFont="0" applyFill="0" applyBorder="0" applyAlignment="0" applyProtection="0"/>
    <xf numFmtId="224" fontId="12" fillId="60" borderId="74" applyFont="0" applyFill="0" applyBorder="0" applyAlignment="0" applyProtection="0"/>
    <xf numFmtId="10" fontId="12" fillId="60" borderId="73" applyFont="0" applyFill="0" applyBorder="0" applyAlignment="0" applyProtection="0"/>
    <xf numFmtId="9" fontId="12" fillId="60" borderId="73" applyFont="0" applyFill="0" applyBorder="0" applyAlignment="0" applyProtection="0"/>
    <xf numFmtId="2" fontId="12" fillId="60" borderId="73" applyFont="0" applyFill="0" applyBorder="0" applyAlignment="0" applyProtection="0"/>
    <xf numFmtId="0" fontId="97" fillId="0" borderId="0"/>
    <xf numFmtId="0" fontId="12" fillId="0" borderId="0"/>
    <xf numFmtId="6" fontId="82" fillId="0" borderId="0">
      <alignment horizontal="right" vertical="center"/>
    </xf>
    <xf numFmtId="37" fontId="82" fillId="50" borderId="38">
      <alignment horizontal="right" vertical="center"/>
    </xf>
    <xf numFmtId="38" fontId="82" fillId="0" borderId="0">
      <alignment horizontal="right" vertical="center"/>
    </xf>
    <xf numFmtId="9" fontId="82" fillId="0" borderId="0">
      <alignment horizontal="right" vertical="center"/>
    </xf>
    <xf numFmtId="0" fontId="82" fillId="0" borderId="0"/>
    <xf numFmtId="0" fontId="48" fillId="10" borderId="0" applyNumberFormat="0" applyFont="0" applyBorder="0" applyAlignment="0">
      <protection hidden="1"/>
    </xf>
    <xf numFmtId="0" fontId="233" fillId="64" borderId="0"/>
    <xf numFmtId="0" fontId="233" fillId="0" borderId="0"/>
    <xf numFmtId="0" fontId="233" fillId="0" borderId="0"/>
    <xf numFmtId="0" fontId="233" fillId="61" borderId="0"/>
    <xf numFmtId="0" fontId="233" fillId="61" borderId="0"/>
    <xf numFmtId="0" fontId="12" fillId="0" borderId="0"/>
    <xf numFmtId="0" fontId="12" fillId="0" borderId="0" applyNumberFormat="0" applyFill="0" applyBorder="0" applyAlignment="0" applyProtection="0"/>
    <xf numFmtId="0" fontId="25" fillId="10" borderId="55" applyNumberFormat="0" applyProtection="0">
      <alignment horizontal="center" vertical="top"/>
    </xf>
    <xf numFmtId="0" fontId="25" fillId="10" borderId="55" applyNumberFormat="0" applyProtection="0">
      <alignment horizontal="center" vertical="top"/>
    </xf>
    <xf numFmtId="293" fontId="234" fillId="60" borderId="75" applyProtection="0">
      <alignment horizontal="right" vertical="top"/>
    </xf>
    <xf numFmtId="169" fontId="234" fillId="3" borderId="55" applyFont="0" applyProtection="0"/>
    <xf numFmtId="169" fontId="234" fillId="10" borderId="55" applyFont="0" applyProtection="0"/>
    <xf numFmtId="293" fontId="234" fillId="3" borderId="55" applyFont="0" applyProtection="0"/>
    <xf numFmtId="293" fontId="234" fillId="10" borderId="55" applyFont="0" applyProtection="0"/>
    <xf numFmtId="293" fontId="234" fillId="10" borderId="55" applyFont="0" applyProtection="0"/>
    <xf numFmtId="293" fontId="234" fillId="3" borderId="76" applyProtection="0"/>
    <xf numFmtId="293" fontId="234" fillId="10" borderId="76" applyProtection="0"/>
    <xf numFmtId="0" fontId="25" fillId="60" borderId="1" applyNumberFormat="0" applyProtection="0">
      <alignment horizontal="center" vertical="top"/>
    </xf>
    <xf numFmtId="0" fontId="25" fillId="60" borderId="1" applyNumberFormat="0" applyProtection="0">
      <alignment horizontal="center" vertical="top"/>
    </xf>
    <xf numFmtId="0" fontId="25" fillId="0" borderId="0" applyNumberFormat="0" applyFill="0" applyBorder="0" applyProtection="0">
      <alignment horizontal="left" vertical="top"/>
    </xf>
    <xf numFmtId="0" fontId="235" fillId="92" borderId="38" applyNumberFormat="0" applyProtection="0">
      <alignment horizontal="left" vertical="top"/>
    </xf>
    <xf numFmtId="0" fontId="12" fillId="3" borderId="55" applyNumberFormat="0" applyFont="0" applyAlignment="0" applyProtection="0"/>
    <xf numFmtId="0" fontId="12" fillId="10" borderId="55" applyNumberFormat="0" applyFont="0" applyAlignment="0" applyProtection="0"/>
    <xf numFmtId="0" fontId="12" fillId="10" borderId="55" applyNumberFormat="0" applyFont="0" applyProtection="0"/>
    <xf numFmtId="0" fontId="235" fillId="92" borderId="77" applyNumberFormat="0" applyProtection="0">
      <alignment horizontal="center" vertical="center"/>
    </xf>
    <xf numFmtId="0" fontId="25" fillId="10" borderId="0" applyNumberFormat="0" applyProtection="0">
      <alignment horizontal="left"/>
    </xf>
    <xf numFmtId="0" fontId="25" fillId="10" borderId="78" applyNumberFormat="0" applyProtection="0">
      <alignment horizontal="left"/>
    </xf>
    <xf numFmtId="0" fontId="25" fillId="10" borderId="79" applyNumberFormat="0" applyProtection="0">
      <alignment horizontal="left"/>
    </xf>
    <xf numFmtId="0" fontId="25" fillId="10" borderId="80" applyNumberFormat="0" applyProtection="0">
      <alignment horizontal="left" vertical="top"/>
    </xf>
    <xf numFmtId="0" fontId="25" fillId="10" borderId="81" applyNumberFormat="0" applyProtection="0">
      <alignment horizontal="left" vertical="top"/>
    </xf>
    <xf numFmtId="0" fontId="25" fillId="10" borderId="82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4" applyNumberFormat="0" applyProtection="0">
      <alignment horizontal="left" vertical="top"/>
    </xf>
    <xf numFmtId="0" fontId="25" fillId="10" borderId="85" applyNumberFormat="0" applyProtection="0">
      <alignment horizontal="left" vertical="top"/>
    </xf>
    <xf numFmtId="0" fontId="25" fillId="10" borderId="86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25" fillId="10" borderId="88" applyNumberFormat="0" applyProtection="0">
      <alignment horizontal="left" vertical="top"/>
    </xf>
    <xf numFmtId="0" fontId="25" fillId="10" borderId="89" applyNumberFormat="0" applyProtection="0">
      <alignment horizontal="left" vertical="top"/>
    </xf>
    <xf numFmtId="0" fontId="25" fillId="10" borderId="90" applyNumberFormat="0" applyProtection="0">
      <alignment horizontal="left" vertical="top"/>
    </xf>
    <xf numFmtId="0" fontId="25" fillId="10" borderId="91" applyNumberFormat="0" applyProtection="0">
      <alignment horizontal="left" vertical="top"/>
    </xf>
    <xf numFmtId="294" fontId="48" fillId="0" borderId="0" applyFill="0" applyBorder="0" applyProtection="0">
      <alignment horizontal="right"/>
    </xf>
    <xf numFmtId="0" fontId="48" fillId="0" borderId="0" applyNumberFormat="0" applyFill="0" applyBorder="0" applyProtection="0">
      <alignment horizontal="left" vertical="top" wrapText="1"/>
    </xf>
    <xf numFmtId="295" fontId="162" fillId="0" borderId="0" applyFill="0" applyBorder="0" applyAlignment="0" applyProtection="0"/>
    <xf numFmtId="196" fontId="161" fillId="0" borderId="0" applyFill="0" applyBorder="0" applyAlignment="0" applyProtection="0">
      <alignment horizontal="left"/>
      <protection locked="0"/>
    </xf>
    <xf numFmtId="196" fontId="161" fillId="0" borderId="0" applyFill="0" applyBorder="0" applyAlignment="0" applyProtection="0"/>
    <xf numFmtId="0" fontId="113" fillId="0" borderId="0" applyNumberFormat="0" applyFill="0" applyBorder="0" applyProtection="0">
      <alignment horizontal="left" vertical="center"/>
    </xf>
    <xf numFmtId="0" fontId="236" fillId="0" borderId="0"/>
    <xf numFmtId="0" fontId="213" fillId="0" borderId="0" applyNumberFormat="0" applyFill="0" applyBorder="0" applyAlignment="0" applyProtection="0">
      <alignment horizontal="left"/>
    </xf>
    <xf numFmtId="196" fontId="237" fillId="0" borderId="0" applyFill="0" applyBorder="0" applyAlignment="0" applyProtection="0">
      <alignment horizontal="left"/>
      <protection locked="0"/>
    </xf>
    <xf numFmtId="0" fontId="75" fillId="0" borderId="0" applyFill="0" applyBorder="0" applyAlignment="0" applyProtection="0"/>
    <xf numFmtId="0" fontId="238" fillId="0" borderId="0"/>
    <xf numFmtId="0" fontId="113" fillId="0" borderId="4" applyNumberFormat="0" applyFill="0" applyProtection="0">
      <alignment horizontal="left" vertical="center"/>
    </xf>
    <xf numFmtId="224" fontId="162" fillId="0" borderId="0" applyFill="0" applyBorder="0" applyAlignment="0" applyProtection="0"/>
    <xf numFmtId="167" fontId="2" fillId="0" borderId="0" applyNumberFormat="0" applyFont="0"/>
    <xf numFmtId="0" fontId="12" fillId="0" borderId="42" applyNumberFormat="0" applyFill="0" applyBorder="0" applyAlignment="0" applyProtection="0"/>
    <xf numFmtId="0" fontId="239" fillId="0" borderId="92" applyNumberFormat="0" applyFont="0"/>
    <xf numFmtId="0" fontId="11" fillId="0" borderId="0" applyFill="0" applyBorder="0" applyProtection="0">
      <alignment horizontal="center" vertical="center"/>
    </xf>
    <xf numFmtId="0" fontId="240" fillId="0" borderId="0" applyBorder="0" applyProtection="0">
      <alignment vertical="center"/>
    </xf>
    <xf numFmtId="254" fontId="240" fillId="0" borderId="2" applyBorder="0" applyProtection="0">
      <alignment horizontal="right" vertical="center"/>
    </xf>
    <xf numFmtId="0" fontId="241" fillId="93" borderId="0" applyBorder="0" applyProtection="0">
      <alignment horizontal="centerContinuous" vertical="center"/>
    </xf>
    <xf numFmtId="0" fontId="241" fillId="94" borderId="2" applyBorder="0" applyProtection="0">
      <alignment horizontal="centerContinuous" vertical="center"/>
    </xf>
    <xf numFmtId="0" fontId="242" fillId="0" borderId="0"/>
    <xf numFmtId="0" fontId="243" fillId="0" borderId="0" applyFill="0" applyBorder="0" applyProtection="0"/>
    <xf numFmtId="0" fontId="200" fillId="0" borderId="0"/>
    <xf numFmtId="0" fontId="244" fillId="0" borderId="0" applyFill="0" applyBorder="0" applyProtection="0">
      <alignment horizontal="left"/>
    </xf>
    <xf numFmtId="0" fontId="158" fillId="0" borderId="7" applyFill="0" applyBorder="0" applyProtection="0">
      <alignment horizontal="left" vertical="top"/>
    </xf>
    <xf numFmtId="296" fontId="46" fillId="0" borderId="0" applyNumberFormat="0">
      <alignment horizontal="centerContinuous"/>
    </xf>
    <xf numFmtId="0" fontId="184" fillId="0" borderId="0" applyNumberFormat="0" applyAlignment="0" applyProtection="0"/>
    <xf numFmtId="296" fontId="12" fillId="0" borderId="0" applyNumberFormat="0" applyAlignment="0"/>
    <xf numFmtId="296" fontId="11" fillId="0" borderId="0">
      <alignment horizontal="centerContinuous"/>
    </xf>
    <xf numFmtId="0" fontId="12" fillId="95" borderId="0" applyNumberFormat="0" applyFont="0" applyBorder="0" applyAlignment="0" applyProtection="0"/>
    <xf numFmtId="0" fontId="245" fillId="0" borderId="0"/>
    <xf numFmtId="246" fontId="133" fillId="0" borderId="0">
      <alignment horizontal="left"/>
      <protection locked="0"/>
    </xf>
    <xf numFmtId="0" fontId="246" fillId="0" borderId="0"/>
    <xf numFmtId="49" fontId="136" fillId="0" borderId="0" applyFill="0" applyBorder="0" applyAlignment="0"/>
    <xf numFmtId="0" fontId="136" fillId="0" borderId="0" applyFill="0" applyBorder="0" applyAlignment="0"/>
    <xf numFmtId="0" fontId="136" fillId="0" borderId="0" applyFill="0" applyBorder="0" applyAlignment="0"/>
    <xf numFmtId="37" fontId="79" fillId="0" borderId="0" applyNumberFormat="0" applyFont="0" applyFill="0" applyBorder="0">
      <alignment horizontal="left"/>
    </xf>
    <xf numFmtId="0" fontId="247" fillId="0" borderId="0">
      <alignment vertical="center"/>
    </xf>
    <xf numFmtId="0" fontId="130" fillId="0" borderId="0" applyFill="0" applyBorder="0" applyAlignment="0" applyProtection="0">
      <alignment horizontal="right"/>
    </xf>
    <xf numFmtId="39" fontId="12" fillId="14" borderId="1" applyFont="0" applyFill="0" applyBorder="0" applyAlignment="0" applyProtection="0">
      <alignment horizontal="center"/>
      <protection locked="0"/>
    </xf>
    <xf numFmtId="0" fontId="12" fillId="0" borderId="0" applyBorder="0" applyProtection="0">
      <alignment horizontal="right"/>
    </xf>
    <xf numFmtId="1" fontId="74" fillId="0" borderId="4" applyFill="0" applyBorder="0" applyProtection="0">
      <alignment horizontal="right"/>
    </xf>
    <xf numFmtId="0" fontId="2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248" fillId="0" borderId="0" applyNumberFormat="0" applyBorder="0" applyAlignment="0"/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246" fontId="249" fillId="0" borderId="2" applyFill="0" applyProtection="0">
      <alignment horizontal="center"/>
    </xf>
    <xf numFmtId="246" fontId="250" fillId="0" borderId="2" applyFill="0" applyProtection="0">
      <alignment horizontal="center"/>
    </xf>
    <xf numFmtId="224" fontId="74" fillId="0" borderId="0" applyFill="0" applyBorder="0" applyProtection="0"/>
    <xf numFmtId="0" fontId="251" fillId="87" borderId="0" applyNumberFormat="0" applyBorder="0" applyAlignment="0">
      <alignment vertical="center"/>
    </xf>
    <xf numFmtId="0" fontId="213" fillId="0" borderId="0">
      <alignment horizontal="centerContinuous"/>
    </xf>
    <xf numFmtId="0" fontId="251" fillId="81" borderId="0" applyNumberFormat="0" applyBorder="0">
      <alignment vertical="center"/>
    </xf>
    <xf numFmtId="0" fontId="74" fillId="0" borderId="0">
      <alignment horizontal="centerContinuous"/>
      <protection locked="0"/>
    </xf>
    <xf numFmtId="0" fontId="74" fillId="0" borderId="0">
      <alignment horizontal="left"/>
    </xf>
    <xf numFmtId="246" fontId="252" fillId="0" borderId="0">
      <alignment horizontal="center"/>
    </xf>
    <xf numFmtId="0" fontId="215" fillId="0" borderId="0" applyNumberFormat="0" applyFill="0" applyBorder="0" applyAlignment="0" applyProtection="0"/>
    <xf numFmtId="246" fontId="252" fillId="0" borderId="0">
      <alignment horizontal="left"/>
    </xf>
    <xf numFmtId="0" fontId="12" fillId="0" borderId="0" applyBorder="0"/>
    <xf numFmtId="0" fontId="24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86" fontId="11" fillId="0" borderId="0"/>
    <xf numFmtId="0" fontId="48" fillId="0" borderId="0" applyFont="0" applyFill="0" applyBorder="0">
      <alignment horizontal="left"/>
    </xf>
    <xf numFmtId="0" fontId="84" fillId="54" borderId="60"/>
    <xf numFmtId="0" fontId="253" fillId="0" borderId="0"/>
    <xf numFmtId="186" fontId="46" fillId="0" borderId="93"/>
    <xf numFmtId="198" fontId="75" fillId="0" borderId="0">
      <alignment horizontal="right"/>
    </xf>
    <xf numFmtId="297" fontId="48" fillId="0" borderId="0" applyBorder="0" applyProtection="0">
      <alignment horizontal="right"/>
    </xf>
    <xf numFmtId="192" fontId="12" fillId="0" borderId="0"/>
    <xf numFmtId="246" fontId="153" fillId="0" borderId="0">
      <alignment horizontal="left"/>
      <protection locked="0"/>
    </xf>
    <xf numFmtId="298" fontId="137" fillId="0" borderId="0"/>
    <xf numFmtId="183" fontId="254" fillId="0" borderId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5" fontId="12" fillId="3" borderId="0" applyNumberFormat="0" applyFont="0" applyFill="0" applyBorder="0" applyAlignment="0">
      <alignment horizontal="center"/>
      <protection locked="0"/>
    </xf>
    <xf numFmtId="37" fontId="48" fillId="53" borderId="0" applyNumberFormat="0" applyBorder="0" applyAlignment="0" applyProtection="0"/>
    <xf numFmtId="37" fontId="48" fillId="0" borderId="0"/>
    <xf numFmtId="3" fontId="78" fillId="0" borderId="59" applyProtection="0"/>
    <xf numFmtId="299" fontId="217" fillId="60" borderId="7" applyBorder="0">
      <alignment horizontal="right" vertical="center"/>
      <protection locked="0"/>
    </xf>
    <xf numFmtId="296" fontId="12" fillId="0" borderId="0" applyNumberFormat="0" applyFill="0" applyBorder="0" applyAlignment="0" applyProtection="0"/>
    <xf numFmtId="281" fontId="255" fillId="0" borderId="0" applyNumberFormat="0"/>
    <xf numFmtId="0" fontId="135" fillId="0" borderId="0"/>
    <xf numFmtId="38" fontId="75" fillId="0" borderId="0" applyFill="0" applyBorder="0" applyAlignment="0" applyProtection="0">
      <alignment horizontal="left"/>
    </xf>
    <xf numFmtId="38" fontId="74" fillId="0" borderId="0" applyFill="0" applyBorder="0" applyAlignment="0" applyProtection="0">
      <alignment horizontal="left"/>
    </xf>
    <xf numFmtId="38" fontId="75" fillId="0" borderId="0" applyFill="0" applyBorder="0" applyAlignment="0" applyProtection="0">
      <alignment horizontal="left"/>
    </xf>
    <xf numFmtId="300" fontId="46" fillId="0" borderId="0"/>
    <xf numFmtId="0" fontId="197" fillId="0" borderId="0"/>
    <xf numFmtId="6" fontId="97" fillId="0" borderId="0" applyFont="0" applyFill="0" applyBorder="0" applyAlignment="0" applyProtection="0"/>
    <xf numFmtId="44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301" fontId="46" fillId="0" borderId="0"/>
    <xf numFmtId="302" fontId="12" fillId="0" borderId="0" applyFont="0" applyFill="0" applyBorder="0" applyAlignment="0" applyProtection="0"/>
    <xf numFmtId="303" fontId="12" fillId="0" borderId="0" applyFont="0" applyFill="0" applyBorder="0" applyAlignment="0" applyProtection="0"/>
    <xf numFmtId="303" fontId="12" fillId="0" borderId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3" fillId="0" borderId="0" applyNumberFormat="0" applyFont="0" applyFill="0" applyBorder="0" applyAlignment="0" applyProtection="0"/>
    <xf numFmtId="0" fontId="256" fillId="0" borderId="0" applyNumberFormat="0" applyFont="0" applyFill="0" applyBorder="0" applyAlignment="0" applyProtection="0">
      <alignment horizontal="left"/>
    </xf>
    <xf numFmtId="302" fontId="12" fillId="0" borderId="0" applyFont="0" applyFill="0" applyBorder="0" applyAlignment="0" applyProtection="0"/>
    <xf numFmtId="0" fontId="257" fillId="0" borderId="0" applyNumberFormat="0" applyFill="0" applyBorder="0" applyAlignment="0" applyProtection="0"/>
    <xf numFmtId="1" fontId="75" fillId="0" borderId="0" applyFont="0" applyFill="0" applyBorder="0" applyAlignment="0" applyProtection="0"/>
    <xf numFmtId="0" fontId="12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1" fontId="258" fillId="0" borderId="0">
      <alignment horizontal="right"/>
    </xf>
    <xf numFmtId="40" fontId="46" fillId="0" borderId="0">
      <alignment horizontal="left" wrapText="1"/>
    </xf>
    <xf numFmtId="14" fontId="79" fillId="0" borderId="0"/>
    <xf numFmtId="1" fontId="259" fillId="0" borderId="0" applyFont="0" applyFill="0" applyBorder="0" applyProtection="0">
      <alignment horizontal="center"/>
    </xf>
    <xf numFmtId="0" fontId="260" fillId="96" borderId="0" applyNumberFormat="0" applyProtection="0">
      <alignment horizontal="left"/>
    </xf>
    <xf numFmtId="262" fontId="177" fillId="97" borderId="1" applyNumberFormat="0" applyAlignment="0">
      <alignment horizontal="right"/>
    </xf>
    <xf numFmtId="262" fontId="176" fillId="97" borderId="1" applyNumberFormat="0" applyAlignment="0">
      <alignment horizontal="right"/>
    </xf>
    <xf numFmtId="0" fontId="12" fillId="68" borderId="95" applyNumberFormat="0" applyFont="0" applyBorder="0" applyAlignment="0" applyProtection="0">
      <alignment horizontal="right"/>
    </xf>
    <xf numFmtId="304" fontId="116" fillId="0" borderId="0" applyFont="0" applyFill="0" applyBorder="0" applyAlignment="0" applyProtection="0"/>
    <xf numFmtId="305" fontId="216" fillId="0" borderId="0" applyFont="0" applyFill="0" applyBorder="0" applyProtection="0">
      <alignment horizontal="right"/>
    </xf>
    <xf numFmtId="0" fontId="261" fillId="0" borderId="0" applyNumberFormat="0" applyFill="0" applyBorder="0" applyAlignment="0" applyProtection="0">
      <alignment vertical="top"/>
      <protection locked="0"/>
    </xf>
    <xf numFmtId="0" fontId="262" fillId="0" borderId="0"/>
    <xf numFmtId="0" fontId="77" fillId="0" borderId="0"/>
    <xf numFmtId="0" fontId="12" fillId="0" borderId="0"/>
    <xf numFmtId="9" fontId="7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84" fillId="0" borderId="0">
      <alignment vertical="top"/>
    </xf>
    <xf numFmtId="0" fontId="136" fillId="0" borderId="0"/>
    <xf numFmtId="0" fontId="12" fillId="0" borderId="0">
      <alignment vertical="center"/>
    </xf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06" fillId="0" borderId="60">
      <protection hidden="1"/>
    </xf>
    <xf numFmtId="0" fontId="107" fillId="54" borderId="60" applyNumberFormat="0" applyFont="0" applyBorder="0" applyAlignment="0" applyProtection="0">
      <protection hidden="1"/>
    </xf>
    <xf numFmtId="1" fontId="108" fillId="55" borderId="7" applyNumberFormat="0" applyBorder="0" applyAlignment="0">
      <alignment horizontal="center" vertical="top" wrapText="1"/>
      <protection hidden="1"/>
    </xf>
    <xf numFmtId="198" fontId="84" fillId="0" borderId="60" applyBorder="0"/>
    <xf numFmtId="186" fontId="84" fillId="0" borderId="60" applyBorder="0"/>
    <xf numFmtId="0" fontId="48" fillId="11" borderId="60" applyNumberFormat="0" applyFont="0" applyBorder="0" applyAlignment="0" applyProtection="0">
      <alignment horizontal="center"/>
    </xf>
    <xf numFmtId="0" fontId="84" fillId="0" borderId="60" applyBorder="0"/>
    <xf numFmtId="1" fontId="12" fillId="0" borderId="60" applyNumberFormat="0" applyFill="0" applyAlignment="0" applyProtection="0">
      <alignment horizontal="center" vertical="center"/>
    </xf>
    <xf numFmtId="0" fontId="219" fillId="0" borderId="60" applyNumberFormat="0" applyFill="0" applyBorder="0" applyAlignment="0" applyProtection="0">
      <protection hidden="1"/>
    </xf>
    <xf numFmtId="0" fontId="158" fillId="0" borderId="7" applyFill="0" applyBorder="0" applyProtection="0">
      <alignment horizontal="left" vertical="top"/>
    </xf>
    <xf numFmtId="299" fontId="217" fillId="60" borderId="7" applyBorder="0">
      <alignment horizontal="right" vertical="center"/>
      <protection locked="0"/>
    </xf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264" fillId="0" borderId="0" applyNumberFormat="0" applyFill="0" applyBorder="0" applyAlignment="0" applyProtection="0"/>
    <xf numFmtId="235" fontId="125" fillId="0" borderId="0" applyFont="0" applyFill="0" applyBorder="0" applyAlignment="0" applyProtection="0">
      <alignment horizontal="right"/>
    </xf>
    <xf numFmtId="238" fontId="125" fillId="0" borderId="0" applyFont="0" applyFill="0" applyBorder="0" applyAlignment="0" applyProtection="0">
      <alignment horizontal="right"/>
    </xf>
    <xf numFmtId="0" fontId="125" fillId="0" borderId="0" applyFont="0" applyFill="0" applyBorder="0" applyAlignment="0" applyProtection="0">
      <alignment horizontal="right"/>
    </xf>
    <xf numFmtId="0" fontId="125" fillId="0" borderId="0" applyFont="0" applyFill="0" applyBorder="0" applyAlignment="0" applyProtection="0">
      <alignment horizontal="right"/>
    </xf>
    <xf numFmtId="0" fontId="48" fillId="0" borderId="45" applyFont="0" applyFill="0" applyBorder="0" applyAlignment="0" applyProtection="0"/>
    <xf numFmtId="258" fontId="75" fillId="0" borderId="0" applyFill="0" applyBorder="0" applyAlignment="0" applyProtection="0">
      <alignment horizontal="right"/>
    </xf>
    <xf numFmtId="224" fontId="48" fillId="0" borderId="0" applyFont="0" applyFill="0" applyBorder="0" applyAlignment="0" applyProtection="0">
      <alignment horizontal="right"/>
    </xf>
    <xf numFmtId="0" fontId="197" fillId="0" borderId="0" applyFill="0" applyBorder="0" applyAlignment="0" applyProtection="0"/>
    <xf numFmtId="0" fontId="197" fillId="71" borderId="0" applyFont="0" applyFill="0" applyBorder="0" applyAlignment="0" applyProtection="0"/>
    <xf numFmtId="0" fontId="105" fillId="0" borderId="0" applyFill="0" applyBorder="0" applyAlignment="0" applyProtection="0"/>
    <xf numFmtId="0" fontId="105" fillId="71" borderId="0" applyFont="0" applyFill="0" applyBorder="0" applyAlignment="0" applyProtection="0"/>
    <xf numFmtId="0" fontId="197" fillId="0" borderId="0" applyFill="0" applyBorder="0" applyAlignment="0" applyProtection="0"/>
    <xf numFmtId="286" fontId="105" fillId="71" borderId="0" applyFont="0" applyFill="0" applyBorder="0" applyAlignment="0" applyProtection="0"/>
    <xf numFmtId="285" fontId="105" fillId="0" borderId="0" applyFill="0" applyBorder="0" applyAlignment="0" applyProtection="0"/>
    <xf numFmtId="286" fontId="105" fillId="71" borderId="0" applyFont="0" applyFill="0" applyBorder="0" applyAlignment="0" applyProtection="0"/>
    <xf numFmtId="0" fontId="182" fillId="3" borderId="0" applyNumberFormat="0" applyFont="0" applyBorder="0" applyAlignment="0">
      <alignment horizontal="center"/>
      <protection locked="0"/>
    </xf>
    <xf numFmtId="37" fontId="48" fillId="60" borderId="0" applyNumberFormat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78" fillId="14" borderId="11" applyFont="0" applyFill="0" applyBorder="0" applyAlignment="0" applyProtection="0"/>
    <xf numFmtId="0" fontId="12" fillId="0" borderId="0">
      <alignment vertical="center"/>
    </xf>
    <xf numFmtId="0" fontId="91" fillId="0" borderId="39" applyNumberFormat="0" applyFill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91" fillId="0" borderId="39" applyNumberFormat="0" applyFill="0" applyAlignment="0" applyProtection="0"/>
    <xf numFmtId="222" fontId="79" fillId="0" borderId="96" applyBorder="0"/>
    <xf numFmtId="9" fontId="1" fillId="0" borderId="0" applyFont="0" applyFill="0" applyBorder="0" applyAlignment="0" applyProtection="0"/>
    <xf numFmtId="0" fontId="77" fillId="0" borderId="0"/>
    <xf numFmtId="0" fontId="1" fillId="0" borderId="0"/>
    <xf numFmtId="9" fontId="1" fillId="0" borderId="0" applyFont="0" applyFill="0" applyBorder="0" applyAlignment="0" applyProtection="0"/>
    <xf numFmtId="0" fontId="19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  <xf numFmtId="0" fontId="91" fillId="0" borderId="39" applyNumberFormat="0" applyFill="0" applyAlignment="0" applyProtection="0"/>
    <xf numFmtId="0" fontId="101" fillId="0" borderId="99" applyBorder="0"/>
    <xf numFmtId="222" fontId="79" fillId="0" borderId="96" applyBorder="0"/>
    <xf numFmtId="0" fontId="113" fillId="0" borderId="99" applyNumberFormat="0" applyFill="0" applyAlignment="0" applyProtection="0"/>
    <xf numFmtId="0" fontId="75" fillId="0" borderId="44" applyNumberFormat="0" applyFont="0" applyFill="0" applyAlignment="0" applyProtection="0"/>
    <xf numFmtId="0" fontId="12" fillId="0" borderId="99" applyNumberFormat="0" applyFill="0" applyBorder="0" applyAlignment="0" applyProtection="0">
      <alignment horizontal="center"/>
    </xf>
    <xf numFmtId="43" fontId="1" fillId="0" borderId="0" applyFont="0" applyFill="0" applyBorder="0" applyAlignment="0" applyProtection="0"/>
    <xf numFmtId="243" fontId="48" fillId="0" borderId="100" applyFont="0" applyFill="0" applyBorder="0" applyAlignment="0" applyProtection="0"/>
    <xf numFmtId="243" fontId="48" fillId="0" borderId="100" applyFont="0" applyFill="0" applyBorder="0" applyAlignment="0" applyProtection="0"/>
    <xf numFmtId="248" fontId="46" fillId="0" borderId="99"/>
    <xf numFmtId="182" fontId="144" fillId="3" borderId="50">
      <alignment vertical="center"/>
    </xf>
    <xf numFmtId="0" fontId="79" fillId="3" borderId="50">
      <alignment vertical="center"/>
    </xf>
    <xf numFmtId="180" fontId="9" fillId="3" borderId="50">
      <alignment horizontal="right" vertical="center"/>
    </xf>
    <xf numFmtId="192" fontId="9" fillId="3" borderId="99">
      <alignment horizontal="right" vertical="center"/>
    </xf>
    <xf numFmtId="180" fontId="9" fillId="3" borderId="99">
      <alignment horizontal="right" vertical="center"/>
    </xf>
    <xf numFmtId="186" fontId="146" fillId="3" borderId="99" applyBorder="0">
      <alignment horizontal="left" vertical="center"/>
    </xf>
    <xf numFmtId="186" fontId="146" fillId="3" borderId="51">
      <alignment horizontal="left"/>
    </xf>
    <xf numFmtId="186" fontId="140" fillId="3" borderId="54">
      <alignment horizontal="center" vertical="center"/>
    </xf>
    <xf numFmtId="188" fontId="25" fillId="0" borderId="98" applyFont="0" applyFill="0" applyBorder="0" applyAlignment="0" applyProtection="0">
      <alignment horizontal="center"/>
    </xf>
    <xf numFmtId="2" fontId="12" fillId="14" borderId="97" applyFill="0" applyBorder="0" applyProtection="0">
      <alignment horizontal="center"/>
    </xf>
    <xf numFmtId="0" fontId="5" fillId="0" borderId="98">
      <alignment horizontal="left" vertical="center"/>
    </xf>
    <xf numFmtId="0" fontId="165" fillId="0" borderId="99" applyFill="0" applyProtection="0">
      <alignment horizontal="center"/>
    </xf>
    <xf numFmtId="0" fontId="166" fillId="0" borderId="99">
      <alignment horizontal="center"/>
    </xf>
    <xf numFmtId="188" fontId="25" fillId="0" borderId="98" applyFont="0" applyFill="0" applyBorder="0" applyAlignment="0" applyProtection="0">
      <alignment horizontal="center"/>
    </xf>
    <xf numFmtId="264" fontId="12" fillId="14" borderId="99" applyFont="0" applyFill="0" applyBorder="0" applyAlignment="0" applyProtection="0">
      <alignment horizontal="right"/>
    </xf>
    <xf numFmtId="188" fontId="25" fillId="0" borderId="98" applyFont="0" applyFill="0" applyBorder="0" applyAlignment="0" applyProtection="0">
      <alignment horizontal="center"/>
    </xf>
    <xf numFmtId="180" fontId="9" fillId="3" borderId="50">
      <alignment horizontal="right" vertical="center"/>
    </xf>
    <xf numFmtId="0" fontId="79" fillId="3" borderId="50">
      <alignment vertical="center"/>
    </xf>
    <xf numFmtId="182" fontId="144" fillId="3" borderId="50">
      <alignment vertical="center"/>
    </xf>
    <xf numFmtId="0" fontId="210" fillId="0" borderId="99" applyNumberFormat="0" applyFill="0" applyBorder="0" applyAlignment="0">
      <protection locked="0"/>
    </xf>
    <xf numFmtId="0" fontId="2" fillId="0" borderId="66" applyNumberFormat="0" applyAlignment="0" applyProtection="0"/>
    <xf numFmtId="9" fontId="1" fillId="0" borderId="0" applyFont="0" applyFill="0" applyBorder="0" applyAlignment="0" applyProtection="0"/>
    <xf numFmtId="0" fontId="214" fillId="0" borderId="68" applyNumberFormat="0" applyFont="0" applyFill="0" applyAlignment="0" applyProtection="0"/>
    <xf numFmtId="243" fontId="48" fillId="0" borderId="100" applyFont="0" applyFill="0" applyBorder="0" applyAlignment="0" applyProtection="0"/>
    <xf numFmtId="1" fontId="108" fillId="55" borderId="101" applyNumberFormat="0" applyBorder="0" applyAlignment="0">
      <alignment horizontal="center" vertical="top" wrapText="1"/>
      <protection hidden="1"/>
    </xf>
    <xf numFmtId="0" fontId="25" fillId="10" borderId="82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25" fillId="10" borderId="89" applyNumberFormat="0" applyProtection="0">
      <alignment horizontal="left" vertical="top"/>
    </xf>
    <xf numFmtId="0" fontId="25" fillId="10" borderId="79" applyNumberFormat="0" applyProtection="0">
      <alignment horizontal="left"/>
    </xf>
    <xf numFmtId="0" fontId="25" fillId="10" borderId="82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4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25" fillId="10" borderId="89" applyNumberFormat="0" applyProtection="0">
      <alignment horizontal="left" vertical="top"/>
    </xf>
    <xf numFmtId="254" fontId="240" fillId="0" borderId="99" applyBorder="0" applyProtection="0">
      <alignment horizontal="right" vertical="center"/>
    </xf>
    <xf numFmtId="0" fontId="241" fillId="94" borderId="99" applyBorder="0" applyProtection="0">
      <alignment horizontal="centerContinuous" vertical="center"/>
    </xf>
    <xf numFmtId="1" fontId="74" fillId="0" borderId="98" applyFill="0" applyBorder="0" applyProtection="0">
      <alignment horizontal="right"/>
    </xf>
    <xf numFmtId="246" fontId="249" fillId="0" borderId="99" applyFill="0" applyProtection="0">
      <alignment horizontal="center"/>
    </xf>
    <xf numFmtId="246" fontId="250" fillId="0" borderId="99" applyFill="0" applyProtection="0">
      <alignment horizontal="center"/>
    </xf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>
      <alignment vertical="center"/>
    </xf>
    <xf numFmtId="0" fontId="1" fillId="0" borderId="0"/>
    <xf numFmtId="0" fontId="12" fillId="0" borderId="0"/>
    <xf numFmtId="9" fontId="12" fillId="0" borderId="0" applyFont="0" applyFill="0" applyBorder="0" applyAlignment="0" applyProtection="0"/>
    <xf numFmtId="243" fontId="48" fillId="0" borderId="100" applyFont="0" applyFill="0" applyBorder="0" applyAlignment="0" applyProtection="0"/>
    <xf numFmtId="188" fontId="25" fillId="0" borderId="98" applyFont="0" applyFill="0" applyBorder="0" applyAlignment="0" applyProtection="0">
      <alignment horizontal="center"/>
    </xf>
    <xf numFmtId="43" fontId="12" fillId="0" borderId="0" applyFont="0" applyFill="0" applyBorder="0" applyAlignment="0" applyProtection="0"/>
    <xf numFmtId="0" fontId="265" fillId="0" borderId="0"/>
    <xf numFmtId="44" fontId="1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42" applyNumberFormat="0" applyFill="0" applyBorder="0" applyAlignment="0" applyProtection="0"/>
    <xf numFmtId="0" fontId="46" fillId="0" borderId="42" applyNumberFormat="0" applyFill="0" applyBorder="0" applyAlignment="0" applyProtection="0"/>
    <xf numFmtId="0" fontId="105" fillId="0" borderId="42" applyNumberFormat="0" applyFill="0" applyBorder="0" applyAlignment="0" applyProtection="0"/>
    <xf numFmtId="0" fontId="48" fillId="0" borderId="42" applyNumberFormat="0" applyFill="0" applyAlignment="0" applyProtection="0"/>
    <xf numFmtId="5" fontId="114" fillId="0" borderId="3" applyAlignment="0" applyProtection="0"/>
    <xf numFmtId="243" fontId="48" fillId="0" borderId="100" applyFont="0" applyFill="0" applyBorder="0" applyAlignment="0" applyProtection="0"/>
    <xf numFmtId="0" fontId="74" fillId="0" borderId="3" applyFont="0" applyFill="0" applyBorder="0" applyAlignment="0" applyProtection="0">
      <alignment horizontal="center"/>
    </xf>
    <xf numFmtId="0" fontId="48" fillId="0" borderId="3" applyFont="0" applyFill="0" applyBorder="0" applyAlignment="0" applyProtection="0">
      <alignment horizontal="center"/>
    </xf>
    <xf numFmtId="182" fontId="145" fillId="3" borderId="3">
      <alignment horizontal="right" vertical="center"/>
    </xf>
    <xf numFmtId="186" fontId="48" fillId="3" borderId="3">
      <alignment vertical="center"/>
    </xf>
    <xf numFmtId="0" fontId="135" fillId="0" borderId="55"/>
    <xf numFmtId="0" fontId="135" fillId="0" borderId="55"/>
    <xf numFmtId="1" fontId="154" fillId="65" borderId="5" applyNumberFormat="0" applyBorder="0" applyAlignment="0">
      <alignment horizontal="centerContinuous" vertical="center"/>
      <protection locked="0"/>
    </xf>
    <xf numFmtId="0" fontId="159" fillId="0" borderId="55"/>
    <xf numFmtId="0" fontId="159" fillId="67" borderId="55"/>
    <xf numFmtId="0" fontId="25" fillId="69" borderId="55">
      <alignment horizontal="left" vertical="center" wrapText="1"/>
    </xf>
    <xf numFmtId="0" fontId="184" fillId="0" borderId="61" applyAlignment="0">
      <alignment horizontal="left" wrapText="1"/>
    </xf>
    <xf numFmtId="188" fontId="25" fillId="0" borderId="98" applyFont="0" applyFill="0" applyBorder="0" applyAlignment="0" applyProtection="0">
      <alignment horizontal="center"/>
    </xf>
    <xf numFmtId="4" fontId="223" fillId="53" borderId="70" applyNumberFormat="0" applyProtection="0">
      <alignment vertical="center"/>
    </xf>
    <xf numFmtId="4" fontId="224" fillId="53" borderId="70" applyNumberFormat="0" applyProtection="0">
      <alignment vertical="center"/>
    </xf>
    <xf numFmtId="4" fontId="184" fillId="53" borderId="70" applyNumberFormat="0" applyProtection="0">
      <alignment horizontal="left" vertical="center" indent="1"/>
    </xf>
    <xf numFmtId="0" fontId="225" fillId="53" borderId="70" applyNumberFormat="0" applyProtection="0">
      <alignment horizontal="left" vertical="top" indent="1"/>
    </xf>
    <xf numFmtId="4" fontId="226" fillId="76" borderId="70" applyNumberFormat="0" applyProtection="0">
      <alignment horizontal="right" vertical="center"/>
    </xf>
    <xf numFmtId="4" fontId="226" fillId="77" borderId="70" applyNumberFormat="0" applyProtection="0">
      <alignment horizontal="right" vertical="center"/>
    </xf>
    <xf numFmtId="4" fontId="226" fillId="78" borderId="70" applyNumberFormat="0" applyProtection="0">
      <alignment horizontal="right" vertical="center"/>
    </xf>
    <xf numFmtId="4" fontId="226" fillId="10" borderId="70" applyNumberFormat="0" applyProtection="0">
      <alignment horizontal="right" vertical="center"/>
    </xf>
    <xf numFmtId="4" fontId="226" fillId="79" borderId="70" applyNumberFormat="0" applyProtection="0">
      <alignment horizontal="right" vertical="center"/>
    </xf>
    <xf numFmtId="4" fontId="226" fillId="71" borderId="70" applyNumberFormat="0" applyProtection="0">
      <alignment horizontal="right" vertical="center"/>
    </xf>
    <xf numFmtId="4" fontId="226" fillId="80" borderId="70" applyNumberFormat="0" applyProtection="0">
      <alignment horizontal="right" vertical="center"/>
    </xf>
    <xf numFmtId="4" fontId="226" fillId="81" borderId="70" applyNumberFormat="0" applyProtection="0">
      <alignment horizontal="right" vertical="center"/>
    </xf>
    <xf numFmtId="4" fontId="226" fillId="82" borderId="70" applyNumberFormat="0" applyProtection="0">
      <alignment horizontal="right" vertical="center"/>
    </xf>
    <xf numFmtId="4" fontId="184" fillId="52" borderId="70" applyNumberFormat="0" applyProtection="0">
      <alignment horizontal="right" vertical="center"/>
    </xf>
    <xf numFmtId="0" fontId="12" fillId="75" borderId="70" applyNumberFormat="0" applyProtection="0">
      <alignment horizontal="left" vertical="center" indent="1"/>
    </xf>
    <xf numFmtId="0" fontId="12" fillId="75" borderId="70" applyNumberFormat="0" applyProtection="0">
      <alignment horizontal="left" vertical="top" indent="1"/>
    </xf>
    <xf numFmtId="0" fontId="12" fillId="84" borderId="70" applyNumberFormat="0" applyProtection="0">
      <alignment horizontal="left" vertical="center" indent="1"/>
    </xf>
    <xf numFmtId="0" fontId="12" fillId="84" borderId="70" applyNumberFormat="0" applyProtection="0">
      <alignment horizontal="left" vertical="top" indent="1"/>
    </xf>
    <xf numFmtId="0" fontId="12" fillId="52" borderId="70" applyNumberFormat="0" applyProtection="0">
      <alignment horizontal="left" vertical="center" indent="1"/>
    </xf>
    <xf numFmtId="0" fontId="12" fillId="52" borderId="70" applyNumberFormat="0" applyProtection="0">
      <alignment horizontal="left" vertical="top" indent="1"/>
    </xf>
    <xf numFmtId="0" fontId="12" fillId="11" borderId="70" applyNumberFormat="0" applyProtection="0">
      <alignment horizontal="left" vertical="center" indent="1"/>
    </xf>
    <xf numFmtId="0" fontId="12" fillId="11" borderId="70" applyNumberFormat="0" applyProtection="0">
      <alignment horizontal="left" vertical="top" indent="1"/>
    </xf>
    <xf numFmtId="4" fontId="226" fillId="11" borderId="70" applyNumberFormat="0" applyProtection="0">
      <alignment vertical="center"/>
    </xf>
    <xf numFmtId="4" fontId="228" fillId="11" borderId="70" applyNumberFormat="0" applyProtection="0">
      <alignment vertical="center"/>
    </xf>
    <xf numFmtId="4" fontId="227" fillId="52" borderId="72" applyNumberFormat="0" applyProtection="0">
      <alignment horizontal="left" vertical="center" indent="1"/>
    </xf>
    <xf numFmtId="0" fontId="136" fillId="14" borderId="70" applyNumberFormat="0" applyProtection="0">
      <alignment horizontal="left" vertical="top" indent="1"/>
    </xf>
    <xf numFmtId="4" fontId="184" fillId="11" borderId="70" applyNumberFormat="0" applyProtection="0">
      <alignment horizontal="right" vertical="center"/>
    </xf>
    <xf numFmtId="4" fontId="228" fillId="11" borderId="70" applyNumberFormat="0" applyProtection="0">
      <alignment horizontal="right" vertical="center"/>
    </xf>
    <xf numFmtId="4" fontId="223" fillId="52" borderId="70" applyNumberFormat="0" applyProtection="0">
      <alignment horizontal="left" vertical="center" indent="1"/>
    </xf>
    <xf numFmtId="0" fontId="136" fillId="84" borderId="70" applyNumberFormat="0" applyProtection="0">
      <alignment horizontal="left" vertical="top" indent="1"/>
    </xf>
    <xf numFmtId="4" fontId="229" fillId="84" borderId="72" applyNumberFormat="0" applyProtection="0">
      <alignment horizontal="left" vertical="center" indent="1"/>
    </xf>
    <xf numFmtId="4" fontId="230" fillId="11" borderId="70" applyNumberFormat="0" applyProtection="0">
      <alignment horizontal="right" vertical="center"/>
    </xf>
    <xf numFmtId="3" fontId="12" fillId="60" borderId="73" applyFont="0" applyFill="0" applyBorder="0" applyAlignment="0" applyProtection="0"/>
    <xf numFmtId="4" fontId="12" fillId="60" borderId="73" applyFont="0" applyFill="0" applyBorder="0" applyAlignment="0" applyProtection="0"/>
    <xf numFmtId="183" fontId="12" fillId="60" borderId="73" applyFont="0" applyFill="0" applyBorder="0" applyAlignment="0" applyProtection="0"/>
    <xf numFmtId="10" fontId="12" fillId="60" borderId="73" applyFont="0" applyFill="0" applyBorder="0" applyAlignment="0" applyProtection="0"/>
    <xf numFmtId="9" fontId="12" fillId="60" borderId="73" applyFont="0" applyFill="0" applyBorder="0" applyAlignment="0" applyProtection="0"/>
    <xf numFmtId="2" fontId="12" fillId="60" borderId="73" applyFont="0" applyFill="0" applyBorder="0" applyAlignment="0" applyProtection="0"/>
    <xf numFmtId="0" fontId="25" fillId="10" borderId="55" applyNumberFormat="0" applyProtection="0">
      <alignment horizontal="center" vertical="top"/>
    </xf>
    <xf numFmtId="0" fontId="25" fillId="10" borderId="55" applyNumberFormat="0" applyProtection="0">
      <alignment horizontal="center" vertical="top"/>
    </xf>
    <xf numFmtId="169" fontId="234" fillId="3" borderId="55" applyFont="0" applyProtection="0"/>
    <xf numFmtId="169" fontId="234" fillId="10" borderId="55" applyFont="0" applyProtection="0"/>
    <xf numFmtId="293" fontId="234" fillId="3" borderId="55" applyFont="0" applyProtection="0"/>
    <xf numFmtId="293" fontId="234" fillId="10" borderId="55" applyFont="0" applyProtection="0"/>
    <xf numFmtId="293" fontId="234" fillId="10" borderId="55" applyFont="0" applyProtection="0"/>
    <xf numFmtId="0" fontId="12" fillId="3" borderId="55" applyNumberFormat="0" applyFont="0" applyAlignment="0" applyProtection="0"/>
    <xf numFmtId="0" fontId="12" fillId="10" borderId="55" applyNumberFormat="0" applyFont="0" applyAlignment="0" applyProtection="0"/>
    <xf numFmtId="0" fontId="12" fillId="10" borderId="55" applyNumberFormat="0" applyFont="0" applyProtection="0"/>
    <xf numFmtId="0" fontId="25" fillId="10" borderId="78" applyNumberFormat="0" applyProtection="0">
      <alignment horizontal="left"/>
    </xf>
    <xf numFmtId="0" fontId="25" fillId="10" borderId="80" applyNumberFormat="0" applyProtection="0">
      <alignment horizontal="left" vertical="top"/>
    </xf>
    <xf numFmtId="0" fontId="25" fillId="10" borderId="81" applyNumberFormat="0" applyProtection="0">
      <alignment horizontal="left" vertical="top"/>
    </xf>
    <xf numFmtId="0" fontId="25" fillId="10" borderId="86" applyNumberFormat="0" applyProtection="0">
      <alignment horizontal="left" vertical="top"/>
    </xf>
    <xf numFmtId="0" fontId="25" fillId="10" borderId="88" applyNumberFormat="0" applyProtection="0">
      <alignment horizontal="left" vertical="top"/>
    </xf>
    <xf numFmtId="0" fontId="25" fillId="10" borderId="90" applyNumberFormat="0" applyProtection="0">
      <alignment horizontal="left" vertical="top"/>
    </xf>
    <xf numFmtId="0" fontId="25" fillId="10" borderId="91" applyNumberFormat="0" applyProtection="0">
      <alignment horizontal="left" vertical="top"/>
    </xf>
    <xf numFmtId="0" fontId="12" fillId="0" borderId="42" applyNumberForma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0" fontId="12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78" fillId="14" borderId="46" applyFont="0" applyFill="0" applyBorder="0" applyAlignment="0" applyProtection="0"/>
    <xf numFmtId="299" fontId="217" fillId="60" borderId="101" applyBorder="0">
      <alignment horizontal="right" vertical="center"/>
      <protection locked="0"/>
    </xf>
    <xf numFmtId="10" fontId="12" fillId="3" borderId="94" applyNumberFormat="0" applyFont="0" applyFill="0" applyBorder="0" applyAlignment="0">
      <protection locked="0"/>
    </xf>
    <xf numFmtId="0" fontId="158" fillId="0" borderId="101" applyFill="0" applyBorder="0" applyProtection="0">
      <alignment horizontal="left" vertical="top"/>
    </xf>
    <xf numFmtId="0" fontId="25" fillId="10" borderId="89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2" applyNumberFormat="0" applyProtection="0">
      <alignment horizontal="left" vertical="top"/>
    </xf>
    <xf numFmtId="243" fontId="48" fillId="0" borderId="100" applyFont="0" applyFill="0" applyBorder="0" applyAlignment="0" applyProtection="0"/>
    <xf numFmtId="0" fontId="214" fillId="0" borderId="68" applyNumberFormat="0" applyFont="0" applyFill="0" applyAlignment="0" applyProtection="0"/>
    <xf numFmtId="0" fontId="2" fillId="0" borderId="66" applyNumberFormat="0" applyAlignment="0" applyProtection="0"/>
    <xf numFmtId="188" fontId="25" fillId="0" borderId="98" applyFont="0" applyFill="0" applyBorder="0" applyAlignment="0" applyProtection="0">
      <alignment horizontal="center"/>
    </xf>
    <xf numFmtId="186" fontId="140" fillId="3" borderId="54">
      <alignment horizontal="center" vertical="center"/>
    </xf>
    <xf numFmtId="186" fontId="146" fillId="3" borderId="51">
      <alignment horizontal="left"/>
    </xf>
    <xf numFmtId="180" fontId="9" fillId="3" borderId="50">
      <alignment horizontal="right" vertical="center"/>
    </xf>
    <xf numFmtId="0" fontId="79" fillId="3" borderId="50">
      <alignment vertical="center"/>
    </xf>
    <xf numFmtId="182" fontId="144" fillId="3" borderId="50">
      <alignment vertical="center"/>
    </xf>
    <xf numFmtId="243" fontId="48" fillId="0" borderId="100" applyFont="0" applyFill="0" applyBorder="0" applyAlignment="0" applyProtection="0"/>
    <xf numFmtId="0" fontId="75" fillId="0" borderId="44" applyNumberFormat="0" applyFont="0" applyFill="0" applyAlignment="0" applyProtection="0"/>
    <xf numFmtId="0" fontId="91" fillId="0" borderId="39" applyNumberFormat="0" applyFill="0" applyAlignment="0" applyProtection="0"/>
    <xf numFmtId="10" fontId="12" fillId="3" borderId="94" applyNumberFormat="0" applyFont="0" applyFill="0" applyBorder="0" applyAlignment="0">
      <protection locked="0"/>
    </xf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43" fontId="48" fillId="0" borderId="10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0" fontId="12" fillId="0" borderId="0"/>
    <xf numFmtId="9" fontId="12" fillId="0" borderId="0" applyFont="0" applyFill="0" applyBorder="0" applyAlignment="0" applyProtection="0"/>
    <xf numFmtId="222" fontId="79" fillId="0" borderId="96" applyBorder="0"/>
    <xf numFmtId="243" fontId="48" fillId="0" borderId="10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0" fontId="91" fillId="0" borderId="39" applyNumberFormat="0" applyFill="0" applyAlignment="0" applyProtection="0"/>
    <xf numFmtId="0" fontId="101" fillId="0" borderId="99" applyBorder="0"/>
    <xf numFmtId="222" fontId="79" fillId="0" borderId="96" applyBorder="0"/>
    <xf numFmtId="0" fontId="113" fillId="0" borderId="99" applyNumberFormat="0" applyFill="0" applyAlignment="0" applyProtection="0"/>
    <xf numFmtId="0" fontId="12" fillId="0" borderId="99" applyNumberFormat="0" applyFill="0" applyBorder="0" applyAlignment="0" applyProtection="0">
      <alignment horizontal="center"/>
    </xf>
    <xf numFmtId="248" fontId="46" fillId="0" borderId="99"/>
    <xf numFmtId="182" fontId="144" fillId="3" borderId="50">
      <alignment vertical="center"/>
    </xf>
    <xf numFmtId="0" fontId="79" fillId="3" borderId="50">
      <alignment vertical="center"/>
    </xf>
    <xf numFmtId="180" fontId="9" fillId="3" borderId="50">
      <alignment horizontal="right" vertical="center"/>
    </xf>
    <xf numFmtId="192" fontId="9" fillId="3" borderId="99">
      <alignment horizontal="right" vertical="center"/>
    </xf>
    <xf numFmtId="180" fontId="9" fillId="3" borderId="99">
      <alignment horizontal="right" vertical="center"/>
    </xf>
    <xf numFmtId="186" fontId="146" fillId="3" borderId="99" applyBorder="0">
      <alignment horizontal="left" vertical="center"/>
    </xf>
    <xf numFmtId="0" fontId="165" fillId="0" borderId="99" applyFill="0" applyProtection="0">
      <alignment horizontal="center"/>
    </xf>
    <xf numFmtId="0" fontId="166" fillId="0" borderId="99">
      <alignment horizontal="center"/>
    </xf>
    <xf numFmtId="264" fontId="12" fillId="14" borderId="99" applyFont="0" applyFill="0" applyBorder="0" applyAlignment="0" applyProtection="0">
      <alignment horizontal="right"/>
    </xf>
    <xf numFmtId="0" fontId="210" fillId="0" borderId="99" applyNumberFormat="0" applyFill="0" applyBorder="0" applyAlignment="0">
      <protection locked="0"/>
    </xf>
    <xf numFmtId="254" fontId="240" fillId="0" borderId="99" applyBorder="0" applyProtection="0">
      <alignment horizontal="right" vertical="center"/>
    </xf>
    <xf numFmtId="0" fontId="241" fillId="94" borderId="99" applyBorder="0" applyProtection="0">
      <alignment horizontal="centerContinuous" vertical="center"/>
    </xf>
    <xf numFmtId="246" fontId="249" fillId="0" borderId="99" applyFill="0" applyProtection="0">
      <alignment horizontal="center"/>
    </xf>
    <xf numFmtId="246" fontId="250" fillId="0" borderId="99" applyFill="0" applyProtection="0">
      <alignment horizontal="center"/>
    </xf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2" fillId="0" borderId="0"/>
    <xf numFmtId="0" fontId="266" fillId="0" borderId="0"/>
    <xf numFmtId="0" fontId="1" fillId="0" borderId="0"/>
    <xf numFmtId="0" fontId="1" fillId="0" borderId="0"/>
    <xf numFmtId="0" fontId="1" fillId="0" borderId="0"/>
    <xf numFmtId="306" fontId="12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43" fontId="48" fillId="0" borderId="10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43" fontId="48" fillId="0" borderId="10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1" fillId="0" borderId="0"/>
    <xf numFmtId="0" fontId="4" fillId="0" borderId="0"/>
    <xf numFmtId="307" fontId="79" fillId="0" borderId="0">
      <alignment horizontal="left" vertical="top" wrapText="1"/>
    </xf>
    <xf numFmtId="308" fontId="79" fillId="0" borderId="0">
      <alignment horizontal="right" vertical="top"/>
    </xf>
    <xf numFmtId="0" fontId="2" fillId="0" borderId="0"/>
    <xf numFmtId="0" fontId="79" fillId="0" borderId="0" applyFill="0" applyBorder="0">
      <alignment horizontal="left" vertical="top" wrapText="1"/>
    </xf>
    <xf numFmtId="309" fontId="79" fillId="0" borderId="0" applyFill="0" applyBorder="0">
      <alignment horizontal="right" vertical="top"/>
    </xf>
    <xf numFmtId="0" fontId="48" fillId="0" borderId="0"/>
    <xf numFmtId="0" fontId="1" fillId="0" borderId="0"/>
    <xf numFmtId="0" fontId="4" fillId="0" borderId="0"/>
    <xf numFmtId="307" fontId="79" fillId="0" borderId="0">
      <alignment horizontal="left" vertical="top" wrapText="1"/>
    </xf>
    <xf numFmtId="310" fontId="267" fillId="0" borderId="102">
      <alignment horizontal="left"/>
    </xf>
    <xf numFmtId="311" fontId="79" fillId="0" borderId="0" applyFill="0" applyBorder="0">
      <alignment horizontal="right" vertical="top"/>
    </xf>
    <xf numFmtId="307" fontId="268" fillId="0" borderId="102">
      <alignment horizontal="right" wrapText="1"/>
    </xf>
    <xf numFmtId="310" fontId="269" fillId="0" borderId="0"/>
    <xf numFmtId="44" fontId="1" fillId="0" borderId="0" applyFont="0" applyFill="0" applyBorder="0" applyAlignment="0" applyProtection="0"/>
    <xf numFmtId="0" fontId="270" fillId="0" borderId="0" applyFill="0" applyBorder="0" applyAlignment="0" applyProtection="0"/>
    <xf numFmtId="0" fontId="271" fillId="0" borderId="0" applyAlignment="0"/>
    <xf numFmtId="43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189" fontId="12" fillId="0" borderId="0"/>
    <xf numFmtId="189" fontId="1" fillId="0" borderId="0"/>
    <xf numFmtId="189" fontId="12" fillId="0" borderId="0"/>
    <xf numFmtId="189" fontId="12" fillId="0" borderId="0"/>
    <xf numFmtId="189" fontId="1" fillId="0" borderId="0"/>
    <xf numFmtId="189" fontId="12" fillId="0" borderId="0"/>
    <xf numFmtId="186" fontId="146" fillId="3" borderId="51">
      <alignment horizontal="left"/>
    </xf>
    <xf numFmtId="0" fontId="75" fillId="0" borderId="44" applyNumberFormat="0" applyFont="0" applyFill="0" applyAlignment="0" applyProtection="0"/>
    <xf numFmtId="0" fontId="1" fillId="0" borderId="0"/>
    <xf numFmtId="43" fontId="50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9" fontId="50" fillId="0" borderId="0" applyFont="0" applyFill="0" applyBorder="0" applyAlignment="0" applyProtection="0"/>
    <xf numFmtId="0" fontId="272" fillId="0" borderId="0" applyNumberFormat="0" applyFill="0" applyBorder="0" applyAlignment="0" applyProtection="0"/>
    <xf numFmtId="0" fontId="273" fillId="21" borderId="0" applyNumberFormat="0" applyBorder="0" applyAlignment="0" applyProtection="0"/>
    <xf numFmtId="0" fontId="1" fillId="0" borderId="0"/>
    <xf numFmtId="0" fontId="72" fillId="29" borderId="0" applyNumberFormat="0" applyBorder="0" applyAlignment="0" applyProtection="0"/>
    <xf numFmtId="0" fontId="72" fillId="33" borderId="0" applyNumberFormat="0" applyBorder="0" applyAlignment="0" applyProtection="0"/>
    <xf numFmtId="0" fontId="72" fillId="37" borderId="0" applyNumberFormat="0" applyBorder="0" applyAlignment="0" applyProtection="0"/>
    <xf numFmtId="0" fontId="1" fillId="0" borderId="0"/>
    <xf numFmtId="0" fontId="72" fillId="41" borderId="0" applyNumberFormat="0" applyBorder="0" applyAlignment="0" applyProtection="0"/>
    <xf numFmtId="0" fontId="72" fillId="45" borderId="0" applyNumberFormat="0" applyBorder="0" applyAlignment="0" applyProtection="0"/>
    <xf numFmtId="0" fontId="72" fillId="49" borderId="0" applyNumberFormat="0" applyBorder="0" applyAlignment="0" applyProtection="0"/>
    <xf numFmtId="44" fontId="5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13" fillId="0" borderId="170" applyNumberFormat="0" applyFill="0" applyAlignment="0" applyProtection="0"/>
    <xf numFmtId="243" fontId="48" fillId="0" borderId="100" applyFont="0" applyFill="0" applyBorder="0" applyAlignment="0" applyProtection="0"/>
    <xf numFmtId="264" fontId="12" fillId="14" borderId="170" applyFont="0" applyFill="0" applyBorder="0" applyAlignment="0" applyProtection="0">
      <alignment horizontal="right"/>
    </xf>
    <xf numFmtId="246" fontId="249" fillId="0" borderId="170" applyFill="0" applyProtection="0">
      <alignment horizontal="center"/>
    </xf>
    <xf numFmtId="0" fontId="25" fillId="10" borderId="89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25" fillId="10" borderId="82" applyNumberFormat="0" applyProtection="0">
      <alignment horizontal="left" vertical="top"/>
    </xf>
    <xf numFmtId="0" fontId="25" fillId="10" borderId="89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2" applyNumberFormat="0" applyProtection="0">
      <alignment horizontal="left" vertical="top"/>
    </xf>
    <xf numFmtId="0" fontId="214" fillId="0" borderId="68" applyNumberFormat="0" applyFont="0" applyFill="0" applyAlignment="0" applyProtection="0"/>
    <xf numFmtId="0" fontId="2" fillId="0" borderId="66" applyNumberFormat="0" applyAlignment="0" applyProtection="0"/>
    <xf numFmtId="186" fontId="140" fillId="3" borderId="54">
      <alignment horizontal="center" vertical="center"/>
    </xf>
    <xf numFmtId="44" fontId="50" fillId="0" borderId="0" applyFont="0" applyFill="0" applyBorder="0" applyAlignment="0" applyProtection="0"/>
    <xf numFmtId="186" fontId="140" fillId="3" borderId="54">
      <alignment horizontal="center" vertical="center"/>
    </xf>
    <xf numFmtId="0" fontId="25" fillId="10" borderId="82" applyNumberFormat="0" applyProtection="0">
      <alignment horizontal="left" vertical="top"/>
    </xf>
    <xf numFmtId="0" fontId="12" fillId="0" borderId="170" applyNumberFormat="0" applyFill="0" applyBorder="0" applyAlignment="0" applyProtection="0">
      <alignment horizontal="center"/>
    </xf>
    <xf numFmtId="0" fontId="25" fillId="10" borderId="167" applyNumberFormat="0" applyProtection="0">
      <alignment horizontal="left" vertical="top"/>
    </xf>
    <xf numFmtId="189" fontId="12" fillId="0" borderId="0"/>
    <xf numFmtId="236" fontId="125" fillId="0" borderId="0" applyFont="0" applyFill="0" applyBorder="0" applyAlignment="0" applyProtection="0">
      <alignment horizontal="right"/>
    </xf>
    <xf numFmtId="243" fontId="48" fillId="0" borderId="100" applyFont="0" applyFill="0" applyBorder="0" applyAlignment="0" applyProtection="0"/>
    <xf numFmtId="245" fontId="125" fillId="0" borderId="0" applyFont="0" applyFill="0" applyBorder="0" applyAlignment="0" applyProtection="0">
      <alignment horizontal="right"/>
    </xf>
    <xf numFmtId="222" fontId="79" fillId="0" borderId="157" applyBorder="0"/>
    <xf numFmtId="0" fontId="78" fillId="14" borderId="160" applyFont="0" applyFill="0" applyBorder="0" applyAlignment="0" applyProtection="0"/>
    <xf numFmtId="222" fontId="79" fillId="0" borderId="169" applyBorder="0"/>
    <xf numFmtId="0" fontId="101" fillId="0" borderId="170" applyBorder="0"/>
    <xf numFmtId="222" fontId="79" fillId="0" borderId="169" applyBorder="0"/>
    <xf numFmtId="248" fontId="46" fillId="0" borderId="170"/>
    <xf numFmtId="192" fontId="9" fillId="3" borderId="170">
      <alignment horizontal="right" vertical="center"/>
    </xf>
    <xf numFmtId="180" fontId="9" fillId="3" borderId="170">
      <alignment horizontal="right" vertical="center"/>
    </xf>
    <xf numFmtId="186" fontId="146" fillId="3" borderId="170" applyBorder="0">
      <alignment horizontal="left" vertical="center"/>
    </xf>
    <xf numFmtId="0" fontId="165" fillId="0" borderId="170" applyFill="0" applyProtection="0">
      <alignment horizontal="center"/>
    </xf>
    <xf numFmtId="0" fontId="210" fillId="0" borderId="170" applyNumberFormat="0" applyFill="0" applyBorder="0" applyAlignment="0">
      <protection locked="0"/>
    </xf>
    <xf numFmtId="254" fontId="240" fillId="0" borderId="170" applyBorder="0" applyProtection="0">
      <alignment horizontal="right" vertical="center"/>
    </xf>
    <xf numFmtId="246" fontId="250" fillId="0" borderId="170" applyFill="0" applyProtection="0">
      <alignment horizontal="center"/>
    </xf>
    <xf numFmtId="10" fontId="12" fillId="3" borderId="94" applyNumberFormat="0" applyFont="0" applyFill="0" applyBorder="0" applyAlignment="0">
      <protection locked="0"/>
    </xf>
    <xf numFmtId="0" fontId="12" fillId="0" borderId="0"/>
    <xf numFmtId="0" fontId="196" fillId="0" borderId="0" applyNumberFormat="0" applyFill="0" applyBorder="0" applyAlignment="0" applyProtection="0"/>
    <xf numFmtId="9" fontId="77" fillId="0" borderId="0" applyFont="0" applyFill="0" applyBorder="0" applyAlignment="0" applyProtection="0"/>
    <xf numFmtId="9" fontId="1" fillId="0" borderId="0" applyFont="0" applyFill="0" applyBorder="0" applyAlignment="0" applyProtection="0"/>
    <xf numFmtId="189" fontId="12" fillId="0" borderId="0"/>
    <xf numFmtId="189" fontId="12" fillId="0" borderId="0"/>
    <xf numFmtId="189" fontId="1" fillId="0" borderId="0"/>
    <xf numFmtId="243" fontId="48" fillId="0" borderId="100" applyFont="0" applyFill="0" applyBorder="0" applyAlignment="0" applyProtection="0"/>
    <xf numFmtId="222" fontId="79" fillId="0" borderId="96" applyBorder="0"/>
    <xf numFmtId="0" fontId="25" fillId="10" borderId="83" applyNumberFormat="0" applyProtection="0">
      <alignment horizontal="left" vertical="top"/>
    </xf>
    <xf numFmtId="0" fontId="25" fillId="10" borderId="89" applyNumberFormat="0" applyProtection="0">
      <alignment horizontal="left" vertical="top"/>
    </xf>
    <xf numFmtId="0" fontId="25" fillId="10" borderId="82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75" fillId="0" borderId="111" applyNumberFormat="0" applyFont="0" applyFill="0" applyAlignment="0" applyProtection="0"/>
    <xf numFmtId="0" fontId="101" fillId="0" borderId="122" applyBorder="0"/>
    <xf numFmtId="222" fontId="79" fillId="0" borderId="121" applyBorder="0"/>
    <xf numFmtId="0" fontId="113" fillId="0" borderId="122" applyNumberFormat="0" applyFill="0" applyAlignment="0" applyProtection="0"/>
    <xf numFmtId="0" fontId="12" fillId="0" borderId="122" applyNumberFormat="0" applyFill="0" applyBorder="0" applyAlignment="0" applyProtection="0">
      <alignment horizontal="center"/>
    </xf>
    <xf numFmtId="248" fontId="46" fillId="0" borderId="122"/>
    <xf numFmtId="192" fontId="9" fillId="3" borderId="122">
      <alignment horizontal="right" vertical="center"/>
    </xf>
    <xf numFmtId="180" fontId="9" fillId="3" borderId="122">
      <alignment horizontal="right" vertical="center"/>
    </xf>
    <xf numFmtId="186" fontId="146" fillId="3" borderId="122" applyBorder="0">
      <alignment horizontal="left" vertical="center"/>
    </xf>
    <xf numFmtId="0" fontId="166" fillId="0" borderId="122">
      <alignment horizontal="center"/>
    </xf>
    <xf numFmtId="0" fontId="210" fillId="0" borderId="122" applyNumberFormat="0" applyFill="0" applyBorder="0" applyAlignment="0">
      <protection locked="0"/>
    </xf>
    <xf numFmtId="264" fontId="12" fillId="14" borderId="122" applyFont="0" applyFill="0" applyBorder="0" applyAlignment="0" applyProtection="0">
      <alignment horizontal="right"/>
    </xf>
    <xf numFmtId="246" fontId="249" fillId="0" borderId="122" applyFill="0" applyProtection="0">
      <alignment horizontal="center"/>
    </xf>
    <xf numFmtId="246" fontId="250" fillId="0" borderId="122" applyFill="0" applyProtection="0">
      <alignment horizontal="center"/>
    </xf>
    <xf numFmtId="246" fontId="250" fillId="0" borderId="146" applyFill="0" applyProtection="0">
      <alignment horizontal="center"/>
    </xf>
    <xf numFmtId="246" fontId="249" fillId="0" borderId="146" applyFill="0" applyProtection="0">
      <alignment horizontal="center"/>
    </xf>
    <xf numFmtId="254" fontId="240" fillId="0" borderId="146" applyBorder="0" applyProtection="0">
      <alignment horizontal="right" vertical="center"/>
    </xf>
    <xf numFmtId="264" fontId="12" fillId="14" borderId="146" applyFont="0" applyFill="0" applyBorder="0" applyAlignment="0" applyProtection="0">
      <alignment horizontal="right"/>
    </xf>
    <xf numFmtId="0" fontId="165" fillId="0" borderId="146" applyFill="0" applyProtection="0">
      <alignment horizontal="center"/>
    </xf>
    <xf numFmtId="180" fontId="9" fillId="3" borderId="146">
      <alignment horizontal="right" vertical="center"/>
    </xf>
    <xf numFmtId="0" fontId="12" fillId="0" borderId="146" applyNumberFormat="0" applyFill="0" applyBorder="0" applyAlignment="0" applyProtection="0">
      <alignment horizontal="center"/>
    </xf>
    <xf numFmtId="0" fontId="101" fillId="0" borderId="146" applyBorder="0"/>
    <xf numFmtId="222" fontId="79" fillId="0" borderId="145" applyBorder="0"/>
    <xf numFmtId="0" fontId="75" fillId="0" borderId="135" applyNumberFormat="0" applyFont="0" applyFill="0" applyAlignment="0" applyProtection="0"/>
    <xf numFmtId="0" fontId="2" fillId="0" borderId="139" applyNumberFormat="0" applyAlignment="0" applyProtection="0"/>
    <xf numFmtId="0" fontId="25" fillId="10" borderId="141" applyNumberFormat="0" applyProtection="0">
      <alignment horizontal="left" vertical="top"/>
    </xf>
    <xf numFmtId="0" fontId="25" fillId="10" borderId="144" applyNumberFormat="0" applyProtection="0">
      <alignment horizontal="left" vertical="top"/>
    </xf>
    <xf numFmtId="222" fontId="79" fillId="0" borderId="133" applyBorder="0"/>
    <xf numFmtId="44" fontId="50" fillId="0" borderId="0" applyFont="0" applyFill="0" applyBorder="0" applyAlignment="0" applyProtection="0"/>
    <xf numFmtId="0" fontId="25" fillId="10" borderId="119" applyNumberFormat="0" applyProtection="0">
      <alignment horizontal="left" vertical="top"/>
    </xf>
    <xf numFmtId="10" fontId="12" fillId="3" borderId="94" applyNumberFormat="0" applyFont="0" applyFill="0" applyBorder="0" applyAlignment="0">
      <protection locked="0"/>
    </xf>
    <xf numFmtId="0" fontId="25" fillId="10" borderId="117" applyNumberFormat="0" applyProtection="0">
      <alignment horizontal="left" vertical="top"/>
    </xf>
    <xf numFmtId="0" fontId="214" fillId="0" borderId="116" applyNumberFormat="0" applyFont="0" applyFill="0" applyAlignment="0" applyProtection="0"/>
    <xf numFmtId="186" fontId="146" fillId="3" borderId="113">
      <alignment horizontal="left"/>
    </xf>
    <xf numFmtId="222" fontId="79" fillId="0" borderId="121" applyBorder="0"/>
    <xf numFmtId="189" fontId="12" fillId="0" borderId="0"/>
    <xf numFmtId="189" fontId="12" fillId="0" borderId="0"/>
    <xf numFmtId="189" fontId="1" fillId="0" borderId="0"/>
    <xf numFmtId="0" fontId="77" fillId="0" borderId="0"/>
    <xf numFmtId="0" fontId="12" fillId="0" borderId="0">
      <alignment vertical="center"/>
    </xf>
    <xf numFmtId="0" fontId="12" fillId="0" borderId="0"/>
    <xf numFmtId="0" fontId="12" fillId="0" borderId="0"/>
    <xf numFmtId="0" fontId="91" fillId="0" borderId="39" applyNumberFormat="0" applyFill="0" applyAlignment="0" applyProtection="0"/>
    <xf numFmtId="0" fontId="12" fillId="0" borderId="0"/>
    <xf numFmtId="0" fontId="91" fillId="0" borderId="39" applyNumberFormat="0" applyFill="0" applyAlignment="0" applyProtection="0"/>
    <xf numFmtId="10" fontId="12" fillId="3" borderId="94" applyNumberFormat="0" applyFont="0" applyFill="0" applyBorder="0" applyAlignment="0">
      <protection locked="0"/>
    </xf>
    <xf numFmtId="0" fontId="101" fillId="0" borderId="2" applyBorder="0"/>
    <xf numFmtId="0" fontId="113" fillId="0" borderId="2" applyNumberFormat="0" applyFill="0" applyAlignment="0" applyProtection="0"/>
    <xf numFmtId="0" fontId="12" fillId="0" borderId="2" applyNumberFormat="0" applyFill="0" applyBorder="0" applyAlignment="0" applyProtection="0">
      <alignment horizontal="center"/>
    </xf>
    <xf numFmtId="248" fontId="46" fillId="0" borderId="2"/>
    <xf numFmtId="192" fontId="9" fillId="3" borderId="2">
      <alignment horizontal="right" vertical="center"/>
    </xf>
    <xf numFmtId="180" fontId="9" fillId="3" borderId="2">
      <alignment horizontal="right" vertical="center"/>
    </xf>
    <xf numFmtId="186" fontId="146" fillId="3" borderId="2" applyBorder="0">
      <alignment horizontal="left" vertical="center"/>
    </xf>
    <xf numFmtId="0" fontId="165" fillId="0" borderId="2" applyFill="0" applyProtection="0">
      <alignment horizontal="center"/>
    </xf>
    <xf numFmtId="0" fontId="166" fillId="0" borderId="2">
      <alignment horizontal="center"/>
    </xf>
    <xf numFmtId="264" fontId="12" fillId="14" borderId="2" applyFont="0" applyFill="0" applyBorder="0" applyAlignment="0" applyProtection="0">
      <alignment horizontal="right"/>
    </xf>
    <xf numFmtId="0" fontId="210" fillId="0" borderId="2" applyNumberFormat="0" applyFill="0" applyBorder="0" applyAlignment="0">
      <protection locked="0"/>
    </xf>
    <xf numFmtId="1" fontId="108" fillId="55" borderId="7" applyNumberFormat="0" applyBorder="0" applyAlignment="0">
      <alignment horizontal="center" vertical="top" wrapText="1"/>
      <protection hidden="1"/>
    </xf>
    <xf numFmtId="248" fontId="46" fillId="0" borderId="146"/>
    <xf numFmtId="222" fontId="79" fillId="0" borderId="145" applyBorder="0"/>
    <xf numFmtId="186" fontId="140" fillId="3" borderId="138">
      <alignment horizontal="center" vertical="center"/>
    </xf>
    <xf numFmtId="0" fontId="25" fillId="10" borderId="143" applyNumberFormat="0" applyProtection="0">
      <alignment horizontal="left" vertical="top"/>
    </xf>
    <xf numFmtId="0" fontId="210" fillId="0" borderId="146" applyNumberFormat="0" applyFill="0" applyBorder="0" applyAlignment="0">
      <protection locked="0"/>
    </xf>
    <xf numFmtId="192" fontId="9" fillId="3" borderId="146">
      <alignment horizontal="right" vertical="center"/>
    </xf>
    <xf numFmtId="0" fontId="113" fillId="0" borderId="146" applyNumberFormat="0" applyFill="0" applyAlignment="0" applyProtection="0"/>
    <xf numFmtId="186" fontId="146" fillId="3" borderId="137">
      <alignment horizontal="left"/>
    </xf>
    <xf numFmtId="0" fontId="25" fillId="10" borderId="142" applyNumberFormat="0" applyProtection="0">
      <alignment horizontal="left" vertical="top"/>
    </xf>
    <xf numFmtId="254" fontId="240" fillId="0" borderId="2" applyBorder="0" applyProtection="0">
      <alignment horizontal="right" vertical="center"/>
    </xf>
    <xf numFmtId="0" fontId="241" fillId="94" borderId="2" applyBorder="0" applyProtection="0">
      <alignment horizontal="centerContinuous" vertical="center"/>
    </xf>
    <xf numFmtId="246" fontId="249" fillId="0" borderId="2" applyFill="0" applyProtection="0">
      <alignment horizontal="center"/>
    </xf>
    <xf numFmtId="246" fontId="250" fillId="0" borderId="2" applyFill="0" applyProtection="0">
      <alignment horizontal="center"/>
    </xf>
    <xf numFmtId="0" fontId="12" fillId="0" borderId="0"/>
    <xf numFmtId="0" fontId="25" fillId="10" borderId="166" applyNumberFormat="0" applyProtection="0">
      <alignment horizontal="left" vertical="top"/>
    </xf>
    <xf numFmtId="10" fontId="12" fillId="3" borderId="94" applyNumberFormat="0" applyFont="0" applyFill="0" applyBorder="0" applyAlignment="0">
      <protection locked="0"/>
    </xf>
    <xf numFmtId="0" fontId="25" fillId="10" borderId="168" applyNumberFormat="0" applyProtection="0">
      <alignment horizontal="left" vertical="top"/>
    </xf>
    <xf numFmtId="0" fontId="12" fillId="0" borderId="0"/>
    <xf numFmtId="222" fontId="79" fillId="0" borderId="96" applyBorder="0"/>
    <xf numFmtId="0" fontId="214" fillId="0" borderId="164" applyNumberFormat="0" applyFont="0" applyFill="0" applyAlignment="0" applyProtection="0"/>
    <xf numFmtId="0" fontId="75" fillId="0" borderId="44" applyNumberFormat="0" applyFont="0" applyFill="0" applyAlignment="0" applyProtection="0"/>
    <xf numFmtId="0" fontId="25" fillId="10" borderId="87" applyNumberFormat="0" applyProtection="0">
      <alignment horizontal="left" vertical="top"/>
    </xf>
    <xf numFmtId="0" fontId="25" fillId="10" borderId="89" applyNumberFormat="0" applyProtection="0">
      <alignment horizontal="left" vertical="top"/>
    </xf>
    <xf numFmtId="0" fontId="165" fillId="0" borderId="122" applyFill="0" applyProtection="0">
      <alignment horizontal="center"/>
    </xf>
    <xf numFmtId="254" fontId="240" fillId="0" borderId="122" applyBorder="0" applyProtection="0">
      <alignment horizontal="right" vertical="center"/>
    </xf>
    <xf numFmtId="0" fontId="241" fillId="94" borderId="122" applyBorder="0" applyProtection="0">
      <alignment horizontal="centerContinuous" vertical="center"/>
    </xf>
    <xf numFmtId="0" fontId="241" fillId="94" borderId="146" applyBorder="0" applyProtection="0">
      <alignment horizontal="centerContinuous" vertical="center"/>
    </xf>
    <xf numFmtId="0" fontId="166" fillId="0" borderId="146">
      <alignment horizontal="center"/>
    </xf>
    <xf numFmtId="186" fontId="146" fillId="3" borderId="146" applyBorder="0">
      <alignment horizontal="left" vertical="center"/>
    </xf>
    <xf numFmtId="0" fontId="214" fillId="0" borderId="140" applyNumberFormat="0" applyFont="0" applyFill="0" applyAlignment="0" applyProtection="0"/>
    <xf numFmtId="0" fontId="78" fillId="14" borderId="136" applyFont="0" applyFill="0" applyBorder="0" applyAlignment="0" applyProtection="0"/>
    <xf numFmtId="0" fontId="12" fillId="0" borderId="0"/>
    <xf numFmtId="0" fontId="78" fillId="14" borderId="46" applyFont="0" applyFill="0" applyBorder="0" applyAlignment="0" applyProtection="0"/>
    <xf numFmtId="299" fontId="217" fillId="60" borderId="7" applyBorder="0">
      <alignment horizontal="right" vertical="center"/>
      <protection locked="0"/>
    </xf>
    <xf numFmtId="0" fontId="158" fillId="0" borderId="7" applyFill="0" applyBorder="0" applyProtection="0">
      <alignment horizontal="left" vertical="top"/>
    </xf>
    <xf numFmtId="0" fontId="25" fillId="10" borderId="89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2" applyNumberFormat="0" applyProtection="0">
      <alignment horizontal="left" vertical="top"/>
    </xf>
    <xf numFmtId="186" fontId="140" fillId="3" borderId="162">
      <alignment horizontal="center" vertical="center"/>
    </xf>
    <xf numFmtId="0" fontId="214" fillId="0" borderId="68" applyNumberFormat="0" applyFont="0" applyFill="0" applyAlignment="0" applyProtection="0"/>
    <xf numFmtId="0" fontId="2" fillId="0" borderId="66" applyNumberFormat="0" applyAlignment="0" applyProtection="0"/>
    <xf numFmtId="186" fontId="140" fillId="3" borderId="54">
      <alignment horizontal="center" vertical="center"/>
    </xf>
    <xf numFmtId="186" fontId="146" fillId="3" borderId="51">
      <alignment horizontal="left"/>
    </xf>
    <xf numFmtId="186" fontId="146" fillId="3" borderId="161">
      <alignment horizontal="left"/>
    </xf>
    <xf numFmtId="0" fontId="75" fillId="0" borderId="44" applyNumberFormat="0" applyFont="0" applyFill="0" applyAlignment="0" applyProtection="0"/>
    <xf numFmtId="0" fontId="12" fillId="0" borderId="0"/>
    <xf numFmtId="0" fontId="12" fillId="0" borderId="0"/>
    <xf numFmtId="0" fontId="75" fillId="0" borderId="159" applyNumberFormat="0" applyFont="0" applyFill="0" applyAlignment="0" applyProtection="0"/>
    <xf numFmtId="0" fontId="12" fillId="0" borderId="0"/>
    <xf numFmtId="222" fontId="79" fillId="0" borderId="96" applyBorder="0"/>
    <xf numFmtId="222" fontId="79" fillId="0" borderId="96" applyBorder="0"/>
    <xf numFmtId="189" fontId="1" fillId="0" borderId="0"/>
    <xf numFmtId="0" fontId="25" fillId="10" borderId="165" applyNumberFormat="0" applyProtection="0">
      <alignment horizontal="left" vertical="top"/>
    </xf>
    <xf numFmtId="0" fontId="12" fillId="0" borderId="0"/>
    <xf numFmtId="0" fontId="12" fillId="0" borderId="0"/>
    <xf numFmtId="0" fontId="2" fillId="0" borderId="163" applyNumberFormat="0" applyAlignment="0" applyProtection="0"/>
    <xf numFmtId="243" fontId="48" fillId="0" borderId="100" applyFont="0" applyFill="0" applyBorder="0" applyAlignment="0" applyProtection="0"/>
    <xf numFmtId="246" fontId="250" fillId="0" borderId="99" applyFill="0" applyProtection="0">
      <alignment horizontal="center"/>
    </xf>
    <xf numFmtId="246" fontId="249" fillId="0" borderId="99" applyFill="0" applyProtection="0">
      <alignment horizontal="center"/>
    </xf>
    <xf numFmtId="0" fontId="241" fillId="94" borderId="99" applyBorder="0" applyProtection="0">
      <alignment horizontal="centerContinuous" vertical="center"/>
    </xf>
    <xf numFmtId="254" fontId="240" fillId="0" borderId="99" applyBorder="0" applyProtection="0">
      <alignment horizontal="right" vertical="center"/>
    </xf>
    <xf numFmtId="0" fontId="210" fillId="0" borderId="99" applyNumberFormat="0" applyFill="0" applyBorder="0" applyAlignment="0">
      <protection locked="0"/>
    </xf>
    <xf numFmtId="264" fontId="12" fillId="14" borderId="99" applyFont="0" applyFill="0" applyBorder="0" applyAlignment="0" applyProtection="0">
      <alignment horizontal="right"/>
    </xf>
    <xf numFmtId="0" fontId="166" fillId="0" borderId="99">
      <alignment horizontal="center"/>
    </xf>
    <xf numFmtId="0" fontId="165" fillId="0" borderId="99" applyFill="0" applyProtection="0">
      <alignment horizontal="center"/>
    </xf>
    <xf numFmtId="186" fontId="146" fillId="3" borderId="99" applyBorder="0">
      <alignment horizontal="left" vertical="center"/>
    </xf>
    <xf numFmtId="180" fontId="9" fillId="3" borderId="99">
      <alignment horizontal="right" vertical="center"/>
    </xf>
    <xf numFmtId="192" fontId="9" fillId="3" borderId="99">
      <alignment horizontal="right" vertical="center"/>
    </xf>
    <xf numFmtId="248" fontId="46" fillId="0" borderId="99"/>
    <xf numFmtId="0" fontId="12" fillId="0" borderId="99" applyNumberFormat="0" applyFill="0" applyBorder="0" applyAlignment="0" applyProtection="0">
      <alignment horizontal="center"/>
    </xf>
    <xf numFmtId="0" fontId="113" fillId="0" borderId="99" applyNumberFormat="0" applyFill="0" applyAlignment="0" applyProtection="0"/>
    <xf numFmtId="222" fontId="79" fillId="0" borderId="96" applyBorder="0"/>
    <xf numFmtId="0" fontId="101" fillId="0" borderId="99" applyBorder="0"/>
    <xf numFmtId="0" fontId="289" fillId="0" borderId="0" applyNumberFormat="0" applyFill="0" applyBorder="0" applyAlignment="0" applyProtection="0"/>
    <xf numFmtId="222" fontId="79" fillId="0" borderId="96" applyBorder="0"/>
    <xf numFmtId="0" fontId="272" fillId="0" borderId="0" applyNumberFormat="0" applyFill="0" applyBorder="0" applyAlignment="0" applyProtection="0"/>
    <xf numFmtId="0" fontId="272" fillId="0" borderId="0" applyNumberFormat="0" applyFill="0" applyBorder="0" applyAlignment="0" applyProtection="0"/>
    <xf numFmtId="0" fontId="75" fillId="0" borderId="44" applyNumberFormat="0" applyFont="0" applyFill="0" applyAlignment="0" applyProtection="0"/>
    <xf numFmtId="186" fontId="146" fillId="3" borderId="51">
      <alignment horizontal="left"/>
    </xf>
    <xf numFmtId="186" fontId="140" fillId="3" borderId="54">
      <alignment horizontal="center" vertical="center"/>
    </xf>
    <xf numFmtId="0" fontId="2" fillId="0" borderId="66" applyNumberFormat="0" applyAlignment="0" applyProtection="0"/>
    <xf numFmtId="0" fontId="214" fillId="0" borderId="68" applyNumberFormat="0" applyFont="0" applyFill="0" applyAlignment="0" applyProtection="0"/>
    <xf numFmtId="0" fontId="25" fillId="10" borderId="82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25" fillId="10" borderId="89" applyNumberFormat="0" applyProtection="0">
      <alignment horizontal="left" vertical="top"/>
    </xf>
    <xf numFmtId="0" fontId="1" fillId="0" borderId="0"/>
    <xf numFmtId="0" fontId="281" fillId="0" borderId="106" applyNumberFormat="0" applyFill="0" applyAlignment="0" applyProtection="0"/>
    <xf numFmtId="0" fontId="78" fillId="14" borderId="46" applyFont="0" applyFill="0" applyBorder="0" applyAlignment="0" applyProtection="0"/>
    <xf numFmtId="0" fontId="50" fillId="101" borderId="0" applyNumberFormat="0" applyBorder="0" applyAlignment="0" applyProtection="0"/>
    <xf numFmtId="0" fontId="50" fillId="103" borderId="0" applyNumberFormat="0" applyBorder="0" applyAlignment="0" applyProtection="0"/>
    <xf numFmtId="0" fontId="50" fillId="105" borderId="0" applyNumberFormat="0" applyBorder="0" applyAlignment="0" applyProtection="0"/>
    <xf numFmtId="0" fontId="106" fillId="0" borderId="60">
      <protection hidden="1"/>
    </xf>
    <xf numFmtId="0" fontId="107" fillId="54" borderId="60" applyNumberFormat="0" applyFont="0" applyBorder="0" applyAlignment="0" applyProtection="0">
      <protection hidden="1"/>
    </xf>
    <xf numFmtId="222" fontId="79" fillId="0" borderId="96" applyBorder="0"/>
    <xf numFmtId="198" fontId="84" fillId="0" borderId="60" applyBorder="0"/>
    <xf numFmtId="245" fontId="125" fillId="0" borderId="0" applyFont="0" applyFill="0" applyBorder="0" applyAlignment="0" applyProtection="0">
      <alignment horizontal="right"/>
    </xf>
    <xf numFmtId="0" fontId="50" fillId="98" borderId="0" applyNumberFormat="0" applyBorder="0" applyAlignment="0" applyProtection="0"/>
    <xf numFmtId="0" fontId="274" fillId="106" borderId="0" applyNumberFormat="0" applyBorder="0" applyAlignment="0" applyProtection="0"/>
    <xf numFmtId="0" fontId="274" fillId="110" borderId="0" applyNumberFormat="0" applyBorder="0" applyAlignment="0" applyProtection="0"/>
    <xf numFmtId="0" fontId="274" fillId="111" borderId="0" applyNumberFormat="0" applyBorder="0" applyAlignment="0" applyProtection="0"/>
    <xf numFmtId="0" fontId="274" fillId="112" borderId="0" applyNumberFormat="0" applyBorder="0" applyAlignment="0" applyProtection="0"/>
    <xf numFmtId="0" fontId="274" fillId="113" borderId="0" applyNumberFormat="0" applyBorder="0" applyAlignment="0" applyProtection="0"/>
    <xf numFmtId="0" fontId="274" fillId="114" borderId="0" applyNumberFormat="0" applyBorder="0" applyAlignment="0" applyProtection="0"/>
    <xf numFmtId="0" fontId="274" fillId="109" borderId="0" applyNumberFormat="0" applyBorder="0" applyAlignment="0" applyProtection="0"/>
    <xf numFmtId="0" fontId="274" fillId="110" borderId="0" applyNumberFormat="0" applyBorder="0" applyAlignment="0" applyProtection="0"/>
    <xf numFmtId="0" fontId="274" fillId="115" borderId="0" applyNumberFormat="0" applyBorder="0" applyAlignment="0" applyProtection="0"/>
    <xf numFmtId="0" fontId="275" fillId="99" borderId="0" applyNumberFormat="0" applyBorder="0" applyAlignment="0" applyProtection="0"/>
    <xf numFmtId="0" fontId="276" fillId="54" borderId="103" applyNumberFormat="0" applyAlignment="0" applyProtection="0"/>
    <xf numFmtId="0" fontId="277" fillId="116" borderId="104" applyNumberFormat="0" applyAlignment="0" applyProtection="0"/>
    <xf numFmtId="0" fontId="278" fillId="0" borderId="0" applyNumberFormat="0" applyFill="0" applyBorder="0" applyAlignment="0" applyProtection="0"/>
    <xf numFmtId="0" fontId="279" fillId="100" borderId="0" applyNumberFormat="0" applyBorder="0" applyAlignment="0" applyProtection="0"/>
    <xf numFmtId="0" fontId="280" fillId="0" borderId="105" applyNumberFormat="0" applyFill="0" applyAlignment="0" applyProtection="0"/>
    <xf numFmtId="0" fontId="282" fillId="0" borderId="0" applyNumberFormat="0" applyFill="0" applyBorder="0" applyAlignment="0" applyProtection="0"/>
    <xf numFmtId="0" fontId="283" fillId="103" borderId="103" applyNumberFormat="0" applyAlignment="0" applyProtection="0"/>
    <xf numFmtId="0" fontId="50" fillId="117" borderId="61" applyNumberFormat="0" applyFont="0" applyAlignment="0" applyProtection="0"/>
    <xf numFmtId="0" fontId="1" fillId="0" borderId="0"/>
    <xf numFmtId="0" fontId="272" fillId="0" borderId="0" applyNumberFormat="0" applyFill="0" applyBorder="0" applyAlignment="0" applyProtection="0"/>
    <xf numFmtId="0" fontId="1" fillId="0" borderId="0"/>
    <xf numFmtId="43" fontId="50" fillId="0" borderId="0" applyFont="0" applyFill="0" applyBorder="0" applyAlignment="0" applyProtection="0"/>
    <xf numFmtId="0" fontId="1" fillId="0" borderId="0"/>
    <xf numFmtId="0" fontId="272" fillId="0" borderId="0" applyNumberForma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1" fillId="0" borderId="0"/>
    <xf numFmtId="0" fontId="272" fillId="0" borderId="0" applyNumberFormat="0" applyFill="0" applyBorder="0" applyAlignment="0" applyProtection="0"/>
    <xf numFmtId="0" fontId="1" fillId="0" borderId="0"/>
    <xf numFmtId="0" fontId="286" fillId="54" borderId="109" applyNumberFormat="0" applyAlignment="0" applyProtection="0"/>
    <xf numFmtId="0" fontId="272" fillId="0" borderId="0" applyNumberFormat="0" applyFill="0" applyBorder="0" applyAlignment="0" applyProtection="0"/>
    <xf numFmtId="9" fontId="50" fillId="0" borderId="0" applyFont="0" applyFill="0" applyBorder="0" applyAlignment="0" applyProtection="0"/>
    <xf numFmtId="0" fontId="1" fillId="0" borderId="0"/>
    <xf numFmtId="0" fontId="1" fillId="0" borderId="0"/>
    <xf numFmtId="0" fontId="283" fillId="103" borderId="103" applyNumberFormat="0" applyAlignment="0" applyProtection="0"/>
    <xf numFmtId="0" fontId="272" fillId="0" borderId="0" applyNumberFormat="0" applyFill="0" applyBorder="0" applyAlignment="0" applyProtection="0"/>
    <xf numFmtId="0" fontId="1" fillId="0" borderId="0"/>
    <xf numFmtId="186" fontId="84" fillId="0" borderId="60" applyBorder="0"/>
    <xf numFmtId="0" fontId="1" fillId="0" borderId="0"/>
    <xf numFmtId="0" fontId="1" fillId="0" borderId="0"/>
    <xf numFmtId="0" fontId="272" fillId="0" borderId="0" applyNumberFormat="0" applyFill="0" applyBorder="0" applyAlignment="0" applyProtection="0"/>
    <xf numFmtId="0" fontId="1" fillId="0" borderId="0"/>
    <xf numFmtId="9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288" fillId="0" borderId="110" applyNumberFormat="0" applyFill="0" applyAlignment="0" applyProtection="0"/>
    <xf numFmtId="0" fontId="276" fillId="54" borderId="103" applyNumberFormat="0" applyAlignment="0" applyProtection="0"/>
    <xf numFmtId="9" fontId="50" fillId="0" borderId="0" applyFont="0" applyFill="0" applyBorder="0" applyAlignment="0" applyProtection="0"/>
    <xf numFmtId="0" fontId="272" fillId="0" borderId="0" applyNumberFormat="0" applyFill="0" applyBorder="0" applyAlignment="0" applyProtection="0"/>
    <xf numFmtId="0" fontId="272" fillId="0" borderId="0" applyNumberForma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272" fillId="0" borderId="0" applyNumberForma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272" fillId="0" borderId="0" applyNumberFormat="0" applyFill="0" applyBorder="0" applyAlignment="0" applyProtection="0"/>
    <xf numFmtId="0" fontId="48" fillId="11" borderId="60" applyNumberFormat="0" applyFont="0" applyBorder="0" applyAlignment="0" applyProtection="0">
      <alignment horizontal="center"/>
    </xf>
    <xf numFmtId="43" fontId="50" fillId="0" borderId="0" applyFont="0" applyFill="0" applyBorder="0" applyAlignment="0" applyProtection="0"/>
    <xf numFmtId="0" fontId="84" fillId="0" borderId="60" applyBorder="0"/>
    <xf numFmtId="1" fontId="12" fillId="0" borderId="60" applyNumberFormat="0" applyFill="0" applyAlignment="0" applyProtection="0">
      <alignment horizontal="center" vertical="center"/>
    </xf>
    <xf numFmtId="0" fontId="219" fillId="0" borderId="60" applyNumberFormat="0" applyFill="0" applyBorder="0" applyAlignment="0" applyProtection="0">
      <protection hidden="1"/>
    </xf>
    <xf numFmtId="245" fontId="125" fillId="0" borderId="0" applyFont="0" applyFill="0" applyBorder="0" applyAlignment="0" applyProtection="0">
      <alignment horizontal="right"/>
    </xf>
    <xf numFmtId="0" fontId="1" fillId="0" borderId="0"/>
    <xf numFmtId="9" fontId="50" fillId="0" borderId="0" applyFont="0" applyFill="0" applyBorder="0" applyAlignment="0" applyProtection="0"/>
    <xf numFmtId="0" fontId="274" fillId="109" borderId="0" applyNumberFormat="0" applyBorder="0" applyAlignment="0" applyProtection="0"/>
    <xf numFmtId="0" fontId="78" fillId="14" borderId="46" applyFont="0" applyFill="0" applyBorder="0" applyAlignment="0" applyProtection="0"/>
    <xf numFmtId="222" fontId="79" fillId="0" borderId="96" applyBorder="0"/>
    <xf numFmtId="43" fontId="50" fillId="0" borderId="0" applyFont="0" applyFill="0" applyBorder="0" applyAlignment="0" applyProtection="0"/>
    <xf numFmtId="0" fontId="50" fillId="100" borderId="0" applyNumberFormat="0" applyBorder="0" applyAlignment="0" applyProtection="0"/>
    <xf numFmtId="0" fontId="285" fillId="51" borderId="0" applyNumberFormat="0" applyBorder="0" applyAlignment="0" applyProtection="0"/>
    <xf numFmtId="0" fontId="50" fillId="104" borderId="0" applyNumberFormat="0" applyBorder="0" applyAlignment="0" applyProtection="0"/>
    <xf numFmtId="0" fontId="282" fillId="0" borderId="107" applyNumberFormat="0" applyFill="0" applyAlignment="0" applyProtection="0"/>
    <xf numFmtId="0" fontId="50" fillId="102" borderId="0" applyNumberFormat="0" applyBorder="0" applyAlignment="0" applyProtection="0"/>
    <xf numFmtId="0" fontId="50" fillId="99" borderId="0" applyNumberFormat="0" applyBorder="0" applyAlignment="0" applyProtection="0"/>
    <xf numFmtId="0" fontId="50" fillId="101" borderId="0" applyNumberFormat="0" applyBorder="0" applyAlignment="0" applyProtection="0"/>
    <xf numFmtId="9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78" fillId="14" borderId="46" applyFont="0" applyFill="0" applyBorder="0" applyAlignment="0" applyProtection="0"/>
    <xf numFmtId="0" fontId="25" fillId="10" borderId="89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2" applyNumberFormat="0" applyProtection="0">
      <alignment horizontal="left" vertical="top"/>
    </xf>
    <xf numFmtId="0" fontId="50" fillId="107" borderId="0" applyNumberFormat="0" applyBorder="0" applyAlignment="0" applyProtection="0"/>
    <xf numFmtId="0" fontId="214" fillId="0" borderId="68" applyNumberFormat="0" applyFont="0" applyFill="0" applyAlignment="0" applyProtection="0"/>
    <xf numFmtId="0" fontId="2" fillId="0" borderId="66" applyNumberFormat="0" applyAlignment="0" applyProtection="0"/>
    <xf numFmtId="186" fontId="140" fillId="3" borderId="54">
      <alignment horizontal="center" vertical="center"/>
    </xf>
    <xf numFmtId="186" fontId="146" fillId="3" borderId="51">
      <alignment horizontal="left"/>
    </xf>
    <xf numFmtId="0" fontId="274" fillId="108" borderId="0" applyNumberFormat="0" applyBorder="0" applyAlignment="0" applyProtection="0"/>
    <xf numFmtId="0" fontId="75" fillId="0" borderId="44" applyNumberFormat="0" applyFont="0" applyFill="0" applyAlignment="0" applyProtection="0"/>
    <xf numFmtId="0" fontId="284" fillId="0" borderId="108" applyNumberFormat="0" applyFill="0" applyAlignment="0" applyProtection="0"/>
    <xf numFmtId="0" fontId="274" fillId="105" borderId="0" applyNumberFormat="0" applyBorder="0" applyAlignment="0" applyProtection="0"/>
    <xf numFmtId="222" fontId="79" fillId="0" borderId="96" applyBorder="0"/>
    <xf numFmtId="0" fontId="101" fillId="0" borderId="99" applyBorder="0"/>
    <xf numFmtId="222" fontId="79" fillId="0" borderId="96" applyBorder="0"/>
    <xf numFmtId="0" fontId="113" fillId="0" borderId="99" applyNumberFormat="0" applyFill="0" applyAlignment="0" applyProtection="0"/>
    <xf numFmtId="0" fontId="12" fillId="0" borderId="99" applyNumberFormat="0" applyFill="0" applyBorder="0" applyAlignment="0" applyProtection="0">
      <alignment horizontal="center"/>
    </xf>
    <xf numFmtId="248" fontId="46" fillId="0" borderId="99"/>
    <xf numFmtId="192" fontId="9" fillId="3" borderId="99">
      <alignment horizontal="right" vertical="center"/>
    </xf>
    <xf numFmtId="180" fontId="9" fillId="3" borderId="99">
      <alignment horizontal="right" vertical="center"/>
    </xf>
    <xf numFmtId="186" fontId="146" fillId="3" borderId="99" applyBorder="0">
      <alignment horizontal="left" vertical="center"/>
    </xf>
    <xf numFmtId="0" fontId="165" fillId="0" borderId="99" applyFill="0" applyProtection="0">
      <alignment horizontal="center"/>
    </xf>
    <xf numFmtId="0" fontId="166" fillId="0" borderId="99">
      <alignment horizontal="center"/>
    </xf>
    <xf numFmtId="264" fontId="12" fillId="14" borderId="99" applyFont="0" applyFill="0" applyBorder="0" applyAlignment="0" applyProtection="0">
      <alignment horizontal="right"/>
    </xf>
    <xf numFmtId="0" fontId="210" fillId="0" borderId="99" applyNumberFormat="0" applyFill="0" applyBorder="0" applyAlignment="0">
      <protection locked="0"/>
    </xf>
    <xf numFmtId="254" fontId="240" fillId="0" borderId="99" applyBorder="0" applyProtection="0">
      <alignment horizontal="right" vertical="center"/>
    </xf>
    <xf numFmtId="0" fontId="241" fillId="94" borderId="99" applyBorder="0" applyProtection="0">
      <alignment horizontal="centerContinuous" vertical="center"/>
    </xf>
    <xf numFmtId="246" fontId="249" fillId="0" borderId="99" applyFill="0" applyProtection="0">
      <alignment horizontal="center"/>
    </xf>
    <xf numFmtId="246" fontId="250" fillId="0" borderId="99" applyFill="0" applyProtection="0">
      <alignment horizontal="center"/>
    </xf>
    <xf numFmtId="0" fontId="50" fillId="106" borderId="0" applyNumberFormat="0" applyBorder="0" applyAlignment="0" applyProtection="0"/>
    <xf numFmtId="0" fontId="286" fillId="54" borderId="109" applyNumberFormat="0" applyAlignment="0" applyProtection="0"/>
    <xf numFmtId="0" fontId="1" fillId="0" borderId="0"/>
    <xf numFmtId="43" fontId="50" fillId="0" borderId="0" applyFont="0" applyFill="0" applyBorder="0" applyAlignment="0" applyProtection="0"/>
    <xf numFmtId="0" fontId="50" fillId="104" borderId="0" applyNumberFormat="0" applyBorder="0" applyAlignment="0" applyProtection="0"/>
    <xf numFmtId="0" fontId="288" fillId="0" borderId="110" applyNumberFormat="0" applyFill="0" applyAlignment="0" applyProtection="0"/>
    <xf numFmtId="0" fontId="287" fillId="0" borderId="0" applyNumberForma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272" fillId="0" borderId="0" applyNumberFormat="0" applyFill="0" applyBorder="0" applyAlignment="0" applyProtection="0"/>
    <xf numFmtId="43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241" fillId="94" borderId="170" applyBorder="0" applyProtection="0">
      <alignment horizontal="centerContinuous" vertical="center"/>
    </xf>
    <xf numFmtId="0" fontId="166" fillId="0" borderId="170">
      <alignment horizontal="center"/>
    </xf>
    <xf numFmtId="0" fontId="2" fillId="0" borderId="66" applyNumberFormat="0" applyAlignment="0" applyProtection="0"/>
    <xf numFmtId="0" fontId="214" fillId="0" borderId="68" applyNumberFormat="0" applyFont="0" applyFill="0" applyAlignment="0" applyProtection="0"/>
    <xf numFmtId="246" fontId="250" fillId="0" borderId="99" applyFill="0" applyProtection="0">
      <alignment horizontal="center"/>
    </xf>
    <xf numFmtId="246" fontId="249" fillId="0" borderId="99" applyFill="0" applyProtection="0">
      <alignment horizontal="center"/>
    </xf>
    <xf numFmtId="0" fontId="241" fillId="94" borderId="99" applyBorder="0" applyProtection="0">
      <alignment horizontal="centerContinuous" vertical="center"/>
    </xf>
    <xf numFmtId="254" fontId="240" fillId="0" borderId="99" applyBorder="0" applyProtection="0">
      <alignment horizontal="right" vertical="center"/>
    </xf>
    <xf numFmtId="0" fontId="210" fillId="0" borderId="99" applyNumberFormat="0" applyFill="0" applyBorder="0" applyAlignment="0">
      <protection locked="0"/>
    </xf>
    <xf numFmtId="264" fontId="12" fillId="14" borderId="99" applyFont="0" applyFill="0" applyBorder="0" applyAlignment="0" applyProtection="0">
      <alignment horizontal="right"/>
    </xf>
    <xf numFmtId="0" fontId="166" fillId="0" borderId="99">
      <alignment horizontal="center"/>
    </xf>
    <xf numFmtId="0" fontId="165" fillId="0" borderId="99" applyFill="0" applyProtection="0">
      <alignment horizontal="center"/>
    </xf>
    <xf numFmtId="186" fontId="146" fillId="3" borderId="99" applyBorder="0">
      <alignment horizontal="left" vertical="center"/>
    </xf>
    <xf numFmtId="180" fontId="9" fillId="3" borderId="99">
      <alignment horizontal="right" vertical="center"/>
    </xf>
    <xf numFmtId="192" fontId="9" fillId="3" borderId="99">
      <alignment horizontal="right" vertical="center"/>
    </xf>
    <xf numFmtId="248" fontId="46" fillId="0" borderId="99"/>
    <xf numFmtId="0" fontId="12" fillId="0" borderId="99" applyNumberFormat="0" applyFill="0" applyBorder="0" applyAlignment="0" applyProtection="0">
      <alignment horizontal="center"/>
    </xf>
    <xf numFmtId="0" fontId="113" fillId="0" borderId="99" applyNumberFormat="0" applyFill="0" applyAlignment="0" applyProtection="0"/>
    <xf numFmtId="222" fontId="79" fillId="0" borderId="96" applyBorder="0"/>
    <xf numFmtId="0" fontId="101" fillId="0" borderId="99" applyBorder="0"/>
    <xf numFmtId="222" fontId="79" fillId="0" borderId="96" applyBorder="0"/>
    <xf numFmtId="0" fontId="75" fillId="0" borderId="44" applyNumberFormat="0" applyFont="0" applyFill="0" applyAlignment="0" applyProtection="0"/>
    <xf numFmtId="186" fontId="146" fillId="3" borderId="51">
      <alignment horizontal="left"/>
    </xf>
    <xf numFmtId="186" fontId="140" fillId="3" borderId="54">
      <alignment horizontal="center" vertical="center"/>
    </xf>
    <xf numFmtId="0" fontId="2" fillId="0" borderId="66" applyNumberFormat="0" applyAlignment="0" applyProtection="0"/>
    <xf numFmtId="0" fontId="214" fillId="0" borderId="68" applyNumberFormat="0" applyFont="0" applyFill="0" applyAlignment="0" applyProtection="0"/>
    <xf numFmtId="0" fontId="25" fillId="10" borderId="82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25" fillId="10" borderId="89" applyNumberFormat="0" applyProtection="0">
      <alignment horizontal="left" vertical="top"/>
    </xf>
    <xf numFmtId="0" fontId="78" fillId="14" borderId="46" applyFont="0" applyFill="0" applyBorder="0" applyAlignment="0" applyProtection="0"/>
    <xf numFmtId="222" fontId="79" fillId="0" borderId="96" applyBorder="0"/>
    <xf numFmtId="0" fontId="78" fillId="14" borderId="112" applyFont="0" applyFill="0" applyBorder="0" applyAlignment="0" applyProtection="0"/>
    <xf numFmtId="186" fontId="146" fillId="3" borderId="51">
      <alignment horizontal="left"/>
    </xf>
    <xf numFmtId="44" fontId="50" fillId="0" borderId="0" applyFont="0" applyFill="0" applyBorder="0" applyAlignment="0" applyProtection="0"/>
    <xf numFmtId="0" fontId="78" fillId="14" borderId="46" applyFont="0" applyFill="0" applyBorder="0" applyAlignment="0" applyProtection="0"/>
    <xf numFmtId="222" fontId="79" fillId="0" borderId="96" applyBorder="0"/>
    <xf numFmtId="0" fontId="2" fillId="0" borderId="115" applyNumberFormat="0" applyAlignment="0" applyProtection="0"/>
    <xf numFmtId="0" fontId="78" fillId="14" borderId="46" applyFont="0" applyFill="0" applyBorder="0" applyAlignment="0" applyProtection="0"/>
    <xf numFmtId="0" fontId="25" fillId="10" borderId="89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2" applyNumberFormat="0" applyProtection="0">
      <alignment horizontal="left" vertical="top"/>
    </xf>
    <xf numFmtId="0" fontId="25" fillId="10" borderId="118" applyNumberFormat="0" applyProtection="0">
      <alignment horizontal="left" vertical="top"/>
    </xf>
    <xf numFmtId="0" fontId="214" fillId="0" borderId="68" applyNumberFormat="0" applyFont="0" applyFill="0" applyAlignment="0" applyProtection="0"/>
    <xf numFmtId="0" fontId="2" fillId="0" borderId="66" applyNumberFormat="0" applyAlignment="0" applyProtection="0"/>
    <xf numFmtId="186" fontId="140" fillId="3" borderId="54">
      <alignment horizontal="center" vertical="center"/>
    </xf>
    <xf numFmtId="186" fontId="146" fillId="3" borderId="51">
      <alignment horizontal="left"/>
    </xf>
    <xf numFmtId="0" fontId="25" fillId="10" borderId="120" applyNumberFormat="0" applyProtection="0">
      <alignment horizontal="left" vertical="top"/>
    </xf>
    <xf numFmtId="0" fontId="75" fillId="0" borderId="44" applyNumberFormat="0" applyFont="0" applyFill="0" applyAlignment="0" applyProtection="0"/>
    <xf numFmtId="222" fontId="79" fillId="0" borderId="96" applyBorder="0"/>
    <xf numFmtId="0" fontId="101" fillId="0" borderId="99" applyBorder="0"/>
    <xf numFmtId="222" fontId="79" fillId="0" borderId="96" applyBorder="0"/>
    <xf numFmtId="0" fontId="113" fillId="0" borderId="99" applyNumberFormat="0" applyFill="0" applyAlignment="0" applyProtection="0"/>
    <xf numFmtId="0" fontId="12" fillId="0" borderId="99" applyNumberFormat="0" applyFill="0" applyBorder="0" applyAlignment="0" applyProtection="0">
      <alignment horizontal="center"/>
    </xf>
    <xf numFmtId="248" fontId="46" fillId="0" borderId="99"/>
    <xf numFmtId="192" fontId="9" fillId="3" borderId="99">
      <alignment horizontal="right" vertical="center"/>
    </xf>
    <xf numFmtId="180" fontId="9" fillId="3" borderId="99">
      <alignment horizontal="right" vertical="center"/>
    </xf>
    <xf numFmtId="186" fontId="146" fillId="3" borderId="99" applyBorder="0">
      <alignment horizontal="left" vertical="center"/>
    </xf>
    <xf numFmtId="0" fontId="165" fillId="0" borderId="99" applyFill="0" applyProtection="0">
      <alignment horizontal="center"/>
    </xf>
    <xf numFmtId="0" fontId="166" fillId="0" borderId="99">
      <alignment horizontal="center"/>
    </xf>
    <xf numFmtId="264" fontId="12" fillId="14" borderId="99" applyFont="0" applyFill="0" applyBorder="0" applyAlignment="0" applyProtection="0">
      <alignment horizontal="right"/>
    </xf>
    <xf numFmtId="0" fontId="210" fillId="0" borderId="99" applyNumberFormat="0" applyFill="0" applyBorder="0" applyAlignment="0">
      <protection locked="0"/>
    </xf>
    <xf numFmtId="254" fontId="240" fillId="0" borderId="99" applyBorder="0" applyProtection="0">
      <alignment horizontal="right" vertical="center"/>
    </xf>
    <xf numFmtId="0" fontId="241" fillId="94" borderId="99" applyBorder="0" applyProtection="0">
      <alignment horizontal="centerContinuous" vertical="center"/>
    </xf>
    <xf numFmtId="246" fontId="249" fillId="0" borderId="99" applyFill="0" applyProtection="0">
      <alignment horizontal="center"/>
    </xf>
    <xf numFmtId="246" fontId="250" fillId="0" borderId="99" applyFill="0" applyProtection="0">
      <alignment horizontal="center"/>
    </xf>
    <xf numFmtId="186" fontId="140" fillId="3" borderId="114">
      <alignment horizontal="center" vertical="center"/>
    </xf>
    <xf numFmtId="0" fontId="78" fillId="14" borderId="46" applyFont="0" applyFill="0" applyBorder="0" applyAlignment="0" applyProtection="0"/>
    <xf numFmtId="222" fontId="79" fillId="0" borderId="121" applyBorder="0"/>
    <xf numFmtId="0" fontId="78" fillId="14" borderId="124" applyFont="0" applyFill="0" applyBorder="0" applyAlignment="0" applyProtection="0"/>
    <xf numFmtId="0" fontId="25" fillId="10" borderId="132" applyNumberFormat="0" applyProtection="0">
      <alignment horizontal="left" vertical="top"/>
    </xf>
    <xf numFmtId="0" fontId="25" fillId="10" borderId="131" applyNumberFormat="0" applyProtection="0">
      <alignment horizontal="left" vertical="top"/>
    </xf>
    <xf numFmtId="0" fontId="25" fillId="10" borderId="130" applyNumberFormat="0" applyProtection="0">
      <alignment horizontal="left" vertical="top"/>
    </xf>
    <xf numFmtId="0" fontId="25" fillId="10" borderId="129" applyNumberFormat="0" applyProtection="0">
      <alignment horizontal="left" vertical="top"/>
    </xf>
    <xf numFmtId="0" fontId="214" fillId="0" borderId="128" applyNumberFormat="0" applyFont="0" applyFill="0" applyAlignment="0" applyProtection="0"/>
    <xf numFmtId="0" fontId="2" fillId="0" borderId="127" applyNumberFormat="0" applyAlignment="0" applyProtection="0"/>
    <xf numFmtId="186" fontId="140" fillId="3" borderId="126">
      <alignment horizontal="center" vertical="center"/>
    </xf>
    <xf numFmtId="186" fontId="146" fillId="3" borderId="125">
      <alignment horizontal="left"/>
    </xf>
    <xf numFmtId="0" fontId="75" fillId="0" borderId="123" applyNumberFormat="0" applyFont="0" applyFill="0" applyAlignment="0" applyProtection="0"/>
    <xf numFmtId="222" fontId="79" fillId="0" borderId="133" applyBorder="0"/>
    <xf numFmtId="0" fontId="101" fillId="0" borderId="134" applyBorder="0"/>
    <xf numFmtId="222" fontId="79" fillId="0" borderId="133" applyBorder="0"/>
    <xf numFmtId="0" fontId="113" fillId="0" borderId="134" applyNumberFormat="0" applyFill="0" applyAlignment="0" applyProtection="0"/>
    <xf numFmtId="0" fontId="12" fillId="0" borderId="134" applyNumberFormat="0" applyFill="0" applyBorder="0" applyAlignment="0" applyProtection="0">
      <alignment horizontal="center"/>
    </xf>
    <xf numFmtId="248" fontId="46" fillId="0" borderId="134"/>
    <xf numFmtId="192" fontId="9" fillId="3" borderId="134">
      <alignment horizontal="right" vertical="center"/>
    </xf>
    <xf numFmtId="180" fontId="9" fillId="3" borderId="134">
      <alignment horizontal="right" vertical="center"/>
    </xf>
    <xf numFmtId="186" fontId="146" fillId="3" borderId="134" applyBorder="0">
      <alignment horizontal="left" vertical="center"/>
    </xf>
    <xf numFmtId="0" fontId="165" fillId="0" borderId="134" applyFill="0" applyProtection="0">
      <alignment horizontal="center"/>
    </xf>
    <xf numFmtId="0" fontId="166" fillId="0" borderId="134">
      <alignment horizontal="center"/>
    </xf>
    <xf numFmtId="264" fontId="12" fillId="14" borderId="134" applyFont="0" applyFill="0" applyBorder="0" applyAlignment="0" applyProtection="0">
      <alignment horizontal="right"/>
    </xf>
    <xf numFmtId="0" fontId="210" fillId="0" borderId="134" applyNumberFormat="0" applyFill="0" applyBorder="0" applyAlignment="0">
      <protection locked="0"/>
    </xf>
    <xf numFmtId="254" fontId="240" fillId="0" borderId="134" applyBorder="0" applyProtection="0">
      <alignment horizontal="right" vertical="center"/>
    </xf>
    <xf numFmtId="0" fontId="241" fillId="94" borderId="134" applyBorder="0" applyProtection="0">
      <alignment horizontal="centerContinuous" vertical="center"/>
    </xf>
    <xf numFmtId="246" fontId="249" fillId="0" borderId="134" applyFill="0" applyProtection="0">
      <alignment horizontal="center"/>
    </xf>
    <xf numFmtId="246" fontId="250" fillId="0" borderId="134" applyFill="0" applyProtection="0">
      <alignment horizontal="center"/>
    </xf>
    <xf numFmtId="222" fontId="79" fillId="0" borderId="145" applyBorder="0"/>
    <xf numFmtId="0" fontId="78" fillId="14" borderId="148" applyFont="0" applyFill="0" applyBorder="0" applyAlignment="0" applyProtection="0"/>
    <xf numFmtId="0" fontId="25" fillId="10" borderId="156" applyNumberFormat="0" applyProtection="0">
      <alignment horizontal="left" vertical="top"/>
    </xf>
    <xf numFmtId="0" fontId="25" fillId="10" borderId="155" applyNumberFormat="0" applyProtection="0">
      <alignment horizontal="left" vertical="top"/>
    </xf>
    <xf numFmtId="0" fontId="25" fillId="10" borderId="154" applyNumberFormat="0" applyProtection="0">
      <alignment horizontal="left" vertical="top"/>
    </xf>
    <xf numFmtId="0" fontId="25" fillId="10" borderId="153" applyNumberFormat="0" applyProtection="0">
      <alignment horizontal="left" vertical="top"/>
    </xf>
    <xf numFmtId="0" fontId="214" fillId="0" borderId="152" applyNumberFormat="0" applyFont="0" applyFill="0" applyAlignment="0" applyProtection="0"/>
    <xf numFmtId="0" fontId="2" fillId="0" borderId="151" applyNumberFormat="0" applyAlignment="0" applyProtection="0"/>
    <xf numFmtId="186" fontId="140" fillId="3" borderId="150">
      <alignment horizontal="center" vertical="center"/>
    </xf>
    <xf numFmtId="186" fontId="146" fillId="3" borderId="149">
      <alignment horizontal="left"/>
    </xf>
    <xf numFmtId="0" fontId="75" fillId="0" borderId="147" applyNumberFormat="0" applyFont="0" applyFill="0" applyAlignment="0" applyProtection="0"/>
    <xf numFmtId="222" fontId="79" fillId="0" borderId="157" applyBorder="0"/>
    <xf numFmtId="0" fontId="101" fillId="0" borderId="158" applyBorder="0"/>
    <xf numFmtId="222" fontId="79" fillId="0" borderId="157" applyBorder="0"/>
    <xf numFmtId="0" fontId="113" fillId="0" borderId="158" applyNumberFormat="0" applyFill="0" applyAlignment="0" applyProtection="0"/>
    <xf numFmtId="0" fontId="12" fillId="0" borderId="158" applyNumberFormat="0" applyFill="0" applyBorder="0" applyAlignment="0" applyProtection="0">
      <alignment horizontal="center"/>
    </xf>
    <xf numFmtId="248" fontId="46" fillId="0" borderId="158"/>
    <xf numFmtId="192" fontId="9" fillId="3" borderId="158">
      <alignment horizontal="right" vertical="center"/>
    </xf>
    <xf numFmtId="180" fontId="9" fillId="3" borderId="158">
      <alignment horizontal="right" vertical="center"/>
    </xf>
    <xf numFmtId="186" fontId="146" fillId="3" borderId="158" applyBorder="0">
      <alignment horizontal="left" vertical="center"/>
    </xf>
    <xf numFmtId="0" fontId="165" fillId="0" borderId="158" applyFill="0" applyProtection="0">
      <alignment horizontal="center"/>
    </xf>
    <xf numFmtId="0" fontId="166" fillId="0" borderId="158">
      <alignment horizontal="center"/>
    </xf>
    <xf numFmtId="264" fontId="12" fillId="14" borderId="158" applyFont="0" applyFill="0" applyBorder="0" applyAlignment="0" applyProtection="0">
      <alignment horizontal="right"/>
    </xf>
    <xf numFmtId="0" fontId="210" fillId="0" borderId="158" applyNumberFormat="0" applyFill="0" applyBorder="0" applyAlignment="0">
      <protection locked="0"/>
    </xf>
    <xf numFmtId="254" fontId="240" fillId="0" borderId="158" applyBorder="0" applyProtection="0">
      <alignment horizontal="right" vertical="center"/>
    </xf>
    <xf numFmtId="0" fontId="241" fillId="94" borderId="158" applyBorder="0" applyProtection="0">
      <alignment horizontal="centerContinuous" vertical="center"/>
    </xf>
    <xf numFmtId="246" fontId="249" fillId="0" borderId="158" applyFill="0" applyProtection="0">
      <alignment horizontal="center"/>
    </xf>
    <xf numFmtId="246" fontId="250" fillId="0" borderId="158" applyFill="0" applyProtection="0">
      <alignment horizontal="center"/>
    </xf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75" fillId="0" borderId="171" applyNumberFormat="0" applyFont="0" applyFill="0" applyAlignment="0" applyProtection="0"/>
    <xf numFmtId="243" fontId="48" fillId="0" borderId="100" applyFont="0" applyFill="0" applyBorder="0" applyAlignment="0" applyProtection="0"/>
    <xf numFmtId="0" fontId="78" fillId="14" borderId="172" applyFont="0" applyFill="0" applyBorder="0" applyAlignment="0" applyProtection="0"/>
    <xf numFmtId="186" fontId="146" fillId="3" borderId="173">
      <alignment horizontal="left"/>
    </xf>
    <xf numFmtId="186" fontId="140" fillId="3" borderId="174">
      <alignment horizontal="center" vertical="center"/>
    </xf>
    <xf numFmtId="0" fontId="2" fillId="0" borderId="175" applyNumberFormat="0" applyAlignment="0" applyProtection="0"/>
    <xf numFmtId="0" fontId="214" fillId="0" borderId="176" applyNumberFormat="0" applyFont="0" applyFill="0" applyAlignment="0" applyProtection="0"/>
    <xf numFmtId="0" fontId="25" fillId="10" borderId="177" applyNumberFormat="0" applyProtection="0">
      <alignment horizontal="left" vertical="top"/>
    </xf>
    <xf numFmtId="0" fontId="25" fillId="10" borderId="178" applyNumberFormat="0" applyProtection="0">
      <alignment horizontal="left" vertical="top"/>
    </xf>
    <xf numFmtId="0" fontId="25" fillId="10" borderId="179" applyNumberFormat="0" applyProtection="0">
      <alignment horizontal="left" vertical="top"/>
    </xf>
    <xf numFmtId="0" fontId="25" fillId="10" borderId="180" applyNumberFormat="0" applyProtection="0">
      <alignment horizontal="left" vertical="top"/>
    </xf>
    <xf numFmtId="10" fontId="12" fillId="3" borderId="94" applyNumberFormat="0" applyFont="0" applyFill="0" applyBorder="0" applyAlignment="0">
      <protection locked="0"/>
    </xf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43" fontId="48" fillId="0" borderId="10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43" fontId="290" fillId="0" borderId="0" applyFont="0" applyFill="0" applyBorder="0" applyAlignment="0" applyProtection="0"/>
    <xf numFmtId="0" fontId="51" fillId="0" borderId="0"/>
    <xf numFmtId="0" fontId="290" fillId="0" borderId="0"/>
    <xf numFmtId="0" fontId="51" fillId="0" borderId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" fontId="154" fillId="65" borderId="181" applyNumberFormat="0" applyBorder="0" applyAlignment="0">
      <alignment horizontal="centerContinuous" vertical="center"/>
      <protection locked="0"/>
    </xf>
    <xf numFmtId="0" fontId="12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246" fontId="250" fillId="0" borderId="170" applyFill="0" applyProtection="0">
      <alignment horizontal="center"/>
    </xf>
    <xf numFmtId="246" fontId="249" fillId="0" borderId="170" applyFill="0" applyProtection="0">
      <alignment horizontal="center"/>
    </xf>
    <xf numFmtId="0" fontId="241" fillId="94" borderId="170" applyBorder="0" applyProtection="0">
      <alignment horizontal="centerContinuous" vertical="center"/>
    </xf>
    <xf numFmtId="254" fontId="240" fillId="0" borderId="170" applyBorder="0" applyProtection="0">
      <alignment horizontal="right" vertical="center"/>
    </xf>
    <xf numFmtId="0" fontId="12" fillId="0" borderId="42" applyNumberFormat="0" applyFill="0" applyBorder="0" applyAlignment="0" applyProtection="0"/>
    <xf numFmtId="0" fontId="25" fillId="10" borderId="91" applyNumberFormat="0" applyProtection="0">
      <alignment horizontal="left" vertical="top"/>
    </xf>
    <xf numFmtId="0" fontId="25" fillId="10" borderId="90" applyNumberFormat="0" applyProtection="0">
      <alignment horizontal="left" vertical="top"/>
    </xf>
    <xf numFmtId="0" fontId="25" fillId="10" borderId="88" applyNumberFormat="0" applyProtection="0">
      <alignment horizontal="left" vertical="top"/>
    </xf>
    <xf numFmtId="0" fontId="25" fillId="10" borderId="86" applyNumberFormat="0" applyProtection="0">
      <alignment horizontal="left" vertical="top"/>
    </xf>
    <xf numFmtId="0" fontId="25" fillId="10" borderId="81" applyNumberFormat="0" applyProtection="0">
      <alignment horizontal="left" vertical="top"/>
    </xf>
    <xf numFmtId="0" fontId="25" fillId="10" borderId="80" applyNumberFormat="0" applyProtection="0">
      <alignment horizontal="left" vertical="top"/>
    </xf>
    <xf numFmtId="0" fontId="25" fillId="10" borderId="78" applyNumberFormat="0" applyProtection="0">
      <alignment horizontal="left"/>
    </xf>
    <xf numFmtId="0" fontId="12" fillId="10" borderId="55" applyNumberFormat="0" applyFont="0" applyProtection="0"/>
    <xf numFmtId="0" fontId="12" fillId="10" borderId="55" applyNumberFormat="0" applyFont="0" applyAlignment="0" applyProtection="0"/>
    <xf numFmtId="0" fontId="12" fillId="3" borderId="55" applyNumberFormat="0" applyFont="0" applyAlignment="0" applyProtection="0"/>
    <xf numFmtId="293" fontId="234" fillId="10" borderId="55" applyFont="0" applyProtection="0"/>
    <xf numFmtId="169" fontId="234" fillId="10" borderId="55" applyFont="0" applyProtection="0"/>
    <xf numFmtId="293" fontId="234" fillId="10" borderId="55" applyFont="0" applyProtection="0"/>
    <xf numFmtId="293" fontId="234" fillId="3" borderId="55" applyFont="0" applyProtection="0"/>
    <xf numFmtId="169" fontId="234" fillId="3" borderId="55" applyFont="0" applyProtection="0"/>
    <xf numFmtId="0" fontId="25" fillId="10" borderId="55" applyNumberFormat="0" applyProtection="0">
      <alignment horizontal="center" vertical="top"/>
    </xf>
    <xf numFmtId="0" fontId="25" fillId="10" borderId="55" applyNumberFormat="0" applyProtection="0">
      <alignment horizontal="center" vertical="top"/>
    </xf>
    <xf numFmtId="243" fontId="48" fillId="0" borderId="100" applyFont="0" applyFill="0" applyBorder="0" applyAlignment="0" applyProtection="0"/>
    <xf numFmtId="0" fontId="210" fillId="0" borderId="170" applyNumberFormat="0" applyFill="0" applyBorder="0" applyAlignment="0">
      <protection locked="0"/>
    </xf>
    <xf numFmtId="188" fontId="25" fillId="0" borderId="98" applyFont="0" applyFill="0" applyBorder="0" applyAlignment="0" applyProtection="0">
      <alignment horizontal="center"/>
    </xf>
    <xf numFmtId="264" fontId="12" fillId="14" borderId="170" applyFont="0" applyFill="0" applyBorder="0" applyAlignment="0" applyProtection="0">
      <alignment horizontal="right"/>
    </xf>
    <xf numFmtId="0" fontId="25" fillId="69" borderId="55">
      <alignment horizontal="left" vertical="center" wrapText="1"/>
    </xf>
    <xf numFmtId="0" fontId="166" fillId="0" borderId="170">
      <alignment horizontal="center"/>
    </xf>
    <xf numFmtId="0" fontId="165" fillId="0" borderId="170" applyFill="0" applyProtection="0">
      <alignment horizontal="center"/>
    </xf>
    <xf numFmtId="0" fontId="159" fillId="67" borderId="55"/>
    <xf numFmtId="0" fontId="159" fillId="0" borderId="55"/>
    <xf numFmtId="0" fontId="135" fillId="0" borderId="55"/>
    <xf numFmtId="0" fontId="135" fillId="0" borderId="55"/>
    <xf numFmtId="186" fontId="48" fillId="3" borderId="3">
      <alignment vertical="center"/>
    </xf>
    <xf numFmtId="186" fontId="146" fillId="3" borderId="170" applyBorder="0">
      <alignment horizontal="left" vertical="center"/>
    </xf>
    <xf numFmtId="180" fontId="9" fillId="3" borderId="170">
      <alignment horizontal="right" vertical="center"/>
    </xf>
    <xf numFmtId="192" fontId="9" fillId="3" borderId="170">
      <alignment horizontal="right" vertical="center"/>
    </xf>
    <xf numFmtId="182" fontId="145" fillId="3" borderId="3">
      <alignment horizontal="right" vertical="center"/>
    </xf>
    <xf numFmtId="0" fontId="48" fillId="0" borderId="3" applyFont="0" applyFill="0" applyBorder="0" applyAlignment="0" applyProtection="0">
      <alignment horizontal="center"/>
    </xf>
    <xf numFmtId="0" fontId="74" fillId="0" borderId="3" applyFont="0" applyFill="0" applyBorder="0" applyAlignment="0" applyProtection="0">
      <alignment horizontal="center"/>
    </xf>
    <xf numFmtId="243" fontId="48" fillId="0" borderId="100" applyFont="0" applyFill="0" applyBorder="0" applyAlignment="0" applyProtection="0"/>
    <xf numFmtId="0" fontId="12" fillId="0" borderId="170" applyNumberFormat="0" applyFill="0" applyBorder="0" applyAlignment="0" applyProtection="0">
      <alignment horizontal="center"/>
    </xf>
    <xf numFmtId="5" fontId="114" fillId="0" borderId="3" applyAlignment="0" applyProtection="0"/>
    <xf numFmtId="0" fontId="113" fillId="0" borderId="170" applyNumberFormat="0" applyFill="0" applyAlignment="0" applyProtection="0"/>
    <xf numFmtId="0" fontId="48" fillId="0" borderId="42" applyNumberFormat="0" applyFill="0" applyAlignment="0" applyProtection="0"/>
    <xf numFmtId="0" fontId="105" fillId="0" borderId="42" applyNumberFormat="0" applyFill="0" applyBorder="0" applyAlignment="0" applyProtection="0"/>
    <xf numFmtId="0" fontId="46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222" fontId="79" fillId="0" borderId="169" applyBorder="0"/>
    <xf numFmtId="0" fontId="101" fillId="0" borderId="170" applyBorder="0"/>
    <xf numFmtId="0" fontId="91" fillId="0" borderId="39" applyNumberFormat="0" applyFill="0" applyAlignment="0" applyProtection="0"/>
    <xf numFmtId="10" fontId="12" fillId="3" borderId="94" applyNumberFormat="0" applyFont="0" applyFill="0" applyBorder="0" applyAlignment="0">
      <protection locked="0"/>
    </xf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248" fontId="46" fillId="0" borderId="17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43" fontId="48" fillId="0" borderId="10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0" fontId="12" fillId="0" borderId="0">
      <alignment vertical="center"/>
    </xf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43" fontId="48" fillId="0" borderId="10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0" fontId="291" fillId="0" borderId="0" applyNumberForma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243" fontId="48" fillId="0" borderId="10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0" fontId="91" fillId="0" borderId="39" applyNumberFormat="0" applyFill="0" applyAlignment="0" applyProtection="0"/>
    <xf numFmtId="0" fontId="101" fillId="0" borderId="170" applyBorder="0"/>
    <xf numFmtId="222" fontId="79" fillId="0" borderId="169" applyBorder="0"/>
    <xf numFmtId="0" fontId="113" fillId="0" borderId="170" applyNumberFormat="0" applyFill="0" applyAlignment="0" applyProtection="0"/>
    <xf numFmtId="0" fontId="75" fillId="0" borderId="171" applyNumberFormat="0" applyFont="0" applyFill="0" applyAlignment="0" applyProtection="0"/>
    <xf numFmtId="0" fontId="12" fillId="0" borderId="170" applyNumberFormat="0" applyFill="0" applyBorder="0" applyAlignment="0" applyProtection="0">
      <alignment horizontal="center"/>
    </xf>
    <xf numFmtId="248" fontId="46" fillId="0" borderId="170"/>
    <xf numFmtId="192" fontId="9" fillId="3" borderId="170">
      <alignment horizontal="right" vertical="center"/>
    </xf>
    <xf numFmtId="180" fontId="9" fillId="3" borderId="170">
      <alignment horizontal="right" vertical="center"/>
    </xf>
    <xf numFmtId="186" fontId="146" fillId="3" borderId="170" applyBorder="0">
      <alignment horizontal="left" vertical="center"/>
    </xf>
    <xf numFmtId="186" fontId="146" fillId="3" borderId="173">
      <alignment horizontal="left"/>
    </xf>
    <xf numFmtId="186" fontId="140" fillId="3" borderId="174">
      <alignment horizontal="center" vertical="center"/>
    </xf>
    <xf numFmtId="0" fontId="165" fillId="0" borderId="170" applyFill="0" applyProtection="0">
      <alignment horizontal="center"/>
    </xf>
    <xf numFmtId="0" fontId="166" fillId="0" borderId="170">
      <alignment horizontal="center"/>
    </xf>
    <xf numFmtId="264" fontId="12" fillId="14" borderId="170" applyFont="0" applyFill="0" applyBorder="0" applyAlignment="0" applyProtection="0">
      <alignment horizontal="right"/>
    </xf>
    <xf numFmtId="0" fontId="210" fillId="0" borderId="170" applyNumberFormat="0" applyFill="0" applyBorder="0" applyAlignment="0">
      <protection locked="0"/>
    </xf>
    <xf numFmtId="0" fontId="2" fillId="0" borderId="175" applyNumberFormat="0" applyAlignment="0" applyProtection="0"/>
    <xf numFmtId="0" fontId="214" fillId="0" borderId="176" applyNumberFormat="0" applyFont="0" applyFill="0" applyAlignment="0" applyProtection="0"/>
    <xf numFmtId="0" fontId="25" fillId="10" borderId="177" applyNumberFormat="0" applyProtection="0">
      <alignment horizontal="left" vertical="top"/>
    </xf>
    <xf numFmtId="0" fontId="25" fillId="10" borderId="178" applyNumberFormat="0" applyProtection="0">
      <alignment horizontal="left" vertical="top"/>
    </xf>
    <xf numFmtId="0" fontId="25" fillId="10" borderId="179" applyNumberFormat="0" applyProtection="0">
      <alignment horizontal="left" vertical="top"/>
    </xf>
    <xf numFmtId="0" fontId="25" fillId="10" borderId="180" applyNumberFormat="0" applyProtection="0">
      <alignment horizontal="left" vertical="top"/>
    </xf>
    <xf numFmtId="0" fontId="25" fillId="10" borderId="177" applyNumberFormat="0" applyProtection="0">
      <alignment horizontal="left" vertical="top"/>
    </xf>
    <xf numFmtId="0" fontId="25" fillId="10" borderId="178" applyNumberFormat="0" applyProtection="0">
      <alignment horizontal="left" vertical="top"/>
    </xf>
    <xf numFmtId="0" fontId="25" fillId="10" borderId="179" applyNumberFormat="0" applyProtection="0">
      <alignment horizontal="left" vertical="top"/>
    </xf>
    <xf numFmtId="0" fontId="25" fillId="10" borderId="180" applyNumberFormat="0" applyProtection="0">
      <alignment horizontal="left" vertical="top"/>
    </xf>
    <xf numFmtId="254" fontId="240" fillId="0" borderId="170" applyBorder="0" applyProtection="0">
      <alignment horizontal="right" vertical="center"/>
    </xf>
    <xf numFmtId="0" fontId="241" fillId="94" borderId="170" applyBorder="0" applyProtection="0">
      <alignment horizontal="centerContinuous" vertical="center"/>
    </xf>
    <xf numFmtId="246" fontId="249" fillId="0" borderId="170" applyFill="0" applyProtection="0">
      <alignment horizontal="center"/>
    </xf>
    <xf numFmtId="246" fontId="250" fillId="0" borderId="170" applyFill="0" applyProtection="0">
      <alignment horizontal="center"/>
    </xf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43" fontId="48" fillId="0" borderId="10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19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90" fontId="12" fillId="0" borderId="0"/>
    <xf numFmtId="190" fontId="12" fillId="0" borderId="0"/>
    <xf numFmtId="190" fontId="12" fillId="0" borderId="0"/>
    <xf numFmtId="190" fontId="1" fillId="0" borderId="0"/>
    <xf numFmtId="190" fontId="12" fillId="0" borderId="0"/>
    <xf numFmtId="190" fontId="75" fillId="0" borderId="0" applyBorder="0"/>
    <xf numFmtId="190" fontId="80" fillId="0" borderId="0" applyFont="0" applyFill="0" applyBorder="0" applyAlignment="0" applyProtection="0"/>
    <xf numFmtId="190" fontId="80" fillId="0" borderId="0" applyFont="0" applyFill="0" applyBorder="0" applyAlignment="0" applyProtection="0"/>
    <xf numFmtId="190" fontId="80" fillId="0" borderId="0" applyFont="0" applyFill="0" applyBorder="0" applyAlignment="0" applyProtection="0"/>
    <xf numFmtId="190" fontId="80" fillId="0" borderId="0" applyFont="0" applyFill="0" applyBorder="0" applyAlignment="0" applyProtection="0"/>
    <xf numFmtId="190" fontId="80" fillId="0" borderId="0" applyFont="0" applyFill="0" applyBorder="0" applyAlignment="0" applyProtection="0"/>
    <xf numFmtId="190" fontId="80" fillId="0" borderId="0" applyFont="0" applyFill="0" applyBorder="0" applyAlignment="0" applyProtection="0"/>
    <xf numFmtId="190" fontId="85" fillId="0" borderId="0" applyNumberFormat="0" applyFont="0" applyFill="0" applyBorder="0" applyAlignment="0" applyProtection="0"/>
    <xf numFmtId="190" fontId="12" fillId="0" borderId="0"/>
    <xf numFmtId="190" fontId="12" fillId="0" borderId="0"/>
    <xf numFmtId="190" fontId="2" fillId="0" borderId="0" applyFont="0" applyFill="0" applyBorder="0" applyAlignment="0"/>
    <xf numFmtId="190" fontId="12" fillId="0" borderId="0" applyNumberFormat="0" applyFill="0" applyBorder="0" applyAlignment="0" applyProtection="0"/>
    <xf numFmtId="190" fontId="12" fillId="0" borderId="0" applyNumberFormat="0" applyFill="0" applyBorder="0" applyAlignment="0" applyProtection="0"/>
    <xf numFmtId="190" fontId="85" fillId="0" borderId="0" applyNumberFormat="0" applyFill="0" applyBorder="0" applyAlignment="0" applyProtection="0"/>
    <xf numFmtId="190" fontId="12" fillId="0" borderId="0" applyNumberFormat="0" applyFill="0" applyBorder="0" applyAlignment="0" applyProtection="0"/>
    <xf numFmtId="190" fontId="12" fillId="0" borderId="0" applyNumberFormat="0" applyFill="0" applyBorder="0" applyAlignment="0" applyProtection="0"/>
    <xf numFmtId="190" fontId="12" fillId="0" borderId="0" applyNumberFormat="0" applyFill="0" applyBorder="0" applyAlignment="0" applyProtection="0"/>
    <xf numFmtId="190" fontId="12" fillId="0" borderId="0" applyFont="0" applyFill="0" applyBorder="0" applyAlignment="0" applyProtection="0"/>
    <xf numFmtId="190" fontId="12" fillId="0" borderId="0" applyFont="0" applyFill="0" applyBorder="0" applyAlignment="0" applyProtection="0"/>
    <xf numFmtId="190" fontId="88" fillId="0" borderId="0" applyNumberFormat="0" applyFill="0" applyBorder="0" applyAlignment="0" applyProtection="0"/>
    <xf numFmtId="190" fontId="12" fillId="51" borderId="0" applyNumberFormat="0" applyFont="0" applyAlignment="0" applyProtection="0"/>
    <xf numFmtId="190" fontId="12" fillId="0" borderId="0" applyNumberFormat="0" applyFill="0" applyBorder="0" applyAlignment="0" applyProtection="0"/>
    <xf numFmtId="190" fontId="12" fillId="0" borderId="0" applyNumberFormat="0" applyFill="0" applyBorder="0" applyAlignment="0" applyProtection="0"/>
    <xf numFmtId="190" fontId="12" fillId="0" borderId="0" applyNumberFormat="0" applyFill="0" applyBorder="0" applyAlignment="0" applyProtection="0"/>
    <xf numFmtId="190" fontId="12" fillId="0" borderId="0"/>
    <xf numFmtId="190" fontId="12" fillId="0" borderId="0" applyFont="0" applyFill="0" applyBorder="0" applyAlignment="0" applyProtection="0"/>
    <xf numFmtId="190" fontId="12" fillId="0" borderId="0" applyNumberFormat="0" applyFill="0" applyBorder="0" applyAlignment="0" applyProtection="0"/>
    <xf numFmtId="190" fontId="12" fillId="0" borderId="0" applyNumberFormat="0" applyFill="0" applyBorder="0" applyAlignment="0" applyProtection="0"/>
    <xf numFmtId="190" fontId="12" fillId="0" borderId="0" applyNumberFormat="0" applyFill="0" applyBorder="0" applyAlignment="0" applyProtection="0"/>
    <xf numFmtId="190" fontId="89" fillId="0" borderId="0"/>
    <xf numFmtId="190" fontId="90" fillId="0" borderId="0" applyNumberFormat="0" applyFill="0" applyBorder="0" applyProtection="0">
      <alignment vertical="top"/>
    </xf>
    <xf numFmtId="190" fontId="91" fillId="0" borderId="39" applyNumberFormat="0" applyFill="0" applyAlignment="0" applyProtection="0"/>
    <xf numFmtId="190" fontId="92" fillId="0" borderId="40" applyNumberFormat="0" applyFill="0" applyProtection="0">
      <alignment horizontal="center"/>
    </xf>
    <xf numFmtId="190" fontId="92" fillId="0" borderId="0" applyNumberFormat="0" applyFill="0" applyBorder="0" applyProtection="0">
      <alignment horizontal="left"/>
    </xf>
    <xf numFmtId="190" fontId="93" fillId="0" borderId="0" applyNumberFormat="0" applyFill="0" applyBorder="0" applyProtection="0">
      <alignment horizontal="centerContinuous"/>
    </xf>
    <xf numFmtId="190" fontId="12" fillId="0" borderId="0" applyNumberFormat="0" applyFill="0" applyBorder="0" applyAlignment="0" applyProtection="0"/>
    <xf numFmtId="190" fontId="12" fillId="0" borderId="0"/>
    <xf numFmtId="190" fontId="94" fillId="0" borderId="0" applyFont="0" applyFill="0" applyBorder="0" applyAlignment="0" applyProtection="0"/>
    <xf numFmtId="190" fontId="94" fillId="0" borderId="0" applyFont="0" applyFill="0" applyBorder="0" applyAlignment="0" applyProtection="0"/>
    <xf numFmtId="190" fontId="97" fillId="0" borderId="0"/>
    <xf numFmtId="190" fontId="97" fillId="0" borderId="0"/>
    <xf numFmtId="190" fontId="97" fillId="0" borderId="0"/>
    <xf numFmtId="190" fontId="2" fillId="0" borderId="0"/>
    <xf numFmtId="190" fontId="75" fillId="0" borderId="0"/>
    <xf numFmtId="190" fontId="12" fillId="0" borderId="0"/>
    <xf numFmtId="190" fontId="101" fillId="0" borderId="170" applyBorder="0"/>
    <xf numFmtId="190" fontId="103" fillId="0" borderId="0"/>
    <xf numFmtId="190" fontId="12" fillId="53" borderId="0" applyNumberFormat="0" applyFill="0" applyBorder="0" applyAlignment="0"/>
    <xf numFmtId="190" fontId="12" fillId="0" borderId="0" applyNumberFormat="0" applyFill="0" applyBorder="0" applyAlignment="0" applyProtection="0"/>
    <xf numFmtId="190" fontId="104" fillId="0" borderId="0" applyNumberFormat="0" applyFill="0" applyBorder="0" applyAlignment="0" applyProtection="0"/>
    <xf numFmtId="190" fontId="12" fillId="0" borderId="42" applyNumberFormat="0" applyFill="0" applyBorder="0" applyAlignment="0" applyProtection="0"/>
    <xf numFmtId="190" fontId="46" fillId="0" borderId="42" applyNumberFormat="0" applyFill="0" applyBorder="0" applyAlignment="0" applyProtection="0"/>
    <xf numFmtId="190" fontId="105" fillId="0" borderId="42" applyNumberFormat="0" applyFill="0" applyBorder="0" applyAlignment="0" applyProtection="0"/>
    <xf numFmtId="190" fontId="48" fillId="0" borderId="42" applyNumberFormat="0" applyFill="0" applyAlignment="0" applyProtection="0"/>
    <xf numFmtId="190" fontId="106" fillId="0" borderId="60">
      <protection hidden="1"/>
    </xf>
    <xf numFmtId="190" fontId="107" fillId="54" borderId="60" applyNumberFormat="0" applyFont="0" applyBorder="0" applyAlignment="0" applyProtection="0">
      <protection hidden="1"/>
    </xf>
    <xf numFmtId="190" fontId="110" fillId="0" borderId="0" applyNumberFormat="0" applyFill="0" applyBorder="0" applyAlignment="0" applyProtection="0"/>
    <xf numFmtId="190" fontId="12" fillId="0" borderId="0" applyNumberFormat="0" applyFont="0" applyAlignment="0" applyProtection="0"/>
    <xf numFmtId="190" fontId="112" fillId="0" borderId="0" applyNumberFormat="0"/>
    <xf numFmtId="190" fontId="113" fillId="0" borderId="170" applyNumberFormat="0" applyFill="0" applyAlignment="0" applyProtection="0"/>
    <xf numFmtId="190" fontId="75" fillId="0" borderId="15" applyNumberFormat="0" applyFont="0" applyFill="0" applyAlignment="0" applyProtection="0"/>
    <xf numFmtId="190" fontId="75" fillId="0" borderId="147" applyNumberFormat="0" applyFont="0" applyFill="0" applyAlignment="0" applyProtection="0"/>
    <xf numFmtId="190" fontId="94" fillId="0" borderId="0" applyFont="0" applyFill="0" applyBorder="0" applyAlignment="0" applyProtection="0"/>
    <xf numFmtId="190" fontId="117" fillId="0" borderId="0" applyFill="0" applyBorder="0" applyAlignment="0"/>
    <xf numFmtId="190" fontId="117" fillId="0" borderId="0" applyFill="0" applyBorder="0" applyAlignment="0"/>
    <xf numFmtId="190" fontId="117" fillId="0" borderId="0" applyFill="0" applyBorder="0" applyAlignment="0"/>
    <xf numFmtId="190" fontId="118" fillId="57" borderId="0" applyNumberFormat="0" applyFont="0" applyBorder="0" applyAlignment="0"/>
    <xf numFmtId="190" fontId="75" fillId="0" borderId="0" applyFill="0" applyBorder="0" applyProtection="0"/>
    <xf numFmtId="190" fontId="119" fillId="58" borderId="1"/>
    <xf numFmtId="190" fontId="120" fillId="0" borderId="0">
      <alignment horizontal="right"/>
    </xf>
    <xf numFmtId="190" fontId="48" fillId="0" borderId="0" applyNumberFormat="0" applyFill="0" applyBorder="0" applyAlignment="0" applyProtection="0"/>
    <xf numFmtId="190" fontId="122" fillId="0" borderId="0" applyNumberFormat="0" applyFill="0" applyBorder="0" applyAlignment="0" applyProtection="0"/>
    <xf numFmtId="190" fontId="12" fillId="0" borderId="170" applyNumberFormat="0" applyFill="0" applyBorder="0" applyAlignment="0" applyProtection="0">
      <alignment horizontal="center"/>
    </xf>
    <xf numFmtId="190" fontId="12" fillId="0" borderId="0">
      <alignment horizontal="center" wrapText="1"/>
      <protection hidden="1"/>
    </xf>
    <xf numFmtId="190" fontId="124" fillId="0" borderId="0"/>
    <xf numFmtId="190" fontId="124" fillId="0" borderId="0"/>
    <xf numFmtId="190" fontId="124" fillId="0" borderId="0"/>
    <xf numFmtId="190" fontId="124" fillId="0" borderId="0"/>
    <xf numFmtId="190" fontId="124" fillId="0" borderId="0"/>
    <xf numFmtId="190" fontId="124" fillId="0" borderId="0"/>
    <xf numFmtId="190" fontId="124" fillId="0" borderId="0"/>
    <xf numFmtId="190" fontId="124" fillId="0" borderId="0"/>
    <xf numFmtId="190" fontId="117" fillId="0" borderId="0" applyFont="0" applyFill="0" applyBorder="0" applyAlignment="0" applyProtection="0"/>
    <xf numFmtId="190" fontId="107" fillId="0" borderId="0" applyFont="0" applyFill="0" applyBorder="0" applyAlignment="0" applyProtection="0"/>
    <xf numFmtId="190" fontId="127" fillId="0" borderId="0"/>
    <xf numFmtId="190" fontId="128" fillId="59" borderId="0">
      <alignment horizontal="center" vertical="center" wrapText="1"/>
    </xf>
    <xf numFmtId="190" fontId="129" fillId="0" borderId="0" applyFill="0" applyBorder="0">
      <alignment horizontal="left"/>
    </xf>
    <xf numFmtId="243" fontId="48" fillId="0" borderId="100" applyFont="0" applyFill="0" applyBorder="0" applyAlignment="0" applyProtection="0"/>
    <xf numFmtId="190" fontId="75" fillId="0" borderId="0"/>
    <xf numFmtId="190" fontId="48" fillId="0" borderId="0" applyFont="0" applyFill="0" applyBorder="0" applyAlignment="0"/>
    <xf numFmtId="190" fontId="126" fillId="0" borderId="0" applyFont="0" applyFill="0" applyBorder="0" applyAlignment="0" applyProtection="0"/>
    <xf numFmtId="190" fontId="134" fillId="61" borderId="0"/>
    <xf numFmtId="190" fontId="94" fillId="0" borderId="0" applyFont="0" applyFill="0" applyBorder="0" applyAlignment="0" applyProtection="0"/>
    <xf numFmtId="190" fontId="12" fillId="0" borderId="0" applyNumberFormat="0">
      <alignment horizontal="right"/>
    </xf>
    <xf numFmtId="190" fontId="135" fillId="0" borderId="0"/>
    <xf numFmtId="190" fontId="46" fillId="14" borderId="0" applyFont="0" applyFill="0" applyBorder="0" applyAlignment="0" applyProtection="0"/>
    <xf numFmtId="190" fontId="78" fillId="14" borderId="160" applyFont="0" applyFill="0" applyBorder="0" applyAlignment="0" applyProtection="0"/>
    <xf numFmtId="190" fontId="48" fillId="14" borderId="0" applyFont="0" applyFill="0" applyBorder="0" applyAlignment="0" applyProtection="0"/>
    <xf numFmtId="190" fontId="2" fillId="0" borderId="0"/>
    <xf numFmtId="190" fontId="74" fillId="0" borderId="0" applyFont="0" applyFill="0" applyBorder="0" applyAlignment="0" applyProtection="0">
      <alignment horizontal="center"/>
    </xf>
    <xf numFmtId="190" fontId="74" fillId="0" borderId="3" applyFont="0" applyFill="0" applyBorder="0" applyAlignment="0" applyProtection="0">
      <alignment horizontal="center"/>
    </xf>
    <xf numFmtId="190" fontId="48" fillId="0" borderId="3" applyFont="0" applyFill="0" applyBorder="0" applyAlignment="0" applyProtection="0">
      <alignment horizontal="center"/>
    </xf>
    <xf numFmtId="190" fontId="75" fillId="0" borderId="0"/>
    <xf numFmtId="190" fontId="135" fillId="0" borderId="0"/>
    <xf numFmtId="190" fontId="75" fillId="0" borderId="0"/>
    <xf numFmtId="190" fontId="133" fillId="0" borderId="0">
      <protection locked="0"/>
    </xf>
    <xf numFmtId="190" fontId="79" fillId="3" borderId="50">
      <alignment vertical="center"/>
    </xf>
    <xf numFmtId="190" fontId="135" fillId="0" borderId="55"/>
    <xf numFmtId="190" fontId="135" fillId="0" borderId="55"/>
    <xf numFmtId="190" fontId="48" fillId="53" borderId="0" applyNumberFormat="0" applyFont="0" applyBorder="0" applyAlignment="0" applyProtection="0"/>
    <xf numFmtId="190" fontId="149" fillId="63" borderId="0"/>
    <xf numFmtId="190" fontId="117" fillId="0" borderId="0" applyFill="0" applyBorder="0" applyAlignment="0"/>
    <xf numFmtId="190" fontId="117" fillId="0" borderId="0" applyFill="0" applyBorder="0" applyAlignment="0"/>
    <xf numFmtId="190" fontId="117" fillId="0" borderId="0" applyFill="0" applyBorder="0" applyAlignment="0"/>
    <xf numFmtId="190" fontId="135" fillId="0" borderId="0"/>
    <xf numFmtId="190" fontId="152" fillId="0" borderId="0"/>
    <xf numFmtId="190" fontId="155" fillId="66" borderId="0"/>
    <xf numFmtId="190" fontId="75" fillId="0" borderId="0"/>
    <xf numFmtId="190" fontId="12" fillId="0" borderId="0" applyFill="0" applyBorder="0" applyAlignment="0" applyProtection="0"/>
    <xf numFmtId="190" fontId="25" fillId="0" borderId="0" applyFill="0" applyBorder="0" applyAlignment="0" applyProtection="0"/>
    <xf numFmtId="190" fontId="104" fillId="0" borderId="0" applyFill="0" applyBorder="0" applyAlignment="0" applyProtection="0"/>
    <xf numFmtId="190" fontId="5" fillId="0" borderId="0" applyFill="0" applyBorder="0" applyAlignment="0" applyProtection="0"/>
    <xf numFmtId="190" fontId="3" fillId="0" borderId="0" applyFill="0" applyBorder="0" applyAlignment="0" applyProtection="0"/>
    <xf numFmtId="190" fontId="156" fillId="0" borderId="0" applyFill="0" applyBorder="0" applyAlignment="0" applyProtection="0"/>
    <xf numFmtId="190" fontId="157" fillId="0" borderId="0" applyFill="0" applyBorder="0" applyAlignment="0" applyProtection="0"/>
    <xf numFmtId="190" fontId="46" fillId="0" borderId="0" applyFill="0" applyBorder="0" applyAlignment="0" applyProtection="0"/>
    <xf numFmtId="190" fontId="158" fillId="0" borderId="0" applyFill="0" applyBorder="0" applyProtection="0">
      <alignment horizontal="left"/>
    </xf>
    <xf numFmtId="190" fontId="12" fillId="0" borderId="0" applyNumberFormat="0" applyFill="0" applyBorder="0" applyAlignment="0" applyProtection="0"/>
    <xf numFmtId="190" fontId="159" fillId="0" borderId="57"/>
    <xf numFmtId="190" fontId="159" fillId="0" borderId="55"/>
    <xf numFmtId="190" fontId="159" fillId="67" borderId="55"/>
    <xf numFmtId="190" fontId="12" fillId="0" borderId="0" applyBorder="0" applyProtection="0"/>
    <xf numFmtId="190" fontId="48" fillId="0" borderId="0" applyFill="0" applyBorder="0" applyAlignment="0" applyProtection="0">
      <alignment horizontal="right"/>
    </xf>
    <xf numFmtId="190" fontId="48" fillId="0" borderId="0" applyFill="0" applyBorder="0" applyAlignment="0" applyProtection="0"/>
    <xf numFmtId="190" fontId="164" fillId="0" borderId="0" applyProtection="0">
      <alignment horizontal="right"/>
    </xf>
    <xf numFmtId="190" fontId="5" fillId="0" borderId="37" applyNumberFormat="0" applyAlignment="0" applyProtection="0">
      <alignment horizontal="left" vertical="center"/>
    </xf>
    <xf numFmtId="190" fontId="5" fillId="0" borderId="4">
      <alignment horizontal="left" vertical="center"/>
    </xf>
    <xf numFmtId="190" fontId="12" fillId="0" borderId="0">
      <alignment horizontal="center"/>
    </xf>
    <xf numFmtId="190" fontId="12" fillId="0" borderId="0">
      <alignment horizontal="center"/>
    </xf>
    <xf numFmtId="190" fontId="165" fillId="0" borderId="170" applyFill="0" applyProtection="0">
      <alignment horizontal="center"/>
    </xf>
    <xf numFmtId="190" fontId="166" fillId="0" borderId="170">
      <alignment horizontal="center"/>
    </xf>
    <xf numFmtId="190" fontId="169" fillId="0" borderId="0" applyNumberFormat="0" applyFill="0" applyBorder="0" applyAlignment="0" applyProtection="0">
      <alignment horizontal="center"/>
    </xf>
    <xf numFmtId="190" fontId="170" fillId="0" borderId="0" applyNumberFormat="0" applyFill="0" applyBorder="0" applyAlignment="0" applyProtection="0">
      <alignment horizontal="center"/>
    </xf>
    <xf numFmtId="190" fontId="171" fillId="0" borderId="58" applyNumberFormat="0" applyFill="0" applyBorder="0" applyAlignment="0" applyProtection="0">
      <alignment horizontal="left"/>
    </xf>
    <xf numFmtId="190" fontId="2" fillId="0" borderId="0"/>
    <xf numFmtId="190" fontId="173" fillId="0" borderId="59" applyNumberFormat="0" applyFill="0" applyAlignment="0" applyProtection="0"/>
    <xf numFmtId="190" fontId="12" fillId="3" borderId="0" applyNumberFormat="0" applyFont="0" applyBorder="0" applyAlignment="0" applyProtection="0"/>
    <xf numFmtId="190" fontId="75" fillId="0" borderId="0" applyFill="0" applyBorder="0" applyAlignment="0" applyProtection="0"/>
    <xf numFmtId="190" fontId="48" fillId="14" borderId="0" applyFont="0" applyBorder="0" applyAlignment="0" applyProtection="0">
      <protection locked="0"/>
    </xf>
    <xf numFmtId="190" fontId="48" fillId="14" borderId="0" applyFont="0" applyBorder="0" applyAlignment="0">
      <protection locked="0"/>
    </xf>
    <xf numFmtId="190" fontId="48" fillId="14" borderId="0">
      <protection locked="0"/>
    </xf>
    <xf numFmtId="190" fontId="48" fillId="14" borderId="0" applyFont="0" applyBorder="0" applyAlignment="0">
      <protection locked="0"/>
    </xf>
    <xf numFmtId="190" fontId="174" fillId="14" borderId="0" applyNumberFormat="0" applyBorder="0" applyAlignment="0">
      <protection locked="0"/>
    </xf>
    <xf numFmtId="190" fontId="111" fillId="0" borderId="0" applyNumberFormat="0" applyFill="0" applyBorder="0" applyAlignment="0">
      <protection locked="0"/>
    </xf>
    <xf numFmtId="190" fontId="48" fillId="14" borderId="0" applyNumberFormat="0" applyFont="0" applyBorder="0" applyAlignment="0" applyProtection="0">
      <alignment horizontal="center"/>
      <protection locked="0"/>
    </xf>
    <xf numFmtId="190" fontId="175" fillId="0" borderId="0" applyNumberFormat="0" applyFill="0" applyBorder="0" applyAlignment="0">
      <protection locked="0"/>
    </xf>
    <xf numFmtId="190" fontId="12" fillId="0" borderId="0" applyFill="0" applyBorder="0">
      <alignment horizontal="right"/>
      <protection locked="0"/>
    </xf>
    <xf numFmtId="190" fontId="25" fillId="69" borderId="55">
      <alignment horizontal="left" vertical="center" wrapText="1"/>
    </xf>
    <xf numFmtId="190" fontId="75" fillId="0" borderId="0">
      <alignment horizontal="left"/>
    </xf>
    <xf numFmtId="190" fontId="12" fillId="0" borderId="0"/>
    <xf numFmtId="190" fontId="117" fillId="0" borderId="0" applyFill="0" applyBorder="0" applyAlignment="0"/>
    <xf numFmtId="190" fontId="117" fillId="0" borderId="0" applyFill="0" applyBorder="0" applyAlignment="0"/>
    <xf numFmtId="190" fontId="117" fillId="0" borderId="0" applyFill="0" applyBorder="0" applyAlignment="0"/>
    <xf numFmtId="190" fontId="182" fillId="0" borderId="0" applyNumberFormat="0" applyFont="0" applyFill="0" applyBorder="0" applyAlignment="0"/>
    <xf numFmtId="190" fontId="134" fillId="61" borderId="0"/>
    <xf numFmtId="190" fontId="183" fillId="0" borderId="60">
      <alignment horizontal="left"/>
      <protection locked="0"/>
    </xf>
    <xf numFmtId="190" fontId="184" fillId="0" borderId="61" applyAlignment="0">
      <alignment horizontal="left" wrapText="1"/>
    </xf>
    <xf numFmtId="190" fontId="2" fillId="0" borderId="0" applyNumberFormat="0" applyFill="0" applyBorder="0" applyAlignment="0" applyProtection="0"/>
    <xf numFmtId="190" fontId="2" fillId="0" borderId="0" applyNumberFormat="0" applyFill="0" applyBorder="0" applyAlignment="0" applyProtection="0"/>
    <xf numFmtId="190" fontId="185" fillId="0" borderId="0" applyNumberFormat="0" applyFill="0" applyBorder="0" applyAlignment="0" applyProtection="0"/>
    <xf numFmtId="190" fontId="48" fillId="0" borderId="0" applyFill="0" applyBorder="0" applyAlignment="0" applyProtection="0"/>
    <xf numFmtId="190" fontId="155" fillId="0" borderId="0"/>
    <xf numFmtId="190" fontId="186" fillId="0" borderId="0"/>
    <xf numFmtId="190" fontId="187" fillId="0" borderId="0"/>
    <xf numFmtId="190" fontId="188" fillId="0" borderId="0" applyBorder="0"/>
    <xf numFmtId="190" fontId="189" fillId="0" borderId="0"/>
    <xf numFmtId="190" fontId="98" fillId="0" borderId="0" applyFont="0" applyFill="0" applyBorder="0" applyAlignment="0" applyProtection="0"/>
    <xf numFmtId="190" fontId="191" fillId="0" borderId="0">
      <alignment horizontal="right"/>
    </xf>
    <xf numFmtId="190" fontId="12" fillId="0" borderId="0" applyNumberFormat="0" applyFont="0" applyFill="0" applyBorder="0" applyAlignment="0" applyProtection="0"/>
    <xf numFmtId="190" fontId="175" fillId="0" borderId="63" applyNumberFormat="0" applyAlignment="0"/>
    <xf numFmtId="190" fontId="192" fillId="0" borderId="0"/>
    <xf numFmtId="190" fontId="193" fillId="0" borderId="0"/>
    <xf numFmtId="190" fontId="134" fillId="64" borderId="0"/>
    <xf numFmtId="190" fontId="12" fillId="0" borderId="0" applyFont="0" applyFill="0" applyBorder="0" applyAlignment="0"/>
    <xf numFmtId="190" fontId="48" fillId="0" borderId="0" applyFont="0" applyFill="0" applyBorder="0" applyAlignment="0"/>
    <xf numFmtId="190" fontId="77" fillId="0" borderId="0"/>
    <xf numFmtId="190" fontId="77" fillId="0" borderId="0"/>
    <xf numFmtId="190" fontId="12" fillId="0" borderId="0"/>
    <xf numFmtId="190" fontId="196" fillId="0" borderId="0" applyNumberFormat="0" applyFill="0" applyBorder="0" applyAlignment="0" applyProtection="0"/>
    <xf numFmtId="190" fontId="1" fillId="0" borderId="0"/>
    <xf numFmtId="190" fontId="46" fillId="0" borderId="0" applyNumberFormat="0" applyFill="0" applyBorder="0" applyAlignment="0" applyProtection="0"/>
    <xf numFmtId="190" fontId="48" fillId="0" borderId="0" applyFont="0" applyFill="0" applyBorder="0" applyAlignment="0" applyProtection="0"/>
    <xf numFmtId="190" fontId="2" fillId="0" borderId="0"/>
    <xf numFmtId="190" fontId="12" fillId="0" borderId="0">
      <alignment horizontal="right"/>
    </xf>
    <xf numFmtId="190" fontId="200" fillId="0" borderId="0"/>
    <xf numFmtId="190" fontId="201" fillId="0" borderId="64"/>
    <xf numFmtId="190" fontId="48" fillId="0" borderId="0" applyFont="0" applyFill="0" applyBorder="0" applyAlignment="0" applyProtection="0"/>
    <xf numFmtId="190" fontId="133" fillId="0" borderId="0">
      <protection locked="0"/>
    </xf>
    <xf numFmtId="190" fontId="12" fillId="0" borderId="0" applyNumberFormat="0" applyFill="0" applyBorder="0" applyAlignment="0" applyProtection="0"/>
    <xf numFmtId="190" fontId="76" fillId="0" borderId="0" applyNumberFormat="0" applyFill="0" applyBorder="0" applyAlignment="0" applyProtection="0"/>
    <xf numFmtId="190" fontId="204" fillId="3" borderId="1" applyNumberFormat="0" applyBorder="0">
      <alignment horizontal="center" vertical="center"/>
    </xf>
    <xf numFmtId="190" fontId="206" fillId="0" borderId="0">
      <alignment horizontal="left"/>
    </xf>
    <xf numFmtId="190" fontId="207" fillId="60" borderId="0">
      <alignment horizontal="right"/>
    </xf>
    <xf numFmtId="190" fontId="208" fillId="70" borderId="0"/>
    <xf numFmtId="190" fontId="2" fillId="0" borderId="0" applyBorder="0">
      <alignment horizontal="centerContinuous"/>
    </xf>
    <xf numFmtId="190" fontId="209" fillId="0" borderId="0" applyBorder="0">
      <alignment horizontal="centerContinuous"/>
    </xf>
    <xf numFmtId="190" fontId="210" fillId="0" borderId="170" applyNumberFormat="0" applyFill="0" applyBorder="0" applyAlignment="0">
      <protection locked="0"/>
    </xf>
    <xf numFmtId="190" fontId="211" fillId="0" borderId="0" applyProtection="0">
      <alignment horizontal="left"/>
    </xf>
    <xf numFmtId="190" fontId="12" fillId="0" borderId="0" applyFill="0" applyBorder="0" applyProtection="0">
      <alignment horizontal="left"/>
    </xf>
    <xf numFmtId="190" fontId="12" fillId="0" borderId="0" applyFill="0" applyBorder="0" applyProtection="0">
      <alignment horizontal="left"/>
    </xf>
    <xf numFmtId="190" fontId="187" fillId="0" borderId="0"/>
    <xf numFmtId="190" fontId="213" fillId="0" borderId="65" applyNumberFormat="0" applyAlignment="0" applyProtection="0"/>
    <xf numFmtId="190" fontId="48" fillId="11" borderId="60" applyNumberFormat="0" applyFont="0" applyBorder="0" applyAlignment="0" applyProtection="0">
      <alignment horizontal="center"/>
    </xf>
    <xf numFmtId="190" fontId="2" fillId="0" borderId="151" applyNumberFormat="0" applyAlignment="0" applyProtection="0"/>
    <xf numFmtId="190" fontId="213" fillId="0" borderId="67" applyNumberFormat="0" applyAlignment="0" applyProtection="0"/>
    <xf numFmtId="190" fontId="48" fillId="0" borderId="0"/>
    <xf numFmtId="190" fontId="12" fillId="0" borderId="0" applyFont="0" applyFill="0" applyBorder="0" applyAlignment="0"/>
    <xf numFmtId="190" fontId="48" fillId="0" borderId="0" applyFont="0" applyFill="0" applyBorder="0" applyAlignment="0"/>
    <xf numFmtId="190" fontId="197" fillId="0" borderId="0" applyFill="0" applyBorder="0" applyAlignment="0" applyProtection="0"/>
    <xf numFmtId="190" fontId="197" fillId="71" borderId="0" applyFont="0" applyFill="0" applyBorder="0" applyAlignment="0" applyProtection="0"/>
    <xf numFmtId="190" fontId="105" fillId="0" borderId="0" applyFill="0" applyBorder="0" applyAlignment="0" applyProtection="0"/>
    <xf numFmtId="190" fontId="105" fillId="71" borderId="0" applyFont="0" applyFill="0" applyBorder="0" applyAlignment="0" applyProtection="0"/>
    <xf numFmtId="190" fontId="84" fillId="0" borderId="60" applyBorder="0"/>
    <xf numFmtId="190" fontId="75" fillId="0" borderId="0"/>
    <xf numFmtId="190" fontId="133" fillId="0" borderId="0"/>
    <xf numFmtId="190" fontId="12" fillId="0" borderId="0"/>
    <xf numFmtId="190" fontId="48" fillId="0" borderId="0" applyFont="0" applyFill="0" applyBorder="0" applyAlignment="0" applyProtection="0"/>
    <xf numFmtId="190" fontId="214" fillId="0" borderId="152" applyNumberFormat="0" applyFont="0" applyFill="0" applyAlignment="0" applyProtection="0"/>
    <xf numFmtId="190" fontId="117" fillId="0" borderId="0" applyFill="0" applyBorder="0" applyAlignment="0"/>
    <xf numFmtId="190" fontId="117" fillId="0" borderId="0" applyFill="0" applyBorder="0" applyAlignment="0"/>
    <xf numFmtId="190" fontId="117" fillId="0" borderId="0" applyFill="0" applyBorder="0" applyAlignment="0"/>
    <xf numFmtId="190" fontId="216" fillId="0" borderId="0"/>
    <xf numFmtId="190" fontId="216" fillId="0" borderId="58">
      <alignment horizontal="right"/>
    </xf>
    <xf numFmtId="190" fontId="12" fillId="0" borderId="0" applyNumberFormat="0" applyFont="0" applyFill="0" applyBorder="0" applyAlignment="0">
      <protection hidden="1"/>
    </xf>
    <xf numFmtId="190" fontId="97" fillId="0" borderId="0" applyNumberFormat="0" applyFont="0" applyFill="0" applyBorder="0" applyAlignment="0" applyProtection="0">
      <alignment horizontal="left"/>
    </xf>
    <xf numFmtId="190" fontId="114" fillId="0" borderId="15">
      <alignment horizontal="center"/>
    </xf>
    <xf numFmtId="190" fontId="97" fillId="74" borderId="0" applyNumberFormat="0" applyFont="0" applyBorder="0" applyAlignment="0" applyProtection="0"/>
    <xf numFmtId="190" fontId="2" fillId="0" borderId="0">
      <alignment vertical="top"/>
    </xf>
    <xf numFmtId="190" fontId="218" fillId="0" borderId="0" applyNumberFormat="0" applyFill="0" applyBorder="0" applyAlignment="0" applyProtection="0">
      <alignment horizontal="left"/>
    </xf>
    <xf numFmtId="190" fontId="219" fillId="0" borderId="60" applyNumberFormat="0" applyFill="0" applyBorder="0" applyAlignment="0" applyProtection="0">
      <protection hidden="1"/>
    </xf>
    <xf numFmtId="190" fontId="135" fillId="0" borderId="0"/>
    <xf numFmtId="190" fontId="220" fillId="0" borderId="0"/>
    <xf numFmtId="190" fontId="94" fillId="0" borderId="0" applyNumberFormat="0" applyFill="0" applyBorder="0" applyProtection="0">
      <alignment horizontal="right" vertical="center"/>
    </xf>
    <xf numFmtId="190" fontId="221" fillId="72" borderId="0" applyFont="0" applyFill="0" applyAlignment="0"/>
    <xf numFmtId="190" fontId="2" fillId="0" borderId="0" applyNumberFormat="0" applyFont="0" applyFill="0" applyBorder="0" applyAlignment="0" applyProtection="0">
      <alignment horizontal="left" indent="1"/>
    </xf>
    <xf numFmtId="190" fontId="222" fillId="0" borderId="69">
      <alignment vertical="center"/>
    </xf>
    <xf numFmtId="190" fontId="225" fillId="53" borderId="70" applyNumberFormat="0" applyProtection="0">
      <alignment horizontal="left" vertical="top" indent="1"/>
    </xf>
    <xf numFmtId="190" fontId="12" fillId="75" borderId="70" applyNumberFormat="0" applyProtection="0">
      <alignment horizontal="left" vertical="center" indent="1"/>
    </xf>
    <xf numFmtId="190" fontId="12" fillId="75" borderId="70" applyNumberFormat="0" applyProtection="0">
      <alignment horizontal="left" vertical="top" indent="1"/>
    </xf>
    <xf numFmtId="190" fontId="12" fillId="84" borderId="70" applyNumberFormat="0" applyProtection="0">
      <alignment horizontal="left" vertical="center" indent="1"/>
    </xf>
    <xf numFmtId="190" fontId="12" fillId="84" borderId="70" applyNumberFormat="0" applyProtection="0">
      <alignment horizontal="left" vertical="top" indent="1"/>
    </xf>
    <xf numFmtId="190" fontId="12" fillId="52" borderId="70" applyNumberFormat="0" applyProtection="0">
      <alignment horizontal="left" vertical="center" indent="1"/>
    </xf>
    <xf numFmtId="190" fontId="12" fillId="52" borderId="70" applyNumberFormat="0" applyProtection="0">
      <alignment horizontal="left" vertical="top" indent="1"/>
    </xf>
    <xf numFmtId="190" fontId="12" fillId="11" borderId="70" applyNumberFormat="0" applyProtection="0">
      <alignment horizontal="left" vertical="center" indent="1"/>
    </xf>
    <xf numFmtId="190" fontId="12" fillId="11" borderId="70" applyNumberFormat="0" applyProtection="0">
      <alignment horizontal="left" vertical="top" indent="1"/>
    </xf>
    <xf numFmtId="190" fontId="136" fillId="14" borderId="70" applyNumberFormat="0" applyProtection="0">
      <alignment horizontal="left" vertical="top" indent="1"/>
    </xf>
    <xf numFmtId="190" fontId="136" fillId="84" borderId="70" applyNumberFormat="0" applyProtection="0">
      <alignment horizontal="left" vertical="top" indent="1"/>
    </xf>
    <xf numFmtId="190" fontId="231" fillId="0" borderId="17"/>
    <xf numFmtId="190" fontId="5" fillId="59" borderId="1">
      <alignment horizontal="center" vertical="center" wrapText="1"/>
      <protection hidden="1"/>
    </xf>
    <xf numFmtId="190" fontId="2" fillId="85" borderId="0"/>
    <xf numFmtId="190" fontId="2" fillId="86" borderId="0" applyNumberFormat="0" applyFont="0" applyBorder="0" applyAlignment="0" applyProtection="0"/>
    <xf numFmtId="190" fontId="232" fillId="87" borderId="0" applyNumberFormat="0" applyBorder="0" applyAlignment="0" applyProtection="0"/>
    <xf numFmtId="190" fontId="12" fillId="0" borderId="0" applyNumberFormat="0" applyFont="0" applyFill="0" applyBorder="0" applyAlignment="0" applyProtection="0"/>
    <xf numFmtId="190" fontId="232" fillId="88" borderId="0" applyNumberFormat="0" applyBorder="0" applyAlignment="0" applyProtection="0"/>
    <xf numFmtId="190" fontId="232" fillId="88" borderId="0" applyNumberFormat="0" applyBorder="0" applyAlignment="0" applyProtection="0"/>
    <xf numFmtId="190" fontId="232" fillId="89" borderId="0" applyNumberFormat="0" applyBorder="0" applyAlignment="0" applyProtection="0"/>
    <xf numFmtId="190" fontId="232" fillId="89" borderId="0" applyNumberFormat="0" applyBorder="0" applyAlignment="0" applyProtection="0"/>
    <xf numFmtId="190" fontId="12" fillId="90" borderId="0" applyNumberFormat="0" applyBorder="0" applyAlignment="0" applyProtection="0"/>
    <xf numFmtId="190" fontId="232" fillId="90" borderId="0" applyNumberFormat="0" applyBorder="0" applyAlignment="0" applyProtection="0"/>
    <xf numFmtId="190" fontId="12" fillId="0" borderId="0" applyFont="0" applyFill="0" applyBorder="0" applyAlignment="0" applyProtection="0"/>
    <xf numFmtId="190" fontId="12" fillId="78" borderId="0" applyNumberFormat="0" applyFont="0" applyBorder="0" applyAlignment="0" applyProtection="0"/>
    <xf numFmtId="190" fontId="82" fillId="0" borderId="0"/>
    <xf numFmtId="190" fontId="48" fillId="10" borderId="0" applyNumberFormat="0" applyFont="0" applyBorder="0" applyAlignment="0">
      <protection hidden="1"/>
    </xf>
    <xf numFmtId="190" fontId="233" fillId="64" borderId="0"/>
    <xf numFmtId="190" fontId="233" fillId="0" borderId="0"/>
    <xf numFmtId="190" fontId="233" fillId="0" borderId="0"/>
    <xf numFmtId="190" fontId="233" fillId="61" borderId="0"/>
    <xf numFmtId="190" fontId="233" fillId="61" borderId="0"/>
    <xf numFmtId="190" fontId="12" fillId="0" borderId="0"/>
    <xf numFmtId="190" fontId="12" fillId="0" borderId="0" applyNumberFormat="0" applyFill="0" applyBorder="0" applyAlignment="0" applyProtection="0"/>
    <xf numFmtId="190" fontId="25" fillId="10" borderId="55" applyNumberFormat="0" applyProtection="0">
      <alignment horizontal="center" vertical="top"/>
    </xf>
    <xf numFmtId="190" fontId="25" fillId="10" borderId="55" applyNumberFormat="0" applyProtection="0">
      <alignment horizontal="center" vertical="top"/>
    </xf>
    <xf numFmtId="190" fontId="25" fillId="60" borderId="1" applyNumberFormat="0" applyProtection="0">
      <alignment horizontal="center" vertical="top"/>
    </xf>
    <xf numFmtId="190" fontId="25" fillId="60" borderId="1" applyNumberFormat="0" applyProtection="0">
      <alignment horizontal="center" vertical="top"/>
    </xf>
    <xf numFmtId="190" fontId="25" fillId="0" borderId="0" applyNumberFormat="0" applyFill="0" applyBorder="0" applyProtection="0">
      <alignment horizontal="left" vertical="top"/>
    </xf>
    <xf numFmtId="190" fontId="235" fillId="92" borderId="38" applyNumberFormat="0" applyProtection="0">
      <alignment horizontal="left" vertical="top"/>
    </xf>
    <xf numFmtId="190" fontId="12" fillId="3" borderId="55" applyNumberFormat="0" applyFont="0" applyAlignment="0" applyProtection="0"/>
    <xf numFmtId="190" fontId="12" fillId="10" borderId="55" applyNumberFormat="0" applyFont="0" applyAlignment="0" applyProtection="0"/>
    <xf numFmtId="190" fontId="12" fillId="10" borderId="55" applyNumberFormat="0" applyFont="0" applyProtection="0"/>
    <xf numFmtId="190" fontId="235" fillId="92" borderId="77" applyNumberFormat="0" applyProtection="0">
      <alignment horizontal="center" vertical="center"/>
    </xf>
    <xf numFmtId="190" fontId="25" fillId="10" borderId="0" applyNumberFormat="0" applyProtection="0">
      <alignment horizontal="left"/>
    </xf>
    <xf numFmtId="190" fontId="25" fillId="10" borderId="78" applyNumberFormat="0" applyProtection="0">
      <alignment horizontal="left"/>
    </xf>
    <xf numFmtId="190" fontId="25" fillId="10" borderId="79" applyNumberFormat="0" applyProtection="0">
      <alignment horizontal="left"/>
    </xf>
    <xf numFmtId="190" fontId="25" fillId="10" borderId="80" applyNumberFormat="0" applyProtection="0">
      <alignment horizontal="left" vertical="top"/>
    </xf>
    <xf numFmtId="190" fontId="25" fillId="10" borderId="81" applyNumberFormat="0" applyProtection="0">
      <alignment horizontal="left" vertical="top"/>
    </xf>
    <xf numFmtId="190" fontId="25" fillId="10" borderId="153" applyNumberFormat="0" applyProtection="0">
      <alignment horizontal="left" vertical="top"/>
    </xf>
    <xf numFmtId="190" fontId="25" fillId="10" borderId="154" applyNumberFormat="0" applyProtection="0">
      <alignment horizontal="left" vertical="top"/>
    </xf>
    <xf numFmtId="190" fontId="25" fillId="10" borderId="84" applyNumberFormat="0" applyProtection="0">
      <alignment horizontal="left" vertical="top"/>
    </xf>
    <xf numFmtId="190" fontId="25" fillId="10" borderId="85" applyNumberFormat="0" applyProtection="0">
      <alignment horizontal="left" vertical="top"/>
    </xf>
    <xf numFmtId="190" fontId="25" fillId="10" borderId="86" applyNumberFormat="0" applyProtection="0">
      <alignment horizontal="left" vertical="top"/>
    </xf>
    <xf numFmtId="190" fontId="25" fillId="10" borderId="155" applyNumberFormat="0" applyProtection="0">
      <alignment horizontal="left" vertical="top"/>
    </xf>
    <xf numFmtId="190" fontId="25" fillId="10" borderId="88" applyNumberFormat="0" applyProtection="0">
      <alignment horizontal="left" vertical="top"/>
    </xf>
    <xf numFmtId="190" fontId="25" fillId="10" borderId="156" applyNumberFormat="0" applyProtection="0">
      <alignment horizontal="left" vertical="top"/>
    </xf>
    <xf numFmtId="190" fontId="25" fillId="10" borderId="90" applyNumberFormat="0" applyProtection="0">
      <alignment horizontal="left" vertical="top"/>
    </xf>
    <xf numFmtId="190" fontId="25" fillId="10" borderId="91" applyNumberFormat="0" applyProtection="0">
      <alignment horizontal="left" vertical="top"/>
    </xf>
    <xf numFmtId="190" fontId="48" fillId="0" borderId="0" applyNumberFormat="0" applyFill="0" applyBorder="0" applyProtection="0">
      <alignment horizontal="left" vertical="top" wrapText="1"/>
    </xf>
    <xf numFmtId="190" fontId="113" fillId="0" borderId="0" applyNumberFormat="0" applyFill="0" applyBorder="0" applyProtection="0">
      <alignment horizontal="left" vertical="center"/>
    </xf>
    <xf numFmtId="190" fontId="236" fillId="0" borderId="0"/>
    <xf numFmtId="190" fontId="213" fillId="0" borderId="0" applyNumberFormat="0" applyFill="0" applyBorder="0" applyAlignment="0" applyProtection="0">
      <alignment horizontal="left"/>
    </xf>
    <xf numFmtId="190" fontId="75" fillId="0" borderId="0" applyFill="0" applyBorder="0" applyAlignment="0" applyProtection="0"/>
    <xf numFmtId="190" fontId="238" fillId="0" borderId="0"/>
    <xf numFmtId="190" fontId="12" fillId="0" borderId="42" applyNumberFormat="0" applyFill="0" applyBorder="0" applyAlignment="0" applyProtection="0"/>
    <xf numFmtId="190" fontId="239" fillId="0" borderId="92" applyNumberFormat="0" applyFont="0"/>
    <xf numFmtId="190" fontId="11" fillId="0" borderId="0" applyFill="0" applyBorder="0" applyProtection="0">
      <alignment horizontal="center" vertical="center"/>
    </xf>
    <xf numFmtId="190" fontId="240" fillId="0" borderId="0" applyBorder="0" applyProtection="0">
      <alignment vertical="center"/>
    </xf>
    <xf numFmtId="190" fontId="241" fillId="93" borderId="0" applyBorder="0" applyProtection="0">
      <alignment horizontal="centerContinuous" vertical="center"/>
    </xf>
    <xf numFmtId="190" fontId="241" fillId="94" borderId="170" applyBorder="0" applyProtection="0">
      <alignment horizontal="centerContinuous" vertical="center"/>
    </xf>
    <xf numFmtId="190" fontId="243" fillId="0" borderId="0" applyFill="0" applyBorder="0" applyProtection="0"/>
    <xf numFmtId="190" fontId="200" fillId="0" borderId="0"/>
    <xf numFmtId="190" fontId="244" fillId="0" borderId="0" applyFill="0" applyBorder="0" applyProtection="0">
      <alignment horizontal="left"/>
    </xf>
    <xf numFmtId="190" fontId="158" fillId="0" borderId="7" applyFill="0" applyBorder="0" applyProtection="0">
      <alignment horizontal="left" vertical="top"/>
    </xf>
    <xf numFmtId="190" fontId="184" fillId="0" borderId="0" applyNumberFormat="0" applyAlignment="0" applyProtection="0"/>
    <xf numFmtId="190" fontId="12" fillId="95" borderId="0" applyNumberFormat="0" applyFont="0" applyBorder="0" applyAlignment="0" applyProtection="0"/>
    <xf numFmtId="190" fontId="245" fillId="0" borderId="0"/>
    <xf numFmtId="190" fontId="246" fillId="0" borderId="0"/>
    <xf numFmtId="190" fontId="136" fillId="0" borderId="0" applyFill="0" applyBorder="0" applyAlignment="0"/>
    <xf numFmtId="190" fontId="136" fillId="0" borderId="0" applyFill="0" applyBorder="0" applyAlignment="0"/>
    <xf numFmtId="190" fontId="247" fillId="0" borderId="0">
      <alignment vertical="center"/>
    </xf>
    <xf numFmtId="190" fontId="130" fillId="0" borderId="0" applyFill="0" applyBorder="0" applyAlignment="0" applyProtection="0">
      <alignment horizontal="right"/>
    </xf>
    <xf numFmtId="190" fontId="12" fillId="0" borderId="0" applyBorder="0" applyProtection="0">
      <alignment horizontal="right"/>
    </xf>
    <xf numFmtId="190" fontId="2" fillId="0" borderId="0" applyNumberFormat="0" applyFill="0" applyBorder="0" applyAlignment="0" applyProtection="0"/>
    <xf numFmtId="190" fontId="94" fillId="0" borderId="0" applyNumberFormat="0" applyFill="0" applyBorder="0" applyAlignment="0" applyProtection="0"/>
    <xf numFmtId="190" fontId="248" fillId="0" borderId="0" applyNumberFormat="0" applyBorder="0" applyAlignment="0"/>
    <xf numFmtId="190" fontId="5" fillId="0" borderId="0" applyNumberFormat="0" applyFill="0" applyBorder="0" applyAlignment="0" applyProtection="0"/>
    <xf numFmtId="190" fontId="12" fillId="0" borderId="0" applyNumberFormat="0" applyFill="0" applyBorder="0" applyAlignment="0" applyProtection="0"/>
    <xf numFmtId="190" fontId="251" fillId="87" borderId="0" applyNumberFormat="0" applyBorder="0" applyAlignment="0">
      <alignment vertical="center"/>
    </xf>
    <xf numFmtId="190" fontId="213" fillId="0" borderId="0">
      <alignment horizontal="centerContinuous"/>
    </xf>
    <xf numFmtId="190" fontId="251" fillId="81" borderId="0" applyNumberFormat="0" applyBorder="0">
      <alignment vertical="center"/>
    </xf>
    <xf numFmtId="190" fontId="74" fillId="0" borderId="0">
      <alignment horizontal="centerContinuous"/>
      <protection locked="0"/>
    </xf>
    <xf numFmtId="190" fontId="74" fillId="0" borderId="0">
      <alignment horizontal="left"/>
    </xf>
    <xf numFmtId="190" fontId="215" fillId="0" borderId="0" applyNumberFormat="0" applyFill="0" applyBorder="0" applyAlignment="0" applyProtection="0"/>
    <xf numFmtId="190" fontId="12" fillId="0" borderId="0" applyBorder="0"/>
    <xf numFmtId="190" fontId="243" fillId="0" borderId="0" applyNumberFormat="0" applyFill="0" applyBorder="0" applyAlignment="0" applyProtection="0"/>
    <xf numFmtId="190" fontId="12" fillId="0" borderId="0" applyNumberFormat="0" applyFill="0" applyBorder="0" applyAlignment="0" applyProtection="0"/>
    <xf numFmtId="190" fontId="48" fillId="0" borderId="0" applyFont="0" applyFill="0" applyBorder="0">
      <alignment horizontal="left"/>
    </xf>
    <xf numFmtId="190" fontId="84" fillId="54" borderId="60"/>
    <xf numFmtId="190" fontId="253" fillId="0" borderId="0"/>
    <xf numFmtId="10" fontId="12" fillId="3" borderId="94" applyNumberFormat="0" applyFont="0" applyFill="0" applyBorder="0" applyAlignment="0">
      <protection locked="0"/>
    </xf>
    <xf numFmtId="190" fontId="197" fillId="0" borderId="0"/>
    <xf numFmtId="190" fontId="2" fillId="0" borderId="0" applyNumberFormat="0" applyFont="0" applyFill="0" applyBorder="0" applyAlignment="0" applyProtection="0"/>
    <xf numFmtId="190" fontId="213" fillId="0" borderId="0" applyNumberFormat="0" applyFont="0" applyFill="0" applyBorder="0" applyAlignment="0" applyProtection="0"/>
    <xf numFmtId="190" fontId="257" fillId="0" borderId="0" applyNumberFormat="0" applyFill="0" applyBorder="0" applyAlignment="0" applyProtection="0"/>
    <xf numFmtId="190" fontId="12" fillId="0" borderId="42" applyNumberFormat="0" applyFill="0" applyBorder="0" applyAlignment="0" applyProtection="0"/>
    <xf numFmtId="190" fontId="12" fillId="0" borderId="42" applyNumberFormat="0" applyFill="0" applyBorder="0" applyAlignment="0" applyProtection="0"/>
    <xf numFmtId="190" fontId="12" fillId="0" borderId="42" applyNumberFormat="0" applyFill="0" applyBorder="0" applyAlignment="0" applyProtection="0"/>
    <xf numFmtId="190" fontId="260" fillId="96" borderId="0" applyNumberFormat="0" applyProtection="0">
      <alignment horizontal="left"/>
    </xf>
    <xf numFmtId="190" fontId="12" fillId="68" borderId="95" applyNumberFormat="0" applyFont="0" applyBorder="0" applyAlignment="0" applyProtection="0">
      <alignment horizontal="right"/>
    </xf>
    <xf numFmtId="190" fontId="261" fillId="0" borderId="0" applyNumberFormat="0" applyFill="0" applyBorder="0" applyAlignment="0" applyProtection="0">
      <alignment vertical="top"/>
      <protection locked="0"/>
    </xf>
    <xf numFmtId="190" fontId="77" fillId="0" borderId="0"/>
    <xf numFmtId="190" fontId="12" fillId="0" borderId="0"/>
    <xf numFmtId="190" fontId="1" fillId="0" borderId="0"/>
    <xf numFmtId="190" fontId="184" fillId="0" borderId="0">
      <alignment vertical="top"/>
    </xf>
    <xf numFmtId="190" fontId="136" fillId="0" borderId="0"/>
    <xf numFmtId="190" fontId="12" fillId="0" borderId="0">
      <alignment vertical="center"/>
    </xf>
    <xf numFmtId="190" fontId="12" fillId="0" borderId="0">
      <alignment vertical="center"/>
    </xf>
    <xf numFmtId="190" fontId="12" fillId="0" borderId="0">
      <alignment vertical="center"/>
    </xf>
    <xf numFmtId="190" fontId="1" fillId="0" borderId="0"/>
    <xf numFmtId="44" fontId="12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222" fontId="79" fillId="0" borderId="169" applyBorder="0"/>
    <xf numFmtId="243" fontId="48" fillId="0" borderId="10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0" fontId="101" fillId="0" borderId="170" applyBorder="0"/>
    <xf numFmtId="222" fontId="79" fillId="0" borderId="169" applyBorder="0"/>
    <xf numFmtId="0" fontId="113" fillId="0" borderId="170" applyNumberFormat="0" applyFill="0" applyAlignment="0" applyProtection="0"/>
    <xf numFmtId="0" fontId="75" fillId="0" borderId="147" applyNumberFormat="0" applyFont="0" applyFill="0" applyAlignment="0" applyProtection="0"/>
    <xf numFmtId="0" fontId="12" fillId="0" borderId="170" applyNumberFormat="0" applyFill="0" applyBorder="0" applyAlignment="0" applyProtection="0">
      <alignment horizontal="center"/>
    </xf>
    <xf numFmtId="248" fontId="46" fillId="0" borderId="170"/>
    <xf numFmtId="192" fontId="9" fillId="3" borderId="170">
      <alignment horizontal="right" vertical="center"/>
    </xf>
    <xf numFmtId="180" fontId="9" fillId="3" borderId="170">
      <alignment horizontal="right" vertical="center"/>
    </xf>
    <xf numFmtId="186" fontId="146" fillId="3" borderId="170" applyBorder="0">
      <alignment horizontal="left" vertical="center"/>
    </xf>
    <xf numFmtId="186" fontId="146" fillId="3" borderId="149">
      <alignment horizontal="left"/>
    </xf>
    <xf numFmtId="186" fontId="140" fillId="3" borderId="150">
      <alignment horizontal="center" vertical="center"/>
    </xf>
    <xf numFmtId="0" fontId="165" fillId="0" borderId="170" applyFill="0" applyProtection="0">
      <alignment horizontal="center"/>
    </xf>
    <xf numFmtId="0" fontId="166" fillId="0" borderId="170">
      <alignment horizontal="center"/>
    </xf>
    <xf numFmtId="264" fontId="12" fillId="14" borderId="170" applyFont="0" applyFill="0" applyBorder="0" applyAlignment="0" applyProtection="0">
      <alignment horizontal="right"/>
    </xf>
    <xf numFmtId="0" fontId="210" fillId="0" borderId="170" applyNumberFormat="0" applyFill="0" applyBorder="0" applyAlignment="0">
      <protection locked="0"/>
    </xf>
    <xf numFmtId="0" fontId="2" fillId="0" borderId="151" applyNumberFormat="0" applyAlignment="0" applyProtection="0"/>
    <xf numFmtId="0" fontId="214" fillId="0" borderId="152" applyNumberFormat="0" applyFont="0" applyFill="0" applyAlignment="0" applyProtection="0"/>
    <xf numFmtId="0" fontId="25" fillId="10" borderId="153" applyNumberFormat="0" applyProtection="0">
      <alignment horizontal="left" vertical="top"/>
    </xf>
    <xf numFmtId="0" fontId="25" fillId="10" borderId="154" applyNumberFormat="0" applyProtection="0">
      <alignment horizontal="left" vertical="top"/>
    </xf>
    <xf numFmtId="0" fontId="25" fillId="10" borderId="155" applyNumberFormat="0" applyProtection="0">
      <alignment horizontal="left" vertical="top"/>
    </xf>
    <xf numFmtId="0" fontId="25" fillId="10" borderId="156" applyNumberFormat="0" applyProtection="0">
      <alignment horizontal="left" vertical="top"/>
    </xf>
    <xf numFmtId="0" fontId="25" fillId="10" borderId="153" applyNumberFormat="0" applyProtection="0">
      <alignment horizontal="left" vertical="top"/>
    </xf>
    <xf numFmtId="0" fontId="25" fillId="10" borderId="154" applyNumberFormat="0" applyProtection="0">
      <alignment horizontal="left" vertical="top"/>
    </xf>
    <xf numFmtId="0" fontId="25" fillId="10" borderId="155" applyNumberFormat="0" applyProtection="0">
      <alignment horizontal="left" vertical="top"/>
    </xf>
    <xf numFmtId="0" fontId="25" fillId="10" borderId="156" applyNumberFormat="0" applyProtection="0">
      <alignment horizontal="left" vertical="top"/>
    </xf>
    <xf numFmtId="254" fontId="240" fillId="0" borderId="170" applyBorder="0" applyProtection="0">
      <alignment horizontal="right" vertical="center"/>
    </xf>
    <xf numFmtId="0" fontId="241" fillId="94" borderId="170" applyBorder="0" applyProtection="0">
      <alignment horizontal="centerContinuous" vertical="center"/>
    </xf>
    <xf numFmtId="246" fontId="249" fillId="0" borderId="170" applyFill="0" applyProtection="0">
      <alignment horizontal="center"/>
    </xf>
    <xf numFmtId="246" fontId="250" fillId="0" borderId="170" applyFill="0" applyProtection="0">
      <alignment horizontal="center"/>
    </xf>
    <xf numFmtId="43" fontId="12" fillId="0" borderId="0" applyFont="0" applyFill="0" applyBorder="0" applyAlignment="0" applyProtection="0"/>
    <xf numFmtId="0" fontId="91" fillId="0" borderId="39" applyNumberFormat="0" applyFill="0" applyAlignment="0" applyProtection="0"/>
    <xf numFmtId="0" fontId="113" fillId="0" borderId="170" applyNumberFormat="0" applyFill="0" applyAlignment="0" applyProtection="0"/>
    <xf numFmtId="0" fontId="75" fillId="0" borderId="171" applyNumberFormat="0" applyFont="0" applyFill="0" applyAlignment="0" applyProtection="0"/>
    <xf numFmtId="248" fontId="46" fillId="0" borderId="170"/>
    <xf numFmtId="182" fontId="144" fillId="3" borderId="50">
      <alignment vertical="center"/>
    </xf>
    <xf numFmtId="0" fontId="79" fillId="3" borderId="50">
      <alignment vertical="center"/>
    </xf>
    <xf numFmtId="180" fontId="9" fillId="3" borderId="50">
      <alignment horizontal="right" vertical="center"/>
    </xf>
    <xf numFmtId="192" fontId="9" fillId="3" borderId="170">
      <alignment horizontal="right" vertical="center"/>
    </xf>
    <xf numFmtId="180" fontId="9" fillId="3" borderId="170">
      <alignment horizontal="right" vertical="center"/>
    </xf>
    <xf numFmtId="186" fontId="146" fillId="3" borderId="173">
      <alignment horizontal="left"/>
    </xf>
    <xf numFmtId="186" fontId="140" fillId="3" borderId="174">
      <alignment horizontal="center" vertical="center"/>
    </xf>
    <xf numFmtId="0" fontId="5" fillId="0" borderId="98">
      <alignment horizontal="left" vertical="center"/>
    </xf>
    <xf numFmtId="0" fontId="165" fillId="0" borderId="170" applyFill="0" applyProtection="0">
      <alignment horizontal="center"/>
    </xf>
    <xf numFmtId="0" fontId="166" fillId="0" borderId="17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175" applyNumberFormat="0" applyAlignment="0" applyProtection="0"/>
    <xf numFmtId="0" fontId="214" fillId="0" borderId="176" applyNumberFormat="0" applyFont="0" applyFill="0" applyAlignment="0" applyProtection="0"/>
    <xf numFmtId="0" fontId="25" fillId="10" borderId="79" applyNumberFormat="0" applyProtection="0">
      <alignment horizontal="left"/>
    </xf>
    <xf numFmtId="0" fontId="25" fillId="10" borderId="177" applyNumberFormat="0" applyProtection="0">
      <alignment horizontal="left" vertical="top"/>
    </xf>
    <xf numFmtId="0" fontId="25" fillId="10" borderId="178" applyNumberFormat="0" applyProtection="0">
      <alignment horizontal="left" vertical="top"/>
    </xf>
    <xf numFmtId="0" fontId="25" fillId="10" borderId="84" applyNumberFormat="0" applyProtection="0">
      <alignment horizontal="left" vertical="top"/>
    </xf>
    <xf numFmtId="0" fontId="25" fillId="10" borderId="179" applyNumberFormat="0" applyProtection="0">
      <alignment horizontal="left" vertical="top"/>
    </xf>
    <xf numFmtId="0" fontId="25" fillId="10" borderId="180" applyNumberFormat="0" applyProtection="0">
      <alignment horizontal="left" vertical="top"/>
    </xf>
    <xf numFmtId="246" fontId="249" fillId="0" borderId="170" applyFill="0" applyProtection="0">
      <alignment horizontal="center"/>
    </xf>
    <xf numFmtId="246" fontId="250" fillId="0" borderId="170" applyFill="0" applyProtection="0">
      <alignment horizontal="center"/>
    </xf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43" fontId="48" fillId="0" borderId="10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43" fontId="48" fillId="0" borderId="10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312" fontId="12" fillId="0" borderId="0"/>
    <xf numFmtId="9" fontId="12" fillId="0" borderId="0" applyFont="0" applyFill="0" applyBorder="0" applyAlignment="0" applyProtection="0"/>
    <xf numFmtId="312" fontId="48" fillId="0" borderId="0" applyNumberFormat="0" applyFill="0" applyBorder="0" applyProtection="0">
      <alignment horizontal="left" vertical="top" wrapText="1"/>
    </xf>
    <xf numFmtId="312" fontId="12" fillId="0" borderId="0"/>
    <xf numFmtId="312" fontId="77" fillId="0" borderId="0"/>
    <xf numFmtId="312" fontId="12" fillId="0" borderId="0"/>
    <xf numFmtId="312" fontId="75" fillId="0" borderId="0" applyBorder="0"/>
    <xf numFmtId="312" fontId="80" fillId="0" borderId="0" applyFont="0" applyFill="0" applyBorder="0" applyAlignment="0" applyProtection="0"/>
    <xf numFmtId="312" fontId="80" fillId="0" borderId="0" applyFont="0" applyFill="0" applyBorder="0" applyAlignment="0" applyProtection="0"/>
    <xf numFmtId="312" fontId="80" fillId="0" borderId="0" applyFont="0" applyFill="0" applyBorder="0" applyAlignment="0" applyProtection="0"/>
    <xf numFmtId="312" fontId="80" fillId="0" borderId="0" applyFont="0" applyFill="0" applyBorder="0" applyAlignment="0" applyProtection="0"/>
    <xf numFmtId="312" fontId="80" fillId="0" borderId="0" applyFont="0" applyFill="0" applyBorder="0" applyAlignment="0" applyProtection="0"/>
    <xf numFmtId="312" fontId="80" fillId="0" borderId="0" applyFont="0" applyFill="0" applyBorder="0" applyAlignment="0" applyProtection="0"/>
    <xf numFmtId="312" fontId="85" fillId="0" borderId="0" applyNumberFormat="0" applyFont="0" applyFill="0" applyBorder="0" applyAlignment="0" applyProtection="0"/>
    <xf numFmtId="312" fontId="12" fillId="0" borderId="0"/>
    <xf numFmtId="312" fontId="12" fillId="0" borderId="0"/>
    <xf numFmtId="312" fontId="2" fillId="0" borderId="0" applyFont="0" applyFill="0" applyBorder="0" applyAlignment="0"/>
    <xf numFmtId="312" fontId="12" fillId="0" borderId="0" applyNumberFormat="0" applyFill="0" applyBorder="0" applyAlignment="0" applyProtection="0"/>
    <xf numFmtId="312" fontId="12" fillId="0" borderId="0" applyNumberFormat="0" applyFill="0" applyBorder="0" applyAlignment="0" applyProtection="0"/>
    <xf numFmtId="312" fontId="85" fillId="0" borderId="0" applyNumberFormat="0" applyFill="0" applyBorder="0" applyAlignment="0" applyProtection="0"/>
    <xf numFmtId="312" fontId="12" fillId="0" borderId="0" applyNumberFormat="0" applyFill="0" applyBorder="0" applyAlignment="0" applyProtection="0"/>
    <xf numFmtId="312" fontId="12" fillId="0" borderId="0" applyNumberFormat="0" applyFill="0" applyBorder="0" applyAlignment="0" applyProtection="0"/>
    <xf numFmtId="312" fontId="12" fillId="0" borderId="0" applyNumberFormat="0" applyFill="0" applyBorder="0" applyAlignment="0" applyProtection="0"/>
    <xf numFmtId="312" fontId="12" fillId="0" borderId="0" applyFont="0" applyFill="0" applyBorder="0" applyAlignment="0" applyProtection="0"/>
    <xf numFmtId="312" fontId="12" fillId="0" borderId="0" applyFont="0" applyFill="0" applyBorder="0" applyAlignment="0" applyProtection="0"/>
    <xf numFmtId="312" fontId="88" fillId="0" borderId="0" applyNumberFormat="0" applyFill="0" applyBorder="0" applyAlignment="0" applyProtection="0"/>
    <xf numFmtId="312" fontId="12" fillId="51" borderId="0" applyNumberFormat="0" applyFont="0" applyAlignment="0" applyProtection="0"/>
    <xf numFmtId="312" fontId="12" fillId="0" borderId="0" applyNumberFormat="0" applyFill="0" applyBorder="0" applyAlignment="0" applyProtection="0"/>
    <xf numFmtId="312" fontId="12" fillId="0" borderId="0" applyNumberFormat="0" applyFill="0" applyBorder="0" applyAlignment="0" applyProtection="0"/>
    <xf numFmtId="312" fontId="12" fillId="0" borderId="0" applyNumberFormat="0" applyFill="0" applyBorder="0" applyAlignment="0" applyProtection="0"/>
    <xf numFmtId="312" fontId="12" fillId="0" borderId="0"/>
    <xf numFmtId="312" fontId="12" fillId="0" borderId="0" applyFont="0" applyFill="0" applyBorder="0" applyAlignment="0" applyProtection="0"/>
    <xf numFmtId="312" fontId="12" fillId="0" borderId="0" applyNumberFormat="0" applyFill="0" applyBorder="0" applyAlignment="0" applyProtection="0"/>
    <xf numFmtId="312" fontId="12" fillId="0" borderId="0" applyNumberFormat="0" applyFill="0" applyBorder="0" applyAlignment="0" applyProtection="0"/>
    <xf numFmtId="312" fontId="12" fillId="0" borderId="0" applyNumberFormat="0" applyFill="0" applyBorder="0" applyAlignment="0" applyProtection="0"/>
    <xf numFmtId="312" fontId="89" fillId="0" borderId="0"/>
    <xf numFmtId="312" fontId="90" fillId="0" borderId="0" applyNumberFormat="0" applyFill="0" applyBorder="0" applyProtection="0">
      <alignment vertical="top"/>
    </xf>
    <xf numFmtId="312" fontId="91" fillId="0" borderId="39" applyNumberFormat="0" applyFill="0" applyAlignment="0" applyProtection="0"/>
    <xf numFmtId="312" fontId="92" fillId="0" borderId="40" applyNumberFormat="0" applyFill="0" applyProtection="0">
      <alignment horizontal="center"/>
    </xf>
    <xf numFmtId="312" fontId="92" fillId="0" borderId="0" applyNumberFormat="0" applyFill="0" applyBorder="0" applyProtection="0">
      <alignment horizontal="left"/>
    </xf>
    <xf numFmtId="312" fontId="93" fillId="0" borderId="0" applyNumberFormat="0" applyFill="0" applyBorder="0" applyProtection="0">
      <alignment horizontal="centerContinuous"/>
    </xf>
    <xf numFmtId="312" fontId="12" fillId="0" borderId="0" applyNumberFormat="0" applyFill="0" applyBorder="0" applyAlignment="0" applyProtection="0"/>
    <xf numFmtId="312" fontId="12" fillId="0" borderId="0"/>
    <xf numFmtId="312" fontId="94" fillId="0" borderId="0" applyFont="0" applyFill="0" applyBorder="0" applyAlignment="0" applyProtection="0"/>
    <xf numFmtId="312" fontId="94" fillId="0" borderId="0" applyFont="0" applyFill="0" applyBorder="0" applyAlignment="0" applyProtection="0"/>
    <xf numFmtId="312" fontId="97" fillId="0" borderId="0"/>
    <xf numFmtId="217" fontId="200" fillId="0" borderId="0" applyFont="0" applyFill="0" applyBorder="0" applyAlignment="0" applyProtection="0"/>
    <xf numFmtId="312" fontId="97" fillId="0" borderId="0"/>
    <xf numFmtId="185" fontId="200" fillId="0" borderId="0" applyFont="0" applyFill="0" applyBorder="0" applyAlignment="0" applyProtection="0"/>
    <xf numFmtId="312" fontId="97" fillId="0" borderId="0"/>
    <xf numFmtId="312" fontId="2" fillId="0" borderId="0"/>
    <xf numFmtId="312" fontId="75" fillId="0" borderId="0"/>
    <xf numFmtId="312" fontId="12" fillId="0" borderId="0"/>
    <xf numFmtId="312" fontId="101" fillId="0" borderId="170" applyBorder="0"/>
    <xf numFmtId="312" fontId="103" fillId="0" borderId="0"/>
    <xf numFmtId="312" fontId="12" fillId="53" borderId="0" applyNumberFormat="0" applyFill="0" applyBorder="0" applyAlignment="0"/>
    <xf numFmtId="312" fontId="12" fillId="0" borderId="0" applyNumberFormat="0" applyFill="0" applyBorder="0" applyAlignment="0" applyProtection="0"/>
    <xf numFmtId="312" fontId="104" fillId="0" borderId="0" applyNumberFormat="0" applyFill="0" applyBorder="0" applyAlignment="0" applyProtection="0"/>
    <xf numFmtId="312" fontId="12" fillId="0" borderId="42" applyNumberFormat="0" applyFill="0" applyBorder="0" applyAlignment="0" applyProtection="0"/>
    <xf numFmtId="312" fontId="46" fillId="0" borderId="42" applyNumberFormat="0" applyFill="0" applyBorder="0" applyAlignment="0" applyProtection="0"/>
    <xf numFmtId="312" fontId="105" fillId="0" borderId="42" applyNumberFormat="0" applyFill="0" applyBorder="0" applyAlignment="0" applyProtection="0"/>
    <xf numFmtId="312" fontId="48" fillId="0" borderId="42" applyNumberFormat="0" applyFill="0" applyAlignment="0" applyProtection="0"/>
    <xf numFmtId="312" fontId="106" fillId="0" borderId="60">
      <protection hidden="1"/>
    </xf>
    <xf numFmtId="312" fontId="294" fillId="54" borderId="60" applyNumberFormat="0" applyFont="0" applyBorder="0" applyAlignment="0" applyProtection="0">
      <protection hidden="1"/>
    </xf>
    <xf numFmtId="312" fontId="110" fillId="0" borderId="0" applyNumberFormat="0" applyFill="0" applyBorder="0" applyAlignment="0" applyProtection="0"/>
    <xf numFmtId="312" fontId="12" fillId="0" borderId="0" applyNumberFormat="0" applyFont="0" applyAlignment="0" applyProtection="0"/>
    <xf numFmtId="312" fontId="295" fillId="0" borderId="0" applyNumberFormat="0"/>
    <xf numFmtId="312" fontId="113" fillId="0" borderId="170" applyNumberFormat="0" applyFill="0" applyAlignment="0" applyProtection="0"/>
    <xf numFmtId="312" fontId="75" fillId="0" borderId="15" applyNumberFormat="0" applyFont="0" applyFill="0" applyAlignment="0" applyProtection="0"/>
    <xf numFmtId="312" fontId="75" fillId="0" borderId="147" applyNumberFormat="0" applyFont="0" applyFill="0" applyAlignment="0" applyProtection="0"/>
    <xf numFmtId="312" fontId="94" fillId="0" borderId="0" applyFont="0" applyFill="0" applyBorder="0" applyAlignment="0" applyProtection="0"/>
    <xf numFmtId="312" fontId="117" fillId="0" borderId="0" applyFill="0" applyBorder="0" applyAlignment="0"/>
    <xf numFmtId="312" fontId="117" fillId="0" borderId="0" applyFill="0" applyBorder="0" applyAlignment="0"/>
    <xf numFmtId="312" fontId="117" fillId="0" borderId="0" applyFill="0" applyBorder="0" applyAlignment="0"/>
    <xf numFmtId="312" fontId="118" fillId="57" borderId="0" applyNumberFormat="0" applyFont="0" applyBorder="0" applyAlignment="0"/>
    <xf numFmtId="312" fontId="75" fillId="0" borderId="0" applyFill="0" applyBorder="0" applyProtection="0"/>
    <xf numFmtId="312" fontId="119" fillId="58" borderId="1"/>
    <xf numFmtId="312" fontId="120" fillId="0" borderId="0">
      <alignment horizontal="right"/>
    </xf>
    <xf numFmtId="312" fontId="48" fillId="0" borderId="0" applyNumberFormat="0" applyFill="0" applyBorder="0" applyAlignment="0" applyProtection="0"/>
    <xf numFmtId="312" fontId="122" fillId="0" borderId="0" applyNumberFormat="0" applyFill="0" applyBorder="0" applyAlignment="0" applyProtection="0"/>
    <xf numFmtId="312" fontId="12" fillId="0" borderId="170" applyNumberFormat="0" applyFill="0" applyBorder="0" applyAlignment="0" applyProtection="0">
      <alignment horizontal="center"/>
    </xf>
    <xf numFmtId="312" fontId="12" fillId="0" borderId="0">
      <alignment horizontal="center" wrapText="1"/>
      <protection hidden="1"/>
    </xf>
    <xf numFmtId="312" fontId="124" fillId="0" borderId="0"/>
    <xf numFmtId="312" fontId="124" fillId="0" borderId="0"/>
    <xf numFmtId="312" fontId="124" fillId="0" borderId="0"/>
    <xf numFmtId="312" fontId="124" fillId="0" borderId="0"/>
    <xf numFmtId="312" fontId="124" fillId="0" borderId="0"/>
    <xf numFmtId="312" fontId="124" fillId="0" borderId="0"/>
    <xf numFmtId="312" fontId="124" fillId="0" borderId="0"/>
    <xf numFmtId="312" fontId="124" fillId="0" borderId="0"/>
    <xf numFmtId="312" fontId="117" fillId="0" borderId="0" applyFont="0" applyFill="0" applyBorder="0" applyAlignment="0" applyProtection="0"/>
    <xf numFmtId="312" fontId="294" fillId="0" borderId="0" applyFont="0" applyFill="0" applyBorder="0" applyAlignment="0" applyProtection="0"/>
    <xf numFmtId="312" fontId="127" fillId="0" borderId="0"/>
    <xf numFmtId="312" fontId="128" fillId="59" borderId="0">
      <alignment horizontal="center" vertical="center" wrapText="1"/>
    </xf>
    <xf numFmtId="312" fontId="129" fillId="0" borderId="0" applyFill="0" applyBorder="0">
      <alignment horizontal="left"/>
    </xf>
    <xf numFmtId="243" fontId="48" fillId="0" borderId="100" applyFont="0" applyFill="0" applyBorder="0" applyAlignment="0" applyProtection="0"/>
    <xf numFmtId="312" fontId="75" fillId="0" borderId="0"/>
    <xf numFmtId="312" fontId="48" fillId="0" borderId="0" applyFont="0" applyFill="0" applyBorder="0" applyAlignment="0"/>
    <xf numFmtId="312" fontId="126" fillId="0" borderId="0" applyFont="0" applyFill="0" applyBorder="0" applyAlignment="0" applyProtection="0"/>
    <xf numFmtId="312" fontId="134" fillId="61" borderId="0"/>
    <xf numFmtId="312" fontId="94" fillId="0" borderId="0" applyFont="0" applyFill="0" applyBorder="0" applyAlignment="0" applyProtection="0"/>
    <xf numFmtId="312" fontId="12" fillId="0" borderId="0" applyNumberFormat="0">
      <alignment horizontal="right"/>
    </xf>
    <xf numFmtId="312" fontId="135" fillId="0" borderId="0"/>
    <xf numFmtId="312" fontId="46" fillId="14" borderId="0" applyFont="0" applyFill="0" applyBorder="0" applyAlignment="0" applyProtection="0"/>
    <xf numFmtId="312" fontId="78" fillId="14" borderId="11" applyFont="0" applyFill="0" applyBorder="0" applyAlignment="0" applyProtection="0"/>
    <xf numFmtId="312" fontId="48" fillId="14" borderId="0" applyFont="0" applyFill="0" applyBorder="0" applyAlignment="0" applyProtection="0"/>
    <xf numFmtId="312" fontId="2" fillId="0" borderId="0"/>
    <xf numFmtId="312" fontId="74" fillId="0" borderId="0" applyFont="0" applyFill="0" applyBorder="0" applyAlignment="0" applyProtection="0">
      <alignment horizontal="center"/>
    </xf>
    <xf numFmtId="312" fontId="74" fillId="0" borderId="3" applyFont="0" applyFill="0" applyBorder="0" applyAlignment="0" applyProtection="0">
      <alignment horizontal="center"/>
    </xf>
    <xf numFmtId="312" fontId="48" fillId="0" borderId="3" applyFont="0" applyFill="0" applyBorder="0" applyAlignment="0" applyProtection="0">
      <alignment horizontal="center"/>
    </xf>
    <xf numFmtId="312" fontId="75" fillId="0" borderId="0"/>
    <xf numFmtId="312" fontId="135" fillId="0" borderId="0"/>
    <xf numFmtId="312" fontId="75" fillId="0" borderId="0"/>
    <xf numFmtId="312" fontId="133" fillId="0" borderId="0">
      <protection locked="0"/>
    </xf>
    <xf numFmtId="312" fontId="79" fillId="3" borderId="50">
      <alignment vertical="center"/>
    </xf>
    <xf numFmtId="312" fontId="135" fillId="0" borderId="55"/>
    <xf numFmtId="312" fontId="135" fillId="0" borderId="55"/>
    <xf numFmtId="312" fontId="48" fillId="53" borderId="0" applyNumberFormat="0" applyFont="0" applyBorder="0" applyAlignment="0" applyProtection="0"/>
    <xf numFmtId="312" fontId="149" fillId="63" borderId="0"/>
    <xf numFmtId="312" fontId="117" fillId="0" borderId="0" applyFill="0" applyBorder="0" applyAlignment="0"/>
    <xf numFmtId="312" fontId="117" fillId="0" borderId="0" applyFill="0" applyBorder="0" applyAlignment="0"/>
    <xf numFmtId="312" fontId="117" fillId="0" borderId="0" applyFill="0" applyBorder="0" applyAlignment="0"/>
    <xf numFmtId="312" fontId="135" fillId="0" borderId="0"/>
    <xf numFmtId="312" fontId="152" fillId="0" borderId="0"/>
    <xf numFmtId="312" fontId="155" fillId="66" borderId="0"/>
    <xf numFmtId="312" fontId="75" fillId="0" borderId="0"/>
    <xf numFmtId="312" fontId="12" fillId="0" borderId="0" applyFill="0" applyBorder="0" applyAlignment="0" applyProtection="0"/>
    <xf numFmtId="312" fontId="25" fillId="0" borderId="0" applyFill="0" applyBorder="0" applyAlignment="0" applyProtection="0"/>
    <xf numFmtId="312" fontId="104" fillId="0" borderId="0" applyFill="0" applyBorder="0" applyAlignment="0" applyProtection="0"/>
    <xf numFmtId="312" fontId="5" fillId="0" borderId="0" applyFill="0" applyBorder="0" applyAlignment="0" applyProtection="0"/>
    <xf numFmtId="312" fontId="3" fillId="0" borderId="0" applyFill="0" applyBorder="0" applyAlignment="0" applyProtection="0"/>
    <xf numFmtId="312" fontId="156" fillId="0" borderId="0" applyFill="0" applyBorder="0" applyAlignment="0" applyProtection="0"/>
    <xf numFmtId="312" fontId="157" fillId="0" borderId="0" applyFill="0" applyBorder="0" applyAlignment="0" applyProtection="0"/>
    <xf numFmtId="312" fontId="46" fillId="0" borderId="0" applyFill="0" applyBorder="0" applyAlignment="0" applyProtection="0"/>
    <xf numFmtId="312" fontId="158" fillId="0" borderId="0" applyFill="0" applyBorder="0" applyProtection="0">
      <alignment horizontal="left"/>
    </xf>
    <xf numFmtId="312" fontId="12" fillId="0" borderId="0" applyNumberFormat="0" applyFill="0" applyBorder="0" applyAlignment="0" applyProtection="0"/>
    <xf numFmtId="312" fontId="159" fillId="0" borderId="57"/>
    <xf numFmtId="312" fontId="159" fillId="0" borderId="55"/>
    <xf numFmtId="312" fontId="159" fillId="67" borderId="55"/>
    <xf numFmtId="312" fontId="12" fillId="0" borderId="0" applyBorder="0" applyProtection="0"/>
    <xf numFmtId="312" fontId="48" fillId="0" borderId="0" applyFill="0" applyBorder="0" applyAlignment="0" applyProtection="0">
      <alignment horizontal="right"/>
    </xf>
    <xf numFmtId="312" fontId="48" fillId="0" borderId="0" applyFill="0" applyBorder="0" applyAlignment="0" applyProtection="0"/>
    <xf numFmtId="312" fontId="164" fillId="0" borderId="0" applyProtection="0">
      <alignment horizontal="right"/>
    </xf>
    <xf numFmtId="312" fontId="5" fillId="0" borderId="37" applyNumberFormat="0" applyAlignment="0" applyProtection="0">
      <alignment horizontal="left" vertical="center"/>
    </xf>
    <xf numFmtId="312" fontId="5" fillId="0" borderId="4">
      <alignment horizontal="left" vertical="center"/>
    </xf>
    <xf numFmtId="312" fontId="12" fillId="0" borderId="0">
      <alignment horizontal="center"/>
    </xf>
    <xf numFmtId="312" fontId="12" fillId="0" borderId="0">
      <alignment horizontal="center"/>
    </xf>
    <xf numFmtId="312" fontId="165" fillId="0" borderId="170" applyFill="0" applyProtection="0">
      <alignment horizontal="center"/>
    </xf>
    <xf numFmtId="312" fontId="242" fillId="0" borderId="170">
      <alignment horizontal="center"/>
    </xf>
    <xf numFmtId="312" fontId="169" fillId="0" borderId="0" applyNumberFormat="0" applyFill="0" applyBorder="0" applyAlignment="0" applyProtection="0">
      <alignment horizontal="center"/>
    </xf>
    <xf numFmtId="312" fontId="170" fillId="0" borderId="0" applyNumberFormat="0" applyFill="0" applyBorder="0" applyAlignment="0" applyProtection="0">
      <alignment horizontal="center"/>
    </xf>
    <xf numFmtId="312" fontId="171" fillId="0" borderId="58" applyNumberFormat="0" applyFill="0" applyBorder="0" applyAlignment="0" applyProtection="0">
      <alignment horizontal="left"/>
    </xf>
    <xf numFmtId="312" fontId="2" fillId="0" borderId="0"/>
    <xf numFmtId="312" fontId="173" fillId="0" borderId="59" applyNumberFormat="0" applyFill="0" applyAlignment="0" applyProtection="0"/>
    <xf numFmtId="312" fontId="12" fillId="3" borderId="0" applyNumberFormat="0" applyFont="0" applyBorder="0" applyAlignment="0" applyProtection="0"/>
    <xf numFmtId="312" fontId="75" fillId="0" borderId="0" applyFill="0" applyBorder="0" applyAlignment="0" applyProtection="0"/>
    <xf numFmtId="312" fontId="48" fillId="14" borderId="0" applyFont="0" applyBorder="0" applyAlignment="0" applyProtection="0">
      <protection locked="0"/>
    </xf>
    <xf numFmtId="312" fontId="48" fillId="14" borderId="0" applyFont="0" applyBorder="0" applyAlignment="0">
      <protection locked="0"/>
    </xf>
    <xf numFmtId="312" fontId="48" fillId="14" borderId="0">
      <protection locked="0"/>
    </xf>
    <xf numFmtId="312" fontId="48" fillId="14" borderId="0" applyFont="0" applyBorder="0" applyAlignment="0">
      <protection locked="0"/>
    </xf>
    <xf numFmtId="312" fontId="174" fillId="14" borderId="0" applyNumberFormat="0" applyBorder="0" applyAlignment="0">
      <protection locked="0"/>
    </xf>
    <xf numFmtId="312" fontId="111" fillId="0" borderId="0" applyNumberFormat="0" applyFill="0" applyBorder="0" applyAlignment="0">
      <protection locked="0"/>
    </xf>
    <xf numFmtId="312" fontId="48" fillId="14" borderId="0" applyNumberFormat="0" applyFont="0" applyBorder="0" applyAlignment="0" applyProtection="0">
      <alignment horizontal="center"/>
      <protection locked="0"/>
    </xf>
    <xf numFmtId="312" fontId="175" fillId="0" borderId="0" applyNumberFormat="0" applyFill="0" applyBorder="0" applyAlignment="0">
      <protection locked="0"/>
    </xf>
    <xf numFmtId="312" fontId="12" fillId="0" borderId="0" applyFill="0" applyBorder="0">
      <alignment horizontal="right"/>
      <protection locked="0"/>
    </xf>
    <xf numFmtId="312" fontId="25" fillId="69" borderId="55">
      <alignment horizontal="left" vertical="center" wrapText="1"/>
    </xf>
    <xf numFmtId="312" fontId="75" fillId="0" borderId="0">
      <alignment horizontal="left"/>
    </xf>
    <xf numFmtId="312" fontId="12" fillId="0" borderId="0"/>
    <xf numFmtId="312" fontId="117" fillId="0" borderId="0" applyFill="0" applyBorder="0" applyAlignment="0"/>
    <xf numFmtId="312" fontId="117" fillId="0" borderId="0" applyFill="0" applyBorder="0" applyAlignment="0"/>
    <xf numFmtId="312" fontId="117" fillId="0" borderId="0" applyFill="0" applyBorder="0" applyAlignment="0"/>
    <xf numFmtId="312" fontId="182" fillId="0" borderId="0" applyNumberFormat="0" applyFont="0" applyFill="0" applyBorder="0" applyAlignment="0"/>
    <xf numFmtId="312" fontId="134" fillId="61" borderId="0"/>
    <xf numFmtId="312" fontId="183" fillId="0" borderId="60">
      <alignment horizontal="left"/>
      <protection locked="0"/>
    </xf>
    <xf numFmtId="312" fontId="184" fillId="0" borderId="61" applyAlignment="0">
      <alignment horizontal="left" wrapText="1"/>
    </xf>
    <xf numFmtId="312" fontId="2" fillId="0" borderId="0" applyNumberFormat="0" applyFill="0" applyBorder="0" applyAlignment="0" applyProtection="0"/>
    <xf numFmtId="312" fontId="2" fillId="0" borderId="0" applyNumberFormat="0" applyFill="0" applyBorder="0" applyAlignment="0" applyProtection="0"/>
    <xf numFmtId="312" fontId="185" fillId="0" borderId="0" applyNumberFormat="0" applyFill="0" applyBorder="0" applyAlignment="0" applyProtection="0"/>
    <xf numFmtId="312" fontId="48" fillId="0" borderId="0" applyFill="0" applyBorder="0" applyAlignment="0" applyProtection="0"/>
    <xf numFmtId="312" fontId="155" fillId="0" borderId="0"/>
    <xf numFmtId="312" fontId="186" fillId="0" borderId="0"/>
    <xf numFmtId="312" fontId="187" fillId="0" borderId="0"/>
    <xf numFmtId="312" fontId="188" fillId="0" borderId="0" applyBorder="0"/>
    <xf numFmtId="312" fontId="189" fillId="0" borderId="0"/>
    <xf numFmtId="312" fontId="200" fillId="0" borderId="0" applyFont="0" applyFill="0" applyBorder="0" applyAlignment="0" applyProtection="0"/>
    <xf numFmtId="312" fontId="191" fillId="0" borderId="0">
      <alignment horizontal="right"/>
    </xf>
    <xf numFmtId="312" fontId="12" fillId="0" borderId="0" applyNumberFormat="0" applyFont="0" applyFill="0" applyBorder="0" applyAlignment="0" applyProtection="0"/>
    <xf numFmtId="312" fontId="175" fillId="0" borderId="63" applyNumberFormat="0" applyAlignment="0"/>
    <xf numFmtId="312" fontId="192" fillId="0" borderId="0"/>
    <xf numFmtId="312" fontId="193" fillId="0" borderId="0"/>
    <xf numFmtId="312" fontId="134" fillId="64" borderId="0"/>
    <xf numFmtId="312" fontId="12" fillId="0" borderId="0" applyFont="0" applyFill="0" applyBorder="0" applyAlignment="0"/>
    <xf numFmtId="312" fontId="48" fillId="0" borderId="0" applyFont="0" applyFill="0" applyBorder="0" applyAlignment="0"/>
    <xf numFmtId="312" fontId="12" fillId="0" borderId="0"/>
    <xf numFmtId="312" fontId="46" fillId="0" borderId="0" applyNumberFormat="0" applyFill="0" applyBorder="0" applyAlignment="0" applyProtection="0"/>
    <xf numFmtId="312" fontId="48" fillId="0" borderId="0" applyFont="0" applyFill="0" applyBorder="0" applyAlignment="0" applyProtection="0"/>
    <xf numFmtId="312" fontId="2" fillId="0" borderId="0"/>
    <xf numFmtId="312" fontId="12" fillId="0" borderId="0">
      <alignment horizontal="right"/>
    </xf>
    <xf numFmtId="312" fontId="200" fillId="0" borderId="0"/>
    <xf numFmtId="312" fontId="201" fillId="0" borderId="64"/>
    <xf numFmtId="312" fontId="48" fillId="0" borderId="0" applyFont="0" applyFill="0" applyBorder="0" applyAlignment="0" applyProtection="0"/>
    <xf numFmtId="312" fontId="133" fillId="0" borderId="0">
      <protection locked="0"/>
    </xf>
    <xf numFmtId="312" fontId="12" fillId="0" borderId="0" applyNumberFormat="0" applyFill="0" applyBorder="0" applyAlignment="0" applyProtection="0"/>
    <xf numFmtId="312" fontId="76" fillId="0" borderId="0" applyNumberFormat="0" applyFill="0" applyBorder="0" applyAlignment="0" applyProtection="0"/>
    <xf numFmtId="312" fontId="204" fillId="3" borderId="1" applyNumberFormat="0" applyBorder="0">
      <alignment horizontal="center" vertical="center"/>
    </xf>
    <xf numFmtId="312" fontId="206" fillId="0" borderId="0">
      <alignment horizontal="left"/>
    </xf>
    <xf numFmtId="312" fontId="207" fillId="60" borderId="0">
      <alignment horizontal="right"/>
    </xf>
    <xf numFmtId="312" fontId="208" fillId="70" borderId="0"/>
    <xf numFmtId="312" fontId="2" fillId="0" borderId="0" applyBorder="0">
      <alignment horizontal="centerContinuous"/>
    </xf>
    <xf numFmtId="312" fontId="209" fillId="0" borderId="0" applyBorder="0">
      <alignment horizontal="centerContinuous"/>
    </xf>
    <xf numFmtId="312" fontId="210" fillId="0" borderId="170" applyNumberFormat="0" applyFill="0" applyBorder="0" applyAlignment="0">
      <protection locked="0"/>
    </xf>
    <xf numFmtId="312" fontId="211" fillId="0" borderId="0" applyProtection="0">
      <alignment horizontal="left"/>
    </xf>
    <xf numFmtId="312" fontId="12" fillId="0" borderId="0" applyFill="0" applyBorder="0" applyProtection="0">
      <alignment horizontal="left"/>
    </xf>
    <xf numFmtId="312" fontId="12" fillId="0" borderId="0" applyFill="0" applyBorder="0" applyProtection="0">
      <alignment horizontal="left"/>
    </xf>
    <xf numFmtId="312" fontId="187" fillId="0" borderId="0"/>
    <xf numFmtId="312" fontId="213" fillId="0" borderId="65" applyNumberFormat="0" applyAlignment="0" applyProtection="0"/>
    <xf numFmtId="312" fontId="48" fillId="11" borderId="60" applyNumberFormat="0" applyFont="0" applyBorder="0" applyAlignment="0" applyProtection="0">
      <alignment horizontal="center"/>
    </xf>
    <xf numFmtId="312" fontId="2" fillId="0" borderId="151" applyNumberFormat="0" applyAlignment="0" applyProtection="0"/>
    <xf numFmtId="312" fontId="213" fillId="0" borderId="67" applyNumberFormat="0" applyAlignment="0" applyProtection="0"/>
    <xf numFmtId="312" fontId="48" fillId="0" borderId="0"/>
    <xf numFmtId="312" fontId="12" fillId="0" borderId="0" applyFont="0" applyFill="0" applyBorder="0" applyAlignment="0"/>
    <xf numFmtId="312" fontId="48" fillId="0" borderId="0" applyFont="0" applyFill="0" applyBorder="0" applyAlignment="0"/>
    <xf numFmtId="312" fontId="84" fillId="0" borderId="60" applyBorder="0"/>
    <xf numFmtId="312" fontId="75" fillId="0" borderId="0"/>
    <xf numFmtId="312" fontId="133" fillId="0" borderId="0"/>
    <xf numFmtId="312" fontId="12" fillId="0" borderId="0"/>
    <xf numFmtId="312" fontId="48" fillId="0" borderId="0" applyFont="0" applyFill="0" applyBorder="0" applyAlignment="0" applyProtection="0"/>
    <xf numFmtId="312" fontId="214" fillId="0" borderId="152" applyNumberFormat="0" applyFont="0" applyFill="0" applyAlignment="0" applyProtection="0"/>
    <xf numFmtId="312" fontId="117" fillId="0" borderId="0" applyFill="0" applyBorder="0" applyAlignment="0"/>
    <xf numFmtId="312" fontId="117" fillId="0" borderId="0" applyFill="0" applyBorder="0" applyAlignment="0"/>
    <xf numFmtId="312" fontId="117" fillId="0" borderId="0" applyFill="0" applyBorder="0" applyAlignment="0"/>
    <xf numFmtId="312" fontId="216" fillId="0" borderId="0"/>
    <xf numFmtId="312" fontId="216" fillId="0" borderId="58">
      <alignment horizontal="right"/>
    </xf>
    <xf numFmtId="312" fontId="12" fillId="0" borderId="0" applyNumberFormat="0" applyFont="0" applyFill="0" applyBorder="0" applyAlignment="0">
      <protection hidden="1"/>
    </xf>
    <xf numFmtId="312" fontId="97" fillId="0" borderId="0" applyNumberFormat="0" applyFont="0" applyFill="0" applyBorder="0" applyAlignment="0" applyProtection="0">
      <alignment horizontal="left"/>
    </xf>
    <xf numFmtId="312" fontId="114" fillId="0" borderId="15">
      <alignment horizontal="center"/>
    </xf>
    <xf numFmtId="312" fontId="97" fillId="74" borderId="0" applyNumberFormat="0" applyFont="0" applyBorder="0" applyAlignment="0" applyProtection="0"/>
    <xf numFmtId="312" fontId="2" fillId="0" borderId="0">
      <alignment vertical="top"/>
    </xf>
    <xf numFmtId="312" fontId="218" fillId="0" borderId="0" applyNumberFormat="0" applyFill="0" applyBorder="0" applyAlignment="0" applyProtection="0">
      <alignment horizontal="left"/>
    </xf>
    <xf numFmtId="312" fontId="219" fillId="0" borderId="60" applyNumberFormat="0" applyFill="0" applyBorder="0" applyAlignment="0" applyProtection="0">
      <protection hidden="1"/>
    </xf>
    <xf numFmtId="312" fontId="135" fillId="0" borderId="0"/>
    <xf numFmtId="312" fontId="220" fillId="0" borderId="0"/>
    <xf numFmtId="312" fontId="94" fillId="0" borderId="0" applyNumberFormat="0" applyFill="0" applyBorder="0" applyProtection="0">
      <alignment horizontal="right" vertical="center"/>
    </xf>
    <xf numFmtId="312" fontId="221" fillId="72" borderId="0" applyFont="0" applyFill="0" applyAlignment="0"/>
    <xf numFmtId="312" fontId="2" fillId="0" borderId="0" applyNumberFormat="0" applyFont="0" applyFill="0" applyBorder="0" applyAlignment="0" applyProtection="0">
      <alignment horizontal="left" indent="1"/>
    </xf>
    <xf numFmtId="312" fontId="222" fillId="0" borderId="69">
      <alignment vertical="center"/>
    </xf>
    <xf numFmtId="312" fontId="225" fillId="53" borderId="70" applyNumberFormat="0" applyProtection="0">
      <alignment horizontal="left" vertical="top" indent="1"/>
    </xf>
    <xf numFmtId="312" fontId="12" fillId="75" borderId="70" applyNumberFormat="0" applyProtection="0">
      <alignment horizontal="left" vertical="center" indent="1"/>
    </xf>
    <xf numFmtId="312" fontId="12" fillId="75" borderId="70" applyNumberFormat="0" applyProtection="0">
      <alignment horizontal="left" vertical="top" indent="1"/>
    </xf>
    <xf numFmtId="312" fontId="12" fillId="84" borderId="70" applyNumberFormat="0" applyProtection="0">
      <alignment horizontal="left" vertical="center" indent="1"/>
    </xf>
    <xf numFmtId="312" fontId="12" fillId="84" borderId="70" applyNumberFormat="0" applyProtection="0">
      <alignment horizontal="left" vertical="top" indent="1"/>
    </xf>
    <xf numFmtId="312" fontId="12" fillId="52" borderId="70" applyNumberFormat="0" applyProtection="0">
      <alignment horizontal="left" vertical="center" indent="1"/>
    </xf>
    <xf numFmtId="312" fontId="12" fillId="52" borderId="70" applyNumberFormat="0" applyProtection="0">
      <alignment horizontal="left" vertical="top" indent="1"/>
    </xf>
    <xf numFmtId="312" fontId="12" fillId="11" borderId="70" applyNumberFormat="0" applyProtection="0">
      <alignment horizontal="left" vertical="center" indent="1"/>
    </xf>
    <xf numFmtId="312" fontId="12" fillId="11" borderId="70" applyNumberFormat="0" applyProtection="0">
      <alignment horizontal="left" vertical="top" indent="1"/>
    </xf>
    <xf numFmtId="312" fontId="136" fillId="14" borderId="70" applyNumberFormat="0" applyProtection="0">
      <alignment horizontal="left" vertical="top" indent="1"/>
    </xf>
    <xf numFmtId="312" fontId="136" fillId="84" borderId="70" applyNumberFormat="0" applyProtection="0">
      <alignment horizontal="left" vertical="top" indent="1"/>
    </xf>
    <xf numFmtId="312" fontId="231" fillId="0" borderId="17"/>
    <xf numFmtId="312" fontId="5" fillId="59" borderId="1">
      <alignment horizontal="center" vertical="center" wrapText="1"/>
      <protection hidden="1"/>
    </xf>
    <xf numFmtId="312" fontId="2" fillId="85" borderId="0"/>
    <xf numFmtId="312" fontId="2" fillId="86" borderId="0" applyNumberFormat="0" applyFont="0" applyBorder="0" applyAlignment="0" applyProtection="0"/>
    <xf numFmtId="312" fontId="232" fillId="87" borderId="0" applyNumberFormat="0" applyBorder="0" applyAlignment="0" applyProtection="0"/>
    <xf numFmtId="312" fontId="12" fillId="0" borderId="0" applyNumberFormat="0" applyFont="0" applyFill="0" applyBorder="0" applyAlignment="0" applyProtection="0"/>
    <xf numFmtId="312" fontId="232" fillId="88" borderId="0" applyNumberFormat="0" applyBorder="0" applyAlignment="0" applyProtection="0"/>
    <xf numFmtId="312" fontId="232" fillId="88" borderId="0" applyNumberFormat="0" applyBorder="0" applyAlignment="0" applyProtection="0"/>
    <xf numFmtId="312" fontId="232" fillId="89" borderId="0" applyNumberFormat="0" applyBorder="0" applyAlignment="0" applyProtection="0"/>
    <xf numFmtId="312" fontId="232" fillId="89" borderId="0" applyNumberFormat="0" applyBorder="0" applyAlignment="0" applyProtection="0"/>
    <xf numFmtId="312" fontId="12" fillId="90" borderId="0" applyNumberFormat="0" applyBorder="0" applyAlignment="0" applyProtection="0"/>
    <xf numFmtId="312" fontId="232" fillId="90" borderId="0" applyNumberFormat="0" applyBorder="0" applyAlignment="0" applyProtection="0"/>
    <xf numFmtId="312" fontId="12" fillId="0" borderId="0" applyFont="0" applyFill="0" applyBorder="0" applyAlignment="0" applyProtection="0"/>
    <xf numFmtId="312" fontId="12" fillId="78" borderId="0" applyNumberFormat="0" applyFont="0" applyBorder="0" applyAlignment="0" applyProtection="0"/>
    <xf numFmtId="312" fontId="82" fillId="0" borderId="0"/>
    <xf numFmtId="312" fontId="48" fillId="10" borderId="0" applyNumberFormat="0" applyFont="0" applyBorder="0" applyAlignment="0">
      <protection hidden="1"/>
    </xf>
    <xf numFmtId="312" fontId="233" fillId="64" borderId="0"/>
    <xf numFmtId="312" fontId="233" fillId="0" borderId="0"/>
    <xf numFmtId="312" fontId="233" fillId="0" borderId="0"/>
    <xf numFmtId="312" fontId="233" fillId="61" borderId="0"/>
    <xf numFmtId="312" fontId="233" fillId="61" borderId="0"/>
    <xf numFmtId="312" fontId="12" fillId="0" borderId="0"/>
    <xf numFmtId="312" fontId="25" fillId="10" borderId="55" applyNumberFormat="0" applyProtection="0">
      <alignment horizontal="center" vertical="top"/>
    </xf>
    <xf numFmtId="312" fontId="25" fillId="10" borderId="55" applyNumberFormat="0" applyProtection="0">
      <alignment horizontal="center" vertical="top"/>
    </xf>
    <xf numFmtId="312" fontId="25" fillId="60" borderId="1" applyNumberFormat="0" applyProtection="0">
      <alignment horizontal="center" vertical="top"/>
    </xf>
    <xf numFmtId="312" fontId="25" fillId="60" borderId="1" applyNumberFormat="0" applyProtection="0">
      <alignment horizontal="center" vertical="top"/>
    </xf>
    <xf numFmtId="312" fontId="25" fillId="0" borderId="0" applyNumberFormat="0" applyFill="0" applyBorder="0" applyProtection="0">
      <alignment horizontal="left" vertical="top"/>
    </xf>
    <xf numFmtId="312" fontId="235" fillId="92" borderId="38" applyNumberFormat="0" applyProtection="0">
      <alignment horizontal="left" vertical="top"/>
    </xf>
    <xf numFmtId="312" fontId="12" fillId="3" borderId="55" applyNumberFormat="0" applyFont="0" applyAlignment="0" applyProtection="0"/>
    <xf numFmtId="312" fontId="12" fillId="10" borderId="55" applyNumberFormat="0" applyFont="0" applyAlignment="0" applyProtection="0"/>
    <xf numFmtId="312" fontId="12" fillId="10" borderId="55" applyNumberFormat="0" applyFont="0" applyProtection="0"/>
    <xf numFmtId="312" fontId="235" fillId="92" borderId="77" applyNumberFormat="0" applyProtection="0">
      <alignment horizontal="center" vertical="center"/>
    </xf>
    <xf numFmtId="312" fontId="25" fillId="10" borderId="0" applyNumberFormat="0" applyProtection="0">
      <alignment horizontal="left"/>
    </xf>
    <xf numFmtId="312" fontId="25" fillId="10" borderId="78" applyNumberFormat="0" applyProtection="0">
      <alignment horizontal="left"/>
    </xf>
    <xf numFmtId="312" fontId="25" fillId="10" borderId="79" applyNumberFormat="0" applyProtection="0">
      <alignment horizontal="left"/>
    </xf>
    <xf numFmtId="312" fontId="25" fillId="10" borderId="80" applyNumberFormat="0" applyProtection="0">
      <alignment horizontal="left" vertical="top"/>
    </xf>
    <xf numFmtId="312" fontId="25" fillId="10" borderId="81" applyNumberFormat="0" applyProtection="0">
      <alignment horizontal="left" vertical="top"/>
    </xf>
    <xf numFmtId="312" fontId="25" fillId="10" borderId="153" applyNumberFormat="0" applyProtection="0">
      <alignment horizontal="left" vertical="top"/>
    </xf>
    <xf numFmtId="312" fontId="25" fillId="10" borderId="154" applyNumberFormat="0" applyProtection="0">
      <alignment horizontal="left" vertical="top"/>
    </xf>
    <xf numFmtId="312" fontId="25" fillId="10" borderId="84" applyNumberFormat="0" applyProtection="0">
      <alignment horizontal="left" vertical="top"/>
    </xf>
    <xf numFmtId="312" fontId="25" fillId="10" borderId="85" applyNumberFormat="0" applyProtection="0">
      <alignment horizontal="left" vertical="top"/>
    </xf>
    <xf numFmtId="312" fontId="25" fillId="10" borderId="86" applyNumberFormat="0" applyProtection="0">
      <alignment horizontal="left" vertical="top"/>
    </xf>
    <xf numFmtId="312" fontId="25" fillId="10" borderId="155" applyNumberFormat="0" applyProtection="0">
      <alignment horizontal="left" vertical="top"/>
    </xf>
    <xf numFmtId="312" fontId="25" fillId="10" borderId="88" applyNumberFormat="0" applyProtection="0">
      <alignment horizontal="left" vertical="top"/>
    </xf>
    <xf numFmtId="312" fontId="25" fillId="10" borderId="156" applyNumberFormat="0" applyProtection="0">
      <alignment horizontal="left" vertical="top"/>
    </xf>
    <xf numFmtId="312" fontId="25" fillId="10" borderId="90" applyNumberFormat="0" applyProtection="0">
      <alignment horizontal="left" vertical="top"/>
    </xf>
    <xf numFmtId="312" fontId="25" fillId="10" borderId="91" applyNumberFormat="0" applyProtection="0">
      <alignment horizontal="left" vertical="top"/>
    </xf>
    <xf numFmtId="312" fontId="113" fillId="0" borderId="0" applyNumberFormat="0" applyFill="0" applyBorder="0" applyProtection="0">
      <alignment horizontal="left" vertical="center"/>
    </xf>
    <xf numFmtId="312" fontId="236" fillId="0" borderId="0"/>
    <xf numFmtId="312" fontId="213" fillId="0" borderId="0" applyNumberFormat="0" applyFill="0" applyBorder="0" applyAlignment="0" applyProtection="0">
      <alignment horizontal="left"/>
    </xf>
    <xf numFmtId="312" fontId="75" fillId="0" borderId="0" applyFill="0" applyBorder="0" applyAlignment="0" applyProtection="0"/>
    <xf numFmtId="312" fontId="238" fillId="0" borderId="0"/>
    <xf numFmtId="312" fontId="12" fillId="0" borderId="42" applyNumberFormat="0" applyFill="0" applyBorder="0" applyAlignment="0" applyProtection="0"/>
    <xf numFmtId="312" fontId="239" fillId="0" borderId="92" applyNumberFormat="0" applyFont="0"/>
    <xf numFmtId="312" fontId="11" fillId="0" borderId="0" applyFill="0" applyBorder="0" applyProtection="0">
      <alignment horizontal="center" vertical="center"/>
    </xf>
    <xf numFmtId="312" fontId="240" fillId="0" borderId="0" applyBorder="0" applyProtection="0">
      <alignment vertical="center"/>
    </xf>
    <xf numFmtId="312" fontId="241" fillId="93" borderId="0" applyBorder="0" applyProtection="0">
      <alignment horizontal="centerContinuous" vertical="center"/>
    </xf>
    <xf numFmtId="312" fontId="241" fillId="94" borderId="170" applyBorder="0" applyProtection="0">
      <alignment horizontal="centerContinuous" vertical="center"/>
    </xf>
    <xf numFmtId="312" fontId="243" fillId="0" borderId="0" applyFill="0" applyBorder="0" applyProtection="0"/>
    <xf numFmtId="312" fontId="200" fillId="0" borderId="0"/>
    <xf numFmtId="312" fontId="244" fillId="0" borderId="0" applyFill="0" applyBorder="0" applyProtection="0">
      <alignment horizontal="left"/>
    </xf>
    <xf numFmtId="312" fontId="158" fillId="0" borderId="7" applyFill="0" applyBorder="0" applyProtection="0">
      <alignment horizontal="left" vertical="top"/>
    </xf>
    <xf numFmtId="312" fontId="184" fillId="0" borderId="0" applyNumberFormat="0" applyAlignment="0" applyProtection="0"/>
    <xf numFmtId="312" fontId="12" fillId="95" borderId="0" applyNumberFormat="0" applyFont="0" applyBorder="0" applyAlignment="0" applyProtection="0"/>
    <xf numFmtId="312" fontId="245" fillId="0" borderId="0"/>
    <xf numFmtId="312" fontId="246" fillId="0" borderId="0"/>
    <xf numFmtId="312" fontId="136" fillId="0" borderId="0" applyFill="0" applyBorder="0" applyAlignment="0"/>
    <xf numFmtId="312" fontId="136" fillId="0" borderId="0" applyFill="0" applyBorder="0" applyAlignment="0"/>
    <xf numFmtId="312" fontId="247" fillId="0" borderId="0">
      <alignment vertical="center"/>
    </xf>
    <xf numFmtId="312" fontId="130" fillId="0" borderId="0" applyFill="0" applyBorder="0" applyAlignment="0" applyProtection="0">
      <alignment horizontal="right"/>
    </xf>
    <xf numFmtId="312" fontId="12" fillId="0" borderId="0" applyBorder="0" applyProtection="0">
      <alignment horizontal="right"/>
    </xf>
    <xf numFmtId="312" fontId="2" fillId="0" borderId="0" applyNumberFormat="0" applyFill="0" applyBorder="0" applyAlignment="0" applyProtection="0"/>
    <xf numFmtId="312" fontId="94" fillId="0" borderId="0" applyNumberFormat="0" applyFill="0" applyBorder="0" applyAlignment="0" applyProtection="0"/>
    <xf numFmtId="312" fontId="248" fillId="0" borderId="0" applyNumberFormat="0" applyBorder="0" applyAlignment="0"/>
    <xf numFmtId="312" fontId="5" fillId="0" borderId="0" applyNumberFormat="0" applyFill="0" applyBorder="0" applyAlignment="0" applyProtection="0"/>
    <xf numFmtId="312" fontId="12" fillId="0" borderId="0" applyNumberFormat="0" applyFill="0" applyBorder="0" applyAlignment="0" applyProtection="0"/>
    <xf numFmtId="246" fontId="296" fillId="0" borderId="170" applyFill="0" applyProtection="0">
      <alignment horizontal="center"/>
    </xf>
    <xf numFmtId="312" fontId="251" fillId="87" borderId="0" applyNumberFormat="0" applyBorder="0" applyAlignment="0">
      <alignment vertical="center"/>
    </xf>
    <xf numFmtId="312" fontId="213" fillId="0" borderId="0">
      <alignment horizontal="centerContinuous"/>
    </xf>
    <xf numFmtId="312" fontId="251" fillId="81" borderId="0" applyNumberFormat="0" applyBorder="0">
      <alignment vertical="center"/>
    </xf>
    <xf numFmtId="312" fontId="74" fillId="0" borderId="0">
      <alignment horizontal="centerContinuous"/>
      <protection locked="0"/>
    </xf>
    <xf numFmtId="312" fontId="74" fillId="0" borderId="0">
      <alignment horizontal="left"/>
    </xf>
    <xf numFmtId="312" fontId="215" fillId="0" borderId="0" applyNumberFormat="0" applyFill="0" applyBorder="0" applyAlignment="0" applyProtection="0"/>
    <xf numFmtId="312" fontId="12" fillId="0" borderId="0" applyBorder="0"/>
    <xf numFmtId="312" fontId="243" fillId="0" borderId="0" applyNumberFormat="0" applyFill="0" applyBorder="0" applyAlignment="0" applyProtection="0"/>
    <xf numFmtId="312" fontId="12" fillId="0" borderId="0" applyNumberFormat="0" applyFill="0" applyBorder="0" applyAlignment="0" applyProtection="0"/>
    <xf numFmtId="312" fontId="48" fillId="0" borderId="0" applyFont="0" applyFill="0" applyBorder="0">
      <alignment horizontal="left"/>
    </xf>
    <xf numFmtId="312" fontId="84" fillId="54" borderId="60"/>
    <xf numFmtId="312" fontId="253" fillId="0" borderId="0"/>
    <xf numFmtId="10" fontId="12" fillId="3" borderId="94" applyNumberFormat="0" applyFont="0" applyFill="0" applyBorder="0" applyAlignment="0">
      <protection locked="0"/>
    </xf>
    <xf numFmtId="312" fontId="197" fillId="0" borderId="0"/>
    <xf numFmtId="312" fontId="2" fillId="0" borderId="0" applyNumberFormat="0" applyFont="0" applyFill="0" applyBorder="0" applyAlignment="0" applyProtection="0"/>
    <xf numFmtId="312" fontId="213" fillId="0" borderId="0" applyNumberFormat="0" applyFont="0" applyFill="0" applyBorder="0" applyAlignment="0" applyProtection="0"/>
    <xf numFmtId="312" fontId="257" fillId="0" borderId="0" applyNumberFormat="0" applyFill="0" applyBorder="0" applyAlignment="0" applyProtection="0"/>
    <xf numFmtId="312" fontId="12" fillId="0" borderId="42" applyNumberFormat="0" applyFill="0" applyBorder="0" applyAlignment="0" applyProtection="0"/>
    <xf numFmtId="312" fontId="12" fillId="0" borderId="42" applyNumberFormat="0" applyFill="0" applyBorder="0" applyAlignment="0" applyProtection="0"/>
    <xf numFmtId="312" fontId="12" fillId="0" borderId="42" applyNumberFormat="0" applyFill="0" applyBorder="0" applyAlignment="0" applyProtection="0"/>
    <xf numFmtId="1" fontId="297" fillId="0" borderId="0" applyFont="0" applyFill="0" applyBorder="0" applyProtection="0">
      <alignment horizontal="center"/>
    </xf>
    <xf numFmtId="312" fontId="260" fillId="96" borderId="0" applyNumberFormat="0" applyProtection="0">
      <alignment horizontal="left"/>
    </xf>
    <xf numFmtId="312" fontId="12" fillId="68" borderId="95" applyNumberFormat="0" applyFont="0" applyBorder="0" applyAlignment="0" applyProtection="0">
      <alignment horizontal="right"/>
    </xf>
    <xf numFmtId="312" fontId="261" fillId="0" borderId="0" applyNumberFormat="0" applyFill="0" applyBorder="0" applyAlignment="0" applyProtection="0">
      <alignment vertical="top"/>
      <protection locked="0"/>
    </xf>
    <xf numFmtId="312" fontId="12" fillId="0" borderId="0"/>
    <xf numFmtId="312" fontId="12" fillId="0" borderId="0"/>
    <xf numFmtId="312" fontId="1" fillId="0" borderId="0"/>
    <xf numFmtId="312" fontId="196" fillId="0" borderId="0" applyNumberFormat="0" applyFill="0" applyBorder="0" applyAlignment="0" applyProtection="0"/>
    <xf numFmtId="312" fontId="1" fillId="0" borderId="0"/>
    <xf numFmtId="312" fontId="12" fillId="0" borderId="0" applyNumberFormat="0" applyFill="0" applyBorder="0" applyAlignment="0" applyProtection="0"/>
    <xf numFmtId="312" fontId="77" fillId="0" borderId="0"/>
    <xf numFmtId="312" fontId="12" fillId="0" borderId="0"/>
    <xf numFmtId="312" fontId="77" fillId="0" borderId="0"/>
    <xf numFmtId="312" fontId="1" fillId="0" borderId="0"/>
    <xf numFmtId="312" fontId="1" fillId="0" borderId="0"/>
    <xf numFmtId="312" fontId="197" fillId="0" borderId="0"/>
    <xf numFmtId="312" fontId="12" fillId="0" borderId="0"/>
    <xf numFmtId="312" fontId="1" fillId="0" borderId="0"/>
    <xf numFmtId="312" fontId="1" fillId="0" borderId="0"/>
    <xf numFmtId="312" fontId="1" fillId="0" borderId="0"/>
    <xf numFmtId="312" fontId="1" fillId="0" borderId="0"/>
    <xf numFmtId="312" fontId="9" fillId="0" borderId="0"/>
    <xf numFmtId="312" fontId="1" fillId="0" borderId="0"/>
    <xf numFmtId="312" fontId="12" fillId="0" borderId="0"/>
    <xf numFmtId="312" fontId="91" fillId="0" borderId="39" applyNumberFormat="0" applyFill="0" applyAlignment="0" applyProtection="0"/>
    <xf numFmtId="312" fontId="101" fillId="0" borderId="170" applyBorder="0"/>
    <xf numFmtId="312" fontId="113" fillId="0" borderId="170" applyNumberFormat="0" applyFill="0" applyAlignment="0" applyProtection="0"/>
    <xf numFmtId="312" fontId="75" fillId="0" borderId="147" applyNumberFormat="0" applyFont="0" applyFill="0" applyAlignment="0" applyProtection="0"/>
    <xf numFmtId="312" fontId="12" fillId="0" borderId="170" applyNumberFormat="0" applyFill="0" applyBorder="0" applyAlignment="0" applyProtection="0">
      <alignment horizontal="center"/>
    </xf>
    <xf numFmtId="312" fontId="78" fillId="14" borderId="11" applyFont="0" applyFill="0" applyBorder="0" applyAlignment="0" applyProtection="0"/>
    <xf numFmtId="312" fontId="79" fillId="3" borderId="50">
      <alignment vertical="center"/>
    </xf>
    <xf numFmtId="312" fontId="5" fillId="0" borderId="98">
      <alignment horizontal="left" vertical="center"/>
    </xf>
    <xf numFmtId="312" fontId="165" fillId="0" borderId="170" applyFill="0" applyProtection="0">
      <alignment horizontal="center"/>
    </xf>
    <xf numFmtId="312" fontId="242" fillId="0" borderId="170">
      <alignment horizontal="center"/>
    </xf>
    <xf numFmtId="312" fontId="79" fillId="3" borderId="50">
      <alignment vertical="center"/>
    </xf>
    <xf numFmtId="312" fontId="210" fillId="0" borderId="170" applyNumberFormat="0" applyFill="0" applyBorder="0" applyAlignment="0">
      <protection locked="0"/>
    </xf>
    <xf numFmtId="312" fontId="2" fillId="0" borderId="151" applyNumberFormat="0" applyAlignment="0" applyProtection="0"/>
    <xf numFmtId="312" fontId="214" fillId="0" borderId="152" applyNumberFormat="0" applyFont="0" applyFill="0" applyAlignment="0" applyProtection="0"/>
    <xf numFmtId="312" fontId="25" fillId="10" borderId="153" applyNumberFormat="0" applyProtection="0">
      <alignment horizontal="left" vertical="top"/>
    </xf>
    <xf numFmtId="312" fontId="25" fillId="10" borderId="154" applyNumberFormat="0" applyProtection="0">
      <alignment horizontal="left" vertical="top"/>
    </xf>
    <xf numFmtId="312" fontId="25" fillId="10" borderId="155" applyNumberFormat="0" applyProtection="0">
      <alignment horizontal="left" vertical="top"/>
    </xf>
    <xf numFmtId="312" fontId="25" fillId="10" borderId="156" applyNumberFormat="0" applyProtection="0">
      <alignment horizontal="left" vertical="top"/>
    </xf>
    <xf numFmtId="312" fontId="25" fillId="10" borderId="79" applyNumberFormat="0" applyProtection="0">
      <alignment horizontal="left"/>
    </xf>
    <xf numFmtId="312" fontId="25" fillId="10" borderId="153" applyNumberFormat="0" applyProtection="0">
      <alignment horizontal="left" vertical="top"/>
    </xf>
    <xf numFmtId="312" fontId="25" fillId="10" borderId="154" applyNumberFormat="0" applyProtection="0">
      <alignment horizontal="left" vertical="top"/>
    </xf>
    <xf numFmtId="312" fontId="25" fillId="10" borderId="84" applyNumberFormat="0" applyProtection="0">
      <alignment horizontal="left" vertical="top"/>
    </xf>
    <xf numFmtId="312" fontId="25" fillId="10" borderId="155" applyNumberFormat="0" applyProtection="0">
      <alignment horizontal="left" vertical="top"/>
    </xf>
    <xf numFmtId="312" fontId="25" fillId="10" borderId="156" applyNumberFormat="0" applyProtection="0">
      <alignment horizontal="left" vertical="top"/>
    </xf>
    <xf numFmtId="312" fontId="241" fillId="94" borderId="170" applyBorder="0" applyProtection="0">
      <alignment horizontal="centerContinuous" vertical="center"/>
    </xf>
    <xf numFmtId="246" fontId="296" fillId="0" borderId="170" applyFill="0" applyProtection="0">
      <alignment horizontal="center"/>
    </xf>
    <xf numFmtId="312" fontId="12" fillId="0" borderId="0"/>
    <xf numFmtId="312" fontId="1" fillId="0" borderId="0"/>
    <xf numFmtId="312" fontId="1" fillId="0" borderId="0"/>
    <xf numFmtId="312" fontId="1" fillId="0" borderId="0"/>
    <xf numFmtId="312" fontId="1" fillId="0" borderId="0"/>
    <xf numFmtId="312" fontId="1" fillId="0" borderId="0"/>
    <xf numFmtId="312" fontId="1" fillId="0" borderId="0"/>
    <xf numFmtId="312" fontId="1" fillId="0" borderId="0"/>
    <xf numFmtId="312" fontId="1" fillId="0" borderId="0"/>
    <xf numFmtId="312" fontId="1" fillId="0" borderId="0"/>
    <xf numFmtId="312" fontId="12" fillId="0" borderId="0"/>
    <xf numFmtId="43" fontId="12" fillId="0" borderId="0" applyFont="0" applyFill="0" applyBorder="0" applyAlignment="0" applyProtection="0"/>
    <xf numFmtId="312" fontId="12" fillId="0" borderId="0">
      <alignment vertical="center"/>
    </xf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243" fontId="48" fillId="0" borderId="10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0" fontId="106" fillId="0" borderId="60">
      <protection hidden="1"/>
    </xf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48" fillId="0" borderId="0"/>
    <xf numFmtId="0" fontId="266" fillId="0" borderId="0"/>
    <xf numFmtId="0" fontId="48" fillId="0" borderId="0"/>
    <xf numFmtId="9" fontId="48" fillId="0" borderId="0" applyFont="0" applyFill="0" applyBorder="0" applyAlignment="0" applyProtection="0"/>
    <xf numFmtId="0" fontId="298" fillId="0" borderId="0"/>
    <xf numFmtId="0" fontId="48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271" fillId="0" borderId="0" applyAlignment="0"/>
    <xf numFmtId="0" fontId="48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25" borderId="35" applyNumberFormat="0" applyFont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8" fillId="0" borderId="0"/>
    <xf numFmtId="0" fontId="299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71" fillId="0" borderId="0" applyAlignment="0"/>
    <xf numFmtId="0" fontId="136" fillId="0" borderId="0">
      <alignment vertical="top"/>
    </xf>
    <xf numFmtId="43" fontId="1" fillId="0" borderId="0" applyFont="0" applyFill="0" applyBorder="0" applyAlignment="0" applyProtection="0"/>
    <xf numFmtId="0" fontId="136" fillId="0" borderId="0">
      <alignment vertical="top"/>
    </xf>
    <xf numFmtId="43" fontId="136" fillId="0" borderId="0" applyFont="0" applyFill="0" applyBorder="0" applyAlignment="0" applyProtection="0"/>
    <xf numFmtId="0" fontId="47" fillId="0" borderId="0"/>
    <xf numFmtId="0" fontId="1" fillId="0" borderId="0"/>
    <xf numFmtId="0" fontId="1" fillId="0" borderId="0"/>
    <xf numFmtId="0" fontId="136" fillId="0" borderId="0">
      <alignment vertical="top"/>
    </xf>
    <xf numFmtId="0" fontId="136" fillId="0" borderId="0">
      <alignment vertical="top"/>
    </xf>
    <xf numFmtId="43" fontId="136" fillId="0" borderId="0" applyFont="0" applyFill="0" applyBorder="0" applyAlignment="0" applyProtection="0"/>
    <xf numFmtId="0" fontId="136" fillId="0" borderId="0">
      <alignment vertical="top"/>
    </xf>
    <xf numFmtId="9" fontId="271" fillId="0" borderId="0" applyFont="0" applyFill="0" applyBorder="0" applyAlignment="0" applyProtection="0"/>
    <xf numFmtId="0" fontId="1" fillId="0" borderId="0"/>
    <xf numFmtId="0" fontId="1" fillId="0" borderId="0"/>
    <xf numFmtId="0" fontId="136" fillId="0" borderId="0">
      <alignment vertical="top"/>
    </xf>
    <xf numFmtId="0" fontId="1" fillId="0" borderId="0"/>
    <xf numFmtId="9" fontId="136" fillId="0" borderId="0" applyFont="0" applyFill="0" applyBorder="0" applyAlignment="0" applyProtection="0"/>
    <xf numFmtId="44" fontId="136" fillId="0" borderId="0" applyFont="0" applyFill="0" applyBorder="0" applyAlignment="0" applyProtection="0"/>
    <xf numFmtId="0" fontId="136" fillId="0" borderId="0">
      <alignment vertical="top"/>
    </xf>
    <xf numFmtId="0" fontId="12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136" fillId="0" borderId="0">
      <alignment vertical="top"/>
    </xf>
    <xf numFmtId="0" fontId="47" fillId="0" borderId="0"/>
    <xf numFmtId="0" fontId="47" fillId="0" borderId="0"/>
    <xf numFmtId="0" fontId="47" fillId="0" borderId="0"/>
    <xf numFmtId="0" fontId="47" fillId="0" borderId="0"/>
    <xf numFmtId="0" fontId="293" fillId="0" borderId="0"/>
    <xf numFmtId="0" fontId="47" fillId="0" borderId="0"/>
    <xf numFmtId="44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47" fillId="0" borderId="0"/>
    <xf numFmtId="0" fontId="292" fillId="0" borderId="0"/>
    <xf numFmtId="43" fontId="292" fillId="0" borderId="0" applyFont="0" applyFill="0" applyBorder="0" applyAlignment="0" applyProtection="0"/>
    <xf numFmtId="0" fontId="263" fillId="0" borderId="0"/>
    <xf numFmtId="0" fontId="47" fillId="0" borderId="0"/>
    <xf numFmtId="0" fontId="136" fillId="0" borderId="0">
      <alignment vertical="top"/>
    </xf>
    <xf numFmtId="0" fontId="47" fillId="0" borderId="0"/>
    <xf numFmtId="0" fontId="1" fillId="0" borderId="0"/>
    <xf numFmtId="0" fontId="48" fillId="0" borderId="0"/>
    <xf numFmtId="43" fontId="1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8" fillId="0" borderId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" fontId="154" fillId="65" borderId="5" applyNumberFormat="0" applyBorder="0" applyAlignment="0">
      <alignment horizontal="centerContinuous" vertical="center"/>
      <protection locked="0"/>
    </xf>
    <xf numFmtId="262" fontId="177" fillId="97" borderId="1" applyNumberFormat="0" applyAlignment="0">
      <alignment horizontal="right"/>
    </xf>
    <xf numFmtId="0" fontId="12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246" fontId="250" fillId="0" borderId="170" applyFill="0" applyProtection="0">
      <alignment horizontal="center"/>
    </xf>
    <xf numFmtId="246" fontId="249" fillId="0" borderId="170" applyFill="0" applyProtection="0">
      <alignment horizontal="center"/>
    </xf>
    <xf numFmtId="39" fontId="12" fillId="14" borderId="1" applyFont="0" applyFill="0" applyBorder="0" applyAlignment="0" applyProtection="0">
      <alignment horizontal="center"/>
      <protection locked="0"/>
    </xf>
    <xf numFmtId="0" fontId="241" fillId="94" borderId="170" applyBorder="0" applyProtection="0">
      <alignment horizontal="centerContinuous" vertical="center"/>
    </xf>
    <xf numFmtId="254" fontId="240" fillId="0" borderId="170" applyBorder="0" applyProtection="0">
      <alignment horizontal="right" vertical="center"/>
    </xf>
    <xf numFmtId="0" fontId="12" fillId="0" borderId="42" applyNumberFormat="0" applyFill="0" applyBorder="0" applyAlignment="0" applyProtection="0"/>
    <xf numFmtId="0" fontId="25" fillId="10" borderId="91" applyNumberFormat="0" applyProtection="0">
      <alignment horizontal="left" vertical="top"/>
    </xf>
    <xf numFmtId="0" fontId="25" fillId="10" borderId="90" applyNumberFormat="0" applyProtection="0">
      <alignment horizontal="left" vertical="top"/>
    </xf>
    <xf numFmtId="0" fontId="25" fillId="10" borderId="89" applyNumberFormat="0" applyProtection="0">
      <alignment horizontal="left" vertical="top"/>
    </xf>
    <xf numFmtId="0" fontId="25" fillId="10" borderId="88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25" fillId="10" borderId="86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2" applyNumberFormat="0" applyProtection="0">
      <alignment horizontal="left" vertical="top"/>
    </xf>
    <xf numFmtId="0" fontId="25" fillId="10" borderId="81" applyNumberFormat="0" applyProtection="0">
      <alignment horizontal="left" vertical="top"/>
    </xf>
    <xf numFmtId="0" fontId="25" fillId="10" borderId="80" applyNumberFormat="0" applyProtection="0">
      <alignment horizontal="left" vertical="top"/>
    </xf>
    <xf numFmtId="0" fontId="25" fillId="10" borderId="78" applyNumberFormat="0" applyProtection="0">
      <alignment horizontal="left"/>
    </xf>
    <xf numFmtId="0" fontId="12" fillId="10" borderId="55" applyNumberFormat="0" applyFont="0" applyProtection="0"/>
    <xf numFmtId="0" fontId="12" fillId="10" borderId="55" applyNumberFormat="0" applyFont="0" applyAlignment="0" applyProtection="0"/>
    <xf numFmtId="0" fontId="12" fillId="3" borderId="55" applyNumberFormat="0" applyFont="0" applyAlignment="0" applyProtection="0"/>
    <xf numFmtId="0" fontId="25" fillId="60" borderId="1" applyNumberFormat="0" applyProtection="0">
      <alignment horizontal="center" vertical="top"/>
    </xf>
    <xf numFmtId="0" fontId="25" fillId="60" borderId="1" applyNumberFormat="0" applyProtection="0">
      <alignment horizontal="center" vertical="top"/>
    </xf>
    <xf numFmtId="293" fontId="234" fillId="10" borderId="55" applyFont="0" applyProtection="0"/>
    <xf numFmtId="293" fontId="234" fillId="10" borderId="55" applyFont="0" applyProtection="0"/>
    <xf numFmtId="169" fontId="234" fillId="3" borderId="55" applyFont="0" applyProtection="0"/>
    <xf numFmtId="293" fontId="234" fillId="3" borderId="55" applyFont="0" applyProtection="0"/>
    <xf numFmtId="169" fontId="234" fillId="10" borderId="55" applyFont="0" applyProtection="0"/>
    <xf numFmtId="0" fontId="25" fillId="10" borderId="55" applyNumberFormat="0" applyProtection="0">
      <alignment horizontal="center" vertical="top"/>
    </xf>
    <xf numFmtId="0" fontId="25" fillId="10" borderId="55" applyNumberFormat="0" applyProtection="0">
      <alignment horizontal="center" vertical="top"/>
    </xf>
    <xf numFmtId="2" fontId="12" fillId="60" borderId="73" applyFont="0" applyFill="0" applyBorder="0" applyAlignment="0" applyProtection="0"/>
    <xf numFmtId="9" fontId="12" fillId="60" borderId="73" applyFont="0" applyFill="0" applyBorder="0" applyAlignment="0" applyProtection="0"/>
    <xf numFmtId="10" fontId="12" fillId="60" borderId="73" applyFont="0" applyFill="0" applyBorder="0" applyAlignment="0" applyProtection="0"/>
    <xf numFmtId="183" fontId="12" fillId="60" borderId="73" applyFont="0" applyFill="0" applyBorder="0" applyAlignment="0" applyProtection="0"/>
    <xf numFmtId="4" fontId="12" fillId="60" borderId="73" applyFont="0" applyFill="0" applyBorder="0" applyAlignment="0" applyProtection="0"/>
    <xf numFmtId="3" fontId="12" fillId="60" borderId="73" applyFont="0" applyFill="0" applyBorder="0" applyAlignment="0" applyProtection="0"/>
    <xf numFmtId="37" fontId="12" fillId="0" borderId="1" applyBorder="0">
      <alignment horizontal="right"/>
      <protection locked="0"/>
    </xf>
    <xf numFmtId="0" fontId="5" fillId="59" borderId="1">
      <alignment horizontal="center" vertical="center" wrapText="1"/>
      <protection hidden="1"/>
    </xf>
    <xf numFmtId="4" fontId="230" fillId="11" borderId="70" applyNumberFormat="0" applyProtection="0">
      <alignment horizontal="right" vertical="center"/>
    </xf>
    <xf numFmtId="4" fontId="229" fillId="84" borderId="72" applyNumberFormat="0" applyProtection="0">
      <alignment horizontal="left" vertical="center" indent="1"/>
    </xf>
    <xf numFmtId="0" fontId="136" fillId="84" borderId="70" applyNumberFormat="0" applyProtection="0">
      <alignment horizontal="left" vertical="top" indent="1"/>
    </xf>
    <xf numFmtId="4" fontId="223" fillId="52" borderId="70" applyNumberFormat="0" applyProtection="0">
      <alignment horizontal="left" vertical="center" indent="1"/>
    </xf>
    <xf numFmtId="4" fontId="228" fillId="11" borderId="70" applyNumberFormat="0" applyProtection="0">
      <alignment horizontal="right" vertical="center"/>
    </xf>
    <xf numFmtId="4" fontId="184" fillId="11" borderId="70" applyNumberFormat="0" applyProtection="0">
      <alignment horizontal="right" vertical="center"/>
    </xf>
    <xf numFmtId="0" fontId="136" fillId="14" borderId="70" applyNumberFormat="0" applyProtection="0">
      <alignment horizontal="left" vertical="top" indent="1"/>
    </xf>
    <xf numFmtId="4" fontId="227" fillId="52" borderId="72" applyNumberFormat="0" applyProtection="0">
      <alignment horizontal="left" vertical="center" indent="1"/>
    </xf>
    <xf numFmtId="4" fontId="228" fillId="11" borderId="70" applyNumberFormat="0" applyProtection="0">
      <alignment vertical="center"/>
    </xf>
    <xf numFmtId="4" fontId="226" fillId="11" borderId="70" applyNumberFormat="0" applyProtection="0">
      <alignment vertical="center"/>
    </xf>
    <xf numFmtId="0" fontId="12" fillId="11" borderId="70" applyNumberFormat="0" applyProtection="0">
      <alignment horizontal="left" vertical="top" indent="1"/>
    </xf>
    <xf numFmtId="0" fontId="12" fillId="11" borderId="70" applyNumberFormat="0" applyProtection="0">
      <alignment horizontal="left" vertical="center" indent="1"/>
    </xf>
    <xf numFmtId="0" fontId="12" fillId="52" borderId="70" applyNumberFormat="0" applyProtection="0">
      <alignment horizontal="left" vertical="top" indent="1"/>
    </xf>
    <xf numFmtId="0" fontId="12" fillId="52" borderId="70" applyNumberFormat="0" applyProtection="0">
      <alignment horizontal="left" vertical="center" indent="1"/>
    </xf>
    <xf numFmtId="0" fontId="12" fillId="84" borderId="70" applyNumberFormat="0" applyProtection="0">
      <alignment horizontal="left" vertical="top" indent="1"/>
    </xf>
    <xf numFmtId="0" fontId="12" fillId="84" borderId="70" applyNumberFormat="0" applyProtection="0">
      <alignment horizontal="left" vertical="center" indent="1"/>
    </xf>
    <xf numFmtId="0" fontId="12" fillId="75" borderId="70" applyNumberFormat="0" applyProtection="0">
      <alignment horizontal="left" vertical="top" indent="1"/>
    </xf>
    <xf numFmtId="0" fontId="12" fillId="75" borderId="70" applyNumberFormat="0" applyProtection="0">
      <alignment horizontal="left" vertical="center" indent="1"/>
    </xf>
    <xf numFmtId="4" fontId="184" fillId="52" borderId="70" applyNumberFormat="0" applyProtection="0">
      <alignment horizontal="right" vertical="center"/>
    </xf>
    <xf numFmtId="4" fontId="226" fillId="82" borderId="70" applyNumberFormat="0" applyProtection="0">
      <alignment horizontal="right" vertical="center"/>
    </xf>
    <xf numFmtId="4" fontId="226" fillId="81" borderId="70" applyNumberFormat="0" applyProtection="0">
      <alignment horizontal="right" vertical="center"/>
    </xf>
    <xf numFmtId="4" fontId="226" fillId="80" borderId="70" applyNumberFormat="0" applyProtection="0">
      <alignment horizontal="right" vertical="center"/>
    </xf>
    <xf numFmtId="4" fontId="226" fillId="71" borderId="70" applyNumberFormat="0" applyProtection="0">
      <alignment horizontal="right" vertical="center"/>
    </xf>
    <xf numFmtId="4" fontId="226" fillId="79" borderId="70" applyNumberFormat="0" applyProtection="0">
      <alignment horizontal="right" vertical="center"/>
    </xf>
    <xf numFmtId="4" fontId="226" fillId="10" borderId="70" applyNumberFormat="0" applyProtection="0">
      <alignment horizontal="right" vertical="center"/>
    </xf>
    <xf numFmtId="4" fontId="226" fillId="78" borderId="70" applyNumberFormat="0" applyProtection="0">
      <alignment horizontal="right" vertical="center"/>
    </xf>
    <xf numFmtId="4" fontId="226" fillId="77" borderId="70" applyNumberFormat="0" applyProtection="0">
      <alignment horizontal="right" vertical="center"/>
    </xf>
    <xf numFmtId="4" fontId="226" fillId="76" borderId="70" applyNumberFormat="0" applyProtection="0">
      <alignment horizontal="right" vertical="center"/>
    </xf>
    <xf numFmtId="0" fontId="225" fillId="53" borderId="70" applyNumberFormat="0" applyProtection="0">
      <alignment horizontal="left" vertical="top" indent="1"/>
    </xf>
    <xf numFmtId="4" fontId="184" fillId="53" borderId="70" applyNumberFormat="0" applyProtection="0">
      <alignment horizontal="left" vertical="center" indent="1"/>
    </xf>
    <xf numFmtId="4" fontId="224" fillId="53" borderId="70" applyNumberFormat="0" applyProtection="0">
      <alignment vertical="center"/>
    </xf>
    <xf numFmtId="4" fontId="223" fillId="53" borderId="70" applyNumberFormat="0" applyProtection="0">
      <alignment vertical="center"/>
    </xf>
    <xf numFmtId="0" fontId="12" fillId="0" borderId="42" applyNumberFormat="0" applyFill="0" applyBorder="0" applyAlignment="0" applyProtection="0"/>
    <xf numFmtId="243" fontId="48" fillId="0" borderId="100" applyFont="0" applyFill="0" applyBorder="0" applyAlignment="0" applyProtection="0"/>
    <xf numFmtId="0" fontId="46" fillId="0" borderId="42" applyNumberFormat="0" applyFill="0" applyBorder="0" applyAlignment="0" applyProtection="0"/>
    <xf numFmtId="0" fontId="105" fillId="0" borderId="42" applyNumberFormat="0" applyFill="0" applyBorder="0" applyAlignment="0" applyProtection="0"/>
    <xf numFmtId="0" fontId="48" fillId="0" borderId="42" applyNumberFormat="0" applyFill="0" applyAlignment="0" applyProtection="0"/>
    <xf numFmtId="192" fontId="176" fillId="73" borderId="1">
      <alignment horizontal="right"/>
    </xf>
    <xf numFmtId="5" fontId="114" fillId="0" borderId="3" applyAlignment="0" applyProtection="0"/>
    <xf numFmtId="0" fontId="214" fillId="0" borderId="68" applyNumberFormat="0" applyFont="0" applyFill="0" applyAlignment="0" applyProtection="0"/>
    <xf numFmtId="0" fontId="2" fillId="0" borderId="66" applyNumberFormat="0" applyAlignment="0" applyProtection="0"/>
    <xf numFmtId="0" fontId="210" fillId="0" borderId="170" applyNumberFormat="0" applyFill="0" applyBorder="0" applyAlignment="0">
      <protection locked="0"/>
    </xf>
    <xf numFmtId="0" fontId="204" fillId="3" borderId="1" applyNumberFormat="0" applyBorder="0">
      <alignment horizontal="center" vertical="center"/>
    </xf>
    <xf numFmtId="243" fontId="48" fillId="0" borderId="100" applyFont="0" applyFill="0" applyBorder="0" applyAlignment="0" applyProtection="0"/>
    <xf numFmtId="182" fontId="145" fillId="3" borderId="3">
      <alignment horizontal="right" vertical="center"/>
    </xf>
    <xf numFmtId="186" fontId="48" fillId="3" borderId="3">
      <alignment vertical="center"/>
    </xf>
    <xf numFmtId="0" fontId="135" fillId="0" borderId="55"/>
    <xf numFmtId="0" fontId="135" fillId="0" borderId="55"/>
    <xf numFmtId="188" fontId="25" fillId="0" borderId="98" applyFont="0" applyFill="0" applyBorder="0" applyAlignment="0" applyProtection="0">
      <alignment horizontal="center"/>
    </xf>
    <xf numFmtId="0" fontId="184" fillId="0" borderId="61" applyAlignment="0">
      <alignment horizontal="left" wrapText="1"/>
    </xf>
    <xf numFmtId="264" fontId="12" fillId="14" borderId="170" applyFont="0" applyFill="0" applyBorder="0" applyAlignment="0" applyProtection="0">
      <alignment horizontal="right"/>
    </xf>
    <xf numFmtId="0" fontId="25" fillId="69" borderId="55">
      <alignment horizontal="left" vertical="center" wrapText="1"/>
    </xf>
    <xf numFmtId="0" fontId="159" fillId="0" borderId="55"/>
    <xf numFmtId="262" fontId="176" fillId="68" borderId="1" applyNumberFormat="0" applyAlignment="0">
      <alignment horizontal="right"/>
    </xf>
    <xf numFmtId="262" fontId="177" fillId="68" borderId="1" applyNumberFormat="0" applyAlignment="0">
      <alignment horizontal="right"/>
    </xf>
    <xf numFmtId="262" fontId="176" fillId="68" borderId="1" applyNumberFormat="0" applyFont="0" applyBorder="0" applyAlignment="0">
      <alignment horizontal="right"/>
    </xf>
    <xf numFmtId="0" fontId="159" fillId="67" borderId="55"/>
    <xf numFmtId="10" fontId="48" fillId="14" borderId="1" applyNumberFormat="0" applyBorder="0" applyAlignment="0" applyProtection="0"/>
    <xf numFmtId="0" fontId="166" fillId="0" borderId="170">
      <alignment horizontal="center"/>
    </xf>
    <xf numFmtId="0" fontId="165" fillId="0" borderId="170" applyFill="0" applyProtection="0">
      <alignment horizontal="center"/>
    </xf>
    <xf numFmtId="199" fontId="94" fillId="14" borderId="1" applyNumberFormat="0" applyFont="0" applyAlignment="0"/>
    <xf numFmtId="182" fontId="12" fillId="10" borderId="1" applyNumberFormat="0" applyFont="0" applyBorder="0" applyAlignment="0" applyProtection="0"/>
    <xf numFmtId="0" fontId="159" fillId="67" borderId="55"/>
    <xf numFmtId="0" fontId="159" fillId="0" borderId="55"/>
    <xf numFmtId="0" fontId="25" fillId="69" borderId="55">
      <alignment horizontal="left" vertical="center" wrapText="1"/>
    </xf>
    <xf numFmtId="0" fontId="184" fillId="0" borderId="61" applyAlignment="0">
      <alignment horizontal="left" wrapText="1"/>
    </xf>
    <xf numFmtId="0" fontId="135" fillId="0" borderId="55"/>
    <xf numFmtId="0" fontId="135" fillId="0" borderId="55"/>
    <xf numFmtId="186" fontId="140" fillId="3" borderId="54">
      <alignment horizontal="center" vertical="center"/>
    </xf>
    <xf numFmtId="186" fontId="48" fillId="3" borderId="3">
      <alignment vertical="center"/>
    </xf>
    <xf numFmtId="186" fontId="146" fillId="3" borderId="51">
      <alignment horizontal="left"/>
    </xf>
    <xf numFmtId="186" fontId="146" fillId="3" borderId="170" applyBorder="0">
      <alignment horizontal="left" vertical="center"/>
    </xf>
    <xf numFmtId="180" fontId="9" fillId="3" borderId="170">
      <alignment horizontal="right" vertical="center"/>
    </xf>
    <xf numFmtId="192" fontId="9" fillId="3" borderId="170">
      <alignment horizontal="right" vertical="center"/>
    </xf>
    <xf numFmtId="180" fontId="9" fillId="3" borderId="50">
      <alignment horizontal="right" vertical="center"/>
    </xf>
    <xf numFmtId="182" fontId="145" fillId="3" borderId="3">
      <alignment horizontal="right" vertical="center"/>
    </xf>
    <xf numFmtId="188" fontId="25" fillId="0" borderId="98" applyFont="0" applyFill="0" applyBorder="0" applyAlignment="0" applyProtection="0">
      <alignment horizontal="center"/>
    </xf>
    <xf numFmtId="0" fontId="79" fillId="3" borderId="50">
      <alignment vertical="center"/>
    </xf>
    <xf numFmtId="182" fontId="144" fillId="3" borderId="50">
      <alignment vertical="center"/>
    </xf>
    <xf numFmtId="0" fontId="48" fillId="0" borderId="3" applyFont="0" applyFill="0" applyBorder="0" applyAlignment="0" applyProtection="0">
      <alignment horizontal="center"/>
    </xf>
    <xf numFmtId="0" fontId="74" fillId="0" borderId="3" applyFont="0" applyFill="0" applyBorder="0" applyAlignment="0" applyProtection="0">
      <alignment horizontal="center"/>
    </xf>
    <xf numFmtId="248" fontId="46" fillId="0" borderId="170"/>
    <xf numFmtId="0" fontId="78" fillId="14" borderId="46" applyFont="0" applyFill="0" applyBorder="0" applyAlignment="0" applyProtection="0"/>
    <xf numFmtId="243" fontId="48" fillId="0" borderId="100" applyFont="0" applyFill="0" applyBorder="0" applyAlignment="0" applyProtection="0"/>
    <xf numFmtId="0" fontId="12" fillId="0" borderId="170" applyNumberFormat="0" applyFill="0" applyBorder="0" applyAlignment="0" applyProtection="0">
      <alignment horizontal="center"/>
    </xf>
    <xf numFmtId="0" fontId="119" fillId="58" borderId="1"/>
    <xf numFmtId="0" fontId="75" fillId="0" borderId="44" applyNumberFormat="0" applyFont="0" applyFill="0" applyAlignment="0" applyProtection="0"/>
    <xf numFmtId="5" fontId="114" fillId="0" borderId="3" applyAlignment="0" applyProtection="0"/>
    <xf numFmtId="0" fontId="113" fillId="0" borderId="170" applyNumberFormat="0" applyFill="0" applyAlignment="0" applyProtection="0"/>
    <xf numFmtId="0" fontId="48" fillId="0" borderId="42" applyNumberFormat="0" applyFill="0" applyAlignment="0" applyProtection="0"/>
    <xf numFmtId="0" fontId="105" fillId="0" borderId="42" applyNumberFormat="0" applyFill="0" applyBorder="0" applyAlignment="0" applyProtection="0"/>
    <xf numFmtId="0" fontId="46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222" fontId="79" fillId="0" borderId="169" applyBorder="0"/>
    <xf numFmtId="0" fontId="101" fillId="0" borderId="170" applyBorder="0"/>
    <xf numFmtId="4" fontId="223" fillId="53" borderId="70" applyNumberFormat="0" applyProtection="0">
      <alignment vertical="center"/>
    </xf>
    <xf numFmtId="4" fontId="224" fillId="53" borderId="70" applyNumberFormat="0" applyProtection="0">
      <alignment vertical="center"/>
    </xf>
    <xf numFmtId="4" fontId="184" fillId="53" borderId="70" applyNumberFormat="0" applyProtection="0">
      <alignment horizontal="left" vertical="center" indent="1"/>
    </xf>
    <xf numFmtId="0" fontId="225" fillId="53" borderId="70" applyNumberFormat="0" applyProtection="0">
      <alignment horizontal="left" vertical="top" indent="1"/>
    </xf>
    <xf numFmtId="4" fontId="226" fillId="76" borderId="70" applyNumberFormat="0" applyProtection="0">
      <alignment horizontal="right" vertical="center"/>
    </xf>
    <xf numFmtId="4" fontId="226" fillId="77" borderId="70" applyNumberFormat="0" applyProtection="0">
      <alignment horizontal="right" vertical="center"/>
    </xf>
    <xf numFmtId="4" fontId="226" fillId="78" borderId="70" applyNumberFormat="0" applyProtection="0">
      <alignment horizontal="right" vertical="center"/>
    </xf>
    <xf numFmtId="4" fontId="226" fillId="10" borderId="70" applyNumberFormat="0" applyProtection="0">
      <alignment horizontal="right" vertical="center"/>
    </xf>
    <xf numFmtId="4" fontId="226" fillId="79" borderId="70" applyNumberFormat="0" applyProtection="0">
      <alignment horizontal="right" vertical="center"/>
    </xf>
    <xf numFmtId="4" fontId="226" fillId="71" borderId="70" applyNumberFormat="0" applyProtection="0">
      <alignment horizontal="right" vertical="center"/>
    </xf>
    <xf numFmtId="4" fontId="226" fillId="81" borderId="70" applyNumberFormat="0" applyProtection="0">
      <alignment horizontal="right" vertical="center"/>
    </xf>
    <xf numFmtId="4" fontId="226" fillId="80" borderId="70" applyNumberFormat="0" applyProtection="0">
      <alignment horizontal="right" vertical="center"/>
    </xf>
    <xf numFmtId="4" fontId="226" fillId="82" borderId="70" applyNumberFormat="0" applyProtection="0">
      <alignment horizontal="right" vertical="center"/>
    </xf>
    <xf numFmtId="4" fontId="184" fillId="52" borderId="70" applyNumberFormat="0" applyProtection="0">
      <alignment horizontal="right" vertical="center"/>
    </xf>
    <xf numFmtId="0" fontId="12" fillId="75" borderId="70" applyNumberFormat="0" applyProtection="0">
      <alignment horizontal="left" vertical="center" indent="1"/>
    </xf>
    <xf numFmtId="0" fontId="12" fillId="75" borderId="70" applyNumberFormat="0" applyProtection="0">
      <alignment horizontal="left" vertical="top" indent="1"/>
    </xf>
    <xf numFmtId="0" fontId="12" fillId="84" borderId="70" applyNumberFormat="0" applyProtection="0">
      <alignment horizontal="left" vertical="center" indent="1"/>
    </xf>
    <xf numFmtId="0" fontId="12" fillId="84" borderId="70" applyNumberFormat="0" applyProtection="0">
      <alignment horizontal="left" vertical="top" indent="1"/>
    </xf>
    <xf numFmtId="0" fontId="12" fillId="52" borderId="70" applyNumberFormat="0" applyProtection="0">
      <alignment horizontal="left" vertical="center" indent="1"/>
    </xf>
    <xf numFmtId="0" fontId="12" fillId="52" borderId="70" applyNumberFormat="0" applyProtection="0">
      <alignment horizontal="left" vertical="top" indent="1"/>
    </xf>
    <xf numFmtId="0" fontId="12" fillId="11" borderId="70" applyNumberFormat="0" applyProtection="0">
      <alignment horizontal="left" vertical="center" indent="1"/>
    </xf>
    <xf numFmtId="0" fontId="12" fillId="11" borderId="70" applyNumberFormat="0" applyProtection="0">
      <alignment horizontal="left" vertical="top" indent="1"/>
    </xf>
    <xf numFmtId="4" fontId="226" fillId="11" borderId="70" applyNumberFormat="0" applyProtection="0">
      <alignment vertical="center"/>
    </xf>
    <xf numFmtId="4" fontId="228" fillId="11" borderId="70" applyNumberFormat="0" applyProtection="0">
      <alignment vertical="center"/>
    </xf>
    <xf numFmtId="4" fontId="227" fillId="52" borderId="72" applyNumberFormat="0" applyProtection="0">
      <alignment horizontal="left" vertical="center" indent="1"/>
    </xf>
    <xf numFmtId="0" fontId="136" fillId="14" borderId="70" applyNumberFormat="0" applyProtection="0">
      <alignment horizontal="left" vertical="top" indent="1"/>
    </xf>
    <xf numFmtId="4" fontId="184" fillId="11" borderId="70" applyNumberFormat="0" applyProtection="0">
      <alignment horizontal="right" vertical="center"/>
    </xf>
    <xf numFmtId="4" fontId="228" fillId="11" borderId="70" applyNumberFormat="0" applyProtection="0">
      <alignment horizontal="right" vertical="center"/>
    </xf>
    <xf numFmtId="4" fontId="223" fillId="52" borderId="70" applyNumberFormat="0" applyProtection="0">
      <alignment horizontal="left" vertical="center" indent="1"/>
    </xf>
    <xf numFmtId="0" fontId="136" fillId="84" borderId="70" applyNumberFormat="0" applyProtection="0">
      <alignment horizontal="left" vertical="top" indent="1"/>
    </xf>
    <xf numFmtId="4" fontId="229" fillId="84" borderId="72" applyNumberFormat="0" applyProtection="0">
      <alignment horizontal="left" vertical="center" indent="1"/>
    </xf>
    <xf numFmtId="4" fontId="230" fillId="11" borderId="70" applyNumberFormat="0" applyProtection="0">
      <alignment horizontal="right" vertical="center"/>
    </xf>
    <xf numFmtId="0" fontId="25" fillId="10" borderId="177" applyNumberFormat="0" applyProtection="0">
      <alignment horizontal="left" vertical="top"/>
    </xf>
    <xf numFmtId="0" fontId="25" fillId="10" borderId="178" applyNumberFormat="0" applyProtection="0">
      <alignment horizontal="left" vertical="top"/>
    </xf>
    <xf numFmtId="0" fontId="25" fillId="10" borderId="179" applyNumberFormat="0" applyProtection="0">
      <alignment horizontal="left" vertical="top"/>
    </xf>
    <xf numFmtId="0" fontId="25" fillId="10" borderId="180" applyNumberFormat="0" applyProtection="0">
      <alignment horizontal="left" vertical="top"/>
    </xf>
    <xf numFmtId="3" fontId="12" fillId="60" borderId="73" applyFont="0" applyFill="0" applyBorder="0" applyAlignment="0" applyProtection="0"/>
    <xf numFmtId="4" fontId="12" fillId="60" borderId="73" applyFont="0" applyFill="0" applyBorder="0" applyAlignment="0" applyProtection="0"/>
    <xf numFmtId="183" fontId="12" fillId="60" borderId="73" applyFont="0" applyFill="0" applyBorder="0" applyAlignment="0" applyProtection="0"/>
    <xf numFmtId="10" fontId="12" fillId="60" borderId="73" applyFont="0" applyFill="0" applyBorder="0" applyAlignment="0" applyProtection="0"/>
    <xf numFmtId="9" fontId="12" fillId="60" borderId="73" applyFont="0" applyFill="0" applyBorder="0" applyAlignment="0" applyProtection="0"/>
    <xf numFmtId="2" fontId="12" fillId="60" borderId="73" applyFont="0" applyFill="0" applyBorder="0" applyAlignment="0" applyProtection="0"/>
    <xf numFmtId="0" fontId="25" fillId="10" borderId="55" applyNumberFormat="0" applyProtection="0">
      <alignment horizontal="center" vertical="top"/>
    </xf>
    <xf numFmtId="169" fontId="234" fillId="3" borderId="55" applyFont="0" applyProtection="0"/>
    <xf numFmtId="169" fontId="234" fillId="10" borderId="55" applyFont="0" applyProtection="0"/>
    <xf numFmtId="293" fontId="234" fillId="3" borderId="55" applyFont="0" applyProtection="0"/>
    <xf numFmtId="293" fontId="234" fillId="10" borderId="55" applyFont="0" applyProtection="0"/>
    <xf numFmtId="293" fontId="234" fillId="10" borderId="55" applyFont="0" applyProtection="0"/>
    <xf numFmtId="0" fontId="12" fillId="3" borderId="55" applyNumberFormat="0" applyFont="0" applyAlignment="0" applyProtection="0"/>
    <xf numFmtId="0" fontId="12" fillId="10" borderId="55" applyNumberFormat="0" applyFont="0" applyAlignment="0" applyProtection="0"/>
    <xf numFmtId="0" fontId="12" fillId="10" borderId="55" applyNumberFormat="0" applyFont="0" applyProtection="0"/>
    <xf numFmtId="0" fontId="25" fillId="10" borderId="78" applyNumberFormat="0" applyProtection="0">
      <alignment horizontal="left"/>
    </xf>
    <xf numFmtId="0" fontId="25" fillId="10" borderId="80" applyNumberFormat="0" applyProtection="0">
      <alignment horizontal="left" vertical="top"/>
    </xf>
    <xf numFmtId="0" fontId="25" fillId="10" borderId="81" applyNumberFormat="0" applyProtection="0">
      <alignment horizontal="left" vertical="top"/>
    </xf>
    <xf numFmtId="0" fontId="25" fillId="10" borderId="86" applyNumberFormat="0" applyProtection="0">
      <alignment horizontal="left" vertical="top"/>
    </xf>
    <xf numFmtId="0" fontId="25" fillId="10" borderId="88" applyNumberFormat="0" applyProtection="0">
      <alignment horizontal="left" vertical="top"/>
    </xf>
    <xf numFmtId="0" fontId="25" fillId="10" borderId="90" applyNumberFormat="0" applyProtection="0">
      <alignment horizontal="left" vertical="top"/>
    </xf>
    <xf numFmtId="0" fontId="25" fillId="10" borderId="91" applyNumberFormat="0" applyProtection="0">
      <alignment horizontal="left" vertical="top"/>
    </xf>
    <xf numFmtId="10" fontId="12" fillId="3" borderId="94" applyNumberFormat="0" applyFont="0" applyFill="0" applyBorder="0" applyAlignment="0">
      <protection locked="0"/>
    </xf>
    <xf numFmtId="0" fontId="12" fillId="0" borderId="42" applyNumberFormat="0" applyFill="0" applyBorder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25" fillId="10" borderId="55" applyNumberFormat="0" applyProtection="0">
      <alignment horizontal="center" vertical="top"/>
    </xf>
    <xf numFmtId="44" fontId="12" fillId="0" borderId="0" applyFont="0" applyFill="0" applyBorder="0" applyAlignment="0" applyProtection="0"/>
    <xf numFmtId="0" fontId="1" fillId="0" borderId="0"/>
    <xf numFmtId="43" fontId="300" fillId="0" borderId="0" applyFont="0" applyFill="0" applyBorder="0" applyAlignment="0" applyProtection="0"/>
    <xf numFmtId="9" fontId="300" fillId="0" borderId="0" applyFont="0" applyFill="0" applyBorder="0" applyAlignment="0" applyProtection="0"/>
    <xf numFmtId="0" fontId="300" fillId="0" borderId="0"/>
    <xf numFmtId="0" fontId="298" fillId="0" borderId="0"/>
    <xf numFmtId="43" fontId="300" fillId="0" borderId="0" applyFont="0" applyFill="0" applyBorder="0" applyAlignment="0" applyProtection="0"/>
    <xf numFmtId="0" fontId="1" fillId="0" borderId="0"/>
    <xf numFmtId="0" fontId="298" fillId="0" borderId="0"/>
    <xf numFmtId="0" fontId="1" fillId="0" borderId="0"/>
    <xf numFmtId="212" fontId="12" fillId="0" borderId="0" applyFont="0" applyFill="0" applyBorder="0" applyAlignment="0" applyProtection="0"/>
    <xf numFmtId="175" fontId="12" fillId="0" borderId="0" applyFont="0" applyFill="0" applyBorder="0" applyAlignment="0" applyProtection="0"/>
    <xf numFmtId="43" fontId="300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300" fillId="0" borderId="0" applyFont="0" applyFill="0" applyBorder="0" applyAlignment="0" applyProtection="0"/>
    <xf numFmtId="43" fontId="298" fillId="0" borderId="0" applyFont="0" applyFill="0" applyBorder="0" applyAlignment="0" applyProtection="0"/>
    <xf numFmtId="313" fontId="12" fillId="0" borderId="0" applyFont="0" applyFill="0" applyBorder="0" applyAlignment="0" applyProtection="0"/>
    <xf numFmtId="314" fontId="12" fillId="0" borderId="0" applyFont="0" applyFill="0" applyBorder="0" applyAlignment="0" applyProtection="0"/>
    <xf numFmtId="44" fontId="300" fillId="0" borderId="0" applyFont="0" applyFill="0" applyBorder="0" applyAlignment="0" applyProtection="0"/>
    <xf numFmtId="182" fontId="12" fillId="0" borderId="0" applyFont="0" applyFill="0" applyBorder="0" applyAlignment="0" applyProtection="0"/>
    <xf numFmtId="0" fontId="300" fillId="0" borderId="0"/>
    <xf numFmtId="0" fontId="1" fillId="0" borderId="0"/>
    <xf numFmtId="0" fontId="1" fillId="0" borderId="0"/>
    <xf numFmtId="191" fontId="301" fillId="0" borderId="0"/>
    <xf numFmtId="0" fontId="298" fillId="0" borderId="0"/>
    <xf numFmtId="0" fontId="302" fillId="0" borderId="0" applyAlignment="0"/>
    <xf numFmtId="0" fontId="1" fillId="0" borderId="0"/>
    <xf numFmtId="0" fontId="298" fillId="0" borderId="0"/>
    <xf numFmtId="9" fontId="300" fillId="0" borderId="0" applyFont="0" applyFill="0" applyBorder="0" applyAlignment="0" applyProtection="0"/>
    <xf numFmtId="9" fontId="300" fillId="0" borderId="0" applyFont="0" applyFill="0" applyBorder="0" applyAlignment="0" applyProtection="0"/>
    <xf numFmtId="9" fontId="300" fillId="0" borderId="0" applyFont="0" applyFill="0" applyBorder="0" applyAlignment="0" applyProtection="0"/>
    <xf numFmtId="43" fontId="30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262" fontId="176" fillId="97" borderId="1" applyNumberFormat="0" applyAlignment="0">
      <alignment horizontal="right"/>
    </xf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48" fillId="0" borderId="3" applyFont="0" applyFill="0" applyBorder="0" applyAlignment="0" applyProtection="0">
      <alignment horizontal="center"/>
    </xf>
    <xf numFmtId="44" fontId="12" fillId="0" borderId="0" applyFont="0" applyFill="0" applyBorder="0" applyAlignment="0" applyProtection="0"/>
    <xf numFmtId="0" fontId="74" fillId="0" borderId="3" applyFont="0" applyFill="0" applyBorder="0" applyAlignment="0" applyProtection="0">
      <alignment horizontal="center"/>
    </xf>
    <xf numFmtId="10" fontId="12" fillId="3" borderId="94" applyNumberFormat="0" applyFont="0" applyFill="0" applyBorder="0" applyAlignment="0">
      <protection locked="0"/>
    </xf>
    <xf numFmtId="0" fontId="12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44" fontId="12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246" fontId="250" fillId="0" borderId="99" applyFill="0" applyProtection="0">
      <alignment horizontal="center"/>
    </xf>
    <xf numFmtId="246" fontId="249" fillId="0" borderId="99" applyFill="0" applyProtection="0">
      <alignment horizontal="center"/>
    </xf>
    <xf numFmtId="0" fontId="241" fillId="94" borderId="99" applyBorder="0" applyProtection="0">
      <alignment horizontal="centerContinuous" vertical="center"/>
    </xf>
    <xf numFmtId="254" fontId="240" fillId="0" borderId="99" applyBorder="0" applyProtection="0">
      <alignment horizontal="right" vertical="center"/>
    </xf>
    <xf numFmtId="243" fontId="48" fillId="0" borderId="100" applyFont="0" applyFill="0" applyBorder="0" applyAlignment="0" applyProtection="0"/>
    <xf numFmtId="0" fontId="210" fillId="0" borderId="99" applyNumberFormat="0" applyFill="0" applyBorder="0" applyAlignment="0">
      <protection locked="0"/>
    </xf>
    <xf numFmtId="188" fontId="25" fillId="0" borderId="98" applyFont="0" applyFill="0" applyBorder="0" applyAlignment="0" applyProtection="0">
      <alignment horizontal="center"/>
    </xf>
    <xf numFmtId="264" fontId="12" fillId="14" borderId="99" applyFont="0" applyFill="0" applyBorder="0" applyAlignment="0" applyProtection="0">
      <alignment horizontal="right"/>
    </xf>
    <xf numFmtId="0" fontId="166" fillId="0" borderId="99">
      <alignment horizontal="center"/>
    </xf>
    <xf numFmtId="0" fontId="165" fillId="0" borderId="99" applyFill="0" applyProtection="0">
      <alignment horizontal="center"/>
    </xf>
    <xf numFmtId="186" fontId="146" fillId="3" borderId="99" applyBorder="0">
      <alignment horizontal="left" vertical="center"/>
    </xf>
    <xf numFmtId="180" fontId="9" fillId="3" borderId="99">
      <alignment horizontal="right" vertical="center"/>
    </xf>
    <xf numFmtId="192" fontId="9" fillId="3" borderId="99">
      <alignment horizontal="right" vertical="center"/>
    </xf>
    <xf numFmtId="248" fontId="46" fillId="0" borderId="99"/>
    <xf numFmtId="243" fontId="48" fillId="0" borderId="100" applyFont="0" applyFill="0" applyBorder="0" applyAlignment="0" applyProtection="0"/>
    <xf numFmtId="0" fontId="12" fillId="0" borderId="99" applyNumberFormat="0" applyFill="0" applyBorder="0" applyAlignment="0" applyProtection="0">
      <alignment horizontal="center"/>
    </xf>
    <xf numFmtId="0" fontId="113" fillId="0" borderId="99" applyNumberFormat="0" applyFill="0" applyAlignment="0" applyProtection="0"/>
    <xf numFmtId="222" fontId="79" fillId="0" borderId="9" applyBorder="0"/>
    <xf numFmtId="0" fontId="101" fillId="0" borderId="99" applyBorder="0"/>
    <xf numFmtId="10" fontId="12" fillId="3" borderId="94" applyNumberFormat="0" applyFont="0" applyFill="0" applyBorder="0" applyAlignment="0">
      <protection locked="0"/>
    </xf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" fontId="154" fillId="65" borderId="5" applyNumberFormat="0" applyBorder="0" applyAlignment="0">
      <alignment horizontal="centerContinuous" vertical="center"/>
      <protection locked="0"/>
    </xf>
    <xf numFmtId="262" fontId="176" fillId="97" borderId="1" applyNumberFormat="0" applyAlignment="0">
      <alignment horizontal="right"/>
    </xf>
    <xf numFmtId="262" fontId="177" fillId="97" borderId="1" applyNumberFormat="0" applyAlignment="0">
      <alignment horizontal="right"/>
    </xf>
    <xf numFmtId="0" fontId="12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246" fontId="250" fillId="0" borderId="99" applyFill="0" applyProtection="0">
      <alignment horizontal="center"/>
    </xf>
    <xf numFmtId="246" fontId="249" fillId="0" borderId="99" applyFill="0" applyProtection="0">
      <alignment horizontal="center"/>
    </xf>
    <xf numFmtId="39" fontId="12" fillId="14" borderId="1" applyFont="0" applyFill="0" applyBorder="0" applyAlignment="0" applyProtection="0">
      <alignment horizontal="center"/>
      <protection locked="0"/>
    </xf>
    <xf numFmtId="0" fontId="241" fillId="94" borderId="99" applyBorder="0" applyProtection="0">
      <alignment horizontal="centerContinuous" vertical="center"/>
    </xf>
    <xf numFmtId="254" fontId="240" fillId="0" borderId="99" applyBorder="0" applyProtection="0">
      <alignment horizontal="right" vertical="center"/>
    </xf>
    <xf numFmtId="0" fontId="12" fillId="0" borderId="42" applyNumberFormat="0" applyFill="0" applyBorder="0" applyAlignment="0" applyProtection="0"/>
    <xf numFmtId="0" fontId="25" fillId="10" borderId="91" applyNumberFormat="0" applyProtection="0">
      <alignment horizontal="left" vertical="top"/>
    </xf>
    <xf numFmtId="0" fontId="25" fillId="10" borderId="90" applyNumberFormat="0" applyProtection="0">
      <alignment horizontal="left" vertical="top"/>
    </xf>
    <xf numFmtId="0" fontId="25" fillId="10" borderId="88" applyNumberFormat="0" applyProtection="0">
      <alignment horizontal="left" vertical="top"/>
    </xf>
    <xf numFmtId="0" fontId="25" fillId="10" borderId="86" applyNumberFormat="0" applyProtection="0">
      <alignment horizontal="left" vertical="top"/>
    </xf>
    <xf numFmtId="0" fontId="25" fillId="10" borderId="81" applyNumberFormat="0" applyProtection="0">
      <alignment horizontal="left" vertical="top"/>
    </xf>
    <xf numFmtId="0" fontId="25" fillId="10" borderId="80" applyNumberFormat="0" applyProtection="0">
      <alignment horizontal="left" vertical="top"/>
    </xf>
    <xf numFmtId="0" fontId="25" fillId="10" borderId="78" applyNumberFormat="0" applyProtection="0">
      <alignment horizontal="left"/>
    </xf>
    <xf numFmtId="0" fontId="12" fillId="10" borderId="55" applyNumberFormat="0" applyFont="0" applyProtection="0"/>
    <xf numFmtId="0" fontId="12" fillId="10" borderId="55" applyNumberFormat="0" applyFont="0" applyAlignment="0" applyProtection="0"/>
    <xf numFmtId="0" fontId="12" fillId="3" borderId="55" applyNumberFormat="0" applyFont="0" applyAlignment="0" applyProtection="0"/>
    <xf numFmtId="0" fontId="25" fillId="60" borderId="1" applyNumberFormat="0" applyProtection="0">
      <alignment horizontal="center" vertical="top"/>
    </xf>
    <xf numFmtId="0" fontId="25" fillId="60" borderId="1" applyNumberFormat="0" applyProtection="0">
      <alignment horizontal="center" vertical="top"/>
    </xf>
    <xf numFmtId="293" fontId="234" fillId="10" borderId="55" applyFont="0" applyProtection="0"/>
    <xf numFmtId="293" fontId="234" fillId="3" borderId="55" applyFont="0" applyProtection="0"/>
    <xf numFmtId="293" fontId="234" fillId="10" borderId="55" applyFont="0" applyProtection="0"/>
    <xf numFmtId="169" fontId="234" fillId="10" borderId="55" applyFont="0" applyProtection="0"/>
    <xf numFmtId="169" fontId="234" fillId="3" borderId="55" applyFont="0" applyProtection="0"/>
    <xf numFmtId="0" fontId="25" fillId="10" borderId="55" applyNumberFormat="0" applyProtection="0">
      <alignment horizontal="center" vertical="top"/>
    </xf>
    <xf numFmtId="0" fontId="25" fillId="10" borderId="55" applyNumberFormat="0" applyProtection="0">
      <alignment horizontal="center" vertical="top"/>
    </xf>
    <xf numFmtId="2" fontId="12" fillId="60" borderId="73" applyFont="0" applyFill="0" applyBorder="0" applyAlignment="0" applyProtection="0"/>
    <xf numFmtId="9" fontId="12" fillId="60" borderId="73" applyFont="0" applyFill="0" applyBorder="0" applyAlignment="0" applyProtection="0"/>
    <xf numFmtId="10" fontId="12" fillId="60" borderId="73" applyFont="0" applyFill="0" applyBorder="0" applyAlignment="0" applyProtection="0"/>
    <xf numFmtId="183" fontId="12" fillId="60" borderId="73" applyFont="0" applyFill="0" applyBorder="0" applyAlignment="0" applyProtection="0"/>
    <xf numFmtId="4" fontId="12" fillId="60" borderId="73" applyFont="0" applyFill="0" applyBorder="0" applyAlignment="0" applyProtection="0"/>
    <xf numFmtId="3" fontId="12" fillId="60" borderId="73" applyFont="0" applyFill="0" applyBorder="0" applyAlignment="0" applyProtection="0"/>
    <xf numFmtId="37" fontId="12" fillId="0" borderId="1" applyBorder="0">
      <alignment horizontal="right"/>
      <protection locked="0"/>
    </xf>
    <xf numFmtId="0" fontId="5" fillId="59" borderId="1">
      <alignment horizontal="center" vertical="center" wrapText="1"/>
      <protection hidden="1"/>
    </xf>
    <xf numFmtId="4" fontId="230" fillId="11" borderId="70" applyNumberFormat="0" applyProtection="0">
      <alignment horizontal="right" vertical="center"/>
    </xf>
    <xf numFmtId="4" fontId="229" fillId="84" borderId="72" applyNumberFormat="0" applyProtection="0">
      <alignment horizontal="left" vertical="center" indent="1"/>
    </xf>
    <xf numFmtId="0" fontId="136" fillId="84" borderId="70" applyNumberFormat="0" applyProtection="0">
      <alignment horizontal="left" vertical="top" indent="1"/>
    </xf>
    <xf numFmtId="4" fontId="223" fillId="52" borderId="70" applyNumberFormat="0" applyProtection="0">
      <alignment horizontal="left" vertical="center" indent="1"/>
    </xf>
    <xf numFmtId="4" fontId="228" fillId="11" borderId="70" applyNumberFormat="0" applyProtection="0">
      <alignment horizontal="right" vertical="center"/>
    </xf>
    <xf numFmtId="4" fontId="184" fillId="11" borderId="70" applyNumberFormat="0" applyProtection="0">
      <alignment horizontal="right" vertical="center"/>
    </xf>
    <xf numFmtId="0" fontId="136" fillId="14" borderId="70" applyNumberFormat="0" applyProtection="0">
      <alignment horizontal="left" vertical="top" indent="1"/>
    </xf>
    <xf numFmtId="4" fontId="227" fillId="52" borderId="72" applyNumberFormat="0" applyProtection="0">
      <alignment horizontal="left" vertical="center" indent="1"/>
    </xf>
    <xf numFmtId="4" fontId="228" fillId="11" borderId="70" applyNumberFormat="0" applyProtection="0">
      <alignment vertical="center"/>
    </xf>
    <xf numFmtId="4" fontId="226" fillId="11" borderId="70" applyNumberFormat="0" applyProtection="0">
      <alignment vertical="center"/>
    </xf>
    <xf numFmtId="0" fontId="12" fillId="11" borderId="70" applyNumberFormat="0" applyProtection="0">
      <alignment horizontal="left" vertical="top" indent="1"/>
    </xf>
    <xf numFmtId="0" fontId="12" fillId="11" borderId="70" applyNumberFormat="0" applyProtection="0">
      <alignment horizontal="left" vertical="center" indent="1"/>
    </xf>
    <xf numFmtId="0" fontId="12" fillId="52" borderId="70" applyNumberFormat="0" applyProtection="0">
      <alignment horizontal="left" vertical="top" indent="1"/>
    </xf>
    <xf numFmtId="0" fontId="12" fillId="52" borderId="70" applyNumberFormat="0" applyProtection="0">
      <alignment horizontal="left" vertical="center" indent="1"/>
    </xf>
    <xf numFmtId="0" fontId="12" fillId="84" borderId="70" applyNumberFormat="0" applyProtection="0">
      <alignment horizontal="left" vertical="top" indent="1"/>
    </xf>
    <xf numFmtId="0" fontId="12" fillId="84" borderId="70" applyNumberFormat="0" applyProtection="0">
      <alignment horizontal="left" vertical="center" indent="1"/>
    </xf>
    <xf numFmtId="0" fontId="12" fillId="75" borderId="70" applyNumberFormat="0" applyProtection="0">
      <alignment horizontal="left" vertical="top" indent="1"/>
    </xf>
    <xf numFmtId="0" fontId="12" fillId="75" borderId="70" applyNumberFormat="0" applyProtection="0">
      <alignment horizontal="left" vertical="center" indent="1"/>
    </xf>
    <xf numFmtId="4" fontId="184" fillId="52" borderId="70" applyNumberFormat="0" applyProtection="0">
      <alignment horizontal="right" vertical="center"/>
    </xf>
    <xf numFmtId="4" fontId="226" fillId="82" borderId="70" applyNumberFormat="0" applyProtection="0">
      <alignment horizontal="right" vertical="center"/>
    </xf>
    <xf numFmtId="4" fontId="226" fillId="81" borderId="70" applyNumberFormat="0" applyProtection="0">
      <alignment horizontal="right" vertical="center"/>
    </xf>
    <xf numFmtId="4" fontId="226" fillId="80" borderId="70" applyNumberFormat="0" applyProtection="0">
      <alignment horizontal="right" vertical="center"/>
    </xf>
    <xf numFmtId="4" fontId="226" fillId="71" borderId="70" applyNumberFormat="0" applyProtection="0">
      <alignment horizontal="right" vertical="center"/>
    </xf>
    <xf numFmtId="4" fontId="226" fillId="79" borderId="70" applyNumberFormat="0" applyProtection="0">
      <alignment horizontal="right" vertical="center"/>
    </xf>
    <xf numFmtId="4" fontId="226" fillId="10" borderId="70" applyNumberFormat="0" applyProtection="0">
      <alignment horizontal="right" vertical="center"/>
    </xf>
    <xf numFmtId="4" fontId="226" fillId="78" borderId="70" applyNumberFormat="0" applyProtection="0">
      <alignment horizontal="right" vertical="center"/>
    </xf>
    <xf numFmtId="4" fontId="226" fillId="77" borderId="70" applyNumberFormat="0" applyProtection="0">
      <alignment horizontal="right" vertical="center"/>
    </xf>
    <xf numFmtId="4" fontId="226" fillId="76" borderId="70" applyNumberFormat="0" applyProtection="0">
      <alignment horizontal="right" vertical="center"/>
    </xf>
    <xf numFmtId="0" fontId="225" fillId="53" borderId="70" applyNumberFormat="0" applyProtection="0">
      <alignment horizontal="left" vertical="top" indent="1"/>
    </xf>
    <xf numFmtId="4" fontId="184" fillId="53" borderId="70" applyNumberFormat="0" applyProtection="0">
      <alignment horizontal="left" vertical="center" indent="1"/>
    </xf>
    <xf numFmtId="4" fontId="224" fillId="53" borderId="70" applyNumberFormat="0" applyProtection="0">
      <alignment vertical="center"/>
    </xf>
    <xf numFmtId="4" fontId="223" fillId="53" borderId="70" applyNumberFormat="0" applyProtection="0">
      <alignment vertical="center"/>
    </xf>
    <xf numFmtId="243" fontId="48" fillId="0" borderId="100" applyFont="0" applyFill="0" applyBorder="0" applyAlignment="0" applyProtection="0"/>
    <xf numFmtId="192" fontId="176" fillId="73" borderId="1">
      <alignment horizontal="right"/>
    </xf>
    <xf numFmtId="0" fontId="210" fillId="0" borderId="99" applyNumberFormat="0" applyFill="0" applyBorder="0" applyAlignment="0">
      <protection locked="0"/>
    </xf>
    <xf numFmtId="0" fontId="204" fillId="3" borderId="1" applyNumberFormat="0" applyBorder="0">
      <alignment horizontal="center" vertical="center"/>
    </xf>
    <xf numFmtId="188" fontId="25" fillId="0" borderId="98" applyFont="0" applyFill="0" applyBorder="0" applyAlignment="0" applyProtection="0">
      <alignment horizontal="center"/>
    </xf>
    <xf numFmtId="0" fontId="184" fillId="0" borderId="61" applyAlignment="0">
      <alignment horizontal="left" wrapText="1"/>
    </xf>
    <xf numFmtId="264" fontId="12" fillId="14" borderId="99" applyFont="0" applyFill="0" applyBorder="0" applyAlignment="0" applyProtection="0">
      <alignment horizontal="right"/>
    </xf>
    <xf numFmtId="0" fontId="25" fillId="69" borderId="55">
      <alignment horizontal="left" vertical="center" wrapText="1"/>
    </xf>
    <xf numFmtId="262" fontId="176" fillId="68" borderId="1" applyNumberFormat="0" applyAlignment="0">
      <alignment horizontal="right"/>
    </xf>
    <xf numFmtId="262" fontId="177" fillId="68" borderId="1" applyNumberFormat="0" applyAlignment="0">
      <alignment horizontal="right"/>
    </xf>
    <xf numFmtId="262" fontId="176" fillId="68" borderId="1" applyNumberFormat="0" applyFont="0" applyBorder="0" applyAlignment="0">
      <alignment horizontal="right"/>
    </xf>
    <xf numFmtId="10" fontId="48" fillId="14" borderId="1" applyNumberFormat="0" applyBorder="0" applyAlignment="0" applyProtection="0"/>
    <xf numFmtId="0" fontId="166" fillId="0" borderId="99">
      <alignment horizontal="center"/>
    </xf>
    <xf numFmtId="0" fontId="165" fillId="0" borderId="99" applyFill="0" applyProtection="0">
      <alignment horizontal="center"/>
    </xf>
    <xf numFmtId="199" fontId="94" fillId="14" borderId="1" applyNumberFormat="0" applyFont="0" applyAlignment="0"/>
    <xf numFmtId="182" fontId="12" fillId="10" borderId="1" applyNumberFormat="0" applyFont="0" applyBorder="0" applyAlignment="0" applyProtection="0"/>
    <xf numFmtId="0" fontId="159" fillId="67" borderId="55"/>
    <xf numFmtId="0" fontId="159" fillId="0" borderId="55"/>
    <xf numFmtId="0" fontId="135" fillId="0" borderId="55"/>
    <xf numFmtId="0" fontId="135" fillId="0" borderId="55"/>
    <xf numFmtId="186" fontId="48" fillId="3" borderId="3">
      <alignment vertical="center"/>
    </xf>
    <xf numFmtId="186" fontId="146" fillId="3" borderId="99" applyBorder="0">
      <alignment horizontal="left" vertical="center"/>
    </xf>
    <xf numFmtId="180" fontId="9" fillId="3" borderId="99">
      <alignment horizontal="right" vertical="center"/>
    </xf>
    <xf numFmtId="192" fontId="9" fillId="3" borderId="99">
      <alignment horizontal="right" vertical="center"/>
    </xf>
    <xf numFmtId="182" fontId="145" fillId="3" borderId="3">
      <alignment horizontal="right" vertical="center"/>
    </xf>
    <xf numFmtId="0" fontId="48" fillId="0" borderId="3" applyFont="0" applyFill="0" applyBorder="0" applyAlignment="0" applyProtection="0">
      <alignment horizontal="center"/>
    </xf>
    <xf numFmtId="0" fontId="74" fillId="0" borderId="3" applyFont="0" applyFill="0" applyBorder="0" applyAlignment="0" applyProtection="0">
      <alignment horizontal="center"/>
    </xf>
    <xf numFmtId="243" fontId="48" fillId="0" borderId="100" applyFont="0" applyFill="0" applyBorder="0" applyAlignment="0" applyProtection="0"/>
    <xf numFmtId="0" fontId="12" fillId="0" borderId="99" applyNumberFormat="0" applyFill="0" applyBorder="0" applyAlignment="0" applyProtection="0">
      <alignment horizontal="center"/>
    </xf>
    <xf numFmtId="0" fontId="119" fillId="58" borderId="1"/>
    <xf numFmtId="5" fontId="114" fillId="0" borderId="3" applyAlignment="0" applyProtection="0"/>
    <xf numFmtId="0" fontId="113" fillId="0" borderId="99" applyNumberFormat="0" applyFill="0" applyAlignment="0" applyProtection="0"/>
    <xf numFmtId="0" fontId="48" fillId="0" borderId="42" applyNumberFormat="0" applyFill="0" applyAlignment="0" applyProtection="0"/>
    <xf numFmtId="0" fontId="105" fillId="0" borderId="42" applyNumberFormat="0" applyFill="0" applyBorder="0" applyAlignment="0" applyProtection="0"/>
    <xf numFmtId="0" fontId="46" fillId="0" borderId="42" applyNumberFormat="0" applyFill="0" applyBorder="0" applyAlignment="0" applyProtection="0"/>
    <xf numFmtId="0" fontId="12" fillId="0" borderId="42" applyNumberFormat="0" applyFill="0" applyBorder="0" applyAlignment="0" applyProtection="0"/>
    <xf numFmtId="222" fontId="79" fillId="0" borderId="9" applyBorder="0"/>
    <xf numFmtId="0" fontId="101" fillId="0" borderId="99" applyBorder="0"/>
    <xf numFmtId="10" fontId="12" fillId="3" borderId="94" applyNumberFormat="0" applyFont="0" applyFill="0" applyBorder="0" applyAlignment="0">
      <protection locked="0"/>
    </xf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248" fontId="46" fillId="0" borderId="99"/>
    <xf numFmtId="0" fontId="77" fillId="0" borderId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0" fontId="12" fillId="3" borderId="94" applyNumberFormat="0" applyFont="0" applyFill="0" applyBorder="0" applyAlignment="0">
      <protection locked="0"/>
    </xf>
    <xf numFmtId="246" fontId="250" fillId="0" borderId="99" applyFill="0" applyProtection="0">
      <alignment horizontal="center"/>
    </xf>
    <xf numFmtId="246" fontId="249" fillId="0" borderId="99" applyFill="0" applyProtection="0">
      <alignment horizontal="center"/>
    </xf>
    <xf numFmtId="0" fontId="241" fillId="94" borderId="99" applyBorder="0" applyProtection="0">
      <alignment horizontal="centerContinuous" vertical="center"/>
    </xf>
    <xf numFmtId="254" fontId="240" fillId="0" borderId="99" applyBorder="0" applyProtection="0">
      <alignment horizontal="right" vertical="center"/>
    </xf>
    <xf numFmtId="243" fontId="48" fillId="0" borderId="100" applyFont="0" applyFill="0" applyBorder="0" applyAlignment="0" applyProtection="0"/>
    <xf numFmtId="0" fontId="210" fillId="0" borderId="99" applyNumberFormat="0" applyFill="0" applyBorder="0" applyAlignment="0">
      <protection locked="0"/>
    </xf>
    <xf numFmtId="188" fontId="25" fillId="0" borderId="98" applyFont="0" applyFill="0" applyBorder="0" applyAlignment="0" applyProtection="0">
      <alignment horizontal="center"/>
    </xf>
    <xf numFmtId="264" fontId="12" fillId="14" borderId="99" applyFont="0" applyFill="0" applyBorder="0" applyAlignment="0" applyProtection="0">
      <alignment horizontal="right"/>
    </xf>
    <xf numFmtId="0" fontId="166" fillId="0" borderId="99">
      <alignment horizontal="center"/>
    </xf>
    <xf numFmtId="0" fontId="165" fillId="0" borderId="99" applyFill="0" applyProtection="0">
      <alignment horizontal="center"/>
    </xf>
    <xf numFmtId="186" fontId="146" fillId="3" borderId="99" applyBorder="0">
      <alignment horizontal="left" vertical="center"/>
    </xf>
    <xf numFmtId="180" fontId="9" fillId="3" borderId="99">
      <alignment horizontal="right" vertical="center"/>
    </xf>
    <xf numFmtId="192" fontId="9" fillId="3" borderId="99">
      <alignment horizontal="right" vertical="center"/>
    </xf>
    <xf numFmtId="248" fontId="46" fillId="0" borderId="99"/>
    <xf numFmtId="243" fontId="48" fillId="0" borderId="100" applyFont="0" applyFill="0" applyBorder="0" applyAlignment="0" applyProtection="0"/>
    <xf numFmtId="0" fontId="12" fillId="0" borderId="99" applyNumberFormat="0" applyFill="0" applyBorder="0" applyAlignment="0" applyProtection="0">
      <alignment horizontal="center"/>
    </xf>
    <xf numFmtId="0" fontId="113" fillId="0" borderId="99" applyNumberFormat="0" applyFill="0" applyAlignment="0" applyProtection="0"/>
    <xf numFmtId="222" fontId="79" fillId="0" borderId="9" applyBorder="0"/>
    <xf numFmtId="0" fontId="101" fillId="0" borderId="99" applyBorder="0"/>
    <xf numFmtId="10" fontId="12" fillId="3" borderId="94" applyNumberFormat="0" applyFont="0" applyFill="0" applyBorder="0" applyAlignment="0">
      <protection locked="0"/>
    </xf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" fillId="0" borderId="0"/>
    <xf numFmtId="0" fontId="106" fillId="0" borderId="182">
      <protection hidden="1"/>
    </xf>
    <xf numFmtId="0" fontId="107" fillId="54" borderId="182" applyNumberFormat="0" applyFont="0" applyBorder="0" applyAlignment="0" applyProtection="0">
      <protection hidden="1"/>
    </xf>
    <xf numFmtId="243" fontId="48" fillId="0" borderId="100" applyFont="0" applyFill="0" applyBorder="0" applyAlignment="0" applyProtection="0"/>
    <xf numFmtId="198" fontId="84" fillId="0" borderId="182" applyBorder="0"/>
    <xf numFmtId="186" fontId="84" fillId="0" borderId="182" applyBorder="0"/>
    <xf numFmtId="0" fontId="48" fillId="11" borderId="182" applyNumberFormat="0" applyFont="0" applyBorder="0" applyAlignment="0" applyProtection="0">
      <alignment horizontal="center"/>
    </xf>
    <xf numFmtId="0" fontId="84" fillId="0" borderId="182" applyBorder="0"/>
    <xf numFmtId="1" fontId="12" fillId="0" borderId="182" applyNumberFormat="0" applyFill="0" applyAlignment="0" applyProtection="0">
      <alignment horizontal="center" vertical="center"/>
    </xf>
    <xf numFmtId="0" fontId="219" fillId="0" borderId="182" applyNumberFormat="0" applyFill="0" applyBorder="0" applyAlignment="0" applyProtection="0">
      <protection hidden="1"/>
    </xf>
    <xf numFmtId="222" fontId="79" fillId="0" borderId="183" applyBorder="0"/>
    <xf numFmtId="0" fontId="101" fillId="0" borderId="184" applyBorder="0"/>
    <xf numFmtId="222" fontId="79" fillId="0" borderId="183" applyBorder="0"/>
    <xf numFmtId="0" fontId="113" fillId="0" borderId="184" applyNumberFormat="0" applyFill="0" applyAlignment="0" applyProtection="0"/>
    <xf numFmtId="0" fontId="12" fillId="0" borderId="184" applyNumberFormat="0" applyFill="0" applyBorder="0" applyAlignment="0" applyProtection="0">
      <alignment horizontal="center"/>
    </xf>
    <xf numFmtId="248" fontId="46" fillId="0" borderId="184"/>
    <xf numFmtId="192" fontId="9" fillId="3" borderId="184">
      <alignment horizontal="right" vertical="center"/>
    </xf>
    <xf numFmtId="180" fontId="9" fillId="3" borderId="184">
      <alignment horizontal="right" vertical="center"/>
    </xf>
    <xf numFmtId="186" fontId="146" fillId="3" borderId="184" applyBorder="0">
      <alignment horizontal="left" vertical="center"/>
    </xf>
    <xf numFmtId="0" fontId="165" fillId="0" borderId="184" applyFill="0" applyProtection="0">
      <alignment horizontal="center"/>
    </xf>
    <xf numFmtId="0" fontId="166" fillId="0" borderId="184">
      <alignment horizontal="center"/>
    </xf>
    <xf numFmtId="264" fontId="12" fillId="14" borderId="184" applyFont="0" applyFill="0" applyBorder="0" applyAlignment="0" applyProtection="0">
      <alignment horizontal="right"/>
    </xf>
    <xf numFmtId="0" fontId="210" fillId="0" borderId="184" applyNumberFormat="0" applyFill="0" applyBorder="0" applyAlignment="0">
      <protection locked="0"/>
    </xf>
    <xf numFmtId="254" fontId="240" fillId="0" borderId="184" applyBorder="0" applyProtection="0">
      <alignment horizontal="right" vertical="center"/>
    </xf>
    <xf numFmtId="0" fontId="241" fillId="94" borderId="184" applyBorder="0" applyProtection="0">
      <alignment horizontal="centerContinuous" vertical="center"/>
    </xf>
    <xf numFmtId="246" fontId="249" fillId="0" borderId="184" applyFill="0" applyProtection="0">
      <alignment horizontal="center"/>
    </xf>
    <xf numFmtId="246" fontId="250" fillId="0" borderId="184" applyFill="0" applyProtection="0">
      <alignment horizontal="center"/>
    </xf>
    <xf numFmtId="0" fontId="78" fillId="14" borderId="186" applyFont="0" applyFill="0" applyBorder="0" applyAlignment="0" applyProtection="0"/>
    <xf numFmtId="0" fontId="25" fillId="10" borderId="194" applyNumberFormat="0" applyProtection="0">
      <alignment horizontal="left" vertical="top"/>
    </xf>
    <xf numFmtId="0" fontId="25" fillId="10" borderId="193" applyNumberFormat="0" applyProtection="0">
      <alignment horizontal="left" vertical="top"/>
    </xf>
    <xf numFmtId="0" fontId="25" fillId="10" borderId="192" applyNumberFormat="0" applyProtection="0">
      <alignment horizontal="left" vertical="top"/>
    </xf>
    <xf numFmtId="0" fontId="25" fillId="10" borderId="191" applyNumberFormat="0" applyProtection="0">
      <alignment horizontal="left" vertical="top"/>
    </xf>
    <xf numFmtId="0" fontId="214" fillId="0" borderId="190" applyNumberFormat="0" applyFont="0" applyFill="0" applyAlignment="0" applyProtection="0"/>
    <xf numFmtId="0" fontId="2" fillId="0" borderId="189" applyNumberFormat="0" applyAlignment="0" applyProtection="0"/>
    <xf numFmtId="186" fontId="140" fillId="3" borderId="188">
      <alignment horizontal="center" vertical="center"/>
    </xf>
    <xf numFmtId="186" fontId="146" fillId="3" borderId="187">
      <alignment horizontal="left"/>
    </xf>
    <xf numFmtId="0" fontId="75" fillId="0" borderId="185" applyNumberFormat="0" applyFont="0" applyFill="0" applyAlignment="0" applyProtection="0"/>
    <xf numFmtId="222" fontId="79" fillId="0" borderId="195" applyBorder="0"/>
    <xf numFmtId="0" fontId="101" fillId="0" borderId="196" applyBorder="0"/>
    <xf numFmtId="222" fontId="79" fillId="0" borderId="195" applyBorder="0"/>
    <xf numFmtId="0" fontId="113" fillId="0" borderId="196" applyNumberFormat="0" applyFill="0" applyAlignment="0" applyProtection="0"/>
    <xf numFmtId="0" fontId="12" fillId="0" borderId="196" applyNumberFormat="0" applyFill="0" applyBorder="0" applyAlignment="0" applyProtection="0">
      <alignment horizontal="center"/>
    </xf>
    <xf numFmtId="248" fontId="46" fillId="0" borderId="196"/>
    <xf numFmtId="192" fontId="9" fillId="3" borderId="196">
      <alignment horizontal="right" vertical="center"/>
    </xf>
    <xf numFmtId="180" fontId="9" fillId="3" borderId="196">
      <alignment horizontal="right" vertical="center"/>
    </xf>
    <xf numFmtId="186" fontId="146" fillId="3" borderId="196" applyBorder="0">
      <alignment horizontal="left" vertical="center"/>
    </xf>
    <xf numFmtId="0" fontId="165" fillId="0" borderId="196" applyFill="0" applyProtection="0">
      <alignment horizontal="center"/>
    </xf>
    <xf numFmtId="0" fontId="166" fillId="0" borderId="196">
      <alignment horizontal="center"/>
    </xf>
    <xf numFmtId="264" fontId="12" fillId="14" borderId="196" applyFont="0" applyFill="0" applyBorder="0" applyAlignment="0" applyProtection="0">
      <alignment horizontal="right"/>
    </xf>
    <xf numFmtId="0" fontId="210" fillId="0" borderId="196" applyNumberFormat="0" applyFill="0" applyBorder="0" applyAlignment="0">
      <protection locked="0"/>
    </xf>
    <xf numFmtId="254" fontId="240" fillId="0" borderId="196" applyBorder="0" applyProtection="0">
      <alignment horizontal="right" vertical="center"/>
    </xf>
    <xf numFmtId="0" fontId="241" fillId="94" borderId="196" applyBorder="0" applyProtection="0">
      <alignment horizontal="centerContinuous" vertical="center"/>
    </xf>
    <xf numFmtId="246" fontId="249" fillId="0" borderId="196" applyFill="0" applyProtection="0">
      <alignment horizontal="center"/>
    </xf>
    <xf numFmtId="246" fontId="250" fillId="0" borderId="196" applyFill="0" applyProtection="0">
      <alignment horizontal="center"/>
    </xf>
    <xf numFmtId="186" fontId="146" fillId="3" borderId="199">
      <alignment horizontal="left"/>
    </xf>
    <xf numFmtId="0" fontId="75" fillId="0" borderId="197" applyNumberFormat="0" applyFont="0" applyFill="0" applyAlignment="0" applyProtection="0"/>
    <xf numFmtId="0" fontId="113" fillId="0" borderId="280" applyNumberFormat="0" applyFill="0" applyAlignment="0" applyProtection="0"/>
    <xf numFmtId="264" fontId="12" fillId="14" borderId="280" applyFont="0" applyFill="0" applyBorder="0" applyAlignment="0" applyProtection="0">
      <alignment horizontal="right"/>
    </xf>
    <xf numFmtId="246" fontId="249" fillId="0" borderId="280" applyFill="0" applyProtection="0">
      <alignment horizontal="center"/>
    </xf>
    <xf numFmtId="0" fontId="25" fillId="10" borderId="206" applyNumberFormat="0" applyProtection="0">
      <alignment horizontal="left" vertical="top"/>
    </xf>
    <xf numFmtId="0" fontId="25" fillId="10" borderId="204" applyNumberFormat="0" applyProtection="0">
      <alignment horizontal="left" vertical="top"/>
    </xf>
    <xf numFmtId="0" fontId="25" fillId="10" borderId="205" applyNumberFormat="0" applyProtection="0">
      <alignment horizontal="left" vertical="top"/>
    </xf>
    <xf numFmtId="0" fontId="25" fillId="10" borderId="203" applyNumberFormat="0" applyProtection="0">
      <alignment horizontal="left" vertical="top"/>
    </xf>
    <xf numFmtId="0" fontId="25" fillId="10" borderId="206" applyNumberFormat="0" applyProtection="0">
      <alignment horizontal="left" vertical="top"/>
    </xf>
    <xf numFmtId="0" fontId="25" fillId="10" borderId="205" applyNumberFormat="0" applyProtection="0">
      <alignment horizontal="left" vertical="top"/>
    </xf>
    <xf numFmtId="0" fontId="25" fillId="10" borderId="204" applyNumberFormat="0" applyProtection="0">
      <alignment horizontal="left" vertical="top"/>
    </xf>
    <xf numFmtId="0" fontId="25" fillId="10" borderId="203" applyNumberFormat="0" applyProtection="0">
      <alignment horizontal="left" vertical="top"/>
    </xf>
    <xf numFmtId="0" fontId="214" fillId="0" borderId="202" applyNumberFormat="0" applyFont="0" applyFill="0" applyAlignment="0" applyProtection="0"/>
    <xf numFmtId="0" fontId="2" fillId="0" borderId="201" applyNumberFormat="0" applyAlignment="0" applyProtection="0"/>
    <xf numFmtId="186" fontId="140" fillId="3" borderId="200">
      <alignment horizontal="center" vertical="center"/>
    </xf>
    <xf numFmtId="186" fontId="140" fillId="3" borderId="212">
      <alignment horizontal="center" vertical="center"/>
    </xf>
    <xf numFmtId="0" fontId="25" fillId="10" borderId="215" applyNumberFormat="0" applyProtection="0">
      <alignment horizontal="left" vertical="top"/>
    </xf>
    <xf numFmtId="0" fontId="12" fillId="0" borderId="280" applyNumberFormat="0" applyFill="0" applyBorder="0" applyAlignment="0" applyProtection="0">
      <alignment horizontal="center"/>
    </xf>
    <xf numFmtId="0" fontId="25" fillId="10" borderId="277" applyNumberFormat="0" applyProtection="0">
      <alignment horizontal="left" vertical="top"/>
    </xf>
    <xf numFmtId="222" fontId="79" fillId="0" borderId="267" applyBorder="0"/>
    <xf numFmtId="0" fontId="78" fillId="14" borderId="270" applyFont="0" applyFill="0" applyBorder="0" applyAlignment="0" applyProtection="0"/>
    <xf numFmtId="222" fontId="79" fillId="0" borderId="279" applyBorder="0"/>
    <xf numFmtId="0" fontId="101" fillId="0" borderId="280" applyBorder="0"/>
    <xf numFmtId="222" fontId="79" fillId="0" borderId="279" applyBorder="0"/>
    <xf numFmtId="248" fontId="46" fillId="0" borderId="280"/>
    <xf numFmtId="192" fontId="9" fillId="3" borderId="280">
      <alignment horizontal="right" vertical="center"/>
    </xf>
    <xf numFmtId="180" fontId="9" fillId="3" borderId="280">
      <alignment horizontal="right" vertical="center"/>
    </xf>
    <xf numFmtId="186" fontId="146" fillId="3" borderId="280" applyBorder="0">
      <alignment horizontal="left" vertical="center"/>
    </xf>
    <xf numFmtId="0" fontId="165" fillId="0" borderId="280" applyFill="0" applyProtection="0">
      <alignment horizontal="center"/>
    </xf>
    <xf numFmtId="0" fontId="210" fillId="0" borderId="280" applyNumberFormat="0" applyFill="0" applyBorder="0" applyAlignment="0">
      <protection locked="0"/>
    </xf>
    <xf numFmtId="254" fontId="240" fillId="0" borderId="280" applyBorder="0" applyProtection="0">
      <alignment horizontal="right" vertical="center"/>
    </xf>
    <xf numFmtId="246" fontId="250" fillId="0" borderId="280" applyFill="0" applyProtection="0">
      <alignment horizontal="center"/>
    </xf>
    <xf numFmtId="222" fontId="79" fillId="0" borderId="219" applyBorder="0"/>
    <xf numFmtId="0" fontId="25" fillId="10" borderId="216" applyNumberFormat="0" applyProtection="0">
      <alignment horizontal="left" vertical="top"/>
    </xf>
    <xf numFmtId="0" fontId="25" fillId="10" borderId="218" applyNumberFormat="0" applyProtection="0">
      <alignment horizontal="left" vertical="top"/>
    </xf>
    <xf numFmtId="0" fontId="25" fillId="10" borderId="215" applyNumberFormat="0" applyProtection="0">
      <alignment horizontal="left" vertical="top"/>
    </xf>
    <xf numFmtId="0" fontId="25" fillId="10" borderId="216" applyNumberFormat="0" applyProtection="0">
      <alignment horizontal="left" vertical="top"/>
    </xf>
    <xf numFmtId="0" fontId="25" fillId="10" borderId="217" applyNumberFormat="0" applyProtection="0">
      <alignment horizontal="left" vertical="top"/>
    </xf>
    <xf numFmtId="0" fontId="75" fillId="0" borderId="221" applyNumberFormat="0" applyFont="0" applyFill="0" applyAlignment="0" applyProtection="0"/>
    <xf numFmtId="0" fontId="101" fillId="0" borderId="232" applyBorder="0"/>
    <xf numFmtId="222" fontId="79" fillId="0" borderId="231" applyBorder="0"/>
    <xf numFmtId="0" fontId="113" fillId="0" borderId="232" applyNumberFormat="0" applyFill="0" applyAlignment="0" applyProtection="0"/>
    <xf numFmtId="0" fontId="12" fillId="0" borderId="232" applyNumberFormat="0" applyFill="0" applyBorder="0" applyAlignment="0" applyProtection="0">
      <alignment horizontal="center"/>
    </xf>
    <xf numFmtId="248" fontId="46" fillId="0" borderId="232"/>
    <xf numFmtId="192" fontId="9" fillId="3" borderId="232">
      <alignment horizontal="right" vertical="center"/>
    </xf>
    <xf numFmtId="180" fontId="9" fillId="3" borderId="232">
      <alignment horizontal="right" vertical="center"/>
    </xf>
    <xf numFmtId="186" fontId="146" fillId="3" borderId="232" applyBorder="0">
      <alignment horizontal="left" vertical="center"/>
    </xf>
    <xf numFmtId="0" fontId="166" fillId="0" borderId="232">
      <alignment horizontal="center"/>
    </xf>
    <xf numFmtId="0" fontId="210" fillId="0" borderId="232" applyNumberFormat="0" applyFill="0" applyBorder="0" applyAlignment="0">
      <protection locked="0"/>
    </xf>
    <xf numFmtId="264" fontId="12" fillId="14" borderId="232" applyFont="0" applyFill="0" applyBorder="0" applyAlignment="0" applyProtection="0">
      <alignment horizontal="right"/>
    </xf>
    <xf numFmtId="246" fontId="249" fillId="0" borderId="232" applyFill="0" applyProtection="0">
      <alignment horizontal="center"/>
    </xf>
    <xf numFmtId="246" fontId="250" fillId="0" borderId="232" applyFill="0" applyProtection="0">
      <alignment horizontal="center"/>
    </xf>
    <xf numFmtId="246" fontId="250" fillId="0" borderId="256" applyFill="0" applyProtection="0">
      <alignment horizontal="center"/>
    </xf>
    <xf numFmtId="246" fontId="249" fillId="0" borderId="256" applyFill="0" applyProtection="0">
      <alignment horizontal="center"/>
    </xf>
    <xf numFmtId="254" fontId="240" fillId="0" borderId="256" applyBorder="0" applyProtection="0">
      <alignment horizontal="right" vertical="center"/>
    </xf>
    <xf numFmtId="264" fontId="12" fillId="14" borderId="256" applyFont="0" applyFill="0" applyBorder="0" applyAlignment="0" applyProtection="0">
      <alignment horizontal="right"/>
    </xf>
    <xf numFmtId="0" fontId="165" fillId="0" borderId="256" applyFill="0" applyProtection="0">
      <alignment horizontal="center"/>
    </xf>
    <xf numFmtId="180" fontId="9" fillId="3" borderId="256">
      <alignment horizontal="right" vertical="center"/>
    </xf>
    <xf numFmtId="0" fontId="12" fillId="0" borderId="256" applyNumberFormat="0" applyFill="0" applyBorder="0" applyAlignment="0" applyProtection="0">
      <alignment horizontal="center"/>
    </xf>
    <xf numFmtId="0" fontId="101" fillId="0" borderId="256" applyBorder="0"/>
    <xf numFmtId="222" fontId="79" fillId="0" borderId="255" applyBorder="0"/>
    <xf numFmtId="0" fontId="75" fillId="0" borderId="245" applyNumberFormat="0" applyFont="0" applyFill="0" applyAlignment="0" applyProtection="0"/>
    <xf numFmtId="0" fontId="2" fillId="0" borderId="249" applyNumberFormat="0" applyAlignment="0" applyProtection="0"/>
    <xf numFmtId="0" fontId="25" fillId="10" borderId="251" applyNumberFormat="0" applyProtection="0">
      <alignment horizontal="left" vertical="top"/>
    </xf>
    <xf numFmtId="0" fontId="25" fillId="10" borderId="254" applyNumberFormat="0" applyProtection="0">
      <alignment horizontal="left" vertical="top"/>
    </xf>
    <xf numFmtId="222" fontId="79" fillId="0" borderId="243" applyBorder="0"/>
    <xf numFmtId="0" fontId="25" fillId="10" borderId="229" applyNumberFormat="0" applyProtection="0">
      <alignment horizontal="left" vertical="top"/>
    </xf>
    <xf numFmtId="0" fontId="25" fillId="10" borderId="227" applyNumberFormat="0" applyProtection="0">
      <alignment horizontal="left" vertical="top"/>
    </xf>
    <xf numFmtId="0" fontId="214" fillId="0" borderId="226" applyNumberFormat="0" applyFont="0" applyFill="0" applyAlignment="0" applyProtection="0"/>
    <xf numFmtId="186" fontId="146" fillId="3" borderId="223">
      <alignment horizontal="left"/>
    </xf>
    <xf numFmtId="222" fontId="79" fillId="0" borderId="231" applyBorder="0"/>
    <xf numFmtId="0" fontId="101" fillId="0" borderId="99" applyBorder="0"/>
    <xf numFmtId="0" fontId="113" fillId="0" borderId="99" applyNumberFormat="0" applyFill="0" applyAlignment="0" applyProtection="0"/>
    <xf numFmtId="0" fontId="12" fillId="0" borderId="99" applyNumberFormat="0" applyFill="0" applyBorder="0" applyAlignment="0" applyProtection="0">
      <alignment horizontal="center"/>
    </xf>
    <xf numFmtId="248" fontId="46" fillId="0" borderId="99"/>
    <xf numFmtId="192" fontId="9" fillId="3" borderId="99">
      <alignment horizontal="right" vertical="center"/>
    </xf>
    <xf numFmtId="180" fontId="9" fillId="3" borderId="99">
      <alignment horizontal="right" vertical="center"/>
    </xf>
    <xf numFmtId="186" fontId="146" fillId="3" borderId="99" applyBorder="0">
      <alignment horizontal="left" vertical="center"/>
    </xf>
    <xf numFmtId="0" fontId="165" fillId="0" borderId="99" applyFill="0" applyProtection="0">
      <alignment horizontal="center"/>
    </xf>
    <xf numFmtId="0" fontId="166" fillId="0" borderId="99">
      <alignment horizontal="center"/>
    </xf>
    <xf numFmtId="264" fontId="12" fillId="14" borderId="99" applyFont="0" applyFill="0" applyBorder="0" applyAlignment="0" applyProtection="0">
      <alignment horizontal="right"/>
    </xf>
    <xf numFmtId="0" fontId="210" fillId="0" borderId="99" applyNumberFormat="0" applyFill="0" applyBorder="0" applyAlignment="0">
      <protection locked="0"/>
    </xf>
    <xf numFmtId="248" fontId="46" fillId="0" borderId="256"/>
    <xf numFmtId="222" fontId="79" fillId="0" borderId="255" applyBorder="0"/>
    <xf numFmtId="186" fontId="140" fillId="3" borderId="248">
      <alignment horizontal="center" vertical="center"/>
    </xf>
    <xf numFmtId="0" fontId="25" fillId="10" borderId="253" applyNumberFormat="0" applyProtection="0">
      <alignment horizontal="left" vertical="top"/>
    </xf>
    <xf numFmtId="0" fontId="210" fillId="0" borderId="256" applyNumberFormat="0" applyFill="0" applyBorder="0" applyAlignment="0">
      <protection locked="0"/>
    </xf>
    <xf numFmtId="192" fontId="9" fillId="3" borderId="256">
      <alignment horizontal="right" vertical="center"/>
    </xf>
    <xf numFmtId="0" fontId="113" fillId="0" borderId="256" applyNumberFormat="0" applyFill="0" applyAlignment="0" applyProtection="0"/>
    <xf numFmtId="186" fontId="146" fillId="3" borderId="247">
      <alignment horizontal="left"/>
    </xf>
    <xf numFmtId="0" fontId="25" fillId="10" borderId="252" applyNumberFormat="0" applyProtection="0">
      <alignment horizontal="left" vertical="top"/>
    </xf>
    <xf numFmtId="254" fontId="240" fillId="0" borderId="99" applyBorder="0" applyProtection="0">
      <alignment horizontal="right" vertical="center"/>
    </xf>
    <xf numFmtId="0" fontId="241" fillId="94" borderId="99" applyBorder="0" applyProtection="0">
      <alignment horizontal="centerContinuous" vertical="center"/>
    </xf>
    <xf numFmtId="246" fontId="249" fillId="0" borderId="99" applyFill="0" applyProtection="0">
      <alignment horizontal="center"/>
    </xf>
    <xf numFmtId="246" fontId="250" fillId="0" borderId="99" applyFill="0" applyProtection="0">
      <alignment horizontal="center"/>
    </xf>
    <xf numFmtId="0" fontId="25" fillId="10" borderId="276" applyNumberFormat="0" applyProtection="0">
      <alignment horizontal="left" vertical="top"/>
    </xf>
    <xf numFmtId="0" fontId="25" fillId="10" borderId="278" applyNumberFormat="0" applyProtection="0">
      <alignment horizontal="left" vertical="top"/>
    </xf>
    <xf numFmtId="222" fontId="79" fillId="0" borderId="207" applyBorder="0"/>
    <xf numFmtId="0" fontId="214" fillId="0" borderId="274" applyNumberFormat="0" applyFont="0" applyFill="0" applyAlignment="0" applyProtection="0"/>
    <xf numFmtId="0" fontId="75" fillId="0" borderId="209" applyNumberFormat="0" applyFont="0" applyFill="0" applyAlignment="0" applyProtection="0"/>
    <xf numFmtId="0" fontId="25" fillId="10" borderId="217" applyNumberFormat="0" applyProtection="0">
      <alignment horizontal="left" vertical="top"/>
    </xf>
    <xf numFmtId="0" fontId="25" fillId="10" borderId="218" applyNumberFormat="0" applyProtection="0">
      <alignment horizontal="left" vertical="top"/>
    </xf>
    <xf numFmtId="0" fontId="165" fillId="0" borderId="232" applyFill="0" applyProtection="0">
      <alignment horizontal="center"/>
    </xf>
    <xf numFmtId="254" fontId="240" fillId="0" borderId="232" applyBorder="0" applyProtection="0">
      <alignment horizontal="right" vertical="center"/>
    </xf>
    <xf numFmtId="0" fontId="241" fillId="94" borderId="232" applyBorder="0" applyProtection="0">
      <alignment horizontal="centerContinuous" vertical="center"/>
    </xf>
    <xf numFmtId="0" fontId="241" fillId="94" borderId="256" applyBorder="0" applyProtection="0">
      <alignment horizontal="centerContinuous" vertical="center"/>
    </xf>
    <xf numFmtId="0" fontId="166" fillId="0" borderId="256">
      <alignment horizontal="center"/>
    </xf>
    <xf numFmtId="186" fontId="146" fillId="3" borderId="256" applyBorder="0">
      <alignment horizontal="left" vertical="center"/>
    </xf>
    <xf numFmtId="0" fontId="214" fillId="0" borderId="250" applyNumberFormat="0" applyFont="0" applyFill="0" applyAlignment="0" applyProtection="0"/>
    <xf numFmtId="0" fontId="78" fillId="14" borderId="246" applyFont="0" applyFill="0" applyBorder="0" applyAlignment="0" applyProtection="0"/>
    <xf numFmtId="0" fontId="78" fillId="14" borderId="172" applyFont="0" applyFill="0" applyBorder="0" applyAlignment="0" applyProtection="0"/>
    <xf numFmtId="0" fontId="25" fillId="10" borderId="89" applyNumberFormat="0" applyProtection="0">
      <alignment horizontal="left" vertical="top"/>
    </xf>
    <xf numFmtId="0" fontId="25" fillId="10" borderId="87" applyNumberFormat="0" applyProtection="0">
      <alignment horizontal="left" vertical="top"/>
    </xf>
    <xf numFmtId="0" fontId="25" fillId="10" borderId="83" applyNumberFormat="0" applyProtection="0">
      <alignment horizontal="left" vertical="top"/>
    </xf>
    <xf numFmtId="0" fontId="25" fillId="10" borderId="82" applyNumberFormat="0" applyProtection="0">
      <alignment horizontal="left" vertical="top"/>
    </xf>
    <xf numFmtId="186" fontId="140" fillId="3" borderId="272">
      <alignment horizontal="center" vertical="center"/>
    </xf>
    <xf numFmtId="0" fontId="214" fillId="0" borderId="68" applyNumberFormat="0" applyFont="0" applyFill="0" applyAlignment="0" applyProtection="0"/>
    <xf numFmtId="0" fontId="2" fillId="0" borderId="66" applyNumberFormat="0" applyAlignment="0" applyProtection="0"/>
    <xf numFmtId="186" fontId="140" fillId="3" borderId="54">
      <alignment horizontal="center" vertical="center"/>
    </xf>
    <xf numFmtId="186" fontId="146" fillId="3" borderId="51">
      <alignment horizontal="left"/>
    </xf>
    <xf numFmtId="186" fontId="146" fillId="3" borderId="271">
      <alignment horizontal="left"/>
    </xf>
    <xf numFmtId="0" fontId="75" fillId="0" borderId="44" applyNumberFormat="0" applyFont="0" applyFill="0" applyAlignment="0" applyProtection="0"/>
    <xf numFmtId="0" fontId="75" fillId="0" borderId="269" applyNumberFormat="0" applyFont="0" applyFill="0" applyAlignment="0" applyProtection="0"/>
    <xf numFmtId="222" fontId="79" fillId="0" borderId="183" applyBorder="0"/>
    <xf numFmtId="222" fontId="79" fillId="0" borderId="183" applyBorder="0"/>
    <xf numFmtId="0" fontId="25" fillId="10" borderId="275" applyNumberFormat="0" applyProtection="0">
      <alignment horizontal="left" vertical="top"/>
    </xf>
    <xf numFmtId="0" fontId="2" fillId="0" borderId="273" applyNumberFormat="0" applyAlignment="0" applyProtection="0"/>
    <xf numFmtId="246" fontId="250" fillId="0" borderId="208" applyFill="0" applyProtection="0">
      <alignment horizontal="center"/>
    </xf>
    <xf numFmtId="246" fontId="249" fillId="0" borderId="208" applyFill="0" applyProtection="0">
      <alignment horizontal="center"/>
    </xf>
    <xf numFmtId="0" fontId="241" fillId="94" borderId="208" applyBorder="0" applyProtection="0">
      <alignment horizontal="centerContinuous" vertical="center"/>
    </xf>
    <xf numFmtId="254" fontId="240" fillId="0" borderId="208" applyBorder="0" applyProtection="0">
      <alignment horizontal="right" vertical="center"/>
    </xf>
    <xf numFmtId="0" fontId="210" fillId="0" borderId="208" applyNumberFormat="0" applyFill="0" applyBorder="0" applyAlignment="0">
      <protection locked="0"/>
    </xf>
    <xf numFmtId="264" fontId="12" fillId="14" borderId="208" applyFont="0" applyFill="0" applyBorder="0" applyAlignment="0" applyProtection="0">
      <alignment horizontal="right"/>
    </xf>
    <xf numFmtId="0" fontId="166" fillId="0" borderId="208">
      <alignment horizontal="center"/>
    </xf>
    <xf numFmtId="0" fontId="165" fillId="0" borderId="208" applyFill="0" applyProtection="0">
      <alignment horizontal="center"/>
    </xf>
    <xf numFmtId="186" fontId="146" fillId="3" borderId="208" applyBorder="0">
      <alignment horizontal="left" vertical="center"/>
    </xf>
    <xf numFmtId="180" fontId="9" fillId="3" borderId="208">
      <alignment horizontal="right" vertical="center"/>
    </xf>
    <xf numFmtId="192" fontId="9" fillId="3" borderId="208">
      <alignment horizontal="right" vertical="center"/>
    </xf>
    <xf numFmtId="248" fontId="46" fillId="0" borderId="208"/>
    <xf numFmtId="0" fontId="12" fillId="0" borderId="208" applyNumberFormat="0" applyFill="0" applyBorder="0" applyAlignment="0" applyProtection="0">
      <alignment horizontal="center"/>
    </xf>
    <xf numFmtId="0" fontId="113" fillId="0" borderId="208" applyNumberFormat="0" applyFill="0" applyAlignment="0" applyProtection="0"/>
    <xf numFmtId="222" fontId="79" fillId="0" borderId="207" applyBorder="0"/>
    <xf numFmtId="0" fontId="101" fillId="0" borderId="208" applyBorder="0"/>
    <xf numFmtId="222" fontId="79" fillId="0" borderId="207" applyBorder="0"/>
    <xf numFmtId="0" fontId="75" fillId="0" borderId="197" applyNumberFormat="0" applyFont="0" applyFill="0" applyAlignment="0" applyProtection="0"/>
    <xf numFmtId="186" fontId="146" fillId="3" borderId="199">
      <alignment horizontal="left"/>
    </xf>
    <xf numFmtId="186" fontId="140" fillId="3" borderId="200">
      <alignment horizontal="center" vertical="center"/>
    </xf>
    <xf numFmtId="0" fontId="2" fillId="0" borderId="201" applyNumberFormat="0" applyAlignment="0" applyProtection="0"/>
    <xf numFmtId="0" fontId="214" fillId="0" borderId="202" applyNumberFormat="0" applyFont="0" applyFill="0" applyAlignment="0" applyProtection="0"/>
    <xf numFmtId="0" fontId="25" fillId="10" borderId="203" applyNumberFormat="0" applyProtection="0">
      <alignment horizontal="left" vertical="top"/>
    </xf>
    <xf numFmtId="0" fontId="25" fillId="10" borderId="204" applyNumberFormat="0" applyProtection="0">
      <alignment horizontal="left" vertical="top"/>
    </xf>
    <xf numFmtId="0" fontId="25" fillId="10" borderId="205" applyNumberFormat="0" applyProtection="0">
      <alignment horizontal="left" vertical="top"/>
    </xf>
    <xf numFmtId="0" fontId="25" fillId="10" borderId="206" applyNumberFormat="0" applyProtection="0">
      <alignment horizontal="left" vertical="top"/>
    </xf>
    <xf numFmtId="0" fontId="78" fillId="14" borderId="198" applyFont="0" applyFill="0" applyBorder="0" applyAlignment="0" applyProtection="0"/>
    <xf numFmtId="222" fontId="79" fillId="0" borderId="195" applyBorder="0"/>
    <xf numFmtId="0" fontId="78" fillId="14" borderId="172" applyFont="0" applyFill="0" applyBorder="0" applyAlignment="0" applyProtection="0"/>
    <xf numFmtId="222" fontId="79" fillId="0" borderId="183" applyBorder="0"/>
    <xf numFmtId="0" fontId="78" fillId="14" borderId="186" applyFont="0" applyFill="0" applyBorder="0" applyAlignment="0" applyProtection="0"/>
    <xf numFmtId="0" fontId="25" fillId="10" borderId="194" applyNumberFormat="0" applyProtection="0">
      <alignment horizontal="left" vertical="top"/>
    </xf>
    <xf numFmtId="0" fontId="25" fillId="10" borderId="193" applyNumberFormat="0" applyProtection="0">
      <alignment horizontal="left" vertical="top"/>
    </xf>
    <xf numFmtId="0" fontId="25" fillId="10" borderId="192" applyNumberFormat="0" applyProtection="0">
      <alignment horizontal="left" vertical="top"/>
    </xf>
    <xf numFmtId="0" fontId="25" fillId="10" borderId="191" applyNumberFormat="0" applyProtection="0">
      <alignment horizontal="left" vertical="top"/>
    </xf>
    <xf numFmtId="0" fontId="214" fillId="0" borderId="190" applyNumberFormat="0" applyFont="0" applyFill="0" applyAlignment="0" applyProtection="0"/>
    <xf numFmtId="0" fontId="2" fillId="0" borderId="66" applyNumberFormat="0" applyAlignment="0" applyProtection="0"/>
    <xf numFmtId="186" fontId="140" fillId="3" borderId="188">
      <alignment horizontal="center" vertical="center"/>
    </xf>
    <xf numFmtId="186" fontId="146" fillId="3" borderId="187">
      <alignment horizontal="left"/>
    </xf>
    <xf numFmtId="0" fontId="75" fillId="0" borderId="185" applyNumberFormat="0" applyFont="0" applyFill="0" applyAlignment="0" applyProtection="0"/>
    <xf numFmtId="222" fontId="79" fillId="0" borderId="195" applyBorder="0"/>
    <xf numFmtId="0" fontId="101" fillId="0" borderId="196" applyBorder="0"/>
    <xf numFmtId="222" fontId="79" fillId="0" borderId="195" applyBorder="0"/>
    <xf numFmtId="0" fontId="113" fillId="0" borderId="196" applyNumberFormat="0" applyFill="0" applyAlignment="0" applyProtection="0"/>
    <xf numFmtId="0" fontId="12" fillId="0" borderId="196" applyNumberFormat="0" applyFill="0" applyBorder="0" applyAlignment="0" applyProtection="0">
      <alignment horizontal="center"/>
    </xf>
    <xf numFmtId="248" fontId="46" fillId="0" borderId="196"/>
    <xf numFmtId="192" fontId="9" fillId="3" borderId="196">
      <alignment horizontal="right" vertical="center"/>
    </xf>
    <xf numFmtId="180" fontId="9" fillId="3" borderId="196">
      <alignment horizontal="right" vertical="center"/>
    </xf>
    <xf numFmtId="186" fontId="146" fillId="3" borderId="196" applyBorder="0">
      <alignment horizontal="left" vertical="center"/>
    </xf>
    <xf numFmtId="0" fontId="165" fillId="0" borderId="196" applyFill="0" applyProtection="0">
      <alignment horizontal="center"/>
    </xf>
    <xf numFmtId="0" fontId="166" fillId="0" borderId="196">
      <alignment horizontal="center"/>
    </xf>
    <xf numFmtId="264" fontId="12" fillId="14" borderId="196" applyFont="0" applyFill="0" applyBorder="0" applyAlignment="0" applyProtection="0">
      <alignment horizontal="right"/>
    </xf>
    <xf numFmtId="0" fontId="210" fillId="0" borderId="196" applyNumberFormat="0" applyFill="0" applyBorder="0" applyAlignment="0">
      <protection locked="0"/>
    </xf>
    <xf numFmtId="254" fontId="240" fillId="0" borderId="196" applyBorder="0" applyProtection="0">
      <alignment horizontal="right" vertical="center"/>
    </xf>
    <xf numFmtId="0" fontId="241" fillId="94" borderId="196" applyBorder="0" applyProtection="0">
      <alignment horizontal="centerContinuous" vertical="center"/>
    </xf>
    <xf numFmtId="246" fontId="249" fillId="0" borderId="196" applyFill="0" applyProtection="0">
      <alignment horizontal="center"/>
    </xf>
    <xf numFmtId="246" fontId="250" fillId="0" borderId="196" applyFill="0" applyProtection="0">
      <alignment horizontal="center"/>
    </xf>
    <xf numFmtId="0" fontId="241" fillId="94" borderId="280" applyBorder="0" applyProtection="0">
      <alignment horizontal="centerContinuous" vertical="center"/>
    </xf>
    <xf numFmtId="0" fontId="166" fillId="0" borderId="280">
      <alignment horizontal="center"/>
    </xf>
    <xf numFmtId="0" fontId="2" fillId="0" borderId="213" applyNumberFormat="0" applyAlignment="0" applyProtection="0"/>
    <xf numFmtId="0" fontId="214" fillId="0" borderId="214" applyNumberFormat="0" applyFont="0" applyFill="0" applyAlignment="0" applyProtection="0"/>
    <xf numFmtId="246" fontId="250" fillId="0" borderId="220" applyFill="0" applyProtection="0">
      <alignment horizontal="center"/>
    </xf>
    <xf numFmtId="246" fontId="249" fillId="0" borderId="220" applyFill="0" applyProtection="0">
      <alignment horizontal="center"/>
    </xf>
    <xf numFmtId="0" fontId="241" fillId="94" borderId="220" applyBorder="0" applyProtection="0">
      <alignment horizontal="centerContinuous" vertical="center"/>
    </xf>
    <xf numFmtId="254" fontId="240" fillId="0" borderId="220" applyBorder="0" applyProtection="0">
      <alignment horizontal="right" vertical="center"/>
    </xf>
    <xf numFmtId="0" fontId="210" fillId="0" borderId="220" applyNumberFormat="0" applyFill="0" applyBorder="0" applyAlignment="0">
      <protection locked="0"/>
    </xf>
    <xf numFmtId="264" fontId="12" fillId="14" borderId="220" applyFont="0" applyFill="0" applyBorder="0" applyAlignment="0" applyProtection="0">
      <alignment horizontal="right"/>
    </xf>
    <xf numFmtId="0" fontId="166" fillId="0" borderId="220">
      <alignment horizontal="center"/>
    </xf>
    <xf numFmtId="0" fontId="165" fillId="0" borderId="220" applyFill="0" applyProtection="0">
      <alignment horizontal="center"/>
    </xf>
    <xf numFmtId="186" fontId="146" fillId="3" borderId="220" applyBorder="0">
      <alignment horizontal="left" vertical="center"/>
    </xf>
    <xf numFmtId="180" fontId="9" fillId="3" borderId="220">
      <alignment horizontal="right" vertical="center"/>
    </xf>
    <xf numFmtId="192" fontId="9" fillId="3" borderId="220">
      <alignment horizontal="right" vertical="center"/>
    </xf>
    <xf numFmtId="248" fontId="46" fillId="0" borderId="220"/>
    <xf numFmtId="0" fontId="12" fillId="0" borderId="220" applyNumberFormat="0" applyFill="0" applyBorder="0" applyAlignment="0" applyProtection="0">
      <alignment horizontal="center"/>
    </xf>
    <xf numFmtId="0" fontId="113" fillId="0" borderId="220" applyNumberFormat="0" applyFill="0" applyAlignment="0" applyProtection="0"/>
    <xf numFmtId="222" fontId="79" fillId="0" borderId="219" applyBorder="0"/>
    <xf numFmtId="0" fontId="101" fillId="0" borderId="220" applyBorder="0"/>
    <xf numFmtId="222" fontId="79" fillId="0" borderId="219" applyBorder="0"/>
    <xf numFmtId="0" fontId="75" fillId="0" borderId="209" applyNumberFormat="0" applyFont="0" applyFill="0" applyAlignment="0" applyProtection="0"/>
    <xf numFmtId="186" fontId="146" fillId="3" borderId="211">
      <alignment horizontal="left"/>
    </xf>
    <xf numFmtId="186" fontId="140" fillId="3" borderId="212">
      <alignment horizontal="center" vertical="center"/>
    </xf>
    <xf numFmtId="0" fontId="2" fillId="0" borderId="213" applyNumberFormat="0" applyAlignment="0" applyProtection="0"/>
    <xf numFmtId="0" fontId="214" fillId="0" borderId="214" applyNumberFormat="0" applyFont="0" applyFill="0" applyAlignment="0" applyProtection="0"/>
    <xf numFmtId="0" fontId="25" fillId="10" borderId="215" applyNumberFormat="0" applyProtection="0">
      <alignment horizontal="left" vertical="top"/>
    </xf>
    <xf numFmtId="0" fontId="25" fillId="10" borderId="216" applyNumberFormat="0" applyProtection="0">
      <alignment horizontal="left" vertical="top"/>
    </xf>
    <xf numFmtId="0" fontId="25" fillId="10" borderId="217" applyNumberFormat="0" applyProtection="0">
      <alignment horizontal="left" vertical="top"/>
    </xf>
    <xf numFmtId="0" fontId="25" fillId="10" borderId="218" applyNumberFormat="0" applyProtection="0">
      <alignment horizontal="left" vertical="top"/>
    </xf>
    <xf numFmtId="0" fontId="78" fillId="14" borderId="210" applyFont="0" applyFill="0" applyBorder="0" applyAlignment="0" applyProtection="0"/>
    <xf numFmtId="222" fontId="79" fillId="0" borderId="207" applyBorder="0"/>
    <xf numFmtId="0" fontId="78" fillId="14" borderId="222" applyFont="0" applyFill="0" applyBorder="0" applyAlignment="0" applyProtection="0"/>
    <xf numFmtId="186" fontId="146" fillId="3" borderId="211">
      <alignment horizontal="left"/>
    </xf>
    <xf numFmtId="0" fontId="78" fillId="14" borderId="198" applyFont="0" applyFill="0" applyBorder="0" applyAlignment="0" applyProtection="0"/>
    <xf numFmtId="222" fontId="79" fillId="0" borderId="207" applyBorder="0"/>
    <xf numFmtId="0" fontId="2" fillId="0" borderId="225" applyNumberFormat="0" applyAlignment="0" applyProtection="0"/>
    <xf numFmtId="0" fontId="78" fillId="14" borderId="198" applyFont="0" applyFill="0" applyBorder="0" applyAlignment="0" applyProtection="0"/>
    <xf numFmtId="0" fontId="25" fillId="10" borderId="206" applyNumberFormat="0" applyProtection="0">
      <alignment horizontal="left" vertical="top"/>
    </xf>
    <xf numFmtId="0" fontId="25" fillId="10" borderId="205" applyNumberFormat="0" applyProtection="0">
      <alignment horizontal="left" vertical="top"/>
    </xf>
    <xf numFmtId="0" fontId="25" fillId="10" borderId="204" applyNumberFormat="0" applyProtection="0">
      <alignment horizontal="left" vertical="top"/>
    </xf>
    <xf numFmtId="0" fontId="25" fillId="10" borderId="203" applyNumberFormat="0" applyProtection="0">
      <alignment horizontal="left" vertical="top"/>
    </xf>
    <xf numFmtId="0" fontId="25" fillId="10" borderId="228" applyNumberFormat="0" applyProtection="0">
      <alignment horizontal="left" vertical="top"/>
    </xf>
    <xf numFmtId="0" fontId="214" fillId="0" borderId="202" applyNumberFormat="0" applyFont="0" applyFill="0" applyAlignment="0" applyProtection="0"/>
    <xf numFmtId="0" fontId="2" fillId="0" borderId="201" applyNumberFormat="0" applyAlignment="0" applyProtection="0"/>
    <xf numFmtId="186" fontId="140" fillId="3" borderId="200">
      <alignment horizontal="center" vertical="center"/>
    </xf>
    <xf numFmtId="186" fontId="146" fillId="3" borderId="199">
      <alignment horizontal="left"/>
    </xf>
    <xf numFmtId="0" fontId="25" fillId="10" borderId="230" applyNumberFormat="0" applyProtection="0">
      <alignment horizontal="left" vertical="top"/>
    </xf>
    <xf numFmtId="0" fontId="75" fillId="0" borderId="197" applyNumberFormat="0" applyFont="0" applyFill="0" applyAlignment="0" applyProtection="0"/>
    <xf numFmtId="222" fontId="79" fillId="0" borderId="207" applyBorder="0"/>
    <xf numFmtId="0" fontId="101" fillId="0" borderId="208" applyBorder="0"/>
    <xf numFmtId="222" fontId="79" fillId="0" borderId="207" applyBorder="0"/>
    <xf numFmtId="0" fontId="113" fillId="0" borderId="208" applyNumberFormat="0" applyFill="0" applyAlignment="0" applyProtection="0"/>
    <xf numFmtId="0" fontId="12" fillId="0" borderId="208" applyNumberFormat="0" applyFill="0" applyBorder="0" applyAlignment="0" applyProtection="0">
      <alignment horizontal="center"/>
    </xf>
    <xf numFmtId="248" fontId="46" fillId="0" borderId="208"/>
    <xf numFmtId="192" fontId="9" fillId="3" borderId="208">
      <alignment horizontal="right" vertical="center"/>
    </xf>
    <xf numFmtId="180" fontId="9" fillId="3" borderId="208">
      <alignment horizontal="right" vertical="center"/>
    </xf>
    <xf numFmtId="186" fontId="146" fillId="3" borderId="208" applyBorder="0">
      <alignment horizontal="left" vertical="center"/>
    </xf>
    <xf numFmtId="0" fontId="165" fillId="0" borderId="208" applyFill="0" applyProtection="0">
      <alignment horizontal="center"/>
    </xf>
    <xf numFmtId="0" fontId="166" fillId="0" borderId="208">
      <alignment horizontal="center"/>
    </xf>
    <xf numFmtId="264" fontId="12" fillId="14" borderId="208" applyFont="0" applyFill="0" applyBorder="0" applyAlignment="0" applyProtection="0">
      <alignment horizontal="right"/>
    </xf>
    <xf numFmtId="0" fontId="210" fillId="0" borderId="208" applyNumberFormat="0" applyFill="0" applyBorder="0" applyAlignment="0">
      <protection locked="0"/>
    </xf>
    <xf numFmtId="254" fontId="240" fillId="0" borderId="208" applyBorder="0" applyProtection="0">
      <alignment horizontal="right" vertical="center"/>
    </xf>
    <xf numFmtId="0" fontId="241" fillId="94" borderId="208" applyBorder="0" applyProtection="0">
      <alignment horizontal="centerContinuous" vertical="center"/>
    </xf>
    <xf numFmtId="246" fontId="249" fillId="0" borderId="208" applyFill="0" applyProtection="0">
      <alignment horizontal="center"/>
    </xf>
    <xf numFmtId="246" fontId="250" fillId="0" borderId="208" applyFill="0" applyProtection="0">
      <alignment horizontal="center"/>
    </xf>
    <xf numFmtId="186" fontId="140" fillId="3" borderId="224">
      <alignment horizontal="center" vertical="center"/>
    </xf>
    <xf numFmtId="0" fontId="78" fillId="14" borderId="210" applyFont="0" applyFill="0" applyBorder="0" applyAlignment="0" applyProtection="0"/>
    <xf numFmtId="222" fontId="79" fillId="0" borderId="231" applyBorder="0"/>
    <xf numFmtId="0" fontId="78" fillId="14" borderId="234" applyFont="0" applyFill="0" applyBorder="0" applyAlignment="0" applyProtection="0"/>
    <xf numFmtId="0" fontId="25" fillId="10" borderId="242" applyNumberFormat="0" applyProtection="0">
      <alignment horizontal="left" vertical="top"/>
    </xf>
    <xf numFmtId="0" fontId="25" fillId="10" borderId="241" applyNumberFormat="0" applyProtection="0">
      <alignment horizontal="left" vertical="top"/>
    </xf>
    <xf numFmtId="0" fontId="25" fillId="10" borderId="240" applyNumberFormat="0" applyProtection="0">
      <alignment horizontal="left" vertical="top"/>
    </xf>
    <xf numFmtId="0" fontId="25" fillId="10" borderId="239" applyNumberFormat="0" applyProtection="0">
      <alignment horizontal="left" vertical="top"/>
    </xf>
    <xf numFmtId="0" fontId="214" fillId="0" borderId="238" applyNumberFormat="0" applyFont="0" applyFill="0" applyAlignment="0" applyProtection="0"/>
    <xf numFmtId="0" fontId="2" fillId="0" borderId="237" applyNumberFormat="0" applyAlignment="0" applyProtection="0"/>
    <xf numFmtId="186" fontId="140" fillId="3" borderId="236">
      <alignment horizontal="center" vertical="center"/>
    </xf>
    <xf numFmtId="186" fontId="146" fillId="3" borderId="235">
      <alignment horizontal="left"/>
    </xf>
    <xf numFmtId="0" fontId="75" fillId="0" borderId="233" applyNumberFormat="0" applyFont="0" applyFill="0" applyAlignment="0" applyProtection="0"/>
    <xf numFmtId="222" fontId="79" fillId="0" borderId="243" applyBorder="0"/>
    <xf numFmtId="0" fontId="101" fillId="0" borderId="244" applyBorder="0"/>
    <xf numFmtId="222" fontId="79" fillId="0" borderId="243" applyBorder="0"/>
    <xf numFmtId="0" fontId="113" fillId="0" borderId="244" applyNumberFormat="0" applyFill="0" applyAlignment="0" applyProtection="0"/>
    <xf numFmtId="0" fontId="12" fillId="0" borderId="244" applyNumberFormat="0" applyFill="0" applyBorder="0" applyAlignment="0" applyProtection="0">
      <alignment horizontal="center"/>
    </xf>
    <xf numFmtId="248" fontId="46" fillId="0" borderId="244"/>
    <xf numFmtId="192" fontId="9" fillId="3" borderId="244">
      <alignment horizontal="right" vertical="center"/>
    </xf>
    <xf numFmtId="180" fontId="9" fillId="3" borderId="244">
      <alignment horizontal="right" vertical="center"/>
    </xf>
    <xf numFmtId="186" fontId="146" fillId="3" borderId="244" applyBorder="0">
      <alignment horizontal="left" vertical="center"/>
    </xf>
    <xf numFmtId="0" fontId="165" fillId="0" borderId="244" applyFill="0" applyProtection="0">
      <alignment horizontal="center"/>
    </xf>
    <xf numFmtId="0" fontId="166" fillId="0" borderId="244">
      <alignment horizontal="center"/>
    </xf>
    <xf numFmtId="264" fontId="12" fillId="14" borderId="244" applyFont="0" applyFill="0" applyBorder="0" applyAlignment="0" applyProtection="0">
      <alignment horizontal="right"/>
    </xf>
    <xf numFmtId="0" fontId="210" fillId="0" borderId="244" applyNumberFormat="0" applyFill="0" applyBorder="0" applyAlignment="0">
      <protection locked="0"/>
    </xf>
    <xf numFmtId="254" fontId="240" fillId="0" borderId="244" applyBorder="0" applyProtection="0">
      <alignment horizontal="right" vertical="center"/>
    </xf>
    <xf numFmtId="0" fontId="241" fillId="94" borderId="244" applyBorder="0" applyProtection="0">
      <alignment horizontal="centerContinuous" vertical="center"/>
    </xf>
    <xf numFmtId="246" fontId="249" fillId="0" borderId="244" applyFill="0" applyProtection="0">
      <alignment horizontal="center"/>
    </xf>
    <xf numFmtId="246" fontId="250" fillId="0" borderId="244" applyFill="0" applyProtection="0">
      <alignment horizontal="center"/>
    </xf>
    <xf numFmtId="222" fontId="79" fillId="0" borderId="255" applyBorder="0"/>
    <xf numFmtId="0" fontId="78" fillId="14" borderId="258" applyFont="0" applyFill="0" applyBorder="0" applyAlignment="0" applyProtection="0"/>
    <xf numFmtId="0" fontId="25" fillId="10" borderId="266" applyNumberFormat="0" applyProtection="0">
      <alignment horizontal="left" vertical="top"/>
    </xf>
    <xf numFmtId="0" fontId="25" fillId="10" borderId="265" applyNumberFormat="0" applyProtection="0">
      <alignment horizontal="left" vertical="top"/>
    </xf>
    <xf numFmtId="0" fontId="25" fillId="10" borderId="264" applyNumberFormat="0" applyProtection="0">
      <alignment horizontal="left" vertical="top"/>
    </xf>
    <xf numFmtId="0" fontId="25" fillId="10" borderId="263" applyNumberFormat="0" applyProtection="0">
      <alignment horizontal="left" vertical="top"/>
    </xf>
    <xf numFmtId="0" fontId="214" fillId="0" borderId="262" applyNumberFormat="0" applyFont="0" applyFill="0" applyAlignment="0" applyProtection="0"/>
    <xf numFmtId="0" fontId="2" fillId="0" borderId="261" applyNumberFormat="0" applyAlignment="0" applyProtection="0"/>
    <xf numFmtId="186" fontId="140" fillId="3" borderId="260">
      <alignment horizontal="center" vertical="center"/>
    </xf>
    <xf numFmtId="186" fontId="146" fillId="3" borderId="259">
      <alignment horizontal="left"/>
    </xf>
    <xf numFmtId="0" fontId="75" fillId="0" borderId="257" applyNumberFormat="0" applyFont="0" applyFill="0" applyAlignment="0" applyProtection="0"/>
    <xf numFmtId="222" fontId="79" fillId="0" borderId="267" applyBorder="0"/>
    <xf numFmtId="0" fontId="101" fillId="0" borderId="268" applyBorder="0"/>
    <xf numFmtId="222" fontId="79" fillId="0" borderId="267" applyBorder="0"/>
    <xf numFmtId="0" fontId="113" fillId="0" borderId="268" applyNumberFormat="0" applyFill="0" applyAlignment="0" applyProtection="0"/>
    <xf numFmtId="0" fontId="12" fillId="0" borderId="268" applyNumberFormat="0" applyFill="0" applyBorder="0" applyAlignment="0" applyProtection="0">
      <alignment horizontal="center"/>
    </xf>
    <xf numFmtId="248" fontId="46" fillId="0" borderId="268"/>
    <xf numFmtId="192" fontId="9" fillId="3" borderId="268">
      <alignment horizontal="right" vertical="center"/>
    </xf>
    <xf numFmtId="180" fontId="9" fillId="3" borderId="268">
      <alignment horizontal="right" vertical="center"/>
    </xf>
    <xf numFmtId="186" fontId="146" fillId="3" borderId="268" applyBorder="0">
      <alignment horizontal="left" vertical="center"/>
    </xf>
    <xf numFmtId="0" fontId="165" fillId="0" borderId="268" applyFill="0" applyProtection="0">
      <alignment horizontal="center"/>
    </xf>
    <xf numFmtId="0" fontId="166" fillId="0" borderId="268">
      <alignment horizontal="center"/>
    </xf>
    <xf numFmtId="264" fontId="12" fillId="14" borderId="268" applyFont="0" applyFill="0" applyBorder="0" applyAlignment="0" applyProtection="0">
      <alignment horizontal="right"/>
    </xf>
    <xf numFmtId="0" fontId="210" fillId="0" borderId="268" applyNumberFormat="0" applyFill="0" applyBorder="0" applyAlignment="0">
      <protection locked="0"/>
    </xf>
    <xf numFmtId="254" fontId="240" fillId="0" borderId="268" applyBorder="0" applyProtection="0">
      <alignment horizontal="right" vertical="center"/>
    </xf>
    <xf numFmtId="0" fontId="241" fillId="94" borderId="268" applyBorder="0" applyProtection="0">
      <alignment horizontal="centerContinuous" vertical="center"/>
    </xf>
    <xf numFmtId="246" fontId="249" fillId="0" borderId="268" applyFill="0" applyProtection="0">
      <alignment horizontal="center"/>
    </xf>
    <xf numFmtId="246" fontId="250" fillId="0" borderId="268" applyFill="0" applyProtection="0">
      <alignment horizontal="center"/>
    </xf>
    <xf numFmtId="0" fontId="75" fillId="0" borderId="281" applyNumberFormat="0" applyFont="0" applyFill="0" applyAlignment="0" applyProtection="0"/>
    <xf numFmtId="0" fontId="78" fillId="14" borderId="282" applyFont="0" applyFill="0" applyBorder="0" applyAlignment="0" applyProtection="0"/>
    <xf numFmtId="186" fontId="146" fillId="3" borderId="283">
      <alignment horizontal="left"/>
    </xf>
    <xf numFmtId="186" fontId="140" fillId="3" borderId="284">
      <alignment horizontal="center" vertical="center"/>
    </xf>
    <xf numFmtId="0" fontId="2" fillId="0" borderId="285" applyNumberFormat="0" applyAlignment="0" applyProtection="0"/>
    <xf numFmtId="0" fontId="214" fillId="0" borderId="286" applyNumberFormat="0" applyFont="0" applyFill="0" applyAlignment="0" applyProtection="0"/>
    <xf numFmtId="0" fontId="25" fillId="10" borderId="287" applyNumberFormat="0" applyProtection="0">
      <alignment horizontal="left" vertical="top"/>
    </xf>
    <xf numFmtId="0" fontId="25" fillId="10" borderId="288" applyNumberFormat="0" applyProtection="0">
      <alignment horizontal="left" vertical="top"/>
    </xf>
    <xf numFmtId="0" fontId="25" fillId="10" borderId="289" applyNumberFormat="0" applyProtection="0">
      <alignment horizontal="left" vertical="top"/>
    </xf>
    <xf numFmtId="0" fontId="25" fillId="10" borderId="290" applyNumberFormat="0" applyProtection="0">
      <alignment horizontal="left" vertical="top"/>
    </xf>
    <xf numFmtId="246" fontId="250" fillId="0" borderId="280" applyFill="0" applyProtection="0">
      <alignment horizontal="center"/>
    </xf>
    <xf numFmtId="246" fontId="249" fillId="0" borderId="280" applyFill="0" applyProtection="0">
      <alignment horizontal="center"/>
    </xf>
    <xf numFmtId="0" fontId="241" fillId="94" borderId="280" applyBorder="0" applyProtection="0">
      <alignment horizontal="centerContinuous" vertical="center"/>
    </xf>
    <xf numFmtId="254" fontId="240" fillId="0" borderId="280" applyBorder="0" applyProtection="0">
      <alignment horizontal="right" vertical="center"/>
    </xf>
    <xf numFmtId="0" fontId="210" fillId="0" borderId="280" applyNumberFormat="0" applyFill="0" applyBorder="0" applyAlignment="0">
      <protection locked="0"/>
    </xf>
    <xf numFmtId="264" fontId="12" fillId="14" borderId="280" applyFont="0" applyFill="0" applyBorder="0" applyAlignment="0" applyProtection="0">
      <alignment horizontal="right"/>
    </xf>
    <xf numFmtId="0" fontId="166" fillId="0" borderId="280">
      <alignment horizontal="center"/>
    </xf>
    <xf numFmtId="0" fontId="165" fillId="0" borderId="280" applyFill="0" applyProtection="0">
      <alignment horizontal="center"/>
    </xf>
    <xf numFmtId="186" fontId="146" fillId="3" borderId="280" applyBorder="0">
      <alignment horizontal="left" vertical="center"/>
    </xf>
    <xf numFmtId="180" fontId="9" fillId="3" borderId="280">
      <alignment horizontal="right" vertical="center"/>
    </xf>
    <xf numFmtId="192" fontId="9" fillId="3" borderId="280">
      <alignment horizontal="right" vertical="center"/>
    </xf>
    <xf numFmtId="0" fontId="12" fillId="0" borderId="280" applyNumberFormat="0" applyFill="0" applyBorder="0" applyAlignment="0" applyProtection="0">
      <alignment horizontal="center"/>
    </xf>
    <xf numFmtId="0" fontId="113" fillId="0" borderId="280" applyNumberFormat="0" applyFill="0" applyAlignment="0" applyProtection="0"/>
    <xf numFmtId="222" fontId="79" fillId="0" borderId="279" applyBorder="0"/>
    <xf numFmtId="0" fontId="101" fillId="0" borderId="280" applyBorder="0"/>
    <xf numFmtId="248" fontId="46" fillId="0" borderId="280"/>
    <xf numFmtId="0" fontId="101" fillId="0" borderId="280" applyBorder="0"/>
    <xf numFmtId="222" fontId="79" fillId="0" borderId="279" applyBorder="0"/>
    <xf numFmtId="0" fontId="113" fillId="0" borderId="280" applyNumberFormat="0" applyFill="0" applyAlignment="0" applyProtection="0"/>
    <xf numFmtId="0" fontId="75" fillId="0" borderId="281" applyNumberFormat="0" applyFont="0" applyFill="0" applyAlignment="0" applyProtection="0"/>
    <xf numFmtId="0" fontId="12" fillId="0" borderId="280" applyNumberFormat="0" applyFill="0" applyBorder="0" applyAlignment="0" applyProtection="0">
      <alignment horizontal="center"/>
    </xf>
    <xf numFmtId="248" fontId="46" fillId="0" borderId="280"/>
    <xf numFmtId="192" fontId="9" fillId="3" borderId="280">
      <alignment horizontal="right" vertical="center"/>
    </xf>
    <xf numFmtId="180" fontId="9" fillId="3" borderId="280">
      <alignment horizontal="right" vertical="center"/>
    </xf>
    <xf numFmtId="186" fontId="146" fillId="3" borderId="280" applyBorder="0">
      <alignment horizontal="left" vertical="center"/>
    </xf>
    <xf numFmtId="186" fontId="146" fillId="3" borderId="283">
      <alignment horizontal="left"/>
    </xf>
    <xf numFmtId="186" fontId="140" fillId="3" borderId="284">
      <alignment horizontal="center" vertical="center"/>
    </xf>
    <xf numFmtId="0" fontId="165" fillId="0" borderId="280" applyFill="0" applyProtection="0">
      <alignment horizontal="center"/>
    </xf>
    <xf numFmtId="0" fontId="166" fillId="0" borderId="280">
      <alignment horizontal="center"/>
    </xf>
    <xf numFmtId="264" fontId="12" fillId="14" borderId="280" applyFont="0" applyFill="0" applyBorder="0" applyAlignment="0" applyProtection="0">
      <alignment horizontal="right"/>
    </xf>
    <xf numFmtId="0" fontId="210" fillId="0" borderId="280" applyNumberFormat="0" applyFill="0" applyBorder="0" applyAlignment="0">
      <protection locked="0"/>
    </xf>
    <xf numFmtId="0" fontId="2" fillId="0" borderId="285" applyNumberFormat="0" applyAlignment="0" applyProtection="0"/>
    <xf numFmtId="0" fontId="214" fillId="0" borderId="286" applyNumberFormat="0" applyFont="0" applyFill="0" applyAlignment="0" applyProtection="0"/>
    <xf numFmtId="0" fontId="25" fillId="10" borderId="287" applyNumberFormat="0" applyProtection="0">
      <alignment horizontal="left" vertical="top"/>
    </xf>
    <xf numFmtId="0" fontId="25" fillId="10" borderId="288" applyNumberFormat="0" applyProtection="0">
      <alignment horizontal="left" vertical="top"/>
    </xf>
    <xf numFmtId="0" fontId="25" fillId="10" borderId="289" applyNumberFormat="0" applyProtection="0">
      <alignment horizontal="left" vertical="top"/>
    </xf>
    <xf numFmtId="0" fontId="25" fillId="10" borderId="290" applyNumberFormat="0" applyProtection="0">
      <alignment horizontal="left" vertical="top"/>
    </xf>
    <xf numFmtId="0" fontId="25" fillId="10" borderId="287" applyNumberFormat="0" applyProtection="0">
      <alignment horizontal="left" vertical="top"/>
    </xf>
    <xf numFmtId="0" fontId="25" fillId="10" borderId="288" applyNumberFormat="0" applyProtection="0">
      <alignment horizontal="left" vertical="top"/>
    </xf>
    <xf numFmtId="0" fontId="25" fillId="10" borderId="289" applyNumberFormat="0" applyProtection="0">
      <alignment horizontal="left" vertical="top"/>
    </xf>
    <xf numFmtId="0" fontId="25" fillId="10" borderId="290" applyNumberFormat="0" applyProtection="0">
      <alignment horizontal="left" vertical="top"/>
    </xf>
    <xf numFmtId="254" fontId="240" fillId="0" borderId="280" applyBorder="0" applyProtection="0">
      <alignment horizontal="right" vertical="center"/>
    </xf>
    <xf numFmtId="0" fontId="241" fillId="94" borderId="280" applyBorder="0" applyProtection="0">
      <alignment horizontal="centerContinuous" vertical="center"/>
    </xf>
    <xf numFmtId="246" fontId="249" fillId="0" borderId="280" applyFill="0" applyProtection="0">
      <alignment horizontal="center"/>
    </xf>
    <xf numFmtId="246" fontId="250" fillId="0" borderId="280" applyFill="0" applyProtection="0">
      <alignment horizontal="center"/>
    </xf>
    <xf numFmtId="190" fontId="101" fillId="0" borderId="280" applyBorder="0"/>
    <xf numFmtId="190" fontId="113" fillId="0" borderId="280" applyNumberFormat="0" applyFill="0" applyAlignment="0" applyProtection="0"/>
    <xf numFmtId="190" fontId="75" fillId="0" borderId="257" applyNumberFormat="0" applyFont="0" applyFill="0" applyAlignment="0" applyProtection="0"/>
    <xf numFmtId="190" fontId="12" fillId="0" borderId="280" applyNumberFormat="0" applyFill="0" applyBorder="0" applyAlignment="0" applyProtection="0">
      <alignment horizontal="center"/>
    </xf>
    <xf numFmtId="190" fontId="78" fillId="14" borderId="270" applyFont="0" applyFill="0" applyBorder="0" applyAlignment="0" applyProtection="0"/>
    <xf numFmtId="190" fontId="165" fillId="0" borderId="280" applyFill="0" applyProtection="0">
      <alignment horizontal="center"/>
    </xf>
    <xf numFmtId="190" fontId="166" fillId="0" borderId="280">
      <alignment horizontal="center"/>
    </xf>
    <xf numFmtId="190" fontId="210" fillId="0" borderId="280" applyNumberFormat="0" applyFill="0" applyBorder="0" applyAlignment="0">
      <protection locked="0"/>
    </xf>
    <xf numFmtId="190" fontId="2" fillId="0" borderId="261" applyNumberFormat="0" applyAlignment="0" applyProtection="0"/>
    <xf numFmtId="190" fontId="214" fillId="0" borderId="262" applyNumberFormat="0" applyFont="0" applyFill="0" applyAlignment="0" applyProtection="0"/>
    <xf numFmtId="190" fontId="25" fillId="10" borderId="263" applyNumberFormat="0" applyProtection="0">
      <alignment horizontal="left" vertical="top"/>
    </xf>
    <xf numFmtId="190" fontId="25" fillId="10" borderId="264" applyNumberFormat="0" applyProtection="0">
      <alignment horizontal="left" vertical="top"/>
    </xf>
    <xf numFmtId="190" fontId="25" fillId="10" borderId="265" applyNumberFormat="0" applyProtection="0">
      <alignment horizontal="left" vertical="top"/>
    </xf>
    <xf numFmtId="190" fontId="25" fillId="10" borderId="266" applyNumberFormat="0" applyProtection="0">
      <alignment horizontal="left" vertical="top"/>
    </xf>
    <xf numFmtId="190" fontId="241" fillId="94" borderId="280" applyBorder="0" applyProtection="0">
      <alignment horizontal="centerContinuous" vertical="center"/>
    </xf>
    <xf numFmtId="222" fontId="79" fillId="0" borderId="279" applyBorder="0"/>
    <xf numFmtId="0" fontId="101" fillId="0" borderId="280" applyBorder="0"/>
    <xf numFmtId="222" fontId="79" fillId="0" borderId="279" applyBorder="0"/>
    <xf numFmtId="0" fontId="113" fillId="0" borderId="280" applyNumberFormat="0" applyFill="0" applyAlignment="0" applyProtection="0"/>
    <xf numFmtId="0" fontId="75" fillId="0" borderId="257" applyNumberFormat="0" applyFont="0" applyFill="0" applyAlignment="0" applyProtection="0"/>
    <xf numFmtId="0" fontId="12" fillId="0" borderId="280" applyNumberFormat="0" applyFill="0" applyBorder="0" applyAlignment="0" applyProtection="0">
      <alignment horizontal="center"/>
    </xf>
    <xf numFmtId="248" fontId="46" fillId="0" borderId="280"/>
    <xf numFmtId="192" fontId="9" fillId="3" borderId="280">
      <alignment horizontal="right" vertical="center"/>
    </xf>
    <xf numFmtId="180" fontId="9" fillId="3" borderId="280">
      <alignment horizontal="right" vertical="center"/>
    </xf>
    <xf numFmtId="186" fontId="146" fillId="3" borderId="280" applyBorder="0">
      <alignment horizontal="left" vertical="center"/>
    </xf>
    <xf numFmtId="186" fontId="146" fillId="3" borderId="259">
      <alignment horizontal="left"/>
    </xf>
    <xf numFmtId="186" fontId="140" fillId="3" borderId="260">
      <alignment horizontal="center" vertical="center"/>
    </xf>
    <xf numFmtId="0" fontId="165" fillId="0" borderId="280" applyFill="0" applyProtection="0">
      <alignment horizontal="center"/>
    </xf>
    <xf numFmtId="0" fontId="166" fillId="0" borderId="280">
      <alignment horizontal="center"/>
    </xf>
    <xf numFmtId="264" fontId="12" fillId="14" borderId="280" applyFont="0" applyFill="0" applyBorder="0" applyAlignment="0" applyProtection="0">
      <alignment horizontal="right"/>
    </xf>
    <xf numFmtId="0" fontId="210" fillId="0" borderId="280" applyNumberFormat="0" applyFill="0" applyBorder="0" applyAlignment="0">
      <protection locked="0"/>
    </xf>
    <xf numFmtId="0" fontId="2" fillId="0" borderId="261" applyNumberFormat="0" applyAlignment="0" applyProtection="0"/>
    <xf numFmtId="0" fontId="214" fillId="0" borderId="262" applyNumberFormat="0" applyFont="0" applyFill="0" applyAlignment="0" applyProtection="0"/>
    <xf numFmtId="0" fontId="25" fillId="10" borderId="263" applyNumberFormat="0" applyProtection="0">
      <alignment horizontal="left" vertical="top"/>
    </xf>
    <xf numFmtId="0" fontId="25" fillId="10" borderId="264" applyNumberFormat="0" applyProtection="0">
      <alignment horizontal="left" vertical="top"/>
    </xf>
    <xf numFmtId="0" fontId="25" fillId="10" borderId="265" applyNumberFormat="0" applyProtection="0">
      <alignment horizontal="left" vertical="top"/>
    </xf>
    <xf numFmtId="0" fontId="25" fillId="10" borderId="266" applyNumberFormat="0" applyProtection="0">
      <alignment horizontal="left" vertical="top"/>
    </xf>
    <xf numFmtId="0" fontId="25" fillId="10" borderId="263" applyNumberFormat="0" applyProtection="0">
      <alignment horizontal="left" vertical="top"/>
    </xf>
    <xf numFmtId="0" fontId="25" fillId="10" borderId="264" applyNumberFormat="0" applyProtection="0">
      <alignment horizontal="left" vertical="top"/>
    </xf>
    <xf numFmtId="0" fontId="25" fillId="10" borderId="265" applyNumberFormat="0" applyProtection="0">
      <alignment horizontal="left" vertical="top"/>
    </xf>
    <xf numFmtId="0" fontId="25" fillId="10" borderId="266" applyNumberFormat="0" applyProtection="0">
      <alignment horizontal="left" vertical="top"/>
    </xf>
    <xf numFmtId="254" fontId="240" fillId="0" borderId="280" applyBorder="0" applyProtection="0">
      <alignment horizontal="right" vertical="center"/>
    </xf>
    <xf numFmtId="0" fontId="241" fillId="94" borderId="280" applyBorder="0" applyProtection="0">
      <alignment horizontal="centerContinuous" vertical="center"/>
    </xf>
    <xf numFmtId="246" fontId="249" fillId="0" borderId="280" applyFill="0" applyProtection="0">
      <alignment horizontal="center"/>
    </xf>
    <xf numFmtId="246" fontId="250" fillId="0" borderId="280" applyFill="0" applyProtection="0">
      <alignment horizontal="center"/>
    </xf>
    <xf numFmtId="312" fontId="101" fillId="0" borderId="280" applyBorder="0"/>
    <xf numFmtId="312" fontId="113" fillId="0" borderId="280" applyNumberFormat="0" applyFill="0" applyAlignment="0" applyProtection="0"/>
    <xf numFmtId="312" fontId="75" fillId="0" borderId="257" applyNumberFormat="0" applyFont="0" applyFill="0" applyAlignment="0" applyProtection="0"/>
    <xf numFmtId="312" fontId="12" fillId="0" borderId="280" applyNumberFormat="0" applyFill="0" applyBorder="0" applyAlignment="0" applyProtection="0">
      <alignment horizontal="center"/>
    </xf>
    <xf numFmtId="312" fontId="165" fillId="0" borderId="280" applyFill="0" applyProtection="0">
      <alignment horizontal="center"/>
    </xf>
    <xf numFmtId="312" fontId="242" fillId="0" borderId="280">
      <alignment horizontal="center"/>
    </xf>
    <xf numFmtId="312" fontId="210" fillId="0" borderId="280" applyNumberFormat="0" applyFill="0" applyBorder="0" applyAlignment="0">
      <protection locked="0"/>
    </xf>
    <xf numFmtId="312" fontId="2" fillId="0" borderId="261" applyNumberFormat="0" applyAlignment="0" applyProtection="0"/>
    <xf numFmtId="312" fontId="214" fillId="0" borderId="262" applyNumberFormat="0" applyFont="0" applyFill="0" applyAlignment="0" applyProtection="0"/>
    <xf numFmtId="312" fontId="25" fillId="10" borderId="263" applyNumberFormat="0" applyProtection="0">
      <alignment horizontal="left" vertical="top"/>
    </xf>
    <xf numFmtId="312" fontId="25" fillId="10" borderId="264" applyNumberFormat="0" applyProtection="0">
      <alignment horizontal="left" vertical="top"/>
    </xf>
    <xf numFmtId="312" fontId="25" fillId="10" borderId="265" applyNumberFormat="0" applyProtection="0">
      <alignment horizontal="left" vertical="top"/>
    </xf>
    <xf numFmtId="312" fontId="25" fillId="10" borderId="266" applyNumberFormat="0" applyProtection="0">
      <alignment horizontal="left" vertical="top"/>
    </xf>
    <xf numFmtId="312" fontId="241" fillId="94" borderId="280" applyBorder="0" applyProtection="0">
      <alignment horizontal="centerContinuous" vertical="center"/>
    </xf>
    <xf numFmtId="246" fontId="296" fillId="0" borderId="280" applyFill="0" applyProtection="0">
      <alignment horizontal="center"/>
    </xf>
    <xf numFmtId="312" fontId="101" fillId="0" borderId="280" applyBorder="0"/>
    <xf numFmtId="312" fontId="113" fillId="0" borderId="280" applyNumberFormat="0" applyFill="0" applyAlignment="0" applyProtection="0"/>
    <xf numFmtId="312" fontId="75" fillId="0" borderId="257" applyNumberFormat="0" applyFont="0" applyFill="0" applyAlignment="0" applyProtection="0"/>
    <xf numFmtId="312" fontId="12" fillId="0" borderId="280" applyNumberFormat="0" applyFill="0" applyBorder="0" applyAlignment="0" applyProtection="0">
      <alignment horizontal="center"/>
    </xf>
    <xf numFmtId="312" fontId="165" fillId="0" borderId="280" applyFill="0" applyProtection="0">
      <alignment horizontal="center"/>
    </xf>
    <xf numFmtId="312" fontId="242" fillId="0" borderId="280">
      <alignment horizontal="center"/>
    </xf>
    <xf numFmtId="312" fontId="210" fillId="0" borderId="280" applyNumberFormat="0" applyFill="0" applyBorder="0" applyAlignment="0">
      <protection locked="0"/>
    </xf>
    <xf numFmtId="312" fontId="2" fillId="0" borderId="261" applyNumberFormat="0" applyAlignment="0" applyProtection="0"/>
    <xf numFmtId="312" fontId="214" fillId="0" borderId="262" applyNumberFormat="0" applyFont="0" applyFill="0" applyAlignment="0" applyProtection="0"/>
    <xf numFmtId="312" fontId="25" fillId="10" borderId="263" applyNumberFormat="0" applyProtection="0">
      <alignment horizontal="left" vertical="top"/>
    </xf>
    <xf numFmtId="312" fontId="25" fillId="10" borderId="264" applyNumberFormat="0" applyProtection="0">
      <alignment horizontal="left" vertical="top"/>
    </xf>
    <xf numFmtId="312" fontId="25" fillId="10" borderId="265" applyNumberFormat="0" applyProtection="0">
      <alignment horizontal="left" vertical="top"/>
    </xf>
    <xf numFmtId="312" fontId="25" fillId="10" borderId="266" applyNumberFormat="0" applyProtection="0">
      <alignment horizontal="left" vertical="top"/>
    </xf>
    <xf numFmtId="312" fontId="25" fillId="10" borderId="263" applyNumberFormat="0" applyProtection="0">
      <alignment horizontal="left" vertical="top"/>
    </xf>
    <xf numFmtId="312" fontId="25" fillId="10" borderId="264" applyNumberFormat="0" applyProtection="0">
      <alignment horizontal="left" vertical="top"/>
    </xf>
    <xf numFmtId="312" fontId="25" fillId="10" borderId="265" applyNumberFormat="0" applyProtection="0">
      <alignment horizontal="left" vertical="top"/>
    </xf>
    <xf numFmtId="312" fontId="25" fillId="10" borderId="266" applyNumberFormat="0" applyProtection="0">
      <alignment horizontal="left" vertical="top"/>
    </xf>
    <xf numFmtId="312" fontId="241" fillId="94" borderId="280" applyBorder="0" applyProtection="0">
      <alignment horizontal="centerContinuous" vertical="center"/>
    </xf>
    <xf numFmtId="246" fontId="296" fillId="0" borderId="280" applyFill="0" applyProtection="0">
      <alignment horizontal="center"/>
    </xf>
    <xf numFmtId="246" fontId="250" fillId="0" borderId="280" applyFill="0" applyProtection="0">
      <alignment horizontal="center"/>
    </xf>
    <xf numFmtId="246" fontId="249" fillId="0" borderId="280" applyFill="0" applyProtection="0">
      <alignment horizontal="center"/>
    </xf>
    <xf numFmtId="0" fontId="241" fillId="94" borderId="280" applyBorder="0" applyProtection="0">
      <alignment horizontal="centerContinuous" vertical="center"/>
    </xf>
    <xf numFmtId="254" fontId="240" fillId="0" borderId="280" applyBorder="0" applyProtection="0">
      <alignment horizontal="right" vertical="center"/>
    </xf>
    <xf numFmtId="0" fontId="25" fillId="10" borderId="278" applyNumberFormat="0" applyProtection="0">
      <alignment horizontal="left" vertical="top"/>
    </xf>
    <xf numFmtId="0" fontId="25" fillId="10" borderId="277" applyNumberFormat="0" applyProtection="0">
      <alignment horizontal="left" vertical="top"/>
    </xf>
    <xf numFmtId="0" fontId="25" fillId="10" borderId="276" applyNumberFormat="0" applyProtection="0">
      <alignment horizontal="left" vertical="top"/>
    </xf>
    <xf numFmtId="0" fontId="25" fillId="10" borderId="275" applyNumberFormat="0" applyProtection="0">
      <alignment horizontal="left" vertical="top"/>
    </xf>
    <xf numFmtId="0" fontId="214" fillId="0" borderId="274" applyNumberFormat="0" applyFont="0" applyFill="0" applyAlignment="0" applyProtection="0"/>
    <xf numFmtId="0" fontId="2" fillId="0" borderId="273" applyNumberFormat="0" applyAlignment="0" applyProtection="0"/>
    <xf numFmtId="0" fontId="210" fillId="0" borderId="280" applyNumberFormat="0" applyFill="0" applyBorder="0" applyAlignment="0">
      <protection locked="0"/>
    </xf>
    <xf numFmtId="264" fontId="12" fillId="14" borderId="280" applyFont="0" applyFill="0" applyBorder="0" applyAlignment="0" applyProtection="0">
      <alignment horizontal="right"/>
    </xf>
    <xf numFmtId="0" fontId="166" fillId="0" borderId="280">
      <alignment horizontal="center"/>
    </xf>
    <xf numFmtId="0" fontId="165" fillId="0" borderId="280" applyFill="0" applyProtection="0">
      <alignment horizontal="center"/>
    </xf>
    <xf numFmtId="186" fontId="140" fillId="3" borderId="272">
      <alignment horizontal="center" vertical="center"/>
    </xf>
    <xf numFmtId="186" fontId="146" fillId="3" borderId="271">
      <alignment horizontal="left"/>
    </xf>
    <xf numFmtId="186" fontId="146" fillId="3" borderId="280" applyBorder="0">
      <alignment horizontal="left" vertical="center"/>
    </xf>
    <xf numFmtId="180" fontId="9" fillId="3" borderId="280">
      <alignment horizontal="right" vertical="center"/>
    </xf>
    <xf numFmtId="192" fontId="9" fillId="3" borderId="280">
      <alignment horizontal="right" vertical="center"/>
    </xf>
    <xf numFmtId="248" fontId="46" fillId="0" borderId="280"/>
    <xf numFmtId="0" fontId="78" fillId="14" borderId="270" applyFont="0" applyFill="0" applyBorder="0" applyAlignment="0" applyProtection="0"/>
    <xf numFmtId="0" fontId="12" fillId="0" borderId="280" applyNumberFormat="0" applyFill="0" applyBorder="0" applyAlignment="0" applyProtection="0">
      <alignment horizontal="center"/>
    </xf>
    <xf numFmtId="0" fontId="75" fillId="0" borderId="269" applyNumberFormat="0" applyFont="0" applyFill="0" applyAlignment="0" applyProtection="0"/>
    <xf numFmtId="0" fontId="113" fillId="0" borderId="280" applyNumberFormat="0" applyFill="0" applyAlignment="0" applyProtection="0"/>
    <xf numFmtId="222" fontId="79" fillId="0" borderId="279" applyBorder="0"/>
    <xf numFmtId="0" fontId="101" fillId="0" borderId="280" applyBorder="0"/>
    <xf numFmtId="0" fontId="25" fillId="10" borderId="287" applyNumberFormat="0" applyProtection="0">
      <alignment horizontal="left" vertical="top"/>
    </xf>
    <xf numFmtId="0" fontId="25" fillId="10" borderId="288" applyNumberFormat="0" applyProtection="0">
      <alignment horizontal="left" vertical="top"/>
    </xf>
    <xf numFmtId="0" fontId="25" fillId="10" borderId="289" applyNumberFormat="0" applyProtection="0">
      <alignment horizontal="left" vertical="top"/>
    </xf>
    <xf numFmtId="0" fontId="25" fillId="10" borderId="290" applyNumberFormat="0" applyProtection="0">
      <alignment horizontal="left" vertical="top"/>
    </xf>
    <xf numFmtId="246" fontId="250" fillId="0" borderId="268" applyFill="0" applyProtection="0">
      <alignment horizontal="center"/>
    </xf>
    <xf numFmtId="246" fontId="249" fillId="0" borderId="268" applyFill="0" applyProtection="0">
      <alignment horizontal="center"/>
    </xf>
    <xf numFmtId="0" fontId="241" fillId="94" borderId="268" applyBorder="0" applyProtection="0">
      <alignment horizontal="centerContinuous" vertical="center"/>
    </xf>
    <xf numFmtId="254" fontId="240" fillId="0" borderId="268" applyBorder="0" applyProtection="0">
      <alignment horizontal="right" vertical="center"/>
    </xf>
    <xf numFmtId="0" fontId="210" fillId="0" borderId="268" applyNumberFormat="0" applyFill="0" applyBorder="0" applyAlignment="0">
      <protection locked="0"/>
    </xf>
    <xf numFmtId="264" fontId="12" fillId="14" borderId="268" applyFont="0" applyFill="0" applyBorder="0" applyAlignment="0" applyProtection="0">
      <alignment horizontal="right"/>
    </xf>
    <xf numFmtId="0" fontId="166" fillId="0" borderId="268">
      <alignment horizontal="center"/>
    </xf>
    <xf numFmtId="0" fontId="165" fillId="0" borderId="268" applyFill="0" applyProtection="0">
      <alignment horizontal="center"/>
    </xf>
    <xf numFmtId="186" fontId="146" fillId="3" borderId="268" applyBorder="0">
      <alignment horizontal="left" vertical="center"/>
    </xf>
    <xf numFmtId="180" fontId="9" fillId="3" borderId="268">
      <alignment horizontal="right" vertical="center"/>
    </xf>
    <xf numFmtId="192" fontId="9" fillId="3" borderId="268">
      <alignment horizontal="right" vertical="center"/>
    </xf>
    <xf numFmtId="248" fontId="46" fillId="0" borderId="268"/>
    <xf numFmtId="0" fontId="12" fillId="0" borderId="268" applyNumberFormat="0" applyFill="0" applyBorder="0" applyAlignment="0" applyProtection="0">
      <alignment horizontal="center"/>
    </xf>
    <xf numFmtId="0" fontId="113" fillId="0" borderId="268" applyNumberFormat="0" applyFill="0" applyAlignment="0" applyProtection="0"/>
    <xf numFmtId="222" fontId="79" fillId="0" borderId="267" applyBorder="0"/>
    <xf numFmtId="0" fontId="101" fillId="0" borderId="268" applyBorder="0"/>
    <xf numFmtId="246" fontId="250" fillId="0" borderId="268" applyFill="0" applyProtection="0">
      <alignment horizontal="center"/>
    </xf>
    <xf numFmtId="246" fontId="249" fillId="0" borderId="268" applyFill="0" applyProtection="0">
      <alignment horizontal="center"/>
    </xf>
    <xf numFmtId="0" fontId="241" fillId="94" borderId="268" applyBorder="0" applyProtection="0">
      <alignment horizontal="centerContinuous" vertical="center"/>
    </xf>
    <xf numFmtId="254" fontId="240" fillId="0" borderId="268" applyBorder="0" applyProtection="0">
      <alignment horizontal="right" vertical="center"/>
    </xf>
    <xf numFmtId="0" fontId="210" fillId="0" borderId="268" applyNumberFormat="0" applyFill="0" applyBorder="0" applyAlignment="0">
      <protection locked="0"/>
    </xf>
    <xf numFmtId="264" fontId="12" fillId="14" borderId="268" applyFont="0" applyFill="0" applyBorder="0" applyAlignment="0" applyProtection="0">
      <alignment horizontal="right"/>
    </xf>
    <xf numFmtId="0" fontId="166" fillId="0" borderId="268">
      <alignment horizontal="center"/>
    </xf>
    <xf numFmtId="0" fontId="165" fillId="0" borderId="268" applyFill="0" applyProtection="0">
      <alignment horizontal="center"/>
    </xf>
    <xf numFmtId="186" fontId="146" fillId="3" borderId="268" applyBorder="0">
      <alignment horizontal="left" vertical="center"/>
    </xf>
    <xf numFmtId="180" fontId="9" fillId="3" borderId="268">
      <alignment horizontal="right" vertical="center"/>
    </xf>
    <xf numFmtId="192" fontId="9" fillId="3" borderId="268">
      <alignment horizontal="right" vertical="center"/>
    </xf>
    <xf numFmtId="0" fontId="12" fillId="0" borderId="268" applyNumberFormat="0" applyFill="0" applyBorder="0" applyAlignment="0" applyProtection="0">
      <alignment horizontal="center"/>
    </xf>
    <xf numFmtId="0" fontId="113" fillId="0" borderId="268" applyNumberFormat="0" applyFill="0" applyAlignment="0" applyProtection="0"/>
    <xf numFmtId="222" fontId="79" fillId="0" borderId="267" applyBorder="0"/>
    <xf numFmtId="0" fontId="101" fillId="0" borderId="268" applyBorder="0"/>
    <xf numFmtId="248" fontId="46" fillId="0" borderId="268"/>
    <xf numFmtId="246" fontId="250" fillId="0" borderId="268" applyFill="0" applyProtection="0">
      <alignment horizontal="center"/>
    </xf>
    <xf numFmtId="246" fontId="249" fillId="0" borderId="268" applyFill="0" applyProtection="0">
      <alignment horizontal="center"/>
    </xf>
    <xf numFmtId="0" fontId="241" fillId="94" borderId="268" applyBorder="0" applyProtection="0">
      <alignment horizontal="centerContinuous" vertical="center"/>
    </xf>
    <xf numFmtId="254" fontId="240" fillId="0" borderId="268" applyBorder="0" applyProtection="0">
      <alignment horizontal="right" vertical="center"/>
    </xf>
    <xf numFmtId="0" fontId="210" fillId="0" borderId="268" applyNumberFormat="0" applyFill="0" applyBorder="0" applyAlignment="0">
      <protection locked="0"/>
    </xf>
    <xf numFmtId="264" fontId="12" fillId="14" borderId="268" applyFont="0" applyFill="0" applyBorder="0" applyAlignment="0" applyProtection="0">
      <alignment horizontal="right"/>
    </xf>
    <xf numFmtId="0" fontId="166" fillId="0" borderId="268">
      <alignment horizontal="center"/>
    </xf>
    <xf numFmtId="0" fontId="165" fillId="0" borderId="268" applyFill="0" applyProtection="0">
      <alignment horizontal="center"/>
    </xf>
    <xf numFmtId="186" fontId="146" fillId="3" borderId="268" applyBorder="0">
      <alignment horizontal="left" vertical="center"/>
    </xf>
    <xf numFmtId="180" fontId="9" fillId="3" borderId="268">
      <alignment horizontal="right" vertical="center"/>
    </xf>
    <xf numFmtId="192" fontId="9" fillId="3" borderId="268">
      <alignment horizontal="right" vertical="center"/>
    </xf>
    <xf numFmtId="248" fontId="46" fillId="0" borderId="268"/>
    <xf numFmtId="0" fontId="12" fillId="0" borderId="268" applyNumberFormat="0" applyFill="0" applyBorder="0" applyAlignment="0" applyProtection="0">
      <alignment horizontal="center"/>
    </xf>
    <xf numFmtId="0" fontId="113" fillId="0" borderId="268" applyNumberFormat="0" applyFill="0" applyAlignment="0" applyProtection="0"/>
    <xf numFmtId="222" fontId="79" fillId="0" borderId="267" applyBorder="0"/>
    <xf numFmtId="0" fontId="101" fillId="0" borderId="268" applyBorder="0"/>
    <xf numFmtId="222" fontId="79" fillId="0" borderId="372" applyBorder="0"/>
    <xf numFmtId="0" fontId="113" fillId="0" borderId="505" applyNumberFormat="0" applyFill="0" applyAlignment="0" applyProtection="0"/>
    <xf numFmtId="0" fontId="210" fillId="0" borderId="493" applyNumberFormat="0" applyFill="0" applyBorder="0" applyAlignment="0">
      <protection locked="0"/>
    </xf>
    <xf numFmtId="0" fontId="241" fillId="94" borderId="505" applyBorder="0" applyProtection="0">
      <alignment horizontal="centerContinuous" vertical="center"/>
    </xf>
    <xf numFmtId="0" fontId="314" fillId="0" borderId="33" applyNumberFormat="0" applyFill="0" applyAlignment="0" applyProtection="0"/>
    <xf numFmtId="0" fontId="308" fillId="19" borderId="0" applyNumberFormat="0" applyBorder="0" applyAlignment="0" applyProtection="0"/>
    <xf numFmtId="246" fontId="250" fillId="0" borderId="1537" applyFill="0" applyProtection="0">
      <alignment horizontal="center"/>
    </xf>
    <xf numFmtId="0" fontId="25" fillId="10" borderId="4725" applyNumberFormat="0" applyProtection="0">
      <alignment horizontal="left" vertical="top"/>
    </xf>
    <xf numFmtId="312" fontId="25" fillId="10" borderId="2085" applyNumberFormat="0" applyProtection="0">
      <alignment horizontal="left" vertical="top"/>
    </xf>
    <xf numFmtId="0" fontId="48" fillId="0" borderId="0">
      <alignment vertical="top"/>
    </xf>
    <xf numFmtId="190" fontId="2" fillId="0" borderId="546" applyNumberFormat="0" applyAlignment="0" applyProtection="0"/>
    <xf numFmtId="190" fontId="210" fillId="0" borderId="565" applyNumberFormat="0" applyFill="0" applyBorder="0" applyAlignment="0">
      <protection locked="0"/>
    </xf>
    <xf numFmtId="0" fontId="166" fillId="0" borderId="1537">
      <alignment horizontal="center"/>
    </xf>
    <xf numFmtId="190" fontId="166" fillId="0" borderId="565">
      <alignment horizontal="center"/>
    </xf>
    <xf numFmtId="190" fontId="165" fillId="0" borderId="565" applyFill="0" applyProtection="0">
      <alignment horizontal="center"/>
    </xf>
    <xf numFmtId="190" fontId="12" fillId="0" borderId="565" applyNumberFormat="0" applyFill="0" applyBorder="0" applyAlignment="0" applyProtection="0">
      <alignment horizontal="center"/>
    </xf>
    <xf numFmtId="190" fontId="75" fillId="0" borderId="542" applyNumberFormat="0" applyFont="0" applyFill="0" applyAlignment="0" applyProtection="0"/>
    <xf numFmtId="246" fontId="249" fillId="0" borderId="565" applyFill="0" applyProtection="0">
      <alignment horizontal="center"/>
    </xf>
    <xf numFmtId="0" fontId="25" fillId="10" borderId="575" applyNumberFormat="0" applyProtection="0">
      <alignment horizontal="left" vertical="top"/>
    </xf>
    <xf numFmtId="9" fontId="48" fillId="0" borderId="0" applyFont="0" applyFill="0" applyBorder="0" applyAlignment="0" applyProtection="0"/>
    <xf numFmtId="0" fontId="101" fillId="0" borderId="565" applyBorder="0"/>
    <xf numFmtId="222" fontId="79" fillId="0" borderId="564" applyBorder="0"/>
    <xf numFmtId="0" fontId="12" fillId="0" borderId="565" applyNumberFormat="0" applyFill="0" applyBorder="0" applyAlignment="0" applyProtection="0">
      <alignment horizontal="center"/>
    </xf>
    <xf numFmtId="0" fontId="12" fillId="0" borderId="292" applyNumberFormat="0" applyFill="0" applyBorder="0" applyAlignment="0" applyProtection="0"/>
    <xf numFmtId="0" fontId="46" fillId="0" borderId="292" applyNumberFormat="0" applyFill="0" applyBorder="0" applyAlignment="0" applyProtection="0"/>
    <xf numFmtId="0" fontId="105" fillId="0" borderId="292" applyNumberFormat="0" applyFill="0" applyBorder="0" applyAlignment="0" applyProtection="0"/>
    <xf numFmtId="0" fontId="48" fillId="0" borderId="292" applyNumberFormat="0" applyFill="0" applyAlignment="0" applyProtection="0"/>
    <xf numFmtId="0" fontId="241" fillId="94" borderId="565" applyBorder="0" applyProtection="0">
      <alignment horizontal="centerContinuous" vertical="center"/>
    </xf>
    <xf numFmtId="0" fontId="22" fillId="0" borderId="36" applyNumberFormat="0" applyFill="0" applyAlignment="0" applyProtection="0"/>
    <xf numFmtId="5" fontId="114" fillId="0" borderId="291" applyAlignment="0" applyProtection="0"/>
    <xf numFmtId="0" fontId="58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5" fillId="10" borderId="575" applyNumberFormat="0" applyProtection="0">
      <alignment horizontal="left" vertical="top"/>
    </xf>
    <xf numFmtId="0" fontId="25" fillId="10" borderId="574" applyNumberFormat="0" applyProtection="0">
      <alignment horizontal="left" vertical="top"/>
    </xf>
    <xf numFmtId="0" fontId="25" fillId="10" borderId="573" applyNumberFormat="0" applyProtection="0">
      <alignment horizontal="left" vertical="top"/>
    </xf>
    <xf numFmtId="0" fontId="25" fillId="10" borderId="572" applyNumberFormat="0" applyProtection="0">
      <alignment horizontal="left" vertical="top"/>
    </xf>
    <xf numFmtId="186" fontId="140" fillId="3" borderId="569">
      <alignment horizontal="center" vertical="center"/>
    </xf>
    <xf numFmtId="246" fontId="249" fillId="0" borderId="553" applyFill="0" applyProtection="0">
      <alignment horizontal="center"/>
    </xf>
    <xf numFmtId="0" fontId="210" fillId="0" borderId="553" applyNumberFormat="0" applyFill="0" applyBorder="0" applyAlignment="0">
      <protection locked="0"/>
    </xf>
    <xf numFmtId="264" fontId="12" fillId="14" borderId="553" applyFont="0" applyFill="0" applyBorder="0" applyAlignment="0" applyProtection="0">
      <alignment horizontal="right"/>
    </xf>
    <xf numFmtId="192" fontId="9" fillId="3" borderId="553">
      <alignment horizontal="right" vertical="center"/>
    </xf>
    <xf numFmtId="0" fontId="113" fillId="0" borderId="553" applyNumberFormat="0" applyFill="0" applyAlignment="0" applyProtection="0"/>
    <xf numFmtId="222" fontId="79" fillId="0" borderId="552" applyBorder="0"/>
    <xf numFmtId="0" fontId="75" fillId="0" borderId="542" applyNumberFormat="0" applyFont="0" applyFill="0" applyAlignment="0" applyProtection="0"/>
    <xf numFmtId="186" fontId="146" fillId="3" borderId="544">
      <alignment horizontal="left"/>
    </xf>
    <xf numFmtId="0" fontId="25" fillId="10" borderId="549" applyNumberFormat="0" applyProtection="0">
      <alignment horizontal="left" vertical="top"/>
    </xf>
    <xf numFmtId="0" fontId="25" fillId="10" borderId="550" applyNumberFormat="0" applyProtection="0">
      <alignment horizontal="left" vertical="top"/>
    </xf>
    <xf numFmtId="0" fontId="25" fillId="10" borderId="551" applyNumberFormat="0" applyProtection="0">
      <alignment horizontal="left" vertical="top"/>
    </xf>
    <xf numFmtId="246" fontId="250" fillId="0" borderId="529" applyFill="0" applyProtection="0">
      <alignment horizontal="center"/>
    </xf>
    <xf numFmtId="246" fontId="249" fillId="0" borderId="529" applyFill="0" applyProtection="0">
      <alignment horizontal="center"/>
    </xf>
    <xf numFmtId="0" fontId="241" fillId="94" borderId="529" applyBorder="0" applyProtection="0">
      <alignment horizontal="centerContinuous" vertical="center"/>
    </xf>
    <xf numFmtId="0" fontId="210" fillId="0" borderId="529" applyNumberFormat="0" applyFill="0" applyBorder="0" applyAlignment="0">
      <protection locked="0"/>
    </xf>
    <xf numFmtId="0" fontId="165" fillId="0" borderId="529" applyFill="0" applyProtection="0">
      <alignment horizontal="center"/>
    </xf>
    <xf numFmtId="192" fontId="9" fillId="3" borderId="529">
      <alignment horizontal="right" vertical="center"/>
    </xf>
    <xf numFmtId="0" fontId="113" fillId="0" borderId="529" applyNumberFormat="0" applyFill="0" applyAlignment="0" applyProtection="0"/>
    <xf numFmtId="222" fontId="79" fillId="0" borderId="528" applyBorder="0"/>
    <xf numFmtId="186" fontId="140" fillId="3" borderId="521">
      <alignment horizontal="center" vertical="center"/>
    </xf>
    <xf numFmtId="0" fontId="25" fillId="10" borderId="524" applyNumberFormat="0" applyProtection="0">
      <alignment horizontal="left" vertical="top"/>
    </xf>
    <xf numFmtId="0" fontId="25" fillId="10" borderId="527" applyNumberFormat="0" applyProtection="0">
      <alignment horizontal="left" vertical="top"/>
    </xf>
    <xf numFmtId="0" fontId="78" fillId="14" borderId="495" applyFont="0" applyFill="0" applyBorder="0" applyAlignment="0" applyProtection="0"/>
    <xf numFmtId="186" fontId="140" fillId="3" borderId="509">
      <alignment horizontal="center" vertical="center"/>
    </xf>
    <xf numFmtId="0" fontId="241" fillId="94" borderId="505" applyBorder="0" applyProtection="0">
      <alignment horizontal="centerContinuous" vertical="center"/>
    </xf>
    <xf numFmtId="254" fontId="240" fillId="0" borderId="505" applyBorder="0" applyProtection="0">
      <alignment horizontal="right" vertical="center"/>
    </xf>
    <xf numFmtId="0" fontId="210" fillId="0" borderId="505" applyNumberFormat="0" applyFill="0" applyBorder="0" applyAlignment="0">
      <protection locked="0"/>
    </xf>
    <xf numFmtId="264" fontId="12" fillId="14" borderId="505" applyFont="0" applyFill="0" applyBorder="0" applyAlignment="0" applyProtection="0">
      <alignment horizontal="right"/>
    </xf>
    <xf numFmtId="186" fontId="140" fillId="3" borderId="497">
      <alignment horizontal="center" vertical="center"/>
    </xf>
    <xf numFmtId="186" fontId="146" fillId="3" borderId="496">
      <alignment horizontal="left"/>
    </xf>
    <xf numFmtId="222" fontId="79" fillId="0" borderId="504" applyBorder="0"/>
    <xf numFmtId="180" fontId="9" fillId="3" borderId="493">
      <alignment horizontal="right" vertical="center"/>
    </xf>
    <xf numFmtId="192" fontId="9" fillId="3" borderId="493">
      <alignment horizontal="right" vertical="center"/>
    </xf>
    <xf numFmtId="248" fontId="46" fillId="0" borderId="493"/>
    <xf numFmtId="0" fontId="12" fillId="0" borderId="493" applyNumberFormat="0" applyFill="0" applyBorder="0" applyAlignment="0" applyProtection="0">
      <alignment horizontal="center"/>
    </xf>
    <xf numFmtId="0" fontId="101" fillId="0" borderId="493" applyBorder="0"/>
    <xf numFmtId="222" fontId="79" fillId="0" borderId="372" applyBorder="0"/>
    <xf numFmtId="243" fontId="48" fillId="0" borderId="100" applyFont="0" applyFill="0" applyBorder="0" applyAlignment="0" applyProtection="0"/>
    <xf numFmtId="0" fontId="78" fillId="14" borderId="363" applyFont="0" applyFill="0" applyBorder="0" applyAlignment="0" applyProtection="0"/>
    <xf numFmtId="222" fontId="79" fillId="0" borderId="372" applyBorder="0"/>
    <xf numFmtId="0" fontId="25" fillId="10" borderId="502" applyNumberFormat="0" applyProtection="0">
      <alignment horizontal="left" vertical="top"/>
    </xf>
    <xf numFmtId="0" fontId="214" fillId="0" borderId="499" applyNumberFormat="0" applyFont="0" applyFill="0" applyAlignment="0" applyProtection="0"/>
    <xf numFmtId="186" fontId="146" fillId="3" borderId="496">
      <alignment horizontal="left"/>
    </xf>
    <xf numFmtId="0" fontId="75" fillId="0" borderId="494" applyNumberFormat="0" applyFont="0" applyFill="0" applyAlignment="0" applyProtection="0"/>
    <xf numFmtId="0" fontId="303" fillId="46" borderId="0" applyNumberFormat="0" applyBorder="0" applyAlignment="0" applyProtection="0"/>
    <xf numFmtId="222" fontId="79" fillId="0" borderId="504" applyBorder="0"/>
    <xf numFmtId="248" fontId="46" fillId="0" borderId="505"/>
    <xf numFmtId="192" fontId="9" fillId="3" borderId="505">
      <alignment horizontal="right" vertical="center"/>
    </xf>
    <xf numFmtId="180" fontId="9" fillId="3" borderId="505">
      <alignment horizontal="right" vertical="center"/>
    </xf>
    <xf numFmtId="186" fontId="146" fillId="3" borderId="505" applyBorder="0">
      <alignment horizontal="left" vertical="center"/>
    </xf>
    <xf numFmtId="0" fontId="165" fillId="0" borderId="505" applyFill="0" applyProtection="0">
      <alignment horizontal="center"/>
    </xf>
    <xf numFmtId="0" fontId="166" fillId="0" borderId="505">
      <alignment horizontal="center"/>
    </xf>
    <xf numFmtId="264" fontId="12" fillId="14" borderId="505" applyFont="0" applyFill="0" applyBorder="0" applyAlignment="0" applyProtection="0">
      <alignment horizontal="right"/>
    </xf>
    <xf numFmtId="0" fontId="210" fillId="0" borderId="505" applyNumberFormat="0" applyFill="0" applyBorder="0" applyAlignment="0">
      <protection locked="0"/>
    </xf>
    <xf numFmtId="254" fontId="240" fillId="0" borderId="505" applyBorder="0" applyProtection="0">
      <alignment horizontal="right" vertical="center"/>
    </xf>
    <xf numFmtId="0" fontId="241" fillId="94" borderId="505" applyBorder="0" applyProtection="0">
      <alignment horizontal="centerContinuous" vertical="center"/>
    </xf>
    <xf numFmtId="0" fontId="2" fillId="0" borderId="558" applyNumberFormat="0" applyAlignment="0" applyProtection="0"/>
    <xf numFmtId="0" fontId="74" fillId="0" borderId="291" applyFont="0" applyFill="0" applyBorder="0" applyAlignment="0" applyProtection="0">
      <alignment horizontal="center"/>
    </xf>
    <xf numFmtId="0" fontId="48" fillId="0" borderId="291" applyFont="0" applyFill="0" applyBorder="0" applyAlignment="0" applyProtection="0">
      <alignment horizontal="center"/>
    </xf>
    <xf numFmtId="0" fontId="25" fillId="10" borderId="560" applyNumberFormat="0" applyProtection="0">
      <alignment horizontal="left" vertical="top"/>
    </xf>
    <xf numFmtId="222" fontId="79" fillId="0" borderId="372" applyBorder="0"/>
    <xf numFmtId="186" fontId="146" fillId="3" borderId="556">
      <alignment horizontal="left"/>
    </xf>
    <xf numFmtId="186" fontId="140" fillId="3" borderId="557">
      <alignment horizontal="center" vertical="center"/>
    </xf>
    <xf numFmtId="0" fontId="25" fillId="10" borderId="317" applyNumberFormat="0" applyProtection="0">
      <alignment horizontal="left" vertical="top"/>
    </xf>
    <xf numFmtId="0" fontId="25" fillId="10" borderId="320" applyNumberFormat="0" applyProtection="0">
      <alignment horizontal="left" vertical="top"/>
    </xf>
    <xf numFmtId="0" fontId="78" fillId="14" borderId="363" applyFont="0" applyFill="0" applyBorder="0" applyAlignment="0" applyProtection="0"/>
    <xf numFmtId="0" fontId="78" fillId="14" borderId="531" applyFont="0" applyFill="0" applyBorder="0" applyAlignment="0" applyProtection="0"/>
    <xf numFmtId="0" fontId="214" fillId="0" borderId="535" applyNumberFormat="0" applyFont="0" applyFill="0" applyAlignment="0" applyProtection="0"/>
    <xf numFmtId="186" fontId="146" fillId="3" borderId="541" applyBorder="0">
      <alignment horizontal="left" vertical="center"/>
    </xf>
    <xf numFmtId="0" fontId="166" fillId="0" borderId="541">
      <alignment horizontal="center"/>
    </xf>
    <xf numFmtId="0" fontId="241" fillId="94" borderId="541" applyBorder="0" applyProtection="0">
      <alignment horizontal="centerContinuous" vertical="center"/>
    </xf>
    <xf numFmtId="0" fontId="241" fillId="94" borderId="517" applyBorder="0" applyProtection="0">
      <alignment horizontal="centerContinuous" vertical="center"/>
    </xf>
    <xf numFmtId="254" fontId="240" fillId="0" borderId="517" applyBorder="0" applyProtection="0">
      <alignment horizontal="right" vertical="center"/>
    </xf>
    <xf numFmtId="0" fontId="165" fillId="0" borderId="517" applyFill="0" applyProtection="0">
      <alignment horizontal="center"/>
    </xf>
    <xf numFmtId="0" fontId="25" fillId="10" borderId="503" applyNumberFormat="0" applyProtection="0">
      <alignment horizontal="left" vertical="top"/>
    </xf>
    <xf numFmtId="0" fontId="25" fillId="10" borderId="502" applyNumberFormat="0" applyProtection="0">
      <alignment horizontal="left" vertical="top"/>
    </xf>
    <xf numFmtId="0" fontId="75" fillId="0" borderId="494" applyNumberFormat="0" applyFont="0" applyFill="0" applyAlignment="0" applyProtection="0"/>
    <xf numFmtId="0" fontId="214" fillId="0" borderId="559" applyNumberFormat="0" applyFont="0" applyFill="0" applyAlignment="0" applyProtection="0"/>
    <xf numFmtId="222" fontId="79" fillId="0" borderId="504" applyBorder="0"/>
    <xf numFmtId="0" fontId="25" fillId="10" borderId="563" applyNumberFormat="0" applyProtection="0">
      <alignment horizontal="left" vertical="top"/>
    </xf>
    <xf numFmtId="254" fontId="240" fillId="0" borderId="373" applyBorder="0" applyProtection="0">
      <alignment horizontal="right" vertical="center"/>
    </xf>
    <xf numFmtId="0" fontId="210" fillId="0" borderId="373" applyNumberFormat="0" applyFill="0" applyBorder="0" applyAlignment="0">
      <protection locked="0"/>
    </xf>
    <xf numFmtId="264" fontId="12" fillId="14" borderId="373" applyFont="0" applyFill="0" applyBorder="0" applyAlignment="0" applyProtection="0">
      <alignment horizontal="right"/>
    </xf>
    <xf numFmtId="0" fontId="166" fillId="0" borderId="373">
      <alignment horizontal="center"/>
    </xf>
    <xf numFmtId="0" fontId="165" fillId="0" borderId="373" applyFill="0" applyProtection="0">
      <alignment horizontal="center"/>
    </xf>
    <xf numFmtId="186" fontId="146" fillId="3" borderId="373" applyBorder="0">
      <alignment horizontal="left" vertical="center"/>
    </xf>
    <xf numFmtId="182" fontId="145" fillId="3" borderId="291">
      <alignment horizontal="right" vertical="center"/>
    </xf>
    <xf numFmtId="180" fontId="9" fillId="3" borderId="373">
      <alignment horizontal="right" vertical="center"/>
    </xf>
    <xf numFmtId="186" fontId="146" fillId="3" borderId="508">
      <alignment horizontal="left"/>
    </xf>
    <xf numFmtId="0" fontId="214" fillId="0" borderId="511" applyNumberFormat="0" applyFont="0" applyFill="0" applyAlignment="0" applyProtection="0"/>
    <xf numFmtId="186" fontId="48" fillId="3" borderId="291">
      <alignment vertical="center"/>
    </xf>
    <xf numFmtId="0" fontId="25" fillId="10" borderId="512" applyNumberFormat="0" applyProtection="0">
      <alignment horizontal="left" vertical="top"/>
    </xf>
    <xf numFmtId="0" fontId="25" fillId="10" borderId="514" applyNumberFormat="0" applyProtection="0">
      <alignment horizontal="left" vertical="top"/>
    </xf>
    <xf numFmtId="222" fontId="79" fillId="0" borderId="528" applyBorder="0"/>
    <xf numFmtId="0" fontId="135" fillId="0" borderId="293"/>
    <xf numFmtId="0" fontId="135" fillId="0" borderId="293"/>
    <xf numFmtId="0" fontId="25" fillId="10" borderId="539" applyNumberFormat="0" applyProtection="0">
      <alignment horizontal="left" vertical="top"/>
    </xf>
    <xf numFmtId="0" fontId="25" fillId="10" borderId="536" applyNumberFormat="0" applyProtection="0">
      <alignment horizontal="left" vertical="top"/>
    </xf>
    <xf numFmtId="222" fontId="79" fillId="0" borderId="540" applyBorder="0"/>
    <xf numFmtId="180" fontId="9" fillId="3" borderId="541">
      <alignment horizontal="right" vertical="center"/>
    </xf>
    <xf numFmtId="254" fontId="240" fillId="0" borderId="541" applyBorder="0" applyProtection="0">
      <alignment horizontal="right" vertical="center"/>
    </xf>
    <xf numFmtId="246" fontId="249" fillId="0" borderId="541" applyFill="0" applyProtection="0">
      <alignment horizontal="center"/>
    </xf>
    <xf numFmtId="246" fontId="250" fillId="0" borderId="541" applyFill="0" applyProtection="0">
      <alignment horizontal="center"/>
    </xf>
    <xf numFmtId="264" fontId="12" fillId="14" borderId="517" applyFont="0" applyFill="0" applyBorder="0" applyAlignment="0" applyProtection="0">
      <alignment horizontal="right"/>
    </xf>
    <xf numFmtId="186" fontId="146" fillId="3" borderId="517" applyBorder="0">
      <alignment horizontal="left" vertical="center"/>
    </xf>
    <xf numFmtId="180" fontId="9" fillId="3" borderId="517">
      <alignment horizontal="right" vertical="center"/>
    </xf>
    <xf numFmtId="192" fontId="9" fillId="3" borderId="517">
      <alignment horizontal="right" vertical="center"/>
    </xf>
    <xf numFmtId="248" fontId="46" fillId="0" borderId="517"/>
    <xf numFmtId="0" fontId="12" fillId="0" borderId="517" applyNumberFormat="0" applyFill="0" applyBorder="0" applyAlignment="0" applyProtection="0">
      <alignment horizontal="center"/>
    </xf>
    <xf numFmtId="0" fontId="113" fillId="0" borderId="517" applyNumberFormat="0" applyFill="0" applyAlignment="0" applyProtection="0"/>
    <xf numFmtId="0" fontId="210" fillId="0" borderId="565" applyNumberFormat="0" applyFill="0" applyBorder="0" applyAlignment="0">
      <protection locked="0"/>
    </xf>
    <xf numFmtId="0" fontId="165" fillId="0" borderId="565" applyFill="0" applyProtection="0">
      <alignment horizontal="center"/>
    </xf>
    <xf numFmtId="192" fontId="9" fillId="3" borderId="565">
      <alignment horizontal="right" vertical="center"/>
    </xf>
    <xf numFmtId="248" fontId="46" fillId="0" borderId="565"/>
    <xf numFmtId="222" fontId="79" fillId="0" borderId="564" applyBorder="0"/>
    <xf numFmtId="0" fontId="78" fillId="14" borderId="555" applyFont="0" applyFill="0" applyBorder="0" applyAlignment="0" applyProtection="0"/>
    <xf numFmtId="0" fontId="25" fillId="10" borderId="562" applyNumberFormat="0" applyProtection="0">
      <alignment horizontal="left" vertical="top"/>
    </xf>
    <xf numFmtId="186" fontId="140" fillId="3" borderId="497">
      <alignment horizontal="center" vertical="center"/>
    </xf>
    <xf numFmtId="0" fontId="2" fillId="0" borderId="498" applyNumberFormat="0" applyAlignment="0" applyProtection="0"/>
    <xf numFmtId="0" fontId="25" fillId="10" borderId="501" applyNumberFormat="0" applyProtection="0">
      <alignment horizontal="left" vertical="top"/>
    </xf>
    <xf numFmtId="0" fontId="25" fillId="10" borderId="500" applyNumberFormat="0" applyProtection="0">
      <alignment horizontal="left" vertical="top"/>
    </xf>
    <xf numFmtId="0" fontId="25" fillId="10" borderId="503" applyNumberFormat="0" applyProtection="0">
      <alignment horizontal="left" vertical="top"/>
    </xf>
    <xf numFmtId="0" fontId="159" fillId="0" borderId="293"/>
    <xf numFmtId="0" fontId="159" fillId="67" borderId="293"/>
    <xf numFmtId="0" fontId="75" fillId="0" borderId="494" applyNumberFormat="0" applyFont="0" applyFill="0" applyAlignment="0" applyProtection="0"/>
    <xf numFmtId="186" fontId="146" fillId="3" borderId="496">
      <alignment horizontal="left"/>
    </xf>
    <xf numFmtId="0" fontId="48" fillId="0" borderId="0">
      <alignment vertical="top"/>
    </xf>
    <xf numFmtId="246" fontId="250" fillId="0" borderId="493" applyFill="0" applyProtection="0">
      <alignment horizontal="center"/>
    </xf>
    <xf numFmtId="0" fontId="210" fillId="0" borderId="493" applyNumberFormat="0" applyFill="0" applyBorder="0" applyAlignment="0">
      <protection locked="0"/>
    </xf>
    <xf numFmtId="264" fontId="12" fillId="14" borderId="493" applyFont="0" applyFill="0" applyBorder="0" applyAlignment="0" applyProtection="0">
      <alignment horizontal="right"/>
    </xf>
    <xf numFmtId="180" fontId="9" fillId="3" borderId="493">
      <alignment horizontal="right" vertical="center"/>
    </xf>
    <xf numFmtId="248" fontId="46" fillId="0" borderId="493"/>
    <xf numFmtId="0" fontId="48" fillId="0" borderId="0">
      <alignment vertical="top"/>
    </xf>
    <xf numFmtId="0" fontId="62" fillId="0" borderId="30" applyNumberFormat="0" applyFill="0" applyAlignment="0" applyProtection="0"/>
    <xf numFmtId="0" fontId="25" fillId="69" borderId="293">
      <alignment horizontal="left" vertical="center" wrapText="1"/>
    </xf>
    <xf numFmtId="0" fontId="303" fillId="45" borderId="0" applyNumberFormat="0" applyBorder="0" applyAlignment="0" applyProtection="0"/>
    <xf numFmtId="0" fontId="316" fillId="23" borderId="32" applyNumberFormat="0" applyAlignment="0" applyProtection="0"/>
    <xf numFmtId="0" fontId="12" fillId="0" borderId="4746" applyNumberFormat="0" applyFill="0" applyBorder="0" applyAlignment="0" applyProtection="0">
      <alignment horizontal="center"/>
    </xf>
    <xf numFmtId="43" fontId="48" fillId="0" borderId="0" applyFont="0" applyFill="0" applyBorder="0" applyAlignment="0" applyProtection="0"/>
    <xf numFmtId="190" fontId="12" fillId="0" borderId="2075" applyNumberFormat="0" applyFill="0" applyBorder="0" applyAlignment="0" applyProtection="0"/>
    <xf numFmtId="0" fontId="184" fillId="0" borderId="294" applyAlignment="0">
      <alignment horizontal="left" wrapText="1"/>
    </xf>
    <xf numFmtId="0" fontId="314" fillId="0" borderId="33" applyNumberFormat="0" applyFill="0" applyAlignment="0" applyProtection="0"/>
    <xf numFmtId="0" fontId="48" fillId="0" borderId="0">
      <alignment vertical="top"/>
    </xf>
    <xf numFmtId="246" fontId="249" fillId="0" borderId="493" applyFill="0" applyProtection="0">
      <alignment horizontal="center"/>
    </xf>
    <xf numFmtId="0" fontId="241" fillId="94" borderId="493" applyBorder="0" applyProtection="0">
      <alignment horizontal="centerContinuous" vertical="center"/>
    </xf>
    <xf numFmtId="254" fontId="240" fillId="0" borderId="493" applyBorder="0" applyProtection="0">
      <alignment horizontal="right" vertical="center"/>
    </xf>
    <xf numFmtId="0" fontId="63" fillId="19" borderId="0" applyNumberFormat="0" applyBorder="0" applyAlignment="0" applyProtection="0"/>
    <xf numFmtId="222" fontId="79" fillId="0" borderId="2092" applyBorder="0"/>
    <xf numFmtId="0" fontId="12" fillId="0" borderId="1381" applyNumberFormat="0" applyFill="0" applyBorder="0" applyAlignment="0" applyProtection="0">
      <alignment horizontal="center"/>
    </xf>
    <xf numFmtId="4" fontId="223" fillId="53" borderId="295" applyNumberFormat="0" applyProtection="0">
      <alignment vertical="center"/>
    </xf>
    <xf numFmtId="4" fontId="224" fillId="53" borderId="295" applyNumberFormat="0" applyProtection="0">
      <alignment vertical="center"/>
    </xf>
    <xf numFmtId="4" fontId="184" fillId="53" borderId="295" applyNumberFormat="0" applyProtection="0">
      <alignment horizontal="left" vertical="center" indent="1"/>
    </xf>
    <xf numFmtId="0" fontId="225" fillId="53" borderId="295" applyNumberFormat="0" applyProtection="0">
      <alignment horizontal="left" vertical="top" indent="1"/>
    </xf>
    <xf numFmtId="4" fontId="226" fillId="76" borderId="295" applyNumberFormat="0" applyProtection="0">
      <alignment horizontal="right" vertical="center"/>
    </xf>
    <xf numFmtId="4" fontId="226" fillId="77" borderId="295" applyNumberFormat="0" applyProtection="0">
      <alignment horizontal="right" vertical="center"/>
    </xf>
    <xf numFmtId="4" fontId="226" fillId="78" borderId="295" applyNumberFormat="0" applyProtection="0">
      <alignment horizontal="right" vertical="center"/>
    </xf>
    <xf numFmtId="4" fontId="226" fillId="10" borderId="295" applyNumberFormat="0" applyProtection="0">
      <alignment horizontal="right" vertical="center"/>
    </xf>
    <xf numFmtId="4" fontId="226" fillId="79" borderId="295" applyNumberFormat="0" applyProtection="0">
      <alignment horizontal="right" vertical="center"/>
    </xf>
    <xf numFmtId="4" fontId="226" fillId="71" borderId="295" applyNumberFormat="0" applyProtection="0">
      <alignment horizontal="right" vertical="center"/>
    </xf>
    <xf numFmtId="4" fontId="226" fillId="80" borderId="295" applyNumberFormat="0" applyProtection="0">
      <alignment horizontal="right" vertical="center"/>
    </xf>
    <xf numFmtId="4" fontId="226" fillId="81" borderId="295" applyNumberFormat="0" applyProtection="0">
      <alignment horizontal="right" vertical="center"/>
    </xf>
    <xf numFmtId="4" fontId="226" fillId="82" borderId="295" applyNumberFormat="0" applyProtection="0">
      <alignment horizontal="right" vertical="center"/>
    </xf>
    <xf numFmtId="4" fontId="184" fillId="52" borderId="295" applyNumberFormat="0" applyProtection="0">
      <alignment horizontal="right" vertical="center"/>
    </xf>
    <xf numFmtId="0" fontId="12" fillId="75" borderId="295" applyNumberFormat="0" applyProtection="0">
      <alignment horizontal="left" vertical="center" indent="1"/>
    </xf>
    <xf numFmtId="0" fontId="12" fillId="75" borderId="295" applyNumberFormat="0" applyProtection="0">
      <alignment horizontal="left" vertical="top" indent="1"/>
    </xf>
    <xf numFmtId="0" fontId="12" fillId="84" borderId="295" applyNumberFormat="0" applyProtection="0">
      <alignment horizontal="left" vertical="center" indent="1"/>
    </xf>
    <xf numFmtId="0" fontId="12" fillId="84" borderId="295" applyNumberFormat="0" applyProtection="0">
      <alignment horizontal="left" vertical="top" indent="1"/>
    </xf>
    <xf numFmtId="0" fontId="12" fillId="52" borderId="295" applyNumberFormat="0" applyProtection="0">
      <alignment horizontal="left" vertical="center" indent="1"/>
    </xf>
    <xf numFmtId="0" fontId="12" fillId="52" borderId="295" applyNumberFormat="0" applyProtection="0">
      <alignment horizontal="left" vertical="top" indent="1"/>
    </xf>
    <xf numFmtId="0" fontId="12" fillId="11" borderId="295" applyNumberFormat="0" applyProtection="0">
      <alignment horizontal="left" vertical="center" indent="1"/>
    </xf>
    <xf numFmtId="0" fontId="12" fillId="11" borderId="295" applyNumberFormat="0" applyProtection="0">
      <alignment horizontal="left" vertical="top" indent="1"/>
    </xf>
    <xf numFmtId="4" fontId="226" fillId="11" borderId="295" applyNumberFormat="0" applyProtection="0">
      <alignment vertical="center"/>
    </xf>
    <xf numFmtId="4" fontId="228" fillId="11" borderId="295" applyNumberFormat="0" applyProtection="0">
      <alignment vertical="center"/>
    </xf>
    <xf numFmtId="4" fontId="227" fillId="52" borderId="296" applyNumberFormat="0" applyProtection="0">
      <alignment horizontal="left" vertical="center" indent="1"/>
    </xf>
    <xf numFmtId="0" fontId="136" fillId="14" borderId="295" applyNumberFormat="0" applyProtection="0">
      <alignment horizontal="left" vertical="top" indent="1"/>
    </xf>
    <xf numFmtId="4" fontId="184" fillId="11" borderId="295" applyNumberFormat="0" applyProtection="0">
      <alignment horizontal="right" vertical="center"/>
    </xf>
    <xf numFmtId="4" fontId="228" fillId="11" borderId="295" applyNumberFormat="0" applyProtection="0">
      <alignment horizontal="right" vertical="center"/>
    </xf>
    <xf numFmtId="4" fontId="223" fillId="52" borderId="295" applyNumberFormat="0" applyProtection="0">
      <alignment horizontal="left" vertical="center" indent="1"/>
    </xf>
    <xf numFmtId="0" fontId="136" fillId="84" borderId="295" applyNumberFormat="0" applyProtection="0">
      <alignment horizontal="left" vertical="top" indent="1"/>
    </xf>
    <xf numFmtId="4" fontId="229" fillId="84" borderId="296" applyNumberFormat="0" applyProtection="0">
      <alignment horizontal="left" vertical="center" indent="1"/>
    </xf>
    <xf numFmtId="4" fontId="230" fillId="11" borderId="295" applyNumberFormat="0" applyProtection="0">
      <alignment horizontal="right" vertical="center"/>
    </xf>
    <xf numFmtId="3" fontId="12" fillId="60" borderId="297" applyFont="0" applyFill="0" applyBorder="0" applyAlignment="0" applyProtection="0"/>
    <xf numFmtId="4" fontId="12" fillId="60" borderId="297" applyFont="0" applyFill="0" applyBorder="0" applyAlignment="0" applyProtection="0"/>
    <xf numFmtId="183" fontId="12" fillId="60" borderId="297" applyFont="0" applyFill="0" applyBorder="0" applyAlignment="0" applyProtection="0"/>
    <xf numFmtId="10" fontId="12" fillId="60" borderId="297" applyFont="0" applyFill="0" applyBorder="0" applyAlignment="0" applyProtection="0"/>
    <xf numFmtId="9" fontId="12" fillId="60" borderId="297" applyFont="0" applyFill="0" applyBorder="0" applyAlignment="0" applyProtection="0"/>
    <xf numFmtId="2" fontId="12" fillId="60" borderId="297" applyFont="0" applyFill="0" applyBorder="0" applyAlignment="0" applyProtection="0"/>
    <xf numFmtId="0" fontId="25" fillId="10" borderId="293" applyNumberFormat="0" applyProtection="0">
      <alignment horizontal="center" vertical="top"/>
    </xf>
    <xf numFmtId="0" fontId="25" fillId="10" borderId="293" applyNumberFormat="0" applyProtection="0">
      <alignment horizontal="center" vertical="top"/>
    </xf>
    <xf numFmtId="169" fontId="234" fillId="3" borderId="293" applyFont="0" applyProtection="0"/>
    <xf numFmtId="169" fontId="234" fillId="10" borderId="293" applyFont="0" applyProtection="0"/>
    <xf numFmtId="293" fontId="234" fillId="3" borderId="293" applyFont="0" applyProtection="0"/>
    <xf numFmtId="293" fontId="234" fillId="10" borderId="293" applyFont="0" applyProtection="0"/>
    <xf numFmtId="293" fontId="234" fillId="10" borderId="293" applyFont="0" applyProtection="0"/>
    <xf numFmtId="0" fontId="12" fillId="3" borderId="293" applyNumberFormat="0" applyFont="0" applyAlignment="0" applyProtection="0"/>
    <xf numFmtId="0" fontId="12" fillId="10" borderId="293" applyNumberFormat="0" applyFont="0" applyAlignment="0" applyProtection="0"/>
    <xf numFmtId="0" fontId="12" fillId="10" borderId="293" applyNumberFormat="0" applyFont="0" applyProtection="0"/>
    <xf numFmtId="0" fontId="25" fillId="10" borderId="298" applyNumberFormat="0" applyProtection="0">
      <alignment horizontal="left"/>
    </xf>
    <xf numFmtId="0" fontId="25" fillId="10" borderId="299" applyNumberFormat="0" applyProtection="0">
      <alignment horizontal="left" vertical="top"/>
    </xf>
    <xf numFmtId="0" fontId="25" fillId="10" borderId="300" applyNumberFormat="0" applyProtection="0">
      <alignment horizontal="left" vertical="top"/>
    </xf>
    <xf numFmtId="0" fontId="25" fillId="10" borderId="301" applyNumberFormat="0" applyProtection="0">
      <alignment horizontal="left" vertical="top"/>
    </xf>
    <xf numFmtId="0" fontId="25" fillId="10" borderId="302" applyNumberFormat="0" applyProtection="0">
      <alignment horizontal="left" vertical="top"/>
    </xf>
    <xf numFmtId="0" fontId="25" fillId="10" borderId="303" applyNumberFormat="0" applyProtection="0">
      <alignment horizontal="left" vertical="top"/>
    </xf>
    <xf numFmtId="0" fontId="25" fillId="10" borderId="304" applyNumberFormat="0" applyProtection="0">
      <alignment horizontal="left" vertical="top"/>
    </xf>
    <xf numFmtId="0" fontId="12" fillId="0" borderId="292" applyNumberFormat="0" applyFill="0" applyBorder="0" applyAlignment="0" applyProtection="0"/>
    <xf numFmtId="5" fontId="114" fillId="0" borderId="4728" applyAlignment="0" applyProtection="0"/>
    <xf numFmtId="10" fontId="12" fillId="3" borderId="305" applyNumberFormat="0" applyFont="0" applyFill="0" applyBorder="0" applyAlignment="0">
      <protection locked="0"/>
    </xf>
    <xf numFmtId="0" fontId="12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0" fontId="12" fillId="0" borderId="493" applyNumberFormat="0" applyFill="0" applyBorder="0" applyAlignment="0" applyProtection="0">
      <alignment horizontal="center"/>
    </xf>
    <xf numFmtId="0" fontId="309" fillId="0" borderId="28" applyNumberFormat="0" applyFill="0" applyAlignment="0" applyProtection="0"/>
    <xf numFmtId="254" fontId="240" fillId="0" borderId="505" applyBorder="0" applyProtection="0">
      <alignment horizontal="right" vertical="center"/>
    </xf>
    <xf numFmtId="264" fontId="12" fillId="14" borderId="565" applyFont="0" applyFill="0" applyBorder="0" applyAlignment="0" applyProtection="0">
      <alignment horizontal="right"/>
    </xf>
    <xf numFmtId="1" fontId="108" fillId="55" borderId="101" applyNumberFormat="0" applyBorder="0" applyAlignment="0">
      <alignment horizontal="center" vertical="top" wrapText="1"/>
      <protection hidden="1"/>
    </xf>
    <xf numFmtId="0" fontId="25" fillId="10" borderId="334" applyNumberFormat="0" applyProtection="0">
      <alignment horizontal="left" vertical="top"/>
    </xf>
    <xf numFmtId="0" fontId="158" fillId="0" borderId="101" applyFill="0" applyBorder="0" applyProtection="0">
      <alignment horizontal="left" vertical="top"/>
    </xf>
    <xf numFmtId="299" fontId="217" fillId="60" borderId="101" applyBorder="0">
      <alignment horizontal="right" vertical="center"/>
      <protection locked="0"/>
    </xf>
    <xf numFmtId="254" fontId="240" fillId="0" borderId="565" applyBorder="0" applyProtection="0">
      <alignment horizontal="right" vertical="center"/>
    </xf>
    <xf numFmtId="0" fontId="166" fillId="0" borderId="505">
      <alignment horizontal="center"/>
    </xf>
    <xf numFmtId="186" fontId="146" fillId="3" borderId="496">
      <alignment horizontal="left"/>
    </xf>
    <xf numFmtId="0" fontId="78" fillId="14" borderId="363" applyFont="0" applyFill="0" applyBorder="0" applyAlignment="0" applyProtection="0"/>
    <xf numFmtId="246" fontId="249" fillId="0" borderId="493" applyFill="0" applyProtection="0">
      <alignment horizontal="center"/>
    </xf>
    <xf numFmtId="0" fontId="78" fillId="14" borderId="270" applyFont="0" applyFill="0" applyBorder="0" applyAlignment="0" applyProtection="0"/>
    <xf numFmtId="180" fontId="9" fillId="3" borderId="1537">
      <alignment horizontal="right" vertical="center"/>
    </xf>
    <xf numFmtId="192" fontId="9" fillId="3" borderId="493">
      <alignment horizontal="right" vertical="center"/>
    </xf>
    <xf numFmtId="0" fontId="75" fillId="0" borderId="1550" applyNumberFormat="0" applyFont="0" applyFill="0" applyAlignment="0" applyProtection="0"/>
    <xf numFmtId="222" fontId="79" fillId="0" borderId="306" applyBorder="0"/>
    <xf numFmtId="0" fontId="78" fillId="14" borderId="1563" applyFont="0" applyFill="0" applyBorder="0" applyAlignment="0" applyProtection="0"/>
    <xf numFmtId="9" fontId="48" fillId="0" borderId="0" applyFont="0" applyFill="0" applyBorder="0" applyAlignment="0" applyProtection="0"/>
    <xf numFmtId="186" fontId="146" fillId="3" borderId="1540">
      <alignment horizontal="left"/>
    </xf>
    <xf numFmtId="0" fontId="101" fillId="0" borderId="309" applyBorder="0"/>
    <xf numFmtId="222" fontId="79" fillId="0" borderId="306" applyBorder="0"/>
    <xf numFmtId="0" fontId="113" fillId="0" borderId="309" applyNumberFormat="0" applyFill="0" applyAlignment="0" applyProtection="0"/>
    <xf numFmtId="0" fontId="12" fillId="0" borderId="309" applyNumberFormat="0" applyFill="0" applyBorder="0" applyAlignment="0" applyProtection="0">
      <alignment horizontal="center"/>
    </xf>
    <xf numFmtId="0" fontId="75" fillId="0" borderId="494" applyNumberFormat="0" applyFont="0" applyFill="0" applyAlignment="0" applyProtection="0"/>
    <xf numFmtId="248" fontId="46" fillId="0" borderId="309"/>
    <xf numFmtId="0" fontId="25" fillId="10" borderId="537" applyNumberFormat="0" applyProtection="0">
      <alignment horizontal="left" vertical="top"/>
    </xf>
    <xf numFmtId="192" fontId="9" fillId="3" borderId="373">
      <alignment horizontal="right" vertical="center"/>
    </xf>
    <xf numFmtId="192" fontId="9" fillId="3" borderId="309">
      <alignment horizontal="right" vertical="center"/>
    </xf>
    <xf numFmtId="180" fontId="9" fillId="3" borderId="309">
      <alignment horizontal="right" vertical="center"/>
    </xf>
    <xf numFmtId="186" fontId="146" fillId="3" borderId="309" applyBorder="0">
      <alignment horizontal="left" vertical="center"/>
    </xf>
    <xf numFmtId="222" fontId="79" fillId="0" borderId="516" applyBorder="0"/>
    <xf numFmtId="186" fontId="140" fillId="3" borderId="248">
      <alignment horizontal="center" vertical="center"/>
    </xf>
    <xf numFmtId="188" fontId="25" fillId="0" borderId="308" applyFont="0" applyFill="0" applyBorder="0" applyAlignment="0" applyProtection="0">
      <alignment horizontal="center"/>
    </xf>
    <xf numFmtId="2" fontId="12" fillId="14" borderId="307" applyFill="0" applyBorder="0" applyProtection="0">
      <alignment horizontal="center"/>
    </xf>
    <xf numFmtId="0" fontId="5" fillId="0" borderId="308">
      <alignment horizontal="left" vertical="center"/>
    </xf>
    <xf numFmtId="0" fontId="165" fillId="0" borderId="309" applyFill="0" applyProtection="0">
      <alignment horizontal="center"/>
    </xf>
    <xf numFmtId="0" fontId="166" fillId="0" borderId="309">
      <alignment horizontal="center"/>
    </xf>
    <xf numFmtId="188" fontId="25" fillId="0" borderId="308" applyFont="0" applyFill="0" applyBorder="0" applyAlignment="0" applyProtection="0">
      <alignment horizontal="center"/>
    </xf>
    <xf numFmtId="264" fontId="12" fillId="14" borderId="309" applyFont="0" applyFill="0" applyBorder="0" applyAlignment="0" applyProtection="0">
      <alignment horizontal="right"/>
    </xf>
    <xf numFmtId="188" fontId="25" fillId="0" borderId="308" applyFont="0" applyFill="0" applyBorder="0" applyAlignment="0" applyProtection="0">
      <alignment horizontal="center"/>
    </xf>
    <xf numFmtId="0" fontId="12" fillId="0" borderId="373" applyNumberFormat="0" applyFill="0" applyBorder="0" applyAlignment="0" applyProtection="0">
      <alignment horizontal="center"/>
    </xf>
    <xf numFmtId="192" fontId="9" fillId="3" borderId="541">
      <alignment horizontal="right" vertical="center"/>
    </xf>
    <xf numFmtId="0" fontId="210" fillId="0" borderId="309" applyNumberFormat="0" applyFill="0" applyBorder="0" applyAlignment="0">
      <protection locked="0"/>
    </xf>
    <xf numFmtId="0" fontId="214" fillId="0" borderId="274" applyNumberFormat="0" applyFont="0" applyFill="0" applyAlignment="0" applyProtection="0"/>
    <xf numFmtId="0" fontId="25" fillId="10" borderId="275" applyNumberFormat="0" applyProtection="0">
      <alignment horizontal="left" vertical="top"/>
    </xf>
    <xf numFmtId="0" fontId="25" fillId="10" borderId="276" applyNumberFormat="0" applyProtection="0">
      <alignment horizontal="left" vertical="top"/>
    </xf>
    <xf numFmtId="0" fontId="25" fillId="10" borderId="277" applyNumberFormat="0" applyProtection="0">
      <alignment horizontal="left" vertical="top"/>
    </xf>
    <xf numFmtId="0" fontId="25" fillId="10" borderId="278" applyNumberFormat="0" applyProtection="0">
      <alignment horizontal="left" vertical="top"/>
    </xf>
    <xf numFmtId="0" fontId="25" fillId="10" borderId="275" applyNumberFormat="0" applyProtection="0">
      <alignment horizontal="left" vertical="top"/>
    </xf>
    <xf numFmtId="0" fontId="25" fillId="10" borderId="276" applyNumberFormat="0" applyProtection="0">
      <alignment horizontal="left" vertical="top"/>
    </xf>
    <xf numFmtId="0" fontId="25" fillId="10" borderId="277" applyNumberFormat="0" applyProtection="0">
      <alignment horizontal="left" vertical="top"/>
    </xf>
    <xf numFmtId="0" fontId="25" fillId="10" borderId="278" applyNumberFormat="0" applyProtection="0">
      <alignment horizontal="left" vertical="top"/>
    </xf>
    <xf numFmtId="254" fontId="240" fillId="0" borderId="309" applyBorder="0" applyProtection="0">
      <alignment horizontal="right" vertical="center"/>
    </xf>
    <xf numFmtId="0" fontId="241" fillId="94" borderId="309" applyBorder="0" applyProtection="0">
      <alignment horizontal="centerContinuous" vertical="center"/>
    </xf>
    <xf numFmtId="1" fontId="74" fillId="0" borderId="308" applyFill="0" applyBorder="0" applyProtection="0">
      <alignment horizontal="right"/>
    </xf>
    <xf numFmtId="246" fontId="249" fillId="0" borderId="309" applyFill="0" applyProtection="0">
      <alignment horizontal="center"/>
    </xf>
    <xf numFmtId="246" fontId="250" fillId="0" borderId="309" applyFill="0" applyProtection="0">
      <alignment horizontal="center"/>
    </xf>
    <xf numFmtId="264" fontId="12" fillId="14" borderId="4717" applyFont="0" applyFill="0" applyBorder="0" applyAlignment="0" applyProtection="0">
      <alignment horizontal="right"/>
    </xf>
    <xf numFmtId="264" fontId="12" fillId="14" borderId="493" applyFont="0" applyFill="0" applyBorder="0" applyAlignment="0" applyProtection="0">
      <alignment horizontal="right"/>
    </xf>
    <xf numFmtId="248" fontId="46" fillId="0" borderId="493"/>
    <xf numFmtId="188" fontId="25" fillId="0" borderId="308" applyFont="0" applyFill="0" applyBorder="0" applyAlignment="0" applyProtection="0">
      <alignment horizontal="center"/>
    </xf>
    <xf numFmtId="264" fontId="12" fillId="14" borderId="493" applyFont="0" applyFill="0" applyBorder="0" applyAlignment="0" applyProtection="0">
      <alignment horizontal="right"/>
    </xf>
    <xf numFmtId="246" fontId="250" fillId="0" borderId="505" applyFill="0" applyProtection="0">
      <alignment horizontal="center"/>
    </xf>
    <xf numFmtId="0" fontId="101" fillId="0" borderId="493" applyBorder="0"/>
    <xf numFmtId="0" fontId="166" fillId="0" borderId="493">
      <alignment horizontal="center"/>
    </xf>
    <xf numFmtId="0" fontId="12" fillId="0" borderId="292" applyNumberFormat="0" applyFill="0" applyBorder="0" applyAlignment="0" applyProtection="0"/>
    <xf numFmtId="0" fontId="46" fillId="0" borderId="292" applyNumberFormat="0" applyFill="0" applyBorder="0" applyAlignment="0" applyProtection="0"/>
    <xf numFmtId="0" fontId="105" fillId="0" borderId="292" applyNumberFormat="0" applyFill="0" applyBorder="0" applyAlignment="0" applyProtection="0"/>
    <xf numFmtId="0" fontId="48" fillId="0" borderId="292" applyNumberFormat="0" applyFill="0" applyAlignment="0" applyProtection="0"/>
    <xf numFmtId="5" fontId="114" fillId="0" borderId="291" applyAlignment="0" applyProtection="0"/>
    <xf numFmtId="0" fontId="74" fillId="0" borderId="291" applyFont="0" applyFill="0" applyBorder="0" applyAlignment="0" applyProtection="0">
      <alignment horizontal="center"/>
    </xf>
    <xf numFmtId="0" fontId="48" fillId="0" borderId="291" applyFont="0" applyFill="0" applyBorder="0" applyAlignment="0" applyProtection="0">
      <alignment horizontal="center"/>
    </xf>
    <xf numFmtId="182" fontId="145" fillId="3" borderId="291">
      <alignment horizontal="right" vertical="center"/>
    </xf>
    <xf numFmtId="186" fontId="48" fillId="3" borderId="291">
      <alignment vertical="center"/>
    </xf>
    <xf numFmtId="0" fontId="135" fillId="0" borderId="293"/>
    <xf numFmtId="0" fontId="135" fillId="0" borderId="293"/>
    <xf numFmtId="1" fontId="154" fillId="65" borderId="181" applyNumberFormat="0" applyBorder="0" applyAlignment="0">
      <alignment horizontal="centerContinuous" vertical="center"/>
      <protection locked="0"/>
    </xf>
    <xf numFmtId="0" fontId="159" fillId="0" borderId="293"/>
    <xf numFmtId="0" fontId="159" fillId="67" borderId="293"/>
    <xf numFmtId="0" fontId="25" fillId="69" borderId="293">
      <alignment horizontal="left" vertical="center" wrapText="1"/>
    </xf>
    <xf numFmtId="0" fontId="184" fillId="0" borderId="294" applyAlignment="0">
      <alignment horizontal="left" wrapText="1"/>
    </xf>
    <xf numFmtId="188" fontId="25" fillId="0" borderId="308" applyFont="0" applyFill="0" applyBorder="0" applyAlignment="0" applyProtection="0">
      <alignment horizontal="center"/>
    </xf>
    <xf numFmtId="4" fontId="223" fillId="53" borderId="295" applyNumberFormat="0" applyProtection="0">
      <alignment vertical="center"/>
    </xf>
    <xf numFmtId="4" fontId="224" fillId="53" borderId="295" applyNumberFormat="0" applyProtection="0">
      <alignment vertical="center"/>
    </xf>
    <xf numFmtId="4" fontId="184" fillId="53" borderId="295" applyNumberFormat="0" applyProtection="0">
      <alignment horizontal="left" vertical="center" indent="1"/>
    </xf>
    <xf numFmtId="0" fontId="225" fillId="53" borderId="295" applyNumberFormat="0" applyProtection="0">
      <alignment horizontal="left" vertical="top" indent="1"/>
    </xf>
    <xf numFmtId="4" fontId="226" fillId="76" borderId="295" applyNumberFormat="0" applyProtection="0">
      <alignment horizontal="right" vertical="center"/>
    </xf>
    <xf numFmtId="4" fontId="226" fillId="77" borderId="295" applyNumberFormat="0" applyProtection="0">
      <alignment horizontal="right" vertical="center"/>
    </xf>
    <xf numFmtId="4" fontId="226" fillId="78" borderId="295" applyNumberFormat="0" applyProtection="0">
      <alignment horizontal="right" vertical="center"/>
    </xf>
    <xf numFmtId="4" fontId="226" fillId="10" borderId="295" applyNumberFormat="0" applyProtection="0">
      <alignment horizontal="right" vertical="center"/>
    </xf>
    <xf numFmtId="4" fontId="226" fillId="79" borderId="295" applyNumberFormat="0" applyProtection="0">
      <alignment horizontal="right" vertical="center"/>
    </xf>
    <xf numFmtId="4" fontId="226" fillId="71" borderId="295" applyNumberFormat="0" applyProtection="0">
      <alignment horizontal="right" vertical="center"/>
    </xf>
    <xf numFmtId="4" fontId="226" fillId="80" borderId="295" applyNumberFormat="0" applyProtection="0">
      <alignment horizontal="right" vertical="center"/>
    </xf>
    <xf numFmtId="4" fontId="226" fillId="81" borderId="295" applyNumberFormat="0" applyProtection="0">
      <alignment horizontal="right" vertical="center"/>
    </xf>
    <xf numFmtId="4" fontId="226" fillId="82" borderId="295" applyNumberFormat="0" applyProtection="0">
      <alignment horizontal="right" vertical="center"/>
    </xf>
    <xf numFmtId="4" fontId="184" fillId="52" borderId="295" applyNumberFormat="0" applyProtection="0">
      <alignment horizontal="right" vertical="center"/>
    </xf>
    <xf numFmtId="0" fontId="12" fillId="75" borderId="295" applyNumberFormat="0" applyProtection="0">
      <alignment horizontal="left" vertical="center" indent="1"/>
    </xf>
    <xf numFmtId="0" fontId="12" fillId="75" borderId="295" applyNumberFormat="0" applyProtection="0">
      <alignment horizontal="left" vertical="top" indent="1"/>
    </xf>
    <xf numFmtId="0" fontId="12" fillId="84" borderId="295" applyNumberFormat="0" applyProtection="0">
      <alignment horizontal="left" vertical="center" indent="1"/>
    </xf>
    <xf numFmtId="0" fontId="12" fillId="84" borderId="295" applyNumberFormat="0" applyProtection="0">
      <alignment horizontal="left" vertical="top" indent="1"/>
    </xf>
    <xf numFmtId="0" fontId="12" fillId="52" borderId="295" applyNumberFormat="0" applyProtection="0">
      <alignment horizontal="left" vertical="center" indent="1"/>
    </xf>
    <xf numFmtId="0" fontId="12" fillId="52" borderId="295" applyNumberFormat="0" applyProtection="0">
      <alignment horizontal="left" vertical="top" indent="1"/>
    </xf>
    <xf numFmtId="0" fontId="12" fillId="11" borderId="295" applyNumberFormat="0" applyProtection="0">
      <alignment horizontal="left" vertical="center" indent="1"/>
    </xf>
    <xf numFmtId="0" fontId="12" fillId="11" borderId="295" applyNumberFormat="0" applyProtection="0">
      <alignment horizontal="left" vertical="top" indent="1"/>
    </xf>
    <xf numFmtId="4" fontId="226" fillId="11" borderId="295" applyNumberFormat="0" applyProtection="0">
      <alignment vertical="center"/>
    </xf>
    <xf numFmtId="4" fontId="228" fillId="11" borderId="295" applyNumberFormat="0" applyProtection="0">
      <alignment vertical="center"/>
    </xf>
    <xf numFmtId="4" fontId="227" fillId="52" borderId="296" applyNumberFormat="0" applyProtection="0">
      <alignment horizontal="left" vertical="center" indent="1"/>
    </xf>
    <xf numFmtId="0" fontId="136" fillId="14" borderId="295" applyNumberFormat="0" applyProtection="0">
      <alignment horizontal="left" vertical="top" indent="1"/>
    </xf>
    <xf numFmtId="4" fontId="184" fillId="11" borderId="295" applyNumberFormat="0" applyProtection="0">
      <alignment horizontal="right" vertical="center"/>
    </xf>
    <xf numFmtId="4" fontId="228" fillId="11" borderId="295" applyNumberFormat="0" applyProtection="0">
      <alignment horizontal="right" vertical="center"/>
    </xf>
    <xf numFmtId="4" fontId="223" fillId="52" borderId="295" applyNumberFormat="0" applyProtection="0">
      <alignment horizontal="left" vertical="center" indent="1"/>
    </xf>
    <xf numFmtId="0" fontId="136" fillId="84" borderId="295" applyNumberFormat="0" applyProtection="0">
      <alignment horizontal="left" vertical="top" indent="1"/>
    </xf>
    <xf numFmtId="4" fontId="229" fillId="84" borderId="296" applyNumberFormat="0" applyProtection="0">
      <alignment horizontal="left" vertical="center" indent="1"/>
    </xf>
    <xf numFmtId="4" fontId="230" fillId="11" borderId="295" applyNumberFormat="0" applyProtection="0">
      <alignment horizontal="right" vertical="center"/>
    </xf>
    <xf numFmtId="3" fontId="12" fillId="60" borderId="297" applyFont="0" applyFill="0" applyBorder="0" applyAlignment="0" applyProtection="0"/>
    <xf numFmtId="4" fontId="12" fillId="60" borderId="297" applyFont="0" applyFill="0" applyBorder="0" applyAlignment="0" applyProtection="0"/>
    <xf numFmtId="183" fontId="12" fillId="60" borderId="297" applyFont="0" applyFill="0" applyBorder="0" applyAlignment="0" applyProtection="0"/>
    <xf numFmtId="10" fontId="12" fillId="60" borderId="297" applyFont="0" applyFill="0" applyBorder="0" applyAlignment="0" applyProtection="0"/>
    <xf numFmtId="9" fontId="12" fillId="60" borderId="297" applyFont="0" applyFill="0" applyBorder="0" applyAlignment="0" applyProtection="0"/>
    <xf numFmtId="2" fontId="12" fillId="60" borderId="297" applyFont="0" applyFill="0" applyBorder="0" applyAlignment="0" applyProtection="0"/>
    <xf numFmtId="0" fontId="25" fillId="10" borderId="293" applyNumberFormat="0" applyProtection="0">
      <alignment horizontal="center" vertical="top"/>
    </xf>
    <xf numFmtId="0" fontId="25" fillId="10" borderId="293" applyNumberFormat="0" applyProtection="0">
      <alignment horizontal="center" vertical="top"/>
    </xf>
    <xf numFmtId="169" fontId="234" fillId="3" borderId="293" applyFont="0" applyProtection="0"/>
    <xf numFmtId="169" fontId="234" fillId="10" borderId="293" applyFont="0" applyProtection="0"/>
    <xf numFmtId="293" fontId="234" fillId="3" borderId="293" applyFont="0" applyProtection="0"/>
    <xf numFmtId="293" fontId="234" fillId="10" borderId="293" applyFont="0" applyProtection="0"/>
    <xf numFmtId="293" fontId="234" fillId="10" borderId="293" applyFont="0" applyProtection="0"/>
    <xf numFmtId="0" fontId="12" fillId="3" borderId="293" applyNumberFormat="0" applyFont="0" applyAlignment="0" applyProtection="0"/>
    <xf numFmtId="0" fontId="12" fillId="10" borderId="293" applyNumberFormat="0" applyFont="0" applyAlignment="0" applyProtection="0"/>
    <xf numFmtId="0" fontId="12" fillId="10" borderId="293" applyNumberFormat="0" applyFont="0" applyProtection="0"/>
    <xf numFmtId="0" fontId="25" fillId="10" borderId="298" applyNumberFormat="0" applyProtection="0">
      <alignment horizontal="left"/>
    </xf>
    <xf numFmtId="0" fontId="25" fillId="10" borderId="299" applyNumberFormat="0" applyProtection="0">
      <alignment horizontal="left" vertical="top"/>
    </xf>
    <xf numFmtId="0" fontId="25" fillId="10" borderId="300" applyNumberFormat="0" applyProtection="0">
      <alignment horizontal="left" vertical="top"/>
    </xf>
    <xf numFmtId="0" fontId="25" fillId="10" borderId="301" applyNumberFormat="0" applyProtection="0">
      <alignment horizontal="left" vertical="top"/>
    </xf>
    <xf numFmtId="0" fontId="25" fillId="10" borderId="302" applyNumberFormat="0" applyProtection="0">
      <alignment horizontal="left" vertical="top"/>
    </xf>
    <xf numFmtId="0" fontId="25" fillId="10" borderId="303" applyNumberFormat="0" applyProtection="0">
      <alignment horizontal="left" vertical="top"/>
    </xf>
    <xf numFmtId="0" fontId="25" fillId="10" borderId="304" applyNumberFormat="0" applyProtection="0">
      <alignment horizontal="left" vertical="top"/>
    </xf>
    <xf numFmtId="0" fontId="12" fillId="0" borderId="292" applyNumberFormat="0" applyFill="0" applyBorder="0" applyAlignment="0" applyProtection="0"/>
    <xf numFmtId="10" fontId="12" fillId="3" borderId="305" applyNumberFormat="0" applyFont="0" applyFill="0" applyBorder="0" applyAlignment="0">
      <protection locked="0"/>
    </xf>
    <xf numFmtId="0" fontId="12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186" fontId="146" fillId="3" borderId="493" applyBorder="0">
      <alignment horizontal="left" vertical="center"/>
    </xf>
    <xf numFmtId="0" fontId="101" fillId="0" borderId="505" applyBorder="0"/>
    <xf numFmtId="10" fontId="12" fillId="3" borderId="305" applyNumberFormat="0" applyFont="0" applyFill="0" applyBorder="0" applyAlignment="0">
      <protection locked="0"/>
    </xf>
    <xf numFmtId="188" fontId="25" fillId="0" borderId="308" applyFont="0" applyFill="0" applyBorder="0" applyAlignment="0" applyProtection="0">
      <alignment horizontal="center"/>
    </xf>
    <xf numFmtId="0" fontId="69" fillId="0" borderId="33" applyNumberFormat="0" applyFill="0" applyAlignment="0" applyProtection="0"/>
    <xf numFmtId="186" fontId="146" fillId="3" borderId="173">
      <alignment horizontal="left"/>
    </xf>
    <xf numFmtId="0" fontId="113" fillId="0" borderId="373" applyNumberFormat="0" applyFill="0" applyAlignment="0" applyProtection="0"/>
    <xf numFmtId="0" fontId="25" fillId="10" borderId="538" applyNumberFormat="0" applyProtection="0">
      <alignment horizontal="left" vertical="top"/>
    </xf>
    <xf numFmtId="246" fontId="250" fillId="0" borderId="373" applyFill="0" applyProtection="0">
      <alignment horizontal="center"/>
    </xf>
    <xf numFmtId="0" fontId="75" fillId="0" borderId="171" applyNumberFormat="0" applyFont="0" applyFill="0" applyAlignment="0" applyProtection="0"/>
    <xf numFmtId="10" fontId="12" fillId="3" borderId="305" applyNumberFormat="0" applyFont="0" applyFill="0" applyBorder="0" applyAlignment="0">
      <protection locked="0"/>
    </xf>
    <xf numFmtId="186" fontId="146" fillId="3" borderId="505" applyBorder="0">
      <alignment horizontal="left" vertical="center"/>
    </xf>
    <xf numFmtId="0" fontId="72" fillId="26" borderId="0" applyNumberFormat="0" applyBorder="0" applyAlignment="0" applyProtection="0"/>
    <xf numFmtId="180" fontId="9" fillId="3" borderId="505">
      <alignment horizontal="right" vertical="center"/>
    </xf>
    <xf numFmtId="10" fontId="12" fillId="3" borderId="305" applyNumberFormat="0" applyFont="0" applyFill="0" applyBorder="0" applyAlignment="0">
      <protection locked="0"/>
    </xf>
    <xf numFmtId="0" fontId="72" fillId="30" borderId="0" applyNumberFormat="0" applyBorder="0" applyAlignment="0" applyProtection="0"/>
    <xf numFmtId="222" fontId="79" fillId="0" borderId="306" applyBorder="0"/>
    <xf numFmtId="10" fontId="12" fillId="3" borderId="305" applyNumberFormat="0" applyFont="0" applyFill="0" applyBorder="0" applyAlignment="0">
      <protection locked="0"/>
    </xf>
    <xf numFmtId="190" fontId="113" fillId="0" borderId="565" applyNumberFormat="0" applyFill="0" applyAlignment="0" applyProtection="0"/>
    <xf numFmtId="0" fontId="101" fillId="0" borderId="309" applyBorder="0"/>
    <xf numFmtId="222" fontId="79" fillId="0" borderId="306" applyBorder="0"/>
    <xf numFmtId="0" fontId="113" fillId="0" borderId="309" applyNumberFormat="0" applyFill="0" applyAlignment="0" applyProtection="0"/>
    <xf numFmtId="0" fontId="12" fillId="0" borderId="309" applyNumberFormat="0" applyFill="0" applyBorder="0" applyAlignment="0" applyProtection="0">
      <alignment horizontal="center"/>
    </xf>
    <xf numFmtId="248" fontId="46" fillId="0" borderId="309"/>
    <xf numFmtId="0" fontId="25" fillId="10" borderId="561" applyNumberFormat="0" applyProtection="0">
      <alignment horizontal="left" vertical="top"/>
    </xf>
    <xf numFmtId="186" fontId="146" fillId="3" borderId="532">
      <alignment horizontal="left"/>
    </xf>
    <xf numFmtId="248" fontId="46" fillId="0" borderId="373"/>
    <xf numFmtId="192" fontId="9" fillId="3" borderId="309">
      <alignment horizontal="right" vertical="center"/>
    </xf>
    <xf numFmtId="180" fontId="9" fillId="3" borderId="309">
      <alignment horizontal="right" vertical="center"/>
    </xf>
    <xf numFmtId="186" fontId="146" fillId="3" borderId="309" applyBorder="0">
      <alignment horizontal="left" vertical="center"/>
    </xf>
    <xf numFmtId="0" fontId="165" fillId="0" borderId="309" applyFill="0" applyProtection="0">
      <alignment horizontal="center"/>
    </xf>
    <xf numFmtId="0" fontId="166" fillId="0" borderId="309">
      <alignment horizontal="center"/>
    </xf>
    <xf numFmtId="264" fontId="12" fillId="14" borderId="309" applyFont="0" applyFill="0" applyBorder="0" applyAlignment="0" applyProtection="0">
      <alignment horizontal="right"/>
    </xf>
    <xf numFmtId="0" fontId="210" fillId="0" borderId="309" applyNumberFormat="0" applyFill="0" applyBorder="0" applyAlignment="0">
      <protection locked="0"/>
    </xf>
    <xf numFmtId="254" fontId="240" fillId="0" borderId="309" applyBorder="0" applyProtection="0">
      <alignment horizontal="right" vertical="center"/>
    </xf>
    <xf numFmtId="0" fontId="241" fillId="94" borderId="309" applyBorder="0" applyProtection="0">
      <alignment horizontal="centerContinuous" vertical="center"/>
    </xf>
    <xf numFmtId="246" fontId="249" fillId="0" borderId="309" applyFill="0" applyProtection="0">
      <alignment horizontal="center"/>
    </xf>
    <xf numFmtId="246" fontId="250" fillId="0" borderId="309" applyFill="0" applyProtection="0">
      <alignment horizontal="center"/>
    </xf>
    <xf numFmtId="248" fontId="46" fillId="0" borderId="505"/>
    <xf numFmtId="0" fontId="12" fillId="0" borderId="505" applyNumberFormat="0" applyFill="0" applyBorder="0" applyAlignment="0" applyProtection="0">
      <alignment horizontal="center"/>
    </xf>
    <xf numFmtId="192" fontId="9" fillId="3" borderId="505">
      <alignment horizontal="right" vertical="center"/>
    </xf>
    <xf numFmtId="0" fontId="78" fillId="14" borderId="363" applyFont="0" applyFill="0" applyBorder="0" applyAlignment="0" applyProtection="0"/>
    <xf numFmtId="43" fontId="48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2" fillId="0" borderId="498" applyNumberFormat="0" applyAlignment="0" applyProtection="0"/>
    <xf numFmtId="0" fontId="72" fillId="42" borderId="0" applyNumberFormat="0" applyBorder="0" applyAlignment="0" applyProtection="0"/>
    <xf numFmtId="222" fontId="79" fillId="0" borderId="504" applyBorder="0"/>
    <xf numFmtId="10" fontId="12" fillId="3" borderId="305" applyNumberFormat="0" applyFont="0" applyFill="0" applyBorder="0" applyAlignment="0">
      <protection locked="0"/>
    </xf>
    <xf numFmtId="0" fontId="64" fillId="20" borderId="0" applyNumberFormat="0" applyBorder="0" applyAlignment="0" applyProtection="0"/>
    <xf numFmtId="0" fontId="101" fillId="0" borderId="505" applyBorder="0"/>
    <xf numFmtId="10" fontId="12" fillId="3" borderId="305" applyNumberFormat="0" applyFont="0" applyFill="0" applyBorder="0" applyAlignment="0">
      <protection locked="0"/>
    </xf>
    <xf numFmtId="0" fontId="68" fillId="23" borderId="31" applyNumberFormat="0" applyAlignment="0" applyProtection="0"/>
    <xf numFmtId="222" fontId="79" fillId="0" borderId="504" applyBorder="0"/>
    <xf numFmtId="0" fontId="25" fillId="10" borderId="501" applyNumberFormat="0" applyProtection="0">
      <alignment horizontal="left" vertical="top"/>
    </xf>
    <xf numFmtId="0" fontId="25" fillId="10" borderId="502" applyNumberFormat="0" applyProtection="0">
      <alignment horizontal="left" vertical="top"/>
    </xf>
    <xf numFmtId="0" fontId="25" fillId="10" borderId="503" applyNumberFormat="0" applyProtection="0">
      <alignment horizontal="left" vertical="top"/>
    </xf>
    <xf numFmtId="0" fontId="75" fillId="0" borderId="506" applyNumberFormat="0" applyFont="0" applyFill="0" applyAlignment="0" applyProtection="0"/>
    <xf numFmtId="0" fontId="113" fillId="0" borderId="1537" applyNumberFormat="0" applyFill="0" applyAlignment="0" applyProtection="0"/>
    <xf numFmtId="222" fontId="79" fillId="0" borderId="504" applyBorder="0"/>
    <xf numFmtId="310" fontId="267" fillId="0" borderId="310">
      <alignment horizontal="left"/>
    </xf>
    <xf numFmtId="0" fontId="25" fillId="10" borderId="501" applyNumberFormat="0" applyProtection="0">
      <alignment horizontal="left" vertical="top"/>
    </xf>
    <xf numFmtId="307" fontId="268" fillId="0" borderId="310">
      <alignment horizontal="right" wrapText="1"/>
    </xf>
    <xf numFmtId="0" fontId="25" fillId="10" borderId="500" applyNumberFormat="0" applyProtection="0">
      <alignment horizontal="left" vertical="top"/>
    </xf>
    <xf numFmtId="0" fontId="25" fillId="10" borderId="501" applyNumberFormat="0" applyProtection="0">
      <alignment horizontal="left" vertical="top"/>
    </xf>
    <xf numFmtId="0" fontId="12" fillId="0" borderId="0">
      <alignment horizontal="left" wrapText="1"/>
    </xf>
    <xf numFmtId="186" fontId="146" fillId="3" borderId="313">
      <alignment horizontal="left"/>
    </xf>
    <xf numFmtId="0" fontId="75" fillId="0" borderId="311" applyNumberFormat="0" applyFont="0" applyFill="0" applyAlignment="0" applyProtection="0"/>
    <xf numFmtId="0" fontId="214" fillId="0" borderId="499" applyNumberFormat="0" applyFont="0" applyFill="0" applyAlignment="0" applyProtection="0"/>
    <xf numFmtId="0" fontId="78" fillId="14" borderId="495" applyFont="0" applyFill="0" applyBorder="0" applyAlignment="0" applyProtection="0"/>
    <xf numFmtId="186" fontId="140" fillId="3" borderId="569">
      <alignment horizontal="center" vertical="center"/>
    </xf>
    <xf numFmtId="180" fontId="9" fillId="3" borderId="565">
      <alignment horizontal="right" vertical="center"/>
    </xf>
    <xf numFmtId="0" fontId="12" fillId="0" borderId="565" applyNumberFormat="0" applyFill="0" applyBorder="0" applyAlignment="0" applyProtection="0">
      <alignment horizontal="center"/>
    </xf>
    <xf numFmtId="0" fontId="12" fillId="0" borderId="2093" applyNumberFormat="0" applyFill="0" applyBorder="0" applyAlignment="0" applyProtection="0">
      <alignment horizontal="center"/>
    </xf>
    <xf numFmtId="222" fontId="79" fillId="0" borderId="564" applyBorder="0"/>
    <xf numFmtId="0" fontId="67" fillId="23" borderId="32" applyNumberFormat="0" applyAlignment="0" applyProtection="0"/>
    <xf numFmtId="0" fontId="306" fillId="24" borderId="34" applyNumberFormat="0" applyAlignment="0" applyProtection="0"/>
    <xf numFmtId="0" fontId="70" fillId="24" borderId="34" applyNumberFormat="0" applyAlignment="0" applyProtection="0"/>
    <xf numFmtId="186" fontId="146" fillId="3" borderId="1564">
      <alignment horizontal="left"/>
    </xf>
    <xf numFmtId="0" fontId="312" fillId="0" borderId="0" applyNumberFormat="0" applyFill="0" applyBorder="0" applyAlignment="0" applyProtection="0"/>
    <xf numFmtId="0" fontId="113" fillId="0" borderId="373" applyNumberFormat="0" applyFill="0" applyAlignment="0" applyProtection="0"/>
    <xf numFmtId="264" fontId="12" fillId="14" borderId="373" applyFont="0" applyFill="0" applyBorder="0" applyAlignment="0" applyProtection="0">
      <alignment horizontal="right"/>
    </xf>
    <xf numFmtId="246" fontId="249" fillId="0" borderId="373" applyFill="0" applyProtection="0">
      <alignment horizontal="center"/>
    </xf>
    <xf numFmtId="0" fontId="25" fillId="10" borderId="320" applyNumberFormat="0" applyProtection="0">
      <alignment horizontal="left" vertical="top"/>
    </xf>
    <xf numFmtId="0" fontId="25" fillId="10" borderId="318" applyNumberFormat="0" applyProtection="0">
      <alignment horizontal="left" vertical="top"/>
    </xf>
    <xf numFmtId="0" fontId="25" fillId="10" borderId="319" applyNumberFormat="0" applyProtection="0">
      <alignment horizontal="left" vertical="top"/>
    </xf>
    <xf numFmtId="0" fontId="25" fillId="10" borderId="317" applyNumberFormat="0" applyProtection="0">
      <alignment horizontal="left" vertical="top"/>
    </xf>
    <xf numFmtId="0" fontId="25" fillId="10" borderId="320" applyNumberFormat="0" applyProtection="0">
      <alignment horizontal="left" vertical="top"/>
    </xf>
    <xf numFmtId="0" fontId="25" fillId="10" borderId="319" applyNumberFormat="0" applyProtection="0">
      <alignment horizontal="left" vertical="top"/>
    </xf>
    <xf numFmtId="0" fontId="25" fillId="10" borderId="318" applyNumberFormat="0" applyProtection="0">
      <alignment horizontal="left" vertical="top"/>
    </xf>
    <xf numFmtId="0" fontId="25" fillId="10" borderId="317" applyNumberFormat="0" applyProtection="0">
      <alignment horizontal="left" vertical="top"/>
    </xf>
    <xf numFmtId="0" fontId="214" fillId="0" borderId="316" applyNumberFormat="0" applyFont="0" applyFill="0" applyAlignment="0" applyProtection="0"/>
    <xf numFmtId="0" fontId="2" fillId="0" borderId="315" applyNumberFormat="0" applyAlignment="0" applyProtection="0"/>
    <xf numFmtId="186" fontId="140" fillId="3" borderId="314">
      <alignment horizontal="center" vertical="center"/>
    </xf>
    <xf numFmtId="186" fontId="140" fillId="3" borderId="248">
      <alignment horizontal="center" vertical="center"/>
    </xf>
    <xf numFmtId="0" fontId="25" fillId="10" borderId="275" applyNumberFormat="0" applyProtection="0">
      <alignment horizontal="left" vertical="top"/>
    </xf>
    <xf numFmtId="0" fontId="12" fillId="0" borderId="373" applyNumberFormat="0" applyFill="0" applyBorder="0" applyAlignment="0" applyProtection="0">
      <alignment horizontal="center"/>
    </xf>
    <xf numFmtId="0" fontId="25" fillId="10" borderId="370" applyNumberFormat="0" applyProtection="0">
      <alignment horizontal="left" vertical="top"/>
    </xf>
    <xf numFmtId="0" fontId="12" fillId="0" borderId="0">
      <alignment horizontal="left" wrapText="1"/>
    </xf>
    <xf numFmtId="0" fontId="78" fillId="14" borderId="495" applyFont="0" applyFill="0" applyBorder="0" applyAlignment="0" applyProtection="0"/>
    <xf numFmtId="222" fontId="79" fillId="0" borderId="360" applyBorder="0"/>
    <xf numFmtId="0" fontId="78" fillId="14" borderId="363" applyFont="0" applyFill="0" applyBorder="0" applyAlignment="0" applyProtection="0"/>
    <xf numFmtId="222" fontId="79" fillId="0" borderId="372" applyBorder="0"/>
    <xf numFmtId="0" fontId="101" fillId="0" borderId="373" applyBorder="0"/>
    <xf numFmtId="222" fontId="79" fillId="0" borderId="372" applyBorder="0"/>
    <xf numFmtId="248" fontId="46" fillId="0" borderId="373"/>
    <xf numFmtId="192" fontId="9" fillId="3" borderId="373">
      <alignment horizontal="right" vertical="center"/>
    </xf>
    <xf numFmtId="180" fontId="9" fillId="3" borderId="373">
      <alignment horizontal="right" vertical="center"/>
    </xf>
    <xf numFmtId="186" fontId="146" fillId="3" borderId="373" applyBorder="0">
      <alignment horizontal="left" vertical="center"/>
    </xf>
    <xf numFmtId="0" fontId="165" fillId="0" borderId="373" applyFill="0" applyProtection="0">
      <alignment horizontal="center"/>
    </xf>
    <xf numFmtId="0" fontId="210" fillId="0" borderId="373" applyNumberFormat="0" applyFill="0" applyBorder="0" applyAlignment="0">
      <protection locked="0"/>
    </xf>
    <xf numFmtId="254" fontId="240" fillId="0" borderId="373" applyBorder="0" applyProtection="0">
      <alignment horizontal="right" vertical="center"/>
    </xf>
    <xf numFmtId="246" fontId="250" fillId="0" borderId="373" applyFill="0" applyProtection="0">
      <alignment horizontal="center"/>
    </xf>
    <xf numFmtId="10" fontId="12" fillId="3" borderId="305" applyNumberFormat="0" applyFont="0" applyFill="0" applyBorder="0" applyAlignment="0">
      <protection locked="0"/>
    </xf>
    <xf numFmtId="0" fontId="1" fillId="36" borderId="0" applyNumberFormat="0" applyBorder="0" applyAlignment="0" applyProtection="0"/>
    <xf numFmtId="222" fontId="79" fillId="0" borderId="306" applyBorder="0"/>
    <xf numFmtId="0" fontId="25" fillId="10" borderId="276" applyNumberFormat="0" applyProtection="0">
      <alignment horizontal="left" vertical="top"/>
    </xf>
    <xf numFmtId="0" fontId="25" fillId="10" borderId="278" applyNumberFormat="0" applyProtection="0">
      <alignment horizontal="left" vertical="top"/>
    </xf>
    <xf numFmtId="0" fontId="25" fillId="10" borderId="275" applyNumberFormat="0" applyProtection="0">
      <alignment horizontal="left" vertical="top"/>
    </xf>
    <xf numFmtId="0" fontId="25" fillId="10" borderId="276" applyNumberFormat="0" applyProtection="0">
      <alignment horizontal="left" vertical="top"/>
    </xf>
    <xf numFmtId="0" fontId="25" fillId="10" borderId="277" applyNumberFormat="0" applyProtection="0">
      <alignment horizontal="left" vertical="top"/>
    </xf>
    <xf numFmtId="0" fontId="75" fillId="0" borderId="311" applyNumberFormat="0" applyFont="0" applyFill="0" applyAlignment="0" applyProtection="0"/>
    <xf numFmtId="0" fontId="101" fillId="0" borderId="322" applyBorder="0"/>
    <xf numFmtId="222" fontId="79" fillId="0" borderId="321" applyBorder="0"/>
    <xf numFmtId="0" fontId="113" fillId="0" borderId="322" applyNumberFormat="0" applyFill="0" applyAlignment="0" applyProtection="0"/>
    <xf numFmtId="0" fontId="12" fillId="0" borderId="322" applyNumberFormat="0" applyFill="0" applyBorder="0" applyAlignment="0" applyProtection="0">
      <alignment horizontal="center"/>
    </xf>
    <xf numFmtId="248" fontId="46" fillId="0" borderId="322"/>
    <xf numFmtId="192" fontId="9" fillId="3" borderId="322">
      <alignment horizontal="right" vertical="center"/>
    </xf>
    <xf numFmtId="180" fontId="9" fillId="3" borderId="322">
      <alignment horizontal="right" vertical="center"/>
    </xf>
    <xf numFmtId="186" fontId="146" fillId="3" borderId="322" applyBorder="0">
      <alignment horizontal="left" vertical="center"/>
    </xf>
    <xf numFmtId="0" fontId="166" fillId="0" borderId="322">
      <alignment horizontal="center"/>
    </xf>
    <xf numFmtId="0" fontId="210" fillId="0" borderId="322" applyNumberFormat="0" applyFill="0" applyBorder="0" applyAlignment="0">
      <protection locked="0"/>
    </xf>
    <xf numFmtId="264" fontId="12" fillId="14" borderId="322" applyFont="0" applyFill="0" applyBorder="0" applyAlignment="0" applyProtection="0">
      <alignment horizontal="right"/>
    </xf>
    <xf numFmtId="246" fontId="249" fillId="0" borderId="322" applyFill="0" applyProtection="0">
      <alignment horizontal="center"/>
    </xf>
    <xf numFmtId="246" fontId="250" fillId="0" borderId="322" applyFill="0" applyProtection="0">
      <alignment horizontal="center"/>
    </xf>
    <xf numFmtId="246" fontId="250" fillId="0" borderId="349" applyFill="0" applyProtection="0">
      <alignment horizontal="center"/>
    </xf>
    <xf numFmtId="246" fontId="249" fillId="0" borderId="349" applyFill="0" applyProtection="0">
      <alignment horizontal="center"/>
    </xf>
    <xf numFmtId="254" fontId="240" fillId="0" borderId="349" applyBorder="0" applyProtection="0">
      <alignment horizontal="right" vertical="center"/>
    </xf>
    <xf numFmtId="264" fontId="12" fillId="14" borderId="349" applyFont="0" applyFill="0" applyBorder="0" applyAlignment="0" applyProtection="0">
      <alignment horizontal="right"/>
    </xf>
    <xf numFmtId="0" fontId="165" fillId="0" borderId="349" applyFill="0" applyProtection="0">
      <alignment horizontal="center"/>
    </xf>
    <xf numFmtId="180" fontId="9" fillId="3" borderId="349">
      <alignment horizontal="right" vertical="center"/>
    </xf>
    <xf numFmtId="0" fontId="12" fillId="0" borderId="349" applyNumberFormat="0" applyFill="0" applyBorder="0" applyAlignment="0" applyProtection="0">
      <alignment horizontal="center"/>
    </xf>
    <xf numFmtId="0" fontId="101" fillId="0" borderId="349" applyBorder="0"/>
    <xf numFmtId="222" fontId="79" fillId="0" borderId="348" applyBorder="0"/>
    <xf numFmtId="0" fontId="75" fillId="0" borderId="338" applyNumberFormat="0" applyFont="0" applyFill="0" applyAlignment="0" applyProtection="0"/>
    <xf numFmtId="0" fontId="2" fillId="0" borderId="342" applyNumberFormat="0" applyAlignment="0" applyProtection="0"/>
    <xf numFmtId="0" fontId="25" fillId="10" borderId="344" applyNumberFormat="0" applyProtection="0">
      <alignment horizontal="left" vertical="top"/>
    </xf>
    <xf numFmtId="0" fontId="25" fillId="10" borderId="347" applyNumberFormat="0" applyProtection="0">
      <alignment horizontal="left" vertical="top"/>
    </xf>
    <xf numFmtId="222" fontId="79" fillId="0" borderId="336" applyBorder="0"/>
    <xf numFmtId="0" fontId="25" fillId="10" borderId="319" applyNumberFormat="0" applyProtection="0">
      <alignment horizontal="left" vertical="top"/>
    </xf>
    <xf numFmtId="10" fontId="12" fillId="3" borderId="305" applyNumberFormat="0" applyFont="0" applyFill="0" applyBorder="0" applyAlignment="0">
      <protection locked="0"/>
    </xf>
    <xf numFmtId="0" fontId="25" fillId="10" borderId="317" applyNumberFormat="0" applyProtection="0">
      <alignment horizontal="left" vertical="top"/>
    </xf>
    <xf numFmtId="0" fontId="214" fillId="0" borderId="316" applyNumberFormat="0" applyFont="0" applyFill="0" applyAlignment="0" applyProtection="0"/>
    <xf numFmtId="186" fontId="146" fillId="3" borderId="313">
      <alignment horizontal="left"/>
    </xf>
    <xf numFmtId="222" fontId="79" fillId="0" borderId="321" applyBorder="0"/>
    <xf numFmtId="0" fontId="12" fillId="0" borderId="0">
      <alignment horizontal="left" wrapText="1"/>
    </xf>
    <xf numFmtId="186" fontId="146" fillId="3" borderId="493" applyBorder="0">
      <alignment horizontal="left" vertical="center"/>
    </xf>
    <xf numFmtId="10" fontId="12" fillId="3" borderId="305" applyNumberFormat="0" applyFont="0" applyFill="0" applyBorder="0" applyAlignment="0">
      <protection locked="0"/>
    </xf>
    <xf numFmtId="0" fontId="101" fillId="0" borderId="280" applyBorder="0"/>
    <xf numFmtId="0" fontId="113" fillId="0" borderId="280" applyNumberFormat="0" applyFill="0" applyAlignment="0" applyProtection="0"/>
    <xf numFmtId="0" fontId="12" fillId="0" borderId="280" applyNumberFormat="0" applyFill="0" applyBorder="0" applyAlignment="0" applyProtection="0">
      <alignment horizontal="center"/>
    </xf>
    <xf numFmtId="248" fontId="46" fillId="0" borderId="280"/>
    <xf numFmtId="192" fontId="9" fillId="3" borderId="280">
      <alignment horizontal="right" vertical="center"/>
    </xf>
    <xf numFmtId="180" fontId="9" fillId="3" borderId="280">
      <alignment horizontal="right" vertical="center"/>
    </xf>
    <xf numFmtId="186" fontId="146" fillId="3" borderId="280" applyBorder="0">
      <alignment horizontal="left" vertical="center"/>
    </xf>
    <xf numFmtId="0" fontId="165" fillId="0" borderId="280" applyFill="0" applyProtection="0">
      <alignment horizontal="center"/>
    </xf>
    <xf numFmtId="0" fontId="166" fillId="0" borderId="280">
      <alignment horizontal="center"/>
    </xf>
    <xf numFmtId="264" fontId="12" fillId="14" borderId="280" applyFont="0" applyFill="0" applyBorder="0" applyAlignment="0" applyProtection="0">
      <alignment horizontal="right"/>
    </xf>
    <xf numFmtId="0" fontId="210" fillId="0" borderId="280" applyNumberFormat="0" applyFill="0" applyBorder="0" applyAlignment="0">
      <protection locked="0"/>
    </xf>
    <xf numFmtId="1" fontId="108" fillId="55" borderId="101" applyNumberFormat="0" applyBorder="0" applyAlignment="0">
      <alignment horizontal="center" vertical="top" wrapText="1"/>
      <protection hidden="1"/>
    </xf>
    <xf numFmtId="248" fontId="46" fillId="0" borderId="349"/>
    <xf numFmtId="222" fontId="79" fillId="0" borderId="348" applyBorder="0"/>
    <xf numFmtId="186" fontId="140" fillId="3" borderId="341">
      <alignment horizontal="center" vertical="center"/>
    </xf>
    <xf numFmtId="0" fontId="25" fillId="10" borderId="346" applyNumberFormat="0" applyProtection="0">
      <alignment horizontal="left" vertical="top"/>
    </xf>
    <xf numFmtId="0" fontId="210" fillId="0" borderId="349" applyNumberFormat="0" applyFill="0" applyBorder="0" applyAlignment="0">
      <protection locked="0"/>
    </xf>
    <xf numFmtId="192" fontId="9" fillId="3" borderId="349">
      <alignment horizontal="right" vertical="center"/>
    </xf>
    <xf numFmtId="0" fontId="113" fillId="0" borderId="349" applyNumberFormat="0" applyFill="0" applyAlignment="0" applyProtection="0"/>
    <xf numFmtId="186" fontId="146" fillId="3" borderId="340">
      <alignment horizontal="left"/>
    </xf>
    <xf numFmtId="0" fontId="25" fillId="10" borderId="345" applyNumberFormat="0" applyProtection="0">
      <alignment horizontal="left" vertical="top"/>
    </xf>
    <xf numFmtId="254" fontId="240" fillId="0" borderId="280" applyBorder="0" applyProtection="0">
      <alignment horizontal="right" vertical="center"/>
    </xf>
    <xf numFmtId="0" fontId="241" fillId="94" borderId="280" applyBorder="0" applyProtection="0">
      <alignment horizontal="centerContinuous" vertical="center"/>
    </xf>
    <xf numFmtId="246" fontId="249" fillId="0" borderId="280" applyFill="0" applyProtection="0">
      <alignment horizontal="center"/>
    </xf>
    <xf numFmtId="246" fontId="250" fillId="0" borderId="280" applyFill="0" applyProtection="0">
      <alignment horizontal="center"/>
    </xf>
    <xf numFmtId="0" fontId="25" fillId="10" borderId="369" applyNumberFormat="0" applyProtection="0">
      <alignment horizontal="left" vertical="top"/>
    </xf>
    <xf numFmtId="10" fontId="12" fillId="3" borderId="305" applyNumberFormat="0" applyFont="0" applyFill="0" applyBorder="0" applyAlignment="0">
      <protection locked="0"/>
    </xf>
    <xf numFmtId="0" fontId="25" fillId="10" borderId="371" applyNumberFormat="0" applyProtection="0">
      <alignment horizontal="left" vertical="top"/>
    </xf>
    <xf numFmtId="222" fontId="79" fillId="0" borderId="321" applyBorder="0"/>
    <xf numFmtId="0" fontId="214" fillId="0" borderId="367" applyNumberFormat="0" applyFont="0" applyFill="0" applyAlignment="0" applyProtection="0"/>
    <xf numFmtId="0" fontId="75" fillId="0" borderId="171" applyNumberFormat="0" applyFont="0" applyFill="0" applyAlignment="0" applyProtection="0"/>
    <xf numFmtId="0" fontId="25" fillId="10" borderId="277" applyNumberFormat="0" applyProtection="0">
      <alignment horizontal="left" vertical="top"/>
    </xf>
    <xf numFmtId="0" fontId="25" fillId="10" borderId="278" applyNumberFormat="0" applyProtection="0">
      <alignment horizontal="left" vertical="top"/>
    </xf>
    <xf numFmtId="0" fontId="165" fillId="0" borderId="322" applyFill="0" applyProtection="0">
      <alignment horizontal="center"/>
    </xf>
    <xf numFmtId="254" fontId="240" fillId="0" borderId="322" applyBorder="0" applyProtection="0">
      <alignment horizontal="right" vertical="center"/>
    </xf>
    <xf numFmtId="0" fontId="241" fillId="94" borderId="322" applyBorder="0" applyProtection="0">
      <alignment horizontal="centerContinuous" vertical="center"/>
    </xf>
    <xf numFmtId="0" fontId="241" fillId="94" borderId="349" applyBorder="0" applyProtection="0">
      <alignment horizontal="centerContinuous" vertical="center"/>
    </xf>
    <xf numFmtId="0" fontId="166" fillId="0" borderId="349">
      <alignment horizontal="center"/>
    </xf>
    <xf numFmtId="186" fontId="146" fillId="3" borderId="349" applyBorder="0">
      <alignment horizontal="left" vertical="center"/>
    </xf>
    <xf numFmtId="0" fontId="214" fillId="0" borderId="343" applyNumberFormat="0" applyFont="0" applyFill="0" applyAlignment="0" applyProtection="0"/>
    <xf numFmtId="0" fontId="78" fillId="14" borderId="339" applyFont="0" applyFill="0" applyBorder="0" applyAlignment="0" applyProtection="0"/>
    <xf numFmtId="0" fontId="78" fillId="14" borderId="270" applyFont="0" applyFill="0" applyBorder="0" applyAlignment="0" applyProtection="0"/>
    <xf numFmtId="299" fontId="217" fillId="60" borderId="101" applyBorder="0">
      <alignment horizontal="right" vertical="center"/>
      <protection locked="0"/>
    </xf>
    <xf numFmtId="0" fontId="158" fillId="0" borderId="101" applyFill="0" applyBorder="0" applyProtection="0">
      <alignment horizontal="left" vertical="top"/>
    </xf>
    <xf numFmtId="0" fontId="25" fillId="10" borderId="278" applyNumberFormat="0" applyProtection="0">
      <alignment horizontal="left" vertical="top"/>
    </xf>
    <xf numFmtId="0" fontId="25" fillId="10" borderId="277" applyNumberFormat="0" applyProtection="0">
      <alignment horizontal="left" vertical="top"/>
    </xf>
    <xf numFmtId="0" fontId="25" fillId="10" borderId="276" applyNumberFormat="0" applyProtection="0">
      <alignment horizontal="left" vertical="top"/>
    </xf>
    <xf numFmtId="0" fontId="25" fillId="10" borderId="275" applyNumberFormat="0" applyProtection="0">
      <alignment horizontal="left" vertical="top"/>
    </xf>
    <xf numFmtId="186" fontId="140" fillId="3" borderId="365">
      <alignment horizontal="center" vertical="center"/>
    </xf>
    <xf numFmtId="0" fontId="214" fillId="0" borderId="274" applyNumberFormat="0" applyFont="0" applyFill="0" applyAlignment="0" applyProtection="0"/>
    <xf numFmtId="186" fontId="140" fillId="3" borderId="248">
      <alignment horizontal="center" vertical="center"/>
    </xf>
    <xf numFmtId="186" fontId="146" fillId="3" borderId="173">
      <alignment horizontal="left"/>
    </xf>
    <xf numFmtId="186" fontId="146" fillId="3" borderId="364">
      <alignment horizontal="left"/>
    </xf>
    <xf numFmtId="0" fontId="75" fillId="0" borderId="171" applyNumberFormat="0" applyFont="0" applyFill="0" applyAlignment="0" applyProtection="0"/>
    <xf numFmtId="0" fontId="303" fillId="30" borderId="0" applyNumberFormat="0" applyBorder="0" applyAlignment="0" applyProtection="0"/>
    <xf numFmtId="0" fontId="75" fillId="0" borderId="362" applyNumberFormat="0" applyFont="0" applyFill="0" applyAlignment="0" applyProtection="0"/>
    <xf numFmtId="0" fontId="303" fillId="38" borderId="0" applyNumberFormat="0" applyBorder="0" applyAlignment="0" applyProtection="0"/>
    <xf numFmtId="222" fontId="79" fillId="0" borderId="306" applyBorder="0"/>
    <xf numFmtId="222" fontId="79" fillId="0" borderId="306" applyBorder="0"/>
    <xf numFmtId="0" fontId="25" fillId="10" borderId="368" applyNumberFormat="0" applyProtection="0">
      <alignment horizontal="left" vertical="top"/>
    </xf>
    <xf numFmtId="0" fontId="304" fillId="20" borderId="0" applyNumberFormat="0" applyBorder="0" applyAlignment="0" applyProtection="0"/>
    <xf numFmtId="0" fontId="305" fillId="23" borderId="31" applyNumberFormat="0" applyAlignment="0" applyProtection="0"/>
    <xf numFmtId="0" fontId="2" fillId="0" borderId="366" applyNumberFormat="0" applyAlignment="0" applyProtection="0"/>
    <xf numFmtId="246" fontId="250" fillId="0" borderId="322" applyFill="0" applyProtection="0">
      <alignment horizontal="center"/>
    </xf>
    <xf numFmtId="246" fontId="249" fillId="0" borderId="322" applyFill="0" applyProtection="0">
      <alignment horizontal="center"/>
    </xf>
    <xf numFmtId="0" fontId="241" fillId="94" borderId="322" applyBorder="0" applyProtection="0">
      <alignment horizontal="centerContinuous" vertical="center"/>
    </xf>
    <xf numFmtId="254" fontId="240" fillId="0" borderId="322" applyBorder="0" applyProtection="0">
      <alignment horizontal="right" vertical="center"/>
    </xf>
    <xf numFmtId="0" fontId="210" fillId="0" borderId="322" applyNumberFormat="0" applyFill="0" applyBorder="0" applyAlignment="0">
      <protection locked="0"/>
    </xf>
    <xf numFmtId="264" fontId="12" fillId="14" borderId="322" applyFont="0" applyFill="0" applyBorder="0" applyAlignment="0" applyProtection="0">
      <alignment horizontal="right"/>
    </xf>
    <xf numFmtId="0" fontId="166" fillId="0" borderId="322">
      <alignment horizontal="center"/>
    </xf>
    <xf numFmtId="0" fontId="165" fillId="0" borderId="322" applyFill="0" applyProtection="0">
      <alignment horizontal="center"/>
    </xf>
    <xf numFmtId="186" fontId="146" fillId="3" borderId="322" applyBorder="0">
      <alignment horizontal="left" vertical="center"/>
    </xf>
    <xf numFmtId="180" fontId="9" fillId="3" borderId="322">
      <alignment horizontal="right" vertical="center"/>
    </xf>
    <xf numFmtId="192" fontId="9" fillId="3" borderId="322">
      <alignment horizontal="right" vertical="center"/>
    </xf>
    <xf numFmtId="248" fontId="46" fillId="0" borderId="322"/>
    <xf numFmtId="0" fontId="12" fillId="0" borderId="322" applyNumberFormat="0" applyFill="0" applyBorder="0" applyAlignment="0" applyProtection="0">
      <alignment horizontal="center"/>
    </xf>
    <xf numFmtId="0" fontId="113" fillId="0" borderId="322" applyNumberFormat="0" applyFill="0" applyAlignment="0" applyProtection="0"/>
    <xf numFmtId="222" fontId="79" fillId="0" borderId="321" applyBorder="0"/>
    <xf numFmtId="0" fontId="101" fillId="0" borderId="322" applyBorder="0"/>
    <xf numFmtId="222" fontId="79" fillId="0" borderId="321" applyBorder="0"/>
    <xf numFmtId="0" fontId="75" fillId="0" borderId="311" applyNumberFormat="0" applyFont="0" applyFill="0" applyAlignment="0" applyProtection="0"/>
    <xf numFmtId="186" fontId="146" fillId="3" borderId="313">
      <alignment horizontal="left"/>
    </xf>
    <xf numFmtId="186" fontId="140" fillId="3" borderId="314">
      <alignment horizontal="center" vertical="center"/>
    </xf>
    <xf numFmtId="0" fontId="2" fillId="0" borderId="315" applyNumberFormat="0" applyAlignment="0" applyProtection="0"/>
    <xf numFmtId="0" fontId="214" fillId="0" borderId="316" applyNumberFormat="0" applyFont="0" applyFill="0" applyAlignment="0" applyProtection="0"/>
    <xf numFmtId="0" fontId="25" fillId="10" borderId="317" applyNumberFormat="0" applyProtection="0">
      <alignment horizontal="left" vertical="top"/>
    </xf>
    <xf numFmtId="0" fontId="25" fillId="10" borderId="318" applyNumberFormat="0" applyProtection="0">
      <alignment horizontal="left" vertical="top"/>
    </xf>
    <xf numFmtId="0" fontId="25" fillId="10" borderId="319" applyNumberFormat="0" applyProtection="0">
      <alignment horizontal="left" vertical="top"/>
    </xf>
    <xf numFmtId="0" fontId="25" fillId="10" borderId="320" applyNumberFormat="0" applyProtection="0">
      <alignment horizontal="left" vertical="top"/>
    </xf>
    <xf numFmtId="0" fontId="78" fillId="14" borderId="312" applyFont="0" applyFill="0" applyBorder="0" applyAlignment="0" applyProtection="0"/>
    <xf numFmtId="246" fontId="250" fillId="0" borderId="565" applyFill="0" applyProtection="0">
      <alignment horizontal="center"/>
    </xf>
    <xf numFmtId="0" fontId="25" fillId="10" borderId="575" applyNumberFormat="0" applyProtection="0">
      <alignment horizontal="left" vertical="top"/>
    </xf>
    <xf numFmtId="222" fontId="79" fillId="0" borderId="306" applyBorder="0"/>
    <xf numFmtId="0" fontId="75" fillId="0" borderId="566" applyNumberFormat="0" applyFont="0" applyFill="0" applyAlignment="0" applyProtection="0"/>
    <xf numFmtId="0" fontId="272" fillId="0" borderId="0" applyNumberFormat="0" applyFill="0" applyBorder="0" applyAlignment="0" applyProtection="0"/>
    <xf numFmtId="0" fontId="276" fillId="54" borderId="323" applyNumberFormat="0" applyAlignment="0" applyProtection="0"/>
    <xf numFmtId="222" fontId="79" fillId="0" borderId="552" applyBorder="0"/>
    <xf numFmtId="0" fontId="101" fillId="0" borderId="517" applyBorder="0"/>
    <xf numFmtId="0" fontId="283" fillId="103" borderId="323" applyNumberFormat="0" applyAlignment="0" applyProtection="0"/>
    <xf numFmtId="0" fontId="50" fillId="117" borderId="294" applyNumberFormat="0" applyFont="0" applyAlignment="0" applyProtection="0"/>
    <xf numFmtId="0" fontId="78" fillId="14" borderId="507" applyFont="0" applyFill="0" applyBorder="0" applyAlignment="0" applyProtection="0"/>
    <xf numFmtId="0" fontId="71" fillId="0" borderId="0" applyNumberFormat="0" applyFill="0" applyBorder="0" applyAlignment="0" applyProtection="0"/>
    <xf numFmtId="0" fontId="286" fillId="54" borderId="324" applyNumberFormat="0" applyAlignment="0" applyProtection="0"/>
    <xf numFmtId="0" fontId="283" fillId="103" borderId="323" applyNumberFormat="0" applyAlignment="0" applyProtection="0"/>
    <xf numFmtId="222" fontId="79" fillId="0" borderId="504" applyBorder="0"/>
    <xf numFmtId="0" fontId="288" fillId="0" borderId="325" applyNumberFormat="0" applyFill="0" applyAlignment="0" applyProtection="0"/>
    <xf numFmtId="0" fontId="276" fillId="54" borderId="323" applyNumberFormat="0" applyAlignment="0" applyProtection="0"/>
    <xf numFmtId="0" fontId="2" fillId="0" borderId="498" applyNumberFormat="0" applyAlignment="0" applyProtection="0"/>
    <xf numFmtId="0" fontId="214" fillId="0" borderId="499" applyNumberFormat="0" applyFont="0" applyFill="0" applyAlignment="0" applyProtection="0"/>
    <xf numFmtId="0" fontId="78" fillId="14" borderId="495" applyFont="0" applyFill="0" applyBorder="0" applyAlignment="0" applyProtection="0"/>
    <xf numFmtId="43" fontId="48" fillId="0" borderId="0" applyFont="0" applyFill="0" applyBorder="0" applyAlignment="0" applyProtection="0"/>
    <xf numFmtId="0" fontId="101" fillId="0" borderId="565" applyBorder="0"/>
    <xf numFmtId="0" fontId="78" fillId="14" borderId="270" applyFont="0" applyFill="0" applyBorder="0" applyAlignment="0" applyProtection="0"/>
    <xf numFmtId="222" fontId="79" fillId="0" borderId="306" applyBorder="0"/>
    <xf numFmtId="186" fontId="146" fillId="3" borderId="496">
      <alignment horizontal="left"/>
    </xf>
    <xf numFmtId="0" fontId="25" fillId="10" borderId="573" applyNumberFormat="0" applyProtection="0">
      <alignment horizontal="left" vertical="top"/>
    </xf>
    <xf numFmtId="0" fontId="214" fillId="0" borderId="571" applyNumberFormat="0" applyFont="0" applyFill="0" applyAlignment="0" applyProtection="0"/>
    <xf numFmtId="0" fontId="25" fillId="10" borderId="515" applyNumberFormat="0" applyProtection="0">
      <alignment horizontal="left" vertical="top"/>
    </xf>
    <xf numFmtId="0" fontId="78" fillId="14" borderId="270" applyFont="0" applyFill="0" applyBorder="0" applyAlignment="0" applyProtection="0"/>
    <xf numFmtId="0" fontId="25" fillId="10" borderId="278" applyNumberFormat="0" applyProtection="0">
      <alignment horizontal="left" vertical="top"/>
    </xf>
    <xf numFmtId="0" fontId="25" fillId="10" borderId="277" applyNumberFormat="0" applyProtection="0">
      <alignment horizontal="left" vertical="top"/>
    </xf>
    <xf numFmtId="0" fontId="25" fillId="10" borderId="276" applyNumberFormat="0" applyProtection="0">
      <alignment horizontal="left" vertical="top"/>
    </xf>
    <xf numFmtId="0" fontId="25" fillId="10" borderId="275" applyNumberFormat="0" applyProtection="0">
      <alignment horizontal="left" vertical="top"/>
    </xf>
    <xf numFmtId="0" fontId="166" fillId="0" borderId="565">
      <alignment horizontal="center"/>
    </xf>
    <xf numFmtId="0" fontId="214" fillId="0" borderId="274" applyNumberFormat="0" applyFont="0" applyFill="0" applyAlignment="0" applyProtection="0"/>
    <xf numFmtId="186" fontId="140" fillId="3" borderId="248">
      <alignment horizontal="center" vertical="center"/>
    </xf>
    <xf numFmtId="186" fontId="146" fillId="3" borderId="173">
      <alignment horizontal="left"/>
    </xf>
    <xf numFmtId="186" fontId="146" fillId="3" borderId="568">
      <alignment horizontal="left"/>
    </xf>
    <xf numFmtId="0" fontId="75" fillId="0" borderId="171" applyNumberFormat="0" applyFont="0" applyFill="0" applyAlignment="0" applyProtection="0"/>
    <xf numFmtId="192" fontId="9" fillId="3" borderId="565">
      <alignment horizontal="right" vertical="center"/>
    </xf>
    <xf numFmtId="222" fontId="79" fillId="0" borderId="306" applyBorder="0"/>
    <xf numFmtId="0" fontId="101" fillId="0" borderId="309" applyBorder="0"/>
    <xf numFmtId="222" fontId="79" fillId="0" borderId="306" applyBorder="0"/>
    <xf numFmtId="0" fontId="113" fillId="0" borderId="309" applyNumberFormat="0" applyFill="0" applyAlignment="0" applyProtection="0"/>
    <xf numFmtId="0" fontId="12" fillId="0" borderId="309" applyNumberFormat="0" applyFill="0" applyBorder="0" applyAlignment="0" applyProtection="0">
      <alignment horizontal="center"/>
    </xf>
    <xf numFmtId="248" fontId="46" fillId="0" borderId="309"/>
    <xf numFmtId="192" fontId="9" fillId="3" borderId="309">
      <alignment horizontal="right" vertical="center"/>
    </xf>
    <xf numFmtId="180" fontId="9" fillId="3" borderId="309">
      <alignment horizontal="right" vertical="center"/>
    </xf>
    <xf numFmtId="186" fontId="146" fillId="3" borderId="309" applyBorder="0">
      <alignment horizontal="left" vertical="center"/>
    </xf>
    <xf numFmtId="0" fontId="165" fillId="0" borderId="309" applyFill="0" applyProtection="0">
      <alignment horizontal="center"/>
    </xf>
    <xf numFmtId="0" fontId="166" fillId="0" borderId="309">
      <alignment horizontal="center"/>
    </xf>
    <xf numFmtId="264" fontId="12" fillId="14" borderId="309" applyFont="0" applyFill="0" applyBorder="0" applyAlignment="0" applyProtection="0">
      <alignment horizontal="right"/>
    </xf>
    <xf numFmtId="0" fontId="210" fillId="0" borderId="309" applyNumberFormat="0" applyFill="0" applyBorder="0" applyAlignment="0">
      <protection locked="0"/>
    </xf>
    <xf numFmtId="254" fontId="240" fillId="0" borderId="309" applyBorder="0" applyProtection="0">
      <alignment horizontal="right" vertical="center"/>
    </xf>
    <xf numFmtId="0" fontId="241" fillId="94" borderId="309" applyBorder="0" applyProtection="0">
      <alignment horizontal="centerContinuous" vertical="center"/>
    </xf>
    <xf numFmtId="246" fontId="249" fillId="0" borderId="309" applyFill="0" applyProtection="0">
      <alignment horizontal="center"/>
    </xf>
    <xf numFmtId="246" fontId="250" fillId="0" borderId="309" applyFill="0" applyProtection="0">
      <alignment horizontal="center"/>
    </xf>
    <xf numFmtId="0" fontId="25" fillId="10" borderId="573" applyNumberFormat="0" applyProtection="0">
      <alignment horizontal="left" vertical="top"/>
    </xf>
    <xf numFmtId="0" fontId="286" fillId="54" borderId="324" applyNumberFormat="0" applyAlignment="0" applyProtection="0"/>
    <xf numFmtId="0" fontId="307" fillId="0" borderId="0" applyNumberFormat="0" applyFill="0" applyBorder="0" applyAlignment="0" applyProtection="0"/>
    <xf numFmtId="0" fontId="75" fillId="0" borderId="494" applyNumberFormat="0" applyFont="0" applyFill="0" applyAlignment="0" applyProtection="0"/>
    <xf numFmtId="0" fontId="210" fillId="0" borderId="565" applyNumberFormat="0" applyFill="0" applyBorder="0" applyAlignment="0">
      <protection locked="0"/>
    </xf>
    <xf numFmtId="0" fontId="288" fillId="0" borderId="325" applyNumberFormat="0" applyFill="0" applyAlignment="0" applyProtection="0"/>
    <xf numFmtId="0" fontId="25" fillId="10" borderId="503" applyNumberFormat="0" applyProtection="0">
      <alignment horizontal="left" vertical="top"/>
    </xf>
    <xf numFmtId="0" fontId="25" fillId="10" borderId="501" applyNumberFormat="0" applyProtection="0">
      <alignment horizontal="left" vertical="top"/>
    </xf>
    <xf numFmtId="0" fontId="25" fillId="10" borderId="502" applyNumberFormat="0" applyProtection="0">
      <alignment horizontal="left" vertical="top"/>
    </xf>
    <xf numFmtId="0" fontId="25" fillId="10" borderId="500" applyNumberFormat="0" applyProtection="0">
      <alignment horizontal="left" vertical="top"/>
    </xf>
    <xf numFmtId="186" fontId="140" fillId="3" borderId="497">
      <alignment horizontal="center" vertical="center"/>
    </xf>
    <xf numFmtId="0" fontId="241" fillId="94" borderId="373" applyBorder="0" applyProtection="0">
      <alignment horizontal="centerContinuous" vertical="center"/>
    </xf>
    <xf numFmtId="0" fontId="166" fillId="0" borderId="373">
      <alignment horizontal="center"/>
    </xf>
    <xf numFmtId="0" fontId="214" fillId="0" borderId="274" applyNumberFormat="0" applyFont="0" applyFill="0" applyAlignment="0" applyProtection="0"/>
    <xf numFmtId="246" fontId="250" fillId="0" borderId="309" applyFill="0" applyProtection="0">
      <alignment horizontal="center"/>
    </xf>
    <xf numFmtId="246" fontId="249" fillId="0" borderId="309" applyFill="0" applyProtection="0">
      <alignment horizontal="center"/>
    </xf>
    <xf numFmtId="0" fontId="241" fillId="94" borderId="309" applyBorder="0" applyProtection="0">
      <alignment horizontal="centerContinuous" vertical="center"/>
    </xf>
    <xf numFmtId="254" fontId="240" fillId="0" borderId="309" applyBorder="0" applyProtection="0">
      <alignment horizontal="right" vertical="center"/>
    </xf>
    <xf numFmtId="0" fontId="210" fillId="0" borderId="309" applyNumberFormat="0" applyFill="0" applyBorder="0" applyAlignment="0">
      <protection locked="0"/>
    </xf>
    <xf numFmtId="264" fontId="12" fillId="14" borderId="309" applyFont="0" applyFill="0" applyBorder="0" applyAlignment="0" applyProtection="0">
      <alignment horizontal="right"/>
    </xf>
    <xf numFmtId="0" fontId="166" fillId="0" borderId="309">
      <alignment horizontal="center"/>
    </xf>
    <xf numFmtId="0" fontId="165" fillId="0" borderId="309" applyFill="0" applyProtection="0">
      <alignment horizontal="center"/>
    </xf>
    <xf numFmtId="186" fontId="146" fillId="3" borderId="309" applyBorder="0">
      <alignment horizontal="left" vertical="center"/>
    </xf>
    <xf numFmtId="180" fontId="9" fillId="3" borderId="309">
      <alignment horizontal="right" vertical="center"/>
    </xf>
    <xf numFmtId="192" fontId="9" fillId="3" borderId="309">
      <alignment horizontal="right" vertical="center"/>
    </xf>
    <xf numFmtId="248" fontId="46" fillId="0" borderId="309"/>
    <xf numFmtId="0" fontId="12" fillId="0" borderId="309" applyNumberFormat="0" applyFill="0" applyBorder="0" applyAlignment="0" applyProtection="0">
      <alignment horizontal="center"/>
    </xf>
    <xf numFmtId="0" fontId="113" fillId="0" borderId="309" applyNumberFormat="0" applyFill="0" applyAlignment="0" applyProtection="0"/>
    <xf numFmtId="222" fontId="79" fillId="0" borderId="306" applyBorder="0"/>
    <xf numFmtId="0" fontId="101" fillId="0" borderId="309" applyBorder="0"/>
    <xf numFmtId="222" fontId="79" fillId="0" borderId="306" applyBorder="0"/>
    <xf numFmtId="0" fontId="75" fillId="0" borderId="171" applyNumberFormat="0" applyFont="0" applyFill="0" applyAlignment="0" applyProtection="0"/>
    <xf numFmtId="186" fontId="146" fillId="3" borderId="173">
      <alignment horizontal="left"/>
    </xf>
    <xf numFmtId="186" fontId="140" fillId="3" borderId="248">
      <alignment horizontal="center" vertical="center"/>
    </xf>
    <xf numFmtId="0" fontId="214" fillId="0" borderId="274" applyNumberFormat="0" applyFont="0" applyFill="0" applyAlignment="0" applyProtection="0"/>
    <xf numFmtId="0" fontId="25" fillId="10" borderId="275" applyNumberFormat="0" applyProtection="0">
      <alignment horizontal="left" vertical="top"/>
    </xf>
    <xf numFmtId="0" fontId="25" fillId="10" borderId="276" applyNumberFormat="0" applyProtection="0">
      <alignment horizontal="left" vertical="top"/>
    </xf>
    <xf numFmtId="0" fontId="25" fillId="10" borderId="277" applyNumberFormat="0" applyProtection="0">
      <alignment horizontal="left" vertical="top"/>
    </xf>
    <xf numFmtId="0" fontId="25" fillId="10" borderId="278" applyNumberFormat="0" applyProtection="0">
      <alignment horizontal="left" vertical="top"/>
    </xf>
    <xf numFmtId="0" fontId="78" fillId="14" borderId="282" applyFont="0" applyFill="0" applyBorder="0" applyAlignment="0" applyProtection="0"/>
    <xf numFmtId="222" fontId="79" fillId="0" borderId="321" applyBorder="0"/>
    <xf numFmtId="0" fontId="78" fillId="14" borderId="312" applyFont="0" applyFill="0" applyBorder="0" applyAlignment="0" applyProtection="0"/>
    <xf numFmtId="186" fontId="146" fillId="3" borderId="173">
      <alignment horizontal="left"/>
    </xf>
    <xf numFmtId="0" fontId="78" fillId="14" borderId="312" applyFont="0" applyFill="0" applyBorder="0" applyAlignment="0" applyProtection="0"/>
    <xf numFmtId="222" fontId="79" fillId="0" borderId="321" applyBorder="0"/>
    <xf numFmtId="0" fontId="2" fillId="0" borderId="315" applyNumberFormat="0" applyAlignment="0" applyProtection="0"/>
    <xf numFmtId="0" fontId="78" fillId="14" borderId="312" applyFont="0" applyFill="0" applyBorder="0" applyAlignment="0" applyProtection="0"/>
    <xf numFmtId="0" fontId="25" fillId="10" borderId="320" applyNumberFormat="0" applyProtection="0">
      <alignment horizontal="left" vertical="top"/>
    </xf>
    <xf numFmtId="0" fontId="25" fillId="10" borderId="319" applyNumberFormat="0" applyProtection="0">
      <alignment horizontal="left" vertical="top"/>
    </xf>
    <xf numFmtId="0" fontId="25" fillId="10" borderId="318" applyNumberFormat="0" applyProtection="0">
      <alignment horizontal="left" vertical="top"/>
    </xf>
    <xf numFmtId="0" fontId="25" fillId="10" borderId="317" applyNumberFormat="0" applyProtection="0">
      <alignment horizontal="left" vertical="top"/>
    </xf>
    <xf numFmtId="0" fontId="25" fillId="10" borderId="318" applyNumberFormat="0" applyProtection="0">
      <alignment horizontal="left" vertical="top"/>
    </xf>
    <xf numFmtId="0" fontId="214" fillId="0" borderId="316" applyNumberFormat="0" applyFont="0" applyFill="0" applyAlignment="0" applyProtection="0"/>
    <xf numFmtId="0" fontId="2" fillId="0" borderId="315" applyNumberFormat="0" applyAlignment="0" applyProtection="0"/>
    <xf numFmtId="186" fontId="140" fillId="3" borderId="314">
      <alignment horizontal="center" vertical="center"/>
    </xf>
    <xf numFmtId="186" fontId="146" fillId="3" borderId="313">
      <alignment horizontal="left"/>
    </xf>
    <xf numFmtId="0" fontId="25" fillId="10" borderId="320" applyNumberFormat="0" applyProtection="0">
      <alignment horizontal="left" vertical="top"/>
    </xf>
    <xf numFmtId="0" fontId="75" fillId="0" borderId="311" applyNumberFormat="0" applyFont="0" applyFill="0" applyAlignment="0" applyProtection="0"/>
    <xf numFmtId="222" fontId="79" fillId="0" borderId="321" applyBorder="0"/>
    <xf numFmtId="0" fontId="101" fillId="0" borderId="322" applyBorder="0"/>
    <xf numFmtId="222" fontId="79" fillId="0" borderId="321" applyBorder="0"/>
    <xf numFmtId="0" fontId="113" fillId="0" borderId="322" applyNumberFormat="0" applyFill="0" applyAlignment="0" applyProtection="0"/>
    <xf numFmtId="0" fontId="12" fillId="0" borderId="322" applyNumberFormat="0" applyFill="0" applyBorder="0" applyAlignment="0" applyProtection="0">
      <alignment horizontal="center"/>
    </xf>
    <xf numFmtId="248" fontId="46" fillId="0" borderId="322"/>
    <xf numFmtId="192" fontId="9" fillId="3" borderId="322">
      <alignment horizontal="right" vertical="center"/>
    </xf>
    <xf numFmtId="180" fontId="9" fillId="3" borderId="322">
      <alignment horizontal="right" vertical="center"/>
    </xf>
    <xf numFmtId="186" fontId="146" fillId="3" borderId="322" applyBorder="0">
      <alignment horizontal="left" vertical="center"/>
    </xf>
    <xf numFmtId="0" fontId="165" fillId="0" borderId="322" applyFill="0" applyProtection="0">
      <alignment horizontal="center"/>
    </xf>
    <xf numFmtId="0" fontId="166" fillId="0" borderId="322">
      <alignment horizontal="center"/>
    </xf>
    <xf numFmtId="264" fontId="12" fillId="14" borderId="322" applyFont="0" applyFill="0" applyBorder="0" applyAlignment="0" applyProtection="0">
      <alignment horizontal="right"/>
    </xf>
    <xf numFmtId="0" fontId="210" fillId="0" borderId="322" applyNumberFormat="0" applyFill="0" applyBorder="0" applyAlignment="0">
      <protection locked="0"/>
    </xf>
    <xf numFmtId="254" fontId="240" fillId="0" borderId="322" applyBorder="0" applyProtection="0">
      <alignment horizontal="right" vertical="center"/>
    </xf>
    <xf numFmtId="0" fontId="241" fillId="94" borderId="322" applyBorder="0" applyProtection="0">
      <alignment horizontal="centerContinuous" vertical="center"/>
    </xf>
    <xf numFmtId="246" fontId="249" fillId="0" borderId="322" applyFill="0" applyProtection="0">
      <alignment horizontal="center"/>
    </xf>
    <xf numFmtId="246" fontId="250" fillId="0" borderId="322" applyFill="0" applyProtection="0">
      <alignment horizontal="center"/>
    </xf>
    <xf numFmtId="186" fontId="140" fillId="3" borderId="314">
      <alignment horizontal="center" vertical="center"/>
    </xf>
    <xf numFmtId="0" fontId="78" fillId="14" borderId="282" applyFont="0" applyFill="0" applyBorder="0" applyAlignment="0" applyProtection="0"/>
    <xf numFmtId="222" fontId="79" fillId="0" borderId="321" applyBorder="0"/>
    <xf numFmtId="0" fontId="78" fillId="14" borderId="327" applyFont="0" applyFill="0" applyBorder="0" applyAlignment="0" applyProtection="0"/>
    <xf numFmtId="0" fontId="25" fillId="10" borderId="335" applyNumberFormat="0" applyProtection="0">
      <alignment horizontal="left" vertical="top"/>
    </xf>
    <xf numFmtId="0" fontId="25" fillId="10" borderId="334" applyNumberFormat="0" applyProtection="0">
      <alignment horizontal="left" vertical="top"/>
    </xf>
    <xf numFmtId="0" fontId="25" fillId="10" borderId="333" applyNumberFormat="0" applyProtection="0">
      <alignment horizontal="left" vertical="top"/>
    </xf>
    <xf numFmtId="0" fontId="25" fillId="10" borderId="332" applyNumberFormat="0" applyProtection="0">
      <alignment horizontal="left" vertical="top"/>
    </xf>
    <xf numFmtId="0" fontId="214" fillId="0" borderId="331" applyNumberFormat="0" applyFont="0" applyFill="0" applyAlignment="0" applyProtection="0"/>
    <xf numFmtId="0" fontId="2" fillId="0" borderId="330" applyNumberFormat="0" applyAlignment="0" applyProtection="0"/>
    <xf numFmtId="186" fontId="140" fillId="3" borderId="329">
      <alignment horizontal="center" vertical="center"/>
    </xf>
    <xf numFmtId="186" fontId="146" fillId="3" borderId="328">
      <alignment horizontal="left"/>
    </xf>
    <xf numFmtId="0" fontId="75" fillId="0" borderId="326" applyNumberFormat="0" applyFont="0" applyFill="0" applyAlignment="0" applyProtection="0"/>
    <xf numFmtId="222" fontId="79" fillId="0" borderId="336" applyBorder="0"/>
    <xf numFmtId="0" fontId="101" fillId="0" borderId="337" applyBorder="0"/>
    <xf numFmtId="222" fontId="79" fillId="0" borderId="336" applyBorder="0"/>
    <xf numFmtId="0" fontId="113" fillId="0" borderId="337" applyNumberFormat="0" applyFill="0" applyAlignment="0" applyProtection="0"/>
    <xf numFmtId="0" fontId="12" fillId="0" borderId="337" applyNumberFormat="0" applyFill="0" applyBorder="0" applyAlignment="0" applyProtection="0">
      <alignment horizontal="center"/>
    </xf>
    <xf numFmtId="248" fontId="46" fillId="0" borderId="337"/>
    <xf numFmtId="192" fontId="9" fillId="3" borderId="337">
      <alignment horizontal="right" vertical="center"/>
    </xf>
    <xf numFmtId="180" fontId="9" fillId="3" borderId="337">
      <alignment horizontal="right" vertical="center"/>
    </xf>
    <xf numFmtId="186" fontId="146" fillId="3" borderId="337" applyBorder="0">
      <alignment horizontal="left" vertical="center"/>
    </xf>
    <xf numFmtId="0" fontId="165" fillId="0" borderId="337" applyFill="0" applyProtection="0">
      <alignment horizontal="center"/>
    </xf>
    <xf numFmtId="0" fontId="166" fillId="0" borderId="337">
      <alignment horizontal="center"/>
    </xf>
    <xf numFmtId="264" fontId="12" fillId="14" borderId="337" applyFont="0" applyFill="0" applyBorder="0" applyAlignment="0" applyProtection="0">
      <alignment horizontal="right"/>
    </xf>
    <xf numFmtId="0" fontId="210" fillId="0" borderId="337" applyNumberFormat="0" applyFill="0" applyBorder="0" applyAlignment="0">
      <protection locked="0"/>
    </xf>
    <xf numFmtId="254" fontId="240" fillId="0" borderId="337" applyBorder="0" applyProtection="0">
      <alignment horizontal="right" vertical="center"/>
    </xf>
    <xf numFmtId="0" fontId="241" fillId="94" borderId="337" applyBorder="0" applyProtection="0">
      <alignment horizontal="centerContinuous" vertical="center"/>
    </xf>
    <xf numFmtId="246" fontId="249" fillId="0" borderId="337" applyFill="0" applyProtection="0">
      <alignment horizontal="center"/>
    </xf>
    <xf numFmtId="246" fontId="250" fillId="0" borderId="337" applyFill="0" applyProtection="0">
      <alignment horizontal="center"/>
    </xf>
    <xf numFmtId="222" fontId="79" fillId="0" borderId="348" applyBorder="0"/>
    <xf numFmtId="0" fontId="78" fillId="14" borderId="351" applyFont="0" applyFill="0" applyBorder="0" applyAlignment="0" applyProtection="0"/>
    <xf numFmtId="0" fontId="25" fillId="10" borderId="359" applyNumberFormat="0" applyProtection="0">
      <alignment horizontal="left" vertical="top"/>
    </xf>
    <xf numFmtId="0" fontId="25" fillId="10" borderId="358" applyNumberFormat="0" applyProtection="0">
      <alignment horizontal="left" vertical="top"/>
    </xf>
    <xf numFmtId="0" fontId="25" fillId="10" borderId="357" applyNumberFormat="0" applyProtection="0">
      <alignment horizontal="left" vertical="top"/>
    </xf>
    <xf numFmtId="0" fontId="25" fillId="10" borderId="356" applyNumberFormat="0" applyProtection="0">
      <alignment horizontal="left" vertical="top"/>
    </xf>
    <xf numFmtId="0" fontId="214" fillId="0" borderId="355" applyNumberFormat="0" applyFont="0" applyFill="0" applyAlignment="0" applyProtection="0"/>
    <xf numFmtId="0" fontId="2" fillId="0" borderId="354" applyNumberFormat="0" applyAlignment="0" applyProtection="0"/>
    <xf numFmtId="186" fontId="140" fillId="3" borderId="353">
      <alignment horizontal="center" vertical="center"/>
    </xf>
    <xf numFmtId="186" fontId="146" fillId="3" borderId="352">
      <alignment horizontal="left"/>
    </xf>
    <xf numFmtId="0" fontId="75" fillId="0" borderId="350" applyNumberFormat="0" applyFont="0" applyFill="0" applyAlignment="0" applyProtection="0"/>
    <xf numFmtId="222" fontId="79" fillId="0" borderId="360" applyBorder="0"/>
    <xf numFmtId="0" fontId="101" fillId="0" borderId="361" applyBorder="0"/>
    <xf numFmtId="222" fontId="79" fillId="0" borderId="360" applyBorder="0"/>
    <xf numFmtId="0" fontId="113" fillId="0" borderId="361" applyNumberFormat="0" applyFill="0" applyAlignment="0" applyProtection="0"/>
    <xf numFmtId="0" fontId="12" fillId="0" borderId="361" applyNumberFormat="0" applyFill="0" applyBorder="0" applyAlignment="0" applyProtection="0">
      <alignment horizontal="center"/>
    </xf>
    <xf numFmtId="248" fontId="46" fillId="0" borderId="361"/>
    <xf numFmtId="192" fontId="9" fillId="3" borderId="361">
      <alignment horizontal="right" vertical="center"/>
    </xf>
    <xf numFmtId="180" fontId="9" fillId="3" borderId="361">
      <alignment horizontal="right" vertical="center"/>
    </xf>
    <xf numFmtId="186" fontId="146" fillId="3" borderId="361" applyBorder="0">
      <alignment horizontal="left" vertical="center"/>
    </xf>
    <xf numFmtId="0" fontId="165" fillId="0" borderId="361" applyFill="0" applyProtection="0">
      <alignment horizontal="center"/>
    </xf>
    <xf numFmtId="0" fontId="166" fillId="0" borderId="361">
      <alignment horizontal="center"/>
    </xf>
    <xf numFmtId="264" fontId="12" fillId="14" borderId="361" applyFont="0" applyFill="0" applyBorder="0" applyAlignment="0" applyProtection="0">
      <alignment horizontal="right"/>
    </xf>
    <xf numFmtId="0" fontId="210" fillId="0" borderId="361" applyNumberFormat="0" applyFill="0" applyBorder="0" applyAlignment="0">
      <protection locked="0"/>
    </xf>
    <xf numFmtId="254" fontId="240" fillId="0" borderId="361" applyBorder="0" applyProtection="0">
      <alignment horizontal="right" vertical="center"/>
    </xf>
    <xf numFmtId="0" fontId="241" fillId="94" borderId="361" applyBorder="0" applyProtection="0">
      <alignment horizontal="centerContinuous" vertical="center"/>
    </xf>
    <xf numFmtId="246" fontId="249" fillId="0" borderId="361" applyFill="0" applyProtection="0">
      <alignment horizontal="center"/>
    </xf>
    <xf numFmtId="246" fontId="250" fillId="0" borderId="361" applyFill="0" applyProtection="0">
      <alignment horizontal="center"/>
    </xf>
    <xf numFmtId="0" fontId="113" fillId="0" borderId="505" applyNumberFormat="0" applyFill="0" applyAlignment="0" applyProtection="0"/>
    <xf numFmtId="0" fontId="75" fillId="0" borderId="374" applyNumberFormat="0" applyFont="0" applyFill="0" applyAlignment="0" applyProtection="0"/>
    <xf numFmtId="0" fontId="78" fillId="14" borderId="375" applyFont="0" applyFill="0" applyBorder="0" applyAlignment="0" applyProtection="0"/>
    <xf numFmtId="186" fontId="146" fillId="3" borderId="376">
      <alignment horizontal="left"/>
    </xf>
    <xf numFmtId="186" fontId="140" fillId="3" borderId="377">
      <alignment horizontal="center" vertical="center"/>
    </xf>
    <xf numFmtId="0" fontId="2" fillId="0" borderId="378" applyNumberFormat="0" applyAlignment="0" applyProtection="0"/>
    <xf numFmtId="0" fontId="214" fillId="0" borderId="379" applyNumberFormat="0" applyFont="0" applyFill="0" applyAlignment="0" applyProtection="0"/>
    <xf numFmtId="0" fontId="25" fillId="10" borderId="380" applyNumberFormat="0" applyProtection="0">
      <alignment horizontal="left" vertical="top"/>
    </xf>
    <xf numFmtId="0" fontId="25" fillId="10" borderId="381" applyNumberFormat="0" applyProtection="0">
      <alignment horizontal="left" vertical="top"/>
    </xf>
    <xf numFmtId="0" fontId="25" fillId="10" borderId="382" applyNumberFormat="0" applyProtection="0">
      <alignment horizontal="left" vertical="top"/>
    </xf>
    <xf numFmtId="0" fontId="25" fillId="10" borderId="383" applyNumberFormat="0" applyProtection="0">
      <alignment horizontal="left" vertical="top"/>
    </xf>
    <xf numFmtId="10" fontId="12" fillId="3" borderId="305" applyNumberFormat="0" applyFont="0" applyFill="0" applyBorder="0" applyAlignment="0">
      <protection locked="0"/>
    </xf>
    <xf numFmtId="0" fontId="12" fillId="0" borderId="505" applyNumberFormat="0" applyFill="0" applyBorder="0" applyAlignment="0" applyProtection="0">
      <alignment horizontal="center"/>
    </xf>
    <xf numFmtId="10" fontId="12" fillId="3" borderId="305" applyNumberFormat="0" applyFont="0" applyFill="0" applyBorder="0" applyAlignment="0">
      <protection locked="0"/>
    </xf>
    <xf numFmtId="0" fontId="101" fillId="0" borderId="505" applyBorder="0"/>
    <xf numFmtId="248" fontId="46" fillId="0" borderId="505"/>
    <xf numFmtId="1" fontId="154" fillId="65" borderId="384" applyNumberFormat="0" applyBorder="0" applyAlignment="0">
      <alignment horizontal="centerContinuous" vertical="center"/>
      <protection locked="0"/>
    </xf>
    <xf numFmtId="0" fontId="12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10" fontId="12" fillId="3" borderId="305" applyNumberFormat="0" applyFont="0" applyFill="0" applyBorder="0" applyAlignment="0">
      <protection locked="0"/>
    </xf>
    <xf numFmtId="246" fontId="250" fillId="0" borderId="373" applyFill="0" applyProtection="0">
      <alignment horizontal="center"/>
    </xf>
    <xf numFmtId="246" fontId="249" fillId="0" borderId="373" applyFill="0" applyProtection="0">
      <alignment horizontal="center"/>
    </xf>
    <xf numFmtId="0" fontId="241" fillId="94" borderId="373" applyBorder="0" applyProtection="0">
      <alignment horizontal="centerContinuous" vertical="center"/>
    </xf>
    <xf numFmtId="254" fontId="240" fillId="0" borderId="373" applyBorder="0" applyProtection="0">
      <alignment horizontal="right" vertical="center"/>
    </xf>
    <xf numFmtId="0" fontId="12" fillId="0" borderId="292" applyNumberFormat="0" applyFill="0" applyBorder="0" applyAlignment="0" applyProtection="0"/>
    <xf numFmtId="0" fontId="25" fillId="10" borderId="304" applyNumberFormat="0" applyProtection="0">
      <alignment horizontal="left" vertical="top"/>
    </xf>
    <xf numFmtId="0" fontId="25" fillId="10" borderId="303" applyNumberFormat="0" applyProtection="0">
      <alignment horizontal="left" vertical="top"/>
    </xf>
    <xf numFmtId="0" fontId="25" fillId="10" borderId="302" applyNumberFormat="0" applyProtection="0">
      <alignment horizontal="left" vertical="top"/>
    </xf>
    <xf numFmtId="0" fontId="25" fillId="10" borderId="301" applyNumberFormat="0" applyProtection="0">
      <alignment horizontal="left" vertical="top"/>
    </xf>
    <xf numFmtId="0" fontId="25" fillId="10" borderId="300" applyNumberFormat="0" applyProtection="0">
      <alignment horizontal="left" vertical="top"/>
    </xf>
    <xf numFmtId="0" fontId="25" fillId="10" borderId="299" applyNumberFormat="0" applyProtection="0">
      <alignment horizontal="left" vertical="top"/>
    </xf>
    <xf numFmtId="0" fontId="25" fillId="10" borderId="298" applyNumberFormat="0" applyProtection="0">
      <alignment horizontal="left"/>
    </xf>
    <xf numFmtId="0" fontId="12" fillId="10" borderId="293" applyNumberFormat="0" applyFont="0" applyProtection="0"/>
    <xf numFmtId="0" fontId="12" fillId="10" borderId="293" applyNumberFormat="0" applyFont="0" applyAlignment="0" applyProtection="0"/>
    <xf numFmtId="0" fontId="12" fillId="3" borderId="293" applyNumberFormat="0" applyFont="0" applyAlignment="0" applyProtection="0"/>
    <xf numFmtId="293" fontId="234" fillId="10" borderId="293" applyFont="0" applyProtection="0"/>
    <xf numFmtId="169" fontId="234" fillId="10" borderId="293" applyFont="0" applyProtection="0"/>
    <xf numFmtId="293" fontId="234" fillId="10" borderId="293" applyFont="0" applyProtection="0"/>
    <xf numFmtId="293" fontId="234" fillId="3" borderId="293" applyFont="0" applyProtection="0"/>
    <xf numFmtId="169" fontId="234" fillId="3" borderId="293" applyFont="0" applyProtection="0"/>
    <xf numFmtId="0" fontId="25" fillId="10" borderId="293" applyNumberFormat="0" applyProtection="0">
      <alignment horizontal="center" vertical="top"/>
    </xf>
    <xf numFmtId="0" fontId="25" fillId="10" borderId="293" applyNumberFormat="0" applyProtection="0">
      <alignment horizontal="center" vertical="top"/>
    </xf>
    <xf numFmtId="0" fontId="210" fillId="0" borderId="373" applyNumberFormat="0" applyFill="0" applyBorder="0" applyAlignment="0">
      <protection locked="0"/>
    </xf>
    <xf numFmtId="188" fontId="25" fillId="0" borderId="308" applyFont="0" applyFill="0" applyBorder="0" applyAlignment="0" applyProtection="0">
      <alignment horizontal="center"/>
    </xf>
    <xf numFmtId="264" fontId="12" fillId="14" borderId="373" applyFont="0" applyFill="0" applyBorder="0" applyAlignment="0" applyProtection="0">
      <alignment horizontal="right"/>
    </xf>
    <xf numFmtId="0" fontId="25" fillId="69" borderId="293">
      <alignment horizontal="left" vertical="center" wrapText="1"/>
    </xf>
    <xf numFmtId="0" fontId="166" fillId="0" borderId="373">
      <alignment horizontal="center"/>
    </xf>
    <xf numFmtId="0" fontId="165" fillId="0" borderId="373" applyFill="0" applyProtection="0">
      <alignment horizontal="center"/>
    </xf>
    <xf numFmtId="0" fontId="159" fillId="67" borderId="293"/>
    <xf numFmtId="0" fontId="159" fillId="0" borderId="293"/>
    <xf numFmtId="0" fontId="135" fillId="0" borderId="293"/>
    <xf numFmtId="0" fontId="135" fillId="0" borderId="293"/>
    <xf numFmtId="186" fontId="48" fillId="3" borderId="291">
      <alignment vertical="center"/>
    </xf>
    <xf numFmtId="186" fontId="146" fillId="3" borderId="373" applyBorder="0">
      <alignment horizontal="left" vertical="center"/>
    </xf>
    <xf numFmtId="180" fontId="9" fillId="3" borderId="373">
      <alignment horizontal="right" vertical="center"/>
    </xf>
    <xf numFmtId="192" fontId="9" fillId="3" borderId="373">
      <alignment horizontal="right" vertical="center"/>
    </xf>
    <xf numFmtId="182" fontId="145" fillId="3" borderId="291">
      <alignment horizontal="right" vertical="center"/>
    </xf>
    <xf numFmtId="0" fontId="48" fillId="0" borderId="291" applyFont="0" applyFill="0" applyBorder="0" applyAlignment="0" applyProtection="0">
      <alignment horizontal="center"/>
    </xf>
    <xf numFmtId="0" fontId="74" fillId="0" borderId="291" applyFont="0" applyFill="0" applyBorder="0" applyAlignment="0" applyProtection="0">
      <alignment horizontal="center"/>
    </xf>
    <xf numFmtId="0" fontId="12" fillId="0" borderId="373" applyNumberFormat="0" applyFill="0" applyBorder="0" applyAlignment="0" applyProtection="0">
      <alignment horizontal="center"/>
    </xf>
    <xf numFmtId="5" fontId="114" fillId="0" borderId="291" applyAlignment="0" applyProtection="0"/>
    <xf numFmtId="0" fontId="113" fillId="0" borderId="373" applyNumberFormat="0" applyFill="0" applyAlignment="0" applyProtection="0"/>
    <xf numFmtId="0" fontId="48" fillId="0" borderId="292" applyNumberFormat="0" applyFill="0" applyAlignment="0" applyProtection="0"/>
    <xf numFmtId="0" fontId="105" fillId="0" borderId="292" applyNumberFormat="0" applyFill="0" applyBorder="0" applyAlignment="0" applyProtection="0"/>
    <xf numFmtId="0" fontId="46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222" fontId="79" fillId="0" borderId="372" applyBorder="0"/>
    <xf numFmtId="0" fontId="101" fillId="0" borderId="373" applyBorder="0"/>
    <xf numFmtId="10" fontId="12" fillId="3" borderId="305" applyNumberFormat="0" applyFont="0" applyFill="0" applyBorder="0" applyAlignment="0">
      <protection locked="0"/>
    </xf>
    <xf numFmtId="192" fontId="9" fillId="3" borderId="505">
      <alignment horizontal="right" vertical="center"/>
    </xf>
    <xf numFmtId="248" fontId="46" fillId="0" borderId="373"/>
    <xf numFmtId="180" fontId="9" fillId="3" borderId="505">
      <alignment horizontal="right" vertical="center"/>
    </xf>
    <xf numFmtId="10" fontId="12" fillId="3" borderId="305" applyNumberFormat="0" applyFont="0" applyFill="0" applyBorder="0" applyAlignment="0">
      <protection locked="0"/>
    </xf>
    <xf numFmtId="0" fontId="166" fillId="0" borderId="493">
      <alignment horizontal="center"/>
    </xf>
    <xf numFmtId="186" fontId="146" fillId="3" borderId="505" applyBorder="0">
      <alignment horizontal="left" vertical="center"/>
    </xf>
    <xf numFmtId="10" fontId="12" fillId="3" borderId="305" applyNumberFormat="0" applyFont="0" applyFill="0" applyBorder="0" applyAlignment="0">
      <protection locked="0"/>
    </xf>
    <xf numFmtId="254" fontId="240" fillId="0" borderId="493" applyBorder="0" applyProtection="0">
      <alignment horizontal="right" vertical="center"/>
    </xf>
    <xf numFmtId="10" fontId="12" fillId="3" borderId="305" applyNumberFormat="0" applyFont="0" applyFill="0" applyBorder="0" applyAlignment="0">
      <protection locked="0"/>
    </xf>
    <xf numFmtId="0" fontId="101" fillId="0" borderId="373" applyBorder="0"/>
    <xf numFmtId="222" fontId="79" fillId="0" borderId="372" applyBorder="0"/>
    <xf numFmtId="0" fontId="113" fillId="0" borderId="373" applyNumberFormat="0" applyFill="0" applyAlignment="0" applyProtection="0"/>
    <xf numFmtId="0" fontId="75" fillId="0" borderId="374" applyNumberFormat="0" applyFont="0" applyFill="0" applyAlignment="0" applyProtection="0"/>
    <xf numFmtId="0" fontId="12" fillId="0" borderId="373" applyNumberFormat="0" applyFill="0" applyBorder="0" applyAlignment="0" applyProtection="0">
      <alignment horizontal="center"/>
    </xf>
    <xf numFmtId="248" fontId="46" fillId="0" borderId="373"/>
    <xf numFmtId="192" fontId="9" fillId="3" borderId="373">
      <alignment horizontal="right" vertical="center"/>
    </xf>
    <xf numFmtId="180" fontId="9" fillId="3" borderId="373">
      <alignment horizontal="right" vertical="center"/>
    </xf>
    <xf numFmtId="186" fontId="146" fillId="3" borderId="373" applyBorder="0">
      <alignment horizontal="left" vertical="center"/>
    </xf>
    <xf numFmtId="186" fontId="146" fillId="3" borderId="376">
      <alignment horizontal="left"/>
    </xf>
    <xf numFmtId="186" fontId="140" fillId="3" borderId="377">
      <alignment horizontal="center" vertical="center"/>
    </xf>
    <xf numFmtId="0" fontId="165" fillId="0" borderId="373" applyFill="0" applyProtection="0">
      <alignment horizontal="center"/>
    </xf>
    <xf numFmtId="0" fontId="166" fillId="0" borderId="373">
      <alignment horizontal="center"/>
    </xf>
    <xf numFmtId="264" fontId="12" fillId="14" borderId="373" applyFont="0" applyFill="0" applyBorder="0" applyAlignment="0" applyProtection="0">
      <alignment horizontal="right"/>
    </xf>
    <xf numFmtId="0" fontId="210" fillId="0" borderId="373" applyNumberFormat="0" applyFill="0" applyBorder="0" applyAlignment="0">
      <protection locked="0"/>
    </xf>
    <xf numFmtId="0" fontId="2" fillId="0" borderId="378" applyNumberFormat="0" applyAlignment="0" applyProtection="0"/>
    <xf numFmtId="0" fontId="214" fillId="0" borderId="379" applyNumberFormat="0" applyFont="0" applyFill="0" applyAlignment="0" applyProtection="0"/>
    <xf numFmtId="0" fontId="25" fillId="10" borderId="380" applyNumberFormat="0" applyProtection="0">
      <alignment horizontal="left" vertical="top"/>
    </xf>
    <xf numFmtId="0" fontId="25" fillId="10" borderId="381" applyNumberFormat="0" applyProtection="0">
      <alignment horizontal="left" vertical="top"/>
    </xf>
    <xf numFmtId="0" fontId="25" fillId="10" borderId="382" applyNumberFormat="0" applyProtection="0">
      <alignment horizontal="left" vertical="top"/>
    </xf>
    <xf numFmtId="0" fontId="25" fillId="10" borderId="383" applyNumberFormat="0" applyProtection="0">
      <alignment horizontal="left" vertical="top"/>
    </xf>
    <xf numFmtId="0" fontId="25" fillId="10" borderId="380" applyNumberFormat="0" applyProtection="0">
      <alignment horizontal="left" vertical="top"/>
    </xf>
    <xf numFmtId="0" fontId="25" fillId="10" borderId="381" applyNumberFormat="0" applyProtection="0">
      <alignment horizontal="left" vertical="top"/>
    </xf>
    <xf numFmtId="0" fontId="25" fillId="10" borderId="382" applyNumberFormat="0" applyProtection="0">
      <alignment horizontal="left" vertical="top"/>
    </xf>
    <xf numFmtId="0" fontId="25" fillId="10" borderId="383" applyNumberFormat="0" applyProtection="0">
      <alignment horizontal="left" vertical="top"/>
    </xf>
    <xf numFmtId="254" fontId="240" fillId="0" borderId="373" applyBorder="0" applyProtection="0">
      <alignment horizontal="right" vertical="center"/>
    </xf>
    <xf numFmtId="0" fontId="241" fillId="94" borderId="373" applyBorder="0" applyProtection="0">
      <alignment horizontal="centerContinuous" vertical="center"/>
    </xf>
    <xf numFmtId="246" fontId="249" fillId="0" borderId="373" applyFill="0" applyProtection="0">
      <alignment horizontal="center"/>
    </xf>
    <xf numFmtId="246" fontId="250" fillId="0" borderId="373" applyFill="0" applyProtection="0">
      <alignment horizontal="center"/>
    </xf>
    <xf numFmtId="0" fontId="165" fillId="0" borderId="505" applyFill="0" applyProtection="0">
      <alignment horizontal="center"/>
    </xf>
    <xf numFmtId="10" fontId="12" fillId="3" borderId="305" applyNumberFormat="0" applyFont="0" applyFill="0" applyBorder="0" applyAlignment="0">
      <protection locked="0"/>
    </xf>
    <xf numFmtId="0" fontId="166" fillId="0" borderId="505">
      <alignment horizontal="center"/>
    </xf>
    <xf numFmtId="0" fontId="48" fillId="0" borderId="0">
      <alignment vertical="top"/>
    </xf>
    <xf numFmtId="0" fontId="241" fillId="94" borderId="565" applyBorder="0" applyProtection="0">
      <alignment horizontal="centerContinuous" vertical="center"/>
    </xf>
    <xf numFmtId="190" fontId="101" fillId="0" borderId="373" applyBorder="0"/>
    <xf numFmtId="186" fontId="146" fillId="3" borderId="565" applyBorder="0">
      <alignment horizontal="left" vertical="center"/>
    </xf>
    <xf numFmtId="192" fontId="9" fillId="3" borderId="565">
      <alignment horizontal="right" vertical="center"/>
    </xf>
    <xf numFmtId="190" fontId="12" fillId="0" borderId="292" applyNumberFormat="0" applyFill="0" applyBorder="0" applyAlignment="0" applyProtection="0"/>
    <xf numFmtId="190" fontId="46" fillId="0" borderId="292" applyNumberFormat="0" applyFill="0" applyBorder="0" applyAlignment="0" applyProtection="0"/>
    <xf numFmtId="190" fontId="105" fillId="0" borderId="292" applyNumberFormat="0" applyFill="0" applyBorder="0" applyAlignment="0" applyProtection="0"/>
    <xf numFmtId="190" fontId="48" fillId="0" borderId="292" applyNumberFormat="0" applyFill="0" applyAlignment="0" applyProtection="0"/>
    <xf numFmtId="0" fontId="210" fillId="0" borderId="565" applyNumberFormat="0" applyFill="0" applyBorder="0" applyAlignment="0">
      <protection locked="0"/>
    </xf>
    <xf numFmtId="246" fontId="249" fillId="0" borderId="565" applyFill="0" applyProtection="0">
      <alignment horizontal="center"/>
    </xf>
    <xf numFmtId="190" fontId="113" fillId="0" borderId="373" applyNumberFormat="0" applyFill="0" applyAlignment="0" applyProtection="0"/>
    <xf numFmtId="0" fontId="1" fillId="48" borderId="0" applyNumberFormat="0" applyBorder="0" applyAlignment="0" applyProtection="0"/>
    <xf numFmtId="190" fontId="75" fillId="0" borderId="350" applyNumberFormat="0" applyFont="0" applyFill="0" applyAlignment="0" applyProtection="0"/>
    <xf numFmtId="0" fontId="214" fillId="0" borderId="571" applyNumberFormat="0" applyFont="0" applyFill="0" applyAlignment="0" applyProtection="0"/>
    <xf numFmtId="186" fontId="146" fillId="3" borderId="568">
      <alignment horizontal="left"/>
    </xf>
    <xf numFmtId="0" fontId="241" fillId="94" borderId="553" applyBorder="0" applyProtection="0">
      <alignment horizontal="centerContinuous" vertical="center"/>
    </xf>
    <xf numFmtId="0" fontId="166" fillId="0" borderId="553">
      <alignment horizontal="center"/>
    </xf>
    <xf numFmtId="248" fontId="46" fillId="0" borderId="553"/>
    <xf numFmtId="0" fontId="214" fillId="0" borderId="547" applyNumberFormat="0" applyFont="0" applyFill="0" applyAlignment="0" applyProtection="0"/>
    <xf numFmtId="186" fontId="140" fillId="3" borderId="545">
      <alignment horizontal="center" vertical="center"/>
    </xf>
    <xf numFmtId="190" fontId="12" fillId="0" borderId="373" applyNumberFormat="0" applyFill="0" applyBorder="0" applyAlignment="0" applyProtection="0">
      <alignment horizontal="center"/>
    </xf>
    <xf numFmtId="0" fontId="78" fillId="14" borderId="543" applyFont="0" applyFill="0" applyBorder="0" applyAlignment="0" applyProtection="0"/>
    <xf numFmtId="264" fontId="12" fillId="14" borderId="529" applyFont="0" applyFill="0" applyBorder="0" applyAlignment="0" applyProtection="0">
      <alignment horizontal="right"/>
    </xf>
    <xf numFmtId="186" fontId="146" fillId="3" borderId="529" applyBorder="0">
      <alignment horizontal="left" vertical="center"/>
    </xf>
    <xf numFmtId="248" fontId="46" fillId="0" borderId="529"/>
    <xf numFmtId="222" fontId="79" fillId="0" borderId="528" applyBorder="0"/>
    <xf numFmtId="0" fontId="75" fillId="0" borderId="518" applyNumberFormat="0" applyFont="0" applyFill="0" applyAlignment="0" applyProtection="0"/>
    <xf numFmtId="0" fontId="2" fillId="0" borderId="522" applyNumberFormat="0" applyAlignment="0" applyProtection="0"/>
    <xf numFmtId="0" fontId="25" fillId="10" borderId="525" applyNumberFormat="0" applyProtection="0">
      <alignment horizontal="left" vertical="top"/>
    </xf>
    <xf numFmtId="0" fontId="78" fillId="14" borderId="519" applyFont="0" applyFill="0" applyBorder="0" applyAlignment="0" applyProtection="0"/>
    <xf numFmtId="246" fontId="250" fillId="0" borderId="505" applyFill="0" applyProtection="0">
      <alignment horizontal="center"/>
    </xf>
    <xf numFmtId="0" fontId="113" fillId="0" borderId="493" applyNumberFormat="0" applyFill="0" applyAlignment="0" applyProtection="0"/>
    <xf numFmtId="0" fontId="25" fillId="10" borderId="501" applyNumberFormat="0" applyProtection="0">
      <alignment horizontal="left" vertical="top"/>
    </xf>
    <xf numFmtId="0" fontId="2" fillId="0" borderId="498" applyNumberFormat="0" applyAlignment="0" applyProtection="0"/>
    <xf numFmtId="190" fontId="78" fillId="14" borderId="363" applyFont="0" applyFill="0" applyBorder="0" applyAlignment="0" applyProtection="0"/>
    <xf numFmtId="0" fontId="113" fillId="0" borderId="505" applyNumberFormat="0" applyFill="0" applyAlignment="0" applyProtection="0"/>
    <xf numFmtId="246" fontId="249" fillId="0" borderId="505" applyFill="0" applyProtection="0">
      <alignment horizontal="center"/>
    </xf>
    <xf numFmtId="190" fontId="74" fillId="0" borderId="291" applyFont="0" applyFill="0" applyBorder="0" applyAlignment="0" applyProtection="0">
      <alignment horizontal="center"/>
    </xf>
    <xf numFmtId="190" fontId="48" fillId="0" borderId="291" applyFont="0" applyFill="0" applyBorder="0" applyAlignment="0" applyProtection="0">
      <alignment horizontal="center"/>
    </xf>
    <xf numFmtId="0" fontId="25" fillId="10" borderId="318" applyNumberFormat="0" applyProtection="0">
      <alignment horizontal="left" vertical="top"/>
    </xf>
    <xf numFmtId="186" fontId="140" fillId="3" borderId="533">
      <alignment horizontal="center" vertical="center"/>
    </xf>
    <xf numFmtId="190" fontId="135" fillId="0" borderId="293"/>
    <xf numFmtId="190" fontId="135" fillId="0" borderId="293"/>
    <xf numFmtId="0" fontId="2" fillId="0" borderId="534" applyNumberFormat="0" applyAlignment="0" applyProtection="0"/>
    <xf numFmtId="0" fontId="101" fillId="0" borderId="541" applyBorder="0"/>
    <xf numFmtId="0" fontId="165" fillId="0" borderId="541" applyFill="0" applyProtection="0">
      <alignment horizontal="center"/>
    </xf>
    <xf numFmtId="246" fontId="250" fillId="0" borderId="517" applyFill="0" applyProtection="0">
      <alignment horizontal="center"/>
    </xf>
    <xf numFmtId="0" fontId="210" fillId="0" borderId="517" applyNumberFormat="0" applyFill="0" applyBorder="0" applyAlignment="0">
      <protection locked="0"/>
    </xf>
    <xf numFmtId="246" fontId="250" fillId="0" borderId="565" applyFill="0" applyProtection="0">
      <alignment horizontal="center"/>
    </xf>
    <xf numFmtId="186" fontId="146" fillId="3" borderId="565" applyBorder="0">
      <alignment horizontal="left" vertical="center"/>
    </xf>
    <xf numFmtId="0" fontId="101" fillId="0" borderId="565" applyBorder="0"/>
    <xf numFmtId="222" fontId="79" fillId="0" borderId="552" applyBorder="0"/>
    <xf numFmtId="0" fontId="12" fillId="0" borderId="565" applyNumberFormat="0" applyFill="0" applyBorder="0" applyAlignment="0" applyProtection="0">
      <alignment horizontal="center"/>
    </xf>
    <xf numFmtId="0" fontId="214" fillId="0" borderId="499" applyNumberFormat="0" applyFont="0" applyFill="0" applyAlignment="0" applyProtection="0"/>
    <xf numFmtId="0" fontId="25" fillId="10" borderId="502" applyNumberFormat="0" applyProtection="0">
      <alignment horizontal="left" vertical="top"/>
    </xf>
    <xf numFmtId="0" fontId="25" fillId="10" borderId="502" applyNumberFormat="0" applyProtection="0">
      <alignment horizontal="left" vertical="top"/>
    </xf>
    <xf numFmtId="246" fontId="249" fillId="0" borderId="565" applyFill="0" applyProtection="0">
      <alignment horizontal="center"/>
    </xf>
    <xf numFmtId="0" fontId="113" fillId="0" borderId="565" applyNumberFormat="0" applyFill="0" applyAlignment="0" applyProtection="0"/>
    <xf numFmtId="190" fontId="159" fillId="0" borderId="293"/>
    <xf numFmtId="190" fontId="159" fillId="67" borderId="293"/>
    <xf numFmtId="190" fontId="165" fillId="0" borderId="373" applyFill="0" applyProtection="0">
      <alignment horizontal="center"/>
    </xf>
    <xf numFmtId="190" fontId="166" fillId="0" borderId="373">
      <alignment horizontal="center"/>
    </xf>
    <xf numFmtId="246" fontId="249" fillId="0" borderId="493" applyFill="0" applyProtection="0">
      <alignment horizontal="center"/>
    </xf>
    <xf numFmtId="0" fontId="166" fillId="0" borderId="493">
      <alignment horizontal="center"/>
    </xf>
    <xf numFmtId="0" fontId="12" fillId="0" borderId="493" applyNumberFormat="0" applyFill="0" applyBorder="0" applyAlignment="0" applyProtection="0">
      <alignment horizontal="center"/>
    </xf>
    <xf numFmtId="0" fontId="101" fillId="0" borderId="493" applyBorder="0"/>
    <xf numFmtId="0" fontId="14" fillId="0" borderId="0"/>
    <xf numFmtId="190" fontId="25" fillId="69" borderId="293">
      <alignment horizontal="left" vertical="center" wrapText="1"/>
    </xf>
    <xf numFmtId="0" fontId="14" fillId="36" borderId="0" applyNumberFormat="0" applyBorder="0" applyAlignment="0" applyProtection="0"/>
    <xf numFmtId="0" fontId="25" fillId="10" borderId="1593" applyNumberFormat="0" applyProtection="0">
      <alignment horizontal="left" vertical="top"/>
    </xf>
    <xf numFmtId="222" fontId="79" fillId="0" borderId="2062" applyBorder="0"/>
    <xf numFmtId="190" fontId="184" fillId="0" borderId="294" applyAlignment="0">
      <alignment horizontal="left" wrapText="1"/>
    </xf>
    <xf numFmtId="312" fontId="242" fillId="0" borderId="2156">
      <alignment horizontal="center"/>
    </xf>
    <xf numFmtId="0" fontId="66" fillId="22" borderId="31" applyNumberFormat="0" applyAlignment="0" applyProtection="0"/>
    <xf numFmtId="264" fontId="12" fillId="14" borderId="1381" applyFont="0" applyFill="0" applyBorder="0" applyAlignment="0" applyProtection="0">
      <alignment horizontal="right"/>
    </xf>
    <xf numFmtId="0" fontId="12" fillId="75" borderId="2078" applyNumberFormat="0" applyProtection="0">
      <alignment horizontal="left" vertical="center" indent="1"/>
    </xf>
    <xf numFmtId="190" fontId="210" fillId="0" borderId="373" applyNumberFormat="0" applyFill="0" applyBorder="0" applyAlignment="0">
      <protection locked="0"/>
    </xf>
    <xf numFmtId="190" fontId="2" fillId="0" borderId="354" applyNumberFormat="0" applyAlignment="0" applyProtection="0"/>
    <xf numFmtId="190" fontId="214" fillId="0" borderId="355" applyNumberFormat="0" applyFont="0" applyFill="0" applyAlignment="0" applyProtection="0"/>
    <xf numFmtId="190" fontId="225" fillId="53" borderId="295" applyNumberFormat="0" applyProtection="0">
      <alignment horizontal="left" vertical="top" indent="1"/>
    </xf>
    <xf numFmtId="190" fontId="12" fillId="75" borderId="295" applyNumberFormat="0" applyProtection="0">
      <alignment horizontal="left" vertical="center" indent="1"/>
    </xf>
    <xf numFmtId="190" fontId="12" fillId="75" borderId="295" applyNumberFormat="0" applyProtection="0">
      <alignment horizontal="left" vertical="top" indent="1"/>
    </xf>
    <xf numFmtId="190" fontId="12" fillId="84" borderId="295" applyNumberFormat="0" applyProtection="0">
      <alignment horizontal="left" vertical="center" indent="1"/>
    </xf>
    <xf numFmtId="190" fontId="12" fillId="84" borderId="295" applyNumberFormat="0" applyProtection="0">
      <alignment horizontal="left" vertical="top" indent="1"/>
    </xf>
    <xf numFmtId="190" fontId="12" fillId="52" borderId="295" applyNumberFormat="0" applyProtection="0">
      <alignment horizontal="left" vertical="center" indent="1"/>
    </xf>
    <xf numFmtId="190" fontId="12" fillId="52" borderId="295" applyNumberFormat="0" applyProtection="0">
      <alignment horizontal="left" vertical="top" indent="1"/>
    </xf>
    <xf numFmtId="190" fontId="12" fillId="11" borderId="295" applyNumberFormat="0" applyProtection="0">
      <alignment horizontal="left" vertical="center" indent="1"/>
    </xf>
    <xf numFmtId="190" fontId="12" fillId="11" borderId="295" applyNumberFormat="0" applyProtection="0">
      <alignment horizontal="left" vertical="top" indent="1"/>
    </xf>
    <xf numFmtId="190" fontId="136" fillId="14" borderId="295" applyNumberFormat="0" applyProtection="0">
      <alignment horizontal="left" vertical="top" indent="1"/>
    </xf>
    <xf numFmtId="190" fontId="136" fillId="84" borderId="295" applyNumberFormat="0" applyProtection="0">
      <alignment horizontal="left" vertical="top" indent="1"/>
    </xf>
    <xf numFmtId="243" fontId="48" fillId="0" borderId="100" applyFont="0" applyFill="0" applyBorder="0" applyAlignment="0" applyProtection="0"/>
    <xf numFmtId="190" fontId="25" fillId="10" borderId="293" applyNumberFormat="0" applyProtection="0">
      <alignment horizontal="center" vertical="top"/>
    </xf>
    <xf numFmtId="190" fontId="25" fillId="10" borderId="293" applyNumberFormat="0" applyProtection="0">
      <alignment horizontal="center" vertical="top"/>
    </xf>
    <xf numFmtId="190" fontId="12" fillId="3" borderId="293" applyNumberFormat="0" applyFont="0" applyAlignment="0" applyProtection="0"/>
    <xf numFmtId="190" fontId="12" fillId="10" borderId="293" applyNumberFormat="0" applyFont="0" applyAlignment="0" applyProtection="0"/>
    <xf numFmtId="190" fontId="12" fillId="10" borderId="293" applyNumberFormat="0" applyFont="0" applyProtection="0"/>
    <xf numFmtId="190" fontId="25" fillId="10" borderId="298" applyNumberFormat="0" applyProtection="0">
      <alignment horizontal="left"/>
    </xf>
    <xf numFmtId="190" fontId="25" fillId="10" borderId="299" applyNumberFormat="0" applyProtection="0">
      <alignment horizontal="left" vertical="top"/>
    </xf>
    <xf numFmtId="190" fontId="25" fillId="10" borderId="300" applyNumberFormat="0" applyProtection="0">
      <alignment horizontal="left" vertical="top"/>
    </xf>
    <xf numFmtId="190" fontId="25" fillId="10" borderId="356" applyNumberFormat="0" applyProtection="0">
      <alignment horizontal="left" vertical="top"/>
    </xf>
    <xf numFmtId="190" fontId="25" fillId="10" borderId="357" applyNumberFormat="0" applyProtection="0">
      <alignment horizontal="left" vertical="top"/>
    </xf>
    <xf numFmtId="190" fontId="25" fillId="10" borderId="301" applyNumberFormat="0" applyProtection="0">
      <alignment horizontal="left" vertical="top"/>
    </xf>
    <xf numFmtId="190" fontId="25" fillId="10" borderId="358" applyNumberFormat="0" applyProtection="0">
      <alignment horizontal="left" vertical="top"/>
    </xf>
    <xf numFmtId="190" fontId="25" fillId="10" borderId="302" applyNumberFormat="0" applyProtection="0">
      <alignment horizontal="left" vertical="top"/>
    </xf>
    <xf numFmtId="190" fontId="25" fillId="10" borderId="359" applyNumberFormat="0" applyProtection="0">
      <alignment horizontal="left" vertical="top"/>
    </xf>
    <xf numFmtId="190" fontId="25" fillId="10" borderId="303" applyNumberFormat="0" applyProtection="0">
      <alignment horizontal="left" vertical="top"/>
    </xf>
    <xf numFmtId="190" fontId="25" fillId="10" borderId="304" applyNumberFormat="0" applyProtection="0">
      <alignment horizontal="left" vertical="top"/>
    </xf>
    <xf numFmtId="190" fontId="12" fillId="0" borderId="292" applyNumberFormat="0" applyFill="0" applyBorder="0" applyAlignment="0" applyProtection="0"/>
    <xf numFmtId="190" fontId="241" fillId="94" borderId="373" applyBorder="0" applyProtection="0">
      <alignment horizontal="centerContinuous" vertical="center"/>
    </xf>
    <xf numFmtId="190" fontId="158" fillId="0" borderId="101" applyFill="0" applyBorder="0" applyProtection="0">
      <alignment horizontal="left" vertical="top"/>
    </xf>
    <xf numFmtId="10" fontId="12" fillId="3" borderId="305" applyNumberFormat="0" applyFont="0" applyFill="0" applyBorder="0" applyAlignment="0">
      <protection locked="0"/>
    </xf>
    <xf numFmtId="190" fontId="12" fillId="0" borderId="292" applyNumberFormat="0" applyFill="0" applyBorder="0" applyAlignment="0" applyProtection="0"/>
    <xf numFmtId="190" fontId="12" fillId="0" borderId="292" applyNumberFormat="0" applyFill="0" applyBorder="0" applyAlignment="0" applyProtection="0"/>
    <xf numFmtId="190" fontId="12" fillId="0" borderId="292" applyNumberFormat="0" applyFill="0" applyBorder="0" applyAlignment="0" applyProtection="0"/>
    <xf numFmtId="264" fontId="12" fillId="14" borderId="1537" applyFont="0" applyFill="0" applyBorder="0" applyAlignment="0" applyProtection="0">
      <alignment horizontal="right"/>
    </xf>
    <xf numFmtId="0" fontId="165" fillId="0" borderId="493" applyFill="0" applyProtection="0">
      <alignment horizontal="center"/>
    </xf>
    <xf numFmtId="0" fontId="25" fillId="10" borderId="1546" applyNumberFormat="0" applyProtection="0">
      <alignment horizontal="left" vertical="top"/>
    </xf>
    <xf numFmtId="222" fontId="79" fillId="0" borderId="372" applyBorder="0"/>
    <xf numFmtId="10" fontId="12" fillId="3" borderId="305" applyNumberFormat="0" applyFont="0" applyFill="0" applyBorder="0" applyAlignment="0">
      <protection locked="0"/>
    </xf>
    <xf numFmtId="0" fontId="101" fillId="0" borderId="373" applyBorder="0"/>
    <xf numFmtId="222" fontId="79" fillId="0" borderId="372" applyBorder="0"/>
    <xf numFmtId="0" fontId="113" fillId="0" borderId="373" applyNumberFormat="0" applyFill="0" applyAlignment="0" applyProtection="0"/>
    <xf numFmtId="0" fontId="75" fillId="0" borderId="350" applyNumberFormat="0" applyFont="0" applyFill="0" applyAlignment="0" applyProtection="0"/>
    <xf numFmtId="0" fontId="12" fillId="0" borderId="373" applyNumberFormat="0" applyFill="0" applyBorder="0" applyAlignment="0" applyProtection="0">
      <alignment horizontal="center"/>
    </xf>
    <xf numFmtId="248" fontId="46" fillId="0" borderId="373"/>
    <xf numFmtId="192" fontId="9" fillId="3" borderId="373">
      <alignment horizontal="right" vertical="center"/>
    </xf>
    <xf numFmtId="180" fontId="9" fillId="3" borderId="373">
      <alignment horizontal="right" vertical="center"/>
    </xf>
    <xf numFmtId="186" fontId="146" fillId="3" borderId="373" applyBorder="0">
      <alignment horizontal="left" vertical="center"/>
    </xf>
    <xf numFmtId="186" fontId="146" fillId="3" borderId="352">
      <alignment horizontal="left"/>
    </xf>
    <xf numFmtId="186" fontId="140" fillId="3" borderId="353">
      <alignment horizontal="center" vertical="center"/>
    </xf>
    <xf numFmtId="0" fontId="165" fillId="0" borderId="373" applyFill="0" applyProtection="0">
      <alignment horizontal="center"/>
    </xf>
    <xf numFmtId="0" fontId="166" fillId="0" borderId="373">
      <alignment horizontal="center"/>
    </xf>
    <xf numFmtId="264" fontId="12" fillId="14" borderId="373" applyFont="0" applyFill="0" applyBorder="0" applyAlignment="0" applyProtection="0">
      <alignment horizontal="right"/>
    </xf>
    <xf numFmtId="0" fontId="210" fillId="0" borderId="373" applyNumberFormat="0" applyFill="0" applyBorder="0" applyAlignment="0">
      <protection locked="0"/>
    </xf>
    <xf numFmtId="0" fontId="2" fillId="0" borderId="354" applyNumberFormat="0" applyAlignment="0" applyProtection="0"/>
    <xf numFmtId="0" fontId="214" fillId="0" borderId="355" applyNumberFormat="0" applyFont="0" applyFill="0" applyAlignment="0" applyProtection="0"/>
    <xf numFmtId="0" fontId="25" fillId="10" borderId="356" applyNumberFormat="0" applyProtection="0">
      <alignment horizontal="left" vertical="top"/>
    </xf>
    <xf numFmtId="0" fontId="25" fillId="10" borderId="357" applyNumberFormat="0" applyProtection="0">
      <alignment horizontal="left" vertical="top"/>
    </xf>
    <xf numFmtId="0" fontId="25" fillId="10" borderId="358" applyNumberFormat="0" applyProtection="0">
      <alignment horizontal="left" vertical="top"/>
    </xf>
    <xf numFmtId="0" fontId="25" fillId="10" borderId="359" applyNumberFormat="0" applyProtection="0">
      <alignment horizontal="left" vertical="top"/>
    </xf>
    <xf numFmtId="0" fontId="25" fillId="10" borderId="356" applyNumberFormat="0" applyProtection="0">
      <alignment horizontal="left" vertical="top"/>
    </xf>
    <xf numFmtId="0" fontId="25" fillId="10" borderId="357" applyNumberFormat="0" applyProtection="0">
      <alignment horizontal="left" vertical="top"/>
    </xf>
    <xf numFmtId="0" fontId="25" fillId="10" borderId="358" applyNumberFormat="0" applyProtection="0">
      <alignment horizontal="left" vertical="top"/>
    </xf>
    <xf numFmtId="0" fontId="25" fillId="10" borderId="359" applyNumberFormat="0" applyProtection="0">
      <alignment horizontal="left" vertical="top"/>
    </xf>
    <xf numFmtId="254" fontId="240" fillId="0" borderId="373" applyBorder="0" applyProtection="0">
      <alignment horizontal="right" vertical="center"/>
    </xf>
    <xf numFmtId="0" fontId="241" fillId="94" borderId="373" applyBorder="0" applyProtection="0">
      <alignment horizontal="centerContinuous" vertical="center"/>
    </xf>
    <xf numFmtId="246" fontId="249" fillId="0" borderId="373" applyFill="0" applyProtection="0">
      <alignment horizontal="center"/>
    </xf>
    <xf numFmtId="246" fontId="250" fillId="0" borderId="373" applyFill="0" applyProtection="0">
      <alignment horizontal="center"/>
    </xf>
    <xf numFmtId="264" fontId="12" fillId="14" borderId="505" applyFont="0" applyFill="0" applyBorder="0" applyAlignment="0" applyProtection="0">
      <alignment horizontal="right"/>
    </xf>
    <xf numFmtId="0" fontId="241" fillId="94" borderId="373" applyBorder="0" applyProtection="0">
      <alignment horizontal="centerContinuous" vertical="center"/>
    </xf>
    <xf numFmtId="0" fontId="313" fillId="22" borderId="31" applyNumberFormat="0" applyAlignment="0" applyProtection="0"/>
    <xf numFmtId="0" fontId="210" fillId="0" borderId="505" applyNumberFormat="0" applyFill="0" applyBorder="0" applyAlignment="0">
      <protection locked="0"/>
    </xf>
    <xf numFmtId="10" fontId="12" fillId="3" borderId="305" applyNumberFormat="0" applyFont="0" applyFill="0" applyBorder="0" applyAlignment="0">
      <protection locked="0"/>
    </xf>
    <xf numFmtId="0" fontId="166" fillId="0" borderId="565">
      <alignment horizontal="center"/>
    </xf>
    <xf numFmtId="10" fontId="12" fillId="3" borderId="305" applyNumberFormat="0" applyFont="0" applyFill="0" applyBorder="0" applyAlignment="0">
      <protection locked="0"/>
    </xf>
    <xf numFmtId="190" fontId="214" fillId="0" borderId="547" applyNumberFormat="0" applyFont="0" applyFill="0" applyAlignment="0" applyProtection="0"/>
    <xf numFmtId="180" fontId="9" fillId="3" borderId="1537">
      <alignment horizontal="right" vertical="center"/>
    </xf>
    <xf numFmtId="190" fontId="78" fillId="14" borderId="555" applyFont="0" applyFill="0" applyBorder="0" applyAlignment="0" applyProtection="0"/>
    <xf numFmtId="190" fontId="101" fillId="0" borderId="565" applyBorder="0"/>
    <xf numFmtId="0" fontId="272" fillId="0" borderId="0" applyNumberFormat="0" applyFill="0" applyBorder="0" applyAlignment="0" applyProtection="0"/>
    <xf numFmtId="254" fontId="240" fillId="0" borderId="565" applyBorder="0" applyProtection="0">
      <alignment horizontal="right" vertical="center"/>
    </xf>
    <xf numFmtId="312" fontId="101" fillId="0" borderId="373" applyBorder="0"/>
    <xf numFmtId="0" fontId="113" fillId="0" borderId="565" applyNumberFormat="0" applyFill="0" applyAlignment="0" applyProtection="0"/>
    <xf numFmtId="180" fontId="9" fillId="3" borderId="565">
      <alignment horizontal="right" vertical="center"/>
    </xf>
    <xf numFmtId="312" fontId="12" fillId="0" borderId="292" applyNumberFormat="0" applyFill="0" applyBorder="0" applyAlignment="0" applyProtection="0"/>
    <xf numFmtId="312" fontId="46" fillId="0" borderId="292" applyNumberFormat="0" applyFill="0" applyBorder="0" applyAlignment="0" applyProtection="0"/>
    <xf numFmtId="312" fontId="105" fillId="0" borderId="292" applyNumberFormat="0" applyFill="0" applyBorder="0" applyAlignment="0" applyProtection="0"/>
    <xf numFmtId="312" fontId="48" fillId="0" borderId="292" applyNumberFormat="0" applyFill="0" applyAlignment="0" applyProtection="0"/>
    <xf numFmtId="0" fontId="165" fillId="0" borderId="565" applyFill="0" applyProtection="0">
      <alignment horizontal="center"/>
    </xf>
    <xf numFmtId="246" fontId="250" fillId="0" borderId="565" applyFill="0" applyProtection="0">
      <alignment horizontal="center"/>
    </xf>
    <xf numFmtId="312" fontId="113" fillId="0" borderId="373" applyNumberFormat="0" applyFill="0" applyAlignment="0" applyProtection="0"/>
    <xf numFmtId="0" fontId="1" fillId="32" borderId="0" applyNumberFormat="0" applyBorder="0" applyAlignment="0" applyProtection="0"/>
    <xf numFmtId="312" fontId="75" fillId="0" borderId="350" applyNumberFormat="0" applyFont="0" applyFill="0" applyAlignment="0" applyProtection="0"/>
    <xf numFmtId="0" fontId="2" fillId="0" borderId="570" applyNumberFormat="0" applyAlignment="0" applyProtection="0"/>
    <xf numFmtId="0" fontId="78" fillId="14" borderId="567" applyFont="0" applyFill="0" applyBorder="0" applyAlignment="0" applyProtection="0"/>
    <xf numFmtId="246" fontId="250" fillId="0" borderId="553" applyFill="0" applyProtection="0">
      <alignment horizontal="center"/>
    </xf>
    <xf numFmtId="254" fontId="240" fillId="0" borderId="553" applyBorder="0" applyProtection="0">
      <alignment horizontal="right" vertical="center"/>
    </xf>
    <xf numFmtId="0" fontId="165" fillId="0" borderId="553" applyFill="0" applyProtection="0">
      <alignment horizontal="center"/>
    </xf>
    <xf numFmtId="0" fontId="12" fillId="0" borderId="553" applyNumberFormat="0" applyFill="0" applyBorder="0" applyAlignment="0" applyProtection="0">
      <alignment horizontal="center"/>
    </xf>
    <xf numFmtId="0" fontId="25" fillId="10" borderId="548" applyNumberFormat="0" applyProtection="0">
      <alignment horizontal="left" vertical="top"/>
    </xf>
    <xf numFmtId="0" fontId="2" fillId="0" borderId="546" applyNumberFormat="0" applyAlignment="0" applyProtection="0"/>
    <xf numFmtId="312" fontId="12" fillId="0" borderId="373" applyNumberFormat="0" applyFill="0" applyBorder="0" applyAlignment="0" applyProtection="0">
      <alignment horizontal="center"/>
    </xf>
    <xf numFmtId="222" fontId="79" fillId="0" borderId="540" applyBorder="0"/>
    <xf numFmtId="0" fontId="166" fillId="0" borderId="529">
      <alignment horizontal="center"/>
    </xf>
    <xf numFmtId="180" fontId="9" fillId="3" borderId="529">
      <alignment horizontal="right" vertical="center"/>
    </xf>
    <xf numFmtId="0" fontId="12" fillId="0" borderId="529" applyNumberFormat="0" applyFill="0" applyBorder="0" applyAlignment="0" applyProtection="0">
      <alignment horizontal="center"/>
    </xf>
    <xf numFmtId="0" fontId="101" fillId="0" borderId="529" applyBorder="0"/>
    <xf numFmtId="186" fontId="146" fillId="3" borderId="520">
      <alignment horizontal="left"/>
    </xf>
    <xf numFmtId="0" fontId="214" fillId="0" borderId="523" applyNumberFormat="0" applyFont="0" applyFill="0" applyAlignment="0" applyProtection="0"/>
    <xf numFmtId="0" fontId="25" fillId="10" borderId="526" applyNumberFormat="0" applyProtection="0">
      <alignment horizontal="left" vertical="top"/>
    </xf>
    <xf numFmtId="222" fontId="79" fillId="0" borderId="516" applyBorder="0"/>
    <xf numFmtId="246" fontId="249" fillId="0" borderId="505" applyFill="0" applyProtection="0">
      <alignment horizontal="center"/>
    </xf>
    <xf numFmtId="222" fontId="79" fillId="0" borderId="372" applyBorder="0"/>
    <xf numFmtId="0" fontId="78" fillId="14" borderId="495" applyFont="0" applyFill="0" applyBorder="0" applyAlignment="0" applyProtection="0"/>
    <xf numFmtId="0" fontId="25" fillId="10" borderId="503" applyNumberFormat="0" applyProtection="0">
      <alignment horizontal="left" vertical="top"/>
    </xf>
    <xf numFmtId="0" fontId="25" fillId="10" borderId="500" applyNumberFormat="0" applyProtection="0">
      <alignment horizontal="left" vertical="top"/>
    </xf>
    <xf numFmtId="186" fontId="140" fillId="3" borderId="497">
      <alignment horizontal="center" vertical="center"/>
    </xf>
    <xf numFmtId="222" fontId="79" fillId="0" borderId="504" applyBorder="0"/>
    <xf numFmtId="312" fontId="78" fillId="14" borderId="270" applyFont="0" applyFill="0" applyBorder="0" applyAlignment="0" applyProtection="0"/>
    <xf numFmtId="0" fontId="12" fillId="0" borderId="505" applyNumberFormat="0" applyFill="0" applyBorder="0" applyAlignment="0" applyProtection="0">
      <alignment horizontal="center"/>
    </xf>
    <xf numFmtId="246" fontId="250" fillId="0" borderId="505" applyFill="0" applyProtection="0">
      <alignment horizontal="center"/>
    </xf>
    <xf numFmtId="312" fontId="74" fillId="0" borderId="291" applyFont="0" applyFill="0" applyBorder="0" applyAlignment="0" applyProtection="0">
      <alignment horizontal="center"/>
    </xf>
    <xf numFmtId="312" fontId="48" fillId="0" borderId="291" applyFont="0" applyFill="0" applyBorder="0" applyAlignment="0" applyProtection="0">
      <alignment horizontal="center"/>
    </xf>
    <xf numFmtId="222" fontId="79" fillId="0" borderId="372" applyBorder="0"/>
    <xf numFmtId="0" fontId="75" fillId="0" borderId="554" applyNumberFormat="0" applyFont="0" applyFill="0" applyAlignment="0" applyProtection="0"/>
    <xf numFmtId="0" fontId="25" fillId="10" borderId="334" applyNumberFormat="0" applyProtection="0">
      <alignment horizontal="left" vertical="top"/>
    </xf>
    <xf numFmtId="0" fontId="311" fillId="0" borderId="30" applyNumberFormat="0" applyFill="0" applyAlignment="0" applyProtection="0"/>
    <xf numFmtId="222" fontId="79" fillId="0" borderId="540" applyBorder="0"/>
    <xf numFmtId="312" fontId="135" fillId="0" borderId="293"/>
    <xf numFmtId="312" fontId="135" fillId="0" borderId="293"/>
    <xf numFmtId="0" fontId="75" fillId="0" borderId="530" applyNumberFormat="0" applyFont="0" applyFill="0" applyAlignment="0" applyProtection="0"/>
    <xf numFmtId="0" fontId="12" fillId="0" borderId="541" applyNumberFormat="0" applyFill="0" applyBorder="0" applyAlignment="0" applyProtection="0">
      <alignment horizontal="center"/>
    </xf>
    <xf numFmtId="264" fontId="12" fillId="14" borderId="541" applyFont="0" applyFill="0" applyBorder="0" applyAlignment="0" applyProtection="0">
      <alignment horizontal="right"/>
    </xf>
    <xf numFmtId="246" fontId="249" fillId="0" borderId="517" applyFill="0" applyProtection="0">
      <alignment horizontal="center"/>
    </xf>
    <xf numFmtId="0" fontId="166" fillId="0" borderId="517">
      <alignment horizontal="center"/>
    </xf>
    <xf numFmtId="254" fontId="240" fillId="0" borderId="565" applyBorder="0" applyProtection="0">
      <alignment horizontal="right" vertical="center"/>
    </xf>
    <xf numFmtId="180" fontId="9" fillId="3" borderId="565">
      <alignment horizontal="right" vertical="center"/>
    </xf>
    <xf numFmtId="222" fontId="79" fillId="0" borderId="564" applyBorder="0"/>
    <xf numFmtId="0" fontId="25" fillId="10" borderId="500" applyNumberFormat="0" applyProtection="0">
      <alignment horizontal="left" vertical="top"/>
    </xf>
    <xf numFmtId="186" fontId="140" fillId="3" borderId="497">
      <alignment horizontal="center" vertical="center"/>
    </xf>
    <xf numFmtId="0" fontId="25" fillId="10" borderId="500" applyNumberFormat="0" applyProtection="0">
      <alignment horizontal="left" vertical="top"/>
    </xf>
    <xf numFmtId="0" fontId="25" fillId="10" borderId="503" applyNumberFormat="0" applyProtection="0">
      <alignment horizontal="left" vertical="top"/>
    </xf>
    <xf numFmtId="0" fontId="25" fillId="10" borderId="501" applyNumberFormat="0" applyProtection="0">
      <alignment horizontal="left" vertical="top"/>
    </xf>
    <xf numFmtId="264" fontId="12" fillId="14" borderId="565" applyFont="0" applyFill="0" applyBorder="0" applyAlignment="0" applyProtection="0">
      <alignment horizontal="right"/>
    </xf>
    <xf numFmtId="312" fontId="159" fillId="0" borderId="293"/>
    <xf numFmtId="312" fontId="159" fillId="67" borderId="293"/>
    <xf numFmtId="312" fontId="165" fillId="0" borderId="373" applyFill="0" applyProtection="0">
      <alignment horizontal="center"/>
    </xf>
    <xf numFmtId="312" fontId="242" fillId="0" borderId="373">
      <alignment horizontal="center"/>
    </xf>
    <xf numFmtId="0" fontId="241" fillId="94" borderId="493" applyBorder="0" applyProtection="0">
      <alignment horizontal="centerContinuous" vertical="center"/>
    </xf>
    <xf numFmtId="0" fontId="165" fillId="0" borderId="493" applyFill="0" applyProtection="0">
      <alignment horizontal="center"/>
    </xf>
    <xf numFmtId="0" fontId="113" fillId="0" borderId="493" applyNumberFormat="0" applyFill="0" applyAlignment="0" applyProtection="0"/>
    <xf numFmtId="0" fontId="48" fillId="0" borderId="0">
      <alignment vertical="top"/>
    </xf>
    <xf numFmtId="312" fontId="25" fillId="69" borderId="293">
      <alignment horizontal="left" vertical="center" wrapText="1"/>
    </xf>
    <xf numFmtId="0" fontId="303" fillId="29" borderId="0" applyNumberFormat="0" applyBorder="0" applyAlignment="0" applyProtection="0"/>
    <xf numFmtId="0" fontId="214" fillId="0" borderId="4723" applyNumberFormat="0" applyFont="0" applyFill="0" applyAlignment="0" applyProtection="0"/>
    <xf numFmtId="312" fontId="184" fillId="0" borderId="294" applyAlignment="0">
      <alignment horizontal="left" wrapText="1"/>
    </xf>
    <xf numFmtId="0" fontId="25" fillId="10" borderId="334" applyNumberFormat="0" applyProtection="0">
      <alignment horizontal="left" vertical="top"/>
    </xf>
    <xf numFmtId="0" fontId="12" fillId="0" borderId="4729" applyNumberFormat="0" applyFill="0" applyBorder="0" applyAlignment="0" applyProtection="0"/>
    <xf numFmtId="0" fontId="12" fillId="0" borderId="0"/>
    <xf numFmtId="312" fontId="210" fillId="0" borderId="373" applyNumberFormat="0" applyFill="0" applyBorder="0" applyAlignment="0">
      <protection locked="0"/>
    </xf>
    <xf numFmtId="312" fontId="2" fillId="0" borderId="354" applyNumberFormat="0" applyAlignment="0" applyProtection="0"/>
    <xf numFmtId="312" fontId="214" fillId="0" borderId="355" applyNumberFormat="0" applyFont="0" applyFill="0" applyAlignment="0" applyProtection="0"/>
    <xf numFmtId="312" fontId="225" fillId="53" borderId="295" applyNumberFormat="0" applyProtection="0">
      <alignment horizontal="left" vertical="top" indent="1"/>
    </xf>
    <xf numFmtId="312" fontId="12" fillId="75" borderId="295" applyNumberFormat="0" applyProtection="0">
      <alignment horizontal="left" vertical="center" indent="1"/>
    </xf>
    <xf numFmtId="312" fontId="12" fillId="75" borderId="295" applyNumberFormat="0" applyProtection="0">
      <alignment horizontal="left" vertical="top" indent="1"/>
    </xf>
    <xf numFmtId="312" fontId="12" fillId="84" borderId="295" applyNumberFormat="0" applyProtection="0">
      <alignment horizontal="left" vertical="center" indent="1"/>
    </xf>
    <xf numFmtId="312" fontId="12" fillId="84" borderId="295" applyNumberFormat="0" applyProtection="0">
      <alignment horizontal="left" vertical="top" indent="1"/>
    </xf>
    <xf numFmtId="312" fontId="12" fillId="52" borderId="295" applyNumberFormat="0" applyProtection="0">
      <alignment horizontal="left" vertical="center" indent="1"/>
    </xf>
    <xf numFmtId="312" fontId="12" fillId="52" borderId="295" applyNumberFormat="0" applyProtection="0">
      <alignment horizontal="left" vertical="top" indent="1"/>
    </xf>
    <xf numFmtId="312" fontId="12" fillId="11" borderId="295" applyNumberFormat="0" applyProtection="0">
      <alignment horizontal="left" vertical="center" indent="1"/>
    </xf>
    <xf numFmtId="312" fontId="12" fillId="11" borderId="295" applyNumberFormat="0" applyProtection="0">
      <alignment horizontal="left" vertical="top" indent="1"/>
    </xf>
    <xf numFmtId="312" fontId="136" fillId="14" borderId="295" applyNumberFormat="0" applyProtection="0">
      <alignment horizontal="left" vertical="top" indent="1"/>
    </xf>
    <xf numFmtId="312" fontId="136" fillId="84" borderId="295" applyNumberFormat="0" applyProtection="0">
      <alignment horizontal="left" vertical="top" indent="1"/>
    </xf>
    <xf numFmtId="0" fontId="25" fillId="10" borderId="1582" applyNumberFormat="0" applyProtection="0">
      <alignment horizontal="left" vertical="top"/>
    </xf>
    <xf numFmtId="312" fontId="25" fillId="10" borderId="293" applyNumberFormat="0" applyProtection="0">
      <alignment horizontal="center" vertical="top"/>
    </xf>
    <xf numFmtId="312" fontId="25" fillId="10" borderId="293" applyNumberFormat="0" applyProtection="0">
      <alignment horizontal="center" vertical="top"/>
    </xf>
    <xf numFmtId="312" fontId="12" fillId="3" borderId="293" applyNumberFormat="0" applyFont="0" applyAlignment="0" applyProtection="0"/>
    <xf numFmtId="312" fontId="12" fillId="10" borderId="293" applyNumberFormat="0" applyFont="0" applyAlignment="0" applyProtection="0"/>
    <xf numFmtId="312" fontId="12" fillId="10" borderId="293" applyNumberFormat="0" applyFont="0" applyProtection="0"/>
    <xf numFmtId="312" fontId="25" fillId="10" borderId="298" applyNumberFormat="0" applyProtection="0">
      <alignment horizontal="left"/>
    </xf>
    <xf numFmtId="312" fontId="25" fillId="10" borderId="299" applyNumberFormat="0" applyProtection="0">
      <alignment horizontal="left" vertical="top"/>
    </xf>
    <xf numFmtId="312" fontId="25" fillId="10" borderId="300" applyNumberFormat="0" applyProtection="0">
      <alignment horizontal="left" vertical="top"/>
    </xf>
    <xf numFmtId="312" fontId="25" fillId="10" borderId="356" applyNumberFormat="0" applyProtection="0">
      <alignment horizontal="left" vertical="top"/>
    </xf>
    <xf numFmtId="312" fontId="25" fillId="10" borderId="357" applyNumberFormat="0" applyProtection="0">
      <alignment horizontal="left" vertical="top"/>
    </xf>
    <xf numFmtId="312" fontId="25" fillId="10" borderId="301" applyNumberFormat="0" applyProtection="0">
      <alignment horizontal="left" vertical="top"/>
    </xf>
    <xf numFmtId="312" fontId="25" fillId="10" borderId="358" applyNumberFormat="0" applyProtection="0">
      <alignment horizontal="left" vertical="top"/>
    </xf>
    <xf numFmtId="312" fontId="25" fillId="10" borderId="302" applyNumberFormat="0" applyProtection="0">
      <alignment horizontal="left" vertical="top"/>
    </xf>
    <xf numFmtId="312" fontId="25" fillId="10" borderId="359" applyNumberFormat="0" applyProtection="0">
      <alignment horizontal="left" vertical="top"/>
    </xf>
    <xf numFmtId="312" fontId="25" fillId="10" borderId="303" applyNumberFormat="0" applyProtection="0">
      <alignment horizontal="left" vertical="top"/>
    </xf>
    <xf numFmtId="312" fontId="25" fillId="10" borderId="304" applyNumberFormat="0" applyProtection="0">
      <alignment horizontal="left" vertical="top"/>
    </xf>
    <xf numFmtId="312" fontId="12" fillId="0" borderId="292" applyNumberFormat="0" applyFill="0" applyBorder="0" applyAlignment="0" applyProtection="0"/>
    <xf numFmtId="312" fontId="241" fillId="94" borderId="373" applyBorder="0" applyProtection="0">
      <alignment horizontal="centerContinuous" vertical="center"/>
    </xf>
    <xf numFmtId="312" fontId="158" fillId="0" borderId="101" applyFill="0" applyBorder="0" applyProtection="0">
      <alignment horizontal="left" vertical="top"/>
    </xf>
    <xf numFmtId="246" fontId="296" fillId="0" borderId="373" applyFill="0" applyProtection="0">
      <alignment horizontal="center"/>
    </xf>
    <xf numFmtId="10" fontId="12" fillId="3" borderId="305" applyNumberFormat="0" applyFont="0" applyFill="0" applyBorder="0" applyAlignment="0">
      <protection locked="0"/>
    </xf>
    <xf numFmtId="312" fontId="12" fillId="0" borderId="292" applyNumberFormat="0" applyFill="0" applyBorder="0" applyAlignment="0" applyProtection="0"/>
    <xf numFmtId="312" fontId="12" fillId="0" borderId="292" applyNumberFormat="0" applyFill="0" applyBorder="0" applyAlignment="0" applyProtection="0"/>
    <xf numFmtId="312" fontId="12" fillId="0" borderId="292" applyNumberFormat="0" applyFill="0" applyBorder="0" applyAlignment="0" applyProtection="0"/>
    <xf numFmtId="0" fontId="72" fillId="46" borderId="0" applyNumberFormat="0" applyBorder="0" applyAlignment="0" applyProtection="0"/>
    <xf numFmtId="43" fontId="48" fillId="0" borderId="0" applyFont="0" applyFill="0" applyBorder="0" applyAlignment="0" applyProtection="0"/>
    <xf numFmtId="0" fontId="60" fillId="0" borderId="28" applyNumberFormat="0" applyFill="0" applyAlignment="0" applyProtection="0"/>
    <xf numFmtId="222" fontId="79" fillId="0" borderId="1548" applyBorder="0"/>
    <xf numFmtId="222" fontId="79" fillId="0" borderId="1440" applyBorder="0"/>
    <xf numFmtId="312" fontId="101" fillId="0" borderId="373" applyBorder="0"/>
    <xf numFmtId="312" fontId="113" fillId="0" borderId="373" applyNumberFormat="0" applyFill="0" applyAlignment="0" applyProtection="0"/>
    <xf numFmtId="312" fontId="75" fillId="0" borderId="350" applyNumberFormat="0" applyFont="0" applyFill="0" applyAlignment="0" applyProtection="0"/>
    <xf numFmtId="312" fontId="12" fillId="0" borderId="373" applyNumberFormat="0" applyFill="0" applyBorder="0" applyAlignment="0" applyProtection="0">
      <alignment horizontal="center"/>
    </xf>
    <xf numFmtId="312" fontId="78" fillId="14" borderId="270" applyFont="0" applyFill="0" applyBorder="0" applyAlignment="0" applyProtection="0"/>
    <xf numFmtId="0" fontId="113" fillId="0" borderId="541" applyNumberFormat="0" applyFill="0" applyAlignment="0" applyProtection="0"/>
    <xf numFmtId="312" fontId="5" fillId="0" borderId="308">
      <alignment horizontal="left" vertical="center"/>
    </xf>
    <xf numFmtId="312" fontId="165" fillId="0" borderId="373" applyFill="0" applyProtection="0">
      <alignment horizontal="center"/>
    </xf>
    <xf numFmtId="312" fontId="242" fillId="0" borderId="373">
      <alignment horizontal="center"/>
    </xf>
    <xf numFmtId="0" fontId="210" fillId="0" borderId="541" applyNumberFormat="0" applyFill="0" applyBorder="0" applyAlignment="0">
      <protection locked="0"/>
    </xf>
    <xf numFmtId="312" fontId="210" fillId="0" borderId="373" applyNumberFormat="0" applyFill="0" applyBorder="0" applyAlignment="0">
      <protection locked="0"/>
    </xf>
    <xf numFmtId="312" fontId="2" fillId="0" borderId="354" applyNumberFormat="0" applyAlignment="0" applyProtection="0"/>
    <xf numFmtId="312" fontId="214" fillId="0" borderId="355" applyNumberFormat="0" applyFont="0" applyFill="0" applyAlignment="0" applyProtection="0"/>
    <xf numFmtId="312" fontId="25" fillId="10" borderId="356" applyNumberFormat="0" applyProtection="0">
      <alignment horizontal="left" vertical="top"/>
    </xf>
    <xf numFmtId="312" fontId="25" fillId="10" borderId="357" applyNumberFormat="0" applyProtection="0">
      <alignment horizontal="left" vertical="top"/>
    </xf>
    <xf numFmtId="312" fontId="25" fillId="10" borderId="358" applyNumberFormat="0" applyProtection="0">
      <alignment horizontal="left" vertical="top"/>
    </xf>
    <xf numFmtId="312" fontId="25" fillId="10" borderId="359" applyNumberFormat="0" applyProtection="0">
      <alignment horizontal="left" vertical="top"/>
    </xf>
    <xf numFmtId="312" fontId="25" fillId="10" borderId="356" applyNumberFormat="0" applyProtection="0">
      <alignment horizontal="left" vertical="top"/>
    </xf>
    <xf numFmtId="312" fontId="25" fillId="10" borderId="357" applyNumberFormat="0" applyProtection="0">
      <alignment horizontal="left" vertical="top"/>
    </xf>
    <xf numFmtId="312" fontId="25" fillId="10" borderId="358" applyNumberFormat="0" applyProtection="0">
      <alignment horizontal="left" vertical="top"/>
    </xf>
    <xf numFmtId="312" fontId="25" fillId="10" borderId="359" applyNumberFormat="0" applyProtection="0">
      <alignment horizontal="left" vertical="top"/>
    </xf>
    <xf numFmtId="312" fontId="241" fillId="94" borderId="373" applyBorder="0" applyProtection="0">
      <alignment horizontal="centerContinuous" vertical="center"/>
    </xf>
    <xf numFmtId="246" fontId="296" fillId="0" borderId="373" applyFill="0" applyProtection="0">
      <alignment horizontal="center"/>
    </xf>
    <xf numFmtId="0" fontId="241" fillId="94" borderId="565" applyBorder="0" applyProtection="0">
      <alignment horizontal="centerContinuous" vertical="center"/>
    </xf>
    <xf numFmtId="186" fontId="146" fillId="3" borderId="1537" applyBorder="0">
      <alignment horizontal="left" vertical="center"/>
    </xf>
    <xf numFmtId="10" fontId="12" fillId="3" borderId="305" applyNumberFormat="0" applyFont="0" applyFill="0" applyBorder="0" applyAlignment="0">
      <protection locked="0"/>
    </xf>
    <xf numFmtId="0" fontId="241" fillId="94" borderId="493" applyBorder="0" applyProtection="0">
      <alignment horizontal="centerContinuous" vertical="center"/>
    </xf>
    <xf numFmtId="0" fontId="303" fillId="49" borderId="0" applyNumberFormat="0" applyBorder="0" applyAlignment="0" applyProtection="0"/>
    <xf numFmtId="0" fontId="210" fillId="0" borderId="493" applyNumberFormat="0" applyFill="0" applyBorder="0" applyAlignment="0">
      <protection locked="0"/>
    </xf>
    <xf numFmtId="0" fontId="12" fillId="0" borderId="0">
      <alignment horizontal="left" wrapText="1"/>
    </xf>
    <xf numFmtId="0" fontId="12" fillId="0" borderId="0">
      <alignment horizontal="left" wrapText="1"/>
    </xf>
    <xf numFmtId="0" fontId="1" fillId="43" borderId="0" applyNumberFormat="0" applyBorder="0" applyAlignment="0" applyProtection="0"/>
    <xf numFmtId="246" fontId="249" fillId="0" borderId="505" applyFill="0" applyProtection="0">
      <alignment horizontal="center"/>
    </xf>
    <xf numFmtId="0" fontId="314" fillId="0" borderId="33" applyNumberFormat="0" applyFill="0" applyAlignment="0" applyProtection="0"/>
    <xf numFmtId="0" fontId="1" fillId="27" borderId="0" applyNumberFormat="0" applyBorder="0" applyAlignment="0" applyProtection="0"/>
    <xf numFmtId="186" fontId="140" fillId="3" borderId="1541">
      <alignment horizontal="center" vertical="center"/>
    </xf>
    <xf numFmtId="0" fontId="214" fillId="0" borderId="1567" applyNumberFormat="0" applyFont="0" applyFill="0" applyAlignment="0" applyProtection="0"/>
    <xf numFmtId="222" fontId="79" fillId="0" borderId="1548" applyBorder="0"/>
    <xf numFmtId="186" fontId="146" fillId="3" borderId="1540">
      <alignment horizontal="left"/>
    </xf>
    <xf numFmtId="0" fontId="48" fillId="0" borderId="0">
      <alignment vertical="top"/>
    </xf>
    <xf numFmtId="0" fontId="25" fillId="10" borderId="1546" applyNumberFormat="0" applyProtection="0">
      <alignment horizontal="left" vertical="top"/>
    </xf>
    <xf numFmtId="0" fontId="14" fillId="35" borderId="0" applyNumberFormat="0" applyBorder="0" applyAlignment="0" applyProtection="0"/>
    <xf numFmtId="0" fontId="210" fillId="0" borderId="1537" applyNumberFormat="0" applyFill="0" applyBorder="0" applyAlignment="0">
      <protection locked="0"/>
    </xf>
    <xf numFmtId="0" fontId="14" fillId="39" borderId="0" applyNumberFormat="0" applyBorder="0" applyAlignment="0" applyProtection="0"/>
    <xf numFmtId="0" fontId="1" fillId="39" borderId="0" applyNumberFormat="0" applyBorder="0" applyAlignment="0" applyProtection="0"/>
    <xf numFmtId="0" fontId="61" fillId="0" borderId="29" applyNumberFormat="0" applyFill="0" applyAlignment="0" applyProtection="0"/>
    <xf numFmtId="248" fontId="46" fillId="0" borderId="1537"/>
    <xf numFmtId="0" fontId="2" fillId="0" borderId="510" applyNumberFormat="0" applyAlignment="0" applyProtection="0"/>
    <xf numFmtId="0" fontId="14" fillId="43" borderId="0" applyNumberFormat="0" applyBorder="0" applyAlignment="0" applyProtection="0"/>
    <xf numFmtId="0" fontId="214" fillId="0" borderId="499" applyNumberFormat="0" applyFont="0" applyFill="0" applyAlignment="0" applyProtection="0"/>
    <xf numFmtId="0" fontId="310" fillId="0" borderId="29" applyNumberFormat="0" applyFill="0" applyAlignment="0" applyProtection="0"/>
    <xf numFmtId="0" fontId="25" fillId="10" borderId="502" applyNumberFormat="0" applyProtection="0">
      <alignment horizontal="left" vertical="top"/>
    </xf>
    <xf numFmtId="0" fontId="311" fillId="0" borderId="0" applyNumberFormat="0" applyFill="0" applyBorder="0" applyAlignment="0" applyProtection="0"/>
    <xf numFmtId="180" fontId="9" fillId="3" borderId="493">
      <alignment horizontal="right" vertical="center"/>
    </xf>
    <xf numFmtId="0" fontId="165" fillId="0" borderId="493" applyFill="0" applyProtection="0">
      <alignment horizontal="center"/>
    </xf>
    <xf numFmtId="1" fontId="154" fillId="65" borderId="181" applyNumberFormat="0" applyBorder="0" applyAlignment="0">
      <alignment horizontal="centerContinuous" vertical="center"/>
      <protection locked="0"/>
    </xf>
    <xf numFmtId="0" fontId="12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10" fontId="12" fillId="3" borderId="305" applyNumberFormat="0" applyFont="0" applyFill="0" applyBorder="0" applyAlignment="0">
      <protection locked="0"/>
    </xf>
    <xf numFmtId="246" fontId="250" fillId="0" borderId="373" applyFill="0" applyProtection="0">
      <alignment horizontal="center"/>
    </xf>
    <xf numFmtId="246" fontId="249" fillId="0" borderId="373" applyFill="0" applyProtection="0">
      <alignment horizontal="center"/>
    </xf>
    <xf numFmtId="0" fontId="241" fillId="94" borderId="373" applyBorder="0" applyProtection="0">
      <alignment horizontal="centerContinuous" vertical="center"/>
    </xf>
    <xf numFmtId="254" fontId="240" fillId="0" borderId="373" applyBorder="0" applyProtection="0">
      <alignment horizontal="right" vertical="center"/>
    </xf>
    <xf numFmtId="0" fontId="12" fillId="0" borderId="292" applyNumberFormat="0" applyFill="0" applyBorder="0" applyAlignment="0" applyProtection="0"/>
    <xf numFmtId="0" fontId="25" fillId="10" borderId="304" applyNumberFormat="0" applyProtection="0">
      <alignment horizontal="left" vertical="top"/>
    </xf>
    <xf numFmtId="0" fontId="25" fillId="10" borderId="303" applyNumberFormat="0" applyProtection="0">
      <alignment horizontal="left" vertical="top"/>
    </xf>
    <xf numFmtId="0" fontId="25" fillId="10" borderId="302" applyNumberFormat="0" applyProtection="0">
      <alignment horizontal="left" vertical="top"/>
    </xf>
    <xf numFmtId="0" fontId="25" fillId="10" borderId="301" applyNumberFormat="0" applyProtection="0">
      <alignment horizontal="left" vertical="top"/>
    </xf>
    <xf numFmtId="0" fontId="25" fillId="10" borderId="300" applyNumberFormat="0" applyProtection="0">
      <alignment horizontal="left" vertical="top"/>
    </xf>
    <xf numFmtId="0" fontId="25" fillId="10" borderId="299" applyNumberFormat="0" applyProtection="0">
      <alignment horizontal="left" vertical="top"/>
    </xf>
    <xf numFmtId="0" fontId="25" fillId="10" borderId="298" applyNumberFormat="0" applyProtection="0">
      <alignment horizontal="left"/>
    </xf>
    <xf numFmtId="0" fontId="12" fillId="10" borderId="293" applyNumberFormat="0" applyFont="0" applyProtection="0"/>
    <xf numFmtId="0" fontId="12" fillId="10" borderId="293" applyNumberFormat="0" applyFont="0" applyAlignment="0" applyProtection="0"/>
    <xf numFmtId="0" fontId="12" fillId="3" borderId="293" applyNumberFormat="0" applyFont="0" applyAlignment="0" applyProtection="0"/>
    <xf numFmtId="293" fontId="234" fillId="10" borderId="293" applyFont="0" applyProtection="0"/>
    <xf numFmtId="293" fontId="234" fillId="10" borderId="293" applyFont="0" applyProtection="0"/>
    <xf numFmtId="169" fontId="234" fillId="3" borderId="293" applyFont="0" applyProtection="0"/>
    <xf numFmtId="293" fontId="234" fillId="3" borderId="293" applyFont="0" applyProtection="0"/>
    <xf numFmtId="169" fontId="234" fillId="10" borderId="293" applyFont="0" applyProtection="0"/>
    <xf numFmtId="0" fontId="25" fillId="10" borderId="293" applyNumberFormat="0" applyProtection="0">
      <alignment horizontal="center" vertical="top"/>
    </xf>
    <xf numFmtId="0" fontId="25" fillId="10" borderId="293" applyNumberFormat="0" applyProtection="0">
      <alignment horizontal="center" vertical="top"/>
    </xf>
    <xf numFmtId="2" fontId="12" fillId="60" borderId="297" applyFont="0" applyFill="0" applyBorder="0" applyAlignment="0" applyProtection="0"/>
    <xf numFmtId="9" fontId="12" fillId="60" borderId="297" applyFont="0" applyFill="0" applyBorder="0" applyAlignment="0" applyProtection="0"/>
    <xf numFmtId="10" fontId="12" fillId="60" borderId="297" applyFont="0" applyFill="0" applyBorder="0" applyAlignment="0" applyProtection="0"/>
    <xf numFmtId="183" fontId="12" fillId="60" borderId="297" applyFont="0" applyFill="0" applyBorder="0" applyAlignment="0" applyProtection="0"/>
    <xf numFmtId="4" fontId="12" fillId="60" borderId="297" applyFont="0" applyFill="0" applyBorder="0" applyAlignment="0" applyProtection="0"/>
    <xf numFmtId="3" fontId="12" fillId="60" borderId="297" applyFont="0" applyFill="0" applyBorder="0" applyAlignment="0" applyProtection="0"/>
    <xf numFmtId="4" fontId="230" fillId="11" borderId="295" applyNumberFormat="0" applyProtection="0">
      <alignment horizontal="right" vertical="center"/>
    </xf>
    <xf numFmtId="4" fontId="229" fillId="84" borderId="296" applyNumberFormat="0" applyProtection="0">
      <alignment horizontal="left" vertical="center" indent="1"/>
    </xf>
    <xf numFmtId="0" fontId="136" fillId="84" borderId="295" applyNumberFormat="0" applyProtection="0">
      <alignment horizontal="left" vertical="top" indent="1"/>
    </xf>
    <xf numFmtId="4" fontId="223" fillId="52" borderId="295" applyNumberFormat="0" applyProtection="0">
      <alignment horizontal="left" vertical="center" indent="1"/>
    </xf>
    <xf numFmtId="4" fontId="228" fillId="11" borderId="295" applyNumberFormat="0" applyProtection="0">
      <alignment horizontal="right" vertical="center"/>
    </xf>
    <xf numFmtId="4" fontId="184" fillId="11" borderId="295" applyNumberFormat="0" applyProtection="0">
      <alignment horizontal="right" vertical="center"/>
    </xf>
    <xf numFmtId="0" fontId="136" fillId="14" borderId="295" applyNumberFormat="0" applyProtection="0">
      <alignment horizontal="left" vertical="top" indent="1"/>
    </xf>
    <xf numFmtId="4" fontId="227" fillId="52" borderId="296" applyNumberFormat="0" applyProtection="0">
      <alignment horizontal="left" vertical="center" indent="1"/>
    </xf>
    <xf numFmtId="4" fontId="228" fillId="11" borderId="295" applyNumberFormat="0" applyProtection="0">
      <alignment vertical="center"/>
    </xf>
    <xf numFmtId="4" fontId="226" fillId="11" borderId="295" applyNumberFormat="0" applyProtection="0">
      <alignment vertical="center"/>
    </xf>
    <xf numFmtId="0" fontId="12" fillId="11" borderId="295" applyNumberFormat="0" applyProtection="0">
      <alignment horizontal="left" vertical="top" indent="1"/>
    </xf>
    <xf numFmtId="0" fontId="12" fillId="11" borderId="295" applyNumberFormat="0" applyProtection="0">
      <alignment horizontal="left" vertical="center" indent="1"/>
    </xf>
    <xf numFmtId="0" fontId="12" fillId="52" borderId="295" applyNumberFormat="0" applyProtection="0">
      <alignment horizontal="left" vertical="top" indent="1"/>
    </xf>
    <xf numFmtId="0" fontId="12" fillId="52" borderId="295" applyNumberFormat="0" applyProtection="0">
      <alignment horizontal="left" vertical="center" indent="1"/>
    </xf>
    <xf numFmtId="0" fontId="12" fillId="84" borderId="295" applyNumberFormat="0" applyProtection="0">
      <alignment horizontal="left" vertical="top" indent="1"/>
    </xf>
    <xf numFmtId="0" fontId="12" fillId="84" borderId="295" applyNumberFormat="0" applyProtection="0">
      <alignment horizontal="left" vertical="center" indent="1"/>
    </xf>
    <xf numFmtId="0" fontId="12" fillId="75" borderId="295" applyNumberFormat="0" applyProtection="0">
      <alignment horizontal="left" vertical="top" indent="1"/>
    </xf>
    <xf numFmtId="0" fontId="12" fillId="75" borderId="295" applyNumberFormat="0" applyProtection="0">
      <alignment horizontal="left" vertical="center" indent="1"/>
    </xf>
    <xf numFmtId="4" fontId="184" fillId="52" borderId="295" applyNumberFormat="0" applyProtection="0">
      <alignment horizontal="right" vertical="center"/>
    </xf>
    <xf numFmtId="4" fontId="226" fillId="82" borderId="295" applyNumberFormat="0" applyProtection="0">
      <alignment horizontal="right" vertical="center"/>
    </xf>
    <xf numFmtId="4" fontId="226" fillId="81" borderId="295" applyNumberFormat="0" applyProtection="0">
      <alignment horizontal="right" vertical="center"/>
    </xf>
    <xf numFmtId="4" fontId="226" fillId="80" borderId="295" applyNumberFormat="0" applyProtection="0">
      <alignment horizontal="right" vertical="center"/>
    </xf>
    <xf numFmtId="4" fontId="226" fillId="71" borderId="295" applyNumberFormat="0" applyProtection="0">
      <alignment horizontal="right" vertical="center"/>
    </xf>
    <xf numFmtId="4" fontId="226" fillId="79" borderId="295" applyNumberFormat="0" applyProtection="0">
      <alignment horizontal="right" vertical="center"/>
    </xf>
    <xf numFmtId="4" fontId="226" fillId="10" borderId="295" applyNumberFormat="0" applyProtection="0">
      <alignment horizontal="right" vertical="center"/>
    </xf>
    <xf numFmtId="4" fontId="226" fillId="78" borderId="295" applyNumberFormat="0" applyProtection="0">
      <alignment horizontal="right" vertical="center"/>
    </xf>
    <xf numFmtId="4" fontId="226" fillId="77" borderId="295" applyNumberFormat="0" applyProtection="0">
      <alignment horizontal="right" vertical="center"/>
    </xf>
    <xf numFmtId="4" fontId="226" fillId="76" borderId="295" applyNumberFormat="0" applyProtection="0">
      <alignment horizontal="right" vertical="center"/>
    </xf>
    <xf numFmtId="0" fontId="225" fillId="53" borderId="295" applyNumberFormat="0" applyProtection="0">
      <alignment horizontal="left" vertical="top" indent="1"/>
    </xf>
    <xf numFmtId="4" fontId="184" fillId="53" borderId="295" applyNumberFormat="0" applyProtection="0">
      <alignment horizontal="left" vertical="center" indent="1"/>
    </xf>
    <xf numFmtId="4" fontId="224" fillId="53" borderId="295" applyNumberFormat="0" applyProtection="0">
      <alignment vertical="center"/>
    </xf>
    <xf numFmtId="4" fontId="223" fillId="53" borderId="295" applyNumberFormat="0" applyProtection="0">
      <alignment vertical="center"/>
    </xf>
    <xf numFmtId="0" fontId="12" fillId="0" borderId="292" applyNumberFormat="0" applyFill="0" applyBorder="0" applyAlignment="0" applyProtection="0"/>
    <xf numFmtId="0" fontId="46" fillId="0" borderId="292" applyNumberFormat="0" applyFill="0" applyBorder="0" applyAlignment="0" applyProtection="0"/>
    <xf numFmtId="0" fontId="105" fillId="0" borderId="292" applyNumberFormat="0" applyFill="0" applyBorder="0" applyAlignment="0" applyProtection="0"/>
    <xf numFmtId="0" fontId="48" fillId="0" borderId="292" applyNumberFormat="0" applyFill="0" applyAlignment="0" applyProtection="0"/>
    <xf numFmtId="5" fontId="114" fillId="0" borderId="291" applyAlignment="0" applyProtection="0"/>
    <xf numFmtId="0" fontId="210" fillId="0" borderId="373" applyNumberFormat="0" applyFill="0" applyBorder="0" applyAlignment="0">
      <protection locked="0"/>
    </xf>
    <xf numFmtId="182" fontId="145" fillId="3" borderId="291">
      <alignment horizontal="right" vertical="center"/>
    </xf>
    <xf numFmtId="186" fontId="48" fillId="3" borderId="291">
      <alignment vertical="center"/>
    </xf>
    <xf numFmtId="0" fontId="135" fillId="0" borderId="293"/>
    <xf numFmtId="0" fontId="135" fillId="0" borderId="293"/>
    <xf numFmtId="188" fontId="25" fillId="0" borderId="308" applyFont="0" applyFill="0" applyBorder="0" applyAlignment="0" applyProtection="0">
      <alignment horizontal="center"/>
    </xf>
    <xf numFmtId="0" fontId="184" fillId="0" borderId="294" applyAlignment="0">
      <alignment horizontal="left" wrapText="1"/>
    </xf>
    <xf numFmtId="264" fontId="12" fillId="14" borderId="373" applyFont="0" applyFill="0" applyBorder="0" applyAlignment="0" applyProtection="0">
      <alignment horizontal="right"/>
    </xf>
    <xf numFmtId="0" fontId="25" fillId="69" borderId="293">
      <alignment horizontal="left" vertical="center" wrapText="1"/>
    </xf>
    <xf numFmtId="0" fontId="159" fillId="0" borderId="293"/>
    <xf numFmtId="0" fontId="159" fillId="67" borderId="293"/>
    <xf numFmtId="192" fontId="9" fillId="3" borderId="493">
      <alignment horizontal="right" vertical="center"/>
    </xf>
    <xf numFmtId="0" fontId="166" fillId="0" borderId="373">
      <alignment horizontal="center"/>
    </xf>
    <xf numFmtId="0" fontId="165" fillId="0" borderId="373" applyFill="0" applyProtection="0">
      <alignment horizontal="center"/>
    </xf>
    <xf numFmtId="0" fontId="159" fillId="67" borderId="293"/>
    <xf numFmtId="0" fontId="159" fillId="0" borderId="293"/>
    <xf numFmtId="0" fontId="25" fillId="69" borderId="293">
      <alignment horizontal="left" vertical="center" wrapText="1"/>
    </xf>
    <xf numFmtId="0" fontId="184" fillId="0" borderId="294" applyAlignment="0">
      <alignment horizontal="left" wrapText="1"/>
    </xf>
    <xf numFmtId="0" fontId="135" fillId="0" borderId="293"/>
    <xf numFmtId="0" fontId="135" fillId="0" borderId="293"/>
    <xf numFmtId="186" fontId="140" fillId="3" borderId="248">
      <alignment horizontal="center" vertical="center"/>
    </xf>
    <xf numFmtId="186" fontId="48" fillId="3" borderId="291">
      <alignment vertical="center"/>
    </xf>
    <xf numFmtId="186" fontId="146" fillId="3" borderId="173">
      <alignment horizontal="left"/>
    </xf>
    <xf numFmtId="186" fontId="146" fillId="3" borderId="373" applyBorder="0">
      <alignment horizontal="left" vertical="center"/>
    </xf>
    <xf numFmtId="180" fontId="9" fillId="3" borderId="373">
      <alignment horizontal="right" vertical="center"/>
    </xf>
    <xf numFmtId="192" fontId="9" fillId="3" borderId="373">
      <alignment horizontal="right" vertical="center"/>
    </xf>
    <xf numFmtId="0" fontId="101" fillId="0" borderId="373" applyBorder="0"/>
    <xf numFmtId="182" fontId="145" fillId="3" borderId="291">
      <alignment horizontal="right" vertical="center"/>
    </xf>
    <xf numFmtId="188" fontId="25" fillId="0" borderId="308" applyFont="0" applyFill="0" applyBorder="0" applyAlignment="0" applyProtection="0">
      <alignment horizontal="center"/>
    </xf>
    <xf numFmtId="248" fontId="46" fillId="0" borderId="541"/>
    <xf numFmtId="246" fontId="249" fillId="0" borderId="373" applyFill="0" applyProtection="0">
      <alignment horizontal="center"/>
    </xf>
    <xf numFmtId="0" fontId="48" fillId="0" borderId="291" applyFont="0" applyFill="0" applyBorder="0" applyAlignment="0" applyProtection="0">
      <alignment horizontal="center"/>
    </xf>
    <xf numFmtId="0" fontId="74" fillId="0" borderId="291" applyFont="0" applyFill="0" applyBorder="0" applyAlignment="0" applyProtection="0">
      <alignment horizontal="center"/>
    </xf>
    <xf numFmtId="248" fontId="46" fillId="0" borderId="373"/>
    <xf numFmtId="0" fontId="78" fillId="14" borderId="282" applyFont="0" applyFill="0" applyBorder="0" applyAlignment="0" applyProtection="0"/>
    <xf numFmtId="0" fontId="12" fillId="0" borderId="373" applyNumberFormat="0" applyFill="0" applyBorder="0" applyAlignment="0" applyProtection="0">
      <alignment horizontal="center"/>
    </xf>
    <xf numFmtId="186" fontId="146" fillId="3" borderId="553" applyBorder="0">
      <alignment horizontal="left" vertical="center"/>
    </xf>
    <xf numFmtId="0" fontId="75" fillId="0" borderId="171" applyNumberFormat="0" applyFont="0" applyFill="0" applyAlignment="0" applyProtection="0"/>
    <xf numFmtId="5" fontId="114" fillId="0" borderId="291" applyAlignment="0" applyProtection="0"/>
    <xf numFmtId="0" fontId="113" fillId="0" borderId="373" applyNumberFormat="0" applyFill="0" applyAlignment="0" applyProtection="0"/>
    <xf numFmtId="0" fontId="48" fillId="0" borderId="292" applyNumberFormat="0" applyFill="0" applyAlignment="0" applyProtection="0"/>
    <xf numFmtId="0" fontId="105" fillId="0" borderId="292" applyNumberFormat="0" applyFill="0" applyBorder="0" applyAlignment="0" applyProtection="0"/>
    <xf numFmtId="0" fontId="46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222" fontId="79" fillId="0" borderId="372" applyBorder="0"/>
    <xf numFmtId="0" fontId="101" fillId="0" borderId="373" applyBorder="0"/>
    <xf numFmtId="4" fontId="223" fillId="53" borderId="295" applyNumberFormat="0" applyProtection="0">
      <alignment vertical="center"/>
    </xf>
    <xf numFmtId="4" fontId="224" fillId="53" borderId="295" applyNumberFormat="0" applyProtection="0">
      <alignment vertical="center"/>
    </xf>
    <xf numFmtId="4" fontId="184" fillId="53" borderId="295" applyNumberFormat="0" applyProtection="0">
      <alignment horizontal="left" vertical="center" indent="1"/>
    </xf>
    <xf numFmtId="0" fontId="225" fillId="53" borderId="295" applyNumberFormat="0" applyProtection="0">
      <alignment horizontal="left" vertical="top" indent="1"/>
    </xf>
    <xf numFmtId="4" fontId="226" fillId="76" borderId="295" applyNumberFormat="0" applyProtection="0">
      <alignment horizontal="right" vertical="center"/>
    </xf>
    <xf numFmtId="4" fontId="226" fillId="77" borderId="295" applyNumberFormat="0" applyProtection="0">
      <alignment horizontal="right" vertical="center"/>
    </xf>
    <xf numFmtId="4" fontId="226" fillId="78" borderId="295" applyNumberFormat="0" applyProtection="0">
      <alignment horizontal="right" vertical="center"/>
    </xf>
    <xf numFmtId="4" fontId="226" fillId="10" borderId="295" applyNumberFormat="0" applyProtection="0">
      <alignment horizontal="right" vertical="center"/>
    </xf>
    <xf numFmtId="4" fontId="226" fillId="79" borderId="295" applyNumberFormat="0" applyProtection="0">
      <alignment horizontal="right" vertical="center"/>
    </xf>
    <xf numFmtId="4" fontId="226" fillId="71" borderId="295" applyNumberFormat="0" applyProtection="0">
      <alignment horizontal="right" vertical="center"/>
    </xf>
    <xf numFmtId="4" fontId="226" fillId="81" borderId="295" applyNumberFormat="0" applyProtection="0">
      <alignment horizontal="right" vertical="center"/>
    </xf>
    <xf numFmtId="4" fontId="226" fillId="80" borderId="295" applyNumberFormat="0" applyProtection="0">
      <alignment horizontal="right" vertical="center"/>
    </xf>
    <xf numFmtId="4" fontId="226" fillId="82" borderId="295" applyNumberFormat="0" applyProtection="0">
      <alignment horizontal="right" vertical="center"/>
    </xf>
    <xf numFmtId="4" fontId="184" fillId="52" borderId="295" applyNumberFormat="0" applyProtection="0">
      <alignment horizontal="right" vertical="center"/>
    </xf>
    <xf numFmtId="0" fontId="12" fillId="75" borderId="295" applyNumberFormat="0" applyProtection="0">
      <alignment horizontal="left" vertical="center" indent="1"/>
    </xf>
    <xf numFmtId="0" fontId="12" fillId="75" borderId="295" applyNumberFormat="0" applyProtection="0">
      <alignment horizontal="left" vertical="top" indent="1"/>
    </xf>
    <xf numFmtId="0" fontId="12" fillId="84" borderId="295" applyNumberFormat="0" applyProtection="0">
      <alignment horizontal="left" vertical="center" indent="1"/>
    </xf>
    <xf numFmtId="0" fontId="12" fillId="84" borderId="295" applyNumberFormat="0" applyProtection="0">
      <alignment horizontal="left" vertical="top" indent="1"/>
    </xf>
    <xf numFmtId="0" fontId="12" fillId="52" borderId="295" applyNumberFormat="0" applyProtection="0">
      <alignment horizontal="left" vertical="center" indent="1"/>
    </xf>
    <xf numFmtId="0" fontId="12" fillId="52" borderId="295" applyNumberFormat="0" applyProtection="0">
      <alignment horizontal="left" vertical="top" indent="1"/>
    </xf>
    <xf numFmtId="0" fontId="12" fillId="11" borderId="295" applyNumberFormat="0" applyProtection="0">
      <alignment horizontal="left" vertical="center" indent="1"/>
    </xf>
    <xf numFmtId="0" fontId="12" fillId="11" borderId="295" applyNumberFormat="0" applyProtection="0">
      <alignment horizontal="left" vertical="top" indent="1"/>
    </xf>
    <xf numFmtId="4" fontId="226" fillId="11" borderId="295" applyNumberFormat="0" applyProtection="0">
      <alignment vertical="center"/>
    </xf>
    <xf numFmtId="4" fontId="228" fillId="11" borderId="295" applyNumberFormat="0" applyProtection="0">
      <alignment vertical="center"/>
    </xf>
    <xf numFmtId="4" fontId="227" fillId="52" borderId="296" applyNumberFormat="0" applyProtection="0">
      <alignment horizontal="left" vertical="center" indent="1"/>
    </xf>
    <xf numFmtId="0" fontId="136" fillId="14" borderId="295" applyNumberFormat="0" applyProtection="0">
      <alignment horizontal="left" vertical="top" indent="1"/>
    </xf>
    <xf numFmtId="4" fontId="184" fillId="11" borderId="295" applyNumberFormat="0" applyProtection="0">
      <alignment horizontal="right" vertical="center"/>
    </xf>
    <xf numFmtId="4" fontId="228" fillId="11" borderId="295" applyNumberFormat="0" applyProtection="0">
      <alignment horizontal="right" vertical="center"/>
    </xf>
    <xf numFmtId="4" fontId="223" fillId="52" borderId="295" applyNumberFormat="0" applyProtection="0">
      <alignment horizontal="left" vertical="center" indent="1"/>
    </xf>
    <xf numFmtId="0" fontId="136" fillId="84" borderId="295" applyNumberFormat="0" applyProtection="0">
      <alignment horizontal="left" vertical="top" indent="1"/>
    </xf>
    <xf numFmtId="4" fontId="229" fillId="84" borderId="296" applyNumberFormat="0" applyProtection="0">
      <alignment horizontal="left" vertical="center" indent="1"/>
    </xf>
    <xf numFmtId="4" fontId="230" fillId="11" borderId="295" applyNumberFormat="0" applyProtection="0">
      <alignment horizontal="right" vertical="center"/>
    </xf>
    <xf numFmtId="0" fontId="25" fillId="10" borderId="380" applyNumberFormat="0" applyProtection="0">
      <alignment horizontal="left" vertical="top"/>
    </xf>
    <xf numFmtId="0" fontId="25" fillId="10" borderId="381" applyNumberFormat="0" applyProtection="0">
      <alignment horizontal="left" vertical="top"/>
    </xf>
    <xf numFmtId="0" fontId="25" fillId="10" borderId="382" applyNumberFormat="0" applyProtection="0">
      <alignment horizontal="left" vertical="top"/>
    </xf>
    <xf numFmtId="0" fontId="25" fillId="10" borderId="383" applyNumberFormat="0" applyProtection="0">
      <alignment horizontal="left" vertical="top"/>
    </xf>
    <xf numFmtId="3" fontId="12" fillId="60" borderId="297" applyFont="0" applyFill="0" applyBorder="0" applyAlignment="0" applyProtection="0"/>
    <xf numFmtId="4" fontId="12" fillId="60" borderId="297" applyFont="0" applyFill="0" applyBorder="0" applyAlignment="0" applyProtection="0"/>
    <xf numFmtId="183" fontId="12" fillId="60" borderId="297" applyFont="0" applyFill="0" applyBorder="0" applyAlignment="0" applyProtection="0"/>
    <xf numFmtId="10" fontId="12" fillId="60" borderId="297" applyFont="0" applyFill="0" applyBorder="0" applyAlignment="0" applyProtection="0"/>
    <xf numFmtId="9" fontId="12" fillId="60" borderId="297" applyFont="0" applyFill="0" applyBorder="0" applyAlignment="0" applyProtection="0"/>
    <xf numFmtId="2" fontId="12" fillId="60" borderId="297" applyFont="0" applyFill="0" applyBorder="0" applyAlignment="0" applyProtection="0"/>
    <xf numFmtId="0" fontId="25" fillId="10" borderId="293" applyNumberFormat="0" applyProtection="0">
      <alignment horizontal="center" vertical="top"/>
    </xf>
    <xf numFmtId="169" fontId="234" fillId="3" borderId="293" applyFont="0" applyProtection="0"/>
    <xf numFmtId="169" fontId="234" fillId="10" borderId="293" applyFont="0" applyProtection="0"/>
    <xf numFmtId="293" fontId="234" fillId="3" borderId="293" applyFont="0" applyProtection="0"/>
    <xf numFmtId="293" fontId="234" fillId="10" borderId="293" applyFont="0" applyProtection="0"/>
    <xf numFmtId="293" fontId="234" fillId="10" borderId="293" applyFont="0" applyProtection="0"/>
    <xf numFmtId="0" fontId="12" fillId="3" borderId="293" applyNumberFormat="0" applyFont="0" applyAlignment="0" applyProtection="0"/>
    <xf numFmtId="0" fontId="12" fillId="10" borderId="293" applyNumberFormat="0" applyFont="0" applyAlignment="0" applyProtection="0"/>
    <xf numFmtId="0" fontId="12" fillId="10" borderId="293" applyNumberFormat="0" applyFont="0" applyProtection="0"/>
    <xf numFmtId="0" fontId="25" fillId="10" borderId="298" applyNumberFormat="0" applyProtection="0">
      <alignment horizontal="left"/>
    </xf>
    <xf numFmtId="0" fontId="25" fillId="10" borderId="299" applyNumberFormat="0" applyProtection="0">
      <alignment horizontal="left" vertical="top"/>
    </xf>
    <xf numFmtId="0" fontId="25" fillId="10" borderId="300" applyNumberFormat="0" applyProtection="0">
      <alignment horizontal="left" vertical="top"/>
    </xf>
    <xf numFmtId="0" fontId="25" fillId="10" borderId="301" applyNumberFormat="0" applyProtection="0">
      <alignment horizontal="left" vertical="top"/>
    </xf>
    <xf numFmtId="0" fontId="25" fillId="10" borderId="302" applyNumberFormat="0" applyProtection="0">
      <alignment horizontal="left" vertical="top"/>
    </xf>
    <xf numFmtId="0" fontId="25" fillId="10" borderId="303" applyNumberFormat="0" applyProtection="0">
      <alignment horizontal="left" vertical="top"/>
    </xf>
    <xf numFmtId="0" fontId="25" fillId="10" borderId="304" applyNumberFormat="0" applyProtection="0">
      <alignment horizontal="left" vertical="top"/>
    </xf>
    <xf numFmtId="10" fontId="12" fillId="3" borderId="305" applyNumberFormat="0" applyFont="0" applyFill="0" applyBorder="0" applyAlignment="0">
      <protection locked="0"/>
    </xf>
    <xf numFmtId="0" fontId="12" fillId="0" borderId="292" applyNumberFormat="0" applyFill="0" applyBorder="0" applyAlignment="0" applyProtection="0"/>
    <xf numFmtId="0" fontId="25" fillId="10" borderId="293" applyNumberFormat="0" applyProtection="0">
      <alignment horizontal="center" vertical="top"/>
    </xf>
    <xf numFmtId="0" fontId="113" fillId="0" borderId="493" applyNumberFormat="0" applyFill="0" applyAlignment="0" applyProtection="0"/>
    <xf numFmtId="222" fontId="79" fillId="0" borderId="504" applyBorder="0"/>
    <xf numFmtId="0" fontId="25" fillId="10" borderId="500" applyNumberFormat="0" applyProtection="0">
      <alignment horizontal="left" vertical="top"/>
    </xf>
    <xf numFmtId="0" fontId="165" fillId="0" borderId="505" applyFill="0" applyProtection="0">
      <alignment horizontal="center"/>
    </xf>
    <xf numFmtId="0" fontId="25" fillId="10" borderId="513" applyNumberFormat="0" applyProtection="0">
      <alignment horizontal="left" vertical="top"/>
    </xf>
    <xf numFmtId="222" fontId="79" fillId="0" borderId="504" applyBorder="0"/>
    <xf numFmtId="0" fontId="2" fillId="0" borderId="498" applyNumberFormat="0" applyAlignment="0" applyProtection="0"/>
    <xf numFmtId="0" fontId="313" fillId="22" borderId="31" applyNumberFormat="0" applyAlignment="0" applyProtection="0"/>
    <xf numFmtId="0" fontId="25" fillId="10" borderId="503" applyNumberFormat="0" applyProtection="0">
      <alignment horizontal="left" vertical="top"/>
    </xf>
    <xf numFmtId="0" fontId="48" fillId="0" borderId="291" applyFont="0" applyFill="0" applyBorder="0" applyAlignment="0" applyProtection="0">
      <alignment horizontal="center"/>
    </xf>
    <xf numFmtId="0" fontId="74" fillId="0" borderId="291" applyFont="0" applyFill="0" applyBorder="0" applyAlignment="0" applyProtection="0">
      <alignment horizontal="center"/>
    </xf>
    <xf numFmtId="10" fontId="12" fillId="3" borderId="305" applyNumberFormat="0" applyFont="0" applyFill="0" applyBorder="0" applyAlignment="0">
      <protection locked="0"/>
    </xf>
    <xf numFmtId="0" fontId="12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0" fontId="272" fillId="0" borderId="0" applyNumberFormat="0" applyFill="0" applyBorder="0" applyAlignment="0" applyProtection="0"/>
    <xf numFmtId="10" fontId="12" fillId="3" borderId="305" applyNumberFormat="0" applyFont="0" applyFill="0" applyBorder="0" applyAlignment="0">
      <protection locked="0"/>
    </xf>
    <xf numFmtId="246" fontId="250" fillId="0" borderId="322" applyFill="0" applyProtection="0">
      <alignment horizontal="center"/>
    </xf>
    <xf numFmtId="246" fontId="249" fillId="0" borderId="322" applyFill="0" applyProtection="0">
      <alignment horizontal="center"/>
    </xf>
    <xf numFmtId="0" fontId="241" fillId="94" borderId="322" applyBorder="0" applyProtection="0">
      <alignment horizontal="centerContinuous" vertical="center"/>
    </xf>
    <xf numFmtId="254" fontId="240" fillId="0" borderId="322" applyBorder="0" applyProtection="0">
      <alignment horizontal="right" vertical="center"/>
    </xf>
    <xf numFmtId="0" fontId="210" fillId="0" borderId="322" applyNumberFormat="0" applyFill="0" applyBorder="0" applyAlignment="0">
      <protection locked="0"/>
    </xf>
    <xf numFmtId="188" fontId="25" fillId="0" borderId="308" applyFont="0" applyFill="0" applyBorder="0" applyAlignment="0" applyProtection="0">
      <alignment horizontal="center"/>
    </xf>
    <xf numFmtId="264" fontId="12" fillId="14" borderId="322" applyFont="0" applyFill="0" applyBorder="0" applyAlignment="0" applyProtection="0">
      <alignment horizontal="right"/>
    </xf>
    <xf numFmtId="0" fontId="166" fillId="0" borderId="322">
      <alignment horizontal="center"/>
    </xf>
    <xf numFmtId="0" fontId="165" fillId="0" borderId="322" applyFill="0" applyProtection="0">
      <alignment horizontal="center"/>
    </xf>
    <xf numFmtId="186" fontId="146" fillId="3" borderId="322" applyBorder="0">
      <alignment horizontal="left" vertical="center"/>
    </xf>
    <xf numFmtId="180" fontId="9" fillId="3" borderId="322">
      <alignment horizontal="right" vertical="center"/>
    </xf>
    <xf numFmtId="192" fontId="9" fillId="3" borderId="322">
      <alignment horizontal="right" vertical="center"/>
    </xf>
    <xf numFmtId="248" fontId="46" fillId="0" borderId="322"/>
    <xf numFmtId="0" fontId="12" fillId="0" borderId="322" applyNumberFormat="0" applyFill="0" applyBorder="0" applyAlignment="0" applyProtection="0">
      <alignment horizontal="center"/>
    </xf>
    <xf numFmtId="0" fontId="113" fillId="0" borderId="322" applyNumberFormat="0" applyFill="0" applyAlignment="0" applyProtection="0"/>
    <xf numFmtId="222" fontId="79" fillId="0" borderId="279" applyBorder="0"/>
    <xf numFmtId="0" fontId="101" fillId="0" borderId="322" applyBorder="0"/>
    <xf numFmtId="10" fontId="12" fillId="3" borderId="305" applyNumberFormat="0" applyFont="0" applyFill="0" applyBorder="0" applyAlignment="0">
      <protection locked="0"/>
    </xf>
    <xf numFmtId="264" fontId="12" fillId="14" borderId="4746" applyFont="0" applyFill="0" applyBorder="0" applyAlignment="0" applyProtection="0">
      <alignment horizontal="right"/>
    </xf>
    <xf numFmtId="1" fontId="154" fillId="65" borderId="181" applyNumberFormat="0" applyBorder="0" applyAlignment="0">
      <alignment horizontal="centerContinuous" vertical="center"/>
      <protection locked="0"/>
    </xf>
    <xf numFmtId="0" fontId="12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10" fontId="12" fillId="3" borderId="305" applyNumberFormat="0" applyFont="0" applyFill="0" applyBorder="0" applyAlignment="0">
      <protection locked="0"/>
    </xf>
    <xf numFmtId="246" fontId="250" fillId="0" borderId="322" applyFill="0" applyProtection="0">
      <alignment horizontal="center"/>
    </xf>
    <xf numFmtId="246" fontId="249" fillId="0" borderId="322" applyFill="0" applyProtection="0">
      <alignment horizontal="center"/>
    </xf>
    <xf numFmtId="0" fontId="241" fillId="94" borderId="322" applyBorder="0" applyProtection="0">
      <alignment horizontal="centerContinuous" vertical="center"/>
    </xf>
    <xf numFmtId="254" fontId="240" fillId="0" borderId="322" applyBorder="0" applyProtection="0">
      <alignment horizontal="right" vertical="center"/>
    </xf>
    <xf numFmtId="0" fontId="12" fillId="0" borderId="292" applyNumberFormat="0" applyFill="0" applyBorder="0" applyAlignment="0" applyProtection="0"/>
    <xf numFmtId="0" fontId="25" fillId="10" borderId="304" applyNumberFormat="0" applyProtection="0">
      <alignment horizontal="left" vertical="top"/>
    </xf>
    <xf numFmtId="0" fontId="25" fillId="10" borderId="303" applyNumberFormat="0" applyProtection="0">
      <alignment horizontal="left" vertical="top"/>
    </xf>
    <xf numFmtId="0" fontId="25" fillId="10" borderId="302" applyNumberFormat="0" applyProtection="0">
      <alignment horizontal="left" vertical="top"/>
    </xf>
    <xf numFmtId="0" fontId="25" fillId="10" borderId="301" applyNumberFormat="0" applyProtection="0">
      <alignment horizontal="left" vertical="top"/>
    </xf>
    <xf numFmtId="0" fontId="25" fillId="10" borderId="300" applyNumberFormat="0" applyProtection="0">
      <alignment horizontal="left" vertical="top"/>
    </xf>
    <xf numFmtId="0" fontId="25" fillId="10" borderId="299" applyNumberFormat="0" applyProtection="0">
      <alignment horizontal="left" vertical="top"/>
    </xf>
    <xf numFmtId="0" fontId="25" fillId="10" borderId="298" applyNumberFormat="0" applyProtection="0">
      <alignment horizontal="left"/>
    </xf>
    <xf numFmtId="0" fontId="12" fillId="10" borderId="293" applyNumberFormat="0" applyFont="0" applyProtection="0"/>
    <xf numFmtId="0" fontId="12" fillId="10" borderId="293" applyNumberFormat="0" applyFont="0" applyAlignment="0" applyProtection="0"/>
    <xf numFmtId="0" fontId="12" fillId="3" borderId="293" applyNumberFormat="0" applyFont="0" applyAlignment="0" applyProtection="0"/>
    <xf numFmtId="293" fontId="234" fillId="10" borderId="293" applyFont="0" applyProtection="0"/>
    <xf numFmtId="293" fontId="234" fillId="3" borderId="293" applyFont="0" applyProtection="0"/>
    <xf numFmtId="293" fontId="234" fillId="10" borderId="293" applyFont="0" applyProtection="0"/>
    <xf numFmtId="169" fontId="234" fillId="10" borderId="293" applyFont="0" applyProtection="0"/>
    <xf numFmtId="169" fontId="234" fillId="3" borderId="293" applyFont="0" applyProtection="0"/>
    <xf numFmtId="0" fontId="25" fillId="10" borderId="293" applyNumberFormat="0" applyProtection="0">
      <alignment horizontal="center" vertical="top"/>
    </xf>
    <xf numFmtId="0" fontId="25" fillId="10" borderId="293" applyNumberFormat="0" applyProtection="0">
      <alignment horizontal="center" vertical="top"/>
    </xf>
    <xf numFmtId="2" fontId="12" fillId="60" borderId="297" applyFont="0" applyFill="0" applyBorder="0" applyAlignment="0" applyProtection="0"/>
    <xf numFmtId="9" fontId="12" fillId="60" borderId="297" applyFont="0" applyFill="0" applyBorder="0" applyAlignment="0" applyProtection="0"/>
    <xf numFmtId="10" fontId="12" fillId="60" borderId="297" applyFont="0" applyFill="0" applyBorder="0" applyAlignment="0" applyProtection="0"/>
    <xf numFmtId="183" fontId="12" fillId="60" borderId="297" applyFont="0" applyFill="0" applyBorder="0" applyAlignment="0" applyProtection="0"/>
    <xf numFmtId="4" fontId="12" fillId="60" borderId="297" applyFont="0" applyFill="0" applyBorder="0" applyAlignment="0" applyProtection="0"/>
    <xf numFmtId="3" fontId="12" fillId="60" borderId="297" applyFont="0" applyFill="0" applyBorder="0" applyAlignment="0" applyProtection="0"/>
    <xf numFmtId="4" fontId="230" fillId="11" borderId="295" applyNumberFormat="0" applyProtection="0">
      <alignment horizontal="right" vertical="center"/>
    </xf>
    <xf numFmtId="4" fontId="229" fillId="84" borderId="296" applyNumberFormat="0" applyProtection="0">
      <alignment horizontal="left" vertical="center" indent="1"/>
    </xf>
    <xf numFmtId="0" fontId="136" fillId="84" borderId="295" applyNumberFormat="0" applyProtection="0">
      <alignment horizontal="left" vertical="top" indent="1"/>
    </xf>
    <xf numFmtId="4" fontId="223" fillId="52" borderId="295" applyNumberFormat="0" applyProtection="0">
      <alignment horizontal="left" vertical="center" indent="1"/>
    </xf>
    <xf numFmtId="4" fontId="228" fillId="11" borderId="295" applyNumberFormat="0" applyProtection="0">
      <alignment horizontal="right" vertical="center"/>
    </xf>
    <xf numFmtId="4" fontId="184" fillId="11" borderId="295" applyNumberFormat="0" applyProtection="0">
      <alignment horizontal="right" vertical="center"/>
    </xf>
    <xf numFmtId="0" fontId="136" fillId="14" borderId="295" applyNumberFormat="0" applyProtection="0">
      <alignment horizontal="left" vertical="top" indent="1"/>
    </xf>
    <xf numFmtId="4" fontId="227" fillId="52" borderId="296" applyNumberFormat="0" applyProtection="0">
      <alignment horizontal="left" vertical="center" indent="1"/>
    </xf>
    <xf numFmtId="4" fontId="228" fillId="11" borderId="295" applyNumberFormat="0" applyProtection="0">
      <alignment vertical="center"/>
    </xf>
    <xf numFmtId="4" fontId="226" fillId="11" borderId="295" applyNumberFormat="0" applyProtection="0">
      <alignment vertical="center"/>
    </xf>
    <xf numFmtId="0" fontId="12" fillId="11" borderId="295" applyNumberFormat="0" applyProtection="0">
      <alignment horizontal="left" vertical="top" indent="1"/>
    </xf>
    <xf numFmtId="0" fontId="12" fillId="11" borderId="295" applyNumberFormat="0" applyProtection="0">
      <alignment horizontal="left" vertical="center" indent="1"/>
    </xf>
    <xf numFmtId="0" fontId="12" fillId="52" borderId="295" applyNumberFormat="0" applyProtection="0">
      <alignment horizontal="left" vertical="top" indent="1"/>
    </xf>
    <xf numFmtId="0" fontId="12" fillId="52" borderId="295" applyNumberFormat="0" applyProtection="0">
      <alignment horizontal="left" vertical="center" indent="1"/>
    </xf>
    <xf numFmtId="0" fontId="12" fillId="84" borderId="295" applyNumberFormat="0" applyProtection="0">
      <alignment horizontal="left" vertical="top" indent="1"/>
    </xf>
    <xf numFmtId="0" fontId="12" fillId="84" borderId="295" applyNumberFormat="0" applyProtection="0">
      <alignment horizontal="left" vertical="center" indent="1"/>
    </xf>
    <xf numFmtId="0" fontId="12" fillId="75" borderId="295" applyNumberFormat="0" applyProtection="0">
      <alignment horizontal="left" vertical="top" indent="1"/>
    </xf>
    <xf numFmtId="0" fontId="12" fillId="75" borderId="295" applyNumberFormat="0" applyProtection="0">
      <alignment horizontal="left" vertical="center" indent="1"/>
    </xf>
    <xf numFmtId="4" fontId="184" fillId="52" borderId="295" applyNumberFormat="0" applyProtection="0">
      <alignment horizontal="right" vertical="center"/>
    </xf>
    <xf numFmtId="4" fontId="226" fillId="82" borderId="295" applyNumberFormat="0" applyProtection="0">
      <alignment horizontal="right" vertical="center"/>
    </xf>
    <xf numFmtId="4" fontId="226" fillId="81" borderId="295" applyNumberFormat="0" applyProtection="0">
      <alignment horizontal="right" vertical="center"/>
    </xf>
    <xf numFmtId="4" fontId="226" fillId="80" borderId="295" applyNumberFormat="0" applyProtection="0">
      <alignment horizontal="right" vertical="center"/>
    </xf>
    <xf numFmtId="4" fontId="226" fillId="71" borderId="295" applyNumberFormat="0" applyProtection="0">
      <alignment horizontal="right" vertical="center"/>
    </xf>
    <xf numFmtId="4" fontId="226" fillId="79" borderId="295" applyNumberFormat="0" applyProtection="0">
      <alignment horizontal="right" vertical="center"/>
    </xf>
    <xf numFmtId="4" fontId="226" fillId="10" borderId="295" applyNumberFormat="0" applyProtection="0">
      <alignment horizontal="right" vertical="center"/>
    </xf>
    <xf numFmtId="4" fontId="226" fillId="78" borderId="295" applyNumberFormat="0" applyProtection="0">
      <alignment horizontal="right" vertical="center"/>
    </xf>
    <xf numFmtId="4" fontId="226" fillId="77" borderId="295" applyNumberFormat="0" applyProtection="0">
      <alignment horizontal="right" vertical="center"/>
    </xf>
    <xf numFmtId="4" fontId="226" fillId="76" borderId="295" applyNumberFormat="0" applyProtection="0">
      <alignment horizontal="right" vertical="center"/>
    </xf>
    <xf numFmtId="0" fontId="225" fillId="53" borderId="295" applyNumberFormat="0" applyProtection="0">
      <alignment horizontal="left" vertical="top" indent="1"/>
    </xf>
    <xf numFmtId="4" fontId="184" fillId="53" borderId="295" applyNumberFormat="0" applyProtection="0">
      <alignment horizontal="left" vertical="center" indent="1"/>
    </xf>
    <xf numFmtId="4" fontId="224" fillId="53" borderId="295" applyNumberFormat="0" applyProtection="0">
      <alignment vertical="center"/>
    </xf>
    <xf numFmtId="4" fontId="223" fillId="53" borderId="295" applyNumberFormat="0" applyProtection="0">
      <alignment vertical="center"/>
    </xf>
    <xf numFmtId="0" fontId="210" fillId="0" borderId="322" applyNumberFormat="0" applyFill="0" applyBorder="0" applyAlignment="0">
      <protection locked="0"/>
    </xf>
    <xf numFmtId="188" fontId="25" fillId="0" borderId="308" applyFont="0" applyFill="0" applyBorder="0" applyAlignment="0" applyProtection="0">
      <alignment horizontal="center"/>
    </xf>
    <xf numFmtId="0" fontId="184" fillId="0" borderId="294" applyAlignment="0">
      <alignment horizontal="left" wrapText="1"/>
    </xf>
    <xf numFmtId="264" fontId="12" fillId="14" borderId="322" applyFont="0" applyFill="0" applyBorder="0" applyAlignment="0" applyProtection="0">
      <alignment horizontal="right"/>
    </xf>
    <xf numFmtId="0" fontId="25" fillId="69" borderId="293">
      <alignment horizontal="left" vertical="center" wrapText="1"/>
    </xf>
    <xf numFmtId="0" fontId="166" fillId="0" borderId="322">
      <alignment horizontal="center"/>
    </xf>
    <xf numFmtId="0" fontId="165" fillId="0" borderId="322" applyFill="0" applyProtection="0">
      <alignment horizontal="center"/>
    </xf>
    <xf numFmtId="0" fontId="159" fillId="67" borderId="293"/>
    <xf numFmtId="0" fontId="159" fillId="0" borderId="293"/>
    <xf numFmtId="0" fontId="135" fillId="0" borderId="293"/>
    <xf numFmtId="0" fontId="135" fillId="0" borderId="293"/>
    <xf numFmtId="186" fontId="48" fillId="3" borderId="291">
      <alignment vertical="center"/>
    </xf>
    <xf numFmtId="186" fontId="146" fillId="3" borderId="322" applyBorder="0">
      <alignment horizontal="left" vertical="center"/>
    </xf>
    <xf numFmtId="180" fontId="9" fillId="3" borderId="322">
      <alignment horizontal="right" vertical="center"/>
    </xf>
    <xf numFmtId="192" fontId="9" fillId="3" borderId="322">
      <alignment horizontal="right" vertical="center"/>
    </xf>
    <xf numFmtId="182" fontId="145" fillId="3" borderId="291">
      <alignment horizontal="right" vertical="center"/>
    </xf>
    <xf numFmtId="0" fontId="48" fillId="0" borderId="291" applyFont="0" applyFill="0" applyBorder="0" applyAlignment="0" applyProtection="0">
      <alignment horizontal="center"/>
    </xf>
    <xf numFmtId="0" fontId="74" fillId="0" borderId="291" applyFont="0" applyFill="0" applyBorder="0" applyAlignment="0" applyProtection="0">
      <alignment horizontal="center"/>
    </xf>
    <xf numFmtId="0" fontId="12" fillId="0" borderId="322" applyNumberFormat="0" applyFill="0" applyBorder="0" applyAlignment="0" applyProtection="0">
      <alignment horizontal="center"/>
    </xf>
    <xf numFmtId="180" fontId="9" fillId="3" borderId="553">
      <alignment horizontal="right" vertical="center"/>
    </xf>
    <xf numFmtId="5" fontId="114" fillId="0" borderId="291" applyAlignment="0" applyProtection="0"/>
    <xf numFmtId="0" fontId="113" fillId="0" borderId="322" applyNumberFormat="0" applyFill="0" applyAlignment="0" applyProtection="0"/>
    <xf numFmtId="0" fontId="48" fillId="0" borderId="292" applyNumberFormat="0" applyFill="0" applyAlignment="0" applyProtection="0"/>
    <xf numFmtId="0" fontId="105" fillId="0" borderId="292" applyNumberFormat="0" applyFill="0" applyBorder="0" applyAlignment="0" applyProtection="0"/>
    <xf numFmtId="0" fontId="46" fillId="0" borderId="292" applyNumberFormat="0" applyFill="0" applyBorder="0" applyAlignment="0" applyProtection="0"/>
    <xf numFmtId="0" fontId="12" fillId="0" borderId="292" applyNumberFormat="0" applyFill="0" applyBorder="0" applyAlignment="0" applyProtection="0"/>
    <xf numFmtId="222" fontId="79" fillId="0" borderId="279" applyBorder="0"/>
    <xf numFmtId="0" fontId="101" fillId="0" borderId="322" applyBorder="0"/>
    <xf numFmtId="10" fontId="12" fillId="3" borderId="305" applyNumberFormat="0" applyFont="0" applyFill="0" applyBorder="0" applyAlignment="0">
      <protection locked="0"/>
    </xf>
    <xf numFmtId="248" fontId="46" fillId="0" borderId="322"/>
    <xf numFmtId="10" fontId="12" fillId="3" borderId="305" applyNumberFormat="0" applyFont="0" applyFill="0" applyBorder="0" applyAlignment="0">
      <protection locked="0"/>
    </xf>
    <xf numFmtId="10" fontId="12" fillId="3" borderId="305" applyNumberFormat="0" applyFont="0" applyFill="0" applyBorder="0" applyAlignment="0">
      <protection locked="0"/>
    </xf>
    <xf numFmtId="246" fontId="250" fillId="0" borderId="322" applyFill="0" applyProtection="0">
      <alignment horizontal="center"/>
    </xf>
    <xf numFmtId="246" fontId="249" fillId="0" borderId="322" applyFill="0" applyProtection="0">
      <alignment horizontal="center"/>
    </xf>
    <xf numFmtId="0" fontId="241" fillId="94" borderId="322" applyBorder="0" applyProtection="0">
      <alignment horizontal="centerContinuous" vertical="center"/>
    </xf>
    <xf numFmtId="254" fontId="240" fillId="0" borderId="322" applyBorder="0" applyProtection="0">
      <alignment horizontal="right" vertical="center"/>
    </xf>
    <xf numFmtId="0" fontId="210" fillId="0" borderId="322" applyNumberFormat="0" applyFill="0" applyBorder="0" applyAlignment="0">
      <protection locked="0"/>
    </xf>
    <xf numFmtId="188" fontId="25" fillId="0" borderId="308" applyFont="0" applyFill="0" applyBorder="0" applyAlignment="0" applyProtection="0">
      <alignment horizontal="center"/>
    </xf>
    <xf numFmtId="264" fontId="12" fillId="14" borderId="322" applyFont="0" applyFill="0" applyBorder="0" applyAlignment="0" applyProtection="0">
      <alignment horizontal="right"/>
    </xf>
    <xf numFmtId="0" fontId="166" fillId="0" borderId="322">
      <alignment horizontal="center"/>
    </xf>
    <xf numFmtId="0" fontId="165" fillId="0" borderId="322" applyFill="0" applyProtection="0">
      <alignment horizontal="center"/>
    </xf>
    <xf numFmtId="186" fontId="146" fillId="3" borderId="322" applyBorder="0">
      <alignment horizontal="left" vertical="center"/>
    </xf>
    <xf numFmtId="180" fontId="9" fillId="3" borderId="322">
      <alignment horizontal="right" vertical="center"/>
    </xf>
    <xf numFmtId="192" fontId="9" fillId="3" borderId="322">
      <alignment horizontal="right" vertical="center"/>
    </xf>
    <xf numFmtId="248" fontId="46" fillId="0" borderId="322"/>
    <xf numFmtId="0" fontId="12" fillId="0" borderId="322" applyNumberFormat="0" applyFill="0" applyBorder="0" applyAlignment="0" applyProtection="0">
      <alignment horizontal="center"/>
    </xf>
    <xf numFmtId="0" fontId="113" fillId="0" borderId="322" applyNumberFormat="0" applyFill="0" applyAlignment="0" applyProtection="0"/>
    <xf numFmtId="222" fontId="79" fillId="0" borderId="279" applyBorder="0"/>
    <xf numFmtId="0" fontId="101" fillId="0" borderId="322" applyBorder="0"/>
    <xf numFmtId="10" fontId="12" fillId="3" borderId="305" applyNumberFormat="0" applyFont="0" applyFill="0" applyBorder="0" applyAlignment="0">
      <protection locked="0"/>
    </xf>
    <xf numFmtId="246" fontId="250" fillId="0" borderId="493" applyFill="0" applyProtection="0">
      <alignment horizontal="center"/>
    </xf>
    <xf numFmtId="0" fontId="166" fillId="0" borderId="565">
      <alignment horizontal="center"/>
    </xf>
    <xf numFmtId="222" fontId="79" fillId="0" borderId="372" applyBorder="0"/>
    <xf numFmtId="9" fontId="48" fillId="0" borderId="0" applyFont="0" applyFill="0" applyBorder="0" applyAlignment="0" applyProtection="0"/>
    <xf numFmtId="222" fontId="79" fillId="0" borderId="385" applyBorder="0"/>
    <xf numFmtId="0" fontId="101" fillId="0" borderId="386" applyBorder="0"/>
    <xf numFmtId="222" fontId="79" fillId="0" borderId="385" applyBorder="0"/>
    <xf numFmtId="0" fontId="113" fillId="0" borderId="386" applyNumberFormat="0" applyFill="0" applyAlignment="0" applyProtection="0"/>
    <xf numFmtId="0" fontId="12" fillId="0" borderId="386" applyNumberFormat="0" applyFill="0" applyBorder="0" applyAlignment="0" applyProtection="0">
      <alignment horizontal="center"/>
    </xf>
    <xf numFmtId="248" fontId="46" fillId="0" borderId="386"/>
    <xf numFmtId="192" fontId="9" fillId="3" borderId="386">
      <alignment horizontal="right" vertical="center"/>
    </xf>
    <xf numFmtId="180" fontId="9" fillId="3" borderId="386">
      <alignment horizontal="right" vertical="center"/>
    </xf>
    <xf numFmtId="186" fontId="146" fillId="3" borderId="386" applyBorder="0">
      <alignment horizontal="left" vertical="center"/>
    </xf>
    <xf numFmtId="0" fontId="165" fillId="0" borderId="386" applyFill="0" applyProtection="0">
      <alignment horizontal="center"/>
    </xf>
    <xf numFmtId="0" fontId="166" fillId="0" borderId="386">
      <alignment horizontal="center"/>
    </xf>
    <xf numFmtId="264" fontId="12" fillId="14" borderId="386" applyFont="0" applyFill="0" applyBorder="0" applyAlignment="0" applyProtection="0">
      <alignment horizontal="right"/>
    </xf>
    <xf numFmtId="0" fontId="210" fillId="0" borderId="386" applyNumberFormat="0" applyFill="0" applyBorder="0" applyAlignment="0">
      <protection locked="0"/>
    </xf>
    <xf numFmtId="254" fontId="240" fillId="0" borderId="386" applyBorder="0" applyProtection="0">
      <alignment horizontal="right" vertical="center"/>
    </xf>
    <xf numFmtId="0" fontId="241" fillId="94" borderId="386" applyBorder="0" applyProtection="0">
      <alignment horizontal="centerContinuous" vertical="center"/>
    </xf>
    <xf numFmtId="246" fontId="249" fillId="0" borderId="386" applyFill="0" applyProtection="0">
      <alignment horizontal="center"/>
    </xf>
    <xf numFmtId="246" fontId="250" fillId="0" borderId="386" applyFill="0" applyProtection="0">
      <alignment horizontal="center"/>
    </xf>
    <xf numFmtId="0" fontId="78" fillId="14" borderId="388" applyFont="0" applyFill="0" applyBorder="0" applyAlignment="0" applyProtection="0"/>
    <xf numFmtId="0" fontId="25" fillId="10" borderId="396" applyNumberFormat="0" applyProtection="0">
      <alignment horizontal="left" vertical="top"/>
    </xf>
    <xf numFmtId="0" fontId="25" fillId="10" borderId="395" applyNumberFormat="0" applyProtection="0">
      <alignment horizontal="left" vertical="top"/>
    </xf>
    <xf numFmtId="0" fontId="25" fillId="10" borderId="394" applyNumberFormat="0" applyProtection="0">
      <alignment horizontal="left" vertical="top"/>
    </xf>
    <xf numFmtId="0" fontId="25" fillId="10" borderId="393" applyNumberFormat="0" applyProtection="0">
      <alignment horizontal="left" vertical="top"/>
    </xf>
    <xf numFmtId="0" fontId="214" fillId="0" borderId="392" applyNumberFormat="0" applyFont="0" applyFill="0" applyAlignment="0" applyProtection="0"/>
    <xf numFmtId="0" fontId="2" fillId="0" borderId="391" applyNumberFormat="0" applyAlignment="0" applyProtection="0"/>
    <xf numFmtId="186" fontId="140" fillId="3" borderId="390">
      <alignment horizontal="center" vertical="center"/>
    </xf>
    <xf numFmtId="186" fontId="146" fillId="3" borderId="389">
      <alignment horizontal="left"/>
    </xf>
    <xf numFmtId="0" fontId="75" fillId="0" borderId="387" applyNumberFormat="0" applyFont="0" applyFill="0" applyAlignment="0" applyProtection="0"/>
    <xf numFmtId="222" fontId="79" fillId="0" borderId="397" applyBorder="0"/>
    <xf numFmtId="0" fontId="101" fillId="0" borderId="398" applyBorder="0"/>
    <xf numFmtId="222" fontId="79" fillId="0" borderId="397" applyBorder="0"/>
    <xf numFmtId="0" fontId="113" fillId="0" borderId="398" applyNumberFormat="0" applyFill="0" applyAlignment="0" applyProtection="0"/>
    <xf numFmtId="0" fontId="12" fillId="0" borderId="398" applyNumberFormat="0" applyFill="0" applyBorder="0" applyAlignment="0" applyProtection="0">
      <alignment horizontal="center"/>
    </xf>
    <xf numFmtId="248" fontId="46" fillId="0" borderId="398"/>
    <xf numFmtId="192" fontId="9" fillId="3" borderId="398">
      <alignment horizontal="right" vertical="center"/>
    </xf>
    <xf numFmtId="180" fontId="9" fillId="3" borderId="398">
      <alignment horizontal="right" vertical="center"/>
    </xf>
    <xf numFmtId="186" fontId="146" fillId="3" borderId="398" applyBorder="0">
      <alignment horizontal="left" vertical="center"/>
    </xf>
    <xf numFmtId="0" fontId="165" fillId="0" borderId="398" applyFill="0" applyProtection="0">
      <alignment horizontal="center"/>
    </xf>
    <xf numFmtId="0" fontId="166" fillId="0" borderId="398">
      <alignment horizontal="center"/>
    </xf>
    <xf numFmtId="264" fontId="12" fillId="14" borderId="398" applyFont="0" applyFill="0" applyBorder="0" applyAlignment="0" applyProtection="0">
      <alignment horizontal="right"/>
    </xf>
    <xf numFmtId="0" fontId="210" fillId="0" borderId="398" applyNumberFormat="0" applyFill="0" applyBorder="0" applyAlignment="0">
      <protection locked="0"/>
    </xf>
    <xf numFmtId="254" fontId="240" fillId="0" borderId="398" applyBorder="0" applyProtection="0">
      <alignment horizontal="right" vertical="center"/>
    </xf>
    <xf numFmtId="0" fontId="241" fillId="94" borderId="398" applyBorder="0" applyProtection="0">
      <alignment horizontal="centerContinuous" vertical="center"/>
    </xf>
    <xf numFmtId="246" fontId="249" fillId="0" borderId="398" applyFill="0" applyProtection="0">
      <alignment horizontal="center"/>
    </xf>
    <xf numFmtId="246" fontId="250" fillId="0" borderId="398" applyFill="0" applyProtection="0">
      <alignment horizontal="center"/>
    </xf>
    <xf numFmtId="186" fontId="146" fillId="3" borderId="401">
      <alignment horizontal="left"/>
    </xf>
    <xf numFmtId="0" fontId="75" fillId="0" borderId="399" applyNumberFormat="0" applyFont="0" applyFill="0" applyAlignment="0" applyProtection="0"/>
    <xf numFmtId="0" fontId="113" fillId="0" borderId="482" applyNumberFormat="0" applyFill="0" applyAlignment="0" applyProtection="0"/>
    <xf numFmtId="264" fontId="12" fillId="14" borderId="482" applyFont="0" applyFill="0" applyBorder="0" applyAlignment="0" applyProtection="0">
      <alignment horizontal="right"/>
    </xf>
    <xf numFmtId="246" fontId="249" fillId="0" borderId="482" applyFill="0" applyProtection="0">
      <alignment horizontal="center"/>
    </xf>
    <xf numFmtId="0" fontId="25" fillId="10" borderId="408" applyNumberFormat="0" applyProtection="0">
      <alignment horizontal="left" vertical="top"/>
    </xf>
    <xf numFmtId="0" fontId="25" fillId="10" borderId="406" applyNumberFormat="0" applyProtection="0">
      <alignment horizontal="left" vertical="top"/>
    </xf>
    <xf numFmtId="0" fontId="25" fillId="10" borderId="407" applyNumberFormat="0" applyProtection="0">
      <alignment horizontal="left" vertical="top"/>
    </xf>
    <xf numFmtId="0" fontId="25" fillId="10" borderId="405" applyNumberFormat="0" applyProtection="0">
      <alignment horizontal="left" vertical="top"/>
    </xf>
    <xf numFmtId="0" fontId="25" fillId="10" borderId="408" applyNumberFormat="0" applyProtection="0">
      <alignment horizontal="left" vertical="top"/>
    </xf>
    <xf numFmtId="0" fontId="25" fillId="10" borderId="407" applyNumberFormat="0" applyProtection="0">
      <alignment horizontal="left" vertical="top"/>
    </xf>
    <xf numFmtId="0" fontId="25" fillId="10" borderId="406" applyNumberFormat="0" applyProtection="0">
      <alignment horizontal="left" vertical="top"/>
    </xf>
    <xf numFmtId="0" fontId="25" fillId="10" borderId="405" applyNumberFormat="0" applyProtection="0">
      <alignment horizontal="left" vertical="top"/>
    </xf>
    <xf numFmtId="0" fontId="214" fillId="0" borderId="404" applyNumberFormat="0" applyFont="0" applyFill="0" applyAlignment="0" applyProtection="0"/>
    <xf numFmtId="0" fontId="2" fillId="0" borderId="403" applyNumberFormat="0" applyAlignment="0" applyProtection="0"/>
    <xf numFmtId="186" fontId="140" fillId="3" borderId="402">
      <alignment horizontal="center" vertical="center"/>
    </xf>
    <xf numFmtId="186" fontId="140" fillId="3" borderId="414">
      <alignment horizontal="center" vertical="center"/>
    </xf>
    <xf numFmtId="0" fontId="25" fillId="10" borderId="417" applyNumberFormat="0" applyProtection="0">
      <alignment horizontal="left" vertical="top"/>
    </xf>
    <xf numFmtId="0" fontId="12" fillId="0" borderId="482" applyNumberFormat="0" applyFill="0" applyBorder="0" applyAlignment="0" applyProtection="0">
      <alignment horizontal="center"/>
    </xf>
    <xf numFmtId="0" fontId="25" fillId="10" borderId="479" applyNumberFormat="0" applyProtection="0">
      <alignment horizontal="left" vertical="top"/>
    </xf>
    <xf numFmtId="222" fontId="79" fillId="0" borderId="469" applyBorder="0"/>
    <xf numFmtId="0" fontId="78" fillId="14" borderId="472" applyFont="0" applyFill="0" applyBorder="0" applyAlignment="0" applyProtection="0"/>
    <xf numFmtId="222" fontId="79" fillId="0" borderId="481" applyBorder="0"/>
    <xf numFmtId="0" fontId="101" fillId="0" borderId="482" applyBorder="0"/>
    <xf numFmtId="222" fontId="79" fillId="0" borderId="481" applyBorder="0"/>
    <xf numFmtId="248" fontId="46" fillId="0" borderId="482"/>
    <xf numFmtId="192" fontId="9" fillId="3" borderId="482">
      <alignment horizontal="right" vertical="center"/>
    </xf>
    <xf numFmtId="180" fontId="9" fillId="3" borderId="482">
      <alignment horizontal="right" vertical="center"/>
    </xf>
    <xf numFmtId="186" fontId="146" fillId="3" borderId="482" applyBorder="0">
      <alignment horizontal="left" vertical="center"/>
    </xf>
    <xf numFmtId="0" fontId="165" fillId="0" borderId="482" applyFill="0" applyProtection="0">
      <alignment horizontal="center"/>
    </xf>
    <xf numFmtId="0" fontId="210" fillId="0" borderId="482" applyNumberFormat="0" applyFill="0" applyBorder="0" applyAlignment="0">
      <protection locked="0"/>
    </xf>
    <xf numFmtId="254" fontId="240" fillId="0" borderId="482" applyBorder="0" applyProtection="0">
      <alignment horizontal="right" vertical="center"/>
    </xf>
    <xf numFmtId="246" fontId="250" fillId="0" borderId="482" applyFill="0" applyProtection="0">
      <alignment horizontal="center"/>
    </xf>
    <xf numFmtId="222" fontId="79" fillId="0" borderId="421" applyBorder="0"/>
    <xf numFmtId="0" fontId="25" fillId="10" borderId="418" applyNumberFormat="0" applyProtection="0">
      <alignment horizontal="left" vertical="top"/>
    </xf>
    <xf numFmtId="0" fontId="25" fillId="10" borderId="420" applyNumberFormat="0" applyProtection="0">
      <alignment horizontal="left" vertical="top"/>
    </xf>
    <xf numFmtId="0" fontId="25" fillId="10" borderId="417" applyNumberFormat="0" applyProtection="0">
      <alignment horizontal="left" vertical="top"/>
    </xf>
    <xf numFmtId="0" fontId="25" fillId="10" borderId="418" applyNumberFormat="0" applyProtection="0">
      <alignment horizontal="left" vertical="top"/>
    </xf>
    <xf numFmtId="0" fontId="25" fillId="10" borderId="419" applyNumberFormat="0" applyProtection="0">
      <alignment horizontal="left" vertical="top"/>
    </xf>
    <xf numFmtId="0" fontId="75" fillId="0" borderId="423" applyNumberFormat="0" applyFont="0" applyFill="0" applyAlignment="0" applyProtection="0"/>
    <xf numFmtId="0" fontId="101" fillId="0" borderId="434" applyBorder="0"/>
    <xf numFmtId="222" fontId="79" fillId="0" borderId="433" applyBorder="0"/>
    <xf numFmtId="0" fontId="113" fillId="0" borderId="434" applyNumberFormat="0" applyFill="0" applyAlignment="0" applyProtection="0"/>
    <xf numFmtId="0" fontId="12" fillId="0" borderId="434" applyNumberFormat="0" applyFill="0" applyBorder="0" applyAlignment="0" applyProtection="0">
      <alignment horizontal="center"/>
    </xf>
    <xf numFmtId="248" fontId="46" fillId="0" borderId="434"/>
    <xf numFmtId="192" fontId="9" fillId="3" borderId="434">
      <alignment horizontal="right" vertical="center"/>
    </xf>
    <xf numFmtId="180" fontId="9" fillId="3" borderId="434">
      <alignment horizontal="right" vertical="center"/>
    </xf>
    <xf numFmtId="186" fontId="146" fillId="3" borderId="434" applyBorder="0">
      <alignment horizontal="left" vertical="center"/>
    </xf>
    <xf numFmtId="0" fontId="166" fillId="0" borderId="434">
      <alignment horizontal="center"/>
    </xf>
    <xf numFmtId="0" fontId="210" fillId="0" borderId="434" applyNumberFormat="0" applyFill="0" applyBorder="0" applyAlignment="0">
      <protection locked="0"/>
    </xf>
    <xf numFmtId="264" fontId="12" fillId="14" borderId="434" applyFont="0" applyFill="0" applyBorder="0" applyAlignment="0" applyProtection="0">
      <alignment horizontal="right"/>
    </xf>
    <xf numFmtId="246" fontId="249" fillId="0" borderId="434" applyFill="0" applyProtection="0">
      <alignment horizontal="center"/>
    </xf>
    <xf numFmtId="246" fontId="250" fillId="0" borderId="434" applyFill="0" applyProtection="0">
      <alignment horizontal="center"/>
    </xf>
    <xf numFmtId="246" fontId="250" fillId="0" borderId="458" applyFill="0" applyProtection="0">
      <alignment horizontal="center"/>
    </xf>
    <xf numFmtId="246" fontId="249" fillId="0" borderId="458" applyFill="0" applyProtection="0">
      <alignment horizontal="center"/>
    </xf>
    <xf numFmtId="254" fontId="240" fillId="0" borderId="458" applyBorder="0" applyProtection="0">
      <alignment horizontal="right" vertical="center"/>
    </xf>
    <xf numFmtId="264" fontId="12" fillId="14" borderId="458" applyFont="0" applyFill="0" applyBorder="0" applyAlignment="0" applyProtection="0">
      <alignment horizontal="right"/>
    </xf>
    <xf numFmtId="0" fontId="165" fillId="0" borderId="458" applyFill="0" applyProtection="0">
      <alignment horizontal="center"/>
    </xf>
    <xf numFmtId="180" fontId="9" fillId="3" borderId="458">
      <alignment horizontal="right" vertical="center"/>
    </xf>
    <xf numFmtId="0" fontId="12" fillId="0" borderId="458" applyNumberFormat="0" applyFill="0" applyBorder="0" applyAlignment="0" applyProtection="0">
      <alignment horizontal="center"/>
    </xf>
    <xf numFmtId="0" fontId="101" fillId="0" borderId="458" applyBorder="0"/>
    <xf numFmtId="222" fontId="79" fillId="0" borderId="457" applyBorder="0"/>
    <xf numFmtId="0" fontId="75" fillId="0" borderId="447" applyNumberFormat="0" applyFont="0" applyFill="0" applyAlignment="0" applyProtection="0"/>
    <xf numFmtId="0" fontId="2" fillId="0" borderId="451" applyNumberFormat="0" applyAlignment="0" applyProtection="0"/>
    <xf numFmtId="0" fontId="25" fillId="10" borderId="453" applyNumberFormat="0" applyProtection="0">
      <alignment horizontal="left" vertical="top"/>
    </xf>
    <xf numFmtId="0" fontId="25" fillId="10" borderId="456" applyNumberFormat="0" applyProtection="0">
      <alignment horizontal="left" vertical="top"/>
    </xf>
    <xf numFmtId="222" fontId="79" fillId="0" borderId="445" applyBorder="0"/>
    <xf numFmtId="0" fontId="25" fillId="10" borderId="431" applyNumberFormat="0" applyProtection="0">
      <alignment horizontal="left" vertical="top"/>
    </xf>
    <xf numFmtId="0" fontId="25" fillId="10" borderId="429" applyNumberFormat="0" applyProtection="0">
      <alignment horizontal="left" vertical="top"/>
    </xf>
    <xf numFmtId="0" fontId="214" fillId="0" borderId="428" applyNumberFormat="0" applyFont="0" applyFill="0" applyAlignment="0" applyProtection="0"/>
    <xf numFmtId="186" fontId="146" fillId="3" borderId="425">
      <alignment horizontal="left"/>
    </xf>
    <xf numFmtId="222" fontId="79" fillId="0" borderId="433" applyBorder="0"/>
    <xf numFmtId="0" fontId="101" fillId="0" borderId="322" applyBorder="0"/>
    <xf numFmtId="0" fontId="113" fillId="0" borderId="322" applyNumberFormat="0" applyFill="0" applyAlignment="0" applyProtection="0"/>
    <xf numFmtId="0" fontId="12" fillId="0" borderId="322" applyNumberFormat="0" applyFill="0" applyBorder="0" applyAlignment="0" applyProtection="0">
      <alignment horizontal="center"/>
    </xf>
    <xf numFmtId="248" fontId="46" fillId="0" borderId="322"/>
    <xf numFmtId="192" fontId="9" fillId="3" borderId="322">
      <alignment horizontal="right" vertical="center"/>
    </xf>
    <xf numFmtId="180" fontId="9" fillId="3" borderId="322">
      <alignment horizontal="right" vertical="center"/>
    </xf>
    <xf numFmtId="186" fontId="146" fillId="3" borderId="322" applyBorder="0">
      <alignment horizontal="left" vertical="center"/>
    </xf>
    <xf numFmtId="0" fontId="165" fillId="0" borderId="322" applyFill="0" applyProtection="0">
      <alignment horizontal="center"/>
    </xf>
    <xf numFmtId="0" fontId="166" fillId="0" borderId="322">
      <alignment horizontal="center"/>
    </xf>
    <xf numFmtId="264" fontId="12" fillId="14" borderId="322" applyFont="0" applyFill="0" applyBorder="0" applyAlignment="0" applyProtection="0">
      <alignment horizontal="right"/>
    </xf>
    <xf numFmtId="0" fontId="210" fillId="0" borderId="322" applyNumberFormat="0" applyFill="0" applyBorder="0" applyAlignment="0">
      <protection locked="0"/>
    </xf>
    <xf numFmtId="248" fontId="46" fillId="0" borderId="458"/>
    <xf numFmtId="222" fontId="79" fillId="0" borderId="457" applyBorder="0"/>
    <xf numFmtId="186" fontId="140" fillId="3" borderId="450">
      <alignment horizontal="center" vertical="center"/>
    </xf>
    <xf numFmtId="0" fontId="25" fillId="10" borderId="455" applyNumberFormat="0" applyProtection="0">
      <alignment horizontal="left" vertical="top"/>
    </xf>
    <xf numFmtId="0" fontId="210" fillId="0" borderId="458" applyNumberFormat="0" applyFill="0" applyBorder="0" applyAlignment="0">
      <protection locked="0"/>
    </xf>
    <xf numFmtId="192" fontId="9" fillId="3" borderId="458">
      <alignment horizontal="right" vertical="center"/>
    </xf>
    <xf numFmtId="0" fontId="113" fillId="0" borderId="458" applyNumberFormat="0" applyFill="0" applyAlignment="0" applyProtection="0"/>
    <xf numFmtId="186" fontId="146" fillId="3" borderId="449">
      <alignment horizontal="left"/>
    </xf>
    <xf numFmtId="0" fontId="25" fillId="10" borderId="454" applyNumberFormat="0" applyProtection="0">
      <alignment horizontal="left" vertical="top"/>
    </xf>
    <xf numFmtId="254" fontId="240" fillId="0" borderId="322" applyBorder="0" applyProtection="0">
      <alignment horizontal="right" vertical="center"/>
    </xf>
    <xf numFmtId="0" fontId="241" fillId="94" borderId="322" applyBorder="0" applyProtection="0">
      <alignment horizontal="centerContinuous" vertical="center"/>
    </xf>
    <xf numFmtId="246" fontId="249" fillId="0" borderId="322" applyFill="0" applyProtection="0">
      <alignment horizontal="center"/>
    </xf>
    <xf numFmtId="246" fontId="250" fillId="0" borderId="322" applyFill="0" applyProtection="0">
      <alignment horizontal="center"/>
    </xf>
    <xf numFmtId="0" fontId="25" fillId="10" borderId="478" applyNumberFormat="0" applyProtection="0">
      <alignment horizontal="left" vertical="top"/>
    </xf>
    <xf numFmtId="0" fontId="25" fillId="10" borderId="480" applyNumberFormat="0" applyProtection="0">
      <alignment horizontal="left" vertical="top"/>
    </xf>
    <xf numFmtId="222" fontId="79" fillId="0" borderId="409" applyBorder="0"/>
    <xf numFmtId="0" fontId="214" fillId="0" borderId="476" applyNumberFormat="0" applyFont="0" applyFill="0" applyAlignment="0" applyProtection="0"/>
    <xf numFmtId="0" fontId="75" fillId="0" borderId="411" applyNumberFormat="0" applyFont="0" applyFill="0" applyAlignment="0" applyProtection="0"/>
    <xf numFmtId="0" fontId="25" fillId="10" borderId="419" applyNumberFormat="0" applyProtection="0">
      <alignment horizontal="left" vertical="top"/>
    </xf>
    <xf numFmtId="0" fontId="25" fillId="10" borderId="420" applyNumberFormat="0" applyProtection="0">
      <alignment horizontal="left" vertical="top"/>
    </xf>
    <xf numFmtId="0" fontId="165" fillId="0" borderId="434" applyFill="0" applyProtection="0">
      <alignment horizontal="center"/>
    </xf>
    <xf numFmtId="254" fontId="240" fillId="0" borderId="434" applyBorder="0" applyProtection="0">
      <alignment horizontal="right" vertical="center"/>
    </xf>
    <xf numFmtId="0" fontId="241" fillId="94" borderId="434" applyBorder="0" applyProtection="0">
      <alignment horizontal="centerContinuous" vertical="center"/>
    </xf>
    <xf numFmtId="0" fontId="241" fillId="94" borderId="458" applyBorder="0" applyProtection="0">
      <alignment horizontal="centerContinuous" vertical="center"/>
    </xf>
    <xf numFmtId="0" fontId="166" fillId="0" borderId="458">
      <alignment horizontal="center"/>
    </xf>
    <xf numFmtId="186" fontId="146" fillId="3" borderId="458" applyBorder="0">
      <alignment horizontal="left" vertical="center"/>
    </xf>
    <xf numFmtId="0" fontId="214" fillId="0" borderId="452" applyNumberFormat="0" applyFont="0" applyFill="0" applyAlignment="0" applyProtection="0"/>
    <xf numFmtId="0" fontId="78" fillId="14" borderId="448" applyFont="0" applyFill="0" applyBorder="0" applyAlignment="0" applyProtection="0"/>
    <xf numFmtId="0" fontId="78" fillId="14" borderId="375" applyFont="0" applyFill="0" applyBorder="0" applyAlignment="0" applyProtection="0"/>
    <xf numFmtId="0" fontId="25" fillId="10" borderId="278" applyNumberFormat="0" applyProtection="0">
      <alignment horizontal="left" vertical="top"/>
    </xf>
    <xf numFmtId="0" fontId="25" fillId="10" borderId="277" applyNumberFormat="0" applyProtection="0">
      <alignment horizontal="left" vertical="top"/>
    </xf>
    <xf numFmtId="0" fontId="25" fillId="10" borderId="276" applyNumberFormat="0" applyProtection="0">
      <alignment horizontal="left" vertical="top"/>
    </xf>
    <xf numFmtId="0" fontId="25" fillId="10" borderId="275" applyNumberFormat="0" applyProtection="0">
      <alignment horizontal="left" vertical="top"/>
    </xf>
    <xf numFmtId="186" fontId="140" fillId="3" borderId="474">
      <alignment horizontal="center" vertical="center"/>
    </xf>
    <xf numFmtId="0" fontId="214" fillId="0" borderId="274" applyNumberFormat="0" applyFont="0" applyFill="0" applyAlignment="0" applyProtection="0"/>
    <xf numFmtId="186" fontId="140" fillId="3" borderId="248">
      <alignment horizontal="center" vertical="center"/>
    </xf>
    <xf numFmtId="186" fontId="146" fillId="3" borderId="173">
      <alignment horizontal="left"/>
    </xf>
    <xf numFmtId="186" fontId="146" fillId="3" borderId="473">
      <alignment horizontal="left"/>
    </xf>
    <xf numFmtId="0" fontId="75" fillId="0" borderId="171" applyNumberFormat="0" applyFont="0" applyFill="0" applyAlignment="0" applyProtection="0"/>
    <xf numFmtId="0" fontId="75" fillId="0" borderId="471" applyNumberFormat="0" applyFont="0" applyFill="0" applyAlignment="0" applyProtection="0"/>
    <xf numFmtId="222" fontId="79" fillId="0" borderId="385" applyBorder="0"/>
    <xf numFmtId="222" fontId="79" fillId="0" borderId="385" applyBorder="0"/>
    <xf numFmtId="0" fontId="25" fillId="10" borderId="477" applyNumberFormat="0" applyProtection="0">
      <alignment horizontal="left" vertical="top"/>
    </xf>
    <xf numFmtId="0" fontId="2" fillId="0" borderId="475" applyNumberFormat="0" applyAlignment="0" applyProtection="0"/>
    <xf numFmtId="246" fontId="250" fillId="0" borderId="410" applyFill="0" applyProtection="0">
      <alignment horizontal="center"/>
    </xf>
    <xf numFmtId="246" fontId="249" fillId="0" borderId="410" applyFill="0" applyProtection="0">
      <alignment horizontal="center"/>
    </xf>
    <xf numFmtId="0" fontId="241" fillId="94" borderId="410" applyBorder="0" applyProtection="0">
      <alignment horizontal="centerContinuous" vertical="center"/>
    </xf>
    <xf numFmtId="254" fontId="240" fillId="0" borderId="410" applyBorder="0" applyProtection="0">
      <alignment horizontal="right" vertical="center"/>
    </xf>
    <xf numFmtId="0" fontId="210" fillId="0" borderId="410" applyNumberFormat="0" applyFill="0" applyBorder="0" applyAlignment="0">
      <protection locked="0"/>
    </xf>
    <xf numFmtId="264" fontId="12" fillId="14" borderId="410" applyFont="0" applyFill="0" applyBorder="0" applyAlignment="0" applyProtection="0">
      <alignment horizontal="right"/>
    </xf>
    <xf numFmtId="0" fontId="166" fillId="0" borderId="410">
      <alignment horizontal="center"/>
    </xf>
    <xf numFmtId="0" fontId="165" fillId="0" borderId="410" applyFill="0" applyProtection="0">
      <alignment horizontal="center"/>
    </xf>
    <xf numFmtId="186" fontId="146" fillId="3" borderId="410" applyBorder="0">
      <alignment horizontal="left" vertical="center"/>
    </xf>
    <xf numFmtId="180" fontId="9" fillId="3" borderId="410">
      <alignment horizontal="right" vertical="center"/>
    </xf>
    <xf numFmtId="192" fontId="9" fillId="3" borderId="410">
      <alignment horizontal="right" vertical="center"/>
    </xf>
    <xf numFmtId="248" fontId="46" fillId="0" borderId="410"/>
    <xf numFmtId="0" fontId="12" fillId="0" borderId="410" applyNumberFormat="0" applyFill="0" applyBorder="0" applyAlignment="0" applyProtection="0">
      <alignment horizontal="center"/>
    </xf>
    <xf numFmtId="0" fontId="113" fillId="0" borderId="410" applyNumberFormat="0" applyFill="0" applyAlignment="0" applyProtection="0"/>
    <xf numFmtId="222" fontId="79" fillId="0" borderId="409" applyBorder="0"/>
    <xf numFmtId="0" fontId="101" fillId="0" borderId="410" applyBorder="0"/>
    <xf numFmtId="222" fontId="79" fillId="0" borderId="409" applyBorder="0"/>
    <xf numFmtId="0" fontId="75" fillId="0" borderId="399" applyNumberFormat="0" applyFont="0" applyFill="0" applyAlignment="0" applyProtection="0"/>
    <xf numFmtId="186" fontId="146" fillId="3" borderId="401">
      <alignment horizontal="left"/>
    </xf>
    <xf numFmtId="186" fontId="140" fillId="3" borderId="402">
      <alignment horizontal="center" vertical="center"/>
    </xf>
    <xf numFmtId="0" fontId="2" fillId="0" borderId="403" applyNumberFormat="0" applyAlignment="0" applyProtection="0"/>
    <xf numFmtId="0" fontId="214" fillId="0" borderId="404" applyNumberFormat="0" applyFont="0" applyFill="0" applyAlignment="0" applyProtection="0"/>
    <xf numFmtId="0" fontId="25" fillId="10" borderId="405" applyNumberFormat="0" applyProtection="0">
      <alignment horizontal="left" vertical="top"/>
    </xf>
    <xf numFmtId="0" fontId="25" fillId="10" borderId="406" applyNumberFormat="0" applyProtection="0">
      <alignment horizontal="left" vertical="top"/>
    </xf>
    <xf numFmtId="0" fontId="25" fillId="10" borderId="407" applyNumberFormat="0" applyProtection="0">
      <alignment horizontal="left" vertical="top"/>
    </xf>
    <xf numFmtId="0" fontId="25" fillId="10" borderId="408" applyNumberFormat="0" applyProtection="0">
      <alignment horizontal="left" vertical="top"/>
    </xf>
    <xf numFmtId="0" fontId="78" fillId="14" borderId="400" applyFont="0" applyFill="0" applyBorder="0" applyAlignment="0" applyProtection="0"/>
    <xf numFmtId="222" fontId="79" fillId="0" borderId="397" applyBorder="0"/>
    <xf numFmtId="0" fontId="78" fillId="14" borderId="375" applyFont="0" applyFill="0" applyBorder="0" applyAlignment="0" applyProtection="0"/>
    <xf numFmtId="222" fontId="79" fillId="0" borderId="385" applyBorder="0"/>
    <xf numFmtId="0" fontId="78" fillId="14" borderId="388" applyFont="0" applyFill="0" applyBorder="0" applyAlignment="0" applyProtection="0"/>
    <xf numFmtId="0" fontId="25" fillId="10" borderId="396" applyNumberFormat="0" applyProtection="0">
      <alignment horizontal="left" vertical="top"/>
    </xf>
    <xf numFmtId="0" fontId="25" fillId="10" borderId="395" applyNumberFormat="0" applyProtection="0">
      <alignment horizontal="left" vertical="top"/>
    </xf>
    <xf numFmtId="0" fontId="25" fillId="10" borderId="394" applyNumberFormat="0" applyProtection="0">
      <alignment horizontal="left" vertical="top"/>
    </xf>
    <xf numFmtId="0" fontId="25" fillId="10" borderId="393" applyNumberFormat="0" applyProtection="0">
      <alignment horizontal="left" vertical="top"/>
    </xf>
    <xf numFmtId="0" fontId="214" fillId="0" borderId="392" applyNumberFormat="0" applyFont="0" applyFill="0" applyAlignment="0" applyProtection="0"/>
    <xf numFmtId="186" fontId="140" fillId="3" borderId="390">
      <alignment horizontal="center" vertical="center"/>
    </xf>
    <xf numFmtId="186" fontId="146" fillId="3" borderId="389">
      <alignment horizontal="left"/>
    </xf>
    <xf numFmtId="0" fontId="75" fillId="0" borderId="387" applyNumberFormat="0" applyFont="0" applyFill="0" applyAlignment="0" applyProtection="0"/>
    <xf numFmtId="222" fontId="79" fillId="0" borderId="397" applyBorder="0"/>
    <xf numFmtId="0" fontId="101" fillId="0" borderId="398" applyBorder="0"/>
    <xf numFmtId="222" fontId="79" fillId="0" borderId="397" applyBorder="0"/>
    <xf numFmtId="0" fontId="113" fillId="0" borderId="398" applyNumberFormat="0" applyFill="0" applyAlignment="0" applyProtection="0"/>
    <xf numFmtId="0" fontId="12" fillId="0" borderId="398" applyNumberFormat="0" applyFill="0" applyBorder="0" applyAlignment="0" applyProtection="0">
      <alignment horizontal="center"/>
    </xf>
    <xf numFmtId="248" fontId="46" fillId="0" borderId="398"/>
    <xf numFmtId="192" fontId="9" fillId="3" borderId="398">
      <alignment horizontal="right" vertical="center"/>
    </xf>
    <xf numFmtId="180" fontId="9" fillId="3" borderId="398">
      <alignment horizontal="right" vertical="center"/>
    </xf>
    <xf numFmtId="186" fontId="146" fillId="3" borderId="398" applyBorder="0">
      <alignment horizontal="left" vertical="center"/>
    </xf>
    <xf numFmtId="0" fontId="165" fillId="0" borderId="398" applyFill="0" applyProtection="0">
      <alignment horizontal="center"/>
    </xf>
    <xf numFmtId="0" fontId="166" fillId="0" borderId="398">
      <alignment horizontal="center"/>
    </xf>
    <xf numFmtId="264" fontId="12" fillId="14" borderId="398" applyFont="0" applyFill="0" applyBorder="0" applyAlignment="0" applyProtection="0">
      <alignment horizontal="right"/>
    </xf>
    <xf numFmtId="0" fontId="210" fillId="0" borderId="398" applyNumberFormat="0" applyFill="0" applyBorder="0" applyAlignment="0">
      <protection locked="0"/>
    </xf>
    <xf numFmtId="254" fontId="240" fillId="0" borderId="398" applyBorder="0" applyProtection="0">
      <alignment horizontal="right" vertical="center"/>
    </xf>
    <xf numFmtId="0" fontId="241" fillId="94" borderId="398" applyBorder="0" applyProtection="0">
      <alignment horizontal="centerContinuous" vertical="center"/>
    </xf>
    <xf numFmtId="246" fontId="249" fillId="0" borderId="398" applyFill="0" applyProtection="0">
      <alignment horizontal="center"/>
    </xf>
    <xf numFmtId="246" fontId="250" fillId="0" borderId="398" applyFill="0" applyProtection="0">
      <alignment horizontal="center"/>
    </xf>
    <xf numFmtId="0" fontId="241" fillId="94" borderId="482" applyBorder="0" applyProtection="0">
      <alignment horizontal="centerContinuous" vertical="center"/>
    </xf>
    <xf numFmtId="0" fontId="166" fillId="0" borderId="482">
      <alignment horizontal="center"/>
    </xf>
    <xf numFmtId="0" fontId="2" fillId="0" borderId="415" applyNumberFormat="0" applyAlignment="0" applyProtection="0"/>
    <xf numFmtId="0" fontId="214" fillId="0" borderId="416" applyNumberFormat="0" applyFont="0" applyFill="0" applyAlignment="0" applyProtection="0"/>
    <xf numFmtId="246" fontId="250" fillId="0" borderId="422" applyFill="0" applyProtection="0">
      <alignment horizontal="center"/>
    </xf>
    <xf numFmtId="246" fontId="249" fillId="0" borderId="422" applyFill="0" applyProtection="0">
      <alignment horizontal="center"/>
    </xf>
    <xf numFmtId="0" fontId="241" fillId="94" borderId="422" applyBorder="0" applyProtection="0">
      <alignment horizontal="centerContinuous" vertical="center"/>
    </xf>
    <xf numFmtId="254" fontId="240" fillId="0" borderId="422" applyBorder="0" applyProtection="0">
      <alignment horizontal="right" vertical="center"/>
    </xf>
    <xf numFmtId="0" fontId="210" fillId="0" borderId="422" applyNumberFormat="0" applyFill="0" applyBorder="0" applyAlignment="0">
      <protection locked="0"/>
    </xf>
    <xf numFmtId="264" fontId="12" fillId="14" borderId="422" applyFont="0" applyFill="0" applyBorder="0" applyAlignment="0" applyProtection="0">
      <alignment horizontal="right"/>
    </xf>
    <xf numFmtId="0" fontId="166" fillId="0" borderId="422">
      <alignment horizontal="center"/>
    </xf>
    <xf numFmtId="0" fontId="165" fillId="0" borderId="422" applyFill="0" applyProtection="0">
      <alignment horizontal="center"/>
    </xf>
    <xf numFmtId="186" fontId="146" fillId="3" borderId="422" applyBorder="0">
      <alignment horizontal="left" vertical="center"/>
    </xf>
    <xf numFmtId="180" fontId="9" fillId="3" borderId="422">
      <alignment horizontal="right" vertical="center"/>
    </xf>
    <xf numFmtId="192" fontId="9" fillId="3" borderId="422">
      <alignment horizontal="right" vertical="center"/>
    </xf>
    <xf numFmtId="248" fontId="46" fillId="0" borderId="422"/>
    <xf numFmtId="0" fontId="12" fillId="0" borderId="422" applyNumberFormat="0" applyFill="0" applyBorder="0" applyAlignment="0" applyProtection="0">
      <alignment horizontal="center"/>
    </xf>
    <xf numFmtId="0" fontId="113" fillId="0" borderId="422" applyNumberFormat="0" applyFill="0" applyAlignment="0" applyProtection="0"/>
    <xf numFmtId="222" fontId="79" fillId="0" borderId="421" applyBorder="0"/>
    <xf numFmtId="0" fontId="101" fillId="0" borderId="422" applyBorder="0"/>
    <xf numFmtId="222" fontId="79" fillId="0" borderId="421" applyBorder="0"/>
    <xf numFmtId="0" fontId="75" fillId="0" borderId="411" applyNumberFormat="0" applyFont="0" applyFill="0" applyAlignment="0" applyProtection="0"/>
    <xf numFmtId="186" fontId="146" fillId="3" borderId="413">
      <alignment horizontal="left"/>
    </xf>
    <xf numFmtId="186" fontId="140" fillId="3" borderId="414">
      <alignment horizontal="center" vertical="center"/>
    </xf>
    <xf numFmtId="0" fontId="2" fillId="0" borderId="415" applyNumberFormat="0" applyAlignment="0" applyProtection="0"/>
    <xf numFmtId="0" fontId="214" fillId="0" borderId="416" applyNumberFormat="0" applyFont="0" applyFill="0" applyAlignment="0" applyProtection="0"/>
    <xf numFmtId="0" fontId="25" fillId="10" borderId="417" applyNumberFormat="0" applyProtection="0">
      <alignment horizontal="left" vertical="top"/>
    </xf>
    <xf numFmtId="0" fontId="25" fillId="10" borderId="418" applyNumberFormat="0" applyProtection="0">
      <alignment horizontal="left" vertical="top"/>
    </xf>
    <xf numFmtId="0" fontId="25" fillId="10" borderId="419" applyNumberFormat="0" applyProtection="0">
      <alignment horizontal="left" vertical="top"/>
    </xf>
    <xf numFmtId="0" fontId="25" fillId="10" borderId="420" applyNumberFormat="0" applyProtection="0">
      <alignment horizontal="left" vertical="top"/>
    </xf>
    <xf numFmtId="0" fontId="78" fillId="14" borderId="412" applyFont="0" applyFill="0" applyBorder="0" applyAlignment="0" applyProtection="0"/>
    <xf numFmtId="222" fontId="79" fillId="0" borderId="409" applyBorder="0"/>
    <xf numFmtId="0" fontId="78" fillId="14" borderId="424" applyFont="0" applyFill="0" applyBorder="0" applyAlignment="0" applyProtection="0"/>
    <xf numFmtId="186" fontId="146" fillId="3" borderId="413">
      <alignment horizontal="left"/>
    </xf>
    <xf numFmtId="0" fontId="78" fillId="14" borderId="400" applyFont="0" applyFill="0" applyBorder="0" applyAlignment="0" applyProtection="0"/>
    <xf numFmtId="222" fontId="79" fillId="0" borderId="409" applyBorder="0"/>
    <xf numFmtId="0" fontId="2" fillId="0" borderId="427" applyNumberFormat="0" applyAlignment="0" applyProtection="0"/>
    <xf numFmtId="0" fontId="78" fillId="14" borderId="400" applyFont="0" applyFill="0" applyBorder="0" applyAlignment="0" applyProtection="0"/>
    <xf numFmtId="0" fontId="25" fillId="10" borderId="408" applyNumberFormat="0" applyProtection="0">
      <alignment horizontal="left" vertical="top"/>
    </xf>
    <xf numFmtId="0" fontId="25" fillId="10" borderId="407" applyNumberFormat="0" applyProtection="0">
      <alignment horizontal="left" vertical="top"/>
    </xf>
    <xf numFmtId="0" fontId="25" fillId="10" borderId="406" applyNumberFormat="0" applyProtection="0">
      <alignment horizontal="left" vertical="top"/>
    </xf>
    <xf numFmtId="0" fontId="25" fillId="10" borderId="405" applyNumberFormat="0" applyProtection="0">
      <alignment horizontal="left" vertical="top"/>
    </xf>
    <xf numFmtId="0" fontId="25" fillId="10" borderId="430" applyNumberFormat="0" applyProtection="0">
      <alignment horizontal="left" vertical="top"/>
    </xf>
    <xf numFmtId="0" fontId="214" fillId="0" borderId="404" applyNumberFormat="0" applyFont="0" applyFill="0" applyAlignment="0" applyProtection="0"/>
    <xf numFmtId="0" fontId="2" fillId="0" borderId="403" applyNumberFormat="0" applyAlignment="0" applyProtection="0"/>
    <xf numFmtId="186" fontId="140" fillId="3" borderId="402">
      <alignment horizontal="center" vertical="center"/>
    </xf>
    <xf numFmtId="186" fontId="146" fillId="3" borderId="401">
      <alignment horizontal="left"/>
    </xf>
    <xf numFmtId="0" fontId="25" fillId="10" borderId="432" applyNumberFormat="0" applyProtection="0">
      <alignment horizontal="left" vertical="top"/>
    </xf>
    <xf numFmtId="0" fontId="75" fillId="0" borderId="399" applyNumberFormat="0" applyFont="0" applyFill="0" applyAlignment="0" applyProtection="0"/>
    <xf numFmtId="222" fontId="79" fillId="0" borderId="409" applyBorder="0"/>
    <xf numFmtId="0" fontId="101" fillId="0" borderId="410" applyBorder="0"/>
    <xf numFmtId="222" fontId="79" fillId="0" borderId="409" applyBorder="0"/>
    <xf numFmtId="0" fontId="113" fillId="0" borderId="410" applyNumberFormat="0" applyFill="0" applyAlignment="0" applyProtection="0"/>
    <xf numFmtId="0" fontId="12" fillId="0" borderId="410" applyNumberFormat="0" applyFill="0" applyBorder="0" applyAlignment="0" applyProtection="0">
      <alignment horizontal="center"/>
    </xf>
    <xf numFmtId="248" fontId="46" fillId="0" borderId="410"/>
    <xf numFmtId="192" fontId="9" fillId="3" borderId="410">
      <alignment horizontal="right" vertical="center"/>
    </xf>
    <xf numFmtId="180" fontId="9" fillId="3" borderId="410">
      <alignment horizontal="right" vertical="center"/>
    </xf>
    <xf numFmtId="186" fontId="146" fillId="3" borderId="410" applyBorder="0">
      <alignment horizontal="left" vertical="center"/>
    </xf>
    <xf numFmtId="0" fontId="165" fillId="0" borderId="410" applyFill="0" applyProtection="0">
      <alignment horizontal="center"/>
    </xf>
    <xf numFmtId="0" fontId="166" fillId="0" borderId="410">
      <alignment horizontal="center"/>
    </xf>
    <xf numFmtId="264" fontId="12" fillId="14" borderId="410" applyFont="0" applyFill="0" applyBorder="0" applyAlignment="0" applyProtection="0">
      <alignment horizontal="right"/>
    </xf>
    <xf numFmtId="0" fontId="210" fillId="0" borderId="410" applyNumberFormat="0" applyFill="0" applyBorder="0" applyAlignment="0">
      <protection locked="0"/>
    </xf>
    <xf numFmtId="254" fontId="240" fillId="0" borderId="410" applyBorder="0" applyProtection="0">
      <alignment horizontal="right" vertical="center"/>
    </xf>
    <xf numFmtId="0" fontId="241" fillId="94" borderId="410" applyBorder="0" applyProtection="0">
      <alignment horizontal="centerContinuous" vertical="center"/>
    </xf>
    <xf numFmtId="246" fontId="249" fillId="0" borderId="410" applyFill="0" applyProtection="0">
      <alignment horizontal="center"/>
    </xf>
    <xf numFmtId="246" fontId="250" fillId="0" borderId="410" applyFill="0" applyProtection="0">
      <alignment horizontal="center"/>
    </xf>
    <xf numFmtId="186" fontId="140" fillId="3" borderId="426">
      <alignment horizontal="center" vertical="center"/>
    </xf>
    <xf numFmtId="0" fontId="78" fillId="14" borderId="412" applyFont="0" applyFill="0" applyBorder="0" applyAlignment="0" applyProtection="0"/>
    <xf numFmtId="222" fontId="79" fillId="0" borderId="433" applyBorder="0"/>
    <xf numFmtId="0" fontId="78" fillId="14" borderId="436" applyFont="0" applyFill="0" applyBorder="0" applyAlignment="0" applyProtection="0"/>
    <xf numFmtId="0" fontId="25" fillId="10" borderId="444" applyNumberFormat="0" applyProtection="0">
      <alignment horizontal="left" vertical="top"/>
    </xf>
    <xf numFmtId="0" fontId="25" fillId="10" borderId="443" applyNumberFormat="0" applyProtection="0">
      <alignment horizontal="left" vertical="top"/>
    </xf>
    <xf numFmtId="0" fontId="25" fillId="10" borderId="442" applyNumberFormat="0" applyProtection="0">
      <alignment horizontal="left" vertical="top"/>
    </xf>
    <xf numFmtId="0" fontId="25" fillId="10" borderId="441" applyNumberFormat="0" applyProtection="0">
      <alignment horizontal="left" vertical="top"/>
    </xf>
    <xf numFmtId="0" fontId="214" fillId="0" borderId="440" applyNumberFormat="0" applyFont="0" applyFill="0" applyAlignment="0" applyProtection="0"/>
    <xf numFmtId="0" fontId="2" fillId="0" borderId="439" applyNumberFormat="0" applyAlignment="0" applyProtection="0"/>
    <xf numFmtId="186" fontId="140" fillId="3" borderId="438">
      <alignment horizontal="center" vertical="center"/>
    </xf>
    <xf numFmtId="186" fontId="146" fillId="3" borderId="437">
      <alignment horizontal="left"/>
    </xf>
    <xf numFmtId="0" fontId="75" fillId="0" borderId="435" applyNumberFormat="0" applyFont="0" applyFill="0" applyAlignment="0" applyProtection="0"/>
    <xf numFmtId="222" fontId="79" fillId="0" borderId="445" applyBorder="0"/>
    <xf numFmtId="0" fontId="101" fillId="0" borderId="446" applyBorder="0"/>
    <xf numFmtId="222" fontId="79" fillId="0" borderId="445" applyBorder="0"/>
    <xf numFmtId="0" fontId="113" fillId="0" borderId="446" applyNumberFormat="0" applyFill="0" applyAlignment="0" applyProtection="0"/>
    <xf numFmtId="0" fontId="12" fillId="0" borderId="446" applyNumberFormat="0" applyFill="0" applyBorder="0" applyAlignment="0" applyProtection="0">
      <alignment horizontal="center"/>
    </xf>
    <xf numFmtId="248" fontId="46" fillId="0" borderId="446"/>
    <xf numFmtId="192" fontId="9" fillId="3" borderId="446">
      <alignment horizontal="right" vertical="center"/>
    </xf>
    <xf numFmtId="180" fontId="9" fillId="3" borderId="446">
      <alignment horizontal="right" vertical="center"/>
    </xf>
    <xf numFmtId="186" fontId="146" fillId="3" borderId="446" applyBorder="0">
      <alignment horizontal="left" vertical="center"/>
    </xf>
    <xf numFmtId="0" fontId="165" fillId="0" borderId="446" applyFill="0" applyProtection="0">
      <alignment horizontal="center"/>
    </xf>
    <xf numFmtId="0" fontId="166" fillId="0" borderId="446">
      <alignment horizontal="center"/>
    </xf>
    <xf numFmtId="264" fontId="12" fillId="14" borderId="446" applyFont="0" applyFill="0" applyBorder="0" applyAlignment="0" applyProtection="0">
      <alignment horizontal="right"/>
    </xf>
    <xf numFmtId="0" fontId="210" fillId="0" borderId="446" applyNumberFormat="0" applyFill="0" applyBorder="0" applyAlignment="0">
      <protection locked="0"/>
    </xf>
    <xf numFmtId="254" fontId="240" fillId="0" borderId="446" applyBorder="0" applyProtection="0">
      <alignment horizontal="right" vertical="center"/>
    </xf>
    <xf numFmtId="0" fontId="241" fillId="94" borderId="446" applyBorder="0" applyProtection="0">
      <alignment horizontal="centerContinuous" vertical="center"/>
    </xf>
    <xf numFmtId="246" fontId="249" fillId="0" borderId="446" applyFill="0" applyProtection="0">
      <alignment horizontal="center"/>
    </xf>
    <xf numFmtId="246" fontId="250" fillId="0" borderId="446" applyFill="0" applyProtection="0">
      <alignment horizontal="center"/>
    </xf>
    <xf numFmtId="222" fontId="79" fillId="0" borderId="457" applyBorder="0"/>
    <xf numFmtId="0" fontId="78" fillId="14" borderId="460" applyFont="0" applyFill="0" applyBorder="0" applyAlignment="0" applyProtection="0"/>
    <xf numFmtId="0" fontId="25" fillId="10" borderId="468" applyNumberFormat="0" applyProtection="0">
      <alignment horizontal="left" vertical="top"/>
    </xf>
    <xf numFmtId="0" fontId="25" fillId="10" borderId="467" applyNumberFormat="0" applyProtection="0">
      <alignment horizontal="left" vertical="top"/>
    </xf>
    <xf numFmtId="0" fontId="25" fillId="10" borderId="466" applyNumberFormat="0" applyProtection="0">
      <alignment horizontal="left" vertical="top"/>
    </xf>
    <xf numFmtId="0" fontId="25" fillId="10" borderId="465" applyNumberFormat="0" applyProtection="0">
      <alignment horizontal="left" vertical="top"/>
    </xf>
    <xf numFmtId="0" fontId="214" fillId="0" borderId="464" applyNumberFormat="0" applyFont="0" applyFill="0" applyAlignment="0" applyProtection="0"/>
    <xf numFmtId="0" fontId="2" fillId="0" borderId="463" applyNumberFormat="0" applyAlignment="0" applyProtection="0"/>
    <xf numFmtId="186" fontId="140" fillId="3" borderId="462">
      <alignment horizontal="center" vertical="center"/>
    </xf>
    <xf numFmtId="186" fontId="146" fillId="3" borderId="461">
      <alignment horizontal="left"/>
    </xf>
    <xf numFmtId="0" fontId="75" fillId="0" borderId="459" applyNumberFormat="0" applyFont="0" applyFill="0" applyAlignment="0" applyProtection="0"/>
    <xf numFmtId="222" fontId="79" fillId="0" borderId="469" applyBorder="0"/>
    <xf numFmtId="0" fontId="101" fillId="0" borderId="470" applyBorder="0"/>
    <xf numFmtId="222" fontId="79" fillId="0" borderId="469" applyBorder="0"/>
    <xf numFmtId="0" fontId="113" fillId="0" borderId="470" applyNumberFormat="0" applyFill="0" applyAlignment="0" applyProtection="0"/>
    <xf numFmtId="0" fontId="12" fillId="0" borderId="470" applyNumberFormat="0" applyFill="0" applyBorder="0" applyAlignment="0" applyProtection="0">
      <alignment horizontal="center"/>
    </xf>
    <xf numFmtId="248" fontId="46" fillId="0" borderId="470"/>
    <xf numFmtId="192" fontId="9" fillId="3" borderId="470">
      <alignment horizontal="right" vertical="center"/>
    </xf>
    <xf numFmtId="180" fontId="9" fillId="3" borderId="470">
      <alignment horizontal="right" vertical="center"/>
    </xf>
    <xf numFmtId="186" fontId="146" fillId="3" borderId="470" applyBorder="0">
      <alignment horizontal="left" vertical="center"/>
    </xf>
    <xf numFmtId="0" fontId="165" fillId="0" borderId="470" applyFill="0" applyProtection="0">
      <alignment horizontal="center"/>
    </xf>
    <xf numFmtId="0" fontId="166" fillId="0" borderId="470">
      <alignment horizontal="center"/>
    </xf>
    <xf numFmtId="264" fontId="12" fillId="14" borderId="470" applyFont="0" applyFill="0" applyBorder="0" applyAlignment="0" applyProtection="0">
      <alignment horizontal="right"/>
    </xf>
    <xf numFmtId="0" fontId="210" fillId="0" borderId="470" applyNumberFormat="0" applyFill="0" applyBorder="0" applyAlignment="0">
      <protection locked="0"/>
    </xf>
    <xf numFmtId="254" fontId="240" fillId="0" borderId="470" applyBorder="0" applyProtection="0">
      <alignment horizontal="right" vertical="center"/>
    </xf>
    <xf numFmtId="0" fontId="241" fillId="94" borderId="470" applyBorder="0" applyProtection="0">
      <alignment horizontal="centerContinuous" vertical="center"/>
    </xf>
    <xf numFmtId="246" fontId="249" fillId="0" borderId="470" applyFill="0" applyProtection="0">
      <alignment horizontal="center"/>
    </xf>
    <xf numFmtId="246" fontId="250" fillId="0" borderId="470" applyFill="0" applyProtection="0">
      <alignment horizontal="center"/>
    </xf>
    <xf numFmtId="0" fontId="75" fillId="0" borderId="483" applyNumberFormat="0" applyFont="0" applyFill="0" applyAlignment="0" applyProtection="0"/>
    <xf numFmtId="0" fontId="78" fillId="14" borderId="484" applyFont="0" applyFill="0" applyBorder="0" applyAlignment="0" applyProtection="0"/>
    <xf numFmtId="186" fontId="146" fillId="3" borderId="485">
      <alignment horizontal="left"/>
    </xf>
    <xf numFmtId="186" fontId="140" fillId="3" borderId="486">
      <alignment horizontal="center" vertical="center"/>
    </xf>
    <xf numFmtId="0" fontId="2" fillId="0" borderId="487" applyNumberFormat="0" applyAlignment="0" applyProtection="0"/>
    <xf numFmtId="0" fontId="214" fillId="0" borderId="488" applyNumberFormat="0" applyFont="0" applyFill="0" applyAlignment="0" applyProtection="0"/>
    <xf numFmtId="0" fontId="25" fillId="10" borderId="489" applyNumberFormat="0" applyProtection="0">
      <alignment horizontal="left" vertical="top"/>
    </xf>
    <xf numFmtId="0" fontId="25" fillId="10" borderId="490" applyNumberFormat="0" applyProtection="0">
      <alignment horizontal="left" vertical="top"/>
    </xf>
    <xf numFmtId="0" fontId="25" fillId="10" borderId="491" applyNumberFormat="0" applyProtection="0">
      <alignment horizontal="left" vertical="top"/>
    </xf>
    <xf numFmtId="0" fontId="25" fillId="10" borderId="492" applyNumberFormat="0" applyProtection="0">
      <alignment horizontal="left" vertical="top"/>
    </xf>
    <xf numFmtId="246" fontId="250" fillId="0" borderId="482" applyFill="0" applyProtection="0">
      <alignment horizontal="center"/>
    </xf>
    <xf numFmtId="246" fontId="249" fillId="0" borderId="482" applyFill="0" applyProtection="0">
      <alignment horizontal="center"/>
    </xf>
    <xf numFmtId="0" fontId="241" fillId="94" borderId="482" applyBorder="0" applyProtection="0">
      <alignment horizontal="centerContinuous" vertical="center"/>
    </xf>
    <xf numFmtId="254" fontId="240" fillId="0" borderId="482" applyBorder="0" applyProtection="0">
      <alignment horizontal="right" vertical="center"/>
    </xf>
    <xf numFmtId="0" fontId="210" fillId="0" borderId="482" applyNumberFormat="0" applyFill="0" applyBorder="0" applyAlignment="0">
      <protection locked="0"/>
    </xf>
    <xf numFmtId="264" fontId="12" fillId="14" borderId="482" applyFont="0" applyFill="0" applyBorder="0" applyAlignment="0" applyProtection="0">
      <alignment horizontal="right"/>
    </xf>
    <xf numFmtId="0" fontId="166" fillId="0" borderId="482">
      <alignment horizontal="center"/>
    </xf>
    <xf numFmtId="0" fontId="165" fillId="0" borderId="482" applyFill="0" applyProtection="0">
      <alignment horizontal="center"/>
    </xf>
    <xf numFmtId="186" fontId="146" fillId="3" borderId="482" applyBorder="0">
      <alignment horizontal="left" vertical="center"/>
    </xf>
    <xf numFmtId="180" fontId="9" fillId="3" borderId="482">
      <alignment horizontal="right" vertical="center"/>
    </xf>
    <xf numFmtId="192" fontId="9" fillId="3" borderId="482">
      <alignment horizontal="right" vertical="center"/>
    </xf>
    <xf numFmtId="0" fontId="12" fillId="0" borderId="482" applyNumberFormat="0" applyFill="0" applyBorder="0" applyAlignment="0" applyProtection="0">
      <alignment horizontal="center"/>
    </xf>
    <xf numFmtId="0" fontId="113" fillId="0" borderId="482" applyNumberFormat="0" applyFill="0" applyAlignment="0" applyProtection="0"/>
    <xf numFmtId="222" fontId="79" fillId="0" borderId="481" applyBorder="0"/>
    <xf numFmtId="0" fontId="101" fillId="0" borderId="482" applyBorder="0"/>
    <xf numFmtId="248" fontId="46" fillId="0" borderId="482"/>
    <xf numFmtId="0" fontId="101" fillId="0" borderId="482" applyBorder="0"/>
    <xf numFmtId="222" fontId="79" fillId="0" borderId="481" applyBorder="0"/>
    <xf numFmtId="0" fontId="113" fillId="0" borderId="482" applyNumberFormat="0" applyFill="0" applyAlignment="0" applyProtection="0"/>
    <xf numFmtId="0" fontId="75" fillId="0" borderId="483" applyNumberFormat="0" applyFont="0" applyFill="0" applyAlignment="0" applyProtection="0"/>
    <xf numFmtId="0" fontId="12" fillId="0" borderId="482" applyNumberFormat="0" applyFill="0" applyBorder="0" applyAlignment="0" applyProtection="0">
      <alignment horizontal="center"/>
    </xf>
    <xf numFmtId="248" fontId="46" fillId="0" borderId="482"/>
    <xf numFmtId="192" fontId="9" fillId="3" borderId="482">
      <alignment horizontal="right" vertical="center"/>
    </xf>
    <xf numFmtId="180" fontId="9" fillId="3" borderId="482">
      <alignment horizontal="right" vertical="center"/>
    </xf>
    <xf numFmtId="186" fontId="146" fillId="3" borderId="482" applyBorder="0">
      <alignment horizontal="left" vertical="center"/>
    </xf>
    <xf numFmtId="186" fontId="146" fillId="3" borderId="485">
      <alignment horizontal="left"/>
    </xf>
    <xf numFmtId="186" fontId="140" fillId="3" borderId="486">
      <alignment horizontal="center" vertical="center"/>
    </xf>
    <xf numFmtId="0" fontId="165" fillId="0" borderId="482" applyFill="0" applyProtection="0">
      <alignment horizontal="center"/>
    </xf>
    <xf numFmtId="0" fontId="166" fillId="0" borderId="482">
      <alignment horizontal="center"/>
    </xf>
    <xf numFmtId="264" fontId="12" fillId="14" borderId="482" applyFont="0" applyFill="0" applyBorder="0" applyAlignment="0" applyProtection="0">
      <alignment horizontal="right"/>
    </xf>
    <xf numFmtId="0" fontId="210" fillId="0" borderId="482" applyNumberFormat="0" applyFill="0" applyBorder="0" applyAlignment="0">
      <protection locked="0"/>
    </xf>
    <xf numFmtId="0" fontId="2" fillId="0" borderId="487" applyNumberFormat="0" applyAlignment="0" applyProtection="0"/>
    <xf numFmtId="0" fontId="214" fillId="0" borderId="488" applyNumberFormat="0" applyFont="0" applyFill="0" applyAlignment="0" applyProtection="0"/>
    <xf numFmtId="0" fontId="25" fillId="10" borderId="489" applyNumberFormat="0" applyProtection="0">
      <alignment horizontal="left" vertical="top"/>
    </xf>
    <xf numFmtId="0" fontId="25" fillId="10" borderId="490" applyNumberFormat="0" applyProtection="0">
      <alignment horizontal="left" vertical="top"/>
    </xf>
    <xf numFmtId="0" fontId="25" fillId="10" borderId="491" applyNumberFormat="0" applyProtection="0">
      <alignment horizontal="left" vertical="top"/>
    </xf>
    <xf numFmtId="0" fontId="25" fillId="10" borderId="492" applyNumberFormat="0" applyProtection="0">
      <alignment horizontal="left" vertical="top"/>
    </xf>
    <xf numFmtId="0" fontId="25" fillId="10" borderId="489" applyNumberFormat="0" applyProtection="0">
      <alignment horizontal="left" vertical="top"/>
    </xf>
    <xf numFmtId="0" fontId="25" fillId="10" borderId="490" applyNumberFormat="0" applyProtection="0">
      <alignment horizontal="left" vertical="top"/>
    </xf>
    <xf numFmtId="0" fontId="25" fillId="10" borderId="491" applyNumberFormat="0" applyProtection="0">
      <alignment horizontal="left" vertical="top"/>
    </xf>
    <xf numFmtId="0" fontId="25" fillId="10" borderId="492" applyNumberFormat="0" applyProtection="0">
      <alignment horizontal="left" vertical="top"/>
    </xf>
    <xf numFmtId="254" fontId="240" fillId="0" borderId="482" applyBorder="0" applyProtection="0">
      <alignment horizontal="right" vertical="center"/>
    </xf>
    <xf numFmtId="0" fontId="241" fillId="94" borderId="482" applyBorder="0" applyProtection="0">
      <alignment horizontal="centerContinuous" vertical="center"/>
    </xf>
    <xf numFmtId="246" fontId="249" fillId="0" borderId="482" applyFill="0" applyProtection="0">
      <alignment horizontal="center"/>
    </xf>
    <xf numFmtId="246" fontId="250" fillId="0" borderId="482" applyFill="0" applyProtection="0">
      <alignment horizontal="center"/>
    </xf>
    <xf numFmtId="190" fontId="101" fillId="0" borderId="482" applyBorder="0"/>
    <xf numFmtId="190" fontId="113" fillId="0" borderId="482" applyNumberFormat="0" applyFill="0" applyAlignment="0" applyProtection="0"/>
    <xf numFmtId="190" fontId="75" fillId="0" borderId="459" applyNumberFormat="0" applyFont="0" applyFill="0" applyAlignment="0" applyProtection="0"/>
    <xf numFmtId="190" fontId="12" fillId="0" borderId="482" applyNumberFormat="0" applyFill="0" applyBorder="0" applyAlignment="0" applyProtection="0">
      <alignment horizontal="center"/>
    </xf>
    <xf numFmtId="190" fontId="78" fillId="14" borderId="472" applyFont="0" applyFill="0" applyBorder="0" applyAlignment="0" applyProtection="0"/>
    <xf numFmtId="190" fontId="165" fillId="0" borderId="482" applyFill="0" applyProtection="0">
      <alignment horizontal="center"/>
    </xf>
    <xf numFmtId="190" fontId="166" fillId="0" borderId="482">
      <alignment horizontal="center"/>
    </xf>
    <xf numFmtId="190" fontId="210" fillId="0" borderId="482" applyNumberFormat="0" applyFill="0" applyBorder="0" applyAlignment="0">
      <protection locked="0"/>
    </xf>
    <xf numFmtId="190" fontId="2" fillId="0" borderId="463" applyNumberFormat="0" applyAlignment="0" applyProtection="0"/>
    <xf numFmtId="190" fontId="214" fillId="0" borderId="464" applyNumberFormat="0" applyFont="0" applyFill="0" applyAlignment="0" applyProtection="0"/>
    <xf numFmtId="190" fontId="25" fillId="10" borderId="465" applyNumberFormat="0" applyProtection="0">
      <alignment horizontal="left" vertical="top"/>
    </xf>
    <xf numFmtId="190" fontId="25" fillId="10" borderId="466" applyNumberFormat="0" applyProtection="0">
      <alignment horizontal="left" vertical="top"/>
    </xf>
    <xf numFmtId="190" fontId="25" fillId="10" borderId="467" applyNumberFormat="0" applyProtection="0">
      <alignment horizontal="left" vertical="top"/>
    </xf>
    <xf numFmtId="190" fontId="25" fillId="10" borderId="468" applyNumberFormat="0" applyProtection="0">
      <alignment horizontal="left" vertical="top"/>
    </xf>
    <xf numFmtId="190" fontId="241" fillId="94" borderId="482" applyBorder="0" applyProtection="0">
      <alignment horizontal="centerContinuous" vertical="center"/>
    </xf>
    <xf numFmtId="222" fontId="79" fillId="0" borderId="481" applyBorder="0"/>
    <xf numFmtId="0" fontId="101" fillId="0" borderId="482" applyBorder="0"/>
    <xf numFmtId="222" fontId="79" fillId="0" borderId="481" applyBorder="0"/>
    <xf numFmtId="0" fontId="113" fillId="0" borderId="482" applyNumberFormat="0" applyFill="0" applyAlignment="0" applyProtection="0"/>
    <xf numFmtId="0" fontId="75" fillId="0" borderId="459" applyNumberFormat="0" applyFont="0" applyFill="0" applyAlignment="0" applyProtection="0"/>
    <xf numFmtId="0" fontId="12" fillId="0" borderId="482" applyNumberFormat="0" applyFill="0" applyBorder="0" applyAlignment="0" applyProtection="0">
      <alignment horizontal="center"/>
    </xf>
    <xf numFmtId="248" fontId="46" fillId="0" borderId="482"/>
    <xf numFmtId="192" fontId="9" fillId="3" borderId="482">
      <alignment horizontal="right" vertical="center"/>
    </xf>
    <xf numFmtId="180" fontId="9" fillId="3" borderId="482">
      <alignment horizontal="right" vertical="center"/>
    </xf>
    <xf numFmtId="186" fontId="146" fillId="3" borderId="482" applyBorder="0">
      <alignment horizontal="left" vertical="center"/>
    </xf>
    <xf numFmtId="186" fontId="146" fillId="3" borderId="461">
      <alignment horizontal="left"/>
    </xf>
    <xf numFmtId="186" fontId="140" fillId="3" borderId="462">
      <alignment horizontal="center" vertical="center"/>
    </xf>
    <xf numFmtId="0" fontId="165" fillId="0" borderId="482" applyFill="0" applyProtection="0">
      <alignment horizontal="center"/>
    </xf>
    <xf numFmtId="0" fontId="166" fillId="0" borderId="482">
      <alignment horizontal="center"/>
    </xf>
    <xf numFmtId="264" fontId="12" fillId="14" borderId="482" applyFont="0" applyFill="0" applyBorder="0" applyAlignment="0" applyProtection="0">
      <alignment horizontal="right"/>
    </xf>
    <xf numFmtId="0" fontId="210" fillId="0" borderId="482" applyNumberFormat="0" applyFill="0" applyBorder="0" applyAlignment="0">
      <protection locked="0"/>
    </xf>
    <xf numFmtId="0" fontId="2" fillId="0" borderId="463" applyNumberFormat="0" applyAlignment="0" applyProtection="0"/>
    <xf numFmtId="0" fontId="214" fillId="0" borderId="464" applyNumberFormat="0" applyFont="0" applyFill="0" applyAlignment="0" applyProtection="0"/>
    <xf numFmtId="0" fontId="25" fillId="10" borderId="465" applyNumberFormat="0" applyProtection="0">
      <alignment horizontal="left" vertical="top"/>
    </xf>
    <xf numFmtId="0" fontId="25" fillId="10" borderId="466" applyNumberFormat="0" applyProtection="0">
      <alignment horizontal="left" vertical="top"/>
    </xf>
    <xf numFmtId="0" fontId="25" fillId="10" borderId="467" applyNumberFormat="0" applyProtection="0">
      <alignment horizontal="left" vertical="top"/>
    </xf>
    <xf numFmtId="0" fontId="25" fillId="10" borderId="468" applyNumberFormat="0" applyProtection="0">
      <alignment horizontal="left" vertical="top"/>
    </xf>
    <xf numFmtId="0" fontId="25" fillId="10" borderId="465" applyNumberFormat="0" applyProtection="0">
      <alignment horizontal="left" vertical="top"/>
    </xf>
    <xf numFmtId="0" fontId="25" fillId="10" borderId="466" applyNumberFormat="0" applyProtection="0">
      <alignment horizontal="left" vertical="top"/>
    </xf>
    <xf numFmtId="0" fontId="25" fillId="10" borderId="467" applyNumberFormat="0" applyProtection="0">
      <alignment horizontal="left" vertical="top"/>
    </xf>
    <xf numFmtId="0" fontId="25" fillId="10" borderId="468" applyNumberFormat="0" applyProtection="0">
      <alignment horizontal="left" vertical="top"/>
    </xf>
    <xf numFmtId="254" fontId="240" fillId="0" borderId="482" applyBorder="0" applyProtection="0">
      <alignment horizontal="right" vertical="center"/>
    </xf>
    <xf numFmtId="0" fontId="241" fillId="94" borderId="482" applyBorder="0" applyProtection="0">
      <alignment horizontal="centerContinuous" vertical="center"/>
    </xf>
    <xf numFmtId="246" fontId="249" fillId="0" borderId="482" applyFill="0" applyProtection="0">
      <alignment horizontal="center"/>
    </xf>
    <xf numFmtId="246" fontId="250" fillId="0" borderId="482" applyFill="0" applyProtection="0">
      <alignment horizontal="center"/>
    </xf>
    <xf numFmtId="312" fontId="101" fillId="0" borderId="482" applyBorder="0"/>
    <xf numFmtId="312" fontId="113" fillId="0" borderId="482" applyNumberFormat="0" applyFill="0" applyAlignment="0" applyProtection="0"/>
    <xf numFmtId="312" fontId="75" fillId="0" borderId="459" applyNumberFormat="0" applyFont="0" applyFill="0" applyAlignment="0" applyProtection="0"/>
    <xf numFmtId="312" fontId="12" fillId="0" borderId="482" applyNumberFormat="0" applyFill="0" applyBorder="0" applyAlignment="0" applyProtection="0">
      <alignment horizontal="center"/>
    </xf>
    <xf numFmtId="312" fontId="165" fillId="0" borderId="482" applyFill="0" applyProtection="0">
      <alignment horizontal="center"/>
    </xf>
    <xf numFmtId="312" fontId="242" fillId="0" borderId="482">
      <alignment horizontal="center"/>
    </xf>
    <xf numFmtId="312" fontId="210" fillId="0" borderId="482" applyNumberFormat="0" applyFill="0" applyBorder="0" applyAlignment="0">
      <protection locked="0"/>
    </xf>
    <xf numFmtId="312" fontId="2" fillId="0" borderId="463" applyNumberFormat="0" applyAlignment="0" applyProtection="0"/>
    <xf numFmtId="312" fontId="214" fillId="0" borderId="464" applyNumberFormat="0" applyFont="0" applyFill="0" applyAlignment="0" applyProtection="0"/>
    <xf numFmtId="312" fontId="25" fillId="10" borderId="465" applyNumberFormat="0" applyProtection="0">
      <alignment horizontal="left" vertical="top"/>
    </xf>
    <xf numFmtId="312" fontId="25" fillId="10" borderId="466" applyNumberFormat="0" applyProtection="0">
      <alignment horizontal="left" vertical="top"/>
    </xf>
    <xf numFmtId="312" fontId="25" fillId="10" borderId="467" applyNumberFormat="0" applyProtection="0">
      <alignment horizontal="left" vertical="top"/>
    </xf>
    <xf numFmtId="312" fontId="25" fillId="10" borderId="468" applyNumberFormat="0" applyProtection="0">
      <alignment horizontal="left" vertical="top"/>
    </xf>
    <xf numFmtId="312" fontId="241" fillId="94" borderId="482" applyBorder="0" applyProtection="0">
      <alignment horizontal="centerContinuous" vertical="center"/>
    </xf>
    <xf numFmtId="246" fontId="296" fillId="0" borderId="482" applyFill="0" applyProtection="0">
      <alignment horizontal="center"/>
    </xf>
    <xf numFmtId="312" fontId="101" fillId="0" borderId="482" applyBorder="0"/>
    <xf numFmtId="312" fontId="113" fillId="0" borderId="482" applyNumberFormat="0" applyFill="0" applyAlignment="0" applyProtection="0"/>
    <xf numFmtId="312" fontId="75" fillId="0" borderId="459" applyNumberFormat="0" applyFont="0" applyFill="0" applyAlignment="0" applyProtection="0"/>
    <xf numFmtId="312" fontId="12" fillId="0" borderId="482" applyNumberFormat="0" applyFill="0" applyBorder="0" applyAlignment="0" applyProtection="0">
      <alignment horizontal="center"/>
    </xf>
    <xf numFmtId="312" fontId="165" fillId="0" borderId="482" applyFill="0" applyProtection="0">
      <alignment horizontal="center"/>
    </xf>
    <xf numFmtId="312" fontId="242" fillId="0" borderId="482">
      <alignment horizontal="center"/>
    </xf>
    <xf numFmtId="312" fontId="210" fillId="0" borderId="482" applyNumberFormat="0" applyFill="0" applyBorder="0" applyAlignment="0">
      <protection locked="0"/>
    </xf>
    <xf numFmtId="312" fontId="2" fillId="0" borderId="463" applyNumberFormat="0" applyAlignment="0" applyProtection="0"/>
    <xf numFmtId="312" fontId="214" fillId="0" borderId="464" applyNumberFormat="0" applyFont="0" applyFill="0" applyAlignment="0" applyProtection="0"/>
    <xf numFmtId="312" fontId="25" fillId="10" borderId="465" applyNumberFormat="0" applyProtection="0">
      <alignment horizontal="left" vertical="top"/>
    </xf>
    <xf numFmtId="312" fontId="25" fillId="10" borderId="466" applyNumberFormat="0" applyProtection="0">
      <alignment horizontal="left" vertical="top"/>
    </xf>
    <xf numFmtId="312" fontId="25" fillId="10" borderId="467" applyNumberFormat="0" applyProtection="0">
      <alignment horizontal="left" vertical="top"/>
    </xf>
    <xf numFmtId="312" fontId="25" fillId="10" borderId="468" applyNumberFormat="0" applyProtection="0">
      <alignment horizontal="left" vertical="top"/>
    </xf>
    <xf numFmtId="312" fontId="25" fillId="10" borderId="465" applyNumberFormat="0" applyProtection="0">
      <alignment horizontal="left" vertical="top"/>
    </xf>
    <xf numFmtId="312" fontId="25" fillId="10" borderId="466" applyNumberFormat="0" applyProtection="0">
      <alignment horizontal="left" vertical="top"/>
    </xf>
    <xf numFmtId="312" fontId="25" fillId="10" borderId="467" applyNumberFormat="0" applyProtection="0">
      <alignment horizontal="left" vertical="top"/>
    </xf>
    <xf numFmtId="312" fontId="25" fillId="10" borderId="468" applyNumberFormat="0" applyProtection="0">
      <alignment horizontal="left" vertical="top"/>
    </xf>
    <xf numFmtId="312" fontId="241" fillId="94" borderId="482" applyBorder="0" applyProtection="0">
      <alignment horizontal="centerContinuous" vertical="center"/>
    </xf>
    <xf numFmtId="246" fontId="296" fillId="0" borderId="482" applyFill="0" applyProtection="0">
      <alignment horizontal="center"/>
    </xf>
    <xf numFmtId="246" fontId="250" fillId="0" borderId="482" applyFill="0" applyProtection="0">
      <alignment horizontal="center"/>
    </xf>
    <xf numFmtId="246" fontId="249" fillId="0" borderId="482" applyFill="0" applyProtection="0">
      <alignment horizontal="center"/>
    </xf>
    <xf numFmtId="0" fontId="241" fillId="94" borderId="482" applyBorder="0" applyProtection="0">
      <alignment horizontal="centerContinuous" vertical="center"/>
    </xf>
    <xf numFmtId="254" fontId="240" fillId="0" borderId="482" applyBorder="0" applyProtection="0">
      <alignment horizontal="right" vertical="center"/>
    </xf>
    <xf numFmtId="0" fontId="25" fillId="10" borderId="480" applyNumberFormat="0" applyProtection="0">
      <alignment horizontal="left" vertical="top"/>
    </xf>
    <xf numFmtId="0" fontId="25" fillId="10" borderId="479" applyNumberFormat="0" applyProtection="0">
      <alignment horizontal="left" vertical="top"/>
    </xf>
    <xf numFmtId="0" fontId="25" fillId="10" borderId="478" applyNumberFormat="0" applyProtection="0">
      <alignment horizontal="left" vertical="top"/>
    </xf>
    <xf numFmtId="0" fontId="25" fillId="10" borderId="477" applyNumberFormat="0" applyProtection="0">
      <alignment horizontal="left" vertical="top"/>
    </xf>
    <xf numFmtId="0" fontId="214" fillId="0" borderId="476" applyNumberFormat="0" applyFont="0" applyFill="0" applyAlignment="0" applyProtection="0"/>
    <xf numFmtId="0" fontId="2" fillId="0" borderId="475" applyNumberFormat="0" applyAlignment="0" applyProtection="0"/>
    <xf numFmtId="0" fontId="210" fillId="0" borderId="482" applyNumberFormat="0" applyFill="0" applyBorder="0" applyAlignment="0">
      <protection locked="0"/>
    </xf>
    <xf numFmtId="264" fontId="12" fillId="14" borderId="482" applyFont="0" applyFill="0" applyBorder="0" applyAlignment="0" applyProtection="0">
      <alignment horizontal="right"/>
    </xf>
    <xf numFmtId="0" fontId="166" fillId="0" borderId="482">
      <alignment horizontal="center"/>
    </xf>
    <xf numFmtId="0" fontId="165" fillId="0" borderId="482" applyFill="0" applyProtection="0">
      <alignment horizontal="center"/>
    </xf>
    <xf numFmtId="186" fontId="140" fillId="3" borderId="474">
      <alignment horizontal="center" vertical="center"/>
    </xf>
    <xf numFmtId="186" fontId="146" fillId="3" borderId="473">
      <alignment horizontal="left"/>
    </xf>
    <xf numFmtId="186" fontId="146" fillId="3" borderId="482" applyBorder="0">
      <alignment horizontal="left" vertical="center"/>
    </xf>
    <xf numFmtId="180" fontId="9" fillId="3" borderId="482">
      <alignment horizontal="right" vertical="center"/>
    </xf>
    <xf numFmtId="192" fontId="9" fillId="3" borderId="482">
      <alignment horizontal="right" vertical="center"/>
    </xf>
    <xf numFmtId="248" fontId="46" fillId="0" borderId="482"/>
    <xf numFmtId="0" fontId="78" fillId="14" borderId="472" applyFont="0" applyFill="0" applyBorder="0" applyAlignment="0" applyProtection="0"/>
    <xf numFmtId="0" fontId="12" fillId="0" borderId="482" applyNumberFormat="0" applyFill="0" applyBorder="0" applyAlignment="0" applyProtection="0">
      <alignment horizontal="center"/>
    </xf>
    <xf numFmtId="0" fontId="75" fillId="0" borderId="471" applyNumberFormat="0" applyFont="0" applyFill="0" applyAlignment="0" applyProtection="0"/>
    <xf numFmtId="0" fontId="113" fillId="0" borderId="482" applyNumberFormat="0" applyFill="0" applyAlignment="0" applyProtection="0"/>
    <xf numFmtId="222" fontId="79" fillId="0" borderId="481" applyBorder="0"/>
    <xf numFmtId="0" fontId="101" fillId="0" borderId="482" applyBorder="0"/>
    <xf numFmtId="0" fontId="25" fillId="10" borderId="489" applyNumberFormat="0" applyProtection="0">
      <alignment horizontal="left" vertical="top"/>
    </xf>
    <xf numFmtId="0" fontId="25" fillId="10" borderId="490" applyNumberFormat="0" applyProtection="0">
      <alignment horizontal="left" vertical="top"/>
    </xf>
    <xf numFmtId="0" fontId="25" fillId="10" borderId="491" applyNumberFormat="0" applyProtection="0">
      <alignment horizontal="left" vertical="top"/>
    </xf>
    <xf numFmtId="0" fontId="25" fillId="10" borderId="492" applyNumberFormat="0" applyProtection="0">
      <alignment horizontal="left" vertical="top"/>
    </xf>
    <xf numFmtId="246" fontId="250" fillId="0" borderId="470" applyFill="0" applyProtection="0">
      <alignment horizontal="center"/>
    </xf>
    <xf numFmtId="246" fontId="249" fillId="0" borderId="470" applyFill="0" applyProtection="0">
      <alignment horizontal="center"/>
    </xf>
    <xf numFmtId="0" fontId="241" fillId="94" borderId="470" applyBorder="0" applyProtection="0">
      <alignment horizontal="centerContinuous" vertical="center"/>
    </xf>
    <xf numFmtId="254" fontId="240" fillId="0" borderId="470" applyBorder="0" applyProtection="0">
      <alignment horizontal="right" vertical="center"/>
    </xf>
    <xf numFmtId="0" fontId="210" fillId="0" borderId="470" applyNumberFormat="0" applyFill="0" applyBorder="0" applyAlignment="0">
      <protection locked="0"/>
    </xf>
    <xf numFmtId="264" fontId="12" fillId="14" borderId="470" applyFont="0" applyFill="0" applyBorder="0" applyAlignment="0" applyProtection="0">
      <alignment horizontal="right"/>
    </xf>
    <xf numFmtId="0" fontId="166" fillId="0" borderId="470">
      <alignment horizontal="center"/>
    </xf>
    <xf numFmtId="0" fontId="165" fillId="0" borderId="470" applyFill="0" applyProtection="0">
      <alignment horizontal="center"/>
    </xf>
    <xf numFmtId="186" fontId="146" fillId="3" borderId="470" applyBorder="0">
      <alignment horizontal="left" vertical="center"/>
    </xf>
    <xf numFmtId="180" fontId="9" fillId="3" borderId="470">
      <alignment horizontal="right" vertical="center"/>
    </xf>
    <xf numFmtId="192" fontId="9" fillId="3" borderId="470">
      <alignment horizontal="right" vertical="center"/>
    </xf>
    <xf numFmtId="248" fontId="46" fillId="0" borderId="470"/>
    <xf numFmtId="0" fontId="12" fillId="0" borderId="470" applyNumberFormat="0" applyFill="0" applyBorder="0" applyAlignment="0" applyProtection="0">
      <alignment horizontal="center"/>
    </xf>
    <xf numFmtId="0" fontId="113" fillId="0" borderId="470" applyNumberFormat="0" applyFill="0" applyAlignment="0" applyProtection="0"/>
    <xf numFmtId="222" fontId="79" fillId="0" borderId="469" applyBorder="0"/>
    <xf numFmtId="0" fontId="101" fillId="0" borderId="470" applyBorder="0"/>
    <xf numFmtId="246" fontId="250" fillId="0" borderId="470" applyFill="0" applyProtection="0">
      <alignment horizontal="center"/>
    </xf>
    <xf numFmtId="246" fontId="249" fillId="0" borderId="470" applyFill="0" applyProtection="0">
      <alignment horizontal="center"/>
    </xf>
    <xf numFmtId="0" fontId="241" fillId="94" borderId="470" applyBorder="0" applyProtection="0">
      <alignment horizontal="centerContinuous" vertical="center"/>
    </xf>
    <xf numFmtId="254" fontId="240" fillId="0" borderId="470" applyBorder="0" applyProtection="0">
      <alignment horizontal="right" vertical="center"/>
    </xf>
    <xf numFmtId="0" fontId="210" fillId="0" borderId="470" applyNumberFormat="0" applyFill="0" applyBorder="0" applyAlignment="0">
      <protection locked="0"/>
    </xf>
    <xf numFmtId="264" fontId="12" fillId="14" borderId="470" applyFont="0" applyFill="0" applyBorder="0" applyAlignment="0" applyProtection="0">
      <alignment horizontal="right"/>
    </xf>
    <xf numFmtId="0" fontId="166" fillId="0" borderId="470">
      <alignment horizontal="center"/>
    </xf>
    <xf numFmtId="0" fontId="165" fillId="0" borderId="470" applyFill="0" applyProtection="0">
      <alignment horizontal="center"/>
    </xf>
    <xf numFmtId="186" fontId="146" fillId="3" borderId="470" applyBorder="0">
      <alignment horizontal="left" vertical="center"/>
    </xf>
    <xf numFmtId="180" fontId="9" fillId="3" borderId="470">
      <alignment horizontal="right" vertical="center"/>
    </xf>
    <xf numFmtId="192" fontId="9" fillId="3" borderId="470">
      <alignment horizontal="right" vertical="center"/>
    </xf>
    <xf numFmtId="0" fontId="12" fillId="0" borderId="470" applyNumberFormat="0" applyFill="0" applyBorder="0" applyAlignment="0" applyProtection="0">
      <alignment horizontal="center"/>
    </xf>
    <xf numFmtId="0" fontId="113" fillId="0" borderId="470" applyNumberFormat="0" applyFill="0" applyAlignment="0" applyProtection="0"/>
    <xf numFmtId="222" fontId="79" fillId="0" borderId="469" applyBorder="0"/>
    <xf numFmtId="0" fontId="101" fillId="0" borderId="470" applyBorder="0"/>
    <xf numFmtId="248" fontId="46" fillId="0" borderId="470"/>
    <xf numFmtId="246" fontId="250" fillId="0" borderId="470" applyFill="0" applyProtection="0">
      <alignment horizontal="center"/>
    </xf>
    <xf numFmtId="246" fontId="249" fillId="0" borderId="470" applyFill="0" applyProtection="0">
      <alignment horizontal="center"/>
    </xf>
    <xf numFmtId="0" fontId="241" fillId="94" borderId="470" applyBorder="0" applyProtection="0">
      <alignment horizontal="centerContinuous" vertical="center"/>
    </xf>
    <xf numFmtId="254" fontId="240" fillId="0" borderId="470" applyBorder="0" applyProtection="0">
      <alignment horizontal="right" vertical="center"/>
    </xf>
    <xf numFmtId="0" fontId="210" fillId="0" borderId="470" applyNumberFormat="0" applyFill="0" applyBorder="0" applyAlignment="0">
      <protection locked="0"/>
    </xf>
    <xf numFmtId="264" fontId="12" fillId="14" borderId="470" applyFont="0" applyFill="0" applyBorder="0" applyAlignment="0" applyProtection="0">
      <alignment horizontal="right"/>
    </xf>
    <xf numFmtId="0" fontId="166" fillId="0" borderId="470">
      <alignment horizontal="center"/>
    </xf>
    <xf numFmtId="0" fontId="165" fillId="0" borderId="470" applyFill="0" applyProtection="0">
      <alignment horizontal="center"/>
    </xf>
    <xf numFmtId="186" fontId="146" fillId="3" borderId="470" applyBorder="0">
      <alignment horizontal="left" vertical="center"/>
    </xf>
    <xf numFmtId="180" fontId="9" fillId="3" borderId="470">
      <alignment horizontal="right" vertical="center"/>
    </xf>
    <xf numFmtId="192" fontId="9" fillId="3" borderId="470">
      <alignment horizontal="right" vertical="center"/>
    </xf>
    <xf numFmtId="248" fontId="46" fillId="0" borderId="470"/>
    <xf numFmtId="0" fontId="12" fillId="0" borderId="470" applyNumberFormat="0" applyFill="0" applyBorder="0" applyAlignment="0" applyProtection="0">
      <alignment horizontal="center"/>
    </xf>
    <xf numFmtId="0" fontId="113" fillId="0" borderId="470" applyNumberFormat="0" applyFill="0" applyAlignment="0" applyProtection="0"/>
    <xf numFmtId="222" fontId="79" fillId="0" borderId="469" applyBorder="0"/>
    <xf numFmtId="0" fontId="101" fillId="0" borderId="470" applyBorder="0"/>
    <xf numFmtId="0" fontId="113" fillId="0" borderId="1537" applyNumberFormat="0" applyFill="0" applyAlignment="0" applyProtection="0"/>
    <xf numFmtId="0" fontId="101" fillId="0" borderId="1537" applyBorder="0"/>
    <xf numFmtId="0" fontId="214" fillId="0" borderId="1543" applyNumberFormat="0" applyFont="0" applyFill="0" applyAlignment="0" applyProtection="0"/>
    <xf numFmtId="222" fontId="79" fillId="0" borderId="1548" applyBorder="0"/>
    <xf numFmtId="0" fontId="12" fillId="0" borderId="0"/>
    <xf numFmtId="0" fontId="25" fillId="10" borderId="1544" applyNumberFormat="0" applyProtection="0">
      <alignment horizontal="left" vertical="top"/>
    </xf>
    <xf numFmtId="186" fontId="146" fillId="3" borderId="1540">
      <alignment horizontal="left"/>
    </xf>
    <xf numFmtId="0" fontId="12" fillId="0" borderId="1537" applyNumberFormat="0" applyFill="0" applyBorder="0" applyAlignment="0" applyProtection="0">
      <alignment horizontal="center"/>
    </xf>
    <xf numFmtId="190" fontId="25" fillId="10" borderId="548" applyNumberFormat="0" applyProtection="0">
      <alignment horizontal="left" vertical="top"/>
    </xf>
    <xf numFmtId="190" fontId="25" fillId="10" borderId="549" applyNumberFormat="0" applyProtection="0">
      <alignment horizontal="left" vertical="top"/>
    </xf>
    <xf numFmtId="190" fontId="25" fillId="10" borderId="550" applyNumberFormat="0" applyProtection="0">
      <alignment horizontal="left" vertical="top"/>
    </xf>
    <xf numFmtId="190" fontId="25" fillId="10" borderId="551" applyNumberFormat="0" applyProtection="0">
      <alignment horizontal="left" vertical="top"/>
    </xf>
    <xf numFmtId="190" fontId="241" fillId="94" borderId="565" applyBorder="0" applyProtection="0">
      <alignment horizontal="centerContinuous" vertical="center"/>
    </xf>
    <xf numFmtId="0" fontId="1" fillId="25" borderId="35" applyNumberFormat="0" applyFont="0" applyAlignment="0" applyProtection="0"/>
    <xf numFmtId="43" fontId="14" fillId="0" borderId="0" applyFont="0" applyFill="0" applyBorder="0" applyAlignment="0" applyProtection="0"/>
    <xf numFmtId="0" fontId="303" fillId="42" borderId="0" applyNumberFormat="0" applyBorder="0" applyAlignment="0" applyProtection="0"/>
    <xf numFmtId="0" fontId="72" fillId="34" borderId="0" applyNumberFormat="0" applyBorder="0" applyAlignment="0" applyProtection="0"/>
    <xf numFmtId="0" fontId="303" fillId="26" borderId="0" applyNumberFormat="0" applyBorder="0" applyAlignment="0" applyProtection="0"/>
    <xf numFmtId="0" fontId="303" fillId="41" borderId="0" applyNumberFormat="0" applyBorder="0" applyAlignment="0" applyProtection="0"/>
    <xf numFmtId="0" fontId="14" fillId="48" borderId="0" applyNumberFormat="0" applyBorder="0" applyAlignment="0" applyProtection="0"/>
    <xf numFmtId="0" fontId="14" fillId="32" borderId="0" applyNumberFormat="0" applyBorder="0" applyAlignment="0" applyProtection="0"/>
    <xf numFmtId="0" fontId="1" fillId="31" borderId="0" applyNumberFormat="0" applyBorder="0" applyAlignment="0" applyProtection="0"/>
    <xf numFmtId="0" fontId="12" fillId="0" borderId="0">
      <alignment horizontal="left" wrapText="1"/>
    </xf>
    <xf numFmtId="0" fontId="12" fillId="0" borderId="0">
      <alignment horizontal="left" wrapText="1"/>
    </xf>
    <xf numFmtId="222" fontId="79" fillId="0" borderId="564" applyBorder="0"/>
    <xf numFmtId="0" fontId="14" fillId="25" borderId="35" applyNumberFormat="0" applyFont="0" applyAlignment="0" applyProtection="0"/>
    <xf numFmtId="0" fontId="101" fillId="0" borderId="565" applyBorder="0"/>
    <xf numFmtId="222" fontId="79" fillId="0" borderId="564" applyBorder="0"/>
    <xf numFmtId="0" fontId="113" fillId="0" borderId="565" applyNumberFormat="0" applyFill="0" applyAlignment="0" applyProtection="0"/>
    <xf numFmtId="0" fontId="75" fillId="0" borderId="542" applyNumberFormat="0" applyFont="0" applyFill="0" applyAlignment="0" applyProtection="0"/>
    <xf numFmtId="0" fontId="12" fillId="0" borderId="565" applyNumberFormat="0" applyFill="0" applyBorder="0" applyAlignment="0" applyProtection="0">
      <alignment horizontal="center"/>
    </xf>
    <xf numFmtId="248" fontId="46" fillId="0" borderId="565"/>
    <xf numFmtId="192" fontId="9" fillId="3" borderId="565">
      <alignment horizontal="right" vertical="center"/>
    </xf>
    <xf numFmtId="180" fontId="9" fillId="3" borderId="565">
      <alignment horizontal="right" vertical="center"/>
    </xf>
    <xf numFmtId="186" fontId="146" fillId="3" borderId="565" applyBorder="0">
      <alignment horizontal="left" vertical="center"/>
    </xf>
    <xf numFmtId="186" fontId="146" fillId="3" borderId="544">
      <alignment horizontal="left"/>
    </xf>
    <xf numFmtId="186" fontId="140" fillId="3" borderId="545">
      <alignment horizontal="center" vertical="center"/>
    </xf>
    <xf numFmtId="0" fontId="165" fillId="0" borderId="565" applyFill="0" applyProtection="0">
      <alignment horizontal="center"/>
    </xf>
    <xf numFmtId="0" fontId="166" fillId="0" borderId="565">
      <alignment horizontal="center"/>
    </xf>
    <xf numFmtId="264" fontId="12" fillId="14" borderId="565" applyFont="0" applyFill="0" applyBorder="0" applyAlignment="0" applyProtection="0">
      <alignment horizontal="right"/>
    </xf>
    <xf numFmtId="0" fontId="210" fillId="0" borderId="565" applyNumberFormat="0" applyFill="0" applyBorder="0" applyAlignment="0">
      <protection locked="0"/>
    </xf>
    <xf numFmtId="0" fontId="2" fillId="0" borderId="546" applyNumberFormat="0" applyAlignment="0" applyProtection="0"/>
    <xf numFmtId="0" fontId="214" fillId="0" borderId="547" applyNumberFormat="0" applyFont="0" applyFill="0" applyAlignment="0" applyProtection="0"/>
    <xf numFmtId="0" fontId="25" fillId="10" borderId="548" applyNumberFormat="0" applyProtection="0">
      <alignment horizontal="left" vertical="top"/>
    </xf>
    <xf numFmtId="0" fontId="25" fillId="10" borderId="549" applyNumberFormat="0" applyProtection="0">
      <alignment horizontal="left" vertical="top"/>
    </xf>
    <xf numFmtId="0" fontId="25" fillId="10" borderId="550" applyNumberFormat="0" applyProtection="0">
      <alignment horizontal="left" vertical="top"/>
    </xf>
    <xf numFmtId="0" fontId="25" fillId="10" borderId="551" applyNumberFormat="0" applyProtection="0">
      <alignment horizontal="left" vertical="top"/>
    </xf>
    <xf numFmtId="0" fontId="25" fillId="10" borderId="548" applyNumberFormat="0" applyProtection="0">
      <alignment horizontal="left" vertical="top"/>
    </xf>
    <xf numFmtId="0" fontId="25" fillId="10" borderId="549" applyNumberFormat="0" applyProtection="0">
      <alignment horizontal="left" vertical="top"/>
    </xf>
    <xf numFmtId="0" fontId="25" fillId="10" borderId="550" applyNumberFormat="0" applyProtection="0">
      <alignment horizontal="left" vertical="top"/>
    </xf>
    <xf numFmtId="0" fontId="25" fillId="10" borderId="551" applyNumberFormat="0" applyProtection="0">
      <alignment horizontal="left" vertical="top"/>
    </xf>
    <xf numFmtId="254" fontId="240" fillId="0" borderId="565" applyBorder="0" applyProtection="0">
      <alignment horizontal="right" vertical="center"/>
    </xf>
    <xf numFmtId="0" fontId="241" fillId="94" borderId="565" applyBorder="0" applyProtection="0">
      <alignment horizontal="centerContinuous" vertical="center"/>
    </xf>
    <xf numFmtId="246" fontId="249" fillId="0" borderId="565" applyFill="0" applyProtection="0">
      <alignment horizontal="center"/>
    </xf>
    <xf numFmtId="246" fontId="250" fillId="0" borderId="565" applyFill="0" applyProtection="0">
      <alignment horizontal="center"/>
    </xf>
    <xf numFmtId="0" fontId="14" fillId="25" borderId="35" applyNumberFormat="0" applyFont="0" applyAlignment="0" applyProtection="0"/>
    <xf numFmtId="0" fontId="14" fillId="25" borderId="35" applyNumberFormat="0" applyFont="0" applyAlignment="0" applyProtection="0"/>
    <xf numFmtId="9" fontId="48" fillId="0" borderId="0" applyFont="0" applyFill="0" applyBorder="0" applyAlignment="0" applyProtection="0"/>
    <xf numFmtId="312" fontId="101" fillId="0" borderId="565" applyBorder="0"/>
    <xf numFmtId="312" fontId="113" fillId="0" borderId="565" applyNumberFormat="0" applyFill="0" applyAlignment="0" applyProtection="0"/>
    <xf numFmtId="312" fontId="75" fillId="0" borderId="542" applyNumberFormat="0" applyFont="0" applyFill="0" applyAlignment="0" applyProtection="0"/>
    <xf numFmtId="312" fontId="12" fillId="0" borderId="565" applyNumberFormat="0" applyFill="0" applyBorder="0" applyAlignment="0" applyProtection="0">
      <alignment horizontal="center"/>
    </xf>
    <xf numFmtId="312" fontId="78" fillId="14" borderId="363" applyFont="0" applyFill="0" applyBorder="0" applyAlignment="0" applyProtection="0"/>
    <xf numFmtId="312" fontId="165" fillId="0" borderId="565" applyFill="0" applyProtection="0">
      <alignment horizontal="center"/>
    </xf>
    <xf numFmtId="312" fontId="242" fillId="0" borderId="565">
      <alignment horizontal="center"/>
    </xf>
    <xf numFmtId="222" fontId="79" fillId="0" borderId="1560" applyBorder="0"/>
    <xf numFmtId="0" fontId="272" fillId="0" borderId="0" applyNumberFormat="0" applyFill="0" applyBorder="0" applyAlignment="0" applyProtection="0"/>
    <xf numFmtId="192" fontId="9" fillId="3" borderId="1537">
      <alignment horizontal="right" vertical="center"/>
    </xf>
    <xf numFmtId="312" fontId="210" fillId="0" borderId="565" applyNumberFormat="0" applyFill="0" applyBorder="0" applyAlignment="0">
      <protection locked="0"/>
    </xf>
    <xf numFmtId="312" fontId="2" fillId="0" borderId="546" applyNumberFormat="0" applyAlignment="0" applyProtection="0"/>
    <xf numFmtId="312" fontId="214" fillId="0" borderId="547" applyNumberFormat="0" applyFont="0" applyFill="0" applyAlignment="0" applyProtection="0"/>
    <xf numFmtId="0" fontId="25" fillId="10" borderId="4805" applyNumberFormat="0" applyProtection="0">
      <alignment horizontal="left" vertical="top"/>
    </xf>
    <xf numFmtId="186" fontId="146" fillId="3" borderId="2066">
      <alignment horizontal="left"/>
    </xf>
    <xf numFmtId="0" fontId="12" fillId="0" borderId="0"/>
    <xf numFmtId="180" fontId="9" fillId="3" borderId="1381">
      <alignment horizontal="right" vertical="center"/>
    </xf>
    <xf numFmtId="0" fontId="113" fillId="0" borderId="1369" applyNumberFormat="0" applyFill="0" applyAlignment="0" applyProtection="0"/>
    <xf numFmtId="186" fontId="146" fillId="3" borderId="1573" applyBorder="0">
      <alignment horizontal="left" vertical="center"/>
    </xf>
    <xf numFmtId="0" fontId="25" fillId="10" borderId="1544" applyNumberFormat="0" applyProtection="0">
      <alignment horizontal="left" vertical="top"/>
    </xf>
    <xf numFmtId="254" fontId="240" fillId="0" borderId="1537" applyBorder="0" applyProtection="0">
      <alignment horizontal="right" vertical="center"/>
    </xf>
    <xf numFmtId="0" fontId="214" fillId="0" borderId="1543" applyNumberFormat="0" applyFont="0" applyFill="0" applyAlignment="0" applyProtection="0"/>
    <xf numFmtId="0" fontId="314" fillId="0" borderId="33" applyNumberFormat="0" applyFill="0" applyAlignment="0" applyProtection="0"/>
    <xf numFmtId="0" fontId="25" fillId="10" borderId="1544" applyNumberFormat="0" applyProtection="0">
      <alignment horizontal="left" vertical="top"/>
    </xf>
    <xf numFmtId="0" fontId="78" fillId="14" borderId="1539" applyFont="0" applyFill="0" applyBorder="0" applyAlignment="0" applyProtection="0"/>
    <xf numFmtId="0" fontId="25" fillId="10" borderId="1547" applyNumberFormat="0" applyProtection="0">
      <alignment horizontal="left" vertical="top"/>
    </xf>
    <xf numFmtId="0" fontId="2" fillId="0" borderId="1542" applyNumberFormat="0" applyAlignment="0" applyProtection="0"/>
    <xf numFmtId="0" fontId="25" fillId="10" borderId="1547" applyNumberFormat="0" applyProtection="0">
      <alignment horizontal="left" vertical="top"/>
    </xf>
    <xf numFmtId="0" fontId="48" fillId="0" borderId="0">
      <alignment vertical="top"/>
    </xf>
    <xf numFmtId="312" fontId="25" fillId="10" borderId="548" applyNumberFormat="0" applyProtection="0">
      <alignment horizontal="left" vertical="top"/>
    </xf>
    <xf numFmtId="312" fontId="25" fillId="10" borderId="549" applyNumberFormat="0" applyProtection="0">
      <alignment horizontal="left" vertical="top"/>
    </xf>
    <xf numFmtId="312" fontId="25" fillId="10" borderId="550" applyNumberFormat="0" applyProtection="0">
      <alignment horizontal="left" vertical="top"/>
    </xf>
    <xf numFmtId="312" fontId="25" fillId="10" borderId="551" applyNumberFormat="0" applyProtection="0">
      <alignment horizontal="left" vertical="top"/>
    </xf>
    <xf numFmtId="312" fontId="241" fillId="94" borderId="565" applyBorder="0" applyProtection="0">
      <alignment horizontal="centerContinuous" vertical="center"/>
    </xf>
    <xf numFmtId="246" fontId="296" fillId="0" borderId="565" applyFill="0" applyProtection="0">
      <alignment horizontal="center"/>
    </xf>
    <xf numFmtId="0" fontId="14" fillId="25" borderId="35" applyNumberFormat="0" applyFont="0" applyAlignment="0" applyProtection="0"/>
    <xf numFmtId="43" fontId="14" fillId="0" borderId="0" applyFont="0" applyFill="0" applyBorder="0" applyAlignment="0" applyProtection="0"/>
    <xf numFmtId="0" fontId="72" fillId="38" borderId="0" applyNumberFormat="0" applyBorder="0" applyAlignment="0" applyProtection="0"/>
    <xf numFmtId="0" fontId="303" fillId="34" borderId="0" applyNumberFormat="0" applyBorder="0" applyAlignment="0" applyProtection="0"/>
    <xf numFmtId="0" fontId="1" fillId="44" borderId="0" applyNumberFormat="0" applyBorder="0" applyAlignment="0" applyProtection="0"/>
    <xf numFmtId="0" fontId="1" fillId="28" borderId="0" applyNumberFormat="0" applyBorder="0" applyAlignment="0" applyProtection="0"/>
    <xf numFmtId="0" fontId="1" fillId="35" borderId="0" applyNumberFormat="0" applyBorder="0" applyAlignment="0" applyProtection="0"/>
    <xf numFmtId="0" fontId="14" fillId="31" borderId="0" applyNumberFormat="0" applyBorder="0" applyAlignment="0" applyProtection="0"/>
    <xf numFmtId="0" fontId="12" fillId="0" borderId="0">
      <alignment horizontal="left" wrapText="1"/>
    </xf>
    <xf numFmtId="0" fontId="48" fillId="0" borderId="0">
      <alignment vertical="top"/>
    </xf>
    <xf numFmtId="312" fontId="101" fillId="0" borderId="565" applyBorder="0"/>
    <xf numFmtId="312" fontId="113" fillId="0" borderId="565" applyNumberFormat="0" applyFill="0" applyAlignment="0" applyProtection="0"/>
    <xf numFmtId="312" fontId="75" fillId="0" borderId="542" applyNumberFormat="0" applyFont="0" applyFill="0" applyAlignment="0" applyProtection="0"/>
    <xf numFmtId="312" fontId="12" fillId="0" borderId="565" applyNumberFormat="0" applyFill="0" applyBorder="0" applyAlignment="0" applyProtection="0">
      <alignment horizontal="center"/>
    </xf>
    <xf numFmtId="312" fontId="78" fillId="14" borderId="363" applyFont="0" applyFill="0" applyBorder="0" applyAlignment="0" applyProtection="0"/>
    <xf numFmtId="312" fontId="165" fillId="0" borderId="565" applyFill="0" applyProtection="0">
      <alignment horizontal="center"/>
    </xf>
    <xf numFmtId="312" fontId="242" fillId="0" borderId="565">
      <alignment horizontal="center"/>
    </xf>
    <xf numFmtId="312" fontId="210" fillId="0" borderId="565" applyNumberFormat="0" applyFill="0" applyBorder="0" applyAlignment="0">
      <protection locked="0"/>
    </xf>
    <xf numFmtId="312" fontId="2" fillId="0" borderId="546" applyNumberFormat="0" applyAlignment="0" applyProtection="0"/>
    <xf numFmtId="312" fontId="214" fillId="0" borderId="547" applyNumberFormat="0" applyFont="0" applyFill="0" applyAlignment="0" applyProtection="0"/>
    <xf numFmtId="312" fontId="25" fillId="10" borderId="548" applyNumberFormat="0" applyProtection="0">
      <alignment horizontal="left" vertical="top"/>
    </xf>
    <xf numFmtId="312" fontId="25" fillId="10" borderId="549" applyNumberFormat="0" applyProtection="0">
      <alignment horizontal="left" vertical="top"/>
    </xf>
    <xf numFmtId="312" fontId="25" fillId="10" borderId="550" applyNumberFormat="0" applyProtection="0">
      <alignment horizontal="left" vertical="top"/>
    </xf>
    <xf numFmtId="312" fontId="25" fillId="10" borderId="551" applyNumberFormat="0" applyProtection="0">
      <alignment horizontal="left" vertical="top"/>
    </xf>
    <xf numFmtId="312" fontId="25" fillId="10" borderId="548" applyNumberFormat="0" applyProtection="0">
      <alignment horizontal="left" vertical="top"/>
    </xf>
    <xf numFmtId="312" fontId="25" fillId="10" borderId="549" applyNumberFormat="0" applyProtection="0">
      <alignment horizontal="left" vertical="top"/>
    </xf>
    <xf numFmtId="312" fontId="25" fillId="10" borderId="550" applyNumberFormat="0" applyProtection="0">
      <alignment horizontal="left" vertical="top"/>
    </xf>
    <xf numFmtId="312" fontId="25" fillId="10" borderId="551" applyNumberFormat="0" applyProtection="0">
      <alignment horizontal="left" vertical="top"/>
    </xf>
    <xf numFmtId="312" fontId="241" fillId="94" borderId="565" applyBorder="0" applyProtection="0">
      <alignment horizontal="centerContinuous" vertical="center"/>
    </xf>
    <xf numFmtId="246" fontId="296" fillId="0" borderId="565" applyFill="0" applyProtection="0">
      <alignment horizontal="center"/>
    </xf>
    <xf numFmtId="264" fontId="12" fillId="14" borderId="1561" applyFont="0" applyFill="0" applyBorder="0" applyAlignment="0" applyProtection="0">
      <alignment horizontal="right"/>
    </xf>
    <xf numFmtId="0" fontId="101" fillId="0" borderId="1585" applyBorder="0"/>
    <xf numFmtId="0" fontId="14" fillId="27" borderId="0" applyNumberFormat="0" applyBorder="0" applyAlignment="0" applyProtection="0"/>
    <xf numFmtId="0" fontId="14" fillId="28" borderId="0" applyNumberFormat="0" applyBorder="0" applyAlignment="0" applyProtection="0"/>
    <xf numFmtId="0" fontId="14" fillId="44" borderId="0" applyNumberFormat="0" applyBorder="0" applyAlignment="0" applyProtection="0"/>
    <xf numFmtId="0" fontId="303" fillId="37" borderId="0" applyNumberFormat="0" applyBorder="0" applyAlignment="0" applyProtection="0"/>
    <xf numFmtId="246" fontId="250" fillId="0" borderId="565" applyFill="0" applyProtection="0">
      <alignment horizontal="center"/>
    </xf>
    <xf numFmtId="246" fontId="249" fillId="0" borderId="565" applyFill="0" applyProtection="0">
      <alignment horizontal="center"/>
    </xf>
    <xf numFmtId="0" fontId="241" fillId="94" borderId="565" applyBorder="0" applyProtection="0">
      <alignment horizontal="centerContinuous" vertical="center"/>
    </xf>
    <xf numFmtId="254" fontId="240" fillId="0" borderId="565" applyBorder="0" applyProtection="0">
      <alignment horizontal="right" vertical="center"/>
    </xf>
    <xf numFmtId="0" fontId="25" fillId="10" borderId="503" applyNumberFormat="0" applyProtection="0">
      <alignment horizontal="left" vertical="top"/>
    </xf>
    <xf numFmtId="0" fontId="25" fillId="10" borderId="502" applyNumberFormat="0" applyProtection="0">
      <alignment horizontal="left" vertical="top"/>
    </xf>
    <xf numFmtId="0" fontId="25" fillId="10" borderId="501" applyNumberFormat="0" applyProtection="0">
      <alignment horizontal="left" vertical="top"/>
    </xf>
    <xf numFmtId="0" fontId="25" fillId="10" borderId="500" applyNumberFormat="0" applyProtection="0">
      <alignment horizontal="left" vertical="top"/>
    </xf>
    <xf numFmtId="0" fontId="166" fillId="0" borderId="1537">
      <alignment horizontal="center"/>
    </xf>
    <xf numFmtId="0" fontId="2" fillId="0" borderId="1542" applyNumberFormat="0" applyAlignment="0" applyProtection="0"/>
    <xf numFmtId="222" fontId="79" fillId="0" borderId="1548" applyBorder="0"/>
    <xf numFmtId="0" fontId="25" fillId="10" borderId="1450" applyNumberFormat="0" applyProtection="0">
      <alignment horizontal="left" vertical="top"/>
    </xf>
    <xf numFmtId="0" fontId="113" fillId="0" borderId="1393" applyNumberFormat="0" applyFill="0" applyAlignment="0" applyProtection="0"/>
    <xf numFmtId="0" fontId="25" fillId="10" borderId="2152" applyNumberFormat="0" applyProtection="0">
      <alignment horizontal="left" vertical="top"/>
    </xf>
    <xf numFmtId="222" fontId="79" fillId="0" borderId="2155" applyBorder="0"/>
    <xf numFmtId="0" fontId="313" fillId="22" borderId="31" applyNumberFormat="0" applyAlignment="0" applyProtection="0"/>
    <xf numFmtId="0" fontId="25" fillId="10" borderId="4727" applyNumberFormat="0" applyProtection="0">
      <alignment horizontal="left" vertical="top"/>
    </xf>
    <xf numFmtId="246" fontId="249" fillId="0" borderId="4746" applyFill="0" applyProtection="0">
      <alignment horizontal="center"/>
    </xf>
    <xf numFmtId="186" fontId="140" fillId="3" borderId="4754">
      <alignment horizontal="center" vertical="center"/>
    </xf>
    <xf numFmtId="312" fontId="25" fillId="10" borderId="2086" applyNumberFormat="0" applyProtection="0">
      <alignment horizontal="left" vertical="top"/>
    </xf>
    <xf numFmtId="0" fontId="272" fillId="0" borderId="0" applyNumberFormat="0" applyFill="0" applyBorder="0" applyAlignment="0" applyProtection="0"/>
    <xf numFmtId="0" fontId="214" fillId="0" borderId="499" applyNumberFormat="0" applyFont="0" applyFill="0" applyAlignment="0" applyProtection="0"/>
    <xf numFmtId="0" fontId="2" fillId="0" borderId="498" applyNumberFormat="0" applyAlignment="0" applyProtection="0"/>
    <xf numFmtId="0" fontId="210" fillId="0" borderId="565" applyNumberFormat="0" applyFill="0" applyBorder="0" applyAlignment="0">
      <protection locked="0"/>
    </xf>
    <xf numFmtId="186" fontId="146" fillId="3" borderId="1561" applyBorder="0">
      <alignment horizontal="left" vertical="center"/>
    </xf>
    <xf numFmtId="264" fontId="12" fillId="14" borderId="565" applyFont="0" applyFill="0" applyBorder="0" applyAlignment="0" applyProtection="0">
      <alignment horizontal="right"/>
    </xf>
    <xf numFmtId="0" fontId="48" fillId="0" borderId="0">
      <alignment vertical="top"/>
    </xf>
    <xf numFmtId="0" fontId="166" fillId="0" borderId="565">
      <alignment horizontal="center"/>
    </xf>
    <xf numFmtId="0" fontId="165" fillId="0" borderId="565" applyFill="0" applyProtection="0">
      <alignment horizontal="center"/>
    </xf>
    <xf numFmtId="186" fontId="140" fillId="3" borderId="497">
      <alignment horizontal="center" vertical="center"/>
    </xf>
    <xf numFmtId="186" fontId="146" fillId="3" borderId="496">
      <alignment horizontal="left"/>
    </xf>
    <xf numFmtId="186" fontId="146" fillId="3" borderId="565" applyBorder="0">
      <alignment horizontal="left" vertical="center"/>
    </xf>
    <xf numFmtId="180" fontId="9" fillId="3" borderId="565">
      <alignment horizontal="right" vertical="center"/>
    </xf>
    <xf numFmtId="192" fontId="9" fillId="3" borderId="565">
      <alignment horizontal="right" vertical="center"/>
    </xf>
    <xf numFmtId="248" fontId="46" fillId="0" borderId="565"/>
    <xf numFmtId="0" fontId="78" fillId="14" borderId="495" applyFont="0" applyFill="0" applyBorder="0" applyAlignment="0" applyProtection="0"/>
    <xf numFmtId="9" fontId="48" fillId="0" borderId="0" applyFont="0" applyFill="0" applyBorder="0" applyAlignment="0" applyProtection="0"/>
    <xf numFmtId="0" fontId="12" fillId="0" borderId="565" applyNumberFormat="0" applyFill="0" applyBorder="0" applyAlignment="0" applyProtection="0">
      <alignment horizontal="center"/>
    </xf>
    <xf numFmtId="0" fontId="75" fillId="0" borderId="494" applyNumberFormat="0" applyFont="0" applyFill="0" applyAlignment="0" applyProtection="0"/>
    <xf numFmtId="0" fontId="113" fillId="0" borderId="565" applyNumberFormat="0" applyFill="0" applyAlignment="0" applyProtection="0"/>
    <xf numFmtId="222" fontId="79" fillId="0" borderId="564" applyBorder="0"/>
    <xf numFmtId="0" fontId="101" fillId="0" borderId="565" applyBorder="0"/>
    <xf numFmtId="0" fontId="272" fillId="0" borderId="0" applyNumberFormat="0" applyFill="0" applyBorder="0" applyAlignment="0" applyProtection="0"/>
    <xf numFmtId="180" fontId="9" fillId="3" borderId="4810">
      <alignment horizontal="right" vertical="center"/>
    </xf>
    <xf numFmtId="0" fontId="48" fillId="0" borderId="0">
      <alignment vertical="top"/>
    </xf>
    <xf numFmtId="0" fontId="288" fillId="0" borderId="4750" applyNumberFormat="0" applyFill="0" applyAlignment="0" applyProtection="0"/>
    <xf numFmtId="0" fontId="314" fillId="0" borderId="33" applyNumberFormat="0" applyFill="0" applyAlignment="0" applyProtection="0"/>
    <xf numFmtId="0" fontId="313" fillId="22" borderId="31" applyNumberFormat="0" applyAlignment="0" applyProtection="0"/>
    <xf numFmtId="0" fontId="25" fillId="10" borderId="4736" applyNumberFormat="0" applyProtection="0">
      <alignment horizontal="left" vertical="top"/>
    </xf>
    <xf numFmtId="43" fontId="48" fillId="0" borderId="0" applyFont="0" applyFill="0" applyBorder="0" applyAlignment="0" applyProtection="0"/>
    <xf numFmtId="0" fontId="166" fillId="0" borderId="1369">
      <alignment horizontal="center"/>
    </xf>
    <xf numFmtId="0" fontId="25" fillId="10" borderId="705" applyNumberFormat="0" applyProtection="0">
      <alignment horizontal="left" vertical="top"/>
    </xf>
    <xf numFmtId="0" fontId="75" fillId="0" borderId="1370" applyNumberFormat="0" applyFont="0" applyFill="0" applyAlignment="0" applyProtection="0"/>
    <xf numFmtId="254" fontId="240" fillId="0" borderId="1549" applyBorder="0" applyProtection="0">
      <alignment horizontal="right" vertical="center"/>
    </xf>
    <xf numFmtId="0" fontId="25" fillId="10" borderId="572" applyNumberFormat="0" applyProtection="0">
      <alignment horizontal="left" vertical="top"/>
    </xf>
    <xf numFmtId="0" fontId="25" fillId="10" borderId="573" applyNumberFormat="0" applyProtection="0">
      <alignment horizontal="left" vertical="top"/>
    </xf>
    <xf numFmtId="0" fontId="25" fillId="10" borderId="574" applyNumberFormat="0" applyProtection="0">
      <alignment horizontal="left" vertical="top"/>
    </xf>
    <xf numFmtId="0" fontId="25" fillId="10" borderId="575" applyNumberFormat="0" applyProtection="0">
      <alignment horizontal="left" vertical="top"/>
    </xf>
    <xf numFmtId="0" fontId="12" fillId="0" borderId="0">
      <alignment horizontal="left" wrapText="1"/>
    </xf>
    <xf numFmtId="0" fontId="48" fillId="0" borderId="0">
      <alignment vertical="top"/>
    </xf>
    <xf numFmtId="0" fontId="1" fillId="40" borderId="0" applyNumberFormat="0" applyBorder="0" applyAlignment="0" applyProtection="0"/>
    <xf numFmtId="0" fontId="1" fillId="47" borderId="0" applyNumberFormat="0" applyBorder="0" applyAlignment="0" applyProtection="0"/>
    <xf numFmtId="0" fontId="12" fillId="0" borderId="0"/>
    <xf numFmtId="246" fontId="250" fillId="0" borderId="505" applyFill="0" applyProtection="0">
      <alignment horizontal="center"/>
    </xf>
    <xf numFmtId="246" fontId="249" fillId="0" borderId="505" applyFill="0" applyProtection="0">
      <alignment horizontal="center"/>
    </xf>
    <xf numFmtId="0" fontId="241" fillId="94" borderId="505" applyBorder="0" applyProtection="0">
      <alignment horizontal="centerContinuous" vertical="center"/>
    </xf>
    <xf numFmtId="254" fontId="240" fillId="0" borderId="505" applyBorder="0" applyProtection="0">
      <alignment horizontal="right" vertical="center"/>
    </xf>
    <xf numFmtId="248" fontId="46" fillId="0" borderId="1561"/>
    <xf numFmtId="0" fontId="210" fillId="0" borderId="505" applyNumberFormat="0" applyFill="0" applyBorder="0" applyAlignment="0">
      <protection locked="0"/>
    </xf>
    <xf numFmtId="264" fontId="12" fillId="14" borderId="505" applyFont="0" applyFill="0" applyBorder="0" applyAlignment="0" applyProtection="0">
      <alignment horizontal="right"/>
    </xf>
    <xf numFmtId="0" fontId="166" fillId="0" borderId="505">
      <alignment horizontal="center"/>
    </xf>
    <xf numFmtId="0" fontId="165" fillId="0" borderId="505" applyFill="0" applyProtection="0">
      <alignment horizontal="center"/>
    </xf>
    <xf numFmtId="186" fontId="146" fillId="3" borderId="505" applyBorder="0">
      <alignment horizontal="left" vertical="center"/>
    </xf>
    <xf numFmtId="180" fontId="9" fillId="3" borderId="505">
      <alignment horizontal="right" vertical="center"/>
    </xf>
    <xf numFmtId="192" fontId="9" fillId="3" borderId="505">
      <alignment horizontal="right" vertical="center"/>
    </xf>
    <xf numFmtId="248" fontId="46" fillId="0" borderId="505"/>
    <xf numFmtId="0" fontId="12" fillId="0" borderId="505" applyNumberFormat="0" applyFill="0" applyBorder="0" applyAlignment="0" applyProtection="0">
      <alignment horizontal="center"/>
    </xf>
    <xf numFmtId="0" fontId="113" fillId="0" borderId="505" applyNumberFormat="0" applyFill="0" applyAlignment="0" applyProtection="0"/>
    <xf numFmtId="222" fontId="79" fillId="0" borderId="372" applyBorder="0"/>
    <xf numFmtId="0" fontId="101" fillId="0" borderId="505" applyBorder="0"/>
    <xf numFmtId="0" fontId="12" fillId="0" borderId="0"/>
    <xf numFmtId="0" fontId="12" fillId="0" borderId="0">
      <alignment horizontal="left" wrapText="1"/>
    </xf>
    <xf numFmtId="0" fontId="48" fillId="0" borderId="0">
      <alignment vertical="top"/>
    </xf>
    <xf numFmtId="0" fontId="14" fillId="47" borderId="0" applyNumberFormat="0" applyBorder="0" applyAlignment="0" applyProtection="0"/>
    <xf numFmtId="0" fontId="14" fillId="40" borderId="0" applyNumberFormat="0" applyBorder="0" applyAlignment="0" applyProtection="0"/>
    <xf numFmtId="0" fontId="303" fillId="33" borderId="0" applyNumberFormat="0" applyBorder="0" applyAlignment="0" applyProtection="0"/>
    <xf numFmtId="246" fontId="250" fillId="0" borderId="505" applyFill="0" applyProtection="0">
      <alignment horizontal="center"/>
    </xf>
    <xf numFmtId="246" fontId="249" fillId="0" borderId="505" applyFill="0" applyProtection="0">
      <alignment horizontal="center"/>
    </xf>
    <xf numFmtId="0" fontId="241" fillId="94" borderId="505" applyBorder="0" applyProtection="0">
      <alignment horizontal="centerContinuous" vertical="center"/>
    </xf>
    <xf numFmtId="254" fontId="240" fillId="0" borderId="505" applyBorder="0" applyProtection="0">
      <alignment horizontal="right" vertical="center"/>
    </xf>
    <xf numFmtId="0" fontId="313" fillId="22" borderId="31" applyNumberFormat="0" applyAlignment="0" applyProtection="0"/>
    <xf numFmtId="186" fontId="140" fillId="3" borderId="1541">
      <alignment horizontal="center" vertical="center"/>
    </xf>
    <xf numFmtId="0" fontId="166" fillId="0" borderId="1573">
      <alignment horizontal="center"/>
    </xf>
    <xf numFmtId="0" fontId="25" fillId="10" borderId="1415" applyNumberFormat="0" applyProtection="0">
      <alignment horizontal="left" vertical="top"/>
    </xf>
    <xf numFmtId="0" fontId="12" fillId="0" borderId="1393" applyNumberFormat="0" applyFill="0" applyBorder="0" applyAlignment="0" applyProtection="0">
      <alignment horizontal="center"/>
    </xf>
    <xf numFmtId="43" fontId="48" fillId="0" borderId="0" applyFont="0" applyFill="0" applyBorder="0" applyAlignment="0" applyProtection="0"/>
    <xf numFmtId="254" fontId="240" fillId="0" borderId="1381" applyBorder="0" applyProtection="0">
      <alignment horizontal="right" vertical="center"/>
    </xf>
    <xf numFmtId="186" fontId="146" fillId="3" borderId="4720">
      <alignment horizontal="left"/>
    </xf>
    <xf numFmtId="0" fontId="313" fillId="22" borderId="31" applyNumberFormat="0" applyAlignment="0" applyProtection="0"/>
    <xf numFmtId="0" fontId="314" fillId="0" borderId="33" applyNumberFormat="0" applyFill="0" applyAlignment="0" applyProtection="0"/>
    <xf numFmtId="9" fontId="48" fillId="0" borderId="0" applyFont="0" applyFill="0" applyBorder="0" applyAlignment="0" applyProtection="0"/>
    <xf numFmtId="0" fontId="210" fillId="0" borderId="505" applyNumberFormat="0" applyFill="0" applyBorder="0" applyAlignment="0">
      <protection locked="0"/>
    </xf>
    <xf numFmtId="264" fontId="12" fillId="14" borderId="505" applyFont="0" applyFill="0" applyBorder="0" applyAlignment="0" applyProtection="0">
      <alignment horizontal="right"/>
    </xf>
    <xf numFmtId="0" fontId="166" fillId="0" borderId="505">
      <alignment horizontal="center"/>
    </xf>
    <xf numFmtId="0" fontId="165" fillId="0" borderId="505" applyFill="0" applyProtection="0">
      <alignment horizontal="center"/>
    </xf>
    <xf numFmtId="186" fontId="146" fillId="3" borderId="505" applyBorder="0">
      <alignment horizontal="left" vertical="center"/>
    </xf>
    <xf numFmtId="180" fontId="9" fillId="3" borderId="505">
      <alignment horizontal="right" vertical="center"/>
    </xf>
    <xf numFmtId="192" fontId="9" fillId="3" borderId="505">
      <alignment horizontal="right" vertical="center"/>
    </xf>
    <xf numFmtId="0" fontId="12" fillId="0" borderId="505" applyNumberFormat="0" applyFill="0" applyBorder="0" applyAlignment="0" applyProtection="0">
      <alignment horizontal="center"/>
    </xf>
    <xf numFmtId="0" fontId="113" fillId="0" borderId="505" applyNumberFormat="0" applyFill="0" applyAlignment="0" applyProtection="0"/>
    <xf numFmtId="222" fontId="79" fillId="0" borderId="372" applyBorder="0"/>
    <xf numFmtId="0" fontId="101" fillId="0" borderId="505" applyBorder="0"/>
    <xf numFmtId="0" fontId="14" fillId="0" borderId="0"/>
    <xf numFmtId="248" fontId="46" fillId="0" borderId="505"/>
    <xf numFmtId="0" fontId="12" fillId="0" borderId="0">
      <alignment horizontal="left" wrapText="1"/>
    </xf>
    <xf numFmtId="246" fontId="250" fillId="0" borderId="505" applyFill="0" applyProtection="0">
      <alignment horizontal="center"/>
    </xf>
    <xf numFmtId="246" fontId="249" fillId="0" borderId="505" applyFill="0" applyProtection="0">
      <alignment horizontal="center"/>
    </xf>
    <xf numFmtId="0" fontId="241" fillId="94" borderId="505" applyBorder="0" applyProtection="0">
      <alignment horizontal="centerContinuous" vertical="center"/>
    </xf>
    <xf numFmtId="254" fontId="240" fillId="0" borderId="505" applyBorder="0" applyProtection="0">
      <alignment horizontal="right" vertical="center"/>
    </xf>
    <xf numFmtId="0" fontId="210" fillId="0" borderId="505" applyNumberFormat="0" applyFill="0" applyBorder="0" applyAlignment="0">
      <protection locked="0"/>
    </xf>
    <xf numFmtId="264" fontId="12" fillId="14" borderId="505" applyFont="0" applyFill="0" applyBorder="0" applyAlignment="0" applyProtection="0">
      <alignment horizontal="right"/>
    </xf>
    <xf numFmtId="0" fontId="166" fillId="0" borderId="505">
      <alignment horizontal="center"/>
    </xf>
    <xf numFmtId="0" fontId="165" fillId="0" borderId="505" applyFill="0" applyProtection="0">
      <alignment horizontal="center"/>
    </xf>
    <xf numFmtId="186" fontId="146" fillId="3" borderId="505" applyBorder="0">
      <alignment horizontal="left" vertical="center"/>
    </xf>
    <xf numFmtId="180" fontId="9" fillId="3" borderId="505">
      <alignment horizontal="right" vertical="center"/>
    </xf>
    <xf numFmtId="192" fontId="9" fillId="3" borderId="505">
      <alignment horizontal="right" vertical="center"/>
    </xf>
    <xf numFmtId="248" fontId="46" fillId="0" borderId="505"/>
    <xf numFmtId="0" fontId="12" fillId="0" borderId="505" applyNumberFormat="0" applyFill="0" applyBorder="0" applyAlignment="0" applyProtection="0">
      <alignment horizontal="center"/>
    </xf>
    <xf numFmtId="0" fontId="113" fillId="0" borderId="505" applyNumberFormat="0" applyFill="0" applyAlignment="0" applyProtection="0"/>
    <xf numFmtId="222" fontId="79" fillId="0" borderId="372" applyBorder="0"/>
    <xf numFmtId="0" fontId="101" fillId="0" borderId="505" applyBorder="0"/>
    <xf numFmtId="0" fontId="12" fillId="0" borderId="0">
      <alignment horizontal="left" wrapText="1"/>
    </xf>
    <xf numFmtId="222" fontId="79" fillId="0" borderId="576" applyBorder="0"/>
    <xf numFmtId="0" fontId="101" fillId="0" borderId="577" applyBorder="0"/>
    <xf numFmtId="222" fontId="79" fillId="0" borderId="576" applyBorder="0"/>
    <xf numFmtId="0" fontId="113" fillId="0" borderId="577" applyNumberFormat="0" applyFill="0" applyAlignment="0" applyProtection="0"/>
    <xf numFmtId="0" fontId="12" fillId="0" borderId="577" applyNumberFormat="0" applyFill="0" applyBorder="0" applyAlignment="0" applyProtection="0">
      <alignment horizontal="center"/>
    </xf>
    <xf numFmtId="248" fontId="46" fillId="0" borderId="577"/>
    <xf numFmtId="192" fontId="9" fillId="3" borderId="577">
      <alignment horizontal="right" vertical="center"/>
    </xf>
    <xf numFmtId="180" fontId="9" fillId="3" borderId="577">
      <alignment horizontal="right" vertical="center"/>
    </xf>
    <xf numFmtId="186" fontId="146" fillId="3" borderId="577" applyBorder="0">
      <alignment horizontal="left" vertical="center"/>
    </xf>
    <xf numFmtId="0" fontId="165" fillId="0" borderId="577" applyFill="0" applyProtection="0">
      <alignment horizontal="center"/>
    </xf>
    <xf numFmtId="0" fontId="166" fillId="0" borderId="577">
      <alignment horizontal="center"/>
    </xf>
    <xf numFmtId="264" fontId="12" fillId="14" borderId="577" applyFont="0" applyFill="0" applyBorder="0" applyAlignment="0" applyProtection="0">
      <alignment horizontal="right"/>
    </xf>
    <xf numFmtId="0" fontId="210" fillId="0" borderId="577" applyNumberFormat="0" applyFill="0" applyBorder="0" applyAlignment="0">
      <protection locked="0"/>
    </xf>
    <xf numFmtId="254" fontId="240" fillId="0" borderId="577" applyBorder="0" applyProtection="0">
      <alignment horizontal="right" vertical="center"/>
    </xf>
    <xf numFmtId="0" fontId="241" fillId="94" borderId="577" applyBorder="0" applyProtection="0">
      <alignment horizontal="centerContinuous" vertical="center"/>
    </xf>
    <xf numFmtId="246" fontId="249" fillId="0" borderId="577" applyFill="0" applyProtection="0">
      <alignment horizontal="center"/>
    </xf>
    <xf numFmtId="246" fontId="250" fillId="0" borderId="577" applyFill="0" applyProtection="0">
      <alignment horizontal="center"/>
    </xf>
    <xf numFmtId="0" fontId="78" fillId="14" borderId="579" applyFont="0" applyFill="0" applyBorder="0" applyAlignment="0" applyProtection="0"/>
    <xf numFmtId="0" fontId="25" fillId="10" borderId="587" applyNumberFormat="0" applyProtection="0">
      <alignment horizontal="left" vertical="top"/>
    </xf>
    <xf numFmtId="0" fontId="25" fillId="10" borderId="586" applyNumberFormat="0" applyProtection="0">
      <alignment horizontal="left" vertical="top"/>
    </xf>
    <xf numFmtId="0" fontId="25" fillId="10" borderId="585" applyNumberFormat="0" applyProtection="0">
      <alignment horizontal="left" vertical="top"/>
    </xf>
    <xf numFmtId="0" fontId="25" fillId="10" borderId="584" applyNumberFormat="0" applyProtection="0">
      <alignment horizontal="left" vertical="top"/>
    </xf>
    <xf numFmtId="0" fontId="214" fillId="0" borderId="583" applyNumberFormat="0" applyFont="0" applyFill="0" applyAlignment="0" applyProtection="0"/>
    <xf numFmtId="0" fontId="2" fillId="0" borderId="582" applyNumberFormat="0" applyAlignment="0" applyProtection="0"/>
    <xf numFmtId="186" fontId="140" fillId="3" borderId="581">
      <alignment horizontal="center" vertical="center"/>
    </xf>
    <xf numFmtId="186" fontId="146" fillId="3" borderId="580">
      <alignment horizontal="left"/>
    </xf>
    <xf numFmtId="0" fontId="75" fillId="0" borderId="578" applyNumberFormat="0" applyFont="0" applyFill="0" applyAlignment="0" applyProtection="0"/>
    <xf numFmtId="222" fontId="79" fillId="0" borderId="588" applyBorder="0"/>
    <xf numFmtId="0" fontId="101" fillId="0" borderId="589" applyBorder="0"/>
    <xf numFmtId="222" fontId="79" fillId="0" borderId="588" applyBorder="0"/>
    <xf numFmtId="0" fontId="113" fillId="0" borderId="589" applyNumberFormat="0" applyFill="0" applyAlignment="0" applyProtection="0"/>
    <xf numFmtId="0" fontId="12" fillId="0" borderId="589" applyNumberFormat="0" applyFill="0" applyBorder="0" applyAlignment="0" applyProtection="0">
      <alignment horizontal="center"/>
    </xf>
    <xf numFmtId="248" fontId="46" fillId="0" borderId="589"/>
    <xf numFmtId="192" fontId="9" fillId="3" borderId="589">
      <alignment horizontal="right" vertical="center"/>
    </xf>
    <xf numFmtId="180" fontId="9" fillId="3" borderId="589">
      <alignment horizontal="right" vertical="center"/>
    </xf>
    <xf numFmtId="186" fontId="146" fillId="3" borderId="589" applyBorder="0">
      <alignment horizontal="left" vertical="center"/>
    </xf>
    <xf numFmtId="0" fontId="165" fillId="0" borderId="589" applyFill="0" applyProtection="0">
      <alignment horizontal="center"/>
    </xf>
    <xf numFmtId="0" fontId="166" fillId="0" borderId="589">
      <alignment horizontal="center"/>
    </xf>
    <xf numFmtId="264" fontId="12" fillId="14" borderId="589" applyFont="0" applyFill="0" applyBorder="0" applyAlignment="0" applyProtection="0">
      <alignment horizontal="right"/>
    </xf>
    <xf numFmtId="0" fontId="210" fillId="0" borderId="589" applyNumberFormat="0" applyFill="0" applyBorder="0" applyAlignment="0">
      <protection locked="0"/>
    </xf>
    <xf numFmtId="254" fontId="240" fillId="0" borderId="589" applyBorder="0" applyProtection="0">
      <alignment horizontal="right" vertical="center"/>
    </xf>
    <xf numFmtId="0" fontId="241" fillId="94" borderId="589" applyBorder="0" applyProtection="0">
      <alignment horizontal="centerContinuous" vertical="center"/>
    </xf>
    <xf numFmtId="246" fontId="249" fillId="0" borderId="589" applyFill="0" applyProtection="0">
      <alignment horizontal="center"/>
    </xf>
    <xf numFmtId="246" fontId="250" fillId="0" borderId="589" applyFill="0" applyProtection="0">
      <alignment horizontal="center"/>
    </xf>
    <xf numFmtId="186" fontId="146" fillId="3" borderId="592">
      <alignment horizontal="left"/>
    </xf>
    <xf numFmtId="0" fontId="75" fillId="0" borderId="590" applyNumberFormat="0" applyFont="0" applyFill="0" applyAlignment="0" applyProtection="0"/>
    <xf numFmtId="0" fontId="113" fillId="0" borderId="673" applyNumberFormat="0" applyFill="0" applyAlignment="0" applyProtection="0"/>
    <xf numFmtId="264" fontId="12" fillId="14" borderId="673" applyFont="0" applyFill="0" applyBorder="0" applyAlignment="0" applyProtection="0">
      <alignment horizontal="right"/>
    </xf>
    <xf numFmtId="246" fontId="249" fillId="0" borderId="673" applyFill="0" applyProtection="0">
      <alignment horizontal="center"/>
    </xf>
    <xf numFmtId="0" fontId="25" fillId="10" borderId="599" applyNumberFormat="0" applyProtection="0">
      <alignment horizontal="left" vertical="top"/>
    </xf>
    <xf numFmtId="0" fontId="25" fillId="10" borderId="597" applyNumberFormat="0" applyProtection="0">
      <alignment horizontal="left" vertical="top"/>
    </xf>
    <xf numFmtId="0" fontId="25" fillId="10" borderId="598" applyNumberFormat="0" applyProtection="0">
      <alignment horizontal="left" vertical="top"/>
    </xf>
    <xf numFmtId="0" fontId="25" fillId="10" borderId="596" applyNumberFormat="0" applyProtection="0">
      <alignment horizontal="left" vertical="top"/>
    </xf>
    <xf numFmtId="0" fontId="25" fillId="10" borderId="599" applyNumberFormat="0" applyProtection="0">
      <alignment horizontal="left" vertical="top"/>
    </xf>
    <xf numFmtId="0" fontId="25" fillId="10" borderId="598" applyNumberFormat="0" applyProtection="0">
      <alignment horizontal="left" vertical="top"/>
    </xf>
    <xf numFmtId="0" fontId="25" fillId="10" borderId="597" applyNumberFormat="0" applyProtection="0">
      <alignment horizontal="left" vertical="top"/>
    </xf>
    <xf numFmtId="0" fontId="25" fillId="10" borderId="596" applyNumberFormat="0" applyProtection="0">
      <alignment horizontal="left" vertical="top"/>
    </xf>
    <xf numFmtId="0" fontId="214" fillId="0" borderId="595" applyNumberFormat="0" applyFont="0" applyFill="0" applyAlignment="0" applyProtection="0"/>
    <xf numFmtId="0" fontId="2" fillId="0" borderId="594" applyNumberFormat="0" applyAlignment="0" applyProtection="0"/>
    <xf numFmtId="186" fontId="140" fillId="3" borderId="593">
      <alignment horizontal="center" vertical="center"/>
    </xf>
    <xf numFmtId="186" fontId="140" fillId="3" borderId="605">
      <alignment horizontal="center" vertical="center"/>
    </xf>
    <xf numFmtId="0" fontId="25" fillId="10" borderId="608" applyNumberFormat="0" applyProtection="0">
      <alignment horizontal="left" vertical="top"/>
    </xf>
    <xf numFmtId="0" fontId="12" fillId="0" borderId="673" applyNumberFormat="0" applyFill="0" applyBorder="0" applyAlignment="0" applyProtection="0">
      <alignment horizontal="center"/>
    </xf>
    <xf numFmtId="0" fontId="25" fillId="10" borderId="670" applyNumberFormat="0" applyProtection="0">
      <alignment horizontal="left" vertical="top"/>
    </xf>
    <xf numFmtId="222" fontId="79" fillId="0" borderId="660" applyBorder="0"/>
    <xf numFmtId="0" fontId="78" fillId="14" borderId="663" applyFont="0" applyFill="0" applyBorder="0" applyAlignment="0" applyProtection="0"/>
    <xf numFmtId="222" fontId="79" fillId="0" borderId="672" applyBorder="0"/>
    <xf numFmtId="0" fontId="101" fillId="0" borderId="673" applyBorder="0"/>
    <xf numFmtId="222" fontId="79" fillId="0" borderId="672" applyBorder="0"/>
    <xf numFmtId="248" fontId="46" fillId="0" borderId="673"/>
    <xf numFmtId="192" fontId="9" fillId="3" borderId="673">
      <alignment horizontal="right" vertical="center"/>
    </xf>
    <xf numFmtId="180" fontId="9" fillId="3" borderId="673">
      <alignment horizontal="right" vertical="center"/>
    </xf>
    <xf numFmtId="186" fontId="146" fillId="3" borderId="673" applyBorder="0">
      <alignment horizontal="left" vertical="center"/>
    </xf>
    <xf numFmtId="0" fontId="165" fillId="0" borderId="673" applyFill="0" applyProtection="0">
      <alignment horizontal="center"/>
    </xf>
    <xf numFmtId="0" fontId="210" fillId="0" borderId="673" applyNumberFormat="0" applyFill="0" applyBorder="0" applyAlignment="0">
      <protection locked="0"/>
    </xf>
    <xf numFmtId="254" fontId="240" fillId="0" borderId="673" applyBorder="0" applyProtection="0">
      <alignment horizontal="right" vertical="center"/>
    </xf>
    <xf numFmtId="246" fontId="250" fillId="0" borderId="673" applyFill="0" applyProtection="0">
      <alignment horizontal="center"/>
    </xf>
    <xf numFmtId="222" fontId="79" fillId="0" borderId="612" applyBorder="0"/>
    <xf numFmtId="0" fontId="25" fillId="10" borderId="609" applyNumberFormat="0" applyProtection="0">
      <alignment horizontal="left" vertical="top"/>
    </xf>
    <xf numFmtId="0" fontId="25" fillId="10" borderId="611" applyNumberFormat="0" applyProtection="0">
      <alignment horizontal="left" vertical="top"/>
    </xf>
    <xf numFmtId="0" fontId="25" fillId="10" borderId="608" applyNumberFormat="0" applyProtection="0">
      <alignment horizontal="left" vertical="top"/>
    </xf>
    <xf numFmtId="0" fontId="25" fillId="10" borderId="609" applyNumberFormat="0" applyProtection="0">
      <alignment horizontal="left" vertical="top"/>
    </xf>
    <xf numFmtId="0" fontId="25" fillId="10" borderId="610" applyNumberFormat="0" applyProtection="0">
      <alignment horizontal="left" vertical="top"/>
    </xf>
    <xf numFmtId="0" fontId="75" fillId="0" borderId="614" applyNumberFormat="0" applyFont="0" applyFill="0" applyAlignment="0" applyProtection="0"/>
    <xf numFmtId="0" fontId="101" fillId="0" borderId="625" applyBorder="0"/>
    <xf numFmtId="222" fontId="79" fillId="0" borderId="624" applyBorder="0"/>
    <xf numFmtId="0" fontId="113" fillId="0" borderId="625" applyNumberFormat="0" applyFill="0" applyAlignment="0" applyProtection="0"/>
    <xf numFmtId="0" fontId="12" fillId="0" borderId="625" applyNumberFormat="0" applyFill="0" applyBorder="0" applyAlignment="0" applyProtection="0">
      <alignment horizontal="center"/>
    </xf>
    <xf numFmtId="248" fontId="46" fillId="0" borderId="625"/>
    <xf numFmtId="192" fontId="9" fillId="3" borderId="625">
      <alignment horizontal="right" vertical="center"/>
    </xf>
    <xf numFmtId="180" fontId="9" fillId="3" borderId="625">
      <alignment horizontal="right" vertical="center"/>
    </xf>
    <xf numFmtId="186" fontId="146" fillId="3" borderId="625" applyBorder="0">
      <alignment horizontal="left" vertical="center"/>
    </xf>
    <xf numFmtId="0" fontId="166" fillId="0" borderId="625">
      <alignment horizontal="center"/>
    </xf>
    <xf numFmtId="0" fontId="210" fillId="0" borderId="625" applyNumberFormat="0" applyFill="0" applyBorder="0" applyAlignment="0">
      <protection locked="0"/>
    </xf>
    <xf numFmtId="264" fontId="12" fillId="14" borderId="625" applyFont="0" applyFill="0" applyBorder="0" applyAlignment="0" applyProtection="0">
      <alignment horizontal="right"/>
    </xf>
    <xf numFmtId="246" fontId="249" fillId="0" borderId="625" applyFill="0" applyProtection="0">
      <alignment horizontal="center"/>
    </xf>
    <xf numFmtId="246" fontId="250" fillId="0" borderId="625" applyFill="0" applyProtection="0">
      <alignment horizontal="center"/>
    </xf>
    <xf numFmtId="246" fontId="250" fillId="0" borderId="649" applyFill="0" applyProtection="0">
      <alignment horizontal="center"/>
    </xf>
    <xf numFmtId="246" fontId="249" fillId="0" borderId="649" applyFill="0" applyProtection="0">
      <alignment horizontal="center"/>
    </xf>
    <xf numFmtId="254" fontId="240" fillId="0" borderId="649" applyBorder="0" applyProtection="0">
      <alignment horizontal="right" vertical="center"/>
    </xf>
    <xf numFmtId="264" fontId="12" fillId="14" borderId="649" applyFont="0" applyFill="0" applyBorder="0" applyAlignment="0" applyProtection="0">
      <alignment horizontal="right"/>
    </xf>
    <xf numFmtId="0" fontId="165" fillId="0" borderId="649" applyFill="0" applyProtection="0">
      <alignment horizontal="center"/>
    </xf>
    <xf numFmtId="180" fontId="9" fillId="3" borderId="649">
      <alignment horizontal="right" vertical="center"/>
    </xf>
    <xf numFmtId="0" fontId="12" fillId="0" borderId="649" applyNumberFormat="0" applyFill="0" applyBorder="0" applyAlignment="0" applyProtection="0">
      <alignment horizontal="center"/>
    </xf>
    <xf numFmtId="0" fontId="101" fillId="0" borderId="649" applyBorder="0"/>
    <xf numFmtId="222" fontId="79" fillId="0" borderId="648" applyBorder="0"/>
    <xf numFmtId="0" fontId="75" fillId="0" borderId="638" applyNumberFormat="0" applyFont="0" applyFill="0" applyAlignment="0" applyProtection="0"/>
    <xf numFmtId="0" fontId="2" fillId="0" borderId="642" applyNumberFormat="0" applyAlignment="0" applyProtection="0"/>
    <xf numFmtId="0" fontId="25" fillId="10" borderId="644" applyNumberFormat="0" applyProtection="0">
      <alignment horizontal="left" vertical="top"/>
    </xf>
    <xf numFmtId="0" fontId="25" fillId="10" borderId="647" applyNumberFormat="0" applyProtection="0">
      <alignment horizontal="left" vertical="top"/>
    </xf>
    <xf numFmtId="222" fontId="79" fillId="0" borderId="636" applyBorder="0"/>
    <xf numFmtId="0" fontId="25" fillId="10" borderId="622" applyNumberFormat="0" applyProtection="0">
      <alignment horizontal="left" vertical="top"/>
    </xf>
    <xf numFmtId="0" fontId="25" fillId="10" borderId="620" applyNumberFormat="0" applyProtection="0">
      <alignment horizontal="left" vertical="top"/>
    </xf>
    <xf numFmtId="0" fontId="214" fillId="0" borderId="619" applyNumberFormat="0" applyFont="0" applyFill="0" applyAlignment="0" applyProtection="0"/>
    <xf numFmtId="186" fontId="146" fillId="3" borderId="616">
      <alignment horizontal="left"/>
    </xf>
    <xf numFmtId="222" fontId="79" fillId="0" borderId="624" applyBorder="0"/>
    <xf numFmtId="0" fontId="101" fillId="0" borderId="505" applyBorder="0"/>
    <xf numFmtId="0" fontId="113" fillId="0" borderId="505" applyNumberFormat="0" applyFill="0" applyAlignment="0" applyProtection="0"/>
    <xf numFmtId="0" fontId="12" fillId="0" borderId="505" applyNumberFormat="0" applyFill="0" applyBorder="0" applyAlignment="0" applyProtection="0">
      <alignment horizontal="center"/>
    </xf>
    <xf numFmtId="248" fontId="46" fillId="0" borderId="505"/>
    <xf numFmtId="192" fontId="9" fillId="3" borderId="505">
      <alignment horizontal="right" vertical="center"/>
    </xf>
    <xf numFmtId="180" fontId="9" fillId="3" borderId="505">
      <alignment horizontal="right" vertical="center"/>
    </xf>
    <xf numFmtId="186" fontId="146" fillId="3" borderId="505" applyBorder="0">
      <alignment horizontal="left" vertical="center"/>
    </xf>
    <xf numFmtId="0" fontId="165" fillId="0" borderId="505" applyFill="0" applyProtection="0">
      <alignment horizontal="center"/>
    </xf>
    <xf numFmtId="0" fontId="166" fillId="0" borderId="505">
      <alignment horizontal="center"/>
    </xf>
    <xf numFmtId="264" fontId="12" fillId="14" borderId="505" applyFont="0" applyFill="0" applyBorder="0" applyAlignment="0" applyProtection="0">
      <alignment horizontal="right"/>
    </xf>
    <xf numFmtId="0" fontId="210" fillId="0" borderId="505" applyNumberFormat="0" applyFill="0" applyBorder="0" applyAlignment="0">
      <protection locked="0"/>
    </xf>
    <xf numFmtId="248" fontId="46" fillId="0" borderId="649"/>
    <xf numFmtId="222" fontId="79" fillId="0" borderId="648" applyBorder="0"/>
    <xf numFmtId="186" fontId="140" fillId="3" borderId="641">
      <alignment horizontal="center" vertical="center"/>
    </xf>
    <xf numFmtId="0" fontId="25" fillId="10" borderId="646" applyNumberFormat="0" applyProtection="0">
      <alignment horizontal="left" vertical="top"/>
    </xf>
    <xf numFmtId="0" fontId="210" fillId="0" borderId="649" applyNumberFormat="0" applyFill="0" applyBorder="0" applyAlignment="0">
      <protection locked="0"/>
    </xf>
    <xf numFmtId="192" fontId="9" fillId="3" borderId="649">
      <alignment horizontal="right" vertical="center"/>
    </xf>
    <xf numFmtId="0" fontId="113" fillId="0" borderId="649" applyNumberFormat="0" applyFill="0" applyAlignment="0" applyProtection="0"/>
    <xf numFmtId="186" fontId="146" fillId="3" borderId="640">
      <alignment horizontal="left"/>
    </xf>
    <xf numFmtId="0" fontId="25" fillId="10" borderId="645" applyNumberFormat="0" applyProtection="0">
      <alignment horizontal="left" vertical="top"/>
    </xf>
    <xf numFmtId="254" fontId="240" fillId="0" borderId="505" applyBorder="0" applyProtection="0">
      <alignment horizontal="right" vertical="center"/>
    </xf>
    <xf numFmtId="0" fontId="241" fillId="94" borderId="505" applyBorder="0" applyProtection="0">
      <alignment horizontal="centerContinuous" vertical="center"/>
    </xf>
    <xf numFmtId="246" fontId="249" fillId="0" borderId="505" applyFill="0" applyProtection="0">
      <alignment horizontal="center"/>
    </xf>
    <xf numFmtId="246" fontId="250" fillId="0" borderId="505" applyFill="0" applyProtection="0">
      <alignment horizontal="center"/>
    </xf>
    <xf numFmtId="0" fontId="25" fillId="10" borderId="669" applyNumberFormat="0" applyProtection="0">
      <alignment horizontal="left" vertical="top"/>
    </xf>
    <xf numFmtId="0" fontId="25" fillId="10" borderId="671" applyNumberFormat="0" applyProtection="0">
      <alignment horizontal="left" vertical="top"/>
    </xf>
    <xf numFmtId="222" fontId="79" fillId="0" borderId="600" applyBorder="0"/>
    <xf numFmtId="0" fontId="214" fillId="0" borderId="667" applyNumberFormat="0" applyFont="0" applyFill="0" applyAlignment="0" applyProtection="0"/>
    <xf numFmtId="0" fontId="75" fillId="0" borderId="602" applyNumberFormat="0" applyFont="0" applyFill="0" applyAlignment="0" applyProtection="0"/>
    <xf numFmtId="0" fontId="25" fillId="10" borderId="610" applyNumberFormat="0" applyProtection="0">
      <alignment horizontal="left" vertical="top"/>
    </xf>
    <xf numFmtId="0" fontId="25" fillId="10" borderId="611" applyNumberFormat="0" applyProtection="0">
      <alignment horizontal="left" vertical="top"/>
    </xf>
    <xf numFmtId="0" fontId="165" fillId="0" borderId="625" applyFill="0" applyProtection="0">
      <alignment horizontal="center"/>
    </xf>
    <xf numFmtId="254" fontId="240" fillId="0" borderId="625" applyBorder="0" applyProtection="0">
      <alignment horizontal="right" vertical="center"/>
    </xf>
    <xf numFmtId="0" fontId="241" fillId="94" borderId="625" applyBorder="0" applyProtection="0">
      <alignment horizontal="centerContinuous" vertical="center"/>
    </xf>
    <xf numFmtId="0" fontId="241" fillId="94" borderId="649" applyBorder="0" applyProtection="0">
      <alignment horizontal="centerContinuous" vertical="center"/>
    </xf>
    <xf numFmtId="0" fontId="166" fillId="0" borderId="649">
      <alignment horizontal="center"/>
    </xf>
    <xf numFmtId="186" fontId="146" fillId="3" borderId="649" applyBorder="0">
      <alignment horizontal="left" vertical="center"/>
    </xf>
    <xf numFmtId="0" fontId="214" fillId="0" borderId="643" applyNumberFormat="0" applyFont="0" applyFill="0" applyAlignment="0" applyProtection="0"/>
    <xf numFmtId="0" fontId="78" fillId="14" borderId="639" applyFont="0" applyFill="0" applyBorder="0" applyAlignment="0" applyProtection="0"/>
    <xf numFmtId="0" fontId="78" fillId="14" borderId="567" applyFont="0" applyFill="0" applyBorder="0" applyAlignment="0" applyProtection="0"/>
    <xf numFmtId="0" fontId="25" fillId="10" borderId="503" applyNumberFormat="0" applyProtection="0">
      <alignment horizontal="left" vertical="top"/>
    </xf>
    <xf numFmtId="0" fontId="25" fillId="10" borderId="502" applyNumberFormat="0" applyProtection="0">
      <alignment horizontal="left" vertical="top"/>
    </xf>
    <xf numFmtId="0" fontId="25" fillId="10" borderId="501" applyNumberFormat="0" applyProtection="0">
      <alignment horizontal="left" vertical="top"/>
    </xf>
    <xf numFmtId="0" fontId="25" fillId="10" borderId="500" applyNumberFormat="0" applyProtection="0">
      <alignment horizontal="left" vertical="top"/>
    </xf>
    <xf numFmtId="186" fontId="140" fillId="3" borderId="665">
      <alignment horizontal="center" vertical="center"/>
    </xf>
    <xf numFmtId="0" fontId="214" fillId="0" borderId="499" applyNumberFormat="0" applyFont="0" applyFill="0" applyAlignment="0" applyProtection="0"/>
    <xf numFmtId="0" fontId="2" fillId="0" borderId="498" applyNumberFormat="0" applyAlignment="0" applyProtection="0"/>
    <xf numFmtId="186" fontId="140" fillId="3" borderId="497">
      <alignment horizontal="center" vertical="center"/>
    </xf>
    <xf numFmtId="186" fontId="146" fillId="3" borderId="496">
      <alignment horizontal="left"/>
    </xf>
    <xf numFmtId="186" fontId="146" fillId="3" borderId="664">
      <alignment horizontal="left"/>
    </xf>
    <xf numFmtId="0" fontId="75" fillId="0" borderId="494" applyNumberFormat="0" applyFont="0" applyFill="0" applyAlignment="0" applyProtection="0"/>
    <xf numFmtId="0" fontId="75" fillId="0" borderId="662" applyNumberFormat="0" applyFont="0" applyFill="0" applyAlignment="0" applyProtection="0"/>
    <xf numFmtId="222" fontId="79" fillId="0" borderId="576" applyBorder="0"/>
    <xf numFmtId="222" fontId="79" fillId="0" borderId="576" applyBorder="0"/>
    <xf numFmtId="0" fontId="25" fillId="10" borderId="668" applyNumberFormat="0" applyProtection="0">
      <alignment horizontal="left" vertical="top"/>
    </xf>
    <xf numFmtId="0" fontId="2" fillId="0" borderId="666" applyNumberFormat="0" applyAlignment="0" applyProtection="0"/>
    <xf numFmtId="246" fontId="250" fillId="0" borderId="601" applyFill="0" applyProtection="0">
      <alignment horizontal="center"/>
    </xf>
    <xf numFmtId="246" fontId="249" fillId="0" borderId="601" applyFill="0" applyProtection="0">
      <alignment horizontal="center"/>
    </xf>
    <xf numFmtId="0" fontId="241" fillId="94" borderId="601" applyBorder="0" applyProtection="0">
      <alignment horizontal="centerContinuous" vertical="center"/>
    </xf>
    <xf numFmtId="254" fontId="240" fillId="0" borderId="601" applyBorder="0" applyProtection="0">
      <alignment horizontal="right" vertical="center"/>
    </xf>
    <xf numFmtId="0" fontId="210" fillId="0" borderId="601" applyNumberFormat="0" applyFill="0" applyBorder="0" applyAlignment="0">
      <protection locked="0"/>
    </xf>
    <xf numFmtId="264" fontId="12" fillId="14" borderId="601" applyFont="0" applyFill="0" applyBorder="0" applyAlignment="0" applyProtection="0">
      <alignment horizontal="right"/>
    </xf>
    <xf numFmtId="0" fontId="166" fillId="0" borderId="601">
      <alignment horizontal="center"/>
    </xf>
    <xf numFmtId="0" fontId="165" fillId="0" borderId="601" applyFill="0" applyProtection="0">
      <alignment horizontal="center"/>
    </xf>
    <xf numFmtId="186" fontId="146" fillId="3" borderId="601" applyBorder="0">
      <alignment horizontal="left" vertical="center"/>
    </xf>
    <xf numFmtId="180" fontId="9" fillId="3" borderId="601">
      <alignment horizontal="right" vertical="center"/>
    </xf>
    <xf numFmtId="192" fontId="9" fillId="3" borderId="601">
      <alignment horizontal="right" vertical="center"/>
    </xf>
    <xf numFmtId="248" fontId="46" fillId="0" borderId="601"/>
    <xf numFmtId="0" fontId="12" fillId="0" borderId="601" applyNumberFormat="0" applyFill="0" applyBorder="0" applyAlignment="0" applyProtection="0">
      <alignment horizontal="center"/>
    </xf>
    <xf numFmtId="0" fontId="113" fillId="0" borderId="601" applyNumberFormat="0" applyFill="0" applyAlignment="0" applyProtection="0"/>
    <xf numFmtId="222" fontId="79" fillId="0" borderId="600" applyBorder="0"/>
    <xf numFmtId="0" fontId="101" fillId="0" borderId="601" applyBorder="0"/>
    <xf numFmtId="222" fontId="79" fillId="0" borderId="600" applyBorder="0"/>
    <xf numFmtId="0" fontId="75" fillId="0" borderId="590" applyNumberFormat="0" applyFont="0" applyFill="0" applyAlignment="0" applyProtection="0"/>
    <xf numFmtId="186" fontId="146" fillId="3" borderId="592">
      <alignment horizontal="left"/>
    </xf>
    <xf numFmtId="186" fontId="140" fillId="3" borderId="593">
      <alignment horizontal="center" vertical="center"/>
    </xf>
    <xf numFmtId="0" fontId="2" fillId="0" borderId="594" applyNumberFormat="0" applyAlignment="0" applyProtection="0"/>
    <xf numFmtId="0" fontId="214" fillId="0" borderId="595" applyNumberFormat="0" applyFont="0" applyFill="0" applyAlignment="0" applyProtection="0"/>
    <xf numFmtId="0" fontId="25" fillId="10" borderId="596" applyNumberFormat="0" applyProtection="0">
      <alignment horizontal="left" vertical="top"/>
    </xf>
    <xf numFmtId="0" fontId="25" fillId="10" borderId="597" applyNumberFormat="0" applyProtection="0">
      <alignment horizontal="left" vertical="top"/>
    </xf>
    <xf numFmtId="0" fontId="25" fillId="10" borderId="598" applyNumberFormat="0" applyProtection="0">
      <alignment horizontal="left" vertical="top"/>
    </xf>
    <xf numFmtId="0" fontId="25" fillId="10" borderId="599" applyNumberFormat="0" applyProtection="0">
      <alignment horizontal="left" vertical="top"/>
    </xf>
    <xf numFmtId="0" fontId="78" fillId="14" borderId="591" applyFont="0" applyFill="0" applyBorder="0" applyAlignment="0" applyProtection="0"/>
    <xf numFmtId="222" fontId="79" fillId="0" borderId="588" applyBorder="0"/>
    <xf numFmtId="0" fontId="78" fillId="14" borderId="567" applyFont="0" applyFill="0" applyBorder="0" applyAlignment="0" applyProtection="0"/>
    <xf numFmtId="222" fontId="79" fillId="0" borderId="576" applyBorder="0"/>
    <xf numFmtId="0" fontId="78" fillId="14" borderId="579" applyFont="0" applyFill="0" applyBorder="0" applyAlignment="0" applyProtection="0"/>
    <xf numFmtId="0" fontId="25" fillId="10" borderId="587" applyNumberFormat="0" applyProtection="0">
      <alignment horizontal="left" vertical="top"/>
    </xf>
    <xf numFmtId="0" fontId="25" fillId="10" borderId="586" applyNumberFormat="0" applyProtection="0">
      <alignment horizontal="left" vertical="top"/>
    </xf>
    <xf numFmtId="0" fontId="25" fillId="10" borderId="585" applyNumberFormat="0" applyProtection="0">
      <alignment horizontal="left" vertical="top"/>
    </xf>
    <xf numFmtId="0" fontId="25" fillId="10" borderId="584" applyNumberFormat="0" applyProtection="0">
      <alignment horizontal="left" vertical="top"/>
    </xf>
    <xf numFmtId="0" fontId="214" fillId="0" borderId="583" applyNumberFormat="0" applyFont="0" applyFill="0" applyAlignment="0" applyProtection="0"/>
    <xf numFmtId="0" fontId="2" fillId="0" borderId="498" applyNumberFormat="0" applyAlignment="0" applyProtection="0"/>
    <xf numFmtId="186" fontId="140" fillId="3" borderId="581">
      <alignment horizontal="center" vertical="center"/>
    </xf>
    <xf numFmtId="186" fontId="146" fillId="3" borderId="580">
      <alignment horizontal="left"/>
    </xf>
    <xf numFmtId="0" fontId="75" fillId="0" borderId="578" applyNumberFormat="0" applyFont="0" applyFill="0" applyAlignment="0" applyProtection="0"/>
    <xf numFmtId="222" fontId="79" fillId="0" borderId="588" applyBorder="0"/>
    <xf numFmtId="0" fontId="101" fillId="0" borderId="589" applyBorder="0"/>
    <xf numFmtId="222" fontId="79" fillId="0" borderId="588" applyBorder="0"/>
    <xf numFmtId="0" fontId="113" fillId="0" borderId="589" applyNumberFormat="0" applyFill="0" applyAlignment="0" applyProtection="0"/>
    <xf numFmtId="0" fontId="12" fillId="0" borderId="589" applyNumberFormat="0" applyFill="0" applyBorder="0" applyAlignment="0" applyProtection="0">
      <alignment horizontal="center"/>
    </xf>
    <xf numFmtId="248" fontId="46" fillId="0" borderId="589"/>
    <xf numFmtId="192" fontId="9" fillId="3" borderId="589">
      <alignment horizontal="right" vertical="center"/>
    </xf>
    <xf numFmtId="180" fontId="9" fillId="3" borderId="589">
      <alignment horizontal="right" vertical="center"/>
    </xf>
    <xf numFmtId="186" fontId="146" fillId="3" borderId="589" applyBorder="0">
      <alignment horizontal="left" vertical="center"/>
    </xf>
    <xf numFmtId="0" fontId="165" fillId="0" borderId="589" applyFill="0" applyProtection="0">
      <alignment horizontal="center"/>
    </xf>
    <xf numFmtId="0" fontId="166" fillId="0" borderId="589">
      <alignment horizontal="center"/>
    </xf>
    <xf numFmtId="264" fontId="12" fillId="14" borderId="589" applyFont="0" applyFill="0" applyBorder="0" applyAlignment="0" applyProtection="0">
      <alignment horizontal="right"/>
    </xf>
    <xf numFmtId="0" fontId="210" fillId="0" borderId="589" applyNumberFormat="0" applyFill="0" applyBorder="0" applyAlignment="0">
      <protection locked="0"/>
    </xf>
    <xf numFmtId="254" fontId="240" fillId="0" borderId="589" applyBorder="0" applyProtection="0">
      <alignment horizontal="right" vertical="center"/>
    </xf>
    <xf numFmtId="0" fontId="241" fillId="94" borderId="589" applyBorder="0" applyProtection="0">
      <alignment horizontal="centerContinuous" vertical="center"/>
    </xf>
    <xf numFmtId="246" fontId="249" fillId="0" borderId="589" applyFill="0" applyProtection="0">
      <alignment horizontal="center"/>
    </xf>
    <xf numFmtId="246" fontId="250" fillId="0" borderId="589" applyFill="0" applyProtection="0">
      <alignment horizontal="center"/>
    </xf>
    <xf numFmtId="0" fontId="241" fillId="94" borderId="673" applyBorder="0" applyProtection="0">
      <alignment horizontal="centerContinuous" vertical="center"/>
    </xf>
    <xf numFmtId="0" fontId="166" fillId="0" borderId="673">
      <alignment horizontal="center"/>
    </xf>
    <xf numFmtId="0" fontId="2" fillId="0" borderId="606" applyNumberFormat="0" applyAlignment="0" applyProtection="0"/>
    <xf numFmtId="0" fontId="214" fillId="0" borderId="607" applyNumberFormat="0" applyFont="0" applyFill="0" applyAlignment="0" applyProtection="0"/>
    <xf numFmtId="246" fontId="250" fillId="0" borderId="613" applyFill="0" applyProtection="0">
      <alignment horizontal="center"/>
    </xf>
    <xf numFmtId="246" fontId="249" fillId="0" borderId="613" applyFill="0" applyProtection="0">
      <alignment horizontal="center"/>
    </xf>
    <xf numFmtId="0" fontId="241" fillId="94" borderId="613" applyBorder="0" applyProtection="0">
      <alignment horizontal="centerContinuous" vertical="center"/>
    </xf>
    <xf numFmtId="254" fontId="240" fillId="0" borderId="613" applyBorder="0" applyProtection="0">
      <alignment horizontal="right" vertical="center"/>
    </xf>
    <xf numFmtId="0" fontId="210" fillId="0" borderId="613" applyNumberFormat="0" applyFill="0" applyBorder="0" applyAlignment="0">
      <protection locked="0"/>
    </xf>
    <xf numFmtId="264" fontId="12" fillId="14" borderId="613" applyFont="0" applyFill="0" applyBorder="0" applyAlignment="0" applyProtection="0">
      <alignment horizontal="right"/>
    </xf>
    <xf numFmtId="0" fontId="166" fillId="0" borderId="613">
      <alignment horizontal="center"/>
    </xf>
    <xf numFmtId="0" fontId="165" fillId="0" borderId="613" applyFill="0" applyProtection="0">
      <alignment horizontal="center"/>
    </xf>
    <xf numFmtId="186" fontId="146" fillId="3" borderId="613" applyBorder="0">
      <alignment horizontal="left" vertical="center"/>
    </xf>
    <xf numFmtId="180" fontId="9" fillId="3" borderId="613">
      <alignment horizontal="right" vertical="center"/>
    </xf>
    <xf numFmtId="192" fontId="9" fillId="3" borderId="613">
      <alignment horizontal="right" vertical="center"/>
    </xf>
    <xf numFmtId="248" fontId="46" fillId="0" borderId="613"/>
    <xf numFmtId="0" fontId="12" fillId="0" borderId="613" applyNumberFormat="0" applyFill="0" applyBorder="0" applyAlignment="0" applyProtection="0">
      <alignment horizontal="center"/>
    </xf>
    <xf numFmtId="0" fontId="113" fillId="0" borderId="613" applyNumberFormat="0" applyFill="0" applyAlignment="0" applyProtection="0"/>
    <xf numFmtId="222" fontId="79" fillId="0" borderId="612" applyBorder="0"/>
    <xf numFmtId="0" fontId="101" fillId="0" borderId="613" applyBorder="0"/>
    <xf numFmtId="222" fontId="79" fillId="0" borderId="612" applyBorder="0"/>
    <xf numFmtId="0" fontId="75" fillId="0" borderId="602" applyNumberFormat="0" applyFont="0" applyFill="0" applyAlignment="0" applyProtection="0"/>
    <xf numFmtId="186" fontId="146" fillId="3" borderId="604">
      <alignment horizontal="left"/>
    </xf>
    <xf numFmtId="186" fontId="140" fillId="3" borderId="605">
      <alignment horizontal="center" vertical="center"/>
    </xf>
    <xf numFmtId="0" fontId="2" fillId="0" borderId="606" applyNumberFormat="0" applyAlignment="0" applyProtection="0"/>
    <xf numFmtId="0" fontId="214" fillId="0" borderId="607" applyNumberFormat="0" applyFont="0" applyFill="0" applyAlignment="0" applyProtection="0"/>
    <xf numFmtId="0" fontId="25" fillId="10" borderId="608" applyNumberFormat="0" applyProtection="0">
      <alignment horizontal="left" vertical="top"/>
    </xf>
    <xf numFmtId="0" fontId="25" fillId="10" borderId="609" applyNumberFormat="0" applyProtection="0">
      <alignment horizontal="left" vertical="top"/>
    </xf>
    <xf numFmtId="0" fontId="25" fillId="10" borderId="610" applyNumberFormat="0" applyProtection="0">
      <alignment horizontal="left" vertical="top"/>
    </xf>
    <xf numFmtId="0" fontId="25" fillId="10" borderId="611" applyNumberFormat="0" applyProtection="0">
      <alignment horizontal="left" vertical="top"/>
    </xf>
    <xf numFmtId="0" fontId="78" fillId="14" borderId="603" applyFont="0" applyFill="0" applyBorder="0" applyAlignment="0" applyProtection="0"/>
    <xf numFmtId="222" fontId="79" fillId="0" borderId="600" applyBorder="0"/>
    <xf numFmtId="0" fontId="78" fillId="14" borderId="615" applyFont="0" applyFill="0" applyBorder="0" applyAlignment="0" applyProtection="0"/>
    <xf numFmtId="186" fontId="146" fillId="3" borderId="604">
      <alignment horizontal="left"/>
    </xf>
    <xf numFmtId="0" fontId="78" fillId="14" borderId="591" applyFont="0" applyFill="0" applyBorder="0" applyAlignment="0" applyProtection="0"/>
    <xf numFmtId="222" fontId="79" fillId="0" borderId="600" applyBorder="0"/>
    <xf numFmtId="0" fontId="2" fillId="0" borderId="618" applyNumberFormat="0" applyAlignment="0" applyProtection="0"/>
    <xf numFmtId="0" fontId="78" fillId="14" borderId="591" applyFont="0" applyFill="0" applyBorder="0" applyAlignment="0" applyProtection="0"/>
    <xf numFmtId="0" fontId="25" fillId="10" borderId="599" applyNumberFormat="0" applyProtection="0">
      <alignment horizontal="left" vertical="top"/>
    </xf>
    <xf numFmtId="0" fontId="25" fillId="10" borderId="598" applyNumberFormat="0" applyProtection="0">
      <alignment horizontal="left" vertical="top"/>
    </xf>
    <xf numFmtId="0" fontId="25" fillId="10" borderId="597" applyNumberFormat="0" applyProtection="0">
      <alignment horizontal="left" vertical="top"/>
    </xf>
    <xf numFmtId="0" fontId="25" fillId="10" borderId="596" applyNumberFormat="0" applyProtection="0">
      <alignment horizontal="left" vertical="top"/>
    </xf>
    <xf numFmtId="0" fontId="25" fillId="10" borderId="621" applyNumberFormat="0" applyProtection="0">
      <alignment horizontal="left" vertical="top"/>
    </xf>
    <xf numFmtId="0" fontId="214" fillId="0" borderId="595" applyNumberFormat="0" applyFont="0" applyFill="0" applyAlignment="0" applyProtection="0"/>
    <xf numFmtId="0" fontId="2" fillId="0" borderId="594" applyNumberFormat="0" applyAlignment="0" applyProtection="0"/>
    <xf numFmtId="186" fontId="140" fillId="3" borderId="593">
      <alignment horizontal="center" vertical="center"/>
    </xf>
    <xf numFmtId="186" fontId="146" fillId="3" borderId="592">
      <alignment horizontal="left"/>
    </xf>
    <xf numFmtId="0" fontId="25" fillId="10" borderId="623" applyNumberFormat="0" applyProtection="0">
      <alignment horizontal="left" vertical="top"/>
    </xf>
    <xf numFmtId="0" fontId="75" fillId="0" borderId="590" applyNumberFormat="0" applyFont="0" applyFill="0" applyAlignment="0" applyProtection="0"/>
    <xf numFmtId="222" fontId="79" fillId="0" borderId="600" applyBorder="0"/>
    <xf numFmtId="0" fontId="101" fillId="0" borderId="601" applyBorder="0"/>
    <xf numFmtId="222" fontId="79" fillId="0" borderId="600" applyBorder="0"/>
    <xf numFmtId="0" fontId="113" fillId="0" borderId="601" applyNumberFormat="0" applyFill="0" applyAlignment="0" applyProtection="0"/>
    <xf numFmtId="0" fontId="12" fillId="0" borderId="601" applyNumberFormat="0" applyFill="0" applyBorder="0" applyAlignment="0" applyProtection="0">
      <alignment horizontal="center"/>
    </xf>
    <xf numFmtId="248" fontId="46" fillId="0" borderId="601"/>
    <xf numFmtId="192" fontId="9" fillId="3" borderId="601">
      <alignment horizontal="right" vertical="center"/>
    </xf>
    <xf numFmtId="180" fontId="9" fillId="3" borderId="601">
      <alignment horizontal="right" vertical="center"/>
    </xf>
    <xf numFmtId="186" fontId="146" fillId="3" borderId="601" applyBorder="0">
      <alignment horizontal="left" vertical="center"/>
    </xf>
    <xf numFmtId="0" fontId="165" fillId="0" borderId="601" applyFill="0" applyProtection="0">
      <alignment horizontal="center"/>
    </xf>
    <xf numFmtId="0" fontId="166" fillId="0" borderId="601">
      <alignment horizontal="center"/>
    </xf>
    <xf numFmtId="264" fontId="12" fillId="14" borderId="601" applyFont="0" applyFill="0" applyBorder="0" applyAlignment="0" applyProtection="0">
      <alignment horizontal="right"/>
    </xf>
    <xf numFmtId="0" fontId="210" fillId="0" borderId="601" applyNumberFormat="0" applyFill="0" applyBorder="0" applyAlignment="0">
      <protection locked="0"/>
    </xf>
    <xf numFmtId="254" fontId="240" fillId="0" borderId="601" applyBorder="0" applyProtection="0">
      <alignment horizontal="right" vertical="center"/>
    </xf>
    <xf numFmtId="0" fontId="241" fillId="94" borderId="601" applyBorder="0" applyProtection="0">
      <alignment horizontal="centerContinuous" vertical="center"/>
    </xf>
    <xf numFmtId="246" fontId="249" fillId="0" borderId="601" applyFill="0" applyProtection="0">
      <alignment horizontal="center"/>
    </xf>
    <xf numFmtId="246" fontId="250" fillId="0" borderId="601" applyFill="0" applyProtection="0">
      <alignment horizontal="center"/>
    </xf>
    <xf numFmtId="186" fontId="140" fillId="3" borderId="617">
      <alignment horizontal="center" vertical="center"/>
    </xf>
    <xf numFmtId="0" fontId="78" fillId="14" borderId="603" applyFont="0" applyFill="0" applyBorder="0" applyAlignment="0" applyProtection="0"/>
    <xf numFmtId="222" fontId="79" fillId="0" borderId="624" applyBorder="0"/>
    <xf numFmtId="0" fontId="78" fillId="14" borderId="627" applyFont="0" applyFill="0" applyBorder="0" applyAlignment="0" applyProtection="0"/>
    <xf numFmtId="0" fontId="25" fillId="10" borderId="635" applyNumberFormat="0" applyProtection="0">
      <alignment horizontal="left" vertical="top"/>
    </xf>
    <xf numFmtId="0" fontId="25" fillId="10" borderId="634" applyNumberFormat="0" applyProtection="0">
      <alignment horizontal="left" vertical="top"/>
    </xf>
    <xf numFmtId="0" fontId="25" fillId="10" borderId="633" applyNumberFormat="0" applyProtection="0">
      <alignment horizontal="left" vertical="top"/>
    </xf>
    <xf numFmtId="0" fontId="25" fillId="10" borderId="632" applyNumberFormat="0" applyProtection="0">
      <alignment horizontal="left" vertical="top"/>
    </xf>
    <xf numFmtId="0" fontId="214" fillId="0" borderId="631" applyNumberFormat="0" applyFont="0" applyFill="0" applyAlignment="0" applyProtection="0"/>
    <xf numFmtId="0" fontId="2" fillId="0" borderId="630" applyNumberFormat="0" applyAlignment="0" applyProtection="0"/>
    <xf numFmtId="186" fontId="140" fillId="3" borderId="629">
      <alignment horizontal="center" vertical="center"/>
    </xf>
    <xf numFmtId="186" fontId="146" fillId="3" borderId="628">
      <alignment horizontal="left"/>
    </xf>
    <xf numFmtId="0" fontId="75" fillId="0" borderId="626" applyNumberFormat="0" applyFont="0" applyFill="0" applyAlignment="0" applyProtection="0"/>
    <xf numFmtId="222" fontId="79" fillId="0" borderId="636" applyBorder="0"/>
    <xf numFmtId="0" fontId="101" fillId="0" borderId="637" applyBorder="0"/>
    <xf numFmtId="222" fontId="79" fillId="0" borderId="636" applyBorder="0"/>
    <xf numFmtId="0" fontId="113" fillId="0" borderId="637" applyNumberFormat="0" applyFill="0" applyAlignment="0" applyProtection="0"/>
    <xf numFmtId="0" fontId="12" fillId="0" borderId="637" applyNumberFormat="0" applyFill="0" applyBorder="0" applyAlignment="0" applyProtection="0">
      <alignment horizontal="center"/>
    </xf>
    <xf numFmtId="248" fontId="46" fillId="0" borderId="637"/>
    <xf numFmtId="192" fontId="9" fillId="3" borderId="637">
      <alignment horizontal="right" vertical="center"/>
    </xf>
    <xf numFmtId="180" fontId="9" fillId="3" borderId="637">
      <alignment horizontal="right" vertical="center"/>
    </xf>
    <xf numFmtId="186" fontId="146" fillId="3" borderId="637" applyBorder="0">
      <alignment horizontal="left" vertical="center"/>
    </xf>
    <xf numFmtId="0" fontId="165" fillId="0" borderId="637" applyFill="0" applyProtection="0">
      <alignment horizontal="center"/>
    </xf>
    <xf numFmtId="0" fontId="166" fillId="0" borderId="637">
      <alignment horizontal="center"/>
    </xf>
    <xf numFmtId="264" fontId="12" fillId="14" borderId="637" applyFont="0" applyFill="0" applyBorder="0" applyAlignment="0" applyProtection="0">
      <alignment horizontal="right"/>
    </xf>
    <xf numFmtId="0" fontId="210" fillId="0" borderId="637" applyNumberFormat="0" applyFill="0" applyBorder="0" applyAlignment="0">
      <protection locked="0"/>
    </xf>
    <xf numFmtId="254" fontId="240" fillId="0" borderId="637" applyBorder="0" applyProtection="0">
      <alignment horizontal="right" vertical="center"/>
    </xf>
    <xf numFmtId="0" fontId="241" fillId="94" borderId="637" applyBorder="0" applyProtection="0">
      <alignment horizontal="centerContinuous" vertical="center"/>
    </xf>
    <xf numFmtId="246" fontId="249" fillId="0" borderId="637" applyFill="0" applyProtection="0">
      <alignment horizontal="center"/>
    </xf>
    <xf numFmtId="246" fontId="250" fillId="0" borderId="637" applyFill="0" applyProtection="0">
      <alignment horizontal="center"/>
    </xf>
    <xf numFmtId="222" fontId="79" fillId="0" borderId="648" applyBorder="0"/>
    <xf numFmtId="0" fontId="78" fillId="14" borderId="651" applyFont="0" applyFill="0" applyBorder="0" applyAlignment="0" applyProtection="0"/>
    <xf numFmtId="0" fontId="25" fillId="10" borderId="659" applyNumberFormat="0" applyProtection="0">
      <alignment horizontal="left" vertical="top"/>
    </xf>
    <xf numFmtId="0" fontId="25" fillId="10" borderId="658" applyNumberFormat="0" applyProtection="0">
      <alignment horizontal="left" vertical="top"/>
    </xf>
    <xf numFmtId="0" fontId="25" fillId="10" borderId="657" applyNumberFormat="0" applyProtection="0">
      <alignment horizontal="left" vertical="top"/>
    </xf>
    <xf numFmtId="0" fontId="25" fillId="10" borderId="656" applyNumberFormat="0" applyProtection="0">
      <alignment horizontal="left" vertical="top"/>
    </xf>
    <xf numFmtId="0" fontId="214" fillId="0" borderId="655" applyNumberFormat="0" applyFont="0" applyFill="0" applyAlignment="0" applyProtection="0"/>
    <xf numFmtId="0" fontId="2" fillId="0" borderId="654" applyNumberFormat="0" applyAlignment="0" applyProtection="0"/>
    <xf numFmtId="186" fontId="140" fillId="3" borderId="653">
      <alignment horizontal="center" vertical="center"/>
    </xf>
    <xf numFmtId="186" fontId="146" fillId="3" borderId="652">
      <alignment horizontal="left"/>
    </xf>
    <xf numFmtId="0" fontId="75" fillId="0" borderId="650" applyNumberFormat="0" applyFont="0" applyFill="0" applyAlignment="0" applyProtection="0"/>
    <xf numFmtId="222" fontId="79" fillId="0" borderId="660" applyBorder="0"/>
    <xf numFmtId="0" fontId="101" fillId="0" borderId="661" applyBorder="0"/>
    <xf numFmtId="222" fontId="79" fillId="0" borderId="660" applyBorder="0"/>
    <xf numFmtId="0" fontId="113" fillId="0" borderId="661" applyNumberFormat="0" applyFill="0" applyAlignment="0" applyProtection="0"/>
    <xf numFmtId="0" fontId="12" fillId="0" borderId="661" applyNumberFormat="0" applyFill="0" applyBorder="0" applyAlignment="0" applyProtection="0">
      <alignment horizontal="center"/>
    </xf>
    <xf numFmtId="248" fontId="46" fillId="0" borderId="661"/>
    <xf numFmtId="192" fontId="9" fillId="3" borderId="661">
      <alignment horizontal="right" vertical="center"/>
    </xf>
    <xf numFmtId="180" fontId="9" fillId="3" borderId="661">
      <alignment horizontal="right" vertical="center"/>
    </xf>
    <xf numFmtId="186" fontId="146" fillId="3" borderId="661" applyBorder="0">
      <alignment horizontal="left" vertical="center"/>
    </xf>
    <xf numFmtId="0" fontId="165" fillId="0" borderId="661" applyFill="0" applyProtection="0">
      <alignment horizontal="center"/>
    </xf>
    <xf numFmtId="0" fontId="166" fillId="0" borderId="661">
      <alignment horizontal="center"/>
    </xf>
    <xf numFmtId="264" fontId="12" fillId="14" borderId="661" applyFont="0" applyFill="0" applyBorder="0" applyAlignment="0" applyProtection="0">
      <alignment horizontal="right"/>
    </xf>
    <xf numFmtId="0" fontId="210" fillId="0" borderId="661" applyNumberFormat="0" applyFill="0" applyBorder="0" applyAlignment="0">
      <protection locked="0"/>
    </xf>
    <xf numFmtId="254" fontId="240" fillId="0" borderId="661" applyBorder="0" applyProtection="0">
      <alignment horizontal="right" vertical="center"/>
    </xf>
    <xf numFmtId="0" fontId="241" fillId="94" borderId="661" applyBorder="0" applyProtection="0">
      <alignment horizontal="centerContinuous" vertical="center"/>
    </xf>
    <xf numFmtId="246" fontId="249" fillId="0" borderId="661" applyFill="0" applyProtection="0">
      <alignment horizontal="center"/>
    </xf>
    <xf numFmtId="246" fontId="250" fillId="0" borderId="661" applyFill="0" applyProtection="0">
      <alignment horizontal="center"/>
    </xf>
    <xf numFmtId="0" fontId="75" fillId="0" borderId="674" applyNumberFormat="0" applyFont="0" applyFill="0" applyAlignment="0" applyProtection="0"/>
    <xf numFmtId="0" fontId="78" fillId="14" borderId="675" applyFont="0" applyFill="0" applyBorder="0" applyAlignment="0" applyProtection="0"/>
    <xf numFmtId="186" fontId="146" fillId="3" borderId="676">
      <alignment horizontal="left"/>
    </xf>
    <xf numFmtId="186" fontId="140" fillId="3" borderId="677">
      <alignment horizontal="center" vertical="center"/>
    </xf>
    <xf numFmtId="0" fontId="2" fillId="0" borderId="678" applyNumberFormat="0" applyAlignment="0" applyProtection="0"/>
    <xf numFmtId="0" fontId="214" fillId="0" borderId="679" applyNumberFormat="0" applyFont="0" applyFill="0" applyAlignment="0" applyProtection="0"/>
    <xf numFmtId="0" fontId="25" fillId="10" borderId="680" applyNumberFormat="0" applyProtection="0">
      <alignment horizontal="left" vertical="top"/>
    </xf>
    <xf numFmtId="0" fontId="25" fillId="10" borderId="681" applyNumberFormat="0" applyProtection="0">
      <alignment horizontal="left" vertical="top"/>
    </xf>
    <xf numFmtId="0" fontId="25" fillId="10" borderId="682" applyNumberFormat="0" applyProtection="0">
      <alignment horizontal="left" vertical="top"/>
    </xf>
    <xf numFmtId="0" fontId="25" fillId="10" borderId="683" applyNumberFormat="0" applyProtection="0">
      <alignment horizontal="left" vertical="top"/>
    </xf>
    <xf numFmtId="246" fontId="250" fillId="0" borderId="673" applyFill="0" applyProtection="0">
      <alignment horizontal="center"/>
    </xf>
    <xf numFmtId="246" fontId="249" fillId="0" borderId="673" applyFill="0" applyProtection="0">
      <alignment horizontal="center"/>
    </xf>
    <xf numFmtId="0" fontId="241" fillId="94" borderId="673" applyBorder="0" applyProtection="0">
      <alignment horizontal="centerContinuous" vertical="center"/>
    </xf>
    <xf numFmtId="254" fontId="240" fillId="0" borderId="673" applyBorder="0" applyProtection="0">
      <alignment horizontal="right" vertical="center"/>
    </xf>
    <xf numFmtId="0" fontId="210" fillId="0" borderId="673" applyNumberFormat="0" applyFill="0" applyBorder="0" applyAlignment="0">
      <protection locked="0"/>
    </xf>
    <xf numFmtId="264" fontId="12" fillId="14" borderId="673" applyFont="0" applyFill="0" applyBorder="0" applyAlignment="0" applyProtection="0">
      <alignment horizontal="right"/>
    </xf>
    <xf numFmtId="0" fontId="166" fillId="0" borderId="673">
      <alignment horizontal="center"/>
    </xf>
    <xf numFmtId="0" fontId="165" fillId="0" borderId="673" applyFill="0" applyProtection="0">
      <alignment horizontal="center"/>
    </xf>
    <xf numFmtId="186" fontId="146" fillId="3" borderId="673" applyBorder="0">
      <alignment horizontal="left" vertical="center"/>
    </xf>
    <xf numFmtId="180" fontId="9" fillId="3" borderId="673">
      <alignment horizontal="right" vertical="center"/>
    </xf>
    <xf numFmtId="192" fontId="9" fillId="3" borderId="673">
      <alignment horizontal="right" vertical="center"/>
    </xf>
    <xf numFmtId="0" fontId="12" fillId="0" borderId="673" applyNumberFormat="0" applyFill="0" applyBorder="0" applyAlignment="0" applyProtection="0">
      <alignment horizontal="center"/>
    </xf>
    <xf numFmtId="0" fontId="113" fillId="0" borderId="673" applyNumberFormat="0" applyFill="0" applyAlignment="0" applyProtection="0"/>
    <xf numFmtId="222" fontId="79" fillId="0" borderId="672" applyBorder="0"/>
    <xf numFmtId="0" fontId="101" fillId="0" borderId="673" applyBorder="0"/>
    <xf numFmtId="248" fontId="46" fillId="0" borderId="673"/>
    <xf numFmtId="0" fontId="101" fillId="0" borderId="673" applyBorder="0"/>
    <xf numFmtId="222" fontId="79" fillId="0" borderId="672" applyBorder="0"/>
    <xf numFmtId="0" fontId="113" fillId="0" borderId="673" applyNumberFormat="0" applyFill="0" applyAlignment="0" applyProtection="0"/>
    <xf numFmtId="0" fontId="75" fillId="0" borderId="674" applyNumberFormat="0" applyFont="0" applyFill="0" applyAlignment="0" applyProtection="0"/>
    <xf numFmtId="0" fontId="12" fillId="0" borderId="673" applyNumberFormat="0" applyFill="0" applyBorder="0" applyAlignment="0" applyProtection="0">
      <alignment horizontal="center"/>
    </xf>
    <xf numFmtId="248" fontId="46" fillId="0" borderId="673"/>
    <xf numFmtId="192" fontId="9" fillId="3" borderId="673">
      <alignment horizontal="right" vertical="center"/>
    </xf>
    <xf numFmtId="180" fontId="9" fillId="3" borderId="673">
      <alignment horizontal="right" vertical="center"/>
    </xf>
    <xf numFmtId="186" fontId="146" fillId="3" borderId="673" applyBorder="0">
      <alignment horizontal="left" vertical="center"/>
    </xf>
    <xf numFmtId="186" fontId="146" fillId="3" borderId="676">
      <alignment horizontal="left"/>
    </xf>
    <xf numFmtId="186" fontId="140" fillId="3" borderId="677">
      <alignment horizontal="center" vertical="center"/>
    </xf>
    <xf numFmtId="0" fontId="165" fillId="0" borderId="673" applyFill="0" applyProtection="0">
      <alignment horizontal="center"/>
    </xf>
    <xf numFmtId="0" fontId="166" fillId="0" borderId="673">
      <alignment horizontal="center"/>
    </xf>
    <xf numFmtId="264" fontId="12" fillId="14" borderId="673" applyFont="0" applyFill="0" applyBorder="0" applyAlignment="0" applyProtection="0">
      <alignment horizontal="right"/>
    </xf>
    <xf numFmtId="0" fontId="210" fillId="0" borderId="673" applyNumberFormat="0" applyFill="0" applyBorder="0" applyAlignment="0">
      <protection locked="0"/>
    </xf>
    <xf numFmtId="0" fontId="2" fillId="0" borderId="678" applyNumberFormat="0" applyAlignment="0" applyProtection="0"/>
    <xf numFmtId="0" fontId="214" fillId="0" borderId="679" applyNumberFormat="0" applyFont="0" applyFill="0" applyAlignment="0" applyProtection="0"/>
    <xf numFmtId="0" fontId="25" fillId="10" borderId="680" applyNumberFormat="0" applyProtection="0">
      <alignment horizontal="left" vertical="top"/>
    </xf>
    <xf numFmtId="0" fontId="25" fillId="10" borderId="681" applyNumberFormat="0" applyProtection="0">
      <alignment horizontal="left" vertical="top"/>
    </xf>
    <xf numFmtId="0" fontId="25" fillId="10" borderId="682" applyNumberFormat="0" applyProtection="0">
      <alignment horizontal="left" vertical="top"/>
    </xf>
    <xf numFmtId="0" fontId="25" fillId="10" borderId="683" applyNumberFormat="0" applyProtection="0">
      <alignment horizontal="left" vertical="top"/>
    </xf>
    <xf numFmtId="0" fontId="25" fillId="10" borderId="680" applyNumberFormat="0" applyProtection="0">
      <alignment horizontal="left" vertical="top"/>
    </xf>
    <xf numFmtId="0" fontId="25" fillId="10" borderId="681" applyNumberFormat="0" applyProtection="0">
      <alignment horizontal="left" vertical="top"/>
    </xf>
    <xf numFmtId="0" fontId="25" fillId="10" borderId="682" applyNumberFormat="0" applyProtection="0">
      <alignment horizontal="left" vertical="top"/>
    </xf>
    <xf numFmtId="0" fontId="25" fillId="10" borderId="683" applyNumberFormat="0" applyProtection="0">
      <alignment horizontal="left" vertical="top"/>
    </xf>
    <xf numFmtId="254" fontId="240" fillId="0" borderId="673" applyBorder="0" applyProtection="0">
      <alignment horizontal="right" vertical="center"/>
    </xf>
    <xf numFmtId="0" fontId="241" fillId="94" borderId="673" applyBorder="0" applyProtection="0">
      <alignment horizontal="centerContinuous" vertical="center"/>
    </xf>
    <xf numFmtId="246" fontId="249" fillId="0" borderId="673" applyFill="0" applyProtection="0">
      <alignment horizontal="center"/>
    </xf>
    <xf numFmtId="246" fontId="250" fillId="0" borderId="673" applyFill="0" applyProtection="0">
      <alignment horizontal="center"/>
    </xf>
    <xf numFmtId="190" fontId="101" fillId="0" borderId="673" applyBorder="0"/>
    <xf numFmtId="190" fontId="113" fillId="0" borderId="673" applyNumberFormat="0" applyFill="0" applyAlignment="0" applyProtection="0"/>
    <xf numFmtId="190" fontId="75" fillId="0" borderId="650" applyNumberFormat="0" applyFont="0" applyFill="0" applyAlignment="0" applyProtection="0"/>
    <xf numFmtId="190" fontId="12" fillId="0" borderId="673" applyNumberFormat="0" applyFill="0" applyBorder="0" applyAlignment="0" applyProtection="0">
      <alignment horizontal="center"/>
    </xf>
    <xf numFmtId="190" fontId="78" fillId="14" borderId="663" applyFont="0" applyFill="0" applyBorder="0" applyAlignment="0" applyProtection="0"/>
    <xf numFmtId="190" fontId="165" fillId="0" borderId="673" applyFill="0" applyProtection="0">
      <alignment horizontal="center"/>
    </xf>
    <xf numFmtId="190" fontId="166" fillId="0" borderId="673">
      <alignment horizontal="center"/>
    </xf>
    <xf numFmtId="190" fontId="210" fillId="0" borderId="673" applyNumberFormat="0" applyFill="0" applyBorder="0" applyAlignment="0">
      <protection locked="0"/>
    </xf>
    <xf numFmtId="190" fontId="2" fillId="0" borderId="654" applyNumberFormat="0" applyAlignment="0" applyProtection="0"/>
    <xf numFmtId="190" fontId="214" fillId="0" borderId="655" applyNumberFormat="0" applyFont="0" applyFill="0" applyAlignment="0" applyProtection="0"/>
    <xf numFmtId="190" fontId="25" fillId="10" borderId="656" applyNumberFormat="0" applyProtection="0">
      <alignment horizontal="left" vertical="top"/>
    </xf>
    <xf numFmtId="190" fontId="25" fillId="10" borderId="657" applyNumberFormat="0" applyProtection="0">
      <alignment horizontal="left" vertical="top"/>
    </xf>
    <xf numFmtId="190" fontId="25" fillId="10" borderId="658" applyNumberFormat="0" applyProtection="0">
      <alignment horizontal="left" vertical="top"/>
    </xf>
    <xf numFmtId="190" fontId="25" fillId="10" borderId="659" applyNumberFormat="0" applyProtection="0">
      <alignment horizontal="left" vertical="top"/>
    </xf>
    <xf numFmtId="190" fontId="241" fillId="94" borderId="673" applyBorder="0" applyProtection="0">
      <alignment horizontal="centerContinuous" vertical="center"/>
    </xf>
    <xf numFmtId="222" fontId="79" fillId="0" borderId="672" applyBorder="0"/>
    <xf numFmtId="0" fontId="101" fillId="0" borderId="673" applyBorder="0"/>
    <xf numFmtId="222" fontId="79" fillId="0" borderId="672" applyBorder="0"/>
    <xf numFmtId="0" fontId="113" fillId="0" borderId="673" applyNumberFormat="0" applyFill="0" applyAlignment="0" applyProtection="0"/>
    <xf numFmtId="0" fontId="75" fillId="0" borderId="650" applyNumberFormat="0" applyFont="0" applyFill="0" applyAlignment="0" applyProtection="0"/>
    <xf numFmtId="0" fontId="12" fillId="0" borderId="673" applyNumberFormat="0" applyFill="0" applyBorder="0" applyAlignment="0" applyProtection="0">
      <alignment horizontal="center"/>
    </xf>
    <xf numFmtId="248" fontId="46" fillId="0" borderId="673"/>
    <xf numFmtId="192" fontId="9" fillId="3" borderId="673">
      <alignment horizontal="right" vertical="center"/>
    </xf>
    <xf numFmtId="180" fontId="9" fillId="3" borderId="673">
      <alignment horizontal="right" vertical="center"/>
    </xf>
    <xf numFmtId="186" fontId="146" fillId="3" borderId="673" applyBorder="0">
      <alignment horizontal="left" vertical="center"/>
    </xf>
    <xf numFmtId="186" fontId="146" fillId="3" borderId="652">
      <alignment horizontal="left"/>
    </xf>
    <xf numFmtId="186" fontId="140" fillId="3" borderId="653">
      <alignment horizontal="center" vertical="center"/>
    </xf>
    <xf numFmtId="0" fontId="165" fillId="0" borderId="673" applyFill="0" applyProtection="0">
      <alignment horizontal="center"/>
    </xf>
    <xf numFmtId="0" fontId="166" fillId="0" borderId="673">
      <alignment horizontal="center"/>
    </xf>
    <xf numFmtId="264" fontId="12" fillId="14" borderId="673" applyFont="0" applyFill="0" applyBorder="0" applyAlignment="0" applyProtection="0">
      <alignment horizontal="right"/>
    </xf>
    <xf numFmtId="0" fontId="210" fillId="0" borderId="673" applyNumberFormat="0" applyFill="0" applyBorder="0" applyAlignment="0">
      <protection locked="0"/>
    </xf>
    <xf numFmtId="0" fontId="2" fillId="0" borderId="654" applyNumberFormat="0" applyAlignment="0" applyProtection="0"/>
    <xf numFmtId="0" fontId="214" fillId="0" borderId="655" applyNumberFormat="0" applyFont="0" applyFill="0" applyAlignment="0" applyProtection="0"/>
    <xf numFmtId="0" fontId="25" fillId="10" borderId="656" applyNumberFormat="0" applyProtection="0">
      <alignment horizontal="left" vertical="top"/>
    </xf>
    <xf numFmtId="0" fontId="25" fillId="10" borderId="657" applyNumberFormat="0" applyProtection="0">
      <alignment horizontal="left" vertical="top"/>
    </xf>
    <xf numFmtId="0" fontId="25" fillId="10" borderId="658" applyNumberFormat="0" applyProtection="0">
      <alignment horizontal="left" vertical="top"/>
    </xf>
    <xf numFmtId="0" fontId="25" fillId="10" borderId="659" applyNumberFormat="0" applyProtection="0">
      <alignment horizontal="left" vertical="top"/>
    </xf>
    <xf numFmtId="0" fontId="25" fillId="10" borderId="656" applyNumberFormat="0" applyProtection="0">
      <alignment horizontal="left" vertical="top"/>
    </xf>
    <xf numFmtId="0" fontId="25" fillId="10" borderId="657" applyNumberFormat="0" applyProtection="0">
      <alignment horizontal="left" vertical="top"/>
    </xf>
    <xf numFmtId="0" fontId="25" fillId="10" borderId="658" applyNumberFormat="0" applyProtection="0">
      <alignment horizontal="left" vertical="top"/>
    </xf>
    <xf numFmtId="0" fontId="25" fillId="10" borderId="659" applyNumberFormat="0" applyProtection="0">
      <alignment horizontal="left" vertical="top"/>
    </xf>
    <xf numFmtId="254" fontId="240" fillId="0" borderId="673" applyBorder="0" applyProtection="0">
      <alignment horizontal="right" vertical="center"/>
    </xf>
    <xf numFmtId="0" fontId="241" fillId="94" borderId="673" applyBorder="0" applyProtection="0">
      <alignment horizontal="centerContinuous" vertical="center"/>
    </xf>
    <xf numFmtId="246" fontId="249" fillId="0" borderId="673" applyFill="0" applyProtection="0">
      <alignment horizontal="center"/>
    </xf>
    <xf numFmtId="246" fontId="250" fillId="0" borderId="673" applyFill="0" applyProtection="0">
      <alignment horizontal="center"/>
    </xf>
    <xf numFmtId="312" fontId="101" fillId="0" borderId="673" applyBorder="0"/>
    <xf numFmtId="312" fontId="113" fillId="0" borderId="673" applyNumberFormat="0" applyFill="0" applyAlignment="0" applyProtection="0"/>
    <xf numFmtId="312" fontId="75" fillId="0" borderId="650" applyNumberFormat="0" applyFont="0" applyFill="0" applyAlignment="0" applyProtection="0"/>
    <xf numFmtId="312" fontId="12" fillId="0" borderId="673" applyNumberFormat="0" applyFill="0" applyBorder="0" applyAlignment="0" applyProtection="0">
      <alignment horizontal="center"/>
    </xf>
    <xf numFmtId="312" fontId="165" fillId="0" borderId="673" applyFill="0" applyProtection="0">
      <alignment horizontal="center"/>
    </xf>
    <xf numFmtId="312" fontId="242" fillId="0" borderId="673">
      <alignment horizontal="center"/>
    </xf>
    <xf numFmtId="312" fontId="210" fillId="0" borderId="673" applyNumberFormat="0" applyFill="0" applyBorder="0" applyAlignment="0">
      <protection locked="0"/>
    </xf>
    <xf numFmtId="312" fontId="2" fillId="0" borderId="654" applyNumberFormat="0" applyAlignment="0" applyProtection="0"/>
    <xf numFmtId="312" fontId="214" fillId="0" borderId="655" applyNumberFormat="0" applyFont="0" applyFill="0" applyAlignment="0" applyProtection="0"/>
    <xf numFmtId="312" fontId="25" fillId="10" borderId="656" applyNumberFormat="0" applyProtection="0">
      <alignment horizontal="left" vertical="top"/>
    </xf>
    <xf numFmtId="312" fontId="25" fillId="10" borderId="657" applyNumberFormat="0" applyProtection="0">
      <alignment horizontal="left" vertical="top"/>
    </xf>
    <xf numFmtId="312" fontId="25" fillId="10" borderId="658" applyNumberFormat="0" applyProtection="0">
      <alignment horizontal="left" vertical="top"/>
    </xf>
    <xf numFmtId="312" fontId="25" fillId="10" borderId="659" applyNumberFormat="0" applyProtection="0">
      <alignment horizontal="left" vertical="top"/>
    </xf>
    <xf numFmtId="312" fontId="241" fillId="94" borderId="673" applyBorder="0" applyProtection="0">
      <alignment horizontal="centerContinuous" vertical="center"/>
    </xf>
    <xf numFmtId="246" fontId="296" fillId="0" borderId="673" applyFill="0" applyProtection="0">
      <alignment horizontal="center"/>
    </xf>
    <xf numFmtId="312" fontId="101" fillId="0" borderId="673" applyBorder="0"/>
    <xf numFmtId="312" fontId="113" fillId="0" borderId="673" applyNumberFormat="0" applyFill="0" applyAlignment="0" applyProtection="0"/>
    <xf numFmtId="312" fontId="75" fillId="0" borderId="650" applyNumberFormat="0" applyFont="0" applyFill="0" applyAlignment="0" applyProtection="0"/>
    <xf numFmtId="312" fontId="12" fillId="0" borderId="673" applyNumberFormat="0" applyFill="0" applyBorder="0" applyAlignment="0" applyProtection="0">
      <alignment horizontal="center"/>
    </xf>
    <xf numFmtId="312" fontId="165" fillId="0" borderId="673" applyFill="0" applyProtection="0">
      <alignment horizontal="center"/>
    </xf>
    <xf numFmtId="312" fontId="242" fillId="0" borderId="673">
      <alignment horizontal="center"/>
    </xf>
    <xf numFmtId="312" fontId="210" fillId="0" borderId="673" applyNumberFormat="0" applyFill="0" applyBorder="0" applyAlignment="0">
      <protection locked="0"/>
    </xf>
    <xf numFmtId="312" fontId="2" fillId="0" borderId="654" applyNumberFormat="0" applyAlignment="0" applyProtection="0"/>
    <xf numFmtId="312" fontId="214" fillId="0" borderId="655" applyNumberFormat="0" applyFont="0" applyFill="0" applyAlignment="0" applyProtection="0"/>
    <xf numFmtId="312" fontId="25" fillId="10" borderId="656" applyNumberFormat="0" applyProtection="0">
      <alignment horizontal="left" vertical="top"/>
    </xf>
    <xf numFmtId="312" fontId="25" fillId="10" borderId="657" applyNumberFormat="0" applyProtection="0">
      <alignment horizontal="left" vertical="top"/>
    </xf>
    <xf numFmtId="312" fontId="25" fillId="10" borderId="658" applyNumberFormat="0" applyProtection="0">
      <alignment horizontal="left" vertical="top"/>
    </xf>
    <xf numFmtId="312" fontId="25" fillId="10" borderId="659" applyNumberFormat="0" applyProtection="0">
      <alignment horizontal="left" vertical="top"/>
    </xf>
    <xf numFmtId="312" fontId="25" fillId="10" borderId="656" applyNumberFormat="0" applyProtection="0">
      <alignment horizontal="left" vertical="top"/>
    </xf>
    <xf numFmtId="312" fontId="25" fillId="10" borderId="657" applyNumberFormat="0" applyProtection="0">
      <alignment horizontal="left" vertical="top"/>
    </xf>
    <xf numFmtId="312" fontId="25" fillId="10" borderId="658" applyNumberFormat="0" applyProtection="0">
      <alignment horizontal="left" vertical="top"/>
    </xf>
    <xf numFmtId="312" fontId="25" fillId="10" borderId="659" applyNumberFormat="0" applyProtection="0">
      <alignment horizontal="left" vertical="top"/>
    </xf>
    <xf numFmtId="312" fontId="241" fillId="94" borderId="673" applyBorder="0" applyProtection="0">
      <alignment horizontal="centerContinuous" vertical="center"/>
    </xf>
    <xf numFmtId="246" fontId="296" fillId="0" borderId="673" applyFill="0" applyProtection="0">
      <alignment horizontal="center"/>
    </xf>
    <xf numFmtId="246" fontId="250" fillId="0" borderId="673" applyFill="0" applyProtection="0">
      <alignment horizontal="center"/>
    </xf>
    <xf numFmtId="246" fontId="249" fillId="0" borderId="673" applyFill="0" applyProtection="0">
      <alignment horizontal="center"/>
    </xf>
    <xf numFmtId="0" fontId="241" fillId="94" borderId="673" applyBorder="0" applyProtection="0">
      <alignment horizontal="centerContinuous" vertical="center"/>
    </xf>
    <xf numFmtId="254" fontId="240" fillId="0" borderId="673" applyBorder="0" applyProtection="0">
      <alignment horizontal="right" vertical="center"/>
    </xf>
    <xf numFmtId="0" fontId="25" fillId="10" borderId="671" applyNumberFormat="0" applyProtection="0">
      <alignment horizontal="left" vertical="top"/>
    </xf>
    <xf numFmtId="0" fontId="25" fillId="10" borderId="670" applyNumberFormat="0" applyProtection="0">
      <alignment horizontal="left" vertical="top"/>
    </xf>
    <xf numFmtId="0" fontId="25" fillId="10" borderId="669" applyNumberFormat="0" applyProtection="0">
      <alignment horizontal="left" vertical="top"/>
    </xf>
    <xf numFmtId="0" fontId="25" fillId="10" borderId="668" applyNumberFormat="0" applyProtection="0">
      <alignment horizontal="left" vertical="top"/>
    </xf>
    <xf numFmtId="0" fontId="214" fillId="0" borderId="667" applyNumberFormat="0" applyFont="0" applyFill="0" applyAlignment="0" applyProtection="0"/>
    <xf numFmtId="0" fontId="2" fillId="0" borderId="666" applyNumberFormat="0" applyAlignment="0" applyProtection="0"/>
    <xf numFmtId="0" fontId="210" fillId="0" borderId="673" applyNumberFormat="0" applyFill="0" applyBorder="0" applyAlignment="0">
      <protection locked="0"/>
    </xf>
    <xf numFmtId="264" fontId="12" fillId="14" borderId="673" applyFont="0" applyFill="0" applyBorder="0" applyAlignment="0" applyProtection="0">
      <alignment horizontal="right"/>
    </xf>
    <xf numFmtId="0" fontId="166" fillId="0" borderId="673">
      <alignment horizontal="center"/>
    </xf>
    <xf numFmtId="0" fontId="165" fillId="0" borderId="673" applyFill="0" applyProtection="0">
      <alignment horizontal="center"/>
    </xf>
    <xf numFmtId="186" fontId="140" fillId="3" borderId="665">
      <alignment horizontal="center" vertical="center"/>
    </xf>
    <xf numFmtId="186" fontId="146" fillId="3" borderId="664">
      <alignment horizontal="left"/>
    </xf>
    <xf numFmtId="186" fontId="146" fillId="3" borderId="673" applyBorder="0">
      <alignment horizontal="left" vertical="center"/>
    </xf>
    <xf numFmtId="180" fontId="9" fillId="3" borderId="673">
      <alignment horizontal="right" vertical="center"/>
    </xf>
    <xf numFmtId="192" fontId="9" fillId="3" borderId="673">
      <alignment horizontal="right" vertical="center"/>
    </xf>
    <xf numFmtId="248" fontId="46" fillId="0" borderId="673"/>
    <xf numFmtId="0" fontId="78" fillId="14" borderId="663" applyFont="0" applyFill="0" applyBorder="0" applyAlignment="0" applyProtection="0"/>
    <xf numFmtId="0" fontId="12" fillId="0" borderId="673" applyNumberFormat="0" applyFill="0" applyBorder="0" applyAlignment="0" applyProtection="0">
      <alignment horizontal="center"/>
    </xf>
    <xf numFmtId="0" fontId="75" fillId="0" borderId="662" applyNumberFormat="0" applyFont="0" applyFill="0" applyAlignment="0" applyProtection="0"/>
    <xf numFmtId="0" fontId="113" fillId="0" borderId="673" applyNumberFormat="0" applyFill="0" applyAlignment="0" applyProtection="0"/>
    <xf numFmtId="222" fontId="79" fillId="0" borderId="672" applyBorder="0"/>
    <xf numFmtId="0" fontId="101" fillId="0" borderId="673" applyBorder="0"/>
    <xf numFmtId="0" fontId="25" fillId="10" borderId="680" applyNumberFormat="0" applyProtection="0">
      <alignment horizontal="left" vertical="top"/>
    </xf>
    <xf numFmtId="0" fontId="25" fillId="10" borderId="681" applyNumberFormat="0" applyProtection="0">
      <alignment horizontal="left" vertical="top"/>
    </xf>
    <xf numFmtId="0" fontId="25" fillId="10" borderId="682" applyNumberFormat="0" applyProtection="0">
      <alignment horizontal="left" vertical="top"/>
    </xf>
    <xf numFmtId="0" fontId="25" fillId="10" borderId="683" applyNumberFormat="0" applyProtection="0">
      <alignment horizontal="left" vertical="top"/>
    </xf>
    <xf numFmtId="246" fontId="250" fillId="0" borderId="661" applyFill="0" applyProtection="0">
      <alignment horizontal="center"/>
    </xf>
    <xf numFmtId="246" fontId="249" fillId="0" borderId="661" applyFill="0" applyProtection="0">
      <alignment horizontal="center"/>
    </xf>
    <xf numFmtId="0" fontId="241" fillId="94" borderId="661" applyBorder="0" applyProtection="0">
      <alignment horizontal="centerContinuous" vertical="center"/>
    </xf>
    <xf numFmtId="254" fontId="240" fillId="0" borderId="661" applyBorder="0" applyProtection="0">
      <alignment horizontal="right" vertical="center"/>
    </xf>
    <xf numFmtId="0" fontId="210" fillId="0" borderId="661" applyNumberFormat="0" applyFill="0" applyBorder="0" applyAlignment="0">
      <protection locked="0"/>
    </xf>
    <xf numFmtId="264" fontId="12" fillId="14" borderId="661" applyFont="0" applyFill="0" applyBorder="0" applyAlignment="0" applyProtection="0">
      <alignment horizontal="right"/>
    </xf>
    <xf numFmtId="0" fontId="166" fillId="0" borderId="661">
      <alignment horizontal="center"/>
    </xf>
    <xf numFmtId="0" fontId="165" fillId="0" borderId="661" applyFill="0" applyProtection="0">
      <alignment horizontal="center"/>
    </xf>
    <xf numFmtId="186" fontId="146" fillId="3" borderId="661" applyBorder="0">
      <alignment horizontal="left" vertical="center"/>
    </xf>
    <xf numFmtId="180" fontId="9" fillId="3" borderId="661">
      <alignment horizontal="right" vertical="center"/>
    </xf>
    <xf numFmtId="192" fontId="9" fillId="3" borderId="661">
      <alignment horizontal="right" vertical="center"/>
    </xf>
    <xf numFmtId="248" fontId="46" fillId="0" borderId="661"/>
    <xf numFmtId="0" fontId="12" fillId="0" borderId="661" applyNumberFormat="0" applyFill="0" applyBorder="0" applyAlignment="0" applyProtection="0">
      <alignment horizontal="center"/>
    </xf>
    <xf numFmtId="0" fontId="113" fillId="0" borderId="661" applyNumberFormat="0" applyFill="0" applyAlignment="0" applyProtection="0"/>
    <xf numFmtId="222" fontId="79" fillId="0" borderId="660" applyBorder="0"/>
    <xf numFmtId="0" fontId="101" fillId="0" borderId="661" applyBorder="0"/>
    <xf numFmtId="246" fontId="250" fillId="0" borderId="661" applyFill="0" applyProtection="0">
      <alignment horizontal="center"/>
    </xf>
    <xf numFmtId="246" fontId="249" fillId="0" borderId="661" applyFill="0" applyProtection="0">
      <alignment horizontal="center"/>
    </xf>
    <xf numFmtId="0" fontId="241" fillId="94" borderId="661" applyBorder="0" applyProtection="0">
      <alignment horizontal="centerContinuous" vertical="center"/>
    </xf>
    <xf numFmtId="254" fontId="240" fillId="0" borderId="661" applyBorder="0" applyProtection="0">
      <alignment horizontal="right" vertical="center"/>
    </xf>
    <xf numFmtId="0" fontId="210" fillId="0" borderId="661" applyNumberFormat="0" applyFill="0" applyBorder="0" applyAlignment="0">
      <protection locked="0"/>
    </xf>
    <xf numFmtId="264" fontId="12" fillId="14" borderId="661" applyFont="0" applyFill="0" applyBorder="0" applyAlignment="0" applyProtection="0">
      <alignment horizontal="right"/>
    </xf>
    <xf numFmtId="0" fontId="166" fillId="0" borderId="661">
      <alignment horizontal="center"/>
    </xf>
    <xf numFmtId="0" fontId="165" fillId="0" borderId="661" applyFill="0" applyProtection="0">
      <alignment horizontal="center"/>
    </xf>
    <xf numFmtId="186" fontId="146" fillId="3" borderId="661" applyBorder="0">
      <alignment horizontal="left" vertical="center"/>
    </xf>
    <xf numFmtId="180" fontId="9" fillId="3" borderId="661">
      <alignment horizontal="right" vertical="center"/>
    </xf>
    <xf numFmtId="192" fontId="9" fillId="3" borderId="661">
      <alignment horizontal="right" vertical="center"/>
    </xf>
    <xf numFmtId="0" fontId="12" fillId="0" borderId="661" applyNumberFormat="0" applyFill="0" applyBorder="0" applyAlignment="0" applyProtection="0">
      <alignment horizontal="center"/>
    </xf>
    <xf numFmtId="0" fontId="113" fillId="0" borderId="661" applyNumberFormat="0" applyFill="0" applyAlignment="0" applyProtection="0"/>
    <xf numFmtId="222" fontId="79" fillId="0" borderId="660" applyBorder="0"/>
    <xf numFmtId="0" fontId="101" fillId="0" borderId="661" applyBorder="0"/>
    <xf numFmtId="248" fontId="46" fillId="0" borderId="661"/>
    <xf numFmtId="246" fontId="250" fillId="0" borderId="661" applyFill="0" applyProtection="0">
      <alignment horizontal="center"/>
    </xf>
    <xf numFmtId="246" fontId="249" fillId="0" borderId="661" applyFill="0" applyProtection="0">
      <alignment horizontal="center"/>
    </xf>
    <xf numFmtId="0" fontId="241" fillId="94" borderId="661" applyBorder="0" applyProtection="0">
      <alignment horizontal="centerContinuous" vertical="center"/>
    </xf>
    <xf numFmtId="254" fontId="240" fillId="0" borderId="661" applyBorder="0" applyProtection="0">
      <alignment horizontal="right" vertical="center"/>
    </xf>
    <xf numFmtId="0" fontId="210" fillId="0" borderId="661" applyNumberFormat="0" applyFill="0" applyBorder="0" applyAlignment="0">
      <protection locked="0"/>
    </xf>
    <xf numFmtId="264" fontId="12" fillId="14" borderId="661" applyFont="0" applyFill="0" applyBorder="0" applyAlignment="0" applyProtection="0">
      <alignment horizontal="right"/>
    </xf>
    <xf numFmtId="0" fontId="166" fillId="0" borderId="661">
      <alignment horizontal="center"/>
    </xf>
    <xf numFmtId="0" fontId="165" fillId="0" borderId="661" applyFill="0" applyProtection="0">
      <alignment horizontal="center"/>
    </xf>
    <xf numFmtId="186" fontId="146" fillId="3" borderId="661" applyBorder="0">
      <alignment horizontal="left" vertical="center"/>
    </xf>
    <xf numFmtId="180" fontId="9" fillId="3" borderId="661">
      <alignment horizontal="right" vertical="center"/>
    </xf>
    <xf numFmtId="192" fontId="9" fillId="3" borderId="661">
      <alignment horizontal="right" vertical="center"/>
    </xf>
    <xf numFmtId="248" fontId="46" fillId="0" borderId="661"/>
    <xf numFmtId="0" fontId="12" fillId="0" borderId="661" applyNumberFormat="0" applyFill="0" applyBorder="0" applyAlignment="0" applyProtection="0">
      <alignment horizontal="center"/>
    </xf>
    <xf numFmtId="0" fontId="113" fillId="0" borderId="661" applyNumberFormat="0" applyFill="0" applyAlignment="0" applyProtection="0"/>
    <xf numFmtId="222" fontId="79" fillId="0" borderId="660" applyBorder="0"/>
    <xf numFmtId="0" fontId="101" fillId="0" borderId="661" applyBorder="0"/>
    <xf numFmtId="192" fontId="9" fillId="3" borderId="1585">
      <alignment horizontal="right" vertical="center"/>
    </xf>
    <xf numFmtId="246" fontId="249" fillId="0" borderId="1585" applyFill="0" applyProtection="0">
      <alignment horizontal="center"/>
    </xf>
    <xf numFmtId="246" fontId="250" fillId="0" borderId="1585" applyFill="0" applyProtection="0">
      <alignment horizontal="center"/>
    </xf>
    <xf numFmtId="0" fontId="78" fillId="14" borderId="1599" applyFont="0" applyFill="0" applyBorder="0" applyAlignment="0" applyProtection="0"/>
    <xf numFmtId="246" fontId="249" fillId="0" borderId="1597" applyFill="0" applyProtection="0">
      <alignment horizontal="center"/>
    </xf>
    <xf numFmtId="264" fontId="12" fillId="14" borderId="1597" applyFont="0" applyFill="0" applyBorder="0" applyAlignment="0" applyProtection="0">
      <alignment horizontal="right"/>
    </xf>
    <xf numFmtId="0" fontId="166" fillId="0" borderId="1597">
      <alignment horizontal="center"/>
    </xf>
    <xf numFmtId="180" fontId="9" fillId="3" borderId="1597">
      <alignment horizontal="right" vertical="center"/>
    </xf>
    <xf numFmtId="0" fontId="113" fillId="0" borderId="1597" applyNumberFormat="0" applyFill="0" applyAlignment="0" applyProtection="0"/>
    <xf numFmtId="0" fontId="12" fillId="0" borderId="1597" applyNumberFormat="0" applyFill="0" applyBorder="0" applyAlignment="0" applyProtection="0">
      <alignment horizontal="center"/>
    </xf>
    <xf numFmtId="0" fontId="25" fillId="10" borderId="1604" applyNumberFormat="0" applyProtection="0">
      <alignment horizontal="left" vertical="top"/>
    </xf>
    <xf numFmtId="0" fontId="25" fillId="10" borderId="1605" applyNumberFormat="0" applyProtection="0">
      <alignment horizontal="left" vertical="top"/>
    </xf>
    <xf numFmtId="0" fontId="25" fillId="10" borderId="1606" applyNumberFormat="0" applyProtection="0">
      <alignment horizontal="left" vertical="top"/>
    </xf>
    <xf numFmtId="0" fontId="25" fillId="10" borderId="1607" applyNumberFormat="0" applyProtection="0">
      <alignment horizontal="left" vertical="top"/>
    </xf>
    <xf numFmtId="0" fontId="25" fillId="10" borderId="1604" applyNumberFormat="0" applyProtection="0">
      <alignment horizontal="left" vertical="top"/>
    </xf>
    <xf numFmtId="0" fontId="25" fillId="10" borderId="1605" applyNumberFormat="0" applyProtection="0">
      <alignment horizontal="left" vertical="top"/>
    </xf>
    <xf numFmtId="0" fontId="25" fillId="10" borderId="1606" applyNumberFormat="0" applyProtection="0">
      <alignment horizontal="left" vertical="top"/>
    </xf>
    <xf numFmtId="0" fontId="25" fillId="10" borderId="1607" applyNumberFormat="0" applyProtection="0">
      <alignment horizontal="left" vertical="top"/>
    </xf>
    <xf numFmtId="254" fontId="240" fillId="0" borderId="1597" applyBorder="0" applyProtection="0">
      <alignment horizontal="right" vertical="center"/>
    </xf>
    <xf numFmtId="0" fontId="241" fillId="94" borderId="1597" applyBorder="0" applyProtection="0">
      <alignment horizontal="centerContinuous" vertical="center"/>
    </xf>
    <xf numFmtId="246" fontId="249" fillId="0" borderId="1597" applyFill="0" applyProtection="0">
      <alignment horizontal="center"/>
    </xf>
    <xf numFmtId="190" fontId="101" fillId="0" borderId="1597" applyBorder="0"/>
    <xf numFmtId="190" fontId="113" fillId="0" borderId="1597" applyNumberFormat="0" applyFill="0" applyAlignment="0" applyProtection="0"/>
    <xf numFmtId="190" fontId="166" fillId="0" borderId="1597">
      <alignment horizontal="center"/>
    </xf>
    <xf numFmtId="190" fontId="2" fillId="0" borderId="1578" applyNumberFormat="0" applyAlignment="0" applyProtection="0"/>
    <xf numFmtId="190" fontId="25" fillId="10" borderId="1583" applyNumberFormat="0" applyProtection="0">
      <alignment horizontal="left" vertical="top"/>
    </xf>
    <xf numFmtId="0" fontId="101" fillId="0" borderId="1597" applyBorder="0"/>
    <xf numFmtId="222" fontId="79" fillId="0" borderId="1596" applyBorder="0"/>
    <xf numFmtId="0" fontId="113" fillId="0" borderId="1597" applyNumberFormat="0" applyFill="0" applyAlignment="0" applyProtection="0"/>
    <xf numFmtId="248" fontId="46" fillId="0" borderId="1597"/>
    <xf numFmtId="0" fontId="75" fillId="0" borderId="4787" applyNumberFormat="0" applyFont="0" applyFill="0" applyAlignment="0" applyProtection="0"/>
    <xf numFmtId="254" fontId="240" fillId="0" borderId="4746" applyBorder="0" applyProtection="0">
      <alignment horizontal="right" vertical="center"/>
    </xf>
    <xf numFmtId="0" fontId="25" fillId="10" borderId="1581" applyNumberFormat="0" applyProtection="0">
      <alignment horizontal="left" vertical="top"/>
    </xf>
    <xf numFmtId="312" fontId="113" fillId="0" borderId="1597" applyNumberFormat="0" applyFill="0" applyAlignment="0" applyProtection="0"/>
    <xf numFmtId="312" fontId="12" fillId="0" borderId="1597" applyNumberFormat="0" applyFill="0" applyBorder="0" applyAlignment="0" applyProtection="0">
      <alignment horizontal="center"/>
    </xf>
    <xf numFmtId="312" fontId="165" fillId="0" borderId="1597" applyFill="0" applyProtection="0">
      <alignment horizontal="center"/>
    </xf>
    <xf numFmtId="312" fontId="210" fillId="0" borderId="1597" applyNumberFormat="0" applyFill="0" applyBorder="0" applyAlignment="0">
      <protection locked="0"/>
    </xf>
    <xf numFmtId="312" fontId="2" fillId="0" borderId="1578" applyNumberFormat="0" applyAlignment="0" applyProtection="0"/>
    <xf numFmtId="312" fontId="214" fillId="0" borderId="1579" applyNumberFormat="0" applyFont="0" applyFill="0" applyAlignment="0" applyProtection="0"/>
    <xf numFmtId="186" fontId="146" fillId="3" borderId="2066">
      <alignment horizontal="left"/>
    </xf>
    <xf numFmtId="0" fontId="101" fillId="0" borderId="1381" applyBorder="0"/>
    <xf numFmtId="222" fontId="79" fillId="0" borderId="769" applyBorder="0"/>
    <xf numFmtId="0" fontId="113" fillId="0" borderId="1381" applyNumberFormat="0" applyFill="0" applyAlignment="0" applyProtection="0"/>
    <xf numFmtId="180" fontId="9" fillId="3" borderId="1381">
      <alignment horizontal="right" vertical="center"/>
    </xf>
    <xf numFmtId="0" fontId="166" fillId="0" borderId="1381">
      <alignment horizontal="center"/>
    </xf>
    <xf numFmtId="0" fontId="210" fillId="0" borderId="1381" applyNumberFormat="0" applyFill="0" applyBorder="0" applyAlignment="0">
      <protection locked="0"/>
    </xf>
    <xf numFmtId="0" fontId="241" fillId="94" borderId="1381" applyBorder="0" applyProtection="0">
      <alignment horizontal="centerContinuous" vertical="center"/>
    </xf>
    <xf numFmtId="0" fontId="101" fillId="0" borderId="1381" applyBorder="0"/>
    <xf numFmtId="0" fontId="2" fillId="0" borderId="4803" applyNumberFormat="0" applyAlignment="0" applyProtection="0"/>
    <xf numFmtId="0" fontId="113" fillId="0" borderId="1381" applyNumberFormat="0" applyFill="0" applyAlignment="0" applyProtection="0"/>
    <xf numFmtId="0" fontId="12" fillId="0" borderId="1381" applyNumberFormat="0" applyFill="0" applyBorder="0" applyAlignment="0" applyProtection="0">
      <alignment horizontal="center"/>
    </xf>
    <xf numFmtId="190" fontId="165" fillId="0" borderId="2156" applyFill="0" applyProtection="0">
      <alignment horizontal="center"/>
    </xf>
    <xf numFmtId="192" fontId="9" fillId="3" borderId="1381">
      <alignment horizontal="right" vertical="center"/>
    </xf>
    <xf numFmtId="180" fontId="9" fillId="3" borderId="1381">
      <alignment horizontal="right" vertical="center"/>
    </xf>
    <xf numFmtId="186" fontId="146" fillId="3" borderId="1381" applyBorder="0">
      <alignment horizontal="left" vertical="center"/>
    </xf>
    <xf numFmtId="0" fontId="135" fillId="0" borderId="2076"/>
    <xf numFmtId="188" fontId="25" fillId="0" borderId="2090" applyFont="0" applyFill="0" applyBorder="0" applyAlignment="0" applyProtection="0">
      <alignment horizontal="center"/>
    </xf>
    <xf numFmtId="0" fontId="12" fillId="0" borderId="4729" applyNumberFormat="0" applyFill="0" applyBorder="0" applyAlignment="0" applyProtection="0"/>
    <xf numFmtId="0" fontId="165" fillId="0" borderId="1381" applyFill="0" applyProtection="0">
      <alignment horizontal="center"/>
    </xf>
    <xf numFmtId="0" fontId="166" fillId="0" borderId="1381">
      <alignment horizontal="center"/>
    </xf>
    <xf numFmtId="0" fontId="25" fillId="10" borderId="1450" applyNumberFormat="0" applyProtection="0">
      <alignment horizontal="left" vertical="top"/>
    </xf>
    <xf numFmtId="0" fontId="75" fillId="0" borderId="4718" applyNumberFormat="0" applyFont="0" applyFill="0" applyAlignment="0" applyProtection="0"/>
    <xf numFmtId="4" fontId="224" fillId="53" borderId="4732" applyNumberFormat="0" applyProtection="0">
      <alignment vertical="center"/>
    </xf>
    <xf numFmtId="0" fontId="12" fillId="11" borderId="4732" applyNumberFormat="0" applyProtection="0">
      <alignment horizontal="left" vertical="center" indent="1"/>
    </xf>
    <xf numFmtId="0" fontId="12" fillId="0" borderId="4729" applyNumberFormat="0" applyFill="0" applyBorder="0" applyAlignment="0" applyProtection="0"/>
    <xf numFmtId="10" fontId="12" fillId="3" borderId="4742" applyNumberFormat="0" applyFont="0" applyFill="0" applyBorder="0" applyAlignment="0">
      <protection locked="0"/>
    </xf>
    <xf numFmtId="246" fontId="250" fillId="0" borderId="4762" applyFill="0" applyProtection="0">
      <alignment horizontal="center"/>
    </xf>
    <xf numFmtId="0" fontId="25" fillId="10" borderId="4724" applyNumberFormat="0" applyProtection="0">
      <alignment horizontal="left" vertical="top"/>
    </xf>
    <xf numFmtId="0" fontId="75" fillId="0" borderId="4718" applyNumberFormat="0" applyFont="0" applyFill="0" applyAlignment="0" applyProtection="0"/>
    <xf numFmtId="0" fontId="159" fillId="67" borderId="2076"/>
    <xf numFmtId="246" fontId="249" fillId="0" borderId="4746" applyFill="0" applyProtection="0">
      <alignment horizontal="center"/>
    </xf>
    <xf numFmtId="0" fontId="25" fillId="10" borderId="4725" applyNumberFormat="0" applyProtection="0">
      <alignment horizontal="left" vertical="top"/>
    </xf>
    <xf numFmtId="254" fontId="240" fillId="0" borderId="1381" applyBorder="0" applyProtection="0">
      <alignment horizontal="right" vertical="center"/>
    </xf>
    <xf numFmtId="0" fontId="241" fillId="94" borderId="1381" applyBorder="0" applyProtection="0">
      <alignment horizontal="centerContinuous" vertical="center"/>
    </xf>
    <xf numFmtId="246" fontId="249" fillId="0" borderId="1381" applyFill="0" applyProtection="0">
      <alignment horizontal="center"/>
    </xf>
    <xf numFmtId="246" fontId="250" fillId="0" borderId="1381" applyFill="0" applyProtection="0">
      <alignment horizontal="center"/>
    </xf>
    <xf numFmtId="186" fontId="146" fillId="3" borderId="2159">
      <alignment horizontal="left"/>
    </xf>
    <xf numFmtId="0" fontId="105" fillId="0" borderId="4729" applyNumberFormat="0" applyFill="0" applyBorder="0" applyAlignment="0" applyProtection="0"/>
    <xf numFmtId="0" fontId="101" fillId="0" borderId="684" applyBorder="0"/>
    <xf numFmtId="0" fontId="25" fillId="10" borderId="1449" applyNumberFormat="0" applyProtection="0">
      <alignment horizontal="left" vertical="top"/>
    </xf>
    <xf numFmtId="0" fontId="25" fillId="10" borderId="1448" applyNumberFormat="0" applyProtection="0">
      <alignment horizontal="left" vertical="top"/>
    </xf>
    <xf numFmtId="222" fontId="79" fillId="0" borderId="685" applyBorder="0"/>
    <xf numFmtId="4" fontId="226" fillId="71" borderId="2078" applyNumberFormat="0" applyProtection="0">
      <alignment horizontal="right" vertical="center"/>
    </xf>
    <xf numFmtId="186" fontId="146" fillId="3" borderId="4720">
      <alignment horizontal="left"/>
    </xf>
    <xf numFmtId="0" fontId="113" fillId="0" borderId="2093" applyNumberFormat="0" applyFill="0" applyAlignment="0" applyProtection="0"/>
    <xf numFmtId="4" fontId="226" fillId="10" borderId="2078" applyNumberFormat="0" applyProtection="0">
      <alignment horizontal="right" vertical="center"/>
    </xf>
    <xf numFmtId="0" fontId="25" fillId="10" borderId="2081" applyNumberFormat="0" applyProtection="0">
      <alignment horizontal="left"/>
    </xf>
    <xf numFmtId="0" fontId="12" fillId="3" borderId="2076" applyNumberFormat="0" applyFont="0" applyAlignment="0" applyProtection="0"/>
    <xf numFmtId="293" fontId="234" fillId="10" borderId="2076" applyFont="0" applyProtection="0"/>
    <xf numFmtId="4" fontId="226" fillId="80" borderId="2078" applyNumberFormat="0" applyProtection="0">
      <alignment horizontal="right" vertical="center"/>
    </xf>
    <xf numFmtId="0" fontId="113" fillId="0" borderId="684" applyNumberFormat="0" applyFill="0" applyAlignment="0" applyProtection="0"/>
    <xf numFmtId="0" fontId="136" fillId="84" borderId="4732" applyNumberFormat="0" applyProtection="0">
      <alignment horizontal="left" vertical="top" indent="1"/>
    </xf>
    <xf numFmtId="0" fontId="78" fillId="14" borderId="4719" applyFont="0" applyFill="0" applyBorder="0" applyAlignment="0" applyProtection="0"/>
    <xf numFmtId="0" fontId="101" fillId="0" borderId="4786" applyBorder="0"/>
    <xf numFmtId="222" fontId="79" fillId="0" borderId="4743" applyBorder="0"/>
    <xf numFmtId="186" fontId="48" fillId="3" borderId="2074">
      <alignment vertical="center"/>
    </xf>
    <xf numFmtId="182" fontId="145" fillId="3" borderId="2074">
      <alignment horizontal="right" vertical="center"/>
    </xf>
    <xf numFmtId="0" fontId="25" fillId="10" borderId="1376" applyNumberFormat="0" applyProtection="0">
      <alignment horizontal="left" vertical="top"/>
    </xf>
    <xf numFmtId="0" fontId="25" fillId="10" borderId="1378" applyNumberFormat="0" applyProtection="0">
      <alignment horizontal="left" vertical="top"/>
    </xf>
    <xf numFmtId="0" fontId="25" fillId="10" borderId="4724" applyNumberFormat="0" applyProtection="0">
      <alignment horizontal="left" vertical="top"/>
    </xf>
    <xf numFmtId="0" fontId="25" fillId="10" borderId="1379" applyNumberFormat="0" applyProtection="0">
      <alignment horizontal="left" vertical="top"/>
    </xf>
    <xf numFmtId="246" fontId="250" fillId="0" borderId="4746" applyFill="0" applyProtection="0">
      <alignment horizontal="center"/>
    </xf>
    <xf numFmtId="0" fontId="241" fillId="94" borderId="1441" applyBorder="0" applyProtection="0">
      <alignment horizontal="centerContinuous" vertical="center"/>
    </xf>
    <xf numFmtId="246" fontId="250" fillId="0" borderId="1441" applyFill="0" applyProtection="0">
      <alignment horizontal="center"/>
    </xf>
    <xf numFmtId="312" fontId="25" fillId="10" borderId="2297" applyNumberFormat="0" applyProtection="0">
      <alignment horizontal="left" vertical="top"/>
    </xf>
    <xf numFmtId="0" fontId="210" fillId="0" borderId="2093" applyNumberFormat="0" applyFill="0" applyBorder="0" applyAlignment="0">
      <protection locked="0"/>
    </xf>
    <xf numFmtId="192" fontId="9" fillId="3" borderId="2093">
      <alignment horizontal="right" vertical="center"/>
    </xf>
    <xf numFmtId="0" fontId="75" fillId="0" borderId="2133" applyNumberFormat="0" applyFont="0" applyFill="0" applyAlignment="0" applyProtection="0"/>
    <xf numFmtId="0" fontId="78" fillId="14" borderId="2146" applyFont="0" applyFill="0" applyBorder="0" applyAlignment="0" applyProtection="0"/>
    <xf numFmtId="180" fontId="9" fillId="3" borderId="2156">
      <alignment horizontal="right" vertical="center"/>
    </xf>
    <xf numFmtId="186" fontId="140" fillId="3" borderId="2067">
      <alignment horizontal="center" vertical="center"/>
    </xf>
    <xf numFmtId="0" fontId="12" fillId="0" borderId="684" applyNumberFormat="0" applyFill="0" applyBorder="0" applyAlignment="0" applyProtection="0">
      <alignment horizontal="center"/>
    </xf>
    <xf numFmtId="0" fontId="25" fillId="10" borderId="2128" applyNumberFormat="0" applyProtection="0">
      <alignment horizontal="left" vertical="top"/>
    </xf>
    <xf numFmtId="0" fontId="2" fillId="0" borderId="2125" applyNumberFormat="0" applyAlignment="0" applyProtection="0"/>
    <xf numFmtId="0" fontId="25" fillId="10" borderId="2127" applyNumberFormat="0" applyProtection="0">
      <alignment horizontal="left" vertical="top"/>
    </xf>
    <xf numFmtId="186" fontId="146" fillId="3" borderId="2099">
      <alignment horizontal="left"/>
    </xf>
    <xf numFmtId="222" fontId="79" fillId="0" borderId="4773" applyBorder="0"/>
    <xf numFmtId="190" fontId="12" fillId="11" borderId="2078" applyNumberFormat="0" applyProtection="0">
      <alignment horizontal="left" vertical="top" indent="1"/>
    </xf>
    <xf numFmtId="10" fontId="12" fillId="3" borderId="2088" applyNumberFormat="0" applyFont="0" applyFill="0" applyBorder="0" applyAlignment="0">
      <protection locked="0"/>
    </xf>
    <xf numFmtId="246" fontId="249" fillId="0" borderId="2063" applyFill="0" applyProtection="0">
      <alignment horizontal="center"/>
    </xf>
    <xf numFmtId="0" fontId="184" fillId="0" borderId="4731" applyAlignment="0">
      <alignment horizontal="left" wrapText="1"/>
    </xf>
    <xf numFmtId="0" fontId="101" fillId="0" borderId="2132" applyBorder="0"/>
    <xf numFmtId="10" fontId="12" fillId="3" borderId="2088" applyNumberFormat="0" applyFont="0" applyFill="0" applyBorder="0" applyAlignment="0">
      <protection locked="0"/>
    </xf>
    <xf numFmtId="264" fontId="12" fillId="14" borderId="4746" applyFont="0" applyFill="0" applyBorder="0" applyAlignment="0" applyProtection="0">
      <alignment horizontal="right"/>
    </xf>
    <xf numFmtId="0" fontId="210" fillId="0" borderId="2132" applyNumberFormat="0" applyFill="0" applyBorder="0" applyAlignment="0">
      <protection locked="0"/>
    </xf>
    <xf numFmtId="0" fontId="113" fillId="0" borderId="4798" applyNumberFormat="0" applyFill="0" applyAlignment="0" applyProtection="0"/>
    <xf numFmtId="10" fontId="12" fillId="3" borderId="2088" applyNumberFormat="0" applyFont="0" applyFill="0" applyBorder="0" applyAlignment="0">
      <protection locked="0"/>
    </xf>
    <xf numFmtId="0" fontId="25" fillId="10" borderId="4724" applyNumberFormat="0" applyProtection="0">
      <alignment horizontal="left" vertical="top"/>
    </xf>
    <xf numFmtId="0" fontId="166" fillId="0" borderId="2063">
      <alignment horizontal="center"/>
    </xf>
    <xf numFmtId="0" fontId="166" fillId="0" borderId="4810">
      <alignment horizontal="center"/>
    </xf>
    <xf numFmtId="243" fontId="48" fillId="0" borderId="100" applyFont="0" applyFill="0" applyBorder="0" applyAlignment="0" applyProtection="0"/>
    <xf numFmtId="190" fontId="12" fillId="0" borderId="4729" applyNumberFormat="0" applyFill="0" applyBorder="0" applyAlignment="0" applyProtection="0"/>
    <xf numFmtId="190" fontId="12" fillId="0" borderId="4729" applyNumberFormat="0" applyFill="0" applyBorder="0" applyAlignment="0" applyProtection="0"/>
    <xf numFmtId="246" fontId="296" fillId="0" borderId="1441" applyFill="0" applyProtection="0">
      <alignment horizontal="center"/>
    </xf>
    <xf numFmtId="0" fontId="25" fillId="10" borderId="4817" applyNumberFormat="0" applyProtection="0">
      <alignment horizontal="left" vertical="top"/>
    </xf>
    <xf numFmtId="246" fontId="250" fillId="0" borderId="4746" applyFill="0" applyProtection="0">
      <alignment horizontal="center"/>
    </xf>
    <xf numFmtId="0" fontId="214" fillId="0" borderId="4780" applyNumberFormat="0" applyFont="0" applyFill="0" applyAlignment="0" applyProtection="0"/>
    <xf numFmtId="4" fontId="226" fillId="76" borderId="2078" applyNumberFormat="0" applyProtection="0">
      <alignment horizontal="right" vertical="center"/>
    </xf>
    <xf numFmtId="4" fontId="226" fillId="81" borderId="2078" applyNumberFormat="0" applyProtection="0">
      <alignment horizontal="right" vertical="center"/>
    </xf>
    <xf numFmtId="10" fontId="12" fillId="3" borderId="2088" applyNumberFormat="0" applyFont="0" applyFill="0" applyBorder="0" applyAlignment="0">
      <protection locked="0"/>
    </xf>
    <xf numFmtId="248" fontId="46" fillId="0" borderId="684"/>
    <xf numFmtId="312" fontId="214" fillId="0" borderId="1423" applyNumberFormat="0" applyFont="0" applyFill="0" applyAlignment="0" applyProtection="0"/>
    <xf numFmtId="0" fontId="283" fillId="103" borderId="4748" applyNumberFormat="0" applyAlignment="0" applyProtection="0"/>
    <xf numFmtId="0" fontId="2" fillId="0" borderId="3067" applyNumberFormat="0" applyAlignment="0" applyProtection="0"/>
    <xf numFmtId="312" fontId="2" fillId="0" borderId="1422" applyNumberFormat="0" applyAlignment="0" applyProtection="0"/>
    <xf numFmtId="0" fontId="12" fillId="0" borderId="2075" applyNumberFormat="0" applyFill="0" applyBorder="0" applyAlignment="0" applyProtection="0"/>
    <xf numFmtId="222" fontId="79" fillId="0" borderId="2062" applyBorder="0"/>
    <xf numFmtId="192" fontId="9" fillId="3" borderId="2063">
      <alignment horizontal="right" vertical="center"/>
    </xf>
    <xf numFmtId="0" fontId="165" fillId="0" borderId="2063" applyFill="0" applyProtection="0">
      <alignment horizontal="center"/>
    </xf>
    <xf numFmtId="169" fontId="234" fillId="10" borderId="4730" applyFont="0" applyProtection="0"/>
    <xf numFmtId="293" fontId="234" fillId="10" borderId="4730" applyFont="0" applyProtection="0"/>
    <xf numFmtId="0" fontId="166" fillId="0" borderId="2156">
      <alignment horizontal="center"/>
    </xf>
    <xf numFmtId="0" fontId="241" fillId="94" borderId="2093" applyBorder="0" applyProtection="0">
      <alignment horizontal="centerContinuous" vertical="center"/>
    </xf>
    <xf numFmtId="0" fontId="166" fillId="0" borderId="2093">
      <alignment horizontal="center"/>
    </xf>
    <xf numFmtId="0" fontId="2" fillId="0" borderId="2101" applyNumberFormat="0" applyAlignment="0" applyProtection="0"/>
    <xf numFmtId="186" fontId="140" fillId="3" borderId="2067">
      <alignment horizontal="center" vertical="center"/>
    </xf>
    <xf numFmtId="222" fontId="79" fillId="0" borderId="2092" applyBorder="0"/>
    <xf numFmtId="0" fontId="12" fillId="0" borderId="2093" applyNumberFormat="0" applyFill="0" applyBorder="0" applyAlignment="0" applyProtection="0">
      <alignment horizontal="center"/>
    </xf>
    <xf numFmtId="180" fontId="9" fillId="3" borderId="2093">
      <alignment horizontal="right" vertical="center"/>
    </xf>
    <xf numFmtId="0" fontId="166" fillId="0" borderId="2093">
      <alignment horizontal="center"/>
    </xf>
    <xf numFmtId="186" fontId="146" fillId="3" borderId="2111">
      <alignment horizontal="left"/>
    </xf>
    <xf numFmtId="0" fontId="12" fillId="0" borderId="2120" applyNumberFormat="0" applyFill="0" applyBorder="0" applyAlignment="0" applyProtection="0">
      <alignment horizontal="center"/>
    </xf>
    <xf numFmtId="180" fontId="9" fillId="3" borderId="2120">
      <alignment horizontal="right" vertical="center"/>
    </xf>
    <xf numFmtId="264" fontId="12" fillId="14" borderId="2120" applyFont="0" applyFill="0" applyBorder="0" applyAlignment="0" applyProtection="0">
      <alignment horizontal="right"/>
    </xf>
    <xf numFmtId="0" fontId="241" fillId="94" borderId="2120" applyBorder="0" applyProtection="0">
      <alignment horizontal="centerContinuous" vertical="center"/>
    </xf>
    <xf numFmtId="222" fontId="79" fillId="0" borderId="2131" applyBorder="0"/>
    <xf numFmtId="0" fontId="25" fillId="10" borderId="2141" applyNumberFormat="0" applyProtection="0">
      <alignment horizontal="left" vertical="top"/>
    </xf>
    <xf numFmtId="312" fontId="242" fillId="0" borderId="1441">
      <alignment horizontal="center"/>
    </xf>
    <xf numFmtId="312" fontId="165" fillId="0" borderId="1441" applyFill="0" applyProtection="0">
      <alignment horizontal="center"/>
    </xf>
    <xf numFmtId="222" fontId="79" fillId="0" borderId="2143" applyBorder="0"/>
    <xf numFmtId="0" fontId="25" fillId="10" borderId="4771" applyNumberFormat="0" applyProtection="0">
      <alignment horizontal="left" vertical="top"/>
    </xf>
    <xf numFmtId="0" fontId="2" fillId="0" borderId="2161" applyNumberFormat="0" applyAlignment="0" applyProtection="0"/>
    <xf numFmtId="0" fontId="166" fillId="0" borderId="2156">
      <alignment horizontal="center"/>
    </xf>
    <xf numFmtId="0" fontId="25" fillId="69" borderId="4730">
      <alignment horizontal="left" vertical="center" wrapText="1"/>
    </xf>
    <xf numFmtId="0" fontId="113" fillId="0" borderId="4746" applyNumberFormat="0" applyFill="0" applyAlignment="0" applyProtection="0"/>
    <xf numFmtId="0" fontId="113" fillId="0" borderId="2156" applyNumberFormat="0" applyFill="0" applyAlignment="0" applyProtection="0"/>
    <xf numFmtId="192" fontId="9" fillId="3" borderId="2156">
      <alignment horizontal="right" vertical="center"/>
    </xf>
    <xf numFmtId="0" fontId="25" fillId="10" borderId="4782" applyNumberFormat="0" applyProtection="0">
      <alignment horizontal="left" vertical="top"/>
    </xf>
    <xf numFmtId="10" fontId="12" fillId="3" borderId="4742" applyNumberFormat="0" applyFont="0" applyFill="0" applyBorder="0" applyAlignment="0">
      <protection locked="0"/>
    </xf>
    <xf numFmtId="192" fontId="9" fillId="3" borderId="684">
      <alignment horizontal="right" vertical="center"/>
    </xf>
    <xf numFmtId="180" fontId="9" fillId="3" borderId="684">
      <alignment horizontal="right" vertical="center"/>
    </xf>
    <xf numFmtId="312" fontId="78" fillId="14" borderId="700" applyFont="0" applyFill="0" applyBorder="0" applyAlignment="0" applyProtection="0"/>
    <xf numFmtId="0" fontId="12" fillId="0" borderId="4729" applyNumberFormat="0" applyFill="0" applyBorder="0" applyAlignment="0" applyProtection="0"/>
    <xf numFmtId="4" fontId="230" fillId="11" borderId="4732" applyNumberFormat="0" applyProtection="0">
      <alignment horizontal="right" vertical="center"/>
    </xf>
    <xf numFmtId="186" fontId="146" fillId="3" borderId="684" applyBorder="0">
      <alignment horizontal="left" vertical="center"/>
    </xf>
    <xf numFmtId="0" fontId="12" fillId="84" borderId="4732" applyNumberFormat="0" applyProtection="0">
      <alignment horizontal="left" vertical="center" indent="1"/>
    </xf>
    <xf numFmtId="0" fontId="12" fillId="0" borderId="4729" applyNumberFormat="0" applyFill="0" applyBorder="0" applyAlignment="0" applyProtection="0"/>
    <xf numFmtId="190" fontId="25" fillId="10" borderId="2084" applyNumberFormat="0" applyProtection="0">
      <alignment horizontal="left" vertical="top"/>
    </xf>
    <xf numFmtId="0" fontId="12" fillId="0" borderId="4729" applyNumberFormat="0" applyFill="0" applyBorder="0" applyAlignment="0" applyProtection="0"/>
    <xf numFmtId="312" fontId="75" fillId="0" borderId="1418" applyNumberFormat="0" applyFont="0" applyFill="0" applyAlignment="0" applyProtection="0"/>
    <xf numFmtId="312" fontId="101" fillId="0" borderId="1441" applyBorder="0"/>
    <xf numFmtId="246" fontId="296" fillId="0" borderId="2156" applyFill="0" applyProtection="0">
      <alignment horizontal="center"/>
    </xf>
    <xf numFmtId="312" fontId="113" fillId="0" borderId="2156" applyNumberFormat="0" applyFill="0" applyAlignment="0" applyProtection="0"/>
    <xf numFmtId="312" fontId="242" fillId="0" borderId="2156">
      <alignment horizontal="center"/>
    </xf>
    <xf numFmtId="192" fontId="9" fillId="3" borderId="4746">
      <alignment horizontal="right" vertical="center"/>
    </xf>
    <xf numFmtId="4" fontId="184" fillId="52" borderId="4732" applyNumberFormat="0" applyProtection="0">
      <alignment horizontal="right" vertical="center"/>
    </xf>
    <xf numFmtId="0" fontId="2" fillId="0" borderId="3067" applyNumberFormat="0" applyAlignment="0" applyProtection="0"/>
    <xf numFmtId="0" fontId="135" fillId="0" borderId="4730"/>
    <xf numFmtId="307" fontId="268" fillId="0" borderId="2091">
      <alignment horizontal="right" wrapText="1"/>
    </xf>
    <xf numFmtId="246" fontId="249" fillId="0" borderId="1441" applyFill="0" applyProtection="0">
      <alignment horizontal="center"/>
    </xf>
    <xf numFmtId="0" fontId="25" fillId="10" borderId="1427" applyNumberFormat="0" applyProtection="0">
      <alignment horizontal="left" vertical="top"/>
    </xf>
    <xf numFmtId="0" fontId="25" fillId="10" borderId="1424" applyNumberFormat="0" applyProtection="0">
      <alignment horizontal="left" vertical="top"/>
    </xf>
    <xf numFmtId="0" fontId="25" fillId="10" borderId="1425" applyNumberFormat="0" applyProtection="0">
      <alignment horizontal="left" vertical="top"/>
    </xf>
    <xf numFmtId="0" fontId="2" fillId="0" borderId="1422" applyNumberFormat="0" applyAlignment="0" applyProtection="0"/>
    <xf numFmtId="0" fontId="166" fillId="0" borderId="1441">
      <alignment horizontal="center"/>
    </xf>
    <xf numFmtId="186" fontId="140" fillId="3" borderId="4721">
      <alignment horizontal="center" vertical="center"/>
    </xf>
    <xf numFmtId="0" fontId="101" fillId="0" borderId="4810" applyBorder="0"/>
    <xf numFmtId="222" fontId="79" fillId="0" borderId="4809" applyBorder="0"/>
    <xf numFmtId="0" fontId="48" fillId="0" borderId="2075" applyNumberFormat="0" applyFill="0" applyAlignment="0" applyProtection="0"/>
    <xf numFmtId="190" fontId="75" fillId="0" borderId="4787" applyNumberFormat="0" applyFont="0" applyFill="0" applyAlignment="0" applyProtection="0"/>
    <xf numFmtId="190" fontId="241" fillId="94" borderId="1441" applyBorder="0" applyProtection="0">
      <alignment horizontal="centerContinuous" vertical="center"/>
    </xf>
    <xf numFmtId="222" fontId="79" fillId="0" borderId="4797" applyBorder="0"/>
    <xf numFmtId="0" fontId="48" fillId="0" borderId="2074" applyFont="0" applyFill="0" applyBorder="0" applyAlignment="0" applyProtection="0">
      <alignment horizontal="center"/>
    </xf>
    <xf numFmtId="0" fontId="165" fillId="0" borderId="684" applyFill="0" applyProtection="0">
      <alignment horizontal="center"/>
    </xf>
    <xf numFmtId="0" fontId="166" fillId="0" borderId="684">
      <alignment horizontal="center"/>
    </xf>
    <xf numFmtId="0" fontId="25" fillId="69" borderId="2076">
      <alignment horizontal="left" vertical="center" wrapText="1"/>
    </xf>
    <xf numFmtId="4" fontId="230" fillId="11" borderId="4732" applyNumberFormat="0" applyProtection="0">
      <alignment horizontal="right" vertical="center"/>
    </xf>
    <xf numFmtId="4" fontId="227" fillId="52" borderId="4733" applyNumberFormat="0" applyProtection="0">
      <alignment horizontal="left" vertical="center" indent="1"/>
    </xf>
    <xf numFmtId="0" fontId="12" fillId="11" borderId="2078" applyNumberFormat="0" applyProtection="0">
      <alignment horizontal="left" vertical="top" indent="1"/>
    </xf>
    <xf numFmtId="188" fontId="25" fillId="0" borderId="2090" applyFont="0" applyFill="0" applyBorder="0" applyAlignment="0" applyProtection="0">
      <alignment horizontal="center"/>
    </xf>
    <xf numFmtId="186" fontId="146" fillId="3" borderId="4720">
      <alignment horizontal="left"/>
    </xf>
    <xf numFmtId="190" fontId="210" fillId="0" borderId="1441" applyNumberFormat="0" applyFill="0" applyBorder="0" applyAlignment="0">
      <protection locked="0"/>
    </xf>
    <xf numFmtId="0" fontId="74" fillId="0" borderId="2074" applyFont="0" applyFill="0" applyBorder="0" applyAlignment="0" applyProtection="0">
      <alignment horizontal="center"/>
    </xf>
    <xf numFmtId="4" fontId="226" fillId="71" borderId="2078" applyNumberFormat="0" applyProtection="0">
      <alignment horizontal="right" vertical="center"/>
    </xf>
    <xf numFmtId="4" fontId="223" fillId="52" borderId="2078" applyNumberFormat="0" applyProtection="0">
      <alignment horizontal="left" vertical="center" indent="1"/>
    </xf>
    <xf numFmtId="0" fontId="25" fillId="10" borderId="2087" applyNumberFormat="0" applyProtection="0">
      <alignment horizontal="left" vertical="top"/>
    </xf>
    <xf numFmtId="0" fontId="25" fillId="69" borderId="4730">
      <alignment horizontal="left" vertical="center" wrapText="1"/>
    </xf>
    <xf numFmtId="0" fontId="113" fillId="0" borderId="2063" applyNumberFormat="0" applyFill="0" applyAlignment="0" applyProtection="0"/>
    <xf numFmtId="293" fontId="234" fillId="10" borderId="4730" applyFont="0" applyProtection="0"/>
    <xf numFmtId="0" fontId="165" fillId="0" borderId="2093" applyFill="0" applyProtection="0">
      <alignment horizontal="center"/>
    </xf>
    <xf numFmtId="0" fontId="78" fillId="14" borderId="2065" applyFont="0" applyFill="0" applyBorder="0" applyAlignment="0" applyProtection="0"/>
    <xf numFmtId="0" fontId="25" fillId="10" borderId="2071" applyNumberFormat="0" applyProtection="0">
      <alignment horizontal="left" vertical="top"/>
    </xf>
    <xf numFmtId="0" fontId="214" fillId="0" borderId="2069" applyNumberFormat="0" applyFont="0" applyFill="0" applyAlignment="0" applyProtection="0"/>
    <xf numFmtId="0" fontId="101" fillId="0" borderId="2093" applyBorder="0"/>
    <xf numFmtId="0" fontId="78" fillId="14" borderId="2134" applyFont="0" applyFill="0" applyBorder="0" applyAlignment="0" applyProtection="0"/>
    <xf numFmtId="190" fontId="165" fillId="0" borderId="1441" applyFill="0" applyProtection="0">
      <alignment horizontal="center"/>
    </xf>
    <xf numFmtId="0" fontId="214" fillId="0" borderId="2162" applyNumberFormat="0" applyFont="0" applyFill="0" applyAlignment="0" applyProtection="0"/>
    <xf numFmtId="10" fontId="12" fillId="3" borderId="2088" applyNumberFormat="0" applyFont="0" applyFill="0" applyBorder="0" applyAlignment="0">
      <protection locked="0"/>
    </xf>
    <xf numFmtId="264" fontId="12" fillId="14" borderId="684" applyFont="0" applyFill="0" applyBorder="0" applyAlignment="0" applyProtection="0">
      <alignment horizontal="right"/>
    </xf>
    <xf numFmtId="0" fontId="25" fillId="10" borderId="2087" applyNumberFormat="0" applyProtection="0">
      <alignment horizontal="left" vertical="top"/>
    </xf>
    <xf numFmtId="10" fontId="12" fillId="3" borderId="2088" applyNumberFormat="0" applyFont="0" applyFill="0" applyBorder="0" applyAlignment="0">
      <protection locked="0"/>
    </xf>
    <xf numFmtId="0" fontId="214" fillId="0" borderId="2162" applyNumberFormat="0" applyFont="0" applyFill="0" applyAlignment="0" applyProtection="0"/>
    <xf numFmtId="0" fontId="25" fillId="10" borderId="4796" applyNumberFormat="0" applyProtection="0">
      <alignment horizontal="left" vertical="top"/>
    </xf>
    <xf numFmtId="0" fontId="25" fillId="10" borderId="4806" applyNumberFormat="0" applyProtection="0">
      <alignment horizontal="left" vertical="top"/>
    </xf>
    <xf numFmtId="0" fontId="25" fillId="10" borderId="4724" applyNumberFormat="0" applyProtection="0">
      <alignment horizontal="left" vertical="top"/>
    </xf>
    <xf numFmtId="190" fontId="78" fillId="14" borderId="1431" applyFont="0" applyFill="0" applyBorder="0" applyAlignment="0" applyProtection="0"/>
    <xf numFmtId="0" fontId="25" fillId="10" borderId="4735" applyNumberFormat="0" applyProtection="0">
      <alignment horizontal="left"/>
    </xf>
    <xf numFmtId="4" fontId="228" fillId="11" borderId="4732" applyNumberFormat="0" applyProtection="0">
      <alignment horizontal="right" vertical="center"/>
    </xf>
    <xf numFmtId="4" fontId="229" fillId="84" borderId="4733" applyNumberFormat="0" applyProtection="0">
      <alignment horizontal="left" vertical="center" indent="1"/>
    </xf>
    <xf numFmtId="190" fontId="25" fillId="10" borderId="2076" applyNumberFormat="0" applyProtection="0">
      <alignment horizontal="center" vertical="top"/>
    </xf>
    <xf numFmtId="190" fontId="75" fillId="0" borderId="1418" applyNumberFormat="0" applyFont="0" applyFill="0" applyAlignment="0" applyProtection="0"/>
    <xf numFmtId="190" fontId="113" fillId="0" borderId="1441" applyNumberFormat="0" applyFill="0" applyAlignment="0" applyProtection="0"/>
    <xf numFmtId="312" fontId="74" fillId="0" borderId="2074" applyFont="0" applyFill="0" applyBorder="0" applyAlignment="0" applyProtection="0">
      <alignment horizontal="center"/>
    </xf>
    <xf numFmtId="0" fontId="210" fillId="0" borderId="4717" applyNumberFormat="0" applyFill="0" applyBorder="0" applyAlignment="0">
      <protection locked="0"/>
    </xf>
    <xf numFmtId="248" fontId="46" fillId="0" borderId="4762"/>
    <xf numFmtId="312" fontId="159" fillId="0" borderId="2076"/>
    <xf numFmtId="190" fontId="101" fillId="0" borderId="1441" applyBorder="0"/>
    <xf numFmtId="4" fontId="229" fillId="84" borderId="4733" applyNumberFormat="0" applyProtection="0">
      <alignment horizontal="left" vertical="center" indent="1"/>
    </xf>
    <xf numFmtId="312" fontId="241" fillId="94" borderId="2156" applyBorder="0" applyProtection="0">
      <alignment horizontal="centerContinuous" vertical="center"/>
    </xf>
    <xf numFmtId="312" fontId="12" fillId="0" borderId="2075" applyNumberFormat="0" applyFill="0" applyBorder="0" applyAlignment="0" applyProtection="0"/>
    <xf numFmtId="312" fontId="214" fillId="0" borderId="2138" applyNumberFormat="0" applyFont="0" applyFill="0" applyAlignment="0" applyProtection="0"/>
    <xf numFmtId="312" fontId="25" fillId="10" borderId="2141" applyNumberFormat="0" applyProtection="0">
      <alignment horizontal="left" vertical="top"/>
    </xf>
    <xf numFmtId="312" fontId="25" fillId="10" borderId="2139" applyNumberFormat="0" applyProtection="0">
      <alignment horizontal="left" vertical="top"/>
    </xf>
    <xf numFmtId="312" fontId="25" fillId="10" borderId="2141" applyNumberFormat="0" applyProtection="0">
      <alignment horizontal="left" vertical="top"/>
    </xf>
    <xf numFmtId="186" fontId="146" fillId="3" borderId="4746" applyBorder="0">
      <alignment horizontal="left" vertical="center"/>
    </xf>
    <xf numFmtId="0" fontId="113" fillId="0" borderId="4746" applyNumberFormat="0" applyFill="0" applyAlignment="0" applyProtection="0"/>
    <xf numFmtId="190" fontId="105" fillId="0" borderId="4729" applyNumberFormat="0" applyFill="0" applyBorder="0" applyAlignment="0" applyProtection="0"/>
    <xf numFmtId="0" fontId="25" fillId="10" borderId="1449" applyNumberFormat="0" applyProtection="0">
      <alignment horizontal="left" vertical="top"/>
    </xf>
    <xf numFmtId="264" fontId="12" fillId="14" borderId="1405" applyFont="0" applyFill="0" applyBorder="0" applyAlignment="0" applyProtection="0">
      <alignment horizontal="right"/>
    </xf>
    <xf numFmtId="0" fontId="78" fillId="14" borderId="1395" applyFont="0" applyFill="0" applyBorder="0" applyAlignment="0" applyProtection="0"/>
    <xf numFmtId="0" fontId="101" fillId="0" borderId="1381" applyBorder="0"/>
    <xf numFmtId="0" fontId="78" fillId="14" borderId="700" applyFont="0" applyFill="0" applyBorder="0" applyAlignment="0" applyProtection="0"/>
    <xf numFmtId="248" fontId="46" fillId="0" borderId="2108"/>
    <xf numFmtId="190" fontId="12" fillId="52" borderId="4732" applyNumberFormat="0" applyProtection="0">
      <alignment horizontal="left" vertical="center" indent="1"/>
    </xf>
    <xf numFmtId="180" fontId="9" fillId="3" borderId="4746">
      <alignment horizontal="right" vertical="center"/>
    </xf>
    <xf numFmtId="0" fontId="75" fillId="0" borderId="4775" applyNumberFormat="0" applyFont="0" applyFill="0" applyAlignment="0" applyProtection="0"/>
    <xf numFmtId="0" fontId="12" fillId="0" borderId="4810" applyNumberFormat="0" applyFill="0" applyBorder="0" applyAlignment="0" applyProtection="0">
      <alignment horizontal="center"/>
    </xf>
    <xf numFmtId="0" fontId="159" fillId="67" borderId="4730"/>
    <xf numFmtId="186" fontId="140" fillId="3" borderId="4721">
      <alignment horizontal="center" vertical="center"/>
    </xf>
    <xf numFmtId="0" fontId="159" fillId="67" borderId="2076"/>
    <xf numFmtId="0" fontId="165" fillId="0" borderId="4746" applyFill="0" applyProtection="0">
      <alignment horizontal="center"/>
    </xf>
    <xf numFmtId="190" fontId="25" fillId="10" borderId="4741" applyNumberFormat="0" applyProtection="0">
      <alignment horizontal="left" vertical="top"/>
    </xf>
    <xf numFmtId="0" fontId="113" fillId="0" borderId="2108" applyNumberFormat="0" applyFill="0" applyAlignment="0" applyProtection="0"/>
    <xf numFmtId="0" fontId="25" fillId="10" borderId="2071" applyNumberFormat="0" applyProtection="0">
      <alignment horizontal="left" vertical="top"/>
    </xf>
    <xf numFmtId="0" fontId="25" fillId="10" borderId="2116" applyNumberFormat="0" applyProtection="0">
      <alignment horizontal="left" vertical="top"/>
    </xf>
    <xf numFmtId="0" fontId="12" fillId="0" borderId="2144" applyNumberFormat="0" applyFill="0" applyBorder="0" applyAlignment="0" applyProtection="0">
      <alignment horizontal="center"/>
    </xf>
    <xf numFmtId="222" fontId="79" fillId="0" borderId="4743" applyBorder="0"/>
    <xf numFmtId="312" fontId="25" fillId="69" borderId="2076">
      <alignment horizontal="left" vertical="center" wrapText="1"/>
    </xf>
    <xf numFmtId="0" fontId="12" fillId="10" borderId="4730" applyNumberFormat="0" applyFont="0" applyProtection="0"/>
    <xf numFmtId="0" fontId="12" fillId="0" borderId="4729" applyNumberFormat="0" applyFill="0" applyBorder="0" applyAlignment="0" applyProtection="0"/>
    <xf numFmtId="0" fontId="210" fillId="0" borderId="2144" applyNumberFormat="0" applyFill="0" applyBorder="0" applyAlignment="0">
      <protection locked="0"/>
    </xf>
    <xf numFmtId="0" fontId="25" fillId="10" borderId="2070" applyNumberFormat="0" applyProtection="0">
      <alignment horizontal="left" vertical="top"/>
    </xf>
    <xf numFmtId="0" fontId="25" fillId="10" borderId="1377" applyNumberFormat="0" applyProtection="0">
      <alignment horizontal="left" vertical="top"/>
    </xf>
    <xf numFmtId="0" fontId="2" fillId="0" borderId="1374" applyNumberFormat="0" applyAlignment="0" applyProtection="0"/>
    <xf numFmtId="0" fontId="75" fillId="0" borderId="1370" applyNumberFormat="0" applyFont="0" applyFill="0" applyAlignment="0" applyProtection="0"/>
    <xf numFmtId="222" fontId="79" fillId="0" borderId="1380" applyBorder="0"/>
    <xf numFmtId="0" fontId="210" fillId="0" borderId="684" applyNumberFormat="0" applyFill="0" applyBorder="0" applyAlignment="0">
      <protection locked="0"/>
    </xf>
    <xf numFmtId="0" fontId="101" fillId="0" borderId="1381" applyBorder="0"/>
    <xf numFmtId="0" fontId="12" fillId="0" borderId="1381" applyNumberFormat="0" applyFill="0" applyBorder="0" applyAlignment="0" applyProtection="0">
      <alignment horizontal="center"/>
    </xf>
    <xf numFmtId="180" fontId="9" fillId="3" borderId="1381">
      <alignment horizontal="right" vertical="center"/>
    </xf>
    <xf numFmtId="0" fontId="166" fillId="0" borderId="1381">
      <alignment horizontal="center"/>
    </xf>
    <xf numFmtId="264" fontId="12" fillId="14" borderId="1381" applyFont="0" applyFill="0" applyBorder="0" applyAlignment="0" applyProtection="0">
      <alignment horizontal="right"/>
    </xf>
    <xf numFmtId="0" fontId="210" fillId="0" borderId="1381" applyNumberFormat="0" applyFill="0" applyBorder="0" applyAlignment="0">
      <protection locked="0"/>
    </xf>
    <xf numFmtId="246" fontId="249" fillId="0" borderId="1381" applyFill="0" applyProtection="0">
      <alignment horizontal="center"/>
    </xf>
    <xf numFmtId="0" fontId="2" fillId="0" borderId="1434" applyNumberFormat="0" applyAlignment="0" applyProtection="0"/>
    <xf numFmtId="0" fontId="25" fillId="10" borderId="4727" applyNumberFormat="0" applyProtection="0">
      <alignment horizontal="left" vertical="top"/>
    </xf>
    <xf numFmtId="0" fontId="25" fillId="10" borderId="706" applyNumberFormat="0" applyProtection="0">
      <alignment horizontal="left" vertical="top"/>
    </xf>
    <xf numFmtId="0" fontId="78" fillId="14" borderId="700" applyFont="0" applyFill="0" applyBorder="0" applyAlignment="0" applyProtection="0"/>
    <xf numFmtId="0" fontId="214" fillId="0" borderId="1411" applyNumberFormat="0" applyFont="0" applyFill="0" applyAlignment="0" applyProtection="0"/>
    <xf numFmtId="186" fontId="146" fillId="3" borderId="1417" applyBorder="0">
      <alignment horizontal="left" vertical="center"/>
    </xf>
    <xf numFmtId="0" fontId="166" fillId="0" borderId="1417">
      <alignment horizontal="center"/>
    </xf>
    <xf numFmtId="254" fontId="240" fillId="0" borderId="1393" applyBorder="0" applyProtection="0">
      <alignment horizontal="right" vertical="center"/>
    </xf>
    <xf numFmtId="0" fontId="165" fillId="0" borderId="1393" applyFill="0" applyProtection="0">
      <alignment horizontal="center"/>
    </xf>
    <xf numFmtId="0" fontId="25" fillId="10" borderId="1379" applyNumberFormat="0" applyProtection="0">
      <alignment horizontal="left" vertical="top"/>
    </xf>
    <xf numFmtId="0" fontId="25" fillId="10" borderId="1378" applyNumberFormat="0" applyProtection="0">
      <alignment horizontal="left" vertical="top"/>
    </xf>
    <xf numFmtId="0" fontId="25" fillId="10" borderId="1413" applyNumberFormat="0" applyProtection="0">
      <alignment horizontal="left" vertical="top"/>
    </xf>
    <xf numFmtId="248" fontId="46" fillId="0" borderId="1358"/>
    <xf numFmtId="222" fontId="79" fillId="0" borderId="1404" applyBorder="0"/>
    <xf numFmtId="0" fontId="25" fillId="10" borderId="1438" applyNumberFormat="0" applyProtection="0">
      <alignment horizontal="left" vertical="top"/>
    </xf>
    <xf numFmtId="0" fontId="12" fillId="0" borderId="1441" applyNumberFormat="0" applyFill="0" applyBorder="0" applyAlignment="0" applyProtection="0">
      <alignment horizontal="center"/>
    </xf>
    <xf numFmtId="0" fontId="25" fillId="10" borderId="1376" applyNumberFormat="0" applyProtection="0">
      <alignment horizontal="left" vertical="top"/>
    </xf>
    <xf numFmtId="186" fontId="140" fillId="3" borderId="1373">
      <alignment horizontal="center" vertical="center"/>
    </xf>
    <xf numFmtId="0" fontId="2" fillId="0" borderId="1374" applyNumberFormat="0" applyAlignment="0" applyProtection="0"/>
    <xf numFmtId="0" fontId="25" fillId="10" borderId="1377" applyNumberFormat="0" applyProtection="0">
      <alignment horizontal="left" vertical="top"/>
    </xf>
    <xf numFmtId="0" fontId="25" fillId="10" borderId="1378" applyNumberFormat="0" applyProtection="0">
      <alignment horizontal="left" vertical="top"/>
    </xf>
    <xf numFmtId="0" fontId="25" fillId="10" borderId="1379" applyNumberFormat="0" applyProtection="0">
      <alignment horizontal="left" vertical="top"/>
    </xf>
    <xf numFmtId="0" fontId="25" fillId="10" borderId="1377" applyNumberFormat="0" applyProtection="0">
      <alignment horizontal="left" vertical="top"/>
    </xf>
    <xf numFmtId="0" fontId="25" fillId="10" borderId="1379" applyNumberFormat="0" applyProtection="0">
      <alignment horizontal="left" vertical="top"/>
    </xf>
    <xf numFmtId="246" fontId="249" fillId="0" borderId="1441" applyFill="0" applyProtection="0">
      <alignment horizontal="center"/>
    </xf>
    <xf numFmtId="0" fontId="113" fillId="0" borderId="1441" applyNumberFormat="0" applyFill="0" applyAlignment="0" applyProtection="0"/>
    <xf numFmtId="222" fontId="79" fillId="0" borderId="2155" applyBorder="0"/>
    <xf numFmtId="246" fontId="250" fillId="0" borderId="2093" applyFill="0" applyProtection="0">
      <alignment horizontal="center"/>
    </xf>
    <xf numFmtId="190" fontId="12" fillId="84" borderId="2078" applyNumberFormat="0" applyProtection="0">
      <alignment horizontal="left" vertical="top" indent="1"/>
    </xf>
    <xf numFmtId="0" fontId="136" fillId="84" borderId="4732" applyNumberFormat="0" applyProtection="0">
      <alignment horizontal="left" vertical="top" indent="1"/>
    </xf>
    <xf numFmtId="186" fontId="146" fillId="3" borderId="4720">
      <alignment horizontal="left"/>
    </xf>
    <xf numFmtId="0" fontId="12" fillId="0" borderId="2063" applyNumberFormat="0" applyFill="0" applyBorder="0" applyAlignment="0" applyProtection="0">
      <alignment horizontal="center"/>
    </xf>
    <xf numFmtId="222" fontId="79" fillId="0" borderId="4743" applyBorder="0"/>
    <xf numFmtId="264" fontId="12" fillId="14" borderId="2156" applyFont="0" applyFill="0" applyBorder="0" applyAlignment="0" applyProtection="0">
      <alignment horizontal="right"/>
    </xf>
    <xf numFmtId="0" fontId="75" fillId="0" borderId="1370" applyNumberFormat="0" applyFont="0" applyFill="0" applyAlignment="0" applyProtection="0"/>
    <xf numFmtId="222" fontId="79" fillId="0" borderId="2143" applyBorder="0"/>
    <xf numFmtId="169" fontId="234" fillId="3" borderId="4730" applyFont="0" applyProtection="0"/>
    <xf numFmtId="0" fontId="210" fillId="0" borderId="1573" applyNumberFormat="0" applyFill="0" applyBorder="0" applyAlignment="0">
      <protection locked="0"/>
    </xf>
    <xf numFmtId="0" fontId="12" fillId="0" borderId="2156" applyNumberFormat="0" applyFill="0" applyBorder="0" applyAlignment="0" applyProtection="0">
      <alignment horizontal="center"/>
    </xf>
    <xf numFmtId="0" fontId="241" fillId="94" borderId="2156" applyBorder="0" applyProtection="0">
      <alignment horizontal="centerContinuous" vertical="center"/>
    </xf>
    <xf numFmtId="246" fontId="249" fillId="0" borderId="2156" applyFill="0" applyProtection="0">
      <alignment horizontal="center"/>
    </xf>
    <xf numFmtId="254" fontId="240" fillId="0" borderId="2156" applyBorder="0" applyProtection="0">
      <alignment horizontal="right" vertical="center"/>
    </xf>
    <xf numFmtId="0" fontId="25" fillId="10" borderId="2151" applyNumberFormat="0" applyProtection="0">
      <alignment horizontal="left" vertical="top"/>
    </xf>
    <xf numFmtId="10" fontId="12" fillId="3" borderId="2088" applyNumberFormat="0" applyFont="0" applyFill="0" applyBorder="0" applyAlignment="0">
      <protection locked="0"/>
    </xf>
    <xf numFmtId="0" fontId="25" fillId="10" borderId="2070" applyNumberFormat="0" applyProtection="0">
      <alignment horizontal="left" vertical="top"/>
    </xf>
    <xf numFmtId="264" fontId="12" fillId="14" borderId="2156" applyFont="0" applyFill="0" applyBorder="0" applyAlignment="0" applyProtection="0">
      <alignment horizontal="right"/>
    </xf>
    <xf numFmtId="186" fontId="146" fillId="3" borderId="2108" applyBorder="0">
      <alignment horizontal="left" vertical="center"/>
    </xf>
    <xf numFmtId="0" fontId="210" fillId="0" borderId="2156" applyNumberFormat="0" applyFill="0" applyBorder="0" applyAlignment="0">
      <protection locked="0"/>
    </xf>
    <xf numFmtId="246" fontId="249" fillId="0" borderId="2108" applyFill="0" applyProtection="0">
      <alignment horizontal="center"/>
    </xf>
    <xf numFmtId="0" fontId="25" fillId="10" borderId="1449" applyNumberFormat="0" applyProtection="0">
      <alignment horizontal="left" vertical="top"/>
    </xf>
    <xf numFmtId="0" fontId="25" fillId="10" borderId="2139" applyNumberFormat="0" applyProtection="0">
      <alignment horizontal="left" vertical="top"/>
    </xf>
    <xf numFmtId="0" fontId="25" fillId="10" borderId="1451" applyNumberFormat="0" applyProtection="0">
      <alignment horizontal="left" vertical="top"/>
    </xf>
    <xf numFmtId="0" fontId="25" fillId="10" borderId="1448" applyNumberFormat="0" applyProtection="0">
      <alignment horizontal="left" vertical="top"/>
    </xf>
    <xf numFmtId="0" fontId="113" fillId="0" borderId="4746" applyNumberFormat="0" applyFill="0" applyAlignment="0" applyProtection="0"/>
    <xf numFmtId="0" fontId="25" fillId="10" borderId="2140" applyNumberFormat="0" applyProtection="0">
      <alignment horizontal="left" vertical="top"/>
    </xf>
    <xf numFmtId="0" fontId="241" fillId="94" borderId="1369" applyBorder="0" applyProtection="0">
      <alignment horizontal="centerContinuous" vertical="center"/>
    </xf>
    <xf numFmtId="0" fontId="166" fillId="0" borderId="4810">
      <alignment horizontal="center"/>
    </xf>
    <xf numFmtId="312" fontId="165" fillId="0" borderId="2156" applyFill="0" applyProtection="0">
      <alignment horizontal="center"/>
    </xf>
    <xf numFmtId="0" fontId="25" fillId="10" borderId="4820" applyNumberFormat="0" applyProtection="0">
      <alignment horizontal="left" vertical="top"/>
    </xf>
    <xf numFmtId="312" fontId="25" fillId="10" borderId="4951" applyNumberFormat="0" applyProtection="0">
      <alignment horizontal="left" vertical="top"/>
    </xf>
    <xf numFmtId="4" fontId="223" fillId="53" borderId="2078" applyNumberFormat="0" applyProtection="0">
      <alignment vertical="center"/>
    </xf>
    <xf numFmtId="0" fontId="74" fillId="0" borderId="4728" applyFont="0" applyFill="0" applyBorder="0" applyAlignment="0" applyProtection="0">
      <alignment horizontal="center"/>
    </xf>
    <xf numFmtId="0" fontId="288" fillId="0" borderId="2096" applyNumberFormat="0" applyFill="0" applyAlignment="0" applyProtection="0"/>
    <xf numFmtId="246" fontId="249" fillId="0" borderId="4810" applyFill="0" applyProtection="0">
      <alignment horizontal="center"/>
    </xf>
    <xf numFmtId="0" fontId="75" fillId="0" borderId="2145" applyNumberFormat="0" applyFont="0" applyFill="0" applyAlignment="0" applyProtection="0"/>
    <xf numFmtId="0" fontId="25" fillId="10" borderId="4819" applyNumberFormat="0" applyProtection="0">
      <alignment horizontal="left" vertical="top"/>
    </xf>
    <xf numFmtId="246" fontId="250" fillId="0" borderId="1369" applyFill="0" applyProtection="0">
      <alignment horizontal="center"/>
    </xf>
    <xf numFmtId="0" fontId="25" fillId="10" borderId="705" applyNumberFormat="0" applyProtection="0">
      <alignment horizontal="left" vertical="top"/>
    </xf>
    <xf numFmtId="0" fontId="165" fillId="0" borderId="1369" applyFill="0" applyProtection="0">
      <alignment horizontal="center"/>
    </xf>
    <xf numFmtId="310" fontId="267" fillId="0" borderId="2091">
      <alignment horizontal="left"/>
    </xf>
    <xf numFmtId="0" fontId="214" fillId="0" borderId="2069" applyNumberFormat="0" applyFont="0" applyFill="0" applyAlignment="0" applyProtection="0"/>
    <xf numFmtId="248" fontId="46" fillId="0" borderId="4746"/>
    <xf numFmtId="0" fontId="288" fillId="0" borderId="4750" applyNumberFormat="0" applyFill="0" applyAlignment="0" applyProtection="0"/>
    <xf numFmtId="10" fontId="12" fillId="3" borderId="305" applyNumberFormat="0" applyFont="0" applyFill="0" applyBorder="0" applyAlignment="0">
      <protection locked="0"/>
    </xf>
    <xf numFmtId="246" fontId="249" fillId="0" borderId="4810" applyFill="0" applyProtection="0">
      <alignment horizontal="center"/>
    </xf>
    <xf numFmtId="0" fontId="2" fillId="0" borderId="4815" applyNumberFormat="0" applyAlignment="0" applyProtection="0"/>
    <xf numFmtId="10" fontId="12" fillId="3" borderId="4742" applyNumberFormat="0" applyFont="0" applyFill="0" applyBorder="0" applyAlignment="0">
      <protection locked="0"/>
    </xf>
    <xf numFmtId="182" fontId="145" fillId="3" borderId="4728">
      <alignment horizontal="right" vertical="center"/>
    </xf>
    <xf numFmtId="0" fontId="25" fillId="10" borderId="4739" applyNumberFormat="0" applyProtection="0">
      <alignment horizontal="left" vertical="top"/>
    </xf>
    <xf numFmtId="192" fontId="9" fillId="3" borderId="4798">
      <alignment horizontal="right" vertical="center"/>
    </xf>
    <xf numFmtId="0" fontId="101" fillId="0" borderId="4798" applyBorder="0"/>
    <xf numFmtId="246" fontId="249" fillId="0" borderId="4774" applyFill="0" applyProtection="0">
      <alignment horizontal="center"/>
    </xf>
    <xf numFmtId="180" fontId="9" fillId="3" borderId="4774">
      <alignment horizontal="right" vertical="center"/>
    </xf>
    <xf numFmtId="264" fontId="12" fillId="14" borderId="4746" applyFont="0" applyFill="0" applyBorder="0" applyAlignment="0" applyProtection="0">
      <alignment horizontal="right"/>
    </xf>
    <xf numFmtId="186" fontId="146" fillId="3" borderId="4720">
      <alignment horizontal="left"/>
    </xf>
    <xf numFmtId="0" fontId="135" fillId="0" borderId="2076"/>
    <xf numFmtId="0" fontId="75" fillId="0" borderId="4799" applyNumberFormat="0" applyFont="0" applyFill="0" applyAlignment="0" applyProtection="0"/>
    <xf numFmtId="0" fontId="165" fillId="0" borderId="4762" applyFill="0" applyProtection="0">
      <alignment horizontal="center"/>
    </xf>
    <xf numFmtId="0" fontId="25" fillId="10" borderId="4783" applyNumberFormat="0" applyProtection="0">
      <alignment horizontal="left" vertical="top"/>
    </xf>
    <xf numFmtId="186" fontId="146" fillId="3" borderId="4717" applyBorder="0">
      <alignment horizontal="left" vertical="center"/>
    </xf>
    <xf numFmtId="0" fontId="159" fillId="0" borderId="2076"/>
    <xf numFmtId="0" fontId="25" fillId="10" borderId="4759" applyNumberFormat="0" applyProtection="0">
      <alignment horizontal="left" vertical="top"/>
    </xf>
    <xf numFmtId="254" fontId="240" fillId="0" borderId="4786" applyBorder="0" applyProtection="0">
      <alignment horizontal="right" vertical="center"/>
    </xf>
    <xf numFmtId="0" fontId="101" fillId="0" borderId="4762" applyBorder="0"/>
    <xf numFmtId="0" fontId="184" fillId="0" borderId="2077" applyAlignment="0">
      <alignment horizontal="left" wrapText="1"/>
    </xf>
    <xf numFmtId="0" fontId="12" fillId="0" borderId="4729" applyNumberFormat="0" applyFill="0" applyBorder="0" applyAlignment="0" applyProtection="0"/>
    <xf numFmtId="4" fontId="224" fillId="53" borderId="2078" applyNumberFormat="0" applyProtection="0">
      <alignment vertical="center"/>
    </xf>
    <xf numFmtId="4" fontId="226" fillId="10" borderId="2078" applyNumberFormat="0" applyProtection="0">
      <alignment horizontal="right" vertical="center"/>
    </xf>
    <xf numFmtId="4" fontId="229" fillId="84" borderId="2079" applyNumberFormat="0" applyProtection="0">
      <alignment horizontal="left" vertical="center" indent="1"/>
    </xf>
    <xf numFmtId="169" fontId="234" fillId="3" borderId="2076" applyFont="0" applyProtection="0"/>
    <xf numFmtId="0" fontId="12" fillId="10" borderId="2076" applyNumberFormat="0" applyFont="0" applyProtection="0"/>
    <xf numFmtId="0" fontId="25" fillId="10" borderId="2085" applyNumberFormat="0" applyProtection="0">
      <alignment horizontal="left" vertical="top"/>
    </xf>
    <xf numFmtId="0" fontId="25" fillId="10" borderId="2087" applyNumberFormat="0" applyProtection="0">
      <alignment horizontal="left" vertical="top"/>
    </xf>
    <xf numFmtId="188" fontId="25" fillId="0" borderId="4745" applyFont="0" applyFill="0" applyBorder="0" applyAlignment="0" applyProtection="0">
      <alignment horizontal="center"/>
    </xf>
    <xf numFmtId="0" fontId="135" fillId="0" borderId="2076"/>
    <xf numFmtId="0" fontId="12" fillId="52" borderId="2078" applyNumberFormat="0" applyProtection="0">
      <alignment horizontal="left" vertical="center" indent="1"/>
    </xf>
    <xf numFmtId="0" fontId="12" fillId="11" borderId="2078" applyNumberFormat="0" applyProtection="0">
      <alignment horizontal="left" vertical="top" indent="1"/>
    </xf>
    <xf numFmtId="4" fontId="226" fillId="11" borderId="2078" applyNumberFormat="0" applyProtection="0">
      <alignment vertical="center"/>
    </xf>
    <xf numFmtId="0" fontId="136" fillId="84" borderId="2078" applyNumberFormat="0" applyProtection="0">
      <alignment horizontal="left" vertical="top" indent="1"/>
    </xf>
    <xf numFmtId="0" fontId="12" fillId="3" borderId="2076" applyNumberFormat="0" applyFont="0" applyAlignment="0" applyProtection="0"/>
    <xf numFmtId="0" fontId="25" fillId="10" borderId="2081" applyNumberFormat="0" applyProtection="0">
      <alignment horizontal="left"/>
    </xf>
    <xf numFmtId="0" fontId="12" fillId="0" borderId="2075" applyNumberFormat="0" applyFill="0" applyBorder="0" applyAlignment="0" applyProtection="0"/>
    <xf numFmtId="0" fontId="241" fillId="94" borderId="4746" applyBorder="0" applyProtection="0">
      <alignment horizontal="centerContinuous" vertical="center"/>
    </xf>
    <xf numFmtId="0" fontId="12" fillId="10" borderId="4730" applyNumberFormat="0" applyFont="0" applyProtection="0"/>
    <xf numFmtId="264" fontId="12" fillId="14" borderId="2093" applyFont="0" applyFill="0" applyBorder="0" applyAlignment="0" applyProtection="0">
      <alignment horizontal="right"/>
    </xf>
    <xf numFmtId="222" fontId="79" fillId="0" borderId="2092" applyBorder="0"/>
    <xf numFmtId="0" fontId="25" fillId="10" borderId="2139" applyNumberFormat="0" applyProtection="0">
      <alignment horizontal="left" vertical="top"/>
    </xf>
    <xf numFmtId="0" fontId="2" fillId="0" borderId="2137" applyNumberFormat="0" applyAlignment="0" applyProtection="0"/>
    <xf numFmtId="0" fontId="75" fillId="0" borderId="2133" applyNumberFormat="0" applyFont="0" applyFill="0" applyAlignment="0" applyProtection="0"/>
    <xf numFmtId="169" fontId="234" fillId="3" borderId="2076" applyFont="0" applyProtection="0"/>
    <xf numFmtId="0" fontId="135" fillId="0" borderId="2076"/>
    <xf numFmtId="248" fontId="46" fillId="0" borderId="2156"/>
    <xf numFmtId="0" fontId="210" fillId="0" borderId="2156" applyNumberFormat="0" applyFill="0" applyBorder="0" applyAlignment="0">
      <protection locked="0"/>
    </xf>
    <xf numFmtId="10" fontId="12" fillId="3" borderId="4742" applyNumberFormat="0" applyFont="0" applyFill="0" applyBorder="0" applyAlignment="0">
      <protection locked="0"/>
    </xf>
    <xf numFmtId="190" fontId="12" fillId="0" borderId="4729" applyNumberFormat="0" applyFill="0" applyBorder="0" applyAlignment="0" applyProtection="0"/>
    <xf numFmtId="190" fontId="113" fillId="0" borderId="2156" applyNumberFormat="0" applyFill="0" applyAlignment="0" applyProtection="0"/>
    <xf numFmtId="180" fontId="9" fillId="3" borderId="4810">
      <alignment horizontal="right" vertical="center"/>
    </xf>
    <xf numFmtId="0" fontId="12" fillId="0" borderId="4810" applyNumberFormat="0" applyFill="0" applyBorder="0" applyAlignment="0" applyProtection="0">
      <alignment horizontal="center"/>
    </xf>
    <xf numFmtId="222" fontId="79" fillId="0" borderId="4809" applyBorder="0"/>
    <xf numFmtId="0" fontId="78" fillId="14" borderId="4719" applyFont="0" applyFill="0" applyBorder="0" applyAlignment="0" applyProtection="0"/>
    <xf numFmtId="192" fontId="9" fillId="3" borderId="4746">
      <alignment horizontal="right" vertical="center"/>
    </xf>
    <xf numFmtId="0" fontId="113" fillId="0" borderId="4810" applyNumberFormat="0" applyFill="0" applyAlignment="0" applyProtection="0"/>
    <xf numFmtId="0" fontId="210" fillId="0" borderId="4746" applyNumberFormat="0" applyFill="0" applyBorder="0" applyAlignment="0">
      <protection locked="0"/>
    </xf>
    <xf numFmtId="254" fontId="240" fillId="0" borderId="684" applyBorder="0" applyProtection="0">
      <alignment horizontal="right" vertical="center"/>
    </xf>
    <xf numFmtId="190" fontId="184" fillId="0" borderId="2077" applyAlignment="0">
      <alignment horizontal="left" wrapText="1"/>
    </xf>
    <xf numFmtId="0" fontId="241" fillId="94" borderId="684" applyBorder="0" applyProtection="0">
      <alignment horizontal="centerContinuous" vertical="center"/>
    </xf>
    <xf numFmtId="0" fontId="12" fillId="3" borderId="4730" applyNumberFormat="0" applyFont="0" applyAlignment="0" applyProtection="0"/>
    <xf numFmtId="0" fontId="12" fillId="11" borderId="4732" applyNumberFormat="0" applyProtection="0">
      <alignment horizontal="left" vertical="center" indent="1"/>
    </xf>
    <xf numFmtId="190" fontId="12" fillId="3" borderId="2076" applyNumberFormat="0" applyFont="0" applyAlignment="0" applyProtection="0"/>
    <xf numFmtId="190" fontId="12" fillId="10" borderId="2076" applyNumberFormat="0" applyFont="0" applyProtection="0"/>
    <xf numFmtId="190" fontId="25" fillId="10" borderId="2086" applyNumberFormat="0" applyProtection="0">
      <alignment horizontal="left" vertical="top"/>
    </xf>
    <xf numFmtId="190" fontId="25" fillId="10" borderId="2087" applyNumberFormat="0" applyProtection="0">
      <alignment horizontal="left" vertical="top"/>
    </xf>
    <xf numFmtId="0" fontId="241" fillId="94" borderId="2156" applyBorder="0" applyProtection="0">
      <alignment horizontal="centerContinuous" vertical="center"/>
    </xf>
    <xf numFmtId="246" fontId="249" fillId="0" borderId="2156" applyFill="0" applyProtection="0">
      <alignment horizontal="center"/>
    </xf>
    <xf numFmtId="10" fontId="12" fillId="3" borderId="2088" applyNumberFormat="0" applyFont="0" applyFill="0" applyBorder="0" applyAlignment="0">
      <protection locked="0"/>
    </xf>
    <xf numFmtId="246" fontId="249" fillId="0" borderId="684" applyFill="0" applyProtection="0">
      <alignment horizontal="center"/>
    </xf>
    <xf numFmtId="246" fontId="250" fillId="0" borderId="684" applyFill="0" applyProtection="0">
      <alignment horizontal="center"/>
    </xf>
    <xf numFmtId="192" fontId="9" fillId="3" borderId="4810">
      <alignment horizontal="right" vertical="center"/>
    </xf>
    <xf numFmtId="0" fontId="75" fillId="0" borderId="4811" applyNumberFormat="0" applyFont="0" applyFill="0" applyAlignment="0" applyProtection="0"/>
    <xf numFmtId="264" fontId="12" fillId="14" borderId="4774" applyFont="0" applyFill="0" applyBorder="0" applyAlignment="0" applyProtection="0">
      <alignment horizontal="right"/>
    </xf>
    <xf numFmtId="254" fontId="240" fillId="0" borderId="4746" applyBorder="0" applyProtection="0">
      <alignment horizontal="right" vertical="center"/>
    </xf>
    <xf numFmtId="0" fontId="25" fillId="10" borderId="4781" applyNumberFormat="0" applyProtection="0">
      <alignment horizontal="left" vertical="top"/>
    </xf>
    <xf numFmtId="0" fontId="2" fillId="0" borderId="5890" applyNumberFormat="0" applyAlignment="0" applyProtection="0"/>
    <xf numFmtId="4" fontId="184" fillId="11" borderId="4732" applyNumberFormat="0" applyProtection="0">
      <alignment horizontal="right" vertical="center"/>
    </xf>
    <xf numFmtId="0" fontId="12" fillId="52" borderId="4732" applyNumberFormat="0" applyProtection="0">
      <alignment horizontal="left" vertical="top" indent="1"/>
    </xf>
    <xf numFmtId="312" fontId="25" fillId="10" borderId="2076" applyNumberFormat="0" applyProtection="0">
      <alignment horizontal="center" vertical="top"/>
    </xf>
    <xf numFmtId="312" fontId="12" fillId="10" borderId="2076" applyNumberFormat="0" applyFont="0" applyAlignment="0" applyProtection="0"/>
    <xf numFmtId="10" fontId="12" fillId="3" borderId="2088" applyNumberFormat="0" applyFont="0" applyFill="0" applyBorder="0" applyAlignment="0">
      <protection locked="0"/>
    </xf>
    <xf numFmtId="0" fontId="25" fillId="10" borderId="4817" applyNumberFormat="0" applyProtection="0">
      <alignment horizontal="left" vertical="top"/>
    </xf>
    <xf numFmtId="1" fontId="74" fillId="0" borderId="4745" applyFill="0" applyBorder="0" applyProtection="0">
      <alignment horizontal="right"/>
    </xf>
    <xf numFmtId="0" fontId="25" fillId="10" borderId="4737" applyNumberFormat="0" applyProtection="0">
      <alignment horizontal="left" vertical="top"/>
    </xf>
    <xf numFmtId="0" fontId="101" fillId="0" borderId="4746" applyBorder="0"/>
    <xf numFmtId="0" fontId="25" fillId="10" borderId="4735" applyNumberFormat="0" applyProtection="0">
      <alignment horizontal="left"/>
    </xf>
    <xf numFmtId="4" fontId="226" fillId="10" borderId="4732" applyNumberFormat="0" applyProtection="0">
      <alignment horizontal="right" vertical="center"/>
    </xf>
    <xf numFmtId="0" fontId="25" fillId="10" borderId="4758" applyNumberFormat="0" applyProtection="0">
      <alignment horizontal="left" vertical="top"/>
    </xf>
    <xf numFmtId="0" fontId="165" fillId="0" borderId="4810" applyFill="0" applyProtection="0">
      <alignment horizontal="center"/>
    </xf>
    <xf numFmtId="0" fontId="135" fillId="0" borderId="4730"/>
    <xf numFmtId="188" fontId="25" fillId="0" borderId="4745" applyFont="0" applyFill="0" applyBorder="0" applyAlignment="0" applyProtection="0">
      <alignment horizontal="center"/>
    </xf>
    <xf numFmtId="0" fontId="159" fillId="0" borderId="4730"/>
    <xf numFmtId="222" fontId="79" fillId="0" borderId="4743" applyBorder="0"/>
    <xf numFmtId="0" fontId="12" fillId="0" borderId="2075" applyNumberFormat="0" applyFill="0" applyBorder="0" applyAlignment="0" applyProtection="0"/>
    <xf numFmtId="0" fontId="12" fillId="0" borderId="2075" applyNumberFormat="0" applyFill="0" applyBorder="0" applyAlignment="0" applyProtection="0"/>
    <xf numFmtId="4" fontId="226" fillId="80" borderId="4732" applyNumberFormat="0" applyProtection="0">
      <alignment horizontal="right" vertical="center"/>
    </xf>
    <xf numFmtId="293" fontId="234" fillId="10" borderId="4730" applyFont="0" applyProtection="0"/>
    <xf numFmtId="10" fontId="12" fillId="3" borderId="2088" applyNumberFormat="0" applyFont="0" applyFill="0" applyBorder="0" applyAlignment="0">
      <protection locked="0"/>
    </xf>
    <xf numFmtId="0" fontId="184" fillId="0" borderId="2077" applyAlignment="0">
      <alignment horizontal="left" wrapText="1"/>
    </xf>
    <xf numFmtId="0" fontId="165" fillId="0" borderId="2144" applyFill="0" applyProtection="0">
      <alignment horizontal="center"/>
    </xf>
    <xf numFmtId="254" fontId="240" fillId="0" borderId="2144" applyBorder="0" applyProtection="0">
      <alignment horizontal="right" vertical="center"/>
    </xf>
    <xf numFmtId="190" fontId="2" fillId="0" borderId="4791" applyNumberFormat="0" applyAlignment="0" applyProtection="0"/>
    <xf numFmtId="182" fontId="145" fillId="3" borderId="2074">
      <alignment horizontal="right" vertical="center"/>
    </xf>
    <xf numFmtId="0" fontId="241" fillId="94" borderId="1429" applyBorder="0" applyProtection="0">
      <alignment horizontal="centerContinuous" vertical="center"/>
    </xf>
    <xf numFmtId="0" fontId="12" fillId="0" borderId="1358" applyNumberFormat="0" applyFill="0" applyBorder="0" applyAlignment="0" applyProtection="0">
      <alignment horizontal="center"/>
    </xf>
    <xf numFmtId="0" fontId="25" fillId="10" borderId="1391" applyNumberFormat="0" applyProtection="0">
      <alignment horizontal="left" vertical="top"/>
    </xf>
    <xf numFmtId="0" fontId="25" fillId="10" borderId="1412" applyNumberFormat="0" applyProtection="0">
      <alignment horizontal="left" vertical="top"/>
    </xf>
    <xf numFmtId="0" fontId="2" fillId="0" borderId="1446" applyNumberFormat="0" applyAlignment="0" applyProtection="0"/>
    <xf numFmtId="0" fontId="25" fillId="10" borderId="1448" applyNumberFormat="0" applyProtection="0">
      <alignment horizontal="left" vertical="top"/>
    </xf>
    <xf numFmtId="0" fontId="165" fillId="0" borderId="4746" applyFill="0" applyProtection="0">
      <alignment horizontal="center"/>
    </xf>
    <xf numFmtId="312" fontId="25" fillId="10" borderId="1424" applyNumberFormat="0" applyProtection="0">
      <alignment horizontal="left" vertical="top"/>
    </xf>
    <xf numFmtId="222" fontId="79" fillId="0" borderId="1428" applyBorder="0"/>
    <xf numFmtId="0" fontId="210" fillId="0" borderId="1441" applyNumberFormat="0" applyFill="0" applyBorder="0" applyAlignment="0">
      <protection locked="0"/>
    </xf>
    <xf numFmtId="0" fontId="25" fillId="10" borderId="2076" applyNumberFormat="0" applyProtection="0">
      <alignment horizontal="center" vertical="top"/>
    </xf>
    <xf numFmtId="0" fontId="166" fillId="0" borderId="2108">
      <alignment horizontal="center"/>
    </xf>
    <xf numFmtId="186" fontId="146" fillId="3" borderId="1408">
      <alignment horizontal="left"/>
    </xf>
    <xf numFmtId="246" fontId="250" fillId="0" borderId="2156" applyFill="0" applyProtection="0">
      <alignment horizontal="center"/>
    </xf>
    <xf numFmtId="0" fontId="210" fillId="0" borderId="2108" applyNumberFormat="0" applyFill="0" applyBorder="0" applyAlignment="0">
      <protection locked="0"/>
    </xf>
    <xf numFmtId="0" fontId="25" fillId="10" borderId="4738" applyNumberFormat="0" applyProtection="0">
      <alignment horizontal="left" vertical="top"/>
    </xf>
    <xf numFmtId="312" fontId="75" fillId="0" borderId="1418" applyNumberFormat="0" applyFont="0" applyFill="0" applyAlignment="0" applyProtection="0"/>
    <xf numFmtId="0" fontId="113" fillId="0" borderId="2063" applyNumberFormat="0" applyFill="0" applyAlignment="0" applyProtection="0"/>
    <xf numFmtId="312" fontId="25" fillId="10" borderId="1427" applyNumberFormat="0" applyProtection="0">
      <alignment horizontal="left" vertical="top"/>
    </xf>
    <xf numFmtId="0" fontId="75" fillId="0" borderId="1370" applyNumberFormat="0" applyFont="0" applyFill="0" applyAlignment="0" applyProtection="0"/>
    <xf numFmtId="0" fontId="214" fillId="0" borderId="1435" applyNumberFormat="0" applyFont="0" applyFill="0" applyAlignment="0" applyProtection="0"/>
    <xf numFmtId="0" fontId="25" fillId="10" borderId="1439" applyNumberFormat="0" applyProtection="0">
      <alignment horizontal="left" vertical="top"/>
    </xf>
    <xf numFmtId="0" fontId="2" fillId="0" borderId="4791" applyNumberFormat="0" applyAlignment="0" applyProtection="0"/>
    <xf numFmtId="246" fontId="250" fillId="0" borderId="1358" applyFill="0" applyProtection="0">
      <alignment horizontal="center"/>
    </xf>
    <xf numFmtId="246" fontId="249" fillId="0" borderId="1358" applyFill="0" applyProtection="0">
      <alignment horizontal="center"/>
    </xf>
    <xf numFmtId="0" fontId="241" fillId="94" borderId="1358" applyBorder="0" applyProtection="0">
      <alignment horizontal="centerContinuous" vertical="center"/>
    </xf>
    <xf numFmtId="254" fontId="240" fillId="0" borderId="1358" applyBorder="0" applyProtection="0">
      <alignment horizontal="right" vertical="center"/>
    </xf>
    <xf numFmtId="222" fontId="79" fillId="0" borderId="2119" applyBorder="0"/>
    <xf numFmtId="0" fontId="78" fillId="14" borderId="675" applyFont="0" applyFill="0" applyBorder="0" applyAlignment="0" applyProtection="0"/>
    <xf numFmtId="0" fontId="25" fillId="10" borderId="706" applyNumberFormat="0" applyProtection="0">
      <alignment horizontal="left" vertical="top"/>
    </xf>
    <xf numFmtId="222" fontId="79" fillId="0" borderId="1440" applyBorder="0"/>
    <xf numFmtId="0" fontId="2" fillId="0" borderId="4767" applyNumberFormat="0" applyAlignment="0" applyProtection="0"/>
    <xf numFmtId="0" fontId="25" fillId="10" borderId="1450" applyNumberFormat="0" applyProtection="0">
      <alignment horizontal="left" vertical="top"/>
    </xf>
    <xf numFmtId="186" fontId="140" fillId="3" borderId="1409">
      <alignment horizontal="center" vertical="center"/>
    </xf>
    <xf numFmtId="4" fontId="227" fillId="52" borderId="2079" applyNumberFormat="0" applyProtection="0">
      <alignment horizontal="left" vertical="center" indent="1"/>
    </xf>
    <xf numFmtId="222" fontId="79" fillId="0" borderId="685" applyBorder="0"/>
    <xf numFmtId="264" fontId="12" fillId="14" borderId="2093" applyFont="0" applyFill="0" applyBorder="0" applyAlignment="0" applyProtection="0">
      <alignment horizontal="right"/>
    </xf>
    <xf numFmtId="0" fontId="2" fillId="0" borderId="1386" applyNumberFormat="0" applyAlignment="0" applyProtection="0"/>
    <xf numFmtId="0" fontId="75" fillId="0" borderId="1406" applyNumberFormat="0" applyFont="0" applyFill="0" applyAlignment="0" applyProtection="0"/>
    <xf numFmtId="0" fontId="25" fillId="10" borderId="1569" applyNumberFormat="0" applyProtection="0">
      <alignment horizontal="left" vertical="top"/>
    </xf>
    <xf numFmtId="186" fontId="146" fillId="3" borderId="1429" applyBorder="0">
      <alignment horizontal="left" vertical="center"/>
    </xf>
    <xf numFmtId="186" fontId="146" fillId="3" borderId="1372">
      <alignment horizontal="left"/>
    </xf>
    <xf numFmtId="222" fontId="79" fillId="0" borderId="1380" applyBorder="0"/>
    <xf numFmtId="186" fontId="146" fillId="3" borderId="1372">
      <alignment horizontal="left"/>
    </xf>
    <xf numFmtId="222" fontId="79" fillId="0" borderId="1416" applyBorder="0"/>
    <xf numFmtId="0" fontId="101" fillId="0" borderId="1393" applyBorder="0"/>
    <xf numFmtId="190" fontId="25" fillId="69" borderId="4730">
      <alignment horizontal="left" vertical="center" wrapText="1"/>
    </xf>
    <xf numFmtId="0" fontId="165" fillId="0" borderId="2156" applyFill="0" applyProtection="0">
      <alignment horizontal="center"/>
    </xf>
    <xf numFmtId="0" fontId="101" fillId="0" borderId="684" applyBorder="0"/>
    <xf numFmtId="222" fontId="79" fillId="0" borderId="685" applyBorder="0"/>
    <xf numFmtId="0" fontId="113" fillId="0" borderId="684" applyNumberFormat="0" applyFill="0" applyAlignment="0" applyProtection="0"/>
    <xf numFmtId="0" fontId="25" fillId="10" borderId="4726" applyNumberFormat="0" applyProtection="0">
      <alignment horizontal="left" vertical="top"/>
    </xf>
    <xf numFmtId="0" fontId="12" fillId="0" borderId="684" applyNumberFormat="0" applyFill="0" applyBorder="0" applyAlignment="0" applyProtection="0">
      <alignment horizontal="center"/>
    </xf>
    <xf numFmtId="0" fontId="135" fillId="0" borderId="4730"/>
    <xf numFmtId="0" fontId="210" fillId="0" borderId="4810" applyNumberFormat="0" applyFill="0" applyBorder="0" applyAlignment="0">
      <protection locked="0"/>
    </xf>
    <xf numFmtId="248" fontId="46" fillId="0" borderId="684"/>
    <xf numFmtId="0" fontId="25" fillId="10" borderId="2166" applyNumberFormat="0" applyProtection="0">
      <alignment horizontal="left" vertical="top"/>
    </xf>
    <xf numFmtId="180" fontId="9" fillId="3" borderId="2156">
      <alignment horizontal="right" vertical="center"/>
    </xf>
    <xf numFmtId="0" fontId="12" fillId="0" borderId="4786" applyNumberFormat="0" applyFill="0" applyBorder="0" applyAlignment="0" applyProtection="0">
      <alignment horizontal="center"/>
    </xf>
    <xf numFmtId="192" fontId="9" fillId="3" borderId="684">
      <alignment horizontal="right" vertical="center"/>
    </xf>
    <xf numFmtId="180" fontId="9" fillId="3" borderId="684">
      <alignment horizontal="right" vertical="center"/>
    </xf>
    <xf numFmtId="186" fontId="146" fillId="3" borderId="684" applyBorder="0">
      <alignment horizontal="left" vertical="center"/>
    </xf>
    <xf numFmtId="0" fontId="25" fillId="10" borderId="4795" applyNumberFormat="0" applyProtection="0">
      <alignment horizontal="left" vertical="top"/>
    </xf>
    <xf numFmtId="0" fontId="165" fillId="0" borderId="684" applyFill="0" applyProtection="0">
      <alignment horizontal="center"/>
    </xf>
    <xf numFmtId="0" fontId="166" fillId="0" borderId="684">
      <alignment horizontal="center"/>
    </xf>
    <xf numFmtId="264" fontId="12" fillId="14" borderId="684" applyFont="0" applyFill="0" applyBorder="0" applyAlignment="0" applyProtection="0">
      <alignment horizontal="right"/>
    </xf>
    <xf numFmtId="180" fontId="9" fillId="3" borderId="686">
      <alignment horizontal="right" vertical="center"/>
    </xf>
    <xf numFmtId="0" fontId="79" fillId="3" borderId="686">
      <alignment vertical="center"/>
    </xf>
    <xf numFmtId="182" fontId="144" fillId="3" borderId="686">
      <alignment vertical="center"/>
    </xf>
    <xf numFmtId="0" fontId="210" fillId="0" borderId="684" applyNumberFormat="0" applyFill="0" applyBorder="0" applyAlignment="0">
      <protection locked="0"/>
    </xf>
    <xf numFmtId="246" fontId="250" fillId="0" borderId="2108" applyFill="0" applyProtection="0">
      <alignment horizontal="center"/>
    </xf>
    <xf numFmtId="0" fontId="214" fillId="0" borderId="4792" applyNumberFormat="0" applyFont="0" applyFill="0" applyAlignment="0" applyProtection="0"/>
    <xf numFmtId="222" fontId="79" fillId="0" borderId="2092" applyBorder="0"/>
    <xf numFmtId="0" fontId="135" fillId="0" borderId="2076"/>
    <xf numFmtId="0" fontId="25" fillId="10" borderId="668" applyNumberFormat="0" applyProtection="0">
      <alignment horizontal="left" vertical="top"/>
    </xf>
    <xf numFmtId="186" fontId="146" fillId="3" borderId="2135">
      <alignment horizontal="left"/>
    </xf>
    <xf numFmtId="0" fontId="210" fillId="0" borderId="2156" applyNumberFormat="0" applyFill="0" applyBorder="0" applyAlignment="0">
      <protection locked="0"/>
    </xf>
    <xf numFmtId="264" fontId="12" fillId="14" borderId="2156" applyFont="0" applyFill="0" applyBorder="0" applyAlignment="0" applyProtection="0">
      <alignment horizontal="right"/>
    </xf>
    <xf numFmtId="0" fontId="241" fillId="94" borderId="2156" applyBorder="0" applyProtection="0">
      <alignment horizontal="centerContinuous" vertical="center"/>
    </xf>
    <xf numFmtId="0" fontId="25" fillId="10" borderId="668" applyNumberFormat="0" applyProtection="0">
      <alignment horizontal="left" vertical="top"/>
    </xf>
    <xf numFmtId="186" fontId="140" fillId="3" borderId="2136">
      <alignment horizontal="center" vertical="center"/>
    </xf>
    <xf numFmtId="0" fontId="25" fillId="10" borderId="4740" applyNumberFormat="0" applyProtection="0">
      <alignment horizontal="left" vertical="top"/>
    </xf>
    <xf numFmtId="0" fontId="25" fillId="10" borderId="2076" applyNumberFormat="0" applyProtection="0">
      <alignment horizontal="center" vertical="top"/>
    </xf>
    <xf numFmtId="186" fontId="146" fillId="3" borderId="2156" applyBorder="0">
      <alignment horizontal="left" vertical="center"/>
    </xf>
    <xf numFmtId="254" fontId="240" fillId="0" borderId="684" applyBorder="0" applyProtection="0">
      <alignment horizontal="right" vertical="center"/>
    </xf>
    <xf numFmtId="0" fontId="241" fillId="94" borderId="684" applyBorder="0" applyProtection="0">
      <alignment horizontal="centerContinuous" vertical="center"/>
    </xf>
    <xf numFmtId="0" fontId="12" fillId="0" borderId="4729" applyNumberFormat="0" applyFill="0" applyBorder="0" applyAlignment="0" applyProtection="0"/>
    <xf numFmtId="246" fontId="249" fillId="0" borderId="684" applyFill="0" applyProtection="0">
      <alignment horizontal="center"/>
    </xf>
    <xf numFmtId="246" fontId="250" fillId="0" borderId="684" applyFill="0" applyProtection="0">
      <alignment horizontal="center"/>
    </xf>
    <xf numFmtId="0" fontId="25" fillId="10" borderId="1377" applyNumberFormat="0" applyProtection="0">
      <alignment horizontal="left" vertical="top"/>
    </xf>
    <xf numFmtId="180" fontId="9" fillId="3" borderId="1417">
      <alignment horizontal="right" vertical="center"/>
    </xf>
    <xf numFmtId="248" fontId="46" fillId="0" borderId="1381"/>
    <xf numFmtId="0" fontId="165" fillId="0" borderId="1417" applyFill="0" applyProtection="0">
      <alignment horizontal="center"/>
    </xf>
    <xf numFmtId="0" fontId="25" fillId="10" borderId="1376" applyNumberFormat="0" applyProtection="0">
      <alignment horizontal="left" vertical="top"/>
    </xf>
    <xf numFmtId="0" fontId="2" fillId="0" borderId="1410" applyNumberFormat="0" applyAlignment="0" applyProtection="0"/>
    <xf numFmtId="222" fontId="79" fillId="0" borderId="1380" applyBorder="0"/>
    <xf numFmtId="0" fontId="12" fillId="0" borderId="1417" applyNumberFormat="0" applyFill="0" applyBorder="0" applyAlignment="0" applyProtection="0">
      <alignment horizontal="center"/>
    </xf>
    <xf numFmtId="180" fontId="9" fillId="3" borderId="1429">
      <alignment horizontal="right" vertical="center"/>
    </xf>
    <xf numFmtId="186" fontId="140" fillId="3" borderId="1373">
      <alignment horizontal="center" vertical="center"/>
    </xf>
    <xf numFmtId="0" fontId="78" fillId="14" borderId="1371" applyFont="0" applyFill="0" applyBorder="0" applyAlignment="0" applyProtection="0"/>
    <xf numFmtId="0" fontId="75" fillId="0" borderId="1370" applyNumberFormat="0" applyFont="0" applyFill="0" applyAlignment="0" applyProtection="0"/>
    <xf numFmtId="186" fontId="146" fillId="3" borderId="1369" applyBorder="0">
      <alignment horizontal="left" vertical="center"/>
    </xf>
    <xf numFmtId="0" fontId="101" fillId="0" borderId="1417" applyBorder="0"/>
    <xf numFmtId="180" fontId="9" fillId="3" borderId="1369">
      <alignment horizontal="right" vertical="center"/>
    </xf>
    <xf numFmtId="0" fontId="25" fillId="10" borderId="1450" applyNumberFormat="0" applyProtection="0">
      <alignment horizontal="left" vertical="top"/>
    </xf>
    <xf numFmtId="248" fontId="46" fillId="0" borderId="1417"/>
    <xf numFmtId="0" fontId="12" fillId="75" borderId="4732" applyNumberFormat="0" applyProtection="0">
      <alignment horizontal="left" vertical="center" indent="1"/>
    </xf>
    <xf numFmtId="0" fontId="25" fillId="10" borderId="1403" applyNumberFormat="0" applyProtection="0">
      <alignment horizontal="left" vertical="top"/>
    </xf>
    <xf numFmtId="4" fontId="226" fillId="11" borderId="4732" applyNumberFormat="0" applyProtection="0">
      <alignment vertical="center"/>
    </xf>
    <xf numFmtId="0" fontId="75" fillId="0" borderId="2064" applyNumberFormat="0" applyFont="0" applyFill="0" applyAlignment="0" applyProtection="0"/>
    <xf numFmtId="312" fontId="25" fillId="10" borderId="1426" applyNumberFormat="0" applyProtection="0">
      <alignment horizontal="left" vertical="top"/>
    </xf>
    <xf numFmtId="0" fontId="101" fillId="0" borderId="1441" applyBorder="0"/>
    <xf numFmtId="0" fontId="165" fillId="0" borderId="1441" applyFill="0" applyProtection="0">
      <alignment horizontal="center"/>
    </xf>
    <xf numFmtId="254" fontId="240" fillId="0" borderId="4810" applyBorder="0" applyProtection="0">
      <alignment horizontal="right" vertical="center"/>
    </xf>
    <xf numFmtId="4" fontId="184" fillId="52" borderId="2078" applyNumberFormat="0" applyProtection="0">
      <alignment horizontal="right" vertical="center"/>
    </xf>
    <xf numFmtId="186" fontId="140" fillId="3" borderId="4721">
      <alignment horizontal="center" vertical="center"/>
    </xf>
    <xf numFmtId="186" fontId="146" fillId="3" borderId="2156" applyBorder="0">
      <alignment horizontal="left" vertical="center"/>
    </xf>
    <xf numFmtId="0" fontId="210" fillId="0" borderId="4798" applyNumberFormat="0" applyFill="0" applyBorder="0" applyAlignment="0">
      <protection locked="0"/>
    </xf>
    <xf numFmtId="0" fontId="210" fillId="0" borderId="4746" applyNumberFormat="0" applyFill="0" applyBorder="0" applyAlignment="0">
      <protection locked="0"/>
    </xf>
    <xf numFmtId="0" fontId="2" fillId="0" borderId="2161" applyNumberFormat="0" applyAlignment="0" applyProtection="0"/>
    <xf numFmtId="0" fontId="276" fillId="54" borderId="4748" applyNumberFormat="0" applyAlignment="0" applyProtection="0"/>
    <xf numFmtId="4" fontId="12" fillId="60" borderId="4734" applyFont="0" applyFill="0" applyBorder="0" applyAlignment="0" applyProtection="0"/>
    <xf numFmtId="0" fontId="165" fillId="0" borderId="1441" applyFill="0" applyProtection="0">
      <alignment horizontal="center"/>
    </xf>
    <xf numFmtId="0" fontId="78" fillId="14" borderId="4764" applyFont="0" applyFill="0" applyBorder="0" applyAlignment="0" applyProtection="0"/>
    <xf numFmtId="254" fontId="240" fillId="0" borderId="1369" applyBorder="0" applyProtection="0">
      <alignment horizontal="right" vertical="center"/>
    </xf>
    <xf numFmtId="0" fontId="25" fillId="10" borderId="4725" applyNumberFormat="0" applyProtection="0">
      <alignment horizontal="left" vertical="top"/>
    </xf>
    <xf numFmtId="0" fontId="113" fillId="0" borderId="4746" applyNumberFormat="0" applyFill="0" applyAlignment="0" applyProtection="0"/>
    <xf numFmtId="4" fontId="226" fillId="78" borderId="2078" applyNumberFormat="0" applyProtection="0">
      <alignment horizontal="right" vertical="center"/>
    </xf>
    <xf numFmtId="10" fontId="12" fillId="60" borderId="2080" applyFont="0" applyFill="0" applyBorder="0" applyAlignment="0" applyProtection="0"/>
    <xf numFmtId="186" fontId="146" fillId="3" borderId="2093" applyBorder="0">
      <alignment horizontal="left" vertical="center"/>
    </xf>
    <xf numFmtId="222" fontId="79" fillId="0" borderId="4743" applyBorder="0"/>
    <xf numFmtId="246" fontId="249" fillId="0" borderId="1369" applyFill="0" applyProtection="0">
      <alignment horizontal="center"/>
    </xf>
    <xf numFmtId="312" fontId="12" fillId="0" borderId="2156" applyNumberFormat="0" applyFill="0" applyBorder="0" applyAlignment="0" applyProtection="0">
      <alignment horizontal="center"/>
    </xf>
    <xf numFmtId="0" fontId="25" fillId="10" borderId="2164" applyNumberFormat="0" applyProtection="0">
      <alignment horizontal="left" vertical="top"/>
    </xf>
    <xf numFmtId="5" fontId="114" fillId="0" borderId="2814" applyAlignment="0" applyProtection="0"/>
    <xf numFmtId="264" fontId="12" fillId="14" borderId="4810" applyFont="0" applyFill="0" applyBorder="0" applyAlignment="0" applyProtection="0">
      <alignment horizontal="right"/>
    </xf>
    <xf numFmtId="190" fontId="12" fillId="84" borderId="4732" applyNumberFormat="0" applyProtection="0">
      <alignment horizontal="left" vertical="top" indent="1"/>
    </xf>
    <xf numFmtId="0" fontId="12" fillId="0" borderId="2075" applyNumberFormat="0" applyFill="0" applyBorder="0" applyAlignment="0" applyProtection="0"/>
    <xf numFmtId="222" fontId="79" fillId="0" borderId="4918" applyBorder="0"/>
    <xf numFmtId="222" fontId="79" fillId="0" borderId="4743" applyBorder="0"/>
    <xf numFmtId="10" fontId="12" fillId="3" borderId="4742" applyNumberFormat="0" applyFont="0" applyFill="0" applyBorder="0" applyAlignment="0">
      <protection locked="0"/>
    </xf>
    <xf numFmtId="0" fontId="46" fillId="0" borderId="4729" applyNumberFormat="0" applyFill="0" applyBorder="0" applyAlignment="0" applyProtection="0"/>
    <xf numFmtId="4" fontId="224" fillId="53" borderId="2078" applyNumberFormat="0" applyProtection="0">
      <alignment vertical="center"/>
    </xf>
    <xf numFmtId="10" fontId="12" fillId="3" borderId="2088" applyNumberFormat="0" applyFont="0" applyFill="0" applyBorder="0" applyAlignment="0">
      <protection locked="0"/>
    </xf>
    <xf numFmtId="222" fontId="79" fillId="0" borderId="2062" applyBorder="0"/>
    <xf numFmtId="0" fontId="286" fillId="54" borderId="2095" applyNumberFormat="0" applyAlignment="0" applyProtection="0"/>
    <xf numFmtId="186" fontId="146" fillId="3" borderId="2093" applyBorder="0">
      <alignment horizontal="left" vertical="center"/>
    </xf>
    <xf numFmtId="0" fontId="113" fillId="0" borderId="2093" applyNumberFormat="0" applyFill="0" applyAlignment="0" applyProtection="0"/>
    <xf numFmtId="0" fontId="74" fillId="0" borderId="2074" applyFont="0" applyFill="0" applyBorder="0" applyAlignment="0" applyProtection="0">
      <alignment horizontal="center"/>
    </xf>
    <xf numFmtId="0" fontId="25" fillId="10" borderId="2163" applyNumberFormat="0" applyProtection="0">
      <alignment horizontal="left" vertical="top"/>
    </xf>
    <xf numFmtId="0" fontId="241" fillId="94" borderId="4786" applyBorder="0" applyProtection="0">
      <alignment horizontal="centerContinuous" vertical="center"/>
    </xf>
    <xf numFmtId="312" fontId="210" fillId="0" borderId="2156" applyNumberFormat="0" applyFill="0" applyBorder="0" applyAlignment="0">
      <protection locked="0"/>
    </xf>
    <xf numFmtId="0" fontId="12" fillId="0" borderId="2075" applyNumberFormat="0" applyFill="0" applyBorder="0" applyAlignment="0" applyProtection="0"/>
    <xf numFmtId="192" fontId="9" fillId="3" borderId="1441">
      <alignment horizontal="right" vertical="center"/>
    </xf>
    <xf numFmtId="0" fontId="210" fillId="0" borderId="1358" applyNumberFormat="0" applyFill="0" applyBorder="0" applyAlignment="0">
      <protection locked="0"/>
    </xf>
    <xf numFmtId="0" fontId="78" fillId="14" borderId="675" applyFont="0" applyFill="0" applyBorder="0" applyAlignment="0" applyProtection="0"/>
    <xf numFmtId="246" fontId="250" fillId="0" borderId="4746" applyFill="0" applyProtection="0">
      <alignment horizontal="center"/>
    </xf>
    <xf numFmtId="0" fontId="2" fillId="0" borderId="3067" applyNumberFormat="0" applyAlignment="0" applyProtection="0"/>
    <xf numFmtId="3" fontId="12" fillId="60" borderId="4734" applyFont="0" applyFill="0" applyBorder="0" applyAlignment="0" applyProtection="0"/>
    <xf numFmtId="0" fontId="25" fillId="10" borderId="575" applyNumberFormat="0" applyProtection="0">
      <alignment horizontal="left" vertical="top"/>
    </xf>
    <xf numFmtId="0" fontId="25" fillId="10" borderId="682" applyNumberFormat="0" applyProtection="0">
      <alignment horizontal="left" vertical="top"/>
    </xf>
    <xf numFmtId="0" fontId="25" fillId="10" borderId="681" applyNumberFormat="0" applyProtection="0">
      <alignment horizontal="left" vertical="top"/>
    </xf>
    <xf numFmtId="0" fontId="214" fillId="0" borderId="2138" applyNumberFormat="0" applyFont="0" applyFill="0" applyAlignment="0" applyProtection="0"/>
    <xf numFmtId="246" fontId="249" fillId="0" borderId="2132" applyFill="0" applyProtection="0">
      <alignment horizontal="center"/>
    </xf>
    <xf numFmtId="0" fontId="2" fillId="0" borderId="3067" applyNumberFormat="0" applyAlignment="0" applyProtection="0"/>
    <xf numFmtId="0" fontId="46" fillId="0" borderId="2075" applyNumberFormat="0" applyFill="0" applyBorder="0" applyAlignment="0" applyProtection="0"/>
    <xf numFmtId="0" fontId="12" fillId="0" borderId="2075" applyNumberFormat="0" applyFill="0" applyBorder="0" applyAlignment="0" applyProtection="0"/>
    <xf numFmtId="4" fontId="228" fillId="11" borderId="4732" applyNumberFormat="0" applyProtection="0">
      <alignment horizontal="right" vertical="center"/>
    </xf>
    <xf numFmtId="0" fontId="25" fillId="10" borderId="4725" applyNumberFormat="0" applyProtection="0">
      <alignment horizontal="left" vertical="top"/>
    </xf>
    <xf numFmtId="264" fontId="12" fillId="14" borderId="1358" applyFont="0" applyFill="0" applyBorder="0" applyAlignment="0" applyProtection="0">
      <alignment horizontal="right"/>
    </xf>
    <xf numFmtId="192" fontId="9" fillId="3" borderId="2063">
      <alignment horizontal="right" vertical="center"/>
    </xf>
    <xf numFmtId="0" fontId="75" fillId="0" borderId="1442" applyNumberFormat="0" applyFont="0" applyFill="0" applyAlignment="0" applyProtection="0"/>
    <xf numFmtId="0" fontId="113" fillId="0" borderId="4774" applyNumberFormat="0" applyFill="0" applyAlignment="0" applyProtection="0"/>
    <xf numFmtId="222" fontId="79" fillId="0" borderId="2107" applyBorder="0"/>
    <xf numFmtId="0" fontId="166" fillId="0" borderId="1358">
      <alignment horizontal="center"/>
    </xf>
    <xf numFmtId="4" fontId="226" fillId="71" borderId="4732" applyNumberFormat="0" applyProtection="0">
      <alignment horizontal="right" vertical="center"/>
    </xf>
    <xf numFmtId="0" fontId="165" fillId="0" borderId="1358" applyFill="0" applyProtection="0">
      <alignment horizontal="center"/>
    </xf>
    <xf numFmtId="222" fontId="79" fillId="0" borderId="685" applyBorder="0"/>
    <xf numFmtId="0" fontId="105" fillId="0" borderId="2075" applyNumberFormat="0" applyFill="0" applyBorder="0" applyAlignment="0" applyProtection="0"/>
    <xf numFmtId="0" fontId="101" fillId="0" borderId="684" applyBorder="0"/>
    <xf numFmtId="222" fontId="79" fillId="0" borderId="685" applyBorder="0"/>
    <xf numFmtId="0" fontId="113" fillId="0" borderId="684" applyNumberFormat="0" applyFill="0" applyAlignment="0" applyProtection="0"/>
    <xf numFmtId="0" fontId="12" fillId="0" borderId="684" applyNumberFormat="0" applyFill="0" applyBorder="0" applyAlignment="0" applyProtection="0">
      <alignment horizontal="center"/>
    </xf>
    <xf numFmtId="248" fontId="46" fillId="0" borderId="684"/>
    <xf numFmtId="0" fontId="25" fillId="10" borderId="4741" applyNumberFormat="0" applyProtection="0">
      <alignment horizontal="left" vertical="top"/>
    </xf>
    <xf numFmtId="192" fontId="9" fillId="3" borderId="4746">
      <alignment horizontal="right" vertical="center"/>
    </xf>
    <xf numFmtId="0" fontId="75" fillId="0" borderId="4751" applyNumberFormat="0" applyFont="0" applyFill="0" applyAlignment="0" applyProtection="0"/>
    <xf numFmtId="192" fontId="9" fillId="3" borderId="684">
      <alignment horizontal="right" vertical="center"/>
    </xf>
    <xf numFmtId="180" fontId="9" fillId="3" borderId="684">
      <alignment horizontal="right" vertical="center"/>
    </xf>
    <xf numFmtId="186" fontId="146" fillId="3" borderId="684" applyBorder="0">
      <alignment horizontal="left" vertical="center"/>
    </xf>
    <xf numFmtId="0" fontId="165" fillId="0" borderId="684" applyFill="0" applyProtection="0">
      <alignment horizontal="center"/>
    </xf>
    <xf numFmtId="0" fontId="166" fillId="0" borderId="684">
      <alignment horizontal="center"/>
    </xf>
    <xf numFmtId="264" fontId="12" fillId="14" borderId="684" applyFont="0" applyFill="0" applyBorder="0" applyAlignment="0" applyProtection="0">
      <alignment horizontal="right"/>
    </xf>
    <xf numFmtId="0" fontId="210" fillId="0" borderId="684" applyNumberFormat="0" applyFill="0" applyBorder="0" applyAlignment="0">
      <protection locked="0"/>
    </xf>
    <xf numFmtId="254" fontId="240" fillId="0" borderId="684" applyBorder="0" applyProtection="0">
      <alignment horizontal="right" vertical="center"/>
    </xf>
    <xf numFmtId="0" fontId="241" fillId="94" borderId="684" applyBorder="0" applyProtection="0">
      <alignment horizontal="centerContinuous" vertical="center"/>
    </xf>
    <xf numFmtId="246" fontId="249" fillId="0" borderId="684" applyFill="0" applyProtection="0">
      <alignment horizontal="center"/>
    </xf>
    <xf numFmtId="246" fontId="250" fillId="0" borderId="684" applyFill="0" applyProtection="0">
      <alignment horizontal="center"/>
    </xf>
    <xf numFmtId="9" fontId="12" fillId="60" borderId="4734" applyFont="0" applyFill="0" applyBorder="0" applyAlignment="0" applyProtection="0"/>
    <xf numFmtId="0" fontId="12" fillId="0" borderId="1441" applyNumberFormat="0" applyFill="0" applyBorder="0" applyAlignment="0" applyProtection="0">
      <alignment horizontal="center"/>
    </xf>
    <xf numFmtId="222" fontId="79" fillId="0" borderId="1416" applyBorder="0"/>
    <xf numFmtId="222" fontId="79" fillId="0" borderId="1440" applyBorder="0"/>
    <xf numFmtId="0" fontId="101" fillId="0" borderId="1441" applyBorder="0"/>
    <xf numFmtId="186" fontId="146" fillId="3" borderId="1444">
      <alignment horizontal="left"/>
    </xf>
    <xf numFmtId="0" fontId="78" fillId="14" borderId="1443" applyFont="0" applyFill="0" applyBorder="0" applyAlignment="0" applyProtection="0"/>
    <xf numFmtId="254" fontId="240" fillId="0" borderId="2156" applyBorder="0" applyProtection="0">
      <alignment horizontal="right" vertical="center"/>
    </xf>
    <xf numFmtId="169" fontId="234" fillId="10" borderId="2076" applyFont="0" applyProtection="0"/>
    <xf numFmtId="186" fontId="146" fillId="3" borderId="1358" applyBorder="0">
      <alignment horizontal="left" vertical="center"/>
    </xf>
    <xf numFmtId="190" fontId="12" fillId="0" borderId="2075" applyNumberFormat="0" applyFill="0" applyBorder="0" applyAlignment="0" applyProtection="0"/>
    <xf numFmtId="180" fontId="9" fillId="3" borderId="1358">
      <alignment horizontal="right" vertical="center"/>
    </xf>
    <xf numFmtId="192" fontId="9" fillId="3" borderId="1358">
      <alignment horizontal="right" vertical="center"/>
    </xf>
    <xf numFmtId="0" fontId="165" fillId="0" borderId="4786" applyFill="0" applyProtection="0">
      <alignment horizontal="center"/>
    </xf>
    <xf numFmtId="246" fontId="249" fillId="0" borderId="1441" applyFill="0" applyProtection="0">
      <alignment horizontal="center"/>
    </xf>
    <xf numFmtId="0" fontId="166" fillId="0" borderId="1405">
      <alignment horizontal="center"/>
    </xf>
    <xf numFmtId="0" fontId="48" fillId="0" borderId="4728" applyFont="0" applyFill="0" applyBorder="0" applyAlignment="0" applyProtection="0">
      <alignment horizontal="center"/>
    </xf>
    <xf numFmtId="0" fontId="25" fillId="10" borderId="4726" applyNumberFormat="0" applyProtection="0">
      <alignment horizontal="left" vertical="top"/>
    </xf>
    <xf numFmtId="0" fontId="214" fillId="0" borderId="1447" applyNumberFormat="0" applyFont="0" applyFill="0" applyAlignment="0" applyProtection="0"/>
    <xf numFmtId="246" fontId="250" fillId="0" borderId="1441" applyFill="0" applyProtection="0">
      <alignment horizontal="center"/>
    </xf>
    <xf numFmtId="1" fontId="154" fillId="65" borderId="1785" applyNumberFormat="0" applyBorder="0" applyAlignment="0">
      <alignment horizontal="centerContinuous" vertical="center"/>
      <protection locked="0"/>
    </xf>
    <xf numFmtId="186" fontId="146" fillId="3" borderId="4746" applyBorder="0">
      <alignment horizontal="left" vertical="center"/>
    </xf>
    <xf numFmtId="186" fontId="146" fillId="3" borderId="4746" applyBorder="0">
      <alignment horizontal="left" vertical="center"/>
    </xf>
    <xf numFmtId="0" fontId="210" fillId="0" borderId="1381" applyNumberFormat="0" applyFill="0" applyBorder="0" applyAlignment="0">
      <protection locked="0"/>
    </xf>
    <xf numFmtId="0" fontId="159" fillId="67" borderId="4730"/>
    <xf numFmtId="0" fontId="113" fillId="0" borderId="2093" applyNumberFormat="0" applyFill="0" applyAlignment="0" applyProtection="0"/>
    <xf numFmtId="0" fontId="101" fillId="0" borderId="1441" applyBorder="0"/>
    <xf numFmtId="0" fontId="210" fillId="0" borderId="890" applyNumberFormat="0" applyFill="0" applyBorder="0" applyAlignment="0">
      <protection locked="0"/>
    </xf>
    <xf numFmtId="222" fontId="79" fillId="0" borderId="865" applyBorder="0"/>
    <xf numFmtId="312" fontId="25" fillId="10" borderId="898" applyNumberFormat="0" applyProtection="0">
      <alignment horizontal="left" vertical="top"/>
    </xf>
    <xf numFmtId="222" fontId="79" fillId="0" borderId="1404" applyBorder="0"/>
    <xf numFmtId="0" fontId="12" fillId="0" borderId="1441" applyNumberFormat="0" applyFill="0" applyBorder="0" applyAlignment="0" applyProtection="0">
      <alignment horizontal="center"/>
    </xf>
    <xf numFmtId="0" fontId="75" fillId="0" borderId="1418" applyNumberFormat="0" applyFont="0" applyFill="0" applyAlignment="0" applyProtection="0"/>
    <xf numFmtId="180" fontId="9" fillId="3" borderId="4746">
      <alignment horizontal="right" vertical="center"/>
    </xf>
    <xf numFmtId="186" fontId="146" fillId="3" borderId="689">
      <alignment horizontal="left"/>
    </xf>
    <xf numFmtId="0" fontId="75" fillId="0" borderId="687" applyNumberFormat="0" applyFont="0" applyFill="0" applyAlignment="0" applyProtection="0"/>
    <xf numFmtId="248" fontId="46" fillId="0" borderId="1405"/>
    <xf numFmtId="312" fontId="25" fillId="10" borderId="1425" applyNumberFormat="0" applyProtection="0">
      <alignment horizontal="left" vertical="top"/>
    </xf>
    <xf numFmtId="246" fontId="249" fillId="0" borderId="1417" applyFill="0" applyProtection="0">
      <alignment horizontal="center"/>
    </xf>
    <xf numFmtId="246" fontId="250" fillId="0" borderId="1381" applyFill="0" applyProtection="0">
      <alignment horizontal="center"/>
    </xf>
    <xf numFmtId="0" fontId="25" fillId="10" borderId="4770" applyNumberFormat="0" applyProtection="0">
      <alignment horizontal="left" vertical="top"/>
    </xf>
    <xf numFmtId="192" fontId="9" fillId="3" borderId="2156">
      <alignment horizontal="right" vertical="center"/>
    </xf>
    <xf numFmtId="312" fontId="12" fillId="84" borderId="2078" applyNumberFormat="0" applyProtection="0">
      <alignment horizontal="left" vertical="top" indent="1"/>
    </xf>
    <xf numFmtId="0" fontId="214" fillId="0" borderId="2102" applyNumberFormat="0" applyFont="0" applyFill="0" applyAlignment="0" applyProtection="0"/>
    <xf numFmtId="4" fontId="226" fillId="77" borderId="4732" applyNumberFormat="0" applyProtection="0">
      <alignment horizontal="right" vertical="center"/>
    </xf>
    <xf numFmtId="0" fontId="214" fillId="0" borderId="4792" applyNumberFormat="0" applyFont="0" applyFill="0" applyAlignment="0" applyProtection="0"/>
    <xf numFmtId="0" fontId="25" fillId="10" borderId="1448" applyNumberFormat="0" applyProtection="0">
      <alignment horizontal="left" vertical="top"/>
    </xf>
    <xf numFmtId="0" fontId="12" fillId="0" borderId="2108" applyNumberFormat="0" applyFill="0" applyBorder="0" applyAlignment="0" applyProtection="0">
      <alignment horizontal="center"/>
    </xf>
    <xf numFmtId="180" fontId="9" fillId="3" borderId="4746">
      <alignment horizontal="right" vertical="center"/>
    </xf>
    <xf numFmtId="0" fontId="101" fillId="0" borderId="1429" applyBorder="0"/>
    <xf numFmtId="0" fontId="113" fillId="0" borderId="758" applyNumberFormat="0" applyFill="0" applyAlignment="0" applyProtection="0"/>
    <xf numFmtId="264" fontId="12" fillId="14" borderId="758" applyFont="0" applyFill="0" applyBorder="0" applyAlignment="0" applyProtection="0">
      <alignment horizontal="right"/>
    </xf>
    <xf numFmtId="246" fontId="249" fillId="0" borderId="758" applyFill="0" applyProtection="0">
      <alignment horizontal="center"/>
    </xf>
    <xf numFmtId="0" fontId="25" fillId="10" borderId="696" applyNumberFormat="0" applyProtection="0">
      <alignment horizontal="left" vertical="top"/>
    </xf>
    <xf numFmtId="0" fontId="25" fillId="10" borderId="694" applyNumberFormat="0" applyProtection="0">
      <alignment horizontal="left" vertical="top"/>
    </xf>
    <xf numFmtId="0" fontId="25" fillId="10" borderId="695" applyNumberFormat="0" applyProtection="0">
      <alignment horizontal="left" vertical="top"/>
    </xf>
    <xf numFmtId="0" fontId="25" fillId="10" borderId="693" applyNumberFormat="0" applyProtection="0">
      <alignment horizontal="left" vertical="top"/>
    </xf>
    <xf numFmtId="0" fontId="25" fillId="10" borderId="696" applyNumberFormat="0" applyProtection="0">
      <alignment horizontal="left" vertical="top"/>
    </xf>
    <xf numFmtId="0" fontId="25" fillId="10" borderId="695" applyNumberFormat="0" applyProtection="0">
      <alignment horizontal="left" vertical="top"/>
    </xf>
    <xf numFmtId="0" fontId="25" fillId="10" borderId="694" applyNumberFormat="0" applyProtection="0">
      <alignment horizontal="left" vertical="top"/>
    </xf>
    <xf numFmtId="0" fontId="25" fillId="10" borderId="693" applyNumberFormat="0" applyProtection="0">
      <alignment horizontal="left" vertical="top"/>
    </xf>
    <xf numFmtId="0" fontId="214" fillId="0" borderId="692" applyNumberFormat="0" applyFont="0" applyFill="0" applyAlignment="0" applyProtection="0"/>
    <xf numFmtId="0" fontId="2" fillId="0" borderId="691" applyNumberFormat="0" applyAlignment="0" applyProtection="0"/>
    <xf numFmtId="186" fontId="140" fillId="3" borderId="690">
      <alignment horizontal="center" vertical="center"/>
    </xf>
    <xf numFmtId="0" fontId="214" fillId="0" borderId="4723" applyNumberFormat="0" applyFont="0" applyFill="0" applyAlignment="0" applyProtection="0"/>
    <xf numFmtId="186" fontId="140" fillId="3" borderId="690">
      <alignment horizontal="center" vertical="center"/>
    </xf>
    <xf numFmtId="0" fontId="25" fillId="10" borderId="693" applyNumberFormat="0" applyProtection="0">
      <alignment horizontal="left" vertical="top"/>
    </xf>
    <xf numFmtId="0" fontId="12" fillId="0" borderId="758" applyNumberFormat="0" applyFill="0" applyBorder="0" applyAlignment="0" applyProtection="0">
      <alignment horizontal="center"/>
    </xf>
    <xf numFmtId="0" fontId="25" fillId="10" borderId="755" applyNumberFormat="0" applyProtection="0">
      <alignment horizontal="left" vertical="top"/>
    </xf>
    <xf numFmtId="0" fontId="166" fillId="0" borderId="2132">
      <alignment horizontal="center"/>
    </xf>
    <xf numFmtId="186" fontId="146" fillId="3" borderId="4810" applyBorder="0">
      <alignment horizontal="left" vertical="center"/>
    </xf>
    <xf numFmtId="222" fontId="79" fillId="0" borderId="745" applyBorder="0"/>
    <xf numFmtId="0" fontId="78" fillId="14" borderId="748" applyFont="0" applyFill="0" applyBorder="0" applyAlignment="0" applyProtection="0"/>
    <xf numFmtId="222" fontId="79" fillId="0" borderId="757" applyBorder="0"/>
    <xf numFmtId="0" fontId="101" fillId="0" borderId="758" applyBorder="0"/>
    <xf numFmtId="222" fontId="79" fillId="0" borderId="757" applyBorder="0"/>
    <xf numFmtId="248" fontId="46" fillId="0" borderId="758"/>
    <xf numFmtId="192" fontId="9" fillId="3" borderId="758">
      <alignment horizontal="right" vertical="center"/>
    </xf>
    <xf numFmtId="180" fontId="9" fillId="3" borderId="758">
      <alignment horizontal="right" vertical="center"/>
    </xf>
    <xf numFmtId="186" fontId="146" fillId="3" borderId="758" applyBorder="0">
      <alignment horizontal="left" vertical="center"/>
    </xf>
    <xf numFmtId="0" fontId="165" fillId="0" borderId="758" applyFill="0" applyProtection="0">
      <alignment horizontal="center"/>
    </xf>
    <xf numFmtId="0" fontId="210" fillId="0" borderId="758" applyNumberFormat="0" applyFill="0" applyBorder="0" applyAlignment="0">
      <protection locked="0"/>
    </xf>
    <xf numFmtId="254" fontId="240" fillId="0" borderId="758" applyBorder="0" applyProtection="0">
      <alignment horizontal="right" vertical="center"/>
    </xf>
    <xf numFmtId="246" fontId="250" fillId="0" borderId="758" applyFill="0" applyProtection="0">
      <alignment horizontal="center"/>
    </xf>
    <xf numFmtId="180" fontId="9" fillId="3" borderId="1405">
      <alignment horizontal="right" vertical="center"/>
    </xf>
    <xf numFmtId="222" fontId="79" fillId="0" borderId="1392" applyBorder="0"/>
    <xf numFmtId="254" fontId="240" fillId="0" borderId="1417" applyBorder="0" applyProtection="0">
      <alignment horizontal="right" vertical="center"/>
    </xf>
    <xf numFmtId="0" fontId="25" fillId="10" borderId="4817" applyNumberFormat="0" applyProtection="0">
      <alignment horizontal="left" vertical="top"/>
    </xf>
    <xf numFmtId="254" fontId="240" fillId="0" borderId="3183" applyBorder="0" applyProtection="0">
      <alignment horizontal="right" vertical="center"/>
    </xf>
    <xf numFmtId="186" fontId="140" fillId="3" borderId="1397">
      <alignment horizontal="center" vertical="center"/>
    </xf>
    <xf numFmtId="222" fontId="79" fillId="0" borderId="697" applyBorder="0"/>
    <xf numFmtId="0" fontId="25" fillId="10" borderId="694" applyNumberFormat="0" applyProtection="0">
      <alignment horizontal="left" vertical="top"/>
    </xf>
    <xf numFmtId="0" fontId="25" fillId="10" borderId="696" applyNumberFormat="0" applyProtection="0">
      <alignment horizontal="left" vertical="top"/>
    </xf>
    <xf numFmtId="0" fontId="25" fillId="10" borderId="693" applyNumberFormat="0" applyProtection="0">
      <alignment horizontal="left" vertical="top"/>
    </xf>
    <xf numFmtId="0" fontId="25" fillId="10" borderId="694" applyNumberFormat="0" applyProtection="0">
      <alignment horizontal="left" vertical="top"/>
    </xf>
    <xf numFmtId="0" fontId="25" fillId="10" borderId="695" applyNumberFormat="0" applyProtection="0">
      <alignment horizontal="left" vertical="top"/>
    </xf>
    <xf numFmtId="0" fontId="75" fillId="0" borderId="699" applyNumberFormat="0" applyFont="0" applyFill="0" applyAlignment="0" applyProtection="0"/>
    <xf numFmtId="0" fontId="101" fillId="0" borderId="710" applyBorder="0"/>
    <xf numFmtId="222" fontId="79" fillId="0" borderId="709" applyBorder="0"/>
    <xf numFmtId="0" fontId="113" fillId="0" borderId="710" applyNumberFormat="0" applyFill="0" applyAlignment="0" applyProtection="0"/>
    <xf numFmtId="0" fontId="12" fillId="0" borderId="710" applyNumberFormat="0" applyFill="0" applyBorder="0" applyAlignment="0" applyProtection="0">
      <alignment horizontal="center"/>
    </xf>
    <xf numFmtId="248" fontId="46" fillId="0" borderId="710"/>
    <xf numFmtId="192" fontId="9" fillId="3" borderId="710">
      <alignment horizontal="right" vertical="center"/>
    </xf>
    <xf numFmtId="180" fontId="9" fillId="3" borderId="710">
      <alignment horizontal="right" vertical="center"/>
    </xf>
    <xf numFmtId="186" fontId="146" fillId="3" borderId="710" applyBorder="0">
      <alignment horizontal="left" vertical="center"/>
    </xf>
    <xf numFmtId="0" fontId="166" fillId="0" borderId="710">
      <alignment horizontal="center"/>
    </xf>
    <xf numFmtId="0" fontId="210" fillId="0" borderId="710" applyNumberFormat="0" applyFill="0" applyBorder="0" applyAlignment="0">
      <protection locked="0"/>
    </xf>
    <xf numFmtId="264" fontId="12" fillId="14" borderId="710" applyFont="0" applyFill="0" applyBorder="0" applyAlignment="0" applyProtection="0">
      <alignment horizontal="right"/>
    </xf>
    <xf numFmtId="246" fontId="249" fillId="0" borderId="710" applyFill="0" applyProtection="0">
      <alignment horizontal="center"/>
    </xf>
    <xf numFmtId="246" fontId="250" fillId="0" borderId="710" applyFill="0" applyProtection="0">
      <alignment horizontal="center"/>
    </xf>
    <xf numFmtId="246" fontId="250" fillId="0" borderId="734" applyFill="0" applyProtection="0">
      <alignment horizontal="center"/>
    </xf>
    <xf numFmtId="246" fontId="249" fillId="0" borderId="734" applyFill="0" applyProtection="0">
      <alignment horizontal="center"/>
    </xf>
    <xf numFmtId="254" fontId="240" fillId="0" borderId="734" applyBorder="0" applyProtection="0">
      <alignment horizontal="right" vertical="center"/>
    </xf>
    <xf numFmtId="264" fontId="12" fillId="14" borderId="734" applyFont="0" applyFill="0" applyBorder="0" applyAlignment="0" applyProtection="0">
      <alignment horizontal="right"/>
    </xf>
    <xf numFmtId="0" fontId="165" fillId="0" borderId="734" applyFill="0" applyProtection="0">
      <alignment horizontal="center"/>
    </xf>
    <xf numFmtId="180" fontId="9" fillId="3" borderId="734">
      <alignment horizontal="right" vertical="center"/>
    </xf>
    <xf numFmtId="0" fontId="12" fillId="0" borderId="734" applyNumberFormat="0" applyFill="0" applyBorder="0" applyAlignment="0" applyProtection="0">
      <alignment horizontal="center"/>
    </xf>
    <xf numFmtId="0" fontId="101" fillId="0" borderId="734" applyBorder="0"/>
    <xf numFmtId="222" fontId="79" fillId="0" borderId="733" applyBorder="0"/>
    <xf numFmtId="0" fontId="75" fillId="0" borderId="723" applyNumberFormat="0" applyFont="0" applyFill="0" applyAlignment="0" applyProtection="0"/>
    <xf numFmtId="0" fontId="2" fillId="0" borderId="727" applyNumberFormat="0" applyAlignment="0" applyProtection="0"/>
    <xf numFmtId="0" fontId="25" fillId="10" borderId="729" applyNumberFormat="0" applyProtection="0">
      <alignment horizontal="left" vertical="top"/>
    </xf>
    <xf numFmtId="0" fontId="25" fillId="10" borderId="732" applyNumberFormat="0" applyProtection="0">
      <alignment horizontal="left" vertical="top"/>
    </xf>
    <xf numFmtId="222" fontId="79" fillId="0" borderId="721" applyBorder="0"/>
    <xf numFmtId="243" fontId="48" fillId="0" borderId="100" applyFont="0" applyFill="0" applyBorder="0" applyAlignment="0" applyProtection="0"/>
    <xf numFmtId="0" fontId="25" fillId="10" borderId="707" applyNumberFormat="0" applyProtection="0">
      <alignment horizontal="left" vertical="top"/>
    </xf>
    <xf numFmtId="0" fontId="25" fillId="10" borderId="705" applyNumberFormat="0" applyProtection="0">
      <alignment horizontal="left" vertical="top"/>
    </xf>
    <xf numFmtId="0" fontId="214" fillId="0" borderId="704" applyNumberFormat="0" applyFont="0" applyFill="0" applyAlignment="0" applyProtection="0"/>
    <xf numFmtId="186" fontId="146" fillId="3" borderId="701">
      <alignment horizontal="left"/>
    </xf>
    <xf numFmtId="222" fontId="79" fillId="0" borderId="709" applyBorder="0"/>
    <xf numFmtId="0" fontId="113" fillId="0" borderId="1441" applyNumberFormat="0" applyFill="0" applyAlignment="0" applyProtection="0"/>
    <xf numFmtId="0" fontId="25" fillId="10" borderId="4727" applyNumberFormat="0" applyProtection="0">
      <alignment horizontal="left" vertical="top"/>
    </xf>
    <xf numFmtId="0" fontId="75" fillId="0" borderId="1394" applyNumberFormat="0" applyFont="0" applyFill="0" applyAlignment="0" applyProtection="0"/>
    <xf numFmtId="0" fontId="159" fillId="67" borderId="2076"/>
    <xf numFmtId="186" fontId="146" fillId="3" borderId="2066">
      <alignment horizontal="left"/>
    </xf>
    <xf numFmtId="0" fontId="241" fillId="94" borderId="1441" applyBorder="0" applyProtection="0">
      <alignment horizontal="centerContinuous" vertical="center"/>
    </xf>
    <xf numFmtId="0" fontId="25" fillId="10" borderId="1449" applyNumberFormat="0" applyProtection="0">
      <alignment horizontal="left" vertical="top"/>
    </xf>
    <xf numFmtId="0" fontId="12" fillId="84" borderId="2078" applyNumberFormat="0" applyProtection="0">
      <alignment horizontal="left" vertical="top" indent="1"/>
    </xf>
    <xf numFmtId="0" fontId="101" fillId="0" borderId="684" applyBorder="0"/>
    <xf numFmtId="0" fontId="113" fillId="0" borderId="684" applyNumberFormat="0" applyFill="0" applyAlignment="0" applyProtection="0"/>
    <xf numFmtId="0" fontId="12" fillId="0" borderId="684" applyNumberFormat="0" applyFill="0" applyBorder="0" applyAlignment="0" applyProtection="0">
      <alignment horizontal="center"/>
    </xf>
    <xf numFmtId="248" fontId="46" fillId="0" borderId="684"/>
    <xf numFmtId="192" fontId="9" fillId="3" borderId="684">
      <alignment horizontal="right" vertical="center"/>
    </xf>
    <xf numFmtId="180" fontId="9" fillId="3" borderId="684">
      <alignment horizontal="right" vertical="center"/>
    </xf>
    <xf numFmtId="186" fontId="146" fillId="3" borderId="684" applyBorder="0">
      <alignment horizontal="left" vertical="center"/>
    </xf>
    <xf numFmtId="0" fontId="165" fillId="0" borderId="684" applyFill="0" applyProtection="0">
      <alignment horizontal="center"/>
    </xf>
    <xf numFmtId="0" fontId="166" fillId="0" borderId="684">
      <alignment horizontal="center"/>
    </xf>
    <xf numFmtId="264" fontId="12" fillId="14" borderId="684" applyFont="0" applyFill="0" applyBorder="0" applyAlignment="0" applyProtection="0">
      <alignment horizontal="right"/>
    </xf>
    <xf numFmtId="0" fontId="210" fillId="0" borderId="684" applyNumberFormat="0" applyFill="0" applyBorder="0" applyAlignment="0">
      <protection locked="0"/>
    </xf>
    <xf numFmtId="248" fontId="46" fillId="0" borderId="734"/>
    <xf numFmtId="222" fontId="79" fillId="0" borderId="733" applyBorder="0"/>
    <xf numFmtId="186" fontId="140" fillId="3" borderId="726">
      <alignment horizontal="center" vertical="center"/>
    </xf>
    <xf numFmtId="0" fontId="25" fillId="10" borderId="731" applyNumberFormat="0" applyProtection="0">
      <alignment horizontal="left" vertical="top"/>
    </xf>
    <xf numFmtId="0" fontId="210" fillId="0" borderId="734" applyNumberFormat="0" applyFill="0" applyBorder="0" applyAlignment="0">
      <protection locked="0"/>
    </xf>
    <xf numFmtId="192" fontId="9" fillId="3" borderId="734">
      <alignment horizontal="right" vertical="center"/>
    </xf>
    <xf numFmtId="0" fontId="113" fillId="0" borderId="734" applyNumberFormat="0" applyFill="0" applyAlignment="0" applyProtection="0"/>
    <xf numFmtId="186" fontId="146" fillId="3" borderId="725">
      <alignment horizontal="left"/>
    </xf>
    <xf numFmtId="0" fontId="25" fillId="10" borderId="730" applyNumberFormat="0" applyProtection="0">
      <alignment horizontal="left" vertical="top"/>
    </xf>
    <xf numFmtId="254" fontId="240" fillId="0" borderId="684" applyBorder="0" applyProtection="0">
      <alignment horizontal="right" vertical="center"/>
    </xf>
    <xf numFmtId="0" fontId="241" fillId="94" borderId="684" applyBorder="0" applyProtection="0">
      <alignment horizontal="centerContinuous" vertical="center"/>
    </xf>
    <xf numFmtId="246" fontId="249" fillId="0" borderId="684" applyFill="0" applyProtection="0">
      <alignment horizontal="center"/>
    </xf>
    <xf numFmtId="246" fontId="250" fillId="0" borderId="684" applyFill="0" applyProtection="0">
      <alignment horizontal="center"/>
    </xf>
    <xf numFmtId="0" fontId="25" fillId="10" borderId="1449" applyNumberFormat="0" applyProtection="0">
      <alignment horizontal="left" vertical="top"/>
    </xf>
    <xf numFmtId="0" fontId="25" fillId="10" borderId="754" applyNumberFormat="0" applyProtection="0">
      <alignment horizontal="left" vertical="top"/>
    </xf>
    <xf numFmtId="312" fontId="12" fillId="0" borderId="2075" applyNumberFormat="0" applyFill="0" applyBorder="0" applyAlignment="0" applyProtection="0"/>
    <xf numFmtId="0" fontId="25" fillId="10" borderId="756" applyNumberFormat="0" applyProtection="0">
      <alignment horizontal="left" vertical="top"/>
    </xf>
    <xf numFmtId="186" fontId="140" fillId="3" borderId="1445">
      <alignment horizontal="center" vertical="center"/>
    </xf>
    <xf numFmtId="222" fontId="79" fillId="0" borderId="697" applyBorder="0"/>
    <xf numFmtId="0" fontId="214" fillId="0" borderId="752" applyNumberFormat="0" applyFont="0" applyFill="0" applyAlignment="0" applyProtection="0"/>
    <xf numFmtId="0" fontId="25" fillId="10" borderId="695" applyNumberFormat="0" applyProtection="0">
      <alignment horizontal="left" vertical="top"/>
    </xf>
    <xf numFmtId="0" fontId="25" fillId="10" borderId="696" applyNumberFormat="0" applyProtection="0">
      <alignment horizontal="left" vertical="top"/>
    </xf>
    <xf numFmtId="0" fontId="165" fillId="0" borderId="710" applyFill="0" applyProtection="0">
      <alignment horizontal="center"/>
    </xf>
    <xf numFmtId="254" fontId="240" fillId="0" borderId="710" applyBorder="0" applyProtection="0">
      <alignment horizontal="right" vertical="center"/>
    </xf>
    <xf numFmtId="0" fontId="241" fillId="94" borderId="710" applyBorder="0" applyProtection="0">
      <alignment horizontal="centerContinuous" vertical="center"/>
    </xf>
    <xf numFmtId="0" fontId="241" fillId="94" borderId="734" applyBorder="0" applyProtection="0">
      <alignment horizontal="centerContinuous" vertical="center"/>
    </xf>
    <xf numFmtId="0" fontId="166" fillId="0" borderId="734">
      <alignment horizontal="center"/>
    </xf>
    <xf numFmtId="186" fontId="146" fillId="3" borderId="734" applyBorder="0">
      <alignment horizontal="left" vertical="center"/>
    </xf>
    <xf numFmtId="0" fontId="214" fillId="0" borderId="728" applyNumberFormat="0" applyFont="0" applyFill="0" applyAlignment="0" applyProtection="0"/>
    <xf numFmtId="0" fontId="78" fillId="14" borderId="724" applyFont="0" applyFill="0" applyBorder="0" applyAlignment="0" applyProtection="0"/>
    <xf numFmtId="248" fontId="46" fillId="0" borderId="1441"/>
    <xf numFmtId="0" fontId="78" fillId="14" borderId="675" applyFont="0" applyFill="0" applyBorder="0" applyAlignment="0" applyProtection="0"/>
    <xf numFmtId="293" fontId="234" fillId="3" borderId="4730" applyFont="0" applyProtection="0"/>
    <xf numFmtId="0" fontId="25" fillId="10" borderId="575" applyNumberFormat="0" applyProtection="0">
      <alignment horizontal="left" vertical="top"/>
    </xf>
    <xf numFmtId="0" fontId="25" fillId="10" borderId="682" applyNumberFormat="0" applyProtection="0">
      <alignment horizontal="left" vertical="top"/>
    </xf>
    <xf numFmtId="0" fontId="25" fillId="10" borderId="681" applyNumberFormat="0" applyProtection="0">
      <alignment horizontal="left" vertical="top"/>
    </xf>
    <xf numFmtId="0" fontId="25" fillId="10" borderId="668" applyNumberFormat="0" applyProtection="0">
      <alignment horizontal="left" vertical="top"/>
    </xf>
    <xf numFmtId="186" fontId="140" fillId="3" borderId="750">
      <alignment horizontal="center" vertical="center"/>
    </xf>
    <xf numFmtId="180" fontId="9" fillId="3" borderId="2108">
      <alignment horizontal="right" vertical="center"/>
    </xf>
    <xf numFmtId="186" fontId="146" fillId="3" borderId="749">
      <alignment horizontal="left"/>
    </xf>
    <xf numFmtId="222" fontId="79" fillId="0" borderId="4743" applyBorder="0"/>
    <xf numFmtId="0" fontId="113" fillId="0" borderId="1441" applyNumberFormat="0" applyFill="0" applyAlignment="0" applyProtection="0"/>
    <xf numFmtId="0" fontId="75" fillId="0" borderId="747" applyNumberFormat="0" applyFont="0" applyFill="0" applyAlignment="0" applyProtection="0"/>
    <xf numFmtId="222" fontId="79" fillId="0" borderId="685" applyBorder="0"/>
    <xf numFmtId="222" fontId="79" fillId="0" borderId="685" applyBorder="0"/>
    <xf numFmtId="186" fontId="146" fillId="3" borderId="1396">
      <alignment horizontal="left"/>
    </xf>
    <xf numFmtId="0" fontId="25" fillId="10" borderId="753" applyNumberFormat="0" applyProtection="0">
      <alignment horizontal="left" vertical="top"/>
    </xf>
    <xf numFmtId="0" fontId="165" fillId="0" borderId="2132" applyFill="0" applyProtection="0">
      <alignment horizontal="center"/>
    </xf>
    <xf numFmtId="254" fontId="240" fillId="0" borderId="4810" applyBorder="0" applyProtection="0">
      <alignment horizontal="right" vertical="center"/>
    </xf>
    <xf numFmtId="0" fontId="2" fillId="0" borderId="751" applyNumberFormat="0" applyAlignment="0" applyProtection="0"/>
    <xf numFmtId="246" fontId="250" fillId="0" borderId="698" applyFill="0" applyProtection="0">
      <alignment horizontal="center"/>
    </xf>
    <xf numFmtId="246" fontId="249" fillId="0" borderId="698" applyFill="0" applyProtection="0">
      <alignment horizontal="center"/>
    </xf>
    <xf numFmtId="0" fontId="241" fillId="94" borderId="698" applyBorder="0" applyProtection="0">
      <alignment horizontal="centerContinuous" vertical="center"/>
    </xf>
    <xf numFmtId="254" fontId="240" fillId="0" borderId="698" applyBorder="0" applyProtection="0">
      <alignment horizontal="right" vertical="center"/>
    </xf>
    <xf numFmtId="0" fontId="210" fillId="0" borderId="698" applyNumberFormat="0" applyFill="0" applyBorder="0" applyAlignment="0">
      <protection locked="0"/>
    </xf>
    <xf numFmtId="264" fontId="12" fillId="14" borderId="698" applyFont="0" applyFill="0" applyBorder="0" applyAlignment="0" applyProtection="0">
      <alignment horizontal="right"/>
    </xf>
    <xf numFmtId="0" fontId="166" fillId="0" borderId="698">
      <alignment horizontal="center"/>
    </xf>
    <xf numFmtId="0" fontId="165" fillId="0" borderId="698" applyFill="0" applyProtection="0">
      <alignment horizontal="center"/>
    </xf>
    <xf numFmtId="186" fontId="146" fillId="3" borderId="698" applyBorder="0">
      <alignment horizontal="left" vertical="center"/>
    </xf>
    <xf numFmtId="180" fontId="9" fillId="3" borderId="698">
      <alignment horizontal="right" vertical="center"/>
    </xf>
    <xf numFmtId="192" fontId="9" fillId="3" borderId="698">
      <alignment horizontal="right" vertical="center"/>
    </xf>
    <xf numFmtId="248" fontId="46" fillId="0" borderId="698"/>
    <xf numFmtId="0" fontId="12" fillId="0" borderId="698" applyNumberFormat="0" applyFill="0" applyBorder="0" applyAlignment="0" applyProtection="0">
      <alignment horizontal="center"/>
    </xf>
    <xf numFmtId="0" fontId="113" fillId="0" borderId="698" applyNumberFormat="0" applyFill="0" applyAlignment="0" applyProtection="0"/>
    <xf numFmtId="222" fontId="79" fillId="0" borderId="697" applyBorder="0"/>
    <xf numFmtId="0" fontId="101" fillId="0" borderId="698" applyBorder="0"/>
    <xf numFmtId="222" fontId="79" fillId="0" borderId="697" applyBorder="0"/>
    <xf numFmtId="190" fontId="12" fillId="11" borderId="4732" applyNumberFormat="0" applyProtection="0">
      <alignment horizontal="left" vertical="center" indent="1"/>
    </xf>
    <xf numFmtId="0" fontId="75" fillId="0" borderId="687" applyNumberFormat="0" applyFont="0" applyFill="0" applyAlignment="0" applyProtection="0"/>
    <xf numFmtId="186" fontId="146" fillId="3" borderId="689">
      <alignment horizontal="left"/>
    </xf>
    <xf numFmtId="186" fontId="140" fillId="3" borderId="690">
      <alignment horizontal="center" vertical="center"/>
    </xf>
    <xf numFmtId="0" fontId="2" fillId="0" borderId="691" applyNumberFormat="0" applyAlignment="0" applyProtection="0"/>
    <xf numFmtId="0" fontId="214" fillId="0" borderId="692" applyNumberFormat="0" applyFont="0" applyFill="0" applyAlignment="0" applyProtection="0"/>
    <xf numFmtId="0" fontId="25" fillId="10" borderId="693" applyNumberFormat="0" applyProtection="0">
      <alignment horizontal="left" vertical="top"/>
    </xf>
    <xf numFmtId="0" fontId="25" fillId="10" borderId="694" applyNumberFormat="0" applyProtection="0">
      <alignment horizontal="left" vertical="top"/>
    </xf>
    <xf numFmtId="0" fontId="25" fillId="10" borderId="695" applyNumberFormat="0" applyProtection="0">
      <alignment horizontal="left" vertical="top"/>
    </xf>
    <xf numFmtId="0" fontId="25" fillId="10" borderId="696" applyNumberFormat="0" applyProtection="0">
      <alignment horizontal="left" vertical="top"/>
    </xf>
    <xf numFmtId="0" fontId="241" fillId="94" borderId="1405" applyBorder="0" applyProtection="0">
      <alignment horizontal="centerContinuous" vertical="center"/>
    </xf>
    <xf numFmtId="0" fontId="78" fillId="14" borderId="688" applyFont="0" applyFill="0" applyBorder="0" applyAlignment="0" applyProtection="0"/>
    <xf numFmtId="186" fontId="146" fillId="3" borderId="1381" applyBorder="0">
      <alignment horizontal="left" vertical="center"/>
    </xf>
    <xf numFmtId="0" fontId="241" fillId="94" borderId="1381" applyBorder="0" applyProtection="0">
      <alignment horizontal="centerContinuous" vertical="center"/>
    </xf>
    <xf numFmtId="190" fontId="241" fillId="94" borderId="4810" applyBorder="0" applyProtection="0">
      <alignment horizontal="centerContinuous" vertical="center"/>
    </xf>
    <xf numFmtId="0" fontId="2" fillId="0" borderId="1374" applyNumberFormat="0" applyAlignment="0" applyProtection="0"/>
    <xf numFmtId="222" fontId="79" fillId="0" borderId="685" applyBorder="0"/>
    <xf numFmtId="186" fontId="146" fillId="3" borderId="4798" applyBorder="0">
      <alignment horizontal="left" vertical="center"/>
    </xf>
    <xf numFmtId="0" fontId="25" fillId="10" borderId="2141" applyNumberFormat="0" applyProtection="0">
      <alignment horizontal="left" vertical="top"/>
    </xf>
    <xf numFmtId="0" fontId="214" fillId="0" borderId="4804" applyNumberFormat="0" applyFont="0" applyFill="0" applyAlignment="0" applyProtection="0"/>
    <xf numFmtId="0" fontId="25" fillId="10" borderId="4807" applyNumberFormat="0" applyProtection="0">
      <alignment horizontal="left" vertical="top"/>
    </xf>
    <xf numFmtId="0" fontId="25" fillId="10" borderId="4725" applyNumberFormat="0" applyProtection="0">
      <alignment horizontal="left" vertical="top"/>
    </xf>
    <xf numFmtId="3" fontId="12" fillId="60" borderId="4734" applyFont="0" applyFill="0" applyBorder="0" applyAlignment="0" applyProtection="0"/>
    <xf numFmtId="190" fontId="184" fillId="0" borderId="4731" applyAlignment="0">
      <alignment horizontal="left" wrapText="1"/>
    </xf>
    <xf numFmtId="0" fontId="25" fillId="10" borderId="1449" applyNumberFormat="0" applyProtection="0">
      <alignment horizontal="left" vertical="top"/>
    </xf>
    <xf numFmtId="190" fontId="25" fillId="10" borderId="1425" applyNumberFormat="0" applyProtection="0">
      <alignment horizontal="left" vertical="top"/>
    </xf>
    <xf numFmtId="0" fontId="101" fillId="0" borderId="4717" applyBorder="0"/>
    <xf numFmtId="0" fontId="214" fillId="0" borderId="2069" applyNumberFormat="0" applyFont="0" applyFill="0" applyAlignment="0" applyProtection="0"/>
    <xf numFmtId="0" fontId="101" fillId="0" borderId="1405" applyBorder="0"/>
    <xf numFmtId="254" fontId="240" fillId="0" borderId="1405" applyBorder="0" applyProtection="0">
      <alignment horizontal="right" vertical="center"/>
    </xf>
    <xf numFmtId="0" fontId="25" fillId="10" borderId="1451" applyNumberFormat="0" applyProtection="0">
      <alignment horizontal="left" vertical="top"/>
    </xf>
    <xf numFmtId="222" fontId="79" fillId="0" borderId="1392" applyBorder="0"/>
    <xf numFmtId="186" fontId="146" fillId="3" borderId="2123">
      <alignment horizontal="left"/>
    </xf>
    <xf numFmtId="0" fontId="25" fillId="10" borderId="1426" applyNumberFormat="0" applyProtection="0">
      <alignment horizontal="left" vertical="top"/>
    </xf>
    <xf numFmtId="0" fontId="78" fillId="14" borderId="1419" applyFont="0" applyFill="0" applyBorder="0" applyAlignment="0" applyProtection="0"/>
    <xf numFmtId="0" fontId="214" fillId="0" borderId="1387" applyNumberFormat="0" applyFont="0" applyFill="0" applyAlignment="0" applyProtection="0"/>
    <xf numFmtId="0" fontId="25" fillId="10" borderId="1427" applyNumberFormat="0" applyProtection="0">
      <alignment horizontal="left" vertical="top"/>
    </xf>
    <xf numFmtId="0" fontId="210" fillId="0" borderId="1405" applyNumberFormat="0" applyFill="0" applyBorder="0" applyAlignment="0">
      <protection locked="0"/>
    </xf>
    <xf numFmtId="190" fontId="25" fillId="10" borderId="4730" applyNumberFormat="0" applyProtection="0">
      <alignment horizontal="center" vertical="top"/>
    </xf>
    <xf numFmtId="222" fontId="79" fillId="0" borderId="1416" applyBorder="0"/>
    <xf numFmtId="0" fontId="12" fillId="10" borderId="4730" applyNumberFormat="0" applyFont="0" applyProtection="0"/>
    <xf numFmtId="246" fontId="250" fillId="0" borderId="1405" applyFill="0" applyProtection="0">
      <alignment horizontal="center"/>
    </xf>
    <xf numFmtId="0" fontId="25" fillId="10" borderId="1425" applyNumberFormat="0" applyProtection="0">
      <alignment horizontal="left" vertical="top"/>
    </xf>
    <xf numFmtId="312" fontId="113" fillId="0" borderId="2156" applyNumberFormat="0" applyFill="0" applyAlignment="0" applyProtection="0"/>
    <xf numFmtId="246" fontId="249" fillId="0" borderId="1405" applyFill="0" applyProtection="0">
      <alignment horizontal="center"/>
    </xf>
    <xf numFmtId="0" fontId="25" fillId="10" borderId="1388" applyNumberFormat="0" applyProtection="0">
      <alignment horizontal="left" vertical="top"/>
    </xf>
    <xf numFmtId="186" fontId="146" fillId="3" borderId="1384">
      <alignment horizontal="left"/>
    </xf>
    <xf numFmtId="190" fontId="12" fillId="84" borderId="2078" applyNumberFormat="0" applyProtection="0">
      <alignment horizontal="left" vertical="center" indent="1"/>
    </xf>
    <xf numFmtId="246" fontId="249" fillId="0" borderId="1393" applyFill="0" applyProtection="0">
      <alignment horizontal="center"/>
    </xf>
    <xf numFmtId="312" fontId="75" fillId="0" borderId="2133" applyNumberFormat="0" applyFont="0" applyFill="0" applyAlignment="0" applyProtection="0"/>
    <xf numFmtId="246" fontId="250" fillId="0" borderId="1417" applyFill="0" applyProtection="0">
      <alignment horizontal="center"/>
    </xf>
    <xf numFmtId="246" fontId="250" fillId="0" borderId="1393" applyFill="0" applyProtection="0">
      <alignment horizontal="center"/>
    </xf>
    <xf numFmtId="222" fontId="79" fillId="0" borderId="2092" applyBorder="0"/>
    <xf numFmtId="264" fontId="12" fillId="14" borderId="2108" applyFont="0" applyFill="0" applyBorder="0" applyAlignment="0" applyProtection="0">
      <alignment horizontal="right"/>
    </xf>
    <xf numFmtId="0" fontId="113" fillId="0" borderId="1417" applyNumberFormat="0" applyFill="0" applyAlignment="0" applyProtection="0"/>
    <xf numFmtId="0" fontId="25" fillId="10" borderId="2164" applyNumberFormat="0" applyProtection="0">
      <alignment horizontal="left" vertical="top"/>
    </xf>
    <xf numFmtId="10" fontId="12" fillId="3" borderId="4742" applyNumberFormat="0" applyFont="0" applyFill="0" applyBorder="0" applyAlignment="0">
      <protection locked="0"/>
    </xf>
    <xf numFmtId="248" fontId="46" fillId="0" borderId="4798"/>
    <xf numFmtId="0" fontId="210" fillId="0" borderId="4746" applyNumberFormat="0" applyFill="0" applyBorder="0" applyAlignment="0">
      <protection locked="0"/>
    </xf>
    <xf numFmtId="0" fontId="25" fillId="10" borderId="2071" applyNumberFormat="0" applyProtection="0">
      <alignment horizontal="left" vertical="top"/>
    </xf>
    <xf numFmtId="0" fontId="78" fillId="14" borderId="675" applyFont="0" applyFill="0" applyBorder="0" applyAlignment="0" applyProtection="0"/>
    <xf numFmtId="222" fontId="79" fillId="0" borderId="685" applyBorder="0"/>
    <xf numFmtId="222" fontId="79" fillId="0" borderId="4743" applyBorder="0"/>
    <xf numFmtId="0" fontId="101" fillId="0" borderId="1381" applyBorder="0"/>
    <xf numFmtId="186" fontId="146" fillId="3" borderId="2147">
      <alignment horizontal="left"/>
    </xf>
    <xf numFmtId="0" fontId="25" fillId="10" borderId="2105" applyNumberFormat="0" applyProtection="0">
      <alignment horizontal="left" vertical="top"/>
    </xf>
    <xf numFmtId="0" fontId="78" fillId="14" borderId="675" applyFont="0" applyFill="0" applyBorder="0" applyAlignment="0" applyProtection="0"/>
    <xf numFmtId="0" fontId="25" fillId="10" borderId="575" applyNumberFormat="0" applyProtection="0">
      <alignment horizontal="left" vertical="top"/>
    </xf>
    <xf numFmtId="0" fontId="25" fillId="10" borderId="682" applyNumberFormat="0" applyProtection="0">
      <alignment horizontal="left" vertical="top"/>
    </xf>
    <xf numFmtId="0" fontId="25" fillId="10" borderId="681" applyNumberFormat="0" applyProtection="0">
      <alignment horizontal="left" vertical="top"/>
    </xf>
    <xf numFmtId="0" fontId="25" fillId="10" borderId="668" applyNumberFormat="0" applyProtection="0">
      <alignment horizontal="left" vertical="top"/>
    </xf>
    <xf numFmtId="248" fontId="46" fillId="0" borderId="2063"/>
    <xf numFmtId="192" fontId="9" fillId="3" borderId="2108">
      <alignment horizontal="right" vertical="center"/>
    </xf>
    <xf numFmtId="186" fontId="140" fillId="3" borderId="2148">
      <alignment horizontal="center" vertical="center"/>
    </xf>
    <xf numFmtId="0" fontId="241" fillId="94" borderId="4810" applyBorder="0" applyProtection="0">
      <alignment horizontal="centerContinuous" vertical="center"/>
    </xf>
    <xf numFmtId="0" fontId="25" fillId="10" borderId="4738" applyNumberFormat="0" applyProtection="0">
      <alignment horizontal="left" vertical="top"/>
    </xf>
    <xf numFmtId="248" fontId="46" fillId="0" borderId="2093"/>
    <xf numFmtId="222" fontId="79" fillId="0" borderId="685" applyBorder="0"/>
    <xf numFmtId="0" fontId="101" fillId="0" borderId="684" applyBorder="0"/>
    <xf numFmtId="222" fontId="79" fillId="0" borderId="685" applyBorder="0"/>
    <xf numFmtId="0" fontId="113" fillId="0" borderId="684" applyNumberFormat="0" applyFill="0" applyAlignment="0" applyProtection="0"/>
    <xf numFmtId="0" fontId="12" fillId="0" borderId="684" applyNumberFormat="0" applyFill="0" applyBorder="0" applyAlignment="0" applyProtection="0">
      <alignment horizontal="center"/>
    </xf>
    <xf numFmtId="248" fontId="46" fillId="0" borderId="684"/>
    <xf numFmtId="192" fontId="9" fillId="3" borderId="684">
      <alignment horizontal="right" vertical="center"/>
    </xf>
    <xf numFmtId="180" fontId="9" fillId="3" borderId="684">
      <alignment horizontal="right" vertical="center"/>
    </xf>
    <xf numFmtId="186" fontId="146" fillId="3" borderId="684" applyBorder="0">
      <alignment horizontal="left" vertical="center"/>
    </xf>
    <xf numFmtId="0" fontId="165" fillId="0" borderId="684" applyFill="0" applyProtection="0">
      <alignment horizontal="center"/>
    </xf>
    <xf numFmtId="0" fontId="166" fillId="0" borderId="684">
      <alignment horizontal="center"/>
    </xf>
    <xf numFmtId="264" fontId="12" fillId="14" borderId="684" applyFont="0" applyFill="0" applyBorder="0" applyAlignment="0" applyProtection="0">
      <alignment horizontal="right"/>
    </xf>
    <xf numFmtId="0" fontId="210" fillId="0" borderId="684" applyNumberFormat="0" applyFill="0" applyBorder="0" applyAlignment="0">
      <protection locked="0"/>
    </xf>
    <xf numFmtId="254" fontId="240" fillId="0" borderId="684" applyBorder="0" applyProtection="0">
      <alignment horizontal="right" vertical="center"/>
    </xf>
    <xf numFmtId="0" fontId="241" fillId="94" borderId="684" applyBorder="0" applyProtection="0">
      <alignment horizontal="centerContinuous" vertical="center"/>
    </xf>
    <xf numFmtId="246" fontId="249" fillId="0" borderId="684" applyFill="0" applyProtection="0">
      <alignment horizontal="center"/>
    </xf>
    <xf numFmtId="246" fontId="250" fillId="0" borderId="684" applyFill="0" applyProtection="0">
      <alignment horizontal="center"/>
    </xf>
    <xf numFmtId="186" fontId="146" fillId="3" borderId="4720">
      <alignment horizontal="left"/>
    </xf>
    <xf numFmtId="0" fontId="25" fillId="10" borderId="4794" applyNumberFormat="0" applyProtection="0">
      <alignment horizontal="left" vertical="top"/>
    </xf>
    <xf numFmtId="312" fontId="25" fillId="10" borderId="2087" applyNumberFormat="0" applyProtection="0">
      <alignment horizontal="left" vertical="top"/>
    </xf>
    <xf numFmtId="190" fontId="48" fillId="0" borderId="4728" applyFont="0" applyFill="0" applyBorder="0" applyAlignment="0" applyProtection="0">
      <alignment horizontal="center"/>
    </xf>
    <xf numFmtId="0" fontId="75" fillId="0" borderId="1538" applyNumberFormat="0" applyFont="0" applyFill="0" applyAlignment="0" applyProtection="0"/>
    <xf numFmtId="312" fontId="25" fillId="10" borderId="1583" applyNumberFormat="0" applyProtection="0">
      <alignment horizontal="left" vertical="top"/>
    </xf>
    <xf numFmtId="192" fontId="9" fillId="3" borderId="4746">
      <alignment horizontal="right" vertical="center"/>
    </xf>
    <xf numFmtId="0" fontId="25" fillId="10" borderId="1390" applyNumberFormat="0" applyProtection="0">
      <alignment horizontal="left" vertical="top"/>
    </xf>
    <xf numFmtId="0" fontId="241" fillId="94" borderId="758" applyBorder="0" applyProtection="0">
      <alignment horizontal="centerContinuous" vertical="center"/>
    </xf>
    <xf numFmtId="0" fontId="166" fillId="0" borderId="758">
      <alignment horizontal="center"/>
    </xf>
    <xf numFmtId="0" fontId="75" fillId="0" borderId="1430" applyNumberFormat="0" applyFont="0" applyFill="0" applyAlignment="0" applyProtection="0"/>
    <xf numFmtId="0" fontId="214" fillId="0" borderId="692" applyNumberFormat="0" applyFont="0" applyFill="0" applyAlignment="0" applyProtection="0"/>
    <xf numFmtId="246" fontId="250" fillId="0" borderId="698" applyFill="0" applyProtection="0">
      <alignment horizontal="center"/>
    </xf>
    <xf numFmtId="246" fontId="249" fillId="0" borderId="698" applyFill="0" applyProtection="0">
      <alignment horizontal="center"/>
    </xf>
    <xf numFmtId="0" fontId="241" fillId="94" borderId="698" applyBorder="0" applyProtection="0">
      <alignment horizontal="centerContinuous" vertical="center"/>
    </xf>
    <xf numFmtId="254" fontId="240" fillId="0" borderId="698" applyBorder="0" applyProtection="0">
      <alignment horizontal="right" vertical="center"/>
    </xf>
    <xf numFmtId="0" fontId="210" fillId="0" borderId="698" applyNumberFormat="0" applyFill="0" applyBorder="0" applyAlignment="0">
      <protection locked="0"/>
    </xf>
    <xf numFmtId="264" fontId="12" fillId="14" borderId="698" applyFont="0" applyFill="0" applyBorder="0" applyAlignment="0" applyProtection="0">
      <alignment horizontal="right"/>
    </xf>
    <xf numFmtId="0" fontId="166" fillId="0" borderId="698">
      <alignment horizontal="center"/>
    </xf>
    <xf numFmtId="0" fontId="165" fillId="0" borderId="698" applyFill="0" applyProtection="0">
      <alignment horizontal="center"/>
    </xf>
    <xf numFmtId="186" fontId="146" fillId="3" borderId="698" applyBorder="0">
      <alignment horizontal="left" vertical="center"/>
    </xf>
    <xf numFmtId="180" fontId="9" fillId="3" borderId="698">
      <alignment horizontal="right" vertical="center"/>
    </xf>
    <xf numFmtId="192" fontId="9" fillId="3" borderId="698">
      <alignment horizontal="right" vertical="center"/>
    </xf>
    <xf numFmtId="248" fontId="46" fillId="0" borderId="698"/>
    <xf numFmtId="0" fontId="12" fillId="0" borderId="698" applyNumberFormat="0" applyFill="0" applyBorder="0" applyAlignment="0" applyProtection="0">
      <alignment horizontal="center"/>
    </xf>
    <xf numFmtId="0" fontId="113" fillId="0" borderId="698" applyNumberFormat="0" applyFill="0" applyAlignment="0" applyProtection="0"/>
    <xf numFmtId="222" fontId="79" fillId="0" borderId="697" applyBorder="0"/>
    <xf numFmtId="0" fontId="101" fillId="0" borderId="698" applyBorder="0"/>
    <xf numFmtId="222" fontId="79" fillId="0" borderId="697" applyBorder="0"/>
    <xf numFmtId="0" fontId="12" fillId="0" borderId="4810" applyNumberFormat="0" applyFill="0" applyBorder="0" applyAlignment="0" applyProtection="0">
      <alignment horizontal="center"/>
    </xf>
    <xf numFmtId="186" fontId="140" fillId="3" borderId="690">
      <alignment horizontal="center" vertical="center"/>
    </xf>
    <xf numFmtId="186" fontId="146" fillId="3" borderId="1432">
      <alignment horizontal="left"/>
    </xf>
    <xf numFmtId="0" fontId="214" fillId="0" borderId="692" applyNumberFormat="0" applyFont="0" applyFill="0" applyAlignment="0" applyProtection="0"/>
    <xf numFmtId="0" fontId="25" fillId="10" borderId="693" applyNumberFormat="0" applyProtection="0">
      <alignment horizontal="left" vertical="top"/>
    </xf>
    <xf numFmtId="0" fontId="25" fillId="10" borderId="694" applyNumberFormat="0" applyProtection="0">
      <alignment horizontal="left" vertical="top"/>
    </xf>
    <xf numFmtId="0" fontId="25" fillId="10" borderId="695" applyNumberFormat="0" applyProtection="0">
      <alignment horizontal="left" vertical="top"/>
    </xf>
    <xf numFmtId="0" fontId="25" fillId="10" borderId="696" applyNumberFormat="0" applyProtection="0">
      <alignment horizontal="left" vertical="top"/>
    </xf>
    <xf numFmtId="0" fontId="78" fillId="14" borderId="688" applyFont="0" applyFill="0" applyBorder="0" applyAlignment="0" applyProtection="0"/>
    <xf numFmtId="222" fontId="79" fillId="0" borderId="697" applyBorder="0"/>
    <xf numFmtId="0" fontId="78" fillId="14" borderId="700" applyFont="0" applyFill="0" applyBorder="0" applyAlignment="0" applyProtection="0"/>
    <xf numFmtId="0" fontId="241" fillId="94" borderId="4774" applyBorder="0" applyProtection="0">
      <alignment horizontal="centerContinuous" vertical="center"/>
    </xf>
    <xf numFmtId="0" fontId="78" fillId="14" borderId="688" applyFont="0" applyFill="0" applyBorder="0" applyAlignment="0" applyProtection="0"/>
    <xf numFmtId="222" fontId="79" fillId="0" borderId="697" applyBorder="0"/>
    <xf numFmtId="0" fontId="2" fillId="0" borderId="703" applyNumberFormat="0" applyAlignment="0" applyProtection="0"/>
    <xf numFmtId="0" fontId="78" fillId="14" borderId="688" applyFont="0" applyFill="0" applyBorder="0" applyAlignment="0" applyProtection="0"/>
    <xf numFmtId="0" fontId="25" fillId="10" borderId="696" applyNumberFormat="0" applyProtection="0">
      <alignment horizontal="left" vertical="top"/>
    </xf>
    <xf numFmtId="0" fontId="25" fillId="10" borderId="695" applyNumberFormat="0" applyProtection="0">
      <alignment horizontal="left" vertical="top"/>
    </xf>
    <xf numFmtId="0" fontId="25" fillId="10" borderId="694" applyNumberFormat="0" applyProtection="0">
      <alignment horizontal="left" vertical="top"/>
    </xf>
    <xf numFmtId="0" fontId="25" fillId="10" borderId="693" applyNumberFormat="0" applyProtection="0">
      <alignment horizontal="left" vertical="top"/>
    </xf>
    <xf numFmtId="0" fontId="25" fillId="10" borderId="706" applyNumberFormat="0" applyProtection="0">
      <alignment horizontal="left" vertical="top"/>
    </xf>
    <xf numFmtId="0" fontId="214" fillId="0" borderId="692" applyNumberFormat="0" applyFont="0" applyFill="0" applyAlignment="0" applyProtection="0"/>
    <xf numFmtId="0" fontId="2" fillId="0" borderId="691" applyNumberFormat="0" applyAlignment="0" applyProtection="0"/>
    <xf numFmtId="186" fontId="140" fillId="3" borderId="690">
      <alignment horizontal="center" vertical="center"/>
    </xf>
    <xf numFmtId="186" fontId="146" fillId="3" borderId="689">
      <alignment horizontal="left"/>
    </xf>
    <xf numFmtId="0" fontId="25" fillId="10" borderId="708" applyNumberFormat="0" applyProtection="0">
      <alignment horizontal="left" vertical="top"/>
    </xf>
    <xf numFmtId="0" fontId="75" fillId="0" borderId="687" applyNumberFormat="0" applyFont="0" applyFill="0" applyAlignment="0" applyProtection="0"/>
    <xf numFmtId="222" fontId="79" fillId="0" borderId="697" applyBorder="0"/>
    <xf numFmtId="0" fontId="101" fillId="0" borderId="698" applyBorder="0"/>
    <xf numFmtId="222" fontId="79" fillId="0" borderId="697" applyBorder="0"/>
    <xf numFmtId="0" fontId="113" fillId="0" borderId="698" applyNumberFormat="0" applyFill="0" applyAlignment="0" applyProtection="0"/>
    <xf numFmtId="0" fontId="12" fillId="0" borderId="698" applyNumberFormat="0" applyFill="0" applyBorder="0" applyAlignment="0" applyProtection="0">
      <alignment horizontal="center"/>
    </xf>
    <xf numFmtId="248" fontId="46" fillId="0" borderId="698"/>
    <xf numFmtId="192" fontId="9" fillId="3" borderId="698">
      <alignment horizontal="right" vertical="center"/>
    </xf>
    <xf numFmtId="180" fontId="9" fillId="3" borderId="698">
      <alignment horizontal="right" vertical="center"/>
    </xf>
    <xf numFmtId="186" fontId="146" fillId="3" borderId="698" applyBorder="0">
      <alignment horizontal="left" vertical="center"/>
    </xf>
    <xf numFmtId="0" fontId="165" fillId="0" borderId="698" applyFill="0" applyProtection="0">
      <alignment horizontal="center"/>
    </xf>
    <xf numFmtId="0" fontId="166" fillId="0" borderId="698">
      <alignment horizontal="center"/>
    </xf>
    <xf numFmtId="264" fontId="12" fillId="14" borderId="698" applyFont="0" applyFill="0" applyBorder="0" applyAlignment="0" applyProtection="0">
      <alignment horizontal="right"/>
    </xf>
    <xf numFmtId="0" fontId="210" fillId="0" borderId="698" applyNumberFormat="0" applyFill="0" applyBorder="0" applyAlignment="0">
      <protection locked="0"/>
    </xf>
    <xf numFmtId="254" fontId="240" fillId="0" borderId="698" applyBorder="0" applyProtection="0">
      <alignment horizontal="right" vertical="center"/>
    </xf>
    <xf numFmtId="0" fontId="241" fillId="94" borderId="698" applyBorder="0" applyProtection="0">
      <alignment horizontal="centerContinuous" vertical="center"/>
    </xf>
    <xf numFmtId="246" fontId="249" fillId="0" borderId="698" applyFill="0" applyProtection="0">
      <alignment horizontal="center"/>
    </xf>
    <xf numFmtId="246" fontId="250" fillId="0" borderId="698" applyFill="0" applyProtection="0">
      <alignment horizontal="center"/>
    </xf>
    <xf numFmtId="186" fontId="140" fillId="3" borderId="702">
      <alignment horizontal="center" vertical="center"/>
    </xf>
    <xf numFmtId="0" fontId="78" fillId="14" borderId="688" applyFont="0" applyFill="0" applyBorder="0" applyAlignment="0" applyProtection="0"/>
    <xf numFmtId="222" fontId="79" fillId="0" borderId="709" applyBorder="0"/>
    <xf numFmtId="0" fontId="78" fillId="14" borderId="712" applyFont="0" applyFill="0" applyBorder="0" applyAlignment="0" applyProtection="0"/>
    <xf numFmtId="0" fontId="25" fillId="10" borderId="720" applyNumberFormat="0" applyProtection="0">
      <alignment horizontal="left" vertical="top"/>
    </xf>
    <xf numFmtId="0" fontId="25" fillId="10" borderId="719" applyNumberFormat="0" applyProtection="0">
      <alignment horizontal="left" vertical="top"/>
    </xf>
    <xf numFmtId="0" fontId="25" fillId="10" borderId="718" applyNumberFormat="0" applyProtection="0">
      <alignment horizontal="left" vertical="top"/>
    </xf>
    <xf numFmtId="0" fontId="25" fillId="10" borderId="717" applyNumberFormat="0" applyProtection="0">
      <alignment horizontal="left" vertical="top"/>
    </xf>
    <xf numFmtId="0" fontId="214" fillId="0" borderId="716" applyNumberFormat="0" applyFont="0" applyFill="0" applyAlignment="0" applyProtection="0"/>
    <xf numFmtId="0" fontId="2" fillId="0" borderId="715" applyNumberFormat="0" applyAlignment="0" applyProtection="0"/>
    <xf numFmtId="186" fontId="140" fillId="3" borderId="714">
      <alignment horizontal="center" vertical="center"/>
    </xf>
    <xf numFmtId="186" fontId="146" fillId="3" borderId="713">
      <alignment horizontal="left"/>
    </xf>
    <xf numFmtId="0" fontId="75" fillId="0" borderId="711" applyNumberFormat="0" applyFont="0" applyFill="0" applyAlignment="0" applyProtection="0"/>
    <xf numFmtId="222" fontId="79" fillId="0" borderId="721" applyBorder="0"/>
    <xf numFmtId="0" fontId="101" fillId="0" borderId="722" applyBorder="0"/>
    <xf numFmtId="222" fontId="79" fillId="0" borderId="721" applyBorder="0"/>
    <xf numFmtId="0" fontId="113" fillId="0" borderId="722" applyNumberFormat="0" applyFill="0" applyAlignment="0" applyProtection="0"/>
    <xf numFmtId="0" fontId="12" fillId="0" borderId="722" applyNumberFormat="0" applyFill="0" applyBorder="0" applyAlignment="0" applyProtection="0">
      <alignment horizontal="center"/>
    </xf>
    <xf numFmtId="248" fontId="46" fillId="0" borderId="722"/>
    <xf numFmtId="192" fontId="9" fillId="3" borderId="722">
      <alignment horizontal="right" vertical="center"/>
    </xf>
    <xf numFmtId="180" fontId="9" fillId="3" borderId="722">
      <alignment horizontal="right" vertical="center"/>
    </xf>
    <xf numFmtId="186" fontId="146" fillId="3" borderId="722" applyBorder="0">
      <alignment horizontal="left" vertical="center"/>
    </xf>
    <xf numFmtId="0" fontId="165" fillId="0" borderId="722" applyFill="0" applyProtection="0">
      <alignment horizontal="center"/>
    </xf>
    <xf numFmtId="0" fontId="166" fillId="0" borderId="722">
      <alignment horizontal="center"/>
    </xf>
    <xf numFmtId="264" fontId="12" fillId="14" borderId="722" applyFont="0" applyFill="0" applyBorder="0" applyAlignment="0" applyProtection="0">
      <alignment horizontal="right"/>
    </xf>
    <xf numFmtId="0" fontId="210" fillId="0" borderId="722" applyNumberFormat="0" applyFill="0" applyBorder="0" applyAlignment="0">
      <protection locked="0"/>
    </xf>
    <xf numFmtId="254" fontId="240" fillId="0" borderId="722" applyBorder="0" applyProtection="0">
      <alignment horizontal="right" vertical="center"/>
    </xf>
    <xf numFmtId="0" fontId="241" fillId="94" borderId="722" applyBorder="0" applyProtection="0">
      <alignment horizontal="centerContinuous" vertical="center"/>
    </xf>
    <xf numFmtId="246" fontId="249" fillId="0" borderId="722" applyFill="0" applyProtection="0">
      <alignment horizontal="center"/>
    </xf>
    <xf numFmtId="246" fontId="250" fillId="0" borderId="722" applyFill="0" applyProtection="0">
      <alignment horizontal="center"/>
    </xf>
    <xf numFmtId="222" fontId="79" fillId="0" borderId="733" applyBorder="0"/>
    <xf numFmtId="0" fontId="78" fillId="14" borderId="736" applyFont="0" applyFill="0" applyBorder="0" applyAlignment="0" applyProtection="0"/>
    <xf numFmtId="0" fontId="25" fillId="10" borderId="744" applyNumberFormat="0" applyProtection="0">
      <alignment horizontal="left" vertical="top"/>
    </xf>
    <xf numFmtId="0" fontId="25" fillId="10" borderId="743" applyNumberFormat="0" applyProtection="0">
      <alignment horizontal="left" vertical="top"/>
    </xf>
    <xf numFmtId="0" fontId="25" fillId="10" borderId="742" applyNumberFormat="0" applyProtection="0">
      <alignment horizontal="left" vertical="top"/>
    </xf>
    <xf numFmtId="0" fontId="25" fillId="10" borderId="741" applyNumberFormat="0" applyProtection="0">
      <alignment horizontal="left" vertical="top"/>
    </xf>
    <xf numFmtId="0" fontId="214" fillId="0" borderId="740" applyNumberFormat="0" applyFont="0" applyFill="0" applyAlignment="0" applyProtection="0"/>
    <xf numFmtId="0" fontId="2" fillId="0" borderId="739" applyNumberFormat="0" applyAlignment="0" applyProtection="0"/>
    <xf numFmtId="186" fontId="140" fillId="3" borderId="738">
      <alignment horizontal="center" vertical="center"/>
    </xf>
    <xf numFmtId="186" fontId="146" fillId="3" borderId="737">
      <alignment horizontal="left"/>
    </xf>
    <xf numFmtId="0" fontId="75" fillId="0" borderId="735" applyNumberFormat="0" applyFont="0" applyFill="0" applyAlignment="0" applyProtection="0"/>
    <xf numFmtId="222" fontId="79" fillId="0" borderId="745" applyBorder="0"/>
    <xf numFmtId="0" fontId="101" fillId="0" borderId="746" applyBorder="0"/>
    <xf numFmtId="222" fontId="79" fillId="0" borderId="745" applyBorder="0"/>
    <xf numFmtId="0" fontId="113" fillId="0" borderId="746" applyNumberFormat="0" applyFill="0" applyAlignment="0" applyProtection="0"/>
    <xf numFmtId="0" fontId="12" fillId="0" borderId="746" applyNumberFormat="0" applyFill="0" applyBorder="0" applyAlignment="0" applyProtection="0">
      <alignment horizontal="center"/>
    </xf>
    <xf numFmtId="248" fontId="46" fillId="0" borderId="746"/>
    <xf numFmtId="192" fontId="9" fillId="3" borderId="746">
      <alignment horizontal="right" vertical="center"/>
    </xf>
    <xf numFmtId="180" fontId="9" fillId="3" borderId="746">
      <alignment horizontal="right" vertical="center"/>
    </xf>
    <xf numFmtId="186" fontId="146" fillId="3" borderId="746" applyBorder="0">
      <alignment horizontal="left" vertical="center"/>
    </xf>
    <xf numFmtId="0" fontId="165" fillId="0" borderId="746" applyFill="0" applyProtection="0">
      <alignment horizontal="center"/>
    </xf>
    <xf numFmtId="0" fontId="166" fillId="0" borderId="746">
      <alignment horizontal="center"/>
    </xf>
    <xf numFmtId="264" fontId="12" fillId="14" borderId="746" applyFont="0" applyFill="0" applyBorder="0" applyAlignment="0" applyProtection="0">
      <alignment horizontal="right"/>
    </xf>
    <xf numFmtId="0" fontId="210" fillId="0" borderId="746" applyNumberFormat="0" applyFill="0" applyBorder="0" applyAlignment="0">
      <protection locked="0"/>
    </xf>
    <xf numFmtId="254" fontId="240" fillId="0" borderId="746" applyBorder="0" applyProtection="0">
      <alignment horizontal="right" vertical="center"/>
    </xf>
    <xf numFmtId="0" fontId="241" fillId="94" borderId="746" applyBorder="0" applyProtection="0">
      <alignment horizontal="centerContinuous" vertical="center"/>
    </xf>
    <xf numFmtId="246" fontId="249" fillId="0" borderId="746" applyFill="0" applyProtection="0">
      <alignment horizontal="center"/>
    </xf>
    <xf numFmtId="246" fontId="250" fillId="0" borderId="746" applyFill="0" applyProtection="0">
      <alignment horizontal="center"/>
    </xf>
    <xf numFmtId="0" fontId="2" fillId="0" borderId="1398" applyNumberFormat="0" applyAlignment="0" applyProtection="0"/>
    <xf numFmtId="190" fontId="25" fillId="10" borderId="4735" applyNumberFormat="0" applyProtection="0">
      <alignment horizontal="left"/>
    </xf>
    <xf numFmtId="264" fontId="12" fillId="14" borderId="1393" applyFont="0" applyFill="0" applyBorder="0" applyAlignment="0" applyProtection="0">
      <alignment horizontal="right"/>
    </xf>
    <xf numFmtId="0" fontId="75" fillId="0" borderId="759" applyNumberFormat="0" applyFont="0" applyFill="0" applyAlignment="0" applyProtection="0"/>
    <xf numFmtId="0" fontId="78" fillId="14" borderId="760" applyFont="0" applyFill="0" applyBorder="0" applyAlignment="0" applyProtection="0"/>
    <xf numFmtId="186" fontId="146" fillId="3" borderId="761">
      <alignment horizontal="left"/>
    </xf>
    <xf numFmtId="186" fontId="140" fillId="3" borderId="762">
      <alignment horizontal="center" vertical="center"/>
    </xf>
    <xf numFmtId="0" fontId="2" fillId="0" borderId="763" applyNumberFormat="0" applyAlignment="0" applyProtection="0"/>
    <xf numFmtId="0" fontId="214" fillId="0" borderId="764" applyNumberFormat="0" applyFont="0" applyFill="0" applyAlignment="0" applyProtection="0"/>
    <xf numFmtId="0" fontId="25" fillId="10" borderId="765" applyNumberFormat="0" applyProtection="0">
      <alignment horizontal="left" vertical="top"/>
    </xf>
    <xf numFmtId="0" fontId="25" fillId="10" borderId="766" applyNumberFormat="0" applyProtection="0">
      <alignment horizontal="left" vertical="top"/>
    </xf>
    <xf numFmtId="0" fontId="25" fillId="10" borderId="767" applyNumberFormat="0" applyProtection="0">
      <alignment horizontal="left" vertical="top"/>
    </xf>
    <xf numFmtId="0" fontId="25" fillId="10" borderId="768" applyNumberFormat="0" applyProtection="0">
      <alignment horizontal="left" vertical="top"/>
    </xf>
    <xf numFmtId="0" fontId="214" fillId="0" borderId="1399" applyNumberFormat="0" applyFont="0" applyFill="0" applyAlignment="0" applyProtection="0"/>
    <xf numFmtId="186" fontId="146" fillId="3" borderId="4765">
      <alignment horizontal="left"/>
    </xf>
    <xf numFmtId="0" fontId="210" fillId="0" borderId="1393" applyNumberFormat="0" applyFill="0" applyBorder="0" applyAlignment="0">
      <protection locked="0"/>
    </xf>
    <xf numFmtId="180" fontId="9" fillId="3" borderId="2156">
      <alignment horizontal="right" vertical="center"/>
    </xf>
    <xf numFmtId="190" fontId="210" fillId="0" borderId="4810" applyNumberFormat="0" applyFill="0" applyBorder="0" applyAlignment="0">
      <protection locked="0"/>
    </xf>
    <xf numFmtId="254" fontId="240" fillId="0" borderId="1429" applyBorder="0" applyProtection="0">
      <alignment horizontal="right" vertical="center"/>
    </xf>
    <xf numFmtId="0" fontId="113" fillId="0" borderId="2120" applyNumberFormat="0" applyFill="0" applyAlignment="0" applyProtection="0"/>
    <xf numFmtId="0" fontId="25" fillId="10" borderId="1400" applyNumberFormat="0" applyProtection="0">
      <alignment horizontal="left" vertical="top"/>
    </xf>
    <xf numFmtId="186" fontId="48" fillId="3" borderId="4728">
      <alignment vertical="center"/>
    </xf>
    <xf numFmtId="0" fontId="166" fillId="0" borderId="1393">
      <alignment horizontal="center"/>
    </xf>
    <xf numFmtId="246" fontId="250" fillId="0" borderId="758" applyFill="0" applyProtection="0">
      <alignment horizontal="center"/>
    </xf>
    <xf numFmtId="246" fontId="249" fillId="0" borderId="758" applyFill="0" applyProtection="0">
      <alignment horizontal="center"/>
    </xf>
    <xf numFmtId="0" fontId="241" fillId="94" borderId="758" applyBorder="0" applyProtection="0">
      <alignment horizontal="centerContinuous" vertical="center"/>
    </xf>
    <xf numFmtId="254" fontId="240" fillId="0" borderId="758" applyBorder="0" applyProtection="0">
      <alignment horizontal="right" vertical="center"/>
    </xf>
    <xf numFmtId="246" fontId="249" fillId="0" borderId="4717" applyFill="0" applyProtection="0">
      <alignment horizontal="center"/>
    </xf>
    <xf numFmtId="0" fontId="105" fillId="0" borderId="2075" applyNumberFormat="0" applyFill="0" applyBorder="0" applyAlignment="0" applyProtection="0"/>
    <xf numFmtId="0" fontId="12" fillId="0" borderId="2075" applyNumberFormat="0" applyFill="0" applyBorder="0" applyAlignment="0" applyProtection="0"/>
    <xf numFmtId="0" fontId="165" fillId="0" borderId="2093" applyFill="0" applyProtection="0">
      <alignment horizontal="center"/>
    </xf>
    <xf numFmtId="192" fontId="9" fillId="3" borderId="2093">
      <alignment horizontal="right" vertical="center"/>
    </xf>
    <xf numFmtId="0" fontId="25" fillId="10" borderId="1448" applyNumberFormat="0" applyProtection="0">
      <alignment horizontal="left" vertical="top"/>
    </xf>
    <xf numFmtId="0" fontId="241" fillId="94" borderId="4746" applyBorder="0" applyProtection="0">
      <alignment horizontal="centerContinuous" vertical="center"/>
    </xf>
    <xf numFmtId="0" fontId="12" fillId="0" borderId="2075" applyNumberFormat="0" applyFill="0" applyBorder="0" applyAlignment="0" applyProtection="0"/>
    <xf numFmtId="0" fontId="225" fillId="53" borderId="2078" applyNumberFormat="0" applyProtection="0">
      <alignment horizontal="left" vertical="top" indent="1"/>
    </xf>
    <xf numFmtId="0" fontId="12" fillId="0" borderId="2075" applyNumberFormat="0" applyFill="0" applyBorder="0" applyAlignment="0" applyProtection="0"/>
    <xf numFmtId="186" fontId="140" fillId="3" borderId="4721">
      <alignment horizontal="center" vertical="center"/>
    </xf>
    <xf numFmtId="312" fontId="241" fillId="94" borderId="1441" applyBorder="0" applyProtection="0">
      <alignment horizontal="centerContinuous" vertical="center"/>
    </xf>
    <xf numFmtId="0" fontId="210" fillId="0" borderId="758" applyNumberFormat="0" applyFill="0" applyBorder="0" applyAlignment="0">
      <protection locked="0"/>
    </xf>
    <xf numFmtId="264" fontId="12" fillId="14" borderId="758" applyFont="0" applyFill="0" applyBorder="0" applyAlignment="0" applyProtection="0">
      <alignment horizontal="right"/>
    </xf>
    <xf numFmtId="0" fontId="25" fillId="10" borderId="1448" applyNumberFormat="0" applyProtection="0">
      <alignment horizontal="left" vertical="top"/>
    </xf>
    <xf numFmtId="0" fontId="166" fillId="0" borderId="758">
      <alignment horizontal="center"/>
    </xf>
    <xf numFmtId="0" fontId="165" fillId="0" borderId="758" applyFill="0" applyProtection="0">
      <alignment horizontal="center"/>
    </xf>
    <xf numFmtId="186" fontId="146" fillId="3" borderId="1420">
      <alignment horizontal="left"/>
    </xf>
    <xf numFmtId="186" fontId="146" fillId="3" borderId="758" applyBorder="0">
      <alignment horizontal="left" vertical="center"/>
    </xf>
    <xf numFmtId="180" fontId="9" fillId="3" borderId="758">
      <alignment horizontal="right" vertical="center"/>
    </xf>
    <xf numFmtId="192" fontId="9" fillId="3" borderId="758">
      <alignment horizontal="right" vertical="center"/>
    </xf>
    <xf numFmtId="0" fontId="25" fillId="10" borderId="1449" applyNumberFormat="0" applyProtection="0">
      <alignment horizontal="left" vertical="top"/>
    </xf>
    <xf numFmtId="312" fontId="210" fillId="0" borderId="1441" applyNumberFormat="0" applyFill="0" applyBorder="0" applyAlignment="0">
      <protection locked="0"/>
    </xf>
    <xf numFmtId="0" fontId="74" fillId="0" borderId="2074" applyFont="0" applyFill="0" applyBorder="0" applyAlignment="0" applyProtection="0">
      <alignment horizontal="center"/>
    </xf>
    <xf numFmtId="0" fontId="12" fillId="0" borderId="758" applyNumberFormat="0" applyFill="0" applyBorder="0" applyAlignment="0" applyProtection="0">
      <alignment horizontal="center"/>
    </xf>
    <xf numFmtId="0" fontId="113" fillId="0" borderId="758" applyNumberFormat="0" applyFill="0" applyAlignment="0" applyProtection="0"/>
    <xf numFmtId="222" fontId="79" fillId="0" borderId="1440" applyBorder="0"/>
    <xf numFmtId="0" fontId="136" fillId="14" borderId="2078" applyNumberFormat="0" applyProtection="0">
      <alignment horizontal="left" vertical="top" indent="1"/>
    </xf>
    <xf numFmtId="222" fontId="79" fillId="0" borderId="757" applyBorder="0"/>
    <xf numFmtId="0" fontId="101" fillId="0" borderId="758" applyBorder="0"/>
    <xf numFmtId="4" fontId="226" fillId="79" borderId="2078" applyNumberFormat="0" applyProtection="0">
      <alignment horizontal="right" vertical="center"/>
    </xf>
    <xf numFmtId="186" fontId="146" fillId="3" borderId="1393" applyBorder="0">
      <alignment horizontal="left" vertical="center"/>
    </xf>
    <xf numFmtId="0" fontId="2" fillId="0" borderId="2068" applyNumberFormat="0" applyAlignment="0" applyProtection="0"/>
    <xf numFmtId="0" fontId="25" fillId="10" borderId="1401" applyNumberFormat="0" applyProtection="0">
      <alignment horizontal="left" vertical="top"/>
    </xf>
    <xf numFmtId="248" fontId="46" fillId="0" borderId="758"/>
    <xf numFmtId="0" fontId="25" fillId="10" borderId="1402" applyNumberFormat="0" applyProtection="0">
      <alignment horizontal="left" vertical="top"/>
    </xf>
    <xf numFmtId="246" fontId="296" fillId="0" borderId="1441" applyFill="0" applyProtection="0">
      <alignment horizontal="center"/>
    </xf>
    <xf numFmtId="180" fontId="9" fillId="3" borderId="1393">
      <alignment horizontal="right" vertical="center"/>
    </xf>
    <xf numFmtId="312" fontId="25" fillId="10" borderId="1426" applyNumberFormat="0" applyProtection="0">
      <alignment horizontal="left" vertical="top"/>
    </xf>
    <xf numFmtId="264" fontId="12" fillId="14" borderId="1381" applyFont="0" applyFill="0" applyBorder="0" applyAlignment="0" applyProtection="0">
      <alignment horizontal="right"/>
    </xf>
    <xf numFmtId="312" fontId="241" fillId="94" borderId="1441" applyBorder="0" applyProtection="0">
      <alignment horizontal="centerContinuous" vertical="center"/>
    </xf>
    <xf numFmtId="192" fontId="9" fillId="3" borderId="1393">
      <alignment horizontal="right" vertical="center"/>
    </xf>
    <xf numFmtId="222" fontId="79" fillId="0" borderId="4743" applyBorder="0"/>
    <xf numFmtId="0" fontId="166" fillId="0" borderId="1381">
      <alignment horizontal="center"/>
    </xf>
    <xf numFmtId="248" fontId="46" fillId="0" borderId="1393"/>
    <xf numFmtId="312" fontId="12" fillId="0" borderId="2156" applyNumberFormat="0" applyFill="0" applyBorder="0" applyAlignment="0" applyProtection="0">
      <alignment horizontal="center"/>
    </xf>
    <xf numFmtId="0" fontId="101" fillId="0" borderId="758" applyBorder="0"/>
    <xf numFmtId="222" fontId="79" fillId="0" borderId="757" applyBorder="0"/>
    <xf numFmtId="0" fontId="113" fillId="0" borderId="758" applyNumberFormat="0" applyFill="0" applyAlignment="0" applyProtection="0"/>
    <xf numFmtId="0" fontId="75" fillId="0" borderId="759" applyNumberFormat="0" applyFont="0" applyFill="0" applyAlignment="0" applyProtection="0"/>
    <xf numFmtId="0" fontId="12" fillId="0" borderId="758" applyNumberFormat="0" applyFill="0" applyBorder="0" applyAlignment="0" applyProtection="0">
      <alignment horizontal="center"/>
    </xf>
    <xf numFmtId="248" fontId="46" fillId="0" borderId="758"/>
    <xf numFmtId="192" fontId="9" fillId="3" borderId="758">
      <alignment horizontal="right" vertical="center"/>
    </xf>
    <xf numFmtId="180" fontId="9" fillId="3" borderId="758">
      <alignment horizontal="right" vertical="center"/>
    </xf>
    <xf numFmtId="186" fontId="146" fillId="3" borderId="758" applyBorder="0">
      <alignment horizontal="left" vertical="center"/>
    </xf>
    <xf numFmtId="186" fontId="146" fillId="3" borderId="761">
      <alignment horizontal="left"/>
    </xf>
    <xf numFmtId="186" fontId="140" fillId="3" borderId="762">
      <alignment horizontal="center" vertical="center"/>
    </xf>
    <xf numFmtId="0" fontId="165" fillId="0" borderId="758" applyFill="0" applyProtection="0">
      <alignment horizontal="center"/>
    </xf>
    <xf numFmtId="0" fontId="166" fillId="0" borderId="758">
      <alignment horizontal="center"/>
    </xf>
    <xf numFmtId="264" fontId="12" fillId="14" borderId="758" applyFont="0" applyFill="0" applyBorder="0" applyAlignment="0" applyProtection="0">
      <alignment horizontal="right"/>
    </xf>
    <xf numFmtId="0" fontId="210" fillId="0" borderId="758" applyNumberFormat="0" applyFill="0" applyBorder="0" applyAlignment="0">
      <protection locked="0"/>
    </xf>
    <xf numFmtId="0" fontId="2" fillId="0" borderId="763" applyNumberFormat="0" applyAlignment="0" applyProtection="0"/>
    <xf numFmtId="0" fontId="214" fillId="0" borderId="764" applyNumberFormat="0" applyFont="0" applyFill="0" applyAlignment="0" applyProtection="0"/>
    <xf numFmtId="0" fontId="25" fillId="10" borderId="765" applyNumberFormat="0" applyProtection="0">
      <alignment horizontal="left" vertical="top"/>
    </xf>
    <xf numFmtId="0" fontId="25" fillId="10" borderId="766" applyNumberFormat="0" applyProtection="0">
      <alignment horizontal="left" vertical="top"/>
    </xf>
    <xf numFmtId="0" fontId="25" fillId="10" borderId="767" applyNumberFormat="0" applyProtection="0">
      <alignment horizontal="left" vertical="top"/>
    </xf>
    <xf numFmtId="0" fontId="25" fillId="10" borderId="768" applyNumberFormat="0" applyProtection="0">
      <alignment horizontal="left" vertical="top"/>
    </xf>
    <xf numFmtId="0" fontId="25" fillId="10" borderId="765" applyNumberFormat="0" applyProtection="0">
      <alignment horizontal="left" vertical="top"/>
    </xf>
    <xf numFmtId="0" fontId="25" fillId="10" borderId="766" applyNumberFormat="0" applyProtection="0">
      <alignment horizontal="left" vertical="top"/>
    </xf>
    <xf numFmtId="0" fontId="25" fillId="10" borderId="767" applyNumberFormat="0" applyProtection="0">
      <alignment horizontal="left" vertical="top"/>
    </xf>
    <xf numFmtId="0" fontId="25" fillId="10" borderId="768" applyNumberFormat="0" applyProtection="0">
      <alignment horizontal="left" vertical="top"/>
    </xf>
    <xf numFmtId="254" fontId="240" fillId="0" borderId="758" applyBorder="0" applyProtection="0">
      <alignment horizontal="right" vertical="center"/>
    </xf>
    <xf numFmtId="0" fontId="241" fillId="94" borderId="758" applyBorder="0" applyProtection="0">
      <alignment horizontal="centerContinuous" vertical="center"/>
    </xf>
    <xf numFmtId="246" fontId="249" fillId="0" borderId="758" applyFill="0" applyProtection="0">
      <alignment horizontal="center"/>
    </xf>
    <xf numFmtId="246" fontId="250" fillId="0" borderId="758" applyFill="0" applyProtection="0">
      <alignment horizontal="center"/>
    </xf>
    <xf numFmtId="0" fontId="165" fillId="0" borderId="1381" applyFill="0" applyProtection="0">
      <alignment horizontal="center"/>
    </xf>
    <xf numFmtId="312" fontId="25" fillId="10" borderId="1427" applyNumberFormat="0" applyProtection="0">
      <alignment horizontal="left" vertical="top"/>
    </xf>
    <xf numFmtId="0" fontId="25" fillId="10" borderId="1378" applyNumberFormat="0" applyProtection="0">
      <alignment horizontal="left" vertical="top"/>
    </xf>
    <xf numFmtId="312" fontId="25" fillId="10" borderId="2142" applyNumberFormat="0" applyProtection="0">
      <alignment horizontal="left" vertical="top"/>
    </xf>
    <xf numFmtId="186" fontId="146" fillId="3" borderId="1381" applyBorder="0">
      <alignment horizontal="left" vertical="center"/>
    </xf>
    <xf numFmtId="312" fontId="25" fillId="10" borderId="1426" applyNumberFormat="0" applyProtection="0">
      <alignment horizontal="left" vertical="top"/>
    </xf>
    <xf numFmtId="0" fontId="25" fillId="10" borderId="1377" applyNumberFormat="0" applyProtection="0">
      <alignment horizontal="left" vertical="top"/>
    </xf>
    <xf numFmtId="186" fontId="140" fillId="3" borderId="1421">
      <alignment horizontal="center" vertical="center"/>
    </xf>
    <xf numFmtId="0" fontId="214" fillId="0" borderId="1375" applyNumberFormat="0" applyFont="0" applyFill="0" applyAlignment="0" applyProtection="0"/>
    <xf numFmtId="0" fontId="78" fillId="14" borderId="1539" applyFont="0" applyFill="0" applyBorder="0" applyAlignment="0" applyProtection="0"/>
    <xf numFmtId="186" fontId="146" fillId="3" borderId="1588">
      <alignment horizontal="left"/>
    </xf>
    <xf numFmtId="246" fontId="249" fillId="0" borderId="1537" applyFill="0" applyProtection="0">
      <alignment horizontal="center"/>
    </xf>
    <xf numFmtId="0" fontId="210" fillId="0" borderId="1537" applyNumberFormat="0" applyFill="0" applyBorder="0" applyAlignment="0">
      <protection locked="0"/>
    </xf>
    <xf numFmtId="180" fontId="9" fillId="3" borderId="1537">
      <alignment horizontal="right" vertical="center"/>
    </xf>
    <xf numFmtId="0" fontId="78" fillId="14" borderId="1539" applyFont="0" applyFill="0" applyBorder="0" applyAlignment="0" applyProtection="0"/>
    <xf numFmtId="0" fontId="2" fillId="0" borderId="1542" applyNumberFormat="0" applyAlignment="0" applyProtection="0"/>
    <xf numFmtId="0" fontId="78" fillId="14" borderId="1539" applyFont="0" applyFill="0" applyBorder="0" applyAlignment="0" applyProtection="0"/>
    <xf numFmtId="0" fontId="241" fillId="94" borderId="1561" applyBorder="0" applyProtection="0">
      <alignment horizontal="centerContinuous" vertical="center"/>
    </xf>
    <xf numFmtId="0" fontId="214" fillId="0" borderId="1579" applyNumberFormat="0" applyFont="0" applyFill="0" applyAlignment="0" applyProtection="0"/>
    <xf numFmtId="222" fontId="79" fillId="0" borderId="1584" applyBorder="0"/>
    <xf numFmtId="180" fontId="9" fillId="3" borderId="1585">
      <alignment horizontal="right" vertical="center"/>
    </xf>
    <xf numFmtId="192" fontId="9" fillId="3" borderId="1597">
      <alignment horizontal="right" vertical="center"/>
    </xf>
    <xf numFmtId="222" fontId="79" fillId="0" borderId="1596" applyBorder="0"/>
    <xf numFmtId="0" fontId="165" fillId="0" borderId="1597" applyFill="0" applyProtection="0">
      <alignment horizontal="center"/>
    </xf>
    <xf numFmtId="248" fontId="46" fillId="0" borderId="1381"/>
    <xf numFmtId="186" fontId="146" fillId="3" borderId="1381" applyBorder="0">
      <alignment horizontal="left" vertical="center"/>
    </xf>
    <xf numFmtId="264" fontId="12" fillId="14" borderId="1381" applyFont="0" applyFill="0" applyBorder="0" applyAlignment="0" applyProtection="0">
      <alignment horizontal="right"/>
    </xf>
    <xf numFmtId="246" fontId="249" fillId="0" borderId="1381" applyFill="0" applyProtection="0">
      <alignment horizontal="center"/>
    </xf>
    <xf numFmtId="222" fontId="79" fillId="0" borderId="769" applyBorder="0"/>
    <xf numFmtId="312" fontId="12" fillId="0" borderId="2075" applyNumberFormat="0" applyFill="0" applyBorder="0" applyAlignment="0" applyProtection="0"/>
    <xf numFmtId="0" fontId="25" fillId="10" borderId="2115" applyNumberFormat="0" applyProtection="0">
      <alignment horizontal="left" vertical="top"/>
    </xf>
    <xf numFmtId="2" fontId="12" fillId="60" borderId="2080" applyFont="0" applyFill="0" applyBorder="0" applyAlignment="0" applyProtection="0"/>
    <xf numFmtId="4" fontId="184" fillId="53" borderId="2078" applyNumberFormat="0" applyProtection="0">
      <alignment horizontal="left" vertical="center" indent="1"/>
    </xf>
    <xf numFmtId="0" fontId="184" fillId="0" borderId="4731" applyAlignment="0">
      <alignment horizontal="left" wrapText="1"/>
    </xf>
    <xf numFmtId="10" fontId="12" fillId="60" borderId="4734" applyFont="0" applyFill="0" applyBorder="0" applyAlignment="0" applyProtection="0"/>
    <xf numFmtId="0" fontId="25" fillId="10" borderId="4725" applyNumberFormat="0" applyProtection="0">
      <alignment horizontal="left" vertical="top"/>
    </xf>
    <xf numFmtId="0" fontId="25" fillId="10" borderId="4727" applyNumberFormat="0" applyProtection="0">
      <alignment horizontal="left" vertical="top"/>
    </xf>
    <xf numFmtId="0" fontId="241" fillId="94" borderId="4746" applyBorder="0" applyProtection="0">
      <alignment horizontal="centerContinuous" vertical="center"/>
    </xf>
    <xf numFmtId="10" fontId="12" fillId="3" borderId="4742" applyNumberFormat="0" applyFont="0" applyFill="0" applyBorder="0" applyAlignment="0">
      <protection locked="0"/>
    </xf>
    <xf numFmtId="190" fontId="101" fillId="0" borderId="758" applyBorder="0"/>
    <xf numFmtId="190" fontId="12" fillId="0" borderId="2156" applyNumberFormat="0" applyFill="0" applyBorder="0" applyAlignment="0" applyProtection="0">
      <alignment horizontal="center"/>
    </xf>
    <xf numFmtId="0" fontId="165" fillId="0" borderId="1441" applyFill="0" applyProtection="0">
      <alignment horizontal="center"/>
    </xf>
    <xf numFmtId="0" fontId="214" fillId="0" borderId="1375" applyNumberFormat="0" applyFont="0" applyFill="0" applyAlignment="0" applyProtection="0"/>
    <xf numFmtId="4" fontId="184" fillId="11" borderId="2078" applyNumberFormat="0" applyProtection="0">
      <alignment horizontal="right" vertical="center"/>
    </xf>
    <xf numFmtId="190" fontId="113" fillId="0" borderId="758" applyNumberFormat="0" applyFill="0" applyAlignment="0" applyProtection="0"/>
    <xf numFmtId="0" fontId="12" fillId="10" borderId="4730" applyNumberFormat="0" applyFont="0" applyAlignment="0" applyProtection="0"/>
    <xf numFmtId="190" fontId="75" fillId="0" borderId="735" applyNumberFormat="0" applyFont="0" applyFill="0" applyAlignment="0" applyProtection="0"/>
    <xf numFmtId="0" fontId="78" fillId="14" borderId="4719" applyFont="0" applyFill="0" applyBorder="0" applyAlignment="0" applyProtection="0"/>
    <xf numFmtId="0" fontId="25" fillId="10" borderId="1377" applyNumberFormat="0" applyProtection="0">
      <alignment horizontal="left" vertical="top"/>
    </xf>
    <xf numFmtId="190" fontId="135" fillId="0" borderId="4730"/>
    <xf numFmtId="192" fontId="9" fillId="3" borderId="4810">
      <alignment horizontal="right" vertical="center"/>
    </xf>
    <xf numFmtId="0" fontId="165" fillId="0" borderId="2063" applyFill="0" applyProtection="0">
      <alignment horizontal="center"/>
    </xf>
    <xf numFmtId="186" fontId="140" fillId="3" borderId="2124">
      <alignment horizontal="center" vertical="center"/>
    </xf>
    <xf numFmtId="0" fontId="101" fillId="0" borderId="2156" applyBorder="0"/>
    <xf numFmtId="180" fontId="9" fillId="3" borderId="2132">
      <alignment horizontal="right" vertical="center"/>
    </xf>
    <xf numFmtId="190" fontId="12" fillId="0" borderId="758" applyNumberFormat="0" applyFill="0" applyBorder="0" applyAlignment="0" applyProtection="0">
      <alignment horizontal="center"/>
    </xf>
    <xf numFmtId="0" fontId="25" fillId="10" borderId="1448" applyNumberFormat="0" applyProtection="0">
      <alignment horizontal="left" vertical="top"/>
    </xf>
    <xf numFmtId="186" fontId="146" fillId="3" borderId="4746" applyBorder="0">
      <alignment horizontal="left" vertical="center"/>
    </xf>
    <xf numFmtId="0" fontId="25" fillId="10" borderId="1450" applyNumberFormat="0" applyProtection="0">
      <alignment horizontal="left" vertical="top"/>
    </xf>
    <xf numFmtId="0" fontId="25" fillId="10" borderId="2130" applyNumberFormat="0" applyProtection="0">
      <alignment horizontal="left" vertical="top"/>
    </xf>
    <xf numFmtId="0" fontId="25" fillId="10" borderId="2072" applyNumberFormat="0" applyProtection="0">
      <alignment horizontal="left" vertical="top"/>
    </xf>
    <xf numFmtId="222" fontId="79" fillId="0" borderId="4809" applyBorder="0"/>
    <xf numFmtId="312" fontId="25" fillId="10" borderId="1425" applyNumberFormat="0" applyProtection="0">
      <alignment horizontal="left" vertical="top"/>
    </xf>
    <xf numFmtId="0" fontId="12" fillId="11" borderId="2078" applyNumberFormat="0" applyProtection="0">
      <alignment horizontal="left" vertical="center" indent="1"/>
    </xf>
    <xf numFmtId="0" fontId="25" fillId="10" borderId="2084" applyNumberFormat="0" applyProtection="0">
      <alignment horizontal="left" vertical="top"/>
    </xf>
    <xf numFmtId="190" fontId="78" fillId="14" borderId="748" applyFont="0" applyFill="0" applyBorder="0" applyAlignment="0" applyProtection="0"/>
    <xf numFmtId="0" fontId="105" fillId="0" borderId="2075" applyNumberFormat="0" applyFill="0" applyBorder="0" applyAlignment="0" applyProtection="0"/>
    <xf numFmtId="254" fontId="240" fillId="0" borderId="4810" applyBorder="0" applyProtection="0">
      <alignment horizontal="right" vertical="center"/>
    </xf>
    <xf numFmtId="222" fontId="79" fillId="0" borderId="2062" applyBorder="0"/>
    <xf numFmtId="0" fontId="74" fillId="0" borderId="4728" applyFont="0" applyFill="0" applyBorder="0" applyAlignment="0" applyProtection="0">
      <alignment horizontal="center"/>
    </xf>
    <xf numFmtId="0" fontId="101" fillId="0" borderId="2093" applyBorder="0"/>
    <xf numFmtId="0" fontId="25" fillId="10" borderId="2072" applyNumberFormat="0" applyProtection="0">
      <alignment horizontal="left" vertical="top"/>
    </xf>
    <xf numFmtId="0" fontId="101" fillId="0" borderId="2156" applyBorder="0"/>
    <xf numFmtId="312" fontId="25" fillId="10" borderId="2076" applyNumberFormat="0" applyProtection="0">
      <alignment horizontal="center" vertical="top"/>
    </xf>
    <xf numFmtId="312" fontId="12" fillId="0" borderId="2075" applyNumberFormat="0" applyFill="0" applyBorder="0" applyAlignment="0" applyProtection="0"/>
    <xf numFmtId="312" fontId="2" fillId="0" borderId="2137" applyNumberFormat="0" applyAlignment="0" applyProtection="0"/>
    <xf numFmtId="192" fontId="9" fillId="3" borderId="4774">
      <alignment horizontal="right" vertical="center"/>
    </xf>
    <xf numFmtId="0" fontId="101" fillId="0" borderId="2156" applyBorder="0"/>
    <xf numFmtId="186" fontId="140" fillId="3" borderId="2160">
      <alignment horizontal="center" vertical="center"/>
    </xf>
    <xf numFmtId="0" fontId="241" fillId="94" borderId="1441" applyBorder="0" applyProtection="0">
      <alignment horizontal="centerContinuous" vertical="center"/>
    </xf>
    <xf numFmtId="0" fontId="25" fillId="10" borderId="1426" applyNumberFormat="0" applyProtection="0">
      <alignment horizontal="left" vertical="top"/>
    </xf>
    <xf numFmtId="0" fontId="25" fillId="10" borderId="1427" applyNumberFormat="0" applyProtection="0">
      <alignment horizontal="left" vertical="top"/>
    </xf>
    <xf numFmtId="0" fontId="25" fillId="10" borderId="1424" applyNumberFormat="0" applyProtection="0">
      <alignment horizontal="left" vertical="top"/>
    </xf>
    <xf numFmtId="0" fontId="210" fillId="0" borderId="1441" applyNumberFormat="0" applyFill="0" applyBorder="0" applyAlignment="0">
      <protection locked="0"/>
    </xf>
    <xf numFmtId="180" fontId="9" fillId="3" borderId="1441">
      <alignment horizontal="right" vertical="center"/>
    </xf>
    <xf numFmtId="0" fontId="241" fillId="94" borderId="4798" applyBorder="0" applyProtection="0">
      <alignment horizontal="centerContinuous" vertical="center"/>
    </xf>
    <xf numFmtId="264" fontId="12" fillId="14" borderId="4810" applyFont="0" applyFill="0" applyBorder="0" applyAlignment="0" applyProtection="0">
      <alignment horizontal="right"/>
    </xf>
    <xf numFmtId="248" fontId="46" fillId="0" borderId="4810"/>
    <xf numFmtId="0" fontId="2" fillId="0" borderId="3067" applyNumberFormat="0" applyAlignment="0" applyProtection="0"/>
    <xf numFmtId="190" fontId="25" fillId="10" borderId="1426" applyNumberFormat="0" applyProtection="0">
      <alignment horizontal="left" vertical="top"/>
    </xf>
    <xf numFmtId="190" fontId="165" fillId="0" borderId="758" applyFill="0" applyProtection="0">
      <alignment horizontal="center"/>
    </xf>
    <xf numFmtId="190" fontId="166" fillId="0" borderId="758">
      <alignment horizontal="center"/>
    </xf>
    <xf numFmtId="0" fontId="166" fillId="0" borderId="4746">
      <alignment horizontal="center"/>
    </xf>
    <xf numFmtId="0" fontId="12" fillId="11" borderId="4732" applyNumberFormat="0" applyProtection="0">
      <alignment horizontal="left" vertical="top" indent="1"/>
    </xf>
    <xf numFmtId="10" fontId="12" fillId="60" borderId="4734" applyFont="0" applyFill="0" applyBorder="0" applyAlignment="0" applyProtection="0"/>
    <xf numFmtId="4" fontId="184" fillId="52" borderId="4732" applyNumberFormat="0" applyProtection="0">
      <alignment horizontal="right" vertical="center"/>
    </xf>
    <xf numFmtId="4" fontId="226" fillId="77" borderId="2078" applyNumberFormat="0" applyProtection="0">
      <alignment horizontal="right" vertical="center"/>
    </xf>
    <xf numFmtId="1" fontId="74" fillId="0" borderId="2090" applyFill="0" applyBorder="0" applyProtection="0">
      <alignment horizontal="right"/>
    </xf>
    <xf numFmtId="0" fontId="12" fillId="0" borderId="2075" applyNumberFormat="0" applyFill="0" applyBorder="0" applyAlignment="0" applyProtection="0"/>
    <xf numFmtId="264" fontId="12" fillId="14" borderId="4746" applyFont="0" applyFill="0" applyBorder="0" applyAlignment="0" applyProtection="0">
      <alignment horizontal="right"/>
    </xf>
    <xf numFmtId="180" fontId="9" fillId="3" borderId="2063">
      <alignment horizontal="right" vertical="center"/>
    </xf>
    <xf numFmtId="222" fontId="79" fillId="0" borderId="2092" applyBorder="0"/>
    <xf numFmtId="0" fontId="25" fillId="10" borderId="2140" applyNumberFormat="0" applyProtection="0">
      <alignment horizontal="left" vertical="top"/>
    </xf>
    <xf numFmtId="0" fontId="101" fillId="0" borderId="2144" applyBorder="0"/>
    <xf numFmtId="192" fontId="9" fillId="3" borderId="2156">
      <alignment horizontal="right" vertical="center"/>
    </xf>
    <xf numFmtId="0" fontId="75" fillId="0" borderId="2157" applyNumberFormat="0" applyFont="0" applyFill="0" applyAlignment="0" applyProtection="0"/>
    <xf numFmtId="0" fontId="25" fillId="10" borderId="2165" applyNumberFormat="0" applyProtection="0">
      <alignment horizontal="left" vertical="top"/>
    </xf>
    <xf numFmtId="192" fontId="9" fillId="3" borderId="4786">
      <alignment horizontal="right" vertical="center"/>
    </xf>
    <xf numFmtId="0" fontId="25" fillId="10" borderId="4725" applyNumberFormat="0" applyProtection="0">
      <alignment horizontal="left" vertical="top"/>
    </xf>
    <xf numFmtId="264" fontId="12" fillId="14" borderId="4746" applyFont="0" applyFill="0" applyBorder="0" applyAlignment="0" applyProtection="0">
      <alignment horizontal="right"/>
    </xf>
    <xf numFmtId="312" fontId="135" fillId="0" borderId="2076"/>
    <xf numFmtId="312" fontId="75" fillId="0" borderId="2133" applyNumberFormat="0" applyFont="0" applyFill="0" applyAlignment="0" applyProtection="0"/>
    <xf numFmtId="246" fontId="296" fillId="0" borderId="2156" applyFill="0" applyProtection="0">
      <alignment horizontal="center"/>
    </xf>
    <xf numFmtId="0" fontId="25" fillId="10" borderId="4736" applyNumberFormat="0" applyProtection="0">
      <alignment horizontal="left" vertical="top"/>
    </xf>
    <xf numFmtId="186" fontId="146" fillId="3" borderId="1441" applyBorder="0">
      <alignment horizontal="left" vertical="center"/>
    </xf>
    <xf numFmtId="0" fontId="75" fillId="0" borderId="1442" applyNumberFormat="0" applyFont="0" applyFill="0" applyAlignment="0" applyProtection="0"/>
    <xf numFmtId="0" fontId="113" fillId="0" borderId="1405" applyNumberFormat="0" applyFill="0" applyAlignment="0" applyProtection="0"/>
    <xf numFmtId="0" fontId="241" fillId="94" borderId="1381" applyBorder="0" applyProtection="0">
      <alignment horizontal="centerContinuous" vertical="center"/>
    </xf>
    <xf numFmtId="186" fontId="146" fillId="3" borderId="1381" applyBorder="0">
      <alignment horizontal="left" vertical="center"/>
    </xf>
    <xf numFmtId="186" fontId="140" fillId="3" borderId="2136">
      <alignment horizontal="center" vertical="center"/>
    </xf>
    <xf numFmtId="190" fontId="12" fillId="52" borderId="2078" applyNumberFormat="0" applyProtection="0">
      <alignment horizontal="left" vertical="center" indent="1"/>
    </xf>
    <xf numFmtId="4" fontId="226" fillId="71" borderId="4732" applyNumberFormat="0" applyProtection="0">
      <alignment horizontal="right" vertical="center"/>
    </xf>
    <xf numFmtId="0" fontId="225" fillId="53" borderId="4732" applyNumberFormat="0" applyProtection="0">
      <alignment horizontal="left" vertical="top" indent="1"/>
    </xf>
    <xf numFmtId="0" fontId="25" fillId="10" borderId="1448" applyNumberFormat="0" applyProtection="0">
      <alignment horizontal="left" vertical="top"/>
    </xf>
    <xf numFmtId="246" fontId="250" fillId="0" borderId="2144" applyFill="0" applyProtection="0">
      <alignment horizontal="center"/>
    </xf>
    <xf numFmtId="190" fontId="12" fillId="52" borderId="2078" applyNumberFormat="0" applyProtection="0">
      <alignment horizontal="left" vertical="top" indent="1"/>
    </xf>
    <xf numFmtId="0" fontId="25" fillId="10" borderId="1379" applyNumberFormat="0" applyProtection="0">
      <alignment horizontal="left" vertical="top"/>
    </xf>
    <xf numFmtId="0" fontId="25" fillId="10" borderId="1376" applyNumberFormat="0" applyProtection="0">
      <alignment horizontal="left" vertical="top"/>
    </xf>
    <xf numFmtId="186" fontId="140" fillId="3" borderId="1373">
      <alignment horizontal="center" vertical="center"/>
    </xf>
    <xf numFmtId="190" fontId="210" fillId="0" borderId="758" applyNumberFormat="0" applyFill="0" applyBorder="0" applyAlignment="0">
      <protection locked="0"/>
    </xf>
    <xf numFmtId="222" fontId="79" fillId="0" borderId="1380" applyBorder="0"/>
    <xf numFmtId="248" fontId="46" fillId="0" borderId="1381"/>
    <xf numFmtId="186" fontId="146" fillId="3" borderId="1381" applyBorder="0">
      <alignment horizontal="left" vertical="center"/>
    </xf>
    <xf numFmtId="254" fontId="240" fillId="0" borderId="1381" applyBorder="0" applyProtection="0">
      <alignment horizontal="right" vertical="center"/>
    </xf>
    <xf numFmtId="246" fontId="250" fillId="0" borderId="1381" applyFill="0" applyProtection="0">
      <alignment horizontal="center"/>
    </xf>
    <xf numFmtId="0" fontId="25" fillId="10" borderId="1436" applyNumberFormat="0" applyProtection="0">
      <alignment horizontal="left" vertical="top"/>
    </xf>
    <xf numFmtId="190" fontId="2" fillId="0" borderId="739" applyNumberFormat="0" applyAlignment="0" applyProtection="0"/>
    <xf numFmtId="186" fontId="140" fillId="3" borderId="1433">
      <alignment horizontal="center" vertical="center"/>
    </xf>
    <xf numFmtId="0" fontId="25" fillId="10" borderId="707" applyNumberFormat="0" applyProtection="0">
      <alignment horizontal="left" vertical="top"/>
    </xf>
    <xf numFmtId="0" fontId="241" fillId="94" borderId="1417" applyBorder="0" applyProtection="0">
      <alignment horizontal="centerContinuous" vertical="center"/>
    </xf>
    <xf numFmtId="222" fontId="79" fillId="0" borderId="1380" applyBorder="0"/>
    <xf numFmtId="0" fontId="25" fillId="10" borderId="1437" applyNumberFormat="0" applyProtection="0">
      <alignment horizontal="left" vertical="top"/>
    </xf>
    <xf numFmtId="192" fontId="9" fillId="3" borderId="1417">
      <alignment horizontal="right" vertical="center"/>
    </xf>
    <xf numFmtId="190" fontId="12" fillId="75" borderId="2078" applyNumberFormat="0" applyProtection="0">
      <alignment horizontal="left" vertical="center" indent="1"/>
    </xf>
    <xf numFmtId="0" fontId="214" fillId="0" borderId="1375" applyNumberFormat="0" applyFont="0" applyFill="0" applyAlignment="0" applyProtection="0"/>
    <xf numFmtId="0" fontId="25" fillId="10" borderId="1376" applyNumberFormat="0" applyProtection="0">
      <alignment horizontal="left" vertical="top"/>
    </xf>
    <xf numFmtId="264" fontId="12" fillId="14" borderId="1441" applyFont="0" applyFill="0" applyBorder="0" applyAlignment="0" applyProtection="0">
      <alignment horizontal="right"/>
    </xf>
    <xf numFmtId="190" fontId="214" fillId="0" borderId="740" applyNumberFormat="0" applyFont="0" applyFill="0" applyAlignment="0" applyProtection="0"/>
    <xf numFmtId="4" fontId="226" fillId="10" borderId="4732" applyNumberFormat="0" applyProtection="0">
      <alignment horizontal="right" vertical="center"/>
    </xf>
    <xf numFmtId="293" fontId="234" fillId="3" borderId="4730" applyFont="0" applyProtection="0"/>
    <xf numFmtId="186" fontId="146" fillId="3" borderId="1372">
      <alignment horizontal="left"/>
    </xf>
    <xf numFmtId="192" fontId="9" fillId="3" borderId="2132">
      <alignment horizontal="right" vertical="center"/>
    </xf>
    <xf numFmtId="0" fontId="12" fillId="0" borderId="4729" applyNumberFormat="0" applyFill="0" applyBorder="0" applyAlignment="0" applyProtection="0"/>
    <xf numFmtId="0" fontId="25" fillId="10" borderId="2163" applyNumberFormat="0" applyProtection="0">
      <alignment horizontal="left" vertical="top"/>
    </xf>
    <xf numFmtId="0" fontId="165" fillId="0" borderId="2108" applyFill="0" applyProtection="0">
      <alignment horizontal="center"/>
    </xf>
    <xf numFmtId="0" fontId="25" fillId="10" borderId="1451" applyNumberFormat="0" applyProtection="0">
      <alignment horizontal="left" vertical="top"/>
    </xf>
    <xf numFmtId="0" fontId="25" fillId="10" borderId="1450" applyNumberFormat="0" applyProtection="0">
      <alignment horizontal="left" vertical="top"/>
    </xf>
    <xf numFmtId="246" fontId="250" fillId="0" borderId="1369" applyFill="0" applyProtection="0">
      <alignment horizontal="center"/>
    </xf>
    <xf numFmtId="0" fontId="25" fillId="10" borderId="4726" applyNumberFormat="0" applyProtection="0">
      <alignment horizontal="left" vertical="top"/>
    </xf>
    <xf numFmtId="0" fontId="241" fillId="94" borderId="1369" applyBorder="0" applyProtection="0">
      <alignment horizontal="centerContinuous" vertical="center"/>
    </xf>
    <xf numFmtId="312" fontId="101" fillId="0" borderId="2156" applyBorder="0"/>
    <xf numFmtId="0" fontId="25" fillId="10" borderId="1450" applyNumberFormat="0" applyProtection="0">
      <alignment horizontal="left" vertical="top"/>
    </xf>
    <xf numFmtId="0" fontId="78" fillId="14" borderId="700" applyFont="0" applyFill="0" applyBorder="0" applyAlignment="0" applyProtection="0"/>
    <xf numFmtId="0" fontId="25" fillId="10" borderId="4818" applyNumberFormat="0" applyProtection="0">
      <alignment horizontal="left" vertical="top"/>
    </xf>
    <xf numFmtId="0" fontId="165" fillId="0" borderId="4810" applyFill="0" applyProtection="0">
      <alignment horizontal="center"/>
    </xf>
    <xf numFmtId="186" fontId="146" fillId="3" borderId="4789">
      <alignment horizontal="left"/>
    </xf>
    <xf numFmtId="0" fontId="166" fillId="0" borderId="4774">
      <alignment horizontal="center"/>
    </xf>
    <xf numFmtId="222" fontId="79" fillId="0" borderId="4761" applyBorder="0"/>
    <xf numFmtId="248" fontId="46" fillId="0" borderId="4746"/>
    <xf numFmtId="0" fontId="12" fillId="84" borderId="2078" applyNumberFormat="0" applyProtection="0">
      <alignment horizontal="left" vertical="center" indent="1"/>
    </xf>
    <xf numFmtId="4" fontId="230" fillId="11" borderId="2078" applyNumberFormat="0" applyProtection="0">
      <alignment horizontal="right" vertical="center"/>
    </xf>
    <xf numFmtId="3" fontId="12" fillId="60" borderId="2080" applyFont="0" applyFill="0" applyBorder="0" applyAlignment="0" applyProtection="0"/>
    <xf numFmtId="169" fontId="234" fillId="10" borderId="2076" applyFont="0" applyProtection="0"/>
    <xf numFmtId="0" fontId="25" fillId="10" borderId="2082" applyNumberFormat="0" applyProtection="0">
      <alignment horizontal="left" vertical="top"/>
    </xf>
    <xf numFmtId="4" fontId="228" fillId="11" borderId="2078" applyNumberFormat="0" applyProtection="0">
      <alignment vertical="center"/>
    </xf>
    <xf numFmtId="4" fontId="229" fillId="84" borderId="2079" applyNumberFormat="0" applyProtection="0">
      <alignment horizontal="left" vertical="center" indent="1"/>
    </xf>
    <xf numFmtId="0" fontId="12" fillId="10" borderId="2076" applyNumberFormat="0" applyFont="0" applyAlignment="0" applyProtection="0"/>
    <xf numFmtId="0" fontId="25" fillId="10" borderId="2082" applyNumberFormat="0" applyProtection="0">
      <alignment horizontal="left" vertical="top"/>
    </xf>
    <xf numFmtId="10" fontId="12" fillId="3" borderId="2088" applyNumberFormat="0" applyFont="0" applyFill="0" applyBorder="0" applyAlignment="0">
      <protection locked="0"/>
    </xf>
    <xf numFmtId="190" fontId="159" fillId="67" borderId="4730"/>
    <xf numFmtId="4" fontId="226" fillId="82" borderId="4732" applyNumberFormat="0" applyProtection="0">
      <alignment horizontal="right" vertical="center"/>
    </xf>
    <xf numFmtId="254" fontId="240" fillId="0" borderId="4746" applyBorder="0" applyProtection="0">
      <alignment horizontal="right" vertical="center"/>
    </xf>
    <xf numFmtId="222" fontId="79" fillId="0" borderId="2062" applyBorder="0"/>
    <xf numFmtId="246" fontId="250" fillId="0" borderId="2093" applyFill="0" applyProtection="0">
      <alignment horizontal="center"/>
    </xf>
    <xf numFmtId="254" fontId="240" fillId="0" borderId="2093" applyBorder="0" applyProtection="0">
      <alignment horizontal="right" vertical="center"/>
    </xf>
    <xf numFmtId="190" fontId="25" fillId="10" borderId="741" applyNumberFormat="0" applyProtection="0">
      <alignment horizontal="left" vertical="top"/>
    </xf>
    <xf numFmtId="190" fontId="25" fillId="10" borderId="742" applyNumberFormat="0" applyProtection="0">
      <alignment horizontal="left" vertical="top"/>
    </xf>
    <xf numFmtId="0" fontId="75" fillId="0" borderId="2157" applyNumberFormat="0" applyFont="0" applyFill="0" applyAlignment="0" applyProtection="0"/>
    <xf numFmtId="0" fontId="25" fillId="10" borderId="4772" applyNumberFormat="0" applyProtection="0">
      <alignment horizontal="left" vertical="top"/>
    </xf>
    <xf numFmtId="246" fontId="250" fillId="0" borderId="2156" applyFill="0" applyProtection="0">
      <alignment horizontal="center"/>
    </xf>
    <xf numFmtId="190" fontId="25" fillId="10" borderId="743" applyNumberFormat="0" applyProtection="0">
      <alignment horizontal="left" vertical="top"/>
    </xf>
    <xf numFmtId="10" fontId="12" fillId="3" borderId="2088" applyNumberFormat="0" applyFont="0" applyFill="0" applyBorder="0" applyAlignment="0">
      <protection locked="0"/>
    </xf>
    <xf numFmtId="190" fontId="25" fillId="10" borderId="744" applyNumberFormat="0" applyProtection="0">
      <alignment horizontal="left" vertical="top"/>
    </xf>
    <xf numFmtId="10" fontId="12" fillId="3" borderId="4742" applyNumberFormat="0" applyFont="0" applyFill="0" applyBorder="0" applyAlignment="0">
      <protection locked="0"/>
    </xf>
    <xf numFmtId="190" fontId="135" fillId="0" borderId="2076"/>
    <xf numFmtId="0" fontId="165" fillId="0" borderId="4746" applyFill="0" applyProtection="0">
      <alignment horizontal="center"/>
    </xf>
    <xf numFmtId="0" fontId="165" fillId="0" borderId="4746" applyFill="0" applyProtection="0">
      <alignment horizontal="center"/>
    </xf>
    <xf numFmtId="222" fontId="79" fillId="0" borderId="4743" applyBorder="0"/>
    <xf numFmtId="190" fontId="241" fillId="94" borderId="758" applyBorder="0" applyProtection="0">
      <alignment horizontal="centerContinuous" vertical="center"/>
    </xf>
    <xf numFmtId="2" fontId="12" fillId="60" borderId="4734" applyFont="0" applyFill="0" applyBorder="0" applyAlignment="0" applyProtection="0"/>
    <xf numFmtId="243" fontId="48" fillId="0" borderId="100" applyFont="0" applyFill="0" applyBorder="0" applyAlignment="0" applyProtection="0"/>
    <xf numFmtId="190" fontId="25" fillId="10" borderId="2081" applyNumberFormat="0" applyProtection="0">
      <alignment horizontal="left"/>
    </xf>
    <xf numFmtId="190" fontId="25" fillId="10" borderId="2085" applyNumberFormat="0" applyProtection="0">
      <alignment horizontal="left" vertical="top"/>
    </xf>
    <xf numFmtId="190" fontId="12" fillId="0" borderId="2075" applyNumberFormat="0" applyFill="0" applyBorder="0" applyAlignment="0" applyProtection="0"/>
    <xf numFmtId="186" fontId="146" fillId="3" borderId="2135">
      <alignment horizontal="left"/>
    </xf>
    <xf numFmtId="246" fontId="250" fillId="0" borderId="2156" applyFill="0" applyProtection="0">
      <alignment horizontal="center"/>
    </xf>
    <xf numFmtId="0" fontId="75" fillId="0" borderId="4718" applyNumberFormat="0" applyFont="0" applyFill="0" applyAlignment="0" applyProtection="0"/>
    <xf numFmtId="190" fontId="25" fillId="10" borderId="4794" applyNumberFormat="0" applyProtection="0">
      <alignment horizontal="left" vertical="top"/>
    </xf>
    <xf numFmtId="0" fontId="101" fillId="0" borderId="4810" applyBorder="0"/>
    <xf numFmtId="222" fontId="79" fillId="0" borderId="4761" applyBorder="0"/>
    <xf numFmtId="0" fontId="48" fillId="0" borderId="4728" applyFont="0" applyFill="0" applyBorder="0" applyAlignment="0" applyProtection="0">
      <alignment horizontal="center"/>
    </xf>
    <xf numFmtId="312" fontId="25" fillId="10" borderId="2083" applyNumberFormat="0" applyProtection="0">
      <alignment horizontal="left" vertical="top"/>
    </xf>
    <xf numFmtId="312" fontId="25" fillId="10" borderId="2142" applyNumberFormat="0" applyProtection="0">
      <alignment horizontal="left" vertical="top"/>
    </xf>
    <xf numFmtId="254" fontId="240" fillId="0" borderId="4746" applyBorder="0" applyProtection="0">
      <alignment horizontal="right" vertical="center"/>
    </xf>
    <xf numFmtId="254" fontId="240" fillId="0" borderId="2156" applyBorder="0" applyProtection="0">
      <alignment horizontal="right" vertical="center"/>
    </xf>
    <xf numFmtId="312" fontId="214" fillId="0" borderId="2138" applyNumberFormat="0" applyFont="0" applyFill="0" applyAlignment="0" applyProtection="0"/>
    <xf numFmtId="293" fontId="234" fillId="10" borderId="2076" applyFont="0" applyProtection="0"/>
    <xf numFmtId="0" fontId="12" fillId="10" borderId="2076" applyNumberFormat="0" applyFont="0" applyAlignment="0" applyProtection="0"/>
    <xf numFmtId="0" fontId="25" fillId="10" borderId="4730" applyNumberFormat="0" applyProtection="0">
      <alignment horizontal="center" vertical="top"/>
    </xf>
    <xf numFmtId="264" fontId="12" fillId="14" borderId="1429" applyFont="0" applyFill="0" applyBorder="0" applyAlignment="0" applyProtection="0">
      <alignment horizontal="right"/>
    </xf>
    <xf numFmtId="0" fontId="25" fillId="10" borderId="1378" applyNumberFormat="0" applyProtection="0">
      <alignment horizontal="left" vertical="top"/>
    </xf>
    <xf numFmtId="0" fontId="210" fillId="0" borderId="1441" applyNumberFormat="0" applyFill="0" applyBorder="0" applyAlignment="0">
      <protection locked="0"/>
    </xf>
    <xf numFmtId="0" fontId="25" fillId="69" borderId="2076">
      <alignment horizontal="left" vertical="center" wrapText="1"/>
    </xf>
    <xf numFmtId="0" fontId="25" fillId="10" borderId="707" applyNumberFormat="0" applyProtection="0">
      <alignment horizontal="left" vertical="top"/>
    </xf>
    <xf numFmtId="180" fontId="9" fillId="3" borderId="1381">
      <alignment horizontal="right" vertical="center"/>
    </xf>
    <xf numFmtId="0" fontId="25" fillId="10" borderId="1376" applyNumberFormat="0" applyProtection="0">
      <alignment horizontal="left" vertical="top"/>
    </xf>
    <xf numFmtId="222" fontId="79" fillId="0" borderId="757" applyBorder="0"/>
    <xf numFmtId="312" fontId="25" fillId="10" borderId="1424" applyNumberFormat="0" applyProtection="0">
      <alignment horizontal="left" vertical="top"/>
    </xf>
    <xf numFmtId="0" fontId="101" fillId="0" borderId="758" applyBorder="0"/>
    <xf numFmtId="222" fontId="79" fillId="0" borderId="757" applyBorder="0"/>
    <xf numFmtId="0" fontId="113" fillId="0" borderId="758" applyNumberFormat="0" applyFill="0" applyAlignment="0" applyProtection="0"/>
    <xf numFmtId="0" fontId="75" fillId="0" borderId="735" applyNumberFormat="0" applyFont="0" applyFill="0" applyAlignment="0" applyProtection="0"/>
    <xf numFmtId="0" fontId="12" fillId="0" borderId="758" applyNumberFormat="0" applyFill="0" applyBorder="0" applyAlignment="0" applyProtection="0">
      <alignment horizontal="center"/>
    </xf>
    <xf numFmtId="248" fontId="46" fillId="0" borderId="758"/>
    <xf numFmtId="192" fontId="9" fillId="3" borderId="758">
      <alignment horizontal="right" vertical="center"/>
    </xf>
    <xf numFmtId="180" fontId="9" fillId="3" borderId="758">
      <alignment horizontal="right" vertical="center"/>
    </xf>
    <xf numFmtId="186" fontId="146" fillId="3" borderId="758" applyBorder="0">
      <alignment horizontal="left" vertical="center"/>
    </xf>
    <xf numFmtId="186" fontId="146" fillId="3" borderId="737">
      <alignment horizontal="left"/>
    </xf>
    <xf numFmtId="186" fontId="140" fillId="3" borderId="738">
      <alignment horizontal="center" vertical="center"/>
    </xf>
    <xf numFmtId="0" fontId="165" fillId="0" borderId="758" applyFill="0" applyProtection="0">
      <alignment horizontal="center"/>
    </xf>
    <xf numFmtId="0" fontId="166" fillId="0" borderId="758">
      <alignment horizontal="center"/>
    </xf>
    <xf numFmtId="264" fontId="12" fillId="14" borderId="758" applyFont="0" applyFill="0" applyBorder="0" applyAlignment="0" applyProtection="0">
      <alignment horizontal="right"/>
    </xf>
    <xf numFmtId="0" fontId="210" fillId="0" borderId="758" applyNumberFormat="0" applyFill="0" applyBorder="0" applyAlignment="0">
      <protection locked="0"/>
    </xf>
    <xf numFmtId="0" fontId="2" fillId="0" borderId="739" applyNumberFormat="0" applyAlignment="0" applyProtection="0"/>
    <xf numFmtId="0" fontId="214" fillId="0" borderId="740" applyNumberFormat="0" applyFont="0" applyFill="0" applyAlignment="0" applyProtection="0"/>
    <xf numFmtId="0" fontId="25" fillId="10" borderId="741" applyNumberFormat="0" applyProtection="0">
      <alignment horizontal="left" vertical="top"/>
    </xf>
    <xf numFmtId="0" fontId="25" fillId="10" borderId="742" applyNumberFormat="0" applyProtection="0">
      <alignment horizontal="left" vertical="top"/>
    </xf>
    <xf numFmtId="0" fontId="25" fillId="10" borderId="743" applyNumberFormat="0" applyProtection="0">
      <alignment horizontal="left" vertical="top"/>
    </xf>
    <xf numFmtId="0" fontId="25" fillId="10" borderId="744" applyNumberFormat="0" applyProtection="0">
      <alignment horizontal="left" vertical="top"/>
    </xf>
    <xf numFmtId="0" fontId="25" fillId="10" borderId="741" applyNumberFormat="0" applyProtection="0">
      <alignment horizontal="left" vertical="top"/>
    </xf>
    <xf numFmtId="0" fontId="25" fillId="10" borderId="742" applyNumberFormat="0" applyProtection="0">
      <alignment horizontal="left" vertical="top"/>
    </xf>
    <xf numFmtId="0" fontId="25" fillId="10" borderId="743" applyNumberFormat="0" applyProtection="0">
      <alignment horizontal="left" vertical="top"/>
    </xf>
    <xf numFmtId="0" fontId="25" fillId="10" borderId="744" applyNumberFormat="0" applyProtection="0">
      <alignment horizontal="left" vertical="top"/>
    </xf>
    <xf numFmtId="254" fontId="240" fillId="0" borderId="758" applyBorder="0" applyProtection="0">
      <alignment horizontal="right" vertical="center"/>
    </xf>
    <xf numFmtId="0" fontId="241" fillId="94" borderId="758" applyBorder="0" applyProtection="0">
      <alignment horizontal="centerContinuous" vertical="center"/>
    </xf>
    <xf numFmtId="246" fontId="249" fillId="0" borderId="758" applyFill="0" applyProtection="0">
      <alignment horizontal="center"/>
    </xf>
    <xf numFmtId="246" fontId="250" fillId="0" borderId="758" applyFill="0" applyProtection="0">
      <alignment horizontal="center"/>
    </xf>
    <xf numFmtId="0" fontId="25" fillId="10" borderId="2076" applyNumberFormat="0" applyProtection="0">
      <alignment horizontal="center" vertical="top"/>
    </xf>
    <xf numFmtId="307" fontId="268" fillId="0" borderId="4747">
      <alignment horizontal="right" wrapText="1"/>
    </xf>
    <xf numFmtId="190" fontId="25" fillId="10" borderId="1427" applyNumberFormat="0" applyProtection="0">
      <alignment horizontal="left" vertical="top"/>
    </xf>
    <xf numFmtId="222" fontId="79" fillId="0" borderId="1428" applyBorder="0"/>
    <xf numFmtId="0" fontId="78" fillId="14" borderId="1371" applyFont="0" applyFill="0" applyBorder="0" applyAlignment="0" applyProtection="0"/>
    <xf numFmtId="0" fontId="25" fillId="10" borderId="1389" applyNumberFormat="0" applyProtection="0">
      <alignment horizontal="left" vertical="top"/>
    </xf>
    <xf numFmtId="0" fontId="25" fillId="10" borderId="1378" applyNumberFormat="0" applyProtection="0">
      <alignment horizontal="left" vertical="top"/>
    </xf>
    <xf numFmtId="0" fontId="78" fillId="14" borderId="1383" applyFont="0" applyFill="0" applyBorder="0" applyAlignment="0" applyProtection="0"/>
    <xf numFmtId="0" fontId="12" fillId="0" borderId="1381" applyNumberFormat="0" applyFill="0" applyBorder="0" applyAlignment="0" applyProtection="0">
      <alignment horizontal="center"/>
    </xf>
    <xf numFmtId="0" fontId="12" fillId="0" borderId="1369" applyNumberFormat="0" applyFill="0" applyBorder="0" applyAlignment="0" applyProtection="0">
      <alignment horizontal="center"/>
    </xf>
    <xf numFmtId="0" fontId="210" fillId="0" borderId="2093" applyNumberFormat="0" applyFill="0" applyBorder="0" applyAlignment="0">
      <protection locked="0"/>
    </xf>
    <xf numFmtId="0" fontId="25" fillId="10" borderId="2165" applyNumberFormat="0" applyProtection="0">
      <alignment horizontal="left" vertical="top"/>
    </xf>
    <xf numFmtId="192" fontId="9" fillId="3" borderId="1381">
      <alignment horizontal="right" vertical="center"/>
    </xf>
    <xf numFmtId="312" fontId="25" fillId="10" borderId="1425" applyNumberFormat="0" applyProtection="0">
      <alignment horizontal="left" vertical="top"/>
    </xf>
    <xf numFmtId="0" fontId="25" fillId="10" borderId="1379" applyNumberFormat="0" applyProtection="0">
      <alignment horizontal="left" vertical="top"/>
    </xf>
    <xf numFmtId="248" fontId="46" fillId="0" borderId="1381"/>
    <xf numFmtId="312" fontId="214" fillId="0" borderId="1423" applyNumberFormat="0" applyFont="0" applyFill="0" applyAlignment="0" applyProtection="0"/>
    <xf numFmtId="0" fontId="25" fillId="10" borderId="1377" applyNumberFormat="0" applyProtection="0">
      <alignment horizontal="left" vertical="top"/>
    </xf>
    <xf numFmtId="0" fontId="50" fillId="117" borderId="4731" applyNumberFormat="0" applyFont="0" applyAlignment="0" applyProtection="0"/>
    <xf numFmtId="0" fontId="12" fillId="0" borderId="1381" applyNumberFormat="0" applyFill="0" applyBorder="0" applyAlignment="0" applyProtection="0">
      <alignment horizontal="center"/>
    </xf>
    <xf numFmtId="222" fontId="79" fillId="0" borderId="1380" applyBorder="0"/>
    <xf numFmtId="190" fontId="75" fillId="0" borderId="2133" applyNumberFormat="0" applyFont="0" applyFill="0" applyAlignment="0" applyProtection="0"/>
    <xf numFmtId="0" fontId="214" fillId="0" borderId="1423" applyNumberFormat="0" applyFont="0" applyFill="0" applyAlignment="0" applyProtection="0"/>
    <xf numFmtId="0" fontId="25" fillId="10" borderId="1545" applyNumberFormat="0" applyProtection="0">
      <alignment horizontal="left" vertical="top"/>
    </xf>
    <xf numFmtId="0" fontId="75" fillId="0" borderId="1538" applyNumberFormat="0" applyFont="0" applyFill="0" applyAlignment="0" applyProtection="0"/>
    <xf numFmtId="0" fontId="241" fillId="94" borderId="1537" applyBorder="0" applyProtection="0">
      <alignment horizontal="centerContinuous" vertical="center"/>
    </xf>
    <xf numFmtId="264" fontId="12" fillId="14" borderId="1537" applyFont="0" applyFill="0" applyBorder="0" applyAlignment="0" applyProtection="0">
      <alignment horizontal="right"/>
    </xf>
    <xf numFmtId="192" fontId="9" fillId="3" borderId="1537">
      <alignment horizontal="right" vertical="center"/>
    </xf>
    <xf numFmtId="0" fontId="25" fillId="10" borderId="1546" applyNumberFormat="0" applyProtection="0">
      <alignment horizontal="left" vertical="top"/>
    </xf>
    <xf numFmtId="222" fontId="79" fillId="0" borderId="1548" applyBorder="0"/>
    <xf numFmtId="0" fontId="2" fillId="0" borderId="1554" applyNumberFormat="0" applyAlignment="0" applyProtection="0"/>
    <xf numFmtId="222" fontId="79" fillId="0" borderId="1572" applyBorder="0"/>
    <xf numFmtId="186" fontId="146" fillId="3" borderId="1576">
      <alignment horizontal="left"/>
    </xf>
    <xf numFmtId="0" fontId="113" fillId="0" borderId="1585" applyNumberFormat="0" applyFill="0" applyAlignment="0" applyProtection="0"/>
    <xf numFmtId="0" fontId="166" fillId="0" borderId="1585">
      <alignment horizontal="center"/>
    </xf>
    <xf numFmtId="0" fontId="12" fillId="0" borderId="1597" applyNumberFormat="0" applyFill="0" applyBorder="0" applyAlignment="0" applyProtection="0">
      <alignment horizontal="center"/>
    </xf>
    <xf numFmtId="248" fontId="46" fillId="0" borderId="1597"/>
    <xf numFmtId="0" fontId="166" fillId="0" borderId="1597">
      <alignment horizontal="center"/>
    </xf>
    <xf numFmtId="192" fontId="9" fillId="3" borderId="1381">
      <alignment horizontal="right" vertical="center"/>
    </xf>
    <xf numFmtId="0" fontId="165" fillId="0" borderId="1381" applyFill="0" applyProtection="0">
      <alignment horizontal="center"/>
    </xf>
    <xf numFmtId="254" fontId="240" fillId="0" borderId="1381" applyBorder="0" applyProtection="0">
      <alignment horizontal="right" vertical="center"/>
    </xf>
    <xf numFmtId="246" fontId="250" fillId="0" borderId="1381" applyFill="0" applyProtection="0">
      <alignment horizontal="center"/>
    </xf>
    <xf numFmtId="248" fontId="46" fillId="0" borderId="1381"/>
    <xf numFmtId="0" fontId="241" fillId="94" borderId="4717" applyBorder="0" applyProtection="0">
      <alignment horizontal="centerContinuous" vertical="center"/>
    </xf>
    <xf numFmtId="0" fontId="165" fillId="0" borderId="4746" applyFill="0" applyProtection="0">
      <alignment horizontal="center"/>
    </xf>
    <xf numFmtId="222" fontId="79" fillId="0" borderId="2092" applyBorder="0"/>
    <xf numFmtId="0" fontId="12" fillId="0" borderId="2093" applyNumberFormat="0" applyFill="0" applyBorder="0" applyAlignment="0" applyProtection="0">
      <alignment horizontal="center"/>
    </xf>
    <xf numFmtId="0" fontId="25" fillId="10" borderId="2083" applyNumberFormat="0" applyProtection="0">
      <alignment horizontal="left" vertical="top"/>
    </xf>
    <xf numFmtId="293" fontId="234" fillId="3" borderId="2076" applyFont="0" applyProtection="0"/>
    <xf numFmtId="4" fontId="12" fillId="60" borderId="2080" applyFont="0" applyFill="0" applyBorder="0" applyAlignment="0" applyProtection="0"/>
    <xf numFmtId="0" fontId="25" fillId="10" borderId="4737" applyNumberFormat="0" applyProtection="0">
      <alignment horizontal="left" vertical="top"/>
    </xf>
    <xf numFmtId="0" fontId="2" fillId="0" borderId="4779" applyNumberFormat="0" applyAlignment="0" applyProtection="0"/>
    <xf numFmtId="0" fontId="210" fillId="0" borderId="4943" applyNumberFormat="0" applyFill="0" applyBorder="0" applyAlignment="0">
      <protection locked="0"/>
    </xf>
    <xf numFmtId="0" fontId="276" fillId="54" borderId="4748" applyNumberFormat="0" applyAlignment="0" applyProtection="0"/>
    <xf numFmtId="186" fontId="140" fillId="3" borderId="4721">
      <alignment horizontal="center" vertical="center"/>
    </xf>
    <xf numFmtId="293" fontId="234" fillId="10" borderId="4730" applyFont="0" applyProtection="0"/>
    <xf numFmtId="312" fontId="101" fillId="0" borderId="758" applyBorder="0"/>
    <xf numFmtId="0" fontId="225" fillId="53" borderId="2078" applyNumberFormat="0" applyProtection="0">
      <alignment horizontal="left" vertical="top" indent="1"/>
    </xf>
    <xf numFmtId="0" fontId="159" fillId="0" borderId="4730"/>
    <xf numFmtId="0" fontId="214" fillId="0" borderId="4723" applyNumberFormat="0" applyFont="0" applyFill="0" applyAlignment="0" applyProtection="0"/>
    <xf numFmtId="192" fontId="9" fillId="3" borderId="1441">
      <alignment horizontal="right" vertical="center"/>
    </xf>
    <xf numFmtId="0" fontId="214" fillId="0" borderId="2114" applyNumberFormat="0" applyFont="0" applyFill="0" applyAlignment="0" applyProtection="0"/>
    <xf numFmtId="0" fontId="241" fillId="94" borderId="4810" applyBorder="0" applyProtection="0">
      <alignment horizontal="centerContinuous" vertical="center"/>
    </xf>
    <xf numFmtId="312" fontId="46" fillId="0" borderId="2075" applyNumberFormat="0" applyFill="0" applyBorder="0" applyAlignment="0" applyProtection="0"/>
    <xf numFmtId="0" fontId="12" fillId="52" borderId="2078" applyNumberFormat="0" applyProtection="0">
      <alignment horizontal="left" vertical="top" indent="1"/>
    </xf>
    <xf numFmtId="312" fontId="113" fillId="0" borderId="758" applyNumberFormat="0" applyFill="0" applyAlignment="0" applyProtection="0"/>
    <xf numFmtId="0" fontId="25" fillId="10" borderId="4740" applyNumberFormat="0" applyProtection="0">
      <alignment horizontal="left" vertical="top"/>
    </xf>
    <xf numFmtId="312" fontId="75" fillId="0" borderId="735" applyNumberFormat="0" applyFont="0" applyFill="0" applyAlignment="0" applyProtection="0"/>
    <xf numFmtId="254" fontId="240" fillId="0" borderId="1441" applyBorder="0" applyProtection="0">
      <alignment horizontal="right" vertical="center"/>
    </xf>
    <xf numFmtId="246" fontId="249" fillId="0" borderId="1441" applyFill="0" applyProtection="0">
      <alignment horizontal="center"/>
    </xf>
    <xf numFmtId="0" fontId="25" fillId="10" borderId="2129" applyNumberFormat="0" applyProtection="0">
      <alignment horizontal="left" vertical="top"/>
    </xf>
    <xf numFmtId="0" fontId="214" fillId="0" borderId="2150" applyNumberFormat="0" applyFont="0" applyFill="0" applyAlignment="0" applyProtection="0"/>
    <xf numFmtId="222" fontId="79" fillId="0" borderId="2131" applyBorder="0"/>
    <xf numFmtId="312" fontId="12" fillId="0" borderId="758" applyNumberFormat="0" applyFill="0" applyBorder="0" applyAlignment="0" applyProtection="0">
      <alignment horizontal="center"/>
    </xf>
    <xf numFmtId="0" fontId="75" fillId="0" borderId="2121" applyNumberFormat="0" applyFont="0" applyFill="0" applyAlignment="0" applyProtection="0"/>
    <xf numFmtId="248" fontId="46" fillId="0" borderId="2156"/>
    <xf numFmtId="246" fontId="249" fillId="0" borderId="2156" applyFill="0" applyProtection="0">
      <alignment horizontal="center"/>
    </xf>
    <xf numFmtId="222" fontId="79" fillId="0" borderId="4809" applyBorder="0"/>
    <xf numFmtId="4" fontId="228" fillId="11" borderId="2078" applyNumberFormat="0" applyProtection="0">
      <alignment horizontal="right" vertical="center"/>
    </xf>
    <xf numFmtId="312" fontId="78" fillId="14" borderId="675" applyFont="0" applyFill="0" applyBorder="0" applyAlignment="0" applyProtection="0"/>
    <xf numFmtId="182" fontId="145" fillId="3" borderId="2074">
      <alignment horizontal="right" vertical="center"/>
    </xf>
    <xf numFmtId="169" fontId="234" fillId="10" borderId="4730" applyFont="0" applyProtection="0"/>
    <xf numFmtId="0" fontId="25" fillId="10" borderId="1450" applyNumberFormat="0" applyProtection="0">
      <alignment horizontal="left" vertical="top"/>
    </xf>
    <xf numFmtId="0" fontId="166" fillId="0" borderId="4746">
      <alignment horizontal="center"/>
    </xf>
    <xf numFmtId="0" fontId="25" fillId="10" borderId="2104" applyNumberFormat="0" applyProtection="0">
      <alignment horizontal="left" vertical="top"/>
    </xf>
    <xf numFmtId="0" fontId="241" fillId="94" borderId="4810" applyBorder="0" applyProtection="0">
      <alignment horizontal="centerContinuous" vertical="center"/>
    </xf>
    <xf numFmtId="312" fontId="12" fillId="3" borderId="2076" applyNumberFormat="0" applyFont="0" applyAlignment="0" applyProtection="0"/>
    <xf numFmtId="0" fontId="25" fillId="10" borderId="4730" applyNumberFormat="0" applyProtection="0">
      <alignment horizontal="center" vertical="top"/>
    </xf>
    <xf numFmtId="312" fontId="25" fillId="10" borderId="2140" applyNumberFormat="0" applyProtection="0">
      <alignment horizontal="left" vertical="top"/>
    </xf>
    <xf numFmtId="312" fontId="241" fillId="94" borderId="2156" applyBorder="0" applyProtection="0">
      <alignment horizontal="centerContinuous" vertical="center"/>
    </xf>
    <xf numFmtId="246" fontId="250" fillId="0" borderId="1441" applyFill="0" applyProtection="0">
      <alignment horizontal="center"/>
    </xf>
    <xf numFmtId="254" fontId="240" fillId="0" borderId="1441" applyBorder="0" applyProtection="0">
      <alignment horizontal="right" vertical="center"/>
    </xf>
    <xf numFmtId="0" fontId="25" fillId="10" borderId="1425" applyNumberFormat="0" applyProtection="0">
      <alignment horizontal="left" vertical="top"/>
    </xf>
    <xf numFmtId="0" fontId="25" fillId="10" borderId="1426" applyNumberFormat="0" applyProtection="0">
      <alignment horizontal="left" vertical="top"/>
    </xf>
    <xf numFmtId="0" fontId="214" fillId="0" borderId="1423" applyNumberFormat="0" applyFont="0" applyFill="0" applyAlignment="0" applyProtection="0"/>
    <xf numFmtId="264" fontId="12" fillId="14" borderId="1441" applyFont="0" applyFill="0" applyBorder="0" applyAlignment="0" applyProtection="0">
      <alignment horizontal="right"/>
    </xf>
    <xf numFmtId="248" fontId="46" fillId="0" borderId="1441"/>
    <xf numFmtId="222" fontId="79" fillId="0" borderId="2062" applyBorder="0"/>
    <xf numFmtId="248" fontId="46" fillId="0" borderId="4810"/>
    <xf numFmtId="180" fontId="9" fillId="3" borderId="4798">
      <alignment horizontal="right" vertical="center"/>
    </xf>
    <xf numFmtId="186" fontId="146" fillId="3" borderId="4746" applyBorder="0">
      <alignment horizontal="left" vertical="center"/>
    </xf>
    <xf numFmtId="0" fontId="78" fillId="14" borderId="4719" applyFont="0" applyFill="0" applyBorder="0" applyAlignment="0" applyProtection="0"/>
    <xf numFmtId="310" fontId="267" fillId="0" borderId="4747">
      <alignment horizontal="left"/>
    </xf>
    <xf numFmtId="312" fontId="165" fillId="0" borderId="758" applyFill="0" applyProtection="0">
      <alignment horizontal="center"/>
    </xf>
    <xf numFmtId="312" fontId="242" fillId="0" borderId="758">
      <alignment horizontal="center"/>
    </xf>
    <xf numFmtId="4" fontId="226" fillId="78" borderId="4732" applyNumberFormat="0" applyProtection="0">
      <alignment horizontal="right" vertical="center"/>
    </xf>
    <xf numFmtId="4" fontId="226" fillId="82" borderId="2078" applyNumberFormat="0" applyProtection="0">
      <alignment horizontal="right" vertical="center"/>
    </xf>
    <xf numFmtId="190" fontId="214" fillId="0" borderId="1423" applyNumberFormat="0" applyFont="0" applyFill="0" applyAlignment="0" applyProtection="0"/>
    <xf numFmtId="190" fontId="2" fillId="0" borderId="1422" applyNumberFormat="0" applyAlignment="0" applyProtection="0"/>
    <xf numFmtId="0" fontId="48" fillId="0" borderId="2075" applyNumberFormat="0" applyFill="0" applyAlignment="0" applyProtection="0"/>
    <xf numFmtId="0" fontId="214" fillId="0" borderId="4768" applyNumberFormat="0" applyFont="0" applyFill="0" applyAlignment="0" applyProtection="0"/>
    <xf numFmtId="0" fontId="48" fillId="0" borderId="4728" applyFont="0" applyFill="0" applyBorder="0" applyAlignment="0" applyProtection="0">
      <alignment horizontal="center"/>
    </xf>
    <xf numFmtId="0" fontId="25" fillId="10" borderId="1449" applyNumberFormat="0" applyProtection="0">
      <alignment horizontal="left" vertical="top"/>
    </xf>
    <xf numFmtId="0" fontId="166" fillId="0" borderId="2063">
      <alignment horizontal="center"/>
    </xf>
    <xf numFmtId="254" fontId="240" fillId="0" borderId="2093" applyBorder="0" applyProtection="0">
      <alignment horizontal="right" vertical="center"/>
    </xf>
    <xf numFmtId="0" fontId="78" fillId="14" borderId="2065" applyFont="0" applyFill="0" applyBorder="0" applyAlignment="0" applyProtection="0"/>
    <xf numFmtId="190" fontId="166" fillId="0" borderId="1441">
      <alignment horizontal="center"/>
    </xf>
    <xf numFmtId="0" fontId="78" fillId="14" borderId="2158" applyFont="0" applyFill="0" applyBorder="0" applyAlignment="0" applyProtection="0"/>
    <xf numFmtId="10" fontId="12" fillId="3" borderId="2088" applyNumberFormat="0" applyFont="0" applyFill="0" applyBorder="0" applyAlignment="0">
      <protection locked="0"/>
    </xf>
    <xf numFmtId="0" fontId="48" fillId="0" borderId="2075" applyNumberFormat="0" applyFill="0" applyAlignment="0" applyProtection="0"/>
    <xf numFmtId="180" fontId="9" fillId="3" borderId="2156">
      <alignment horizontal="right" vertical="center"/>
    </xf>
    <xf numFmtId="222" fontId="79" fillId="0" borderId="4797" applyBorder="0"/>
    <xf numFmtId="192" fontId="9" fillId="3" borderId="4762">
      <alignment horizontal="right" vertical="center"/>
    </xf>
    <xf numFmtId="0" fontId="12" fillId="0" borderId="5445" applyNumberFormat="0" applyFill="0" applyBorder="0" applyAlignment="0" applyProtection="0"/>
    <xf numFmtId="10" fontId="12" fillId="3" borderId="4742" applyNumberFormat="0" applyFont="0" applyFill="0" applyBorder="0" applyAlignment="0">
      <protection locked="0"/>
    </xf>
    <xf numFmtId="0" fontId="25" fillId="10" borderId="4794" applyNumberFormat="0" applyProtection="0">
      <alignment horizontal="left" vertical="top"/>
    </xf>
    <xf numFmtId="0" fontId="241" fillId="94" borderId="4762" applyBorder="0" applyProtection="0">
      <alignment horizontal="centerContinuous" vertical="center"/>
    </xf>
    <xf numFmtId="312" fontId="25" fillId="10" borderId="2141" applyNumberFormat="0" applyProtection="0">
      <alignment horizontal="left" vertical="top"/>
    </xf>
    <xf numFmtId="312" fontId="5" fillId="0" borderId="2090">
      <alignment horizontal="left" vertical="center"/>
    </xf>
    <xf numFmtId="222" fontId="79" fillId="0" borderId="4743" applyBorder="0"/>
    <xf numFmtId="0" fontId="25" fillId="10" borderId="4818" applyNumberFormat="0" applyProtection="0">
      <alignment horizontal="left" vertical="top"/>
    </xf>
    <xf numFmtId="222" fontId="79" fillId="0" borderId="1404" applyBorder="0"/>
    <xf numFmtId="190" fontId="25" fillId="10" borderId="4740" applyNumberFormat="0" applyProtection="0">
      <alignment horizontal="left" vertical="top"/>
    </xf>
    <xf numFmtId="190" fontId="136" fillId="84" borderId="4732" applyNumberFormat="0" applyProtection="0">
      <alignment horizontal="left" vertical="top" indent="1"/>
    </xf>
    <xf numFmtId="190" fontId="136" fillId="14" borderId="4732" applyNumberFormat="0" applyProtection="0">
      <alignment horizontal="left" vertical="top" indent="1"/>
    </xf>
    <xf numFmtId="293" fontId="234" fillId="3" borderId="2076" applyFont="0" applyProtection="0"/>
    <xf numFmtId="0" fontId="12" fillId="10" borderId="2076" applyNumberFormat="0" applyFont="0" applyProtection="0"/>
    <xf numFmtId="0" fontId="25" fillId="10" borderId="1378" applyNumberFormat="0" applyProtection="0">
      <alignment horizontal="left" vertical="top"/>
    </xf>
    <xf numFmtId="0" fontId="214" fillId="0" borderId="1375" applyNumberFormat="0" applyFont="0" applyFill="0" applyAlignment="0" applyProtection="0"/>
    <xf numFmtId="186" fontId="146" fillId="3" borderId="1372">
      <alignment horizontal="left"/>
    </xf>
    <xf numFmtId="190" fontId="25" fillId="10" borderId="4739" applyNumberFormat="0" applyProtection="0">
      <alignment horizontal="left" vertical="top"/>
    </xf>
    <xf numFmtId="312" fontId="210" fillId="0" borderId="758" applyNumberFormat="0" applyFill="0" applyBorder="0" applyAlignment="0">
      <protection locked="0"/>
    </xf>
    <xf numFmtId="0" fontId="113" fillId="0" borderId="1381" applyNumberFormat="0" applyFill="0" applyAlignment="0" applyProtection="0"/>
    <xf numFmtId="192" fontId="9" fillId="3" borderId="1381">
      <alignment horizontal="right" vertical="center"/>
    </xf>
    <xf numFmtId="0" fontId="165" fillId="0" borderId="1381" applyFill="0" applyProtection="0">
      <alignment horizontal="center"/>
    </xf>
    <xf numFmtId="0" fontId="241" fillId="94" borderId="1381" applyBorder="0" applyProtection="0">
      <alignment horizontal="centerContinuous" vertical="center"/>
    </xf>
    <xf numFmtId="182" fontId="145" fillId="3" borderId="4728">
      <alignment horizontal="right" vertical="center"/>
    </xf>
    <xf numFmtId="312" fontId="2" fillId="0" borderId="739" applyNumberFormat="0" applyAlignment="0" applyProtection="0"/>
    <xf numFmtId="0" fontId="25" fillId="10" borderId="705" applyNumberFormat="0" applyProtection="0">
      <alignment horizontal="left" vertical="top"/>
    </xf>
    <xf numFmtId="222" fontId="79" fillId="0" borderId="4743" applyBorder="0"/>
    <xf numFmtId="0" fontId="78" fillId="14" borderId="1407" applyFont="0" applyFill="0" applyBorder="0" applyAlignment="0" applyProtection="0"/>
    <xf numFmtId="0" fontId="241" fillId="94" borderId="1393" applyBorder="0" applyProtection="0">
      <alignment horizontal="centerContinuous" vertical="center"/>
    </xf>
    <xf numFmtId="0" fontId="210" fillId="0" borderId="1417" applyNumberFormat="0" applyFill="0" applyBorder="0" applyAlignment="0">
      <protection locked="0"/>
    </xf>
    <xf numFmtId="186" fontId="140" fillId="3" borderId="1373">
      <alignment horizontal="center" vertical="center"/>
    </xf>
    <xf numFmtId="0" fontId="25" fillId="10" borderId="1376" applyNumberFormat="0" applyProtection="0">
      <alignment horizontal="left" vertical="top"/>
    </xf>
    <xf numFmtId="0" fontId="25" fillId="10" borderId="1378" applyNumberFormat="0" applyProtection="0">
      <alignment horizontal="left" vertical="top"/>
    </xf>
    <xf numFmtId="312" fontId="214" fillId="0" borderId="740" applyNumberFormat="0" applyFont="0" applyFill="0" applyAlignment="0" applyProtection="0"/>
    <xf numFmtId="183" fontId="12" fillId="60" borderId="4734" applyFont="0" applyFill="0" applyBorder="0" applyAlignment="0" applyProtection="0"/>
    <xf numFmtId="312" fontId="210" fillId="0" borderId="2156" applyNumberFormat="0" applyFill="0" applyBorder="0" applyAlignment="0">
      <protection locked="0"/>
    </xf>
    <xf numFmtId="0" fontId="283" fillId="103" borderId="2094" applyNumberFormat="0" applyAlignment="0" applyProtection="0"/>
    <xf numFmtId="254" fontId="240" fillId="0" borderId="2063" applyBorder="0" applyProtection="0">
      <alignment horizontal="right" vertical="center"/>
    </xf>
    <xf numFmtId="0" fontId="25" fillId="10" borderId="2103" applyNumberFormat="0" applyProtection="0">
      <alignment horizontal="left" vertical="top"/>
    </xf>
    <xf numFmtId="0" fontId="25" fillId="10" borderId="2166" applyNumberFormat="0" applyProtection="0">
      <alignment horizontal="left" vertical="top"/>
    </xf>
    <xf numFmtId="0" fontId="165" fillId="0" borderId="2093" applyFill="0" applyProtection="0">
      <alignment horizontal="center"/>
    </xf>
    <xf numFmtId="0" fontId="25" fillId="10" borderId="2165" applyNumberFormat="0" applyProtection="0">
      <alignment horizontal="left" vertical="top"/>
    </xf>
    <xf numFmtId="186" fontId="146" fillId="3" borderId="2156" applyBorder="0">
      <alignment horizontal="left" vertical="center"/>
    </xf>
    <xf numFmtId="0" fontId="25" fillId="10" borderId="1451" applyNumberFormat="0" applyProtection="0">
      <alignment horizontal="left" vertical="top"/>
    </xf>
    <xf numFmtId="0" fontId="25" fillId="10" borderId="2141" applyNumberFormat="0" applyProtection="0">
      <alignment horizontal="left" vertical="top"/>
    </xf>
    <xf numFmtId="0" fontId="25" fillId="10" borderId="1449" applyNumberFormat="0" applyProtection="0">
      <alignment horizontal="left" vertical="top"/>
    </xf>
    <xf numFmtId="246" fontId="249" fillId="0" borderId="1369" applyFill="0" applyProtection="0">
      <alignment horizontal="center"/>
    </xf>
    <xf numFmtId="190" fontId="78" fillId="14" borderId="2146" applyFont="0" applyFill="0" applyBorder="0" applyAlignment="0" applyProtection="0"/>
    <xf numFmtId="186" fontId="146" fillId="3" borderId="2156" applyBorder="0">
      <alignment horizontal="left" vertical="center"/>
    </xf>
    <xf numFmtId="190" fontId="46" fillId="0" borderId="2075" applyNumberFormat="0" applyFill="0" applyBorder="0" applyAlignment="0" applyProtection="0"/>
    <xf numFmtId="0" fontId="214" fillId="0" borderId="4723" applyNumberFormat="0" applyFont="0" applyFill="0" applyAlignment="0" applyProtection="0"/>
    <xf numFmtId="0" fontId="12" fillId="52" borderId="4732" applyNumberFormat="0" applyProtection="0">
      <alignment horizontal="left" vertical="top" indent="1"/>
    </xf>
    <xf numFmtId="0" fontId="25" fillId="10" borderId="4818" applyNumberFormat="0" applyProtection="0">
      <alignment horizontal="left" vertical="top"/>
    </xf>
    <xf numFmtId="0" fontId="113" fillId="0" borderId="4810" applyNumberFormat="0" applyFill="0" applyAlignment="0" applyProtection="0"/>
    <xf numFmtId="0" fontId="25" fillId="10" borderId="4796" applyNumberFormat="0" applyProtection="0">
      <alignment horizontal="left" vertical="top"/>
    </xf>
    <xf numFmtId="0" fontId="165" fillId="0" borderId="4774" applyFill="0" applyProtection="0">
      <alignment horizontal="center"/>
    </xf>
    <xf numFmtId="0" fontId="165" fillId="0" borderId="4746" applyFill="0" applyProtection="0">
      <alignment horizontal="center"/>
    </xf>
    <xf numFmtId="0" fontId="101" fillId="0" borderId="4746" applyBorder="0"/>
    <xf numFmtId="0" fontId="241" fillId="94" borderId="4746" applyBorder="0" applyProtection="0">
      <alignment horizontal="centerContinuous" vertical="center"/>
    </xf>
    <xf numFmtId="222" fontId="79" fillId="0" borderId="4773" applyBorder="0"/>
    <xf numFmtId="0" fontId="25" fillId="10" borderId="4724" applyNumberFormat="0" applyProtection="0">
      <alignment horizontal="left" vertical="top"/>
    </xf>
    <xf numFmtId="4" fontId="228" fillId="11" borderId="2078" applyNumberFormat="0" applyProtection="0">
      <alignment vertical="center"/>
    </xf>
    <xf numFmtId="9" fontId="12" fillId="60" borderId="2080" applyFont="0" applyFill="0" applyBorder="0" applyAlignment="0" applyProtection="0"/>
    <xf numFmtId="4" fontId="227" fillId="52" borderId="2079" applyNumberFormat="0" applyProtection="0">
      <alignment horizontal="left" vertical="center" indent="1"/>
    </xf>
    <xf numFmtId="4" fontId="230" fillId="11" borderId="2078" applyNumberFormat="0" applyProtection="0">
      <alignment horizontal="right" vertical="center"/>
    </xf>
    <xf numFmtId="0" fontId="12" fillId="10" borderId="2076" applyNumberFormat="0" applyFont="0" applyProtection="0"/>
    <xf numFmtId="0" fontId="25" fillId="10" borderId="2085" applyNumberFormat="0" applyProtection="0">
      <alignment horizontal="left" vertical="top"/>
    </xf>
    <xf numFmtId="0" fontId="12" fillId="0" borderId="4746" applyNumberFormat="0" applyFill="0" applyBorder="0" applyAlignment="0" applyProtection="0">
      <alignment horizontal="center"/>
    </xf>
    <xf numFmtId="190" fontId="12" fillId="0" borderId="4810" applyNumberFormat="0" applyFill="0" applyBorder="0" applyAlignment="0" applyProtection="0">
      <alignment horizontal="center"/>
    </xf>
    <xf numFmtId="180" fontId="9" fillId="3" borderId="4810">
      <alignment horizontal="right" vertical="center"/>
    </xf>
    <xf numFmtId="0" fontId="12" fillId="0" borderId="2063" applyNumberFormat="0" applyFill="0" applyBorder="0" applyAlignment="0" applyProtection="0">
      <alignment horizontal="center"/>
    </xf>
    <xf numFmtId="246" fontId="249" fillId="0" borderId="2093" applyFill="0" applyProtection="0">
      <alignment horizontal="center"/>
    </xf>
    <xf numFmtId="0" fontId="25" fillId="10" borderId="1449" applyNumberFormat="0" applyProtection="0">
      <alignment horizontal="left" vertical="top"/>
    </xf>
    <xf numFmtId="0" fontId="2" fillId="0" borderId="2113" applyNumberFormat="0" applyAlignment="0" applyProtection="0"/>
    <xf numFmtId="312" fontId="25" fillId="10" borderId="741" applyNumberFormat="0" applyProtection="0">
      <alignment horizontal="left" vertical="top"/>
    </xf>
    <xf numFmtId="312" fontId="25" fillId="10" borderId="742" applyNumberFormat="0" applyProtection="0">
      <alignment horizontal="left" vertical="top"/>
    </xf>
    <xf numFmtId="186" fontId="146" fillId="3" borderId="2159">
      <alignment horizontal="left"/>
    </xf>
    <xf numFmtId="10" fontId="12" fillId="3" borderId="2088" applyNumberFormat="0" applyFont="0" applyFill="0" applyBorder="0" applyAlignment="0">
      <protection locked="0"/>
    </xf>
    <xf numFmtId="254" fontId="240" fillId="0" borderId="2156" applyBorder="0" applyProtection="0">
      <alignment horizontal="right" vertical="center"/>
    </xf>
    <xf numFmtId="312" fontId="25" fillId="10" borderId="743" applyNumberFormat="0" applyProtection="0">
      <alignment horizontal="left" vertical="top"/>
    </xf>
    <xf numFmtId="0" fontId="241" fillId="94" borderId="4810" applyBorder="0" applyProtection="0">
      <alignment horizontal="centerContinuous" vertical="center"/>
    </xf>
    <xf numFmtId="312" fontId="25" fillId="10" borderId="744" applyNumberFormat="0" applyProtection="0">
      <alignment horizontal="left" vertical="top"/>
    </xf>
    <xf numFmtId="190" fontId="101" fillId="0" borderId="2156" applyBorder="0"/>
    <xf numFmtId="190" fontId="48" fillId="0" borderId="2074" applyFont="0" applyFill="0" applyBorder="0" applyAlignment="0" applyProtection="0">
      <alignment horizontal="center"/>
    </xf>
    <xf numFmtId="190" fontId="135" fillId="0" borderId="2076"/>
    <xf numFmtId="0" fontId="210" fillId="0" borderId="4746" applyNumberFormat="0" applyFill="0" applyBorder="0" applyAlignment="0">
      <protection locked="0"/>
    </xf>
    <xf numFmtId="180" fontId="9" fillId="3" borderId="4717">
      <alignment horizontal="right" vertical="center"/>
    </xf>
    <xf numFmtId="190" fontId="25" fillId="69" borderId="2076">
      <alignment horizontal="left" vertical="center" wrapText="1"/>
    </xf>
    <xf numFmtId="10" fontId="12" fillId="3" borderId="4742" applyNumberFormat="0" applyFont="0" applyFill="0" applyBorder="0" applyAlignment="0">
      <protection locked="0"/>
    </xf>
    <xf numFmtId="312" fontId="241" fillId="94" borderId="758" applyBorder="0" applyProtection="0">
      <alignment horizontal="centerContinuous" vertical="center"/>
    </xf>
    <xf numFmtId="183" fontId="12" fillId="60" borderId="4734" applyFont="0" applyFill="0" applyBorder="0" applyAlignment="0" applyProtection="0"/>
    <xf numFmtId="190" fontId="225" fillId="53" borderId="2078" applyNumberFormat="0" applyProtection="0">
      <alignment horizontal="left" vertical="top" indent="1"/>
    </xf>
    <xf numFmtId="190" fontId="25" fillId="10" borderId="2076" applyNumberFormat="0" applyProtection="0">
      <alignment horizontal="center" vertical="top"/>
    </xf>
    <xf numFmtId="190" fontId="12" fillId="10" borderId="2076" applyNumberFormat="0" applyFont="0" applyAlignment="0" applyProtection="0"/>
    <xf numFmtId="190" fontId="25" fillId="10" borderId="2083" applyNumberFormat="0" applyProtection="0">
      <alignment horizontal="left" vertical="top"/>
    </xf>
    <xf numFmtId="190" fontId="25" fillId="10" borderId="2142" applyNumberFormat="0" applyProtection="0">
      <alignment horizontal="left" vertical="top"/>
    </xf>
    <xf numFmtId="254" fontId="240" fillId="0" borderId="2156" applyBorder="0" applyProtection="0">
      <alignment horizontal="right" vertical="center"/>
    </xf>
    <xf numFmtId="0" fontId="25" fillId="10" borderId="4760" applyNumberFormat="0" applyProtection="0">
      <alignment horizontal="left" vertical="top"/>
    </xf>
    <xf numFmtId="190" fontId="12" fillId="10" borderId="4730" applyNumberFormat="0" applyFont="0" applyProtection="0"/>
    <xf numFmtId="246" fontId="296" fillId="0" borderId="758" applyFill="0" applyProtection="0">
      <alignment horizontal="center"/>
    </xf>
    <xf numFmtId="0" fontId="113" fillId="0" borderId="4717" applyNumberFormat="0" applyFill="0" applyAlignment="0" applyProtection="0"/>
    <xf numFmtId="0" fontId="25" fillId="10" borderId="4726" applyNumberFormat="0" applyProtection="0">
      <alignment horizontal="left" vertical="top"/>
    </xf>
    <xf numFmtId="183" fontId="12" fillId="60" borderId="5450" applyFont="0" applyFill="0" applyBorder="0" applyAlignment="0" applyProtection="0"/>
    <xf numFmtId="9" fontId="12" fillId="60" borderId="4734" applyFont="0" applyFill="0" applyBorder="0" applyAlignment="0" applyProtection="0"/>
    <xf numFmtId="312" fontId="25" fillId="10" borderId="2081" applyNumberFormat="0" applyProtection="0">
      <alignment horizontal="left"/>
    </xf>
    <xf numFmtId="312" fontId="25" fillId="10" borderId="2082" applyNumberFormat="0" applyProtection="0">
      <alignment horizontal="left" vertical="top"/>
    </xf>
    <xf numFmtId="4" fontId="224" fillId="53" borderId="4732" applyNumberFormat="0" applyProtection="0">
      <alignment vertical="center"/>
    </xf>
    <xf numFmtId="0" fontId="25" fillId="10" borderId="2087" applyNumberFormat="0" applyProtection="0">
      <alignment horizontal="left" vertical="top"/>
    </xf>
    <xf numFmtId="0" fontId="25" fillId="10" borderId="4819" applyNumberFormat="0" applyProtection="0">
      <alignment horizontal="left" vertical="top"/>
    </xf>
    <xf numFmtId="312" fontId="184" fillId="0" borderId="2077" applyAlignment="0">
      <alignment horizontal="left" wrapText="1"/>
    </xf>
    <xf numFmtId="0" fontId="113" fillId="0" borderId="4810" applyNumberFormat="0" applyFill="0" applyAlignment="0" applyProtection="0"/>
    <xf numFmtId="248" fontId="46" fillId="0" borderId="2144"/>
    <xf numFmtId="190" fontId="12" fillId="3" borderId="4730" applyNumberFormat="0" applyFont="0" applyAlignment="0" applyProtection="0"/>
    <xf numFmtId="0" fontId="48" fillId="0" borderId="4729" applyNumberFormat="0" applyFill="0" applyAlignment="0" applyProtection="0"/>
    <xf numFmtId="0" fontId="2" fillId="0" borderId="1374" applyNumberFormat="0" applyAlignment="0" applyProtection="0"/>
    <xf numFmtId="254" fontId="240" fillId="0" borderId="1381" applyBorder="0" applyProtection="0">
      <alignment horizontal="right" vertical="center"/>
    </xf>
    <xf numFmtId="0" fontId="166" fillId="0" borderId="1381">
      <alignment horizontal="center"/>
    </xf>
    <xf numFmtId="0" fontId="25" fillId="10" borderId="2086" applyNumberFormat="0" applyProtection="0">
      <alignment horizontal="left" vertical="top"/>
    </xf>
    <xf numFmtId="0" fontId="165" fillId="0" borderId="1429" applyFill="0" applyProtection="0">
      <alignment horizontal="center"/>
    </xf>
    <xf numFmtId="0" fontId="25" fillId="10" borderId="1379" applyNumberFormat="0" applyProtection="0">
      <alignment horizontal="left" vertical="top"/>
    </xf>
    <xf numFmtId="0" fontId="25" fillId="10" borderId="1379" applyNumberFormat="0" applyProtection="0">
      <alignment horizontal="left" vertical="top"/>
    </xf>
    <xf numFmtId="246" fontId="249" fillId="0" borderId="1537" applyFill="0" applyProtection="0">
      <alignment horizontal="center"/>
    </xf>
    <xf numFmtId="0" fontId="214" fillId="0" borderId="1447" applyNumberFormat="0" applyFont="0" applyFill="0" applyAlignment="0" applyProtection="0"/>
    <xf numFmtId="248" fontId="46" fillId="0" borderId="1429"/>
    <xf numFmtId="0" fontId="214" fillId="0" borderId="1375" applyNumberFormat="0" applyFont="0" applyFill="0" applyAlignment="0" applyProtection="0"/>
    <xf numFmtId="186" fontId="146" fillId="3" borderId="1372">
      <alignment horizontal="left"/>
    </xf>
    <xf numFmtId="0" fontId="101" fillId="0" borderId="1381" applyBorder="0"/>
    <xf numFmtId="186" fontId="146" fillId="3" borderId="2144" applyBorder="0">
      <alignment horizontal="left" vertical="center"/>
    </xf>
    <xf numFmtId="312" fontId="101" fillId="0" borderId="758" applyBorder="0"/>
    <xf numFmtId="312" fontId="113" fillId="0" borderId="758" applyNumberFormat="0" applyFill="0" applyAlignment="0" applyProtection="0"/>
    <xf numFmtId="312" fontId="75" fillId="0" borderId="735" applyNumberFormat="0" applyFont="0" applyFill="0" applyAlignment="0" applyProtection="0"/>
    <xf numFmtId="312" fontId="12" fillId="0" borderId="758" applyNumberFormat="0" applyFill="0" applyBorder="0" applyAlignment="0" applyProtection="0">
      <alignment horizontal="center"/>
    </xf>
    <xf numFmtId="312" fontId="78" fillId="14" borderId="675" applyFont="0" applyFill="0" applyBorder="0" applyAlignment="0" applyProtection="0"/>
    <xf numFmtId="0" fontId="113" fillId="0" borderId="2156" applyNumberFormat="0" applyFill="0" applyAlignment="0" applyProtection="0"/>
    <xf numFmtId="0" fontId="78" fillId="14" borderId="4788" applyFont="0" applyFill="0" applyBorder="0" applyAlignment="0" applyProtection="0"/>
    <xf numFmtId="312" fontId="165" fillId="0" borderId="758" applyFill="0" applyProtection="0">
      <alignment horizontal="center"/>
    </xf>
    <xf numFmtId="312" fontId="242" fillId="0" borderId="758">
      <alignment horizontal="center"/>
    </xf>
    <xf numFmtId="312" fontId="79" fillId="3" borderId="686">
      <alignment vertical="center"/>
    </xf>
    <xf numFmtId="312" fontId="210" fillId="0" borderId="758" applyNumberFormat="0" applyFill="0" applyBorder="0" applyAlignment="0">
      <protection locked="0"/>
    </xf>
    <xf numFmtId="312" fontId="2" fillId="0" borderId="739" applyNumberFormat="0" applyAlignment="0" applyProtection="0"/>
    <xf numFmtId="312" fontId="214" fillId="0" borderId="740" applyNumberFormat="0" applyFont="0" applyFill="0" applyAlignment="0" applyProtection="0"/>
    <xf numFmtId="312" fontId="25" fillId="10" borderId="741" applyNumberFormat="0" applyProtection="0">
      <alignment horizontal="left" vertical="top"/>
    </xf>
    <xf numFmtId="312" fontId="25" fillId="10" borderId="742" applyNumberFormat="0" applyProtection="0">
      <alignment horizontal="left" vertical="top"/>
    </xf>
    <xf numFmtId="312" fontId="25" fillId="10" borderId="743" applyNumberFormat="0" applyProtection="0">
      <alignment horizontal="left" vertical="top"/>
    </xf>
    <xf numFmtId="312" fontId="25" fillId="10" borderId="744" applyNumberFormat="0" applyProtection="0">
      <alignment horizontal="left" vertical="top"/>
    </xf>
    <xf numFmtId="312" fontId="25" fillId="10" borderId="741" applyNumberFormat="0" applyProtection="0">
      <alignment horizontal="left" vertical="top"/>
    </xf>
    <xf numFmtId="312" fontId="25" fillId="10" borderId="742" applyNumberFormat="0" applyProtection="0">
      <alignment horizontal="left" vertical="top"/>
    </xf>
    <xf numFmtId="312" fontId="25" fillId="10" borderId="743" applyNumberFormat="0" applyProtection="0">
      <alignment horizontal="left" vertical="top"/>
    </xf>
    <xf numFmtId="312" fontId="25" fillId="10" borderId="744" applyNumberFormat="0" applyProtection="0">
      <alignment horizontal="left" vertical="top"/>
    </xf>
    <xf numFmtId="312" fontId="241" fillId="94" borderId="758" applyBorder="0" applyProtection="0">
      <alignment horizontal="centerContinuous" vertical="center"/>
    </xf>
    <xf numFmtId="246" fontId="296" fillId="0" borderId="758" applyFill="0" applyProtection="0">
      <alignment horizontal="center"/>
    </xf>
    <xf numFmtId="0" fontId="166" fillId="0" borderId="4798">
      <alignment horizontal="center"/>
    </xf>
    <xf numFmtId="0" fontId="25" fillId="10" borderId="1376" applyNumberFormat="0" applyProtection="0">
      <alignment horizontal="left" vertical="top"/>
    </xf>
    <xf numFmtId="192" fontId="9" fillId="3" borderId="1381">
      <alignment horizontal="right" vertical="center"/>
    </xf>
    <xf numFmtId="0" fontId="25" fillId="10" borderId="1377" applyNumberFormat="0" applyProtection="0">
      <alignment horizontal="left" vertical="top"/>
    </xf>
    <xf numFmtId="0" fontId="78" fillId="14" borderId="1371" applyFont="0" applyFill="0" applyBorder="0" applyAlignment="0" applyProtection="0"/>
    <xf numFmtId="192" fontId="9" fillId="3" borderId="1429">
      <alignment horizontal="right" vertical="center"/>
    </xf>
    <xf numFmtId="0" fontId="2" fillId="0" borderId="1374" applyNumberFormat="0" applyAlignment="0" applyProtection="0"/>
    <xf numFmtId="190" fontId="12" fillId="75" borderId="2078" applyNumberFormat="0" applyProtection="0">
      <alignment horizontal="left" vertical="top" indent="1"/>
    </xf>
    <xf numFmtId="222" fontId="79" fillId="0" borderId="1380" applyBorder="0"/>
    <xf numFmtId="248" fontId="46" fillId="0" borderId="1369"/>
    <xf numFmtId="0" fontId="25" fillId="10" borderId="2154" applyNumberFormat="0" applyProtection="0">
      <alignment horizontal="left" vertical="top"/>
    </xf>
    <xf numFmtId="312" fontId="2" fillId="0" borderId="1422" applyNumberFormat="0" applyAlignment="0" applyProtection="0"/>
    <xf numFmtId="0" fontId="78" fillId="14" borderId="700" applyFont="0" applyFill="0" applyBorder="0" applyAlignment="0" applyProtection="0"/>
    <xf numFmtId="0" fontId="75" fillId="0" borderId="855" applyNumberFormat="0" applyFont="0" applyFill="0" applyAlignment="0" applyProtection="0"/>
    <xf numFmtId="312" fontId="25" fillId="10" borderId="900" applyNumberFormat="0" applyProtection="0">
      <alignment horizontal="left" vertical="top"/>
    </xf>
    <xf numFmtId="0" fontId="113" fillId="0" borderId="1381" applyNumberFormat="0" applyFill="0" applyAlignment="0" applyProtection="0"/>
    <xf numFmtId="312" fontId="210" fillId="0" borderId="1441" applyNumberFormat="0" applyFill="0" applyBorder="0" applyAlignment="0">
      <protection locked="0"/>
    </xf>
    <xf numFmtId="10" fontId="12" fillId="3" borderId="4742" applyNumberFormat="0" applyFont="0" applyFill="0" applyBorder="0" applyAlignment="0">
      <protection locked="0"/>
    </xf>
    <xf numFmtId="4" fontId="184" fillId="53" borderId="4732" applyNumberFormat="0" applyProtection="0">
      <alignment horizontal="left" vertical="center" indent="1"/>
    </xf>
    <xf numFmtId="192" fontId="9" fillId="3" borderId="4746">
      <alignment horizontal="right" vertical="center"/>
    </xf>
    <xf numFmtId="246" fontId="249" fillId="0" borderId="1381" applyFill="0" applyProtection="0">
      <alignment horizontal="center"/>
    </xf>
    <xf numFmtId="186" fontId="140" fillId="3" borderId="1373">
      <alignment horizontal="center" vertical="center"/>
    </xf>
    <xf numFmtId="0" fontId="101" fillId="0" borderId="4810" applyBorder="0"/>
    <xf numFmtId="186" fontId="140" fillId="3" borderId="4802">
      <alignment horizontal="center" vertical="center"/>
    </xf>
    <xf numFmtId="0" fontId="165" fillId="0" borderId="2156" applyFill="0" applyProtection="0">
      <alignment horizontal="center"/>
    </xf>
    <xf numFmtId="0" fontId="12" fillId="0" borderId="1405" applyNumberFormat="0" applyFill="0" applyBorder="0" applyAlignment="0" applyProtection="0">
      <alignment horizontal="center"/>
    </xf>
    <xf numFmtId="246" fontId="249" fillId="0" borderId="2093" applyFill="0" applyProtection="0">
      <alignment horizontal="center"/>
    </xf>
    <xf numFmtId="0" fontId="2" fillId="0" borderId="1422" applyNumberFormat="0" applyAlignment="0" applyProtection="0"/>
    <xf numFmtId="246" fontId="250" fillId="0" borderId="1429" applyFill="0" applyProtection="0">
      <alignment horizontal="center"/>
    </xf>
    <xf numFmtId="246" fontId="250" fillId="0" borderId="4810" applyFill="0" applyProtection="0">
      <alignment horizontal="center"/>
    </xf>
    <xf numFmtId="312" fontId="48" fillId="0" borderId="2075" applyNumberFormat="0" applyFill="0" applyAlignment="0" applyProtection="0"/>
    <xf numFmtId="0" fontId="166" fillId="0" borderId="1429">
      <alignment horizontal="center"/>
    </xf>
    <xf numFmtId="180" fontId="9" fillId="3" borderId="4762">
      <alignment horizontal="right" vertical="center"/>
    </xf>
    <xf numFmtId="246" fontId="249" fillId="0" borderId="1381" applyFill="0" applyProtection="0">
      <alignment horizontal="center"/>
    </xf>
    <xf numFmtId="190" fontId="136" fillId="14" borderId="2078" applyNumberFormat="0" applyProtection="0">
      <alignment horizontal="left" vertical="top" indent="1"/>
    </xf>
    <xf numFmtId="186" fontId="146" fillId="3" borderId="1441" applyBorder="0">
      <alignment horizontal="left" vertical="center"/>
    </xf>
    <xf numFmtId="0" fontId="25" fillId="10" borderId="1448" applyNumberFormat="0" applyProtection="0">
      <alignment horizontal="left" vertical="top"/>
    </xf>
    <xf numFmtId="190" fontId="25" fillId="10" borderId="4796" applyNumberFormat="0" applyProtection="0">
      <alignment horizontal="left" vertical="top"/>
    </xf>
    <xf numFmtId="0" fontId="210" fillId="0" borderId="2156" applyNumberFormat="0" applyFill="0" applyBorder="0" applyAlignment="0">
      <protection locked="0"/>
    </xf>
    <xf numFmtId="180" fontId="9" fillId="3" borderId="1381">
      <alignment horizontal="right" vertical="center"/>
    </xf>
    <xf numFmtId="222" fontId="79" fillId="0" borderId="1380" applyBorder="0"/>
    <xf numFmtId="0" fontId="25" fillId="10" borderId="4724" applyNumberFormat="0" applyProtection="0">
      <alignment horizontal="left" vertical="top"/>
    </xf>
    <xf numFmtId="222" fontId="79" fillId="0" borderId="4743" applyBorder="0"/>
    <xf numFmtId="0" fontId="165" fillId="0" borderId="1441" applyFill="0" applyProtection="0">
      <alignment horizontal="center"/>
    </xf>
    <xf numFmtId="264" fontId="12" fillId="14" borderId="1441" applyFont="0" applyFill="0" applyBorder="0" applyAlignment="0" applyProtection="0">
      <alignment horizontal="right"/>
    </xf>
    <xf numFmtId="248" fontId="46" fillId="0" borderId="4746"/>
    <xf numFmtId="0" fontId="210" fillId="0" borderId="1441" applyNumberFormat="0" applyFill="0" applyBorder="0" applyAlignment="0">
      <protection locked="0"/>
    </xf>
    <xf numFmtId="0" fontId="78" fillId="14" borderId="1371" applyFont="0" applyFill="0" applyBorder="0" applyAlignment="0" applyProtection="0"/>
    <xf numFmtId="0" fontId="165" fillId="0" borderId="1405" applyFill="0" applyProtection="0">
      <alignment horizontal="center"/>
    </xf>
    <xf numFmtId="312" fontId="25" fillId="10" borderId="1427" applyNumberFormat="0" applyProtection="0">
      <alignment horizontal="left" vertical="top"/>
    </xf>
    <xf numFmtId="312" fontId="101" fillId="0" borderId="1441" applyBorder="0"/>
    <xf numFmtId="254" fontId="240" fillId="0" borderId="4717" applyBorder="0" applyProtection="0">
      <alignment horizontal="right" vertical="center"/>
    </xf>
    <xf numFmtId="0" fontId="166" fillId="0" borderId="2156">
      <alignment horizontal="center"/>
    </xf>
    <xf numFmtId="0" fontId="165" fillId="0" borderId="4717" applyFill="0" applyProtection="0">
      <alignment horizontal="center"/>
    </xf>
    <xf numFmtId="312" fontId="113" fillId="0" borderId="1441" applyNumberFormat="0" applyFill="0" applyAlignment="0" applyProtection="0"/>
    <xf numFmtId="10" fontId="12" fillId="3" borderId="2088" applyNumberFormat="0" applyFont="0" applyFill="0" applyBorder="0" applyAlignment="0">
      <protection locked="0"/>
    </xf>
    <xf numFmtId="0" fontId="113" fillId="0" borderId="1358" applyNumberFormat="0" applyFill="0" applyAlignment="0" applyProtection="0"/>
    <xf numFmtId="0" fontId="166" fillId="0" borderId="4786">
      <alignment horizontal="center"/>
    </xf>
    <xf numFmtId="192" fontId="9" fillId="3" borderId="1369">
      <alignment horizontal="right" vertical="center"/>
    </xf>
    <xf numFmtId="0" fontId="210" fillId="0" borderId="1429" applyNumberFormat="0" applyFill="0" applyBorder="0" applyAlignment="0">
      <protection locked="0"/>
    </xf>
    <xf numFmtId="192" fontId="9" fillId="3" borderId="1405">
      <alignment horizontal="right" vertical="center"/>
    </xf>
    <xf numFmtId="222" fontId="79" fillId="0" borderId="1392" applyBorder="0"/>
    <xf numFmtId="222" fontId="79" fillId="0" borderId="2062" applyBorder="0"/>
    <xf numFmtId="0" fontId="166" fillId="0" borderId="4746">
      <alignment horizontal="center"/>
    </xf>
    <xf numFmtId="0" fontId="101" fillId="0" borderId="1369" applyBorder="0"/>
    <xf numFmtId="0" fontId="12" fillId="0" borderId="1429" applyNumberFormat="0" applyFill="0" applyBorder="0" applyAlignment="0" applyProtection="0">
      <alignment horizontal="center"/>
    </xf>
    <xf numFmtId="222" fontId="79" fillId="0" borderId="4743" applyBorder="0"/>
    <xf numFmtId="254" fontId="240" fillId="0" borderId="1441" applyBorder="0" applyProtection="0">
      <alignment horizontal="right" vertical="center"/>
    </xf>
    <xf numFmtId="0" fontId="241" fillId="94" borderId="1441" applyBorder="0" applyProtection="0">
      <alignment horizontal="centerContinuous" vertical="center"/>
    </xf>
    <xf numFmtId="246" fontId="249" fillId="0" borderId="1441" applyFill="0" applyProtection="0">
      <alignment horizontal="center"/>
    </xf>
    <xf numFmtId="186" fontId="140" fillId="3" borderId="1445">
      <alignment horizontal="center" vertical="center"/>
    </xf>
    <xf numFmtId="312" fontId="48" fillId="0" borderId="2074" applyFont="0" applyFill="0" applyBorder="0" applyAlignment="0" applyProtection="0">
      <alignment horizontal="center"/>
    </xf>
    <xf numFmtId="10" fontId="12" fillId="3" borderId="4742" applyNumberFormat="0" applyFont="0" applyFill="0" applyBorder="0" applyAlignment="0">
      <protection locked="0"/>
    </xf>
    <xf numFmtId="264" fontId="12" fillId="14" borderId="2132" applyFont="0" applyFill="0" applyBorder="0" applyAlignment="0" applyProtection="0">
      <alignment horizontal="right"/>
    </xf>
    <xf numFmtId="246" fontId="250" fillId="0" borderId="1441" applyFill="0" applyProtection="0">
      <alignment horizontal="center"/>
    </xf>
    <xf numFmtId="0" fontId="113" fillId="0" borderId="2132" applyNumberFormat="0" applyFill="0" applyAlignment="0" applyProtection="0"/>
    <xf numFmtId="222" fontId="79" fillId="0" borderId="1428" applyBorder="0"/>
    <xf numFmtId="190" fontId="25" fillId="10" borderId="4736" applyNumberFormat="0" applyProtection="0">
      <alignment horizontal="left" vertical="top"/>
    </xf>
    <xf numFmtId="0" fontId="2" fillId="0" borderId="1446" applyNumberFormat="0" applyAlignment="0" applyProtection="0"/>
    <xf numFmtId="186" fontId="146" fillId="3" borderId="1420">
      <alignment horizontal="left"/>
    </xf>
    <xf numFmtId="0" fontId="78" fillId="14" borderId="2122" applyFont="0" applyFill="0" applyBorder="0" applyAlignment="0" applyProtection="0"/>
    <xf numFmtId="248" fontId="46" fillId="0" borderId="1441"/>
    <xf numFmtId="0" fontId="25" fillId="10" borderId="4724" applyNumberFormat="0" applyProtection="0">
      <alignment horizontal="left" vertical="top"/>
    </xf>
    <xf numFmtId="180" fontId="9" fillId="3" borderId="1441">
      <alignment horizontal="right" vertical="center"/>
    </xf>
    <xf numFmtId="192" fontId="9" fillId="3" borderId="1441">
      <alignment horizontal="right" vertical="center"/>
    </xf>
    <xf numFmtId="5" fontId="114" fillId="0" borderId="5444" applyAlignment="0" applyProtection="0"/>
    <xf numFmtId="254" fontId="240" fillId="0" borderId="1441" applyBorder="0" applyProtection="0">
      <alignment horizontal="right" vertical="center"/>
    </xf>
    <xf numFmtId="0" fontId="165" fillId="0" borderId="1381" applyFill="0" applyProtection="0">
      <alignment horizontal="center"/>
    </xf>
    <xf numFmtId="222" fontId="79" fillId="0" borderId="2155" applyBorder="0"/>
    <xf numFmtId="264" fontId="12" fillId="14" borderId="1381" applyFont="0" applyFill="0" applyBorder="0" applyAlignment="0" applyProtection="0">
      <alignment horizontal="right"/>
    </xf>
    <xf numFmtId="222" fontId="79" fillId="0" borderId="1380" applyBorder="0"/>
    <xf numFmtId="222" fontId="79" fillId="0" borderId="4785" applyBorder="0"/>
    <xf numFmtId="0" fontId="214" fillId="0" borderId="2138" applyNumberFormat="0" applyFont="0" applyFill="0" applyAlignment="0" applyProtection="0"/>
    <xf numFmtId="0" fontId="25" fillId="10" borderId="1451" applyNumberFormat="0" applyProtection="0">
      <alignment horizontal="left" vertical="top"/>
    </xf>
    <xf numFmtId="312" fontId="25" fillId="10" borderId="2299" applyNumberFormat="0" applyProtection="0">
      <alignment horizontal="left" vertical="top"/>
    </xf>
    <xf numFmtId="246" fontId="250" fillId="0" borderId="758" applyFill="0" applyProtection="0">
      <alignment horizontal="center"/>
    </xf>
    <xf numFmtId="246" fontId="249" fillId="0" borderId="758" applyFill="0" applyProtection="0">
      <alignment horizontal="center"/>
    </xf>
    <xf numFmtId="0" fontId="241" fillId="94" borderId="758" applyBorder="0" applyProtection="0">
      <alignment horizontal="centerContinuous" vertical="center"/>
    </xf>
    <xf numFmtId="254" fontId="240" fillId="0" borderId="758" applyBorder="0" applyProtection="0">
      <alignment horizontal="right" vertical="center"/>
    </xf>
    <xf numFmtId="10" fontId="12" fillId="3" borderId="4742" applyNumberFormat="0" applyFont="0" applyFill="0" applyBorder="0" applyAlignment="0">
      <protection locked="0"/>
    </xf>
    <xf numFmtId="0" fontId="25" fillId="10" borderId="696" applyNumberFormat="0" applyProtection="0">
      <alignment horizontal="left" vertical="top"/>
    </xf>
    <xf numFmtId="246" fontId="249" fillId="0" borderId="4810" applyFill="0" applyProtection="0">
      <alignment horizontal="center"/>
    </xf>
    <xf numFmtId="0" fontId="25" fillId="10" borderId="695" applyNumberFormat="0" applyProtection="0">
      <alignment horizontal="left" vertical="top"/>
    </xf>
    <xf numFmtId="0" fontId="25" fillId="10" borderId="2085" applyNumberFormat="0" applyProtection="0">
      <alignment horizontal="left" vertical="top"/>
    </xf>
    <xf numFmtId="0" fontId="25" fillId="10" borderId="694" applyNumberFormat="0" applyProtection="0">
      <alignment horizontal="left" vertical="top"/>
    </xf>
    <xf numFmtId="0" fontId="25" fillId="10" borderId="693" applyNumberFormat="0" applyProtection="0">
      <alignment horizontal="left" vertical="top"/>
    </xf>
    <xf numFmtId="0" fontId="101" fillId="0" borderId="2120" applyBorder="0"/>
    <xf numFmtId="186" fontId="146" fillId="3" borderId="2063" applyBorder="0">
      <alignment horizontal="left" vertical="center"/>
    </xf>
    <xf numFmtId="186" fontId="146" fillId="3" borderId="4753">
      <alignment horizontal="left"/>
    </xf>
    <xf numFmtId="183" fontId="12" fillId="60" borderId="2080" applyFont="0" applyFill="0" applyBorder="0" applyAlignment="0" applyProtection="0"/>
    <xf numFmtId="0" fontId="136" fillId="14" borderId="2078" applyNumberFormat="0" applyProtection="0">
      <alignment horizontal="left" vertical="top" indent="1"/>
    </xf>
    <xf numFmtId="4" fontId="226" fillId="77" borderId="2078" applyNumberFormat="0" applyProtection="0">
      <alignment horizontal="right" vertical="center"/>
    </xf>
    <xf numFmtId="246" fontId="249" fillId="0" borderId="4746" applyFill="0" applyProtection="0">
      <alignment horizontal="center"/>
    </xf>
    <xf numFmtId="4" fontId="228" fillId="11" borderId="4732" applyNumberFormat="0" applyProtection="0">
      <alignment vertical="center"/>
    </xf>
    <xf numFmtId="0" fontId="25" fillId="10" borderId="4730" applyNumberFormat="0" applyProtection="0">
      <alignment horizontal="center" vertical="top"/>
    </xf>
    <xf numFmtId="0" fontId="210" fillId="0" borderId="4810" applyNumberFormat="0" applyFill="0" applyBorder="0" applyAlignment="0">
      <protection locked="0"/>
    </xf>
    <xf numFmtId="0" fontId="165" fillId="0" borderId="4810" applyFill="0" applyProtection="0">
      <alignment horizontal="center"/>
    </xf>
    <xf numFmtId="0" fontId="48" fillId="0" borderId="4729" applyNumberFormat="0" applyFill="0" applyAlignment="0" applyProtection="0"/>
    <xf numFmtId="0" fontId="136" fillId="14" borderId="4732" applyNumberFormat="0" applyProtection="0">
      <alignment horizontal="left" vertical="top" indent="1"/>
    </xf>
    <xf numFmtId="0" fontId="25" fillId="10" borderId="2070" applyNumberFormat="0" applyProtection="0">
      <alignment horizontal="left" vertical="top"/>
    </xf>
    <xf numFmtId="180" fontId="9" fillId="3" borderId="1369">
      <alignment horizontal="right" vertical="center"/>
    </xf>
    <xf numFmtId="0" fontId="2" fillId="0" borderId="3067" applyNumberFormat="0" applyAlignment="0" applyProtection="0"/>
    <xf numFmtId="186" fontId="140" fillId="3" borderId="4721">
      <alignment horizontal="center" vertical="center"/>
    </xf>
    <xf numFmtId="0" fontId="159" fillId="0" borderId="2076"/>
    <xf numFmtId="0" fontId="12" fillId="75" borderId="2078" applyNumberFormat="0" applyProtection="0">
      <alignment horizontal="left" vertical="top" indent="1"/>
    </xf>
    <xf numFmtId="0" fontId="25" fillId="10" borderId="4727" applyNumberFormat="0" applyProtection="0">
      <alignment horizontal="left" vertical="top"/>
    </xf>
    <xf numFmtId="254" fontId="240" fillId="0" borderId="4762" applyBorder="0" applyProtection="0">
      <alignment horizontal="right" vertical="center"/>
    </xf>
    <xf numFmtId="0" fontId="12" fillId="0" borderId="1369" applyNumberFormat="0" applyFill="0" applyBorder="0" applyAlignment="0" applyProtection="0">
      <alignment horizontal="center"/>
    </xf>
    <xf numFmtId="264" fontId="12" fillId="14" borderId="1369" applyFont="0" applyFill="0" applyBorder="0" applyAlignment="0" applyProtection="0">
      <alignment horizontal="right"/>
    </xf>
    <xf numFmtId="248" fontId="46" fillId="0" borderId="4786"/>
    <xf numFmtId="0" fontId="25" fillId="10" borderId="1448" applyNumberFormat="0" applyProtection="0">
      <alignment horizontal="left" vertical="top"/>
    </xf>
    <xf numFmtId="312" fontId="25" fillId="10" borderId="1581" applyNumberFormat="0" applyProtection="0">
      <alignment horizontal="left" vertical="top"/>
    </xf>
    <xf numFmtId="0" fontId="214" fillId="0" borderId="692" applyNumberFormat="0" applyFont="0" applyFill="0" applyAlignment="0" applyProtection="0"/>
    <xf numFmtId="0" fontId="210" fillId="0" borderId="758" applyNumberFormat="0" applyFill="0" applyBorder="0" applyAlignment="0">
      <protection locked="0"/>
    </xf>
    <xf numFmtId="246" fontId="249" fillId="0" borderId="4810" applyFill="0" applyProtection="0">
      <alignment horizontal="center"/>
    </xf>
    <xf numFmtId="222" fontId="79" fillId="0" borderId="4785" applyBorder="0"/>
    <xf numFmtId="312" fontId="25" fillId="10" borderId="2140" applyNumberFormat="0" applyProtection="0">
      <alignment horizontal="left" vertical="top"/>
    </xf>
    <xf numFmtId="264" fontId="12" fillId="14" borderId="758" applyFont="0" applyFill="0" applyBorder="0" applyAlignment="0" applyProtection="0">
      <alignment horizontal="right"/>
    </xf>
    <xf numFmtId="0" fontId="78" fillId="14" borderId="2065" applyFont="0" applyFill="0" applyBorder="0" applyAlignment="0" applyProtection="0"/>
    <xf numFmtId="222" fontId="79" fillId="0" borderId="1440" applyBorder="0"/>
    <xf numFmtId="4" fontId="12" fillId="60" borderId="2080" applyFont="0" applyFill="0" applyBorder="0" applyAlignment="0" applyProtection="0"/>
    <xf numFmtId="0" fontId="12" fillId="84" borderId="2078" applyNumberFormat="0" applyProtection="0">
      <alignment horizontal="left" vertical="center" indent="1"/>
    </xf>
    <xf numFmtId="186" fontId="48" fillId="3" borderId="2074">
      <alignment vertical="center"/>
    </xf>
    <xf numFmtId="0" fontId="101" fillId="0" borderId="2063" applyBorder="0"/>
    <xf numFmtId="4" fontId="223" fillId="52" borderId="2078" applyNumberFormat="0" applyProtection="0">
      <alignment horizontal="left" vertical="center" indent="1"/>
    </xf>
    <xf numFmtId="0" fontId="166" fillId="0" borderId="758">
      <alignment horizontal="center"/>
    </xf>
    <xf numFmtId="0" fontId="165" fillId="0" borderId="758" applyFill="0" applyProtection="0">
      <alignment horizontal="center"/>
    </xf>
    <xf numFmtId="190" fontId="48" fillId="0" borderId="4729" applyNumberFormat="0" applyFill="0" applyAlignment="0" applyProtection="0"/>
    <xf numFmtId="0" fontId="214" fillId="0" borderId="4723" applyNumberFormat="0" applyFont="0" applyFill="0" applyAlignment="0" applyProtection="0"/>
    <xf numFmtId="0" fontId="75" fillId="0" borderId="1418" applyNumberFormat="0" applyFont="0" applyFill="0" applyAlignment="0" applyProtection="0"/>
    <xf numFmtId="312" fontId="25" fillId="10" borderId="2084" applyNumberFormat="0" applyProtection="0">
      <alignment horizontal="left" vertical="top"/>
    </xf>
    <xf numFmtId="312" fontId="135" fillId="0" borderId="2076"/>
    <xf numFmtId="186" fontId="140" fillId="3" borderId="690">
      <alignment horizontal="center" vertical="center"/>
    </xf>
    <xf numFmtId="190" fontId="25" fillId="10" borderId="2139" applyNumberFormat="0" applyProtection="0">
      <alignment horizontal="left" vertical="top"/>
    </xf>
    <xf numFmtId="186" fontId="146" fillId="3" borderId="758" applyBorder="0">
      <alignment horizontal="left" vertical="center"/>
    </xf>
    <xf numFmtId="180" fontId="9" fillId="3" borderId="758">
      <alignment horizontal="right" vertical="center"/>
    </xf>
    <xf numFmtId="192" fontId="9" fillId="3" borderId="758">
      <alignment horizontal="right" vertical="center"/>
    </xf>
    <xf numFmtId="190" fontId="25" fillId="10" borderId="2082" applyNumberFormat="0" applyProtection="0">
      <alignment horizontal="left" vertical="top"/>
    </xf>
    <xf numFmtId="248" fontId="46" fillId="0" borderId="2156"/>
    <xf numFmtId="0" fontId="12" fillId="0" borderId="2075" applyNumberFormat="0" applyFill="0" applyBorder="0" applyAlignment="0" applyProtection="0"/>
    <xf numFmtId="4" fontId="226" fillId="79" borderId="2078" applyNumberFormat="0" applyProtection="0">
      <alignment horizontal="right" vertical="center"/>
    </xf>
    <xf numFmtId="248" fontId="46" fillId="0" borderId="758"/>
    <xf numFmtId="0" fontId="78" fillId="14" borderId="688" applyFont="0" applyFill="0" applyBorder="0" applyAlignment="0" applyProtection="0"/>
    <xf numFmtId="248" fontId="46" fillId="0" borderId="4717"/>
    <xf numFmtId="0" fontId="12" fillId="0" borderId="758" applyNumberFormat="0" applyFill="0" applyBorder="0" applyAlignment="0" applyProtection="0">
      <alignment horizontal="center"/>
    </xf>
    <xf numFmtId="264" fontId="12" fillId="14" borderId="2063" applyFont="0" applyFill="0" applyBorder="0" applyAlignment="0" applyProtection="0">
      <alignment horizontal="right"/>
    </xf>
    <xf numFmtId="186" fontId="146" fillId="3" borderId="4762" applyBorder="0">
      <alignment horizontal="left" vertical="center"/>
    </xf>
    <xf numFmtId="0" fontId="113" fillId="0" borderId="758" applyNumberFormat="0" applyFill="0" applyAlignment="0" applyProtection="0"/>
    <xf numFmtId="0" fontId="78" fillId="14" borderId="2098" applyFont="0" applyFill="0" applyBorder="0" applyAlignment="0" applyProtection="0"/>
    <xf numFmtId="186" fontId="146" fillId="3" borderId="1441" applyBorder="0">
      <alignment horizontal="left" vertical="center"/>
    </xf>
    <xf numFmtId="312" fontId="105" fillId="0" borderId="2075" applyNumberFormat="0" applyFill="0" applyBorder="0" applyAlignment="0" applyProtection="0"/>
    <xf numFmtId="183" fontId="12" fillId="60" borderId="2080" applyFont="0" applyFill="0" applyBorder="0" applyAlignment="0" applyProtection="0"/>
    <xf numFmtId="222" fontId="79" fillId="0" borderId="757" applyBorder="0"/>
    <xf numFmtId="0" fontId="101" fillId="0" borderId="758" applyBorder="0"/>
    <xf numFmtId="0" fontId="165" fillId="0" borderId="1369" applyFill="0" applyProtection="0">
      <alignment horizontal="center"/>
    </xf>
    <xf numFmtId="264" fontId="12" fillId="14" borderId="4810" applyFont="0" applyFill="0" applyBorder="0" applyAlignment="0" applyProtection="0">
      <alignment horizontal="right"/>
    </xf>
    <xf numFmtId="190" fontId="12" fillId="84" borderId="4732" applyNumberFormat="0" applyProtection="0">
      <alignment horizontal="left" vertical="center" indent="1"/>
    </xf>
    <xf numFmtId="264" fontId="12" fillId="14" borderId="4786" applyFont="0" applyFill="0" applyBorder="0" applyAlignment="0" applyProtection="0">
      <alignment horizontal="right"/>
    </xf>
    <xf numFmtId="0" fontId="25" fillId="10" borderId="4739" applyNumberFormat="0" applyProtection="0">
      <alignment horizontal="left" vertical="top"/>
    </xf>
    <xf numFmtId="0" fontId="136" fillId="84" borderId="2078" applyNumberFormat="0" applyProtection="0">
      <alignment horizontal="left" vertical="top" indent="1"/>
    </xf>
    <xf numFmtId="0" fontId="166" fillId="0" borderId="2156">
      <alignment horizontal="center"/>
    </xf>
    <xf numFmtId="0" fontId="166" fillId="0" borderId="4746">
      <alignment horizontal="center"/>
    </xf>
    <xf numFmtId="0" fontId="276" fillId="54" borderId="2094" applyNumberFormat="0" applyAlignment="0" applyProtection="0"/>
    <xf numFmtId="0" fontId="241" fillId="94" borderId="4746" applyBorder="0" applyProtection="0">
      <alignment horizontal="centerContinuous" vertical="center"/>
    </xf>
    <xf numFmtId="0" fontId="25" fillId="10" borderId="705" applyNumberFormat="0" applyProtection="0">
      <alignment horizontal="left" vertical="top"/>
    </xf>
    <xf numFmtId="0" fontId="25" fillId="10" borderId="2142" applyNumberFormat="0" applyProtection="0">
      <alignment horizontal="left" vertical="top"/>
    </xf>
    <xf numFmtId="246" fontId="250" fillId="0" borderId="4810" applyFill="0" applyProtection="0">
      <alignment horizontal="center"/>
    </xf>
    <xf numFmtId="4" fontId="226" fillId="76" borderId="4732" applyNumberFormat="0" applyProtection="0">
      <alignment horizontal="right" vertical="center"/>
    </xf>
    <xf numFmtId="186" fontId="146" fillId="3" borderId="4789">
      <alignment horizontal="left"/>
    </xf>
    <xf numFmtId="0" fontId="25" fillId="10" borderId="765" applyNumberFormat="0" applyProtection="0">
      <alignment horizontal="left" vertical="top"/>
    </xf>
    <xf numFmtId="0" fontId="25" fillId="10" borderId="766" applyNumberFormat="0" applyProtection="0">
      <alignment horizontal="left" vertical="top"/>
    </xf>
    <xf numFmtId="0" fontId="25" fillId="10" borderId="767" applyNumberFormat="0" applyProtection="0">
      <alignment horizontal="left" vertical="top"/>
    </xf>
    <xf numFmtId="0" fontId="25" fillId="10" borderId="768" applyNumberFormat="0" applyProtection="0">
      <alignment horizontal="left" vertical="top"/>
    </xf>
    <xf numFmtId="4" fontId="228" fillId="11" borderId="4732" applyNumberFormat="0" applyProtection="0">
      <alignment vertical="center"/>
    </xf>
    <xf numFmtId="4" fontId="12" fillId="60" borderId="4734" applyFont="0" applyFill="0" applyBorder="0" applyAlignment="0" applyProtection="0"/>
    <xf numFmtId="0" fontId="12" fillId="11" borderId="4732" applyNumberFormat="0" applyProtection="0">
      <alignment horizontal="left" vertical="top" indent="1"/>
    </xf>
    <xf numFmtId="264" fontId="12" fillId="14" borderId="4798" applyFont="0" applyFill="0" applyBorder="0" applyAlignment="0" applyProtection="0">
      <alignment horizontal="right"/>
    </xf>
    <xf numFmtId="4" fontId="226" fillId="81" borderId="2078" applyNumberFormat="0" applyProtection="0">
      <alignment horizontal="right" vertical="center"/>
    </xf>
    <xf numFmtId="0" fontId="101" fillId="0" borderId="2108" applyBorder="0"/>
    <xf numFmtId="0" fontId="12" fillId="10" borderId="4730" applyNumberFormat="0" applyFont="0" applyAlignment="0" applyProtection="0"/>
    <xf numFmtId="0" fontId="25" fillId="10" borderId="2073" applyNumberFormat="0" applyProtection="0">
      <alignment horizontal="left" vertical="top"/>
    </xf>
    <xf numFmtId="0" fontId="165" fillId="0" borderId="2120" applyFill="0" applyProtection="0">
      <alignment horizontal="center"/>
    </xf>
    <xf numFmtId="0" fontId="25" fillId="10" borderId="2083" applyNumberFormat="0" applyProtection="0">
      <alignment horizontal="left" vertical="top"/>
    </xf>
    <xf numFmtId="190" fontId="48" fillId="0" borderId="2075" applyNumberFormat="0" applyFill="0" applyAlignment="0" applyProtection="0"/>
    <xf numFmtId="293" fontId="234" fillId="10" borderId="4730" applyFont="0" applyProtection="0"/>
    <xf numFmtId="190" fontId="159" fillId="67" borderId="2076"/>
    <xf numFmtId="0" fontId="12" fillId="0" borderId="2132" applyNumberFormat="0" applyFill="0" applyBorder="0" applyAlignment="0" applyProtection="0">
      <alignment horizontal="center"/>
    </xf>
    <xf numFmtId="312" fontId="242" fillId="0" borderId="1441">
      <alignment horizontal="center"/>
    </xf>
    <xf numFmtId="246" fontId="250" fillId="0" borderId="1381" applyFill="0" applyProtection="0">
      <alignment horizontal="center"/>
    </xf>
    <xf numFmtId="264" fontId="12" fillId="14" borderId="1441" applyFont="0" applyFill="0" applyBorder="0" applyAlignment="0" applyProtection="0">
      <alignment horizontal="right"/>
    </xf>
    <xf numFmtId="190" fontId="12" fillId="0" borderId="2075" applyNumberFormat="0" applyFill="0" applyBorder="0" applyAlignment="0" applyProtection="0"/>
    <xf numFmtId="0" fontId="113" fillId="0" borderId="1429" applyNumberFormat="0" applyFill="0" applyAlignment="0" applyProtection="0"/>
    <xf numFmtId="186" fontId="146" fillId="3" borderId="1405" applyBorder="0">
      <alignment horizontal="left" vertical="center"/>
    </xf>
    <xf numFmtId="264" fontId="12" fillId="14" borderId="1369" applyFont="0" applyFill="0" applyBorder="0" applyAlignment="0" applyProtection="0">
      <alignment horizontal="right"/>
    </xf>
    <xf numFmtId="0" fontId="75" fillId="0" borderId="4787" applyNumberFormat="0" applyFont="0" applyFill="0" applyAlignment="0" applyProtection="0"/>
    <xf numFmtId="0" fontId="25" fillId="10" borderId="4820" applyNumberFormat="0" applyProtection="0">
      <alignment horizontal="left" vertical="top"/>
    </xf>
    <xf numFmtId="10" fontId="12" fillId="3" borderId="2088" applyNumberFormat="0" applyFont="0" applyFill="0" applyBorder="0" applyAlignment="0">
      <protection locked="0"/>
    </xf>
    <xf numFmtId="10" fontId="12" fillId="3" borderId="2088" applyNumberFormat="0" applyFont="0" applyFill="0" applyBorder="0" applyAlignment="0">
      <protection locked="0"/>
    </xf>
    <xf numFmtId="312" fontId="25" fillId="10" borderId="1424" applyNumberFormat="0" applyProtection="0">
      <alignment horizontal="left" vertical="top"/>
    </xf>
    <xf numFmtId="190" fontId="12" fillId="75" borderId="4732" applyNumberFormat="0" applyProtection="0">
      <alignment horizontal="left" vertical="center" indent="1"/>
    </xf>
    <xf numFmtId="10" fontId="12" fillId="3" borderId="4742" applyNumberFormat="0" applyFont="0" applyFill="0" applyBorder="0" applyAlignment="0">
      <protection locked="0"/>
    </xf>
    <xf numFmtId="0" fontId="25" fillId="10" borderId="1451" applyNumberFormat="0" applyProtection="0">
      <alignment horizontal="left" vertical="top"/>
    </xf>
    <xf numFmtId="0" fontId="166" fillId="0" borderId="1441">
      <alignment horizontal="center"/>
    </xf>
    <xf numFmtId="186" fontId="146" fillId="3" borderId="1444">
      <alignment horizontal="left"/>
    </xf>
    <xf numFmtId="0" fontId="25" fillId="10" borderId="4726" applyNumberFormat="0" applyProtection="0">
      <alignment horizontal="left" vertical="top"/>
    </xf>
    <xf numFmtId="0" fontId="166" fillId="0" borderId="1441">
      <alignment horizontal="center"/>
    </xf>
    <xf numFmtId="186" fontId="140" fillId="3" borderId="1385">
      <alignment horizontal="center" vertical="center"/>
    </xf>
    <xf numFmtId="0" fontId="113" fillId="0" borderId="1381" applyNumberFormat="0" applyFill="0" applyAlignment="0" applyProtection="0"/>
    <xf numFmtId="0" fontId="101" fillId="0" borderId="1358" applyBorder="0"/>
    <xf numFmtId="264" fontId="12" fillId="14" borderId="1417" applyFont="0" applyFill="0" applyBorder="0" applyAlignment="0" applyProtection="0">
      <alignment horizontal="right"/>
    </xf>
    <xf numFmtId="0" fontId="75" fillId="0" borderId="1382" applyNumberFormat="0" applyFont="0" applyFill="0" applyAlignment="0" applyProtection="0"/>
    <xf numFmtId="0" fontId="25" fillId="10" borderId="4769" applyNumberFormat="0" applyProtection="0">
      <alignment horizontal="left" vertical="top"/>
    </xf>
    <xf numFmtId="180" fontId="9" fillId="3" borderId="1441">
      <alignment horizontal="right" vertical="center"/>
    </xf>
    <xf numFmtId="312" fontId="78" fillId="14" borderId="700" applyFont="0" applyFill="0" applyBorder="0" applyAlignment="0" applyProtection="0"/>
    <xf numFmtId="186" fontId="140" fillId="3" borderId="2112">
      <alignment horizontal="center" vertical="center"/>
    </xf>
    <xf numFmtId="222" fontId="79" fillId="0" borderId="2131" applyBorder="0"/>
    <xf numFmtId="312" fontId="165" fillId="0" borderId="1441" applyFill="0" applyProtection="0">
      <alignment horizontal="center"/>
    </xf>
    <xf numFmtId="0" fontId="214" fillId="0" borderId="1375" applyNumberFormat="0" applyFont="0" applyFill="0" applyAlignment="0" applyProtection="0"/>
    <xf numFmtId="0" fontId="12" fillId="0" borderId="4729" applyNumberFormat="0" applyFill="0" applyBorder="0" applyAlignment="0" applyProtection="0"/>
    <xf numFmtId="0" fontId="12" fillId="52" borderId="2078" applyNumberFormat="0" applyProtection="0">
      <alignment horizontal="left" vertical="top" indent="1"/>
    </xf>
    <xf numFmtId="0" fontId="2" fillId="0" borderId="1374" applyNumberFormat="0" applyAlignment="0" applyProtection="0"/>
    <xf numFmtId="0" fontId="25" fillId="10" borderId="2163" applyNumberFormat="0" applyProtection="0">
      <alignment horizontal="left" vertical="top"/>
    </xf>
    <xf numFmtId="0" fontId="25" fillId="10" borderId="2073" applyNumberFormat="0" applyProtection="0">
      <alignment horizontal="left" vertical="top"/>
    </xf>
    <xf numFmtId="246" fontId="250" fillId="0" borderId="698" applyFill="0" applyProtection="0">
      <alignment horizontal="center"/>
    </xf>
    <xf numFmtId="246" fontId="249" fillId="0" borderId="698" applyFill="0" applyProtection="0">
      <alignment horizontal="center"/>
    </xf>
    <xf numFmtId="0" fontId="241" fillId="94" borderId="698" applyBorder="0" applyProtection="0">
      <alignment horizontal="centerContinuous" vertical="center"/>
    </xf>
    <xf numFmtId="254" fontId="240" fillId="0" borderId="698" applyBorder="0" applyProtection="0">
      <alignment horizontal="right" vertical="center"/>
    </xf>
    <xf numFmtId="0" fontId="210" fillId="0" borderId="698" applyNumberFormat="0" applyFill="0" applyBorder="0" applyAlignment="0">
      <protection locked="0"/>
    </xf>
    <xf numFmtId="190" fontId="25" fillId="10" borderId="2141" applyNumberFormat="0" applyProtection="0">
      <alignment horizontal="left" vertical="top"/>
    </xf>
    <xf numFmtId="264" fontId="12" fillId="14" borderId="698" applyFont="0" applyFill="0" applyBorder="0" applyAlignment="0" applyProtection="0">
      <alignment horizontal="right"/>
    </xf>
    <xf numFmtId="0" fontId="166" fillId="0" borderId="698">
      <alignment horizontal="center"/>
    </xf>
    <xf numFmtId="0" fontId="165" fillId="0" borderId="698" applyFill="0" applyProtection="0">
      <alignment horizontal="center"/>
    </xf>
    <xf numFmtId="186" fontId="146" fillId="3" borderId="698" applyBorder="0">
      <alignment horizontal="left" vertical="center"/>
    </xf>
    <xf numFmtId="180" fontId="9" fillId="3" borderId="698">
      <alignment horizontal="right" vertical="center"/>
    </xf>
    <xf numFmtId="192" fontId="9" fillId="3" borderId="698">
      <alignment horizontal="right" vertical="center"/>
    </xf>
    <xf numFmtId="248" fontId="46" fillId="0" borderId="698"/>
    <xf numFmtId="0" fontId="75" fillId="0" borderId="4718" applyNumberFormat="0" applyFont="0" applyFill="0" applyAlignment="0" applyProtection="0"/>
    <xf numFmtId="0" fontId="12" fillId="0" borderId="698" applyNumberFormat="0" applyFill="0" applyBorder="0" applyAlignment="0" applyProtection="0">
      <alignment horizontal="center"/>
    </xf>
    <xf numFmtId="0" fontId="113" fillId="0" borderId="698" applyNumberFormat="0" applyFill="0" applyAlignment="0" applyProtection="0"/>
    <xf numFmtId="222" fontId="79" fillId="0" borderId="685" applyBorder="0"/>
    <xf numFmtId="0" fontId="101" fillId="0" borderId="698" applyBorder="0"/>
    <xf numFmtId="0" fontId="25" fillId="10" borderId="4793" applyNumberFormat="0" applyProtection="0">
      <alignment horizontal="left" vertical="top"/>
    </xf>
    <xf numFmtId="0" fontId="210" fillId="0" borderId="4746" applyNumberFormat="0" applyFill="0" applyBorder="0" applyAlignment="0">
      <protection locked="0"/>
    </xf>
    <xf numFmtId="0" fontId="166" fillId="0" borderId="1441">
      <alignment horizontal="center"/>
    </xf>
    <xf numFmtId="0" fontId="241" fillId="94" borderId="1441" applyBorder="0" applyProtection="0">
      <alignment horizontal="centerContinuous" vertical="center"/>
    </xf>
    <xf numFmtId="312" fontId="12" fillId="0" borderId="1441" applyNumberFormat="0" applyFill="0" applyBorder="0" applyAlignment="0" applyProtection="0">
      <alignment horizontal="center"/>
    </xf>
    <xf numFmtId="246" fontId="250" fillId="0" borderId="1441" applyFill="0" applyProtection="0">
      <alignment horizontal="center"/>
    </xf>
    <xf numFmtId="0" fontId="50" fillId="117" borderId="2077" applyNumberFormat="0" applyFont="0" applyAlignment="0" applyProtection="0"/>
    <xf numFmtId="222" fontId="79" fillId="0" borderId="2107" applyBorder="0"/>
    <xf numFmtId="246" fontId="250" fillId="0" borderId="698" applyFill="0" applyProtection="0">
      <alignment horizontal="center"/>
    </xf>
    <xf numFmtId="246" fontId="249" fillId="0" borderId="698" applyFill="0" applyProtection="0">
      <alignment horizontal="center"/>
    </xf>
    <xf numFmtId="0" fontId="241" fillId="94" borderId="698" applyBorder="0" applyProtection="0">
      <alignment horizontal="centerContinuous" vertical="center"/>
    </xf>
    <xf numFmtId="254" fontId="240" fillId="0" borderId="698" applyBorder="0" applyProtection="0">
      <alignment horizontal="right" vertical="center"/>
    </xf>
    <xf numFmtId="0" fontId="25" fillId="10" borderId="4784" applyNumberFormat="0" applyProtection="0">
      <alignment horizontal="left" vertical="top"/>
    </xf>
    <xf numFmtId="0" fontId="101" fillId="0" borderId="2156" applyBorder="0"/>
    <xf numFmtId="169" fontId="234" fillId="10" borderId="2076" applyFont="0" applyProtection="0"/>
    <xf numFmtId="254" fontId="240" fillId="0" borderId="2120" applyBorder="0" applyProtection="0">
      <alignment horizontal="right" vertical="center"/>
    </xf>
    <xf numFmtId="0" fontId="2" fillId="0" borderId="2068" applyNumberFormat="0" applyAlignment="0" applyProtection="0"/>
    <xf numFmtId="293" fontId="234" fillId="10" borderId="2076" applyFont="0" applyProtection="0"/>
    <xf numFmtId="4" fontId="184" fillId="11" borderId="2078" applyNumberFormat="0" applyProtection="0">
      <alignment horizontal="right" vertical="center"/>
    </xf>
    <xf numFmtId="4" fontId="184" fillId="52" borderId="2078" applyNumberFormat="0" applyProtection="0">
      <alignment horizontal="right" vertical="center"/>
    </xf>
    <xf numFmtId="5" fontId="114" fillId="0" borderId="2074" applyAlignment="0" applyProtection="0"/>
    <xf numFmtId="0" fontId="12" fillId="84" borderId="4732" applyNumberFormat="0" applyProtection="0">
      <alignment horizontal="left" vertical="top" indent="1"/>
    </xf>
    <xf numFmtId="0" fontId="25" fillId="10" borderId="4735" applyNumberFormat="0" applyProtection="0">
      <alignment horizontal="left"/>
    </xf>
    <xf numFmtId="246" fontId="250" fillId="0" borderId="4810" applyFill="0" applyProtection="0">
      <alignment horizontal="center"/>
    </xf>
    <xf numFmtId="180" fontId="9" fillId="3" borderId="4810">
      <alignment horizontal="right" vertical="center"/>
    </xf>
    <xf numFmtId="10" fontId="12" fillId="3" borderId="4742" applyNumberFormat="0" applyFont="0" applyFill="0" applyBorder="0" applyAlignment="0">
      <protection locked="0"/>
    </xf>
    <xf numFmtId="190" fontId="78" fillId="14" borderId="4800" applyFont="0" applyFill="0" applyBorder="0" applyAlignment="0" applyProtection="0"/>
    <xf numFmtId="2" fontId="12" fillId="14" borderId="2089" applyFill="0" applyBorder="0" applyProtection="0">
      <alignment horizontal="center"/>
    </xf>
    <xf numFmtId="0" fontId="241" fillId="94" borderId="2093" applyBorder="0" applyProtection="0">
      <alignment horizontal="centerContinuous" vertical="center"/>
    </xf>
    <xf numFmtId="190" fontId="74" fillId="0" borderId="2074" applyFont="0" applyFill="0" applyBorder="0" applyAlignment="0" applyProtection="0">
      <alignment horizontal="center"/>
    </xf>
    <xf numFmtId="264" fontId="12" fillId="14" borderId="1369" applyFont="0" applyFill="0" applyBorder="0" applyAlignment="0" applyProtection="0">
      <alignment horizontal="right"/>
    </xf>
    <xf numFmtId="0" fontId="75" fillId="0" borderId="4718" applyNumberFormat="0" applyFont="0" applyFill="0" applyAlignment="0" applyProtection="0"/>
    <xf numFmtId="10" fontId="12" fillId="3" borderId="2088" applyNumberFormat="0" applyFont="0" applyFill="0" applyBorder="0" applyAlignment="0">
      <protection locked="0"/>
    </xf>
    <xf numFmtId="0" fontId="78" fillId="14" borderId="4719" applyFont="0" applyFill="0" applyBorder="0" applyAlignment="0" applyProtection="0"/>
    <xf numFmtId="192" fontId="9" fillId="3" borderId="4717">
      <alignment horizontal="right" vertical="center"/>
    </xf>
    <xf numFmtId="190" fontId="25" fillId="10" borderId="4730" applyNumberFormat="0" applyProtection="0">
      <alignment horizontal="center" vertical="top"/>
    </xf>
    <xf numFmtId="0" fontId="12" fillId="10" borderId="2076" applyNumberFormat="0" applyFont="0" applyAlignment="0" applyProtection="0"/>
    <xf numFmtId="4" fontId="223" fillId="52" borderId="4732" applyNumberFormat="0" applyProtection="0">
      <alignment horizontal="left" vertical="center" indent="1"/>
    </xf>
    <xf numFmtId="0" fontId="25" fillId="10" borderId="4736" applyNumberFormat="0" applyProtection="0">
      <alignment horizontal="left" vertical="top"/>
    </xf>
    <xf numFmtId="254" fontId="240" fillId="0" borderId="2132" applyBorder="0" applyProtection="0">
      <alignment horizontal="right" vertical="center"/>
    </xf>
    <xf numFmtId="180" fontId="9" fillId="3" borderId="1369">
      <alignment horizontal="right" vertical="center"/>
    </xf>
    <xf numFmtId="222" fontId="79" fillId="0" borderId="1548" applyBorder="0"/>
    <xf numFmtId="0" fontId="210" fillId="0" borderId="698" applyNumberFormat="0" applyFill="0" applyBorder="0" applyAlignment="0">
      <protection locked="0"/>
    </xf>
    <xf numFmtId="264" fontId="12" fillId="14" borderId="698" applyFont="0" applyFill="0" applyBorder="0" applyAlignment="0" applyProtection="0">
      <alignment horizontal="right"/>
    </xf>
    <xf numFmtId="0" fontId="25" fillId="10" borderId="2084" applyNumberFormat="0" applyProtection="0">
      <alignment horizontal="left" vertical="top"/>
    </xf>
    <xf numFmtId="0" fontId="12" fillId="11" borderId="2078" applyNumberFormat="0" applyProtection="0">
      <alignment horizontal="left" vertical="center" indent="1"/>
    </xf>
    <xf numFmtId="4" fontId="223" fillId="53" borderId="2078" applyNumberFormat="0" applyProtection="0">
      <alignment vertical="center"/>
    </xf>
    <xf numFmtId="0" fontId="166" fillId="0" borderId="698">
      <alignment horizontal="center"/>
    </xf>
    <xf numFmtId="0" fontId="165" fillId="0" borderId="698" applyFill="0" applyProtection="0">
      <alignment horizontal="center"/>
    </xf>
    <xf numFmtId="5" fontId="114" fillId="0" borderId="2074" applyAlignment="0" applyProtection="0"/>
    <xf numFmtId="222" fontId="79" fillId="0" borderId="4761" applyBorder="0"/>
    <xf numFmtId="0" fontId="48" fillId="0" borderId="4729" applyNumberFormat="0" applyFill="0" applyAlignment="0" applyProtection="0"/>
    <xf numFmtId="180" fontId="9" fillId="3" borderId="4786">
      <alignment horizontal="right" vertical="center"/>
    </xf>
    <xf numFmtId="312" fontId="12" fillId="0" borderId="1441" applyNumberFormat="0" applyFill="0" applyBorder="0" applyAlignment="0" applyProtection="0">
      <alignment horizontal="center"/>
    </xf>
    <xf numFmtId="186" fontId="146" fillId="3" borderId="698" applyBorder="0">
      <alignment horizontal="left" vertical="center"/>
    </xf>
    <xf numFmtId="180" fontId="9" fillId="3" borderId="698">
      <alignment horizontal="right" vertical="center"/>
    </xf>
    <xf numFmtId="192" fontId="9" fillId="3" borderId="698">
      <alignment horizontal="right" vertical="center"/>
    </xf>
    <xf numFmtId="3" fontId="12" fillId="60" borderId="2080" applyFont="0" applyFill="0" applyBorder="0" applyAlignment="0" applyProtection="0"/>
    <xf numFmtId="0" fontId="12" fillId="0" borderId="698" applyNumberFormat="0" applyFill="0" applyBorder="0" applyAlignment="0" applyProtection="0">
      <alignment horizontal="center"/>
    </xf>
    <xf numFmtId="248" fontId="46" fillId="0" borderId="2132"/>
    <xf numFmtId="0" fontId="113" fillId="0" borderId="698" applyNumberFormat="0" applyFill="0" applyAlignment="0" applyProtection="0"/>
    <xf numFmtId="222" fontId="79" fillId="0" borderId="2092" applyBorder="0"/>
    <xf numFmtId="190" fontId="25" fillId="10" borderId="4795" applyNumberFormat="0" applyProtection="0">
      <alignment horizontal="left" vertical="top"/>
    </xf>
    <xf numFmtId="190" fontId="214" fillId="0" borderId="2138" applyNumberFormat="0" applyFont="0" applyFill="0" applyAlignment="0" applyProtection="0"/>
    <xf numFmtId="0" fontId="25" fillId="10" borderId="2076" applyNumberFormat="0" applyProtection="0">
      <alignment horizontal="center" vertical="top"/>
    </xf>
    <xf numFmtId="222" fontId="79" fillId="0" borderId="685" applyBorder="0"/>
    <xf numFmtId="0" fontId="101" fillId="0" borderId="698" applyBorder="0"/>
    <xf numFmtId="246" fontId="249" fillId="0" borderId="4798" applyFill="0" applyProtection="0">
      <alignment horizontal="center"/>
    </xf>
    <xf numFmtId="254" fontId="240" fillId="0" borderId="1441" applyBorder="0" applyProtection="0">
      <alignment horizontal="right" vertical="center"/>
    </xf>
    <xf numFmtId="188" fontId="25" fillId="0" borderId="2090" applyFont="0" applyFill="0" applyBorder="0" applyAlignment="0" applyProtection="0">
      <alignment horizontal="center"/>
    </xf>
    <xf numFmtId="248" fontId="46" fillId="0" borderId="698"/>
    <xf numFmtId="10" fontId="12" fillId="3" borderId="2088" applyNumberFormat="0" applyFont="0" applyFill="0" applyBorder="0" applyAlignment="0">
      <protection locked="0"/>
    </xf>
    <xf numFmtId="0" fontId="210" fillId="0" borderId="1441" applyNumberFormat="0" applyFill="0" applyBorder="0" applyAlignment="0">
      <protection locked="0"/>
    </xf>
    <xf numFmtId="246" fontId="250" fillId="0" borderId="698" applyFill="0" applyProtection="0">
      <alignment horizontal="center"/>
    </xf>
    <xf numFmtId="246" fontId="249" fillId="0" borderId="698" applyFill="0" applyProtection="0">
      <alignment horizontal="center"/>
    </xf>
    <xf numFmtId="0" fontId="241" fillId="94" borderId="698" applyBorder="0" applyProtection="0">
      <alignment horizontal="centerContinuous" vertical="center"/>
    </xf>
    <xf numFmtId="254" fontId="240" fillId="0" borderId="698" applyBorder="0" applyProtection="0">
      <alignment horizontal="right" vertical="center"/>
    </xf>
    <xf numFmtId="0" fontId="210" fillId="0" borderId="698" applyNumberFormat="0" applyFill="0" applyBorder="0" applyAlignment="0">
      <protection locked="0"/>
    </xf>
    <xf numFmtId="264" fontId="12" fillId="14" borderId="698" applyFont="0" applyFill="0" applyBorder="0" applyAlignment="0" applyProtection="0">
      <alignment horizontal="right"/>
    </xf>
    <xf numFmtId="0" fontId="166" fillId="0" borderId="698">
      <alignment horizontal="center"/>
    </xf>
    <xf numFmtId="0" fontId="165" fillId="0" borderId="698" applyFill="0" applyProtection="0">
      <alignment horizontal="center"/>
    </xf>
    <xf numFmtId="186" fontId="146" fillId="3" borderId="698" applyBorder="0">
      <alignment horizontal="left" vertical="center"/>
    </xf>
    <xf numFmtId="180" fontId="9" fillId="3" borderId="698">
      <alignment horizontal="right" vertical="center"/>
    </xf>
    <xf numFmtId="192" fontId="9" fillId="3" borderId="698">
      <alignment horizontal="right" vertical="center"/>
    </xf>
    <xf numFmtId="248" fontId="46" fillId="0" borderId="698"/>
    <xf numFmtId="0" fontId="12" fillId="0" borderId="698" applyNumberFormat="0" applyFill="0" applyBorder="0" applyAlignment="0" applyProtection="0">
      <alignment horizontal="center"/>
    </xf>
    <xf numFmtId="0" fontId="113" fillId="0" borderId="698" applyNumberFormat="0" applyFill="0" applyAlignment="0" applyProtection="0"/>
    <xf numFmtId="222" fontId="79" fillId="0" borderId="685" applyBorder="0"/>
    <xf numFmtId="0" fontId="101" fillId="0" borderId="698" applyBorder="0"/>
    <xf numFmtId="0" fontId="165" fillId="0" borderId="1441" applyFill="0" applyProtection="0">
      <alignment horizontal="center"/>
    </xf>
    <xf numFmtId="0" fontId="12" fillId="0" borderId="4746" applyNumberFormat="0" applyFill="0" applyBorder="0" applyAlignment="0" applyProtection="0">
      <alignment horizontal="center"/>
    </xf>
    <xf numFmtId="312" fontId="214" fillId="0" borderId="896" applyNumberFormat="0" applyFont="0" applyFill="0" applyAlignment="0" applyProtection="0"/>
    <xf numFmtId="312" fontId="2" fillId="0" borderId="895" applyNumberFormat="0" applyAlignment="0" applyProtection="0"/>
    <xf numFmtId="312" fontId="210" fillId="0" borderId="914" applyNumberFormat="0" applyFill="0" applyBorder="0" applyAlignment="0">
      <protection locked="0"/>
    </xf>
    <xf numFmtId="312" fontId="165" fillId="0" borderId="914" applyFill="0" applyProtection="0">
      <alignment horizontal="center"/>
    </xf>
    <xf numFmtId="312" fontId="12" fillId="0" borderId="914" applyNumberFormat="0" applyFill="0" applyBorder="0" applyAlignment="0" applyProtection="0">
      <alignment horizontal="center"/>
    </xf>
    <xf numFmtId="312" fontId="113" fillId="0" borderId="914" applyNumberFormat="0" applyFill="0" applyAlignment="0" applyProtection="0"/>
    <xf numFmtId="0" fontId="25" fillId="10" borderId="898" applyNumberFormat="0" applyProtection="0">
      <alignment horizontal="left" vertical="top"/>
    </xf>
    <xf numFmtId="248" fontId="46" fillId="0" borderId="914"/>
    <xf numFmtId="0" fontId="113" fillId="0" borderId="914" applyNumberFormat="0" applyFill="0" applyAlignment="0" applyProtection="0"/>
    <xf numFmtId="222" fontId="79" fillId="0" borderId="913" applyBorder="0"/>
    <xf numFmtId="0" fontId="101" fillId="0" borderId="914" applyBorder="0"/>
    <xf numFmtId="190" fontId="25" fillId="10" borderId="900" applyNumberFormat="0" applyProtection="0">
      <alignment horizontal="left" vertical="top"/>
    </xf>
    <xf numFmtId="190" fontId="2" fillId="0" borderId="895" applyNumberFormat="0" applyAlignment="0" applyProtection="0"/>
    <xf numFmtId="254" fontId="240" fillId="0" borderId="4746" applyBorder="0" applyProtection="0">
      <alignment horizontal="right" vertical="center"/>
    </xf>
    <xf numFmtId="190" fontId="166" fillId="0" borderId="914">
      <alignment horizontal="center"/>
    </xf>
    <xf numFmtId="190" fontId="113" fillId="0" borderId="914" applyNumberFormat="0" applyFill="0" applyAlignment="0" applyProtection="0"/>
    <xf numFmtId="190" fontId="101" fillId="0" borderId="914" applyBorder="0"/>
    <xf numFmtId="246" fontId="249" fillId="0" borderId="914" applyFill="0" applyProtection="0">
      <alignment horizontal="center"/>
    </xf>
    <xf numFmtId="0" fontId="241" fillId="94" borderId="914" applyBorder="0" applyProtection="0">
      <alignment horizontal="centerContinuous" vertical="center"/>
    </xf>
    <xf numFmtId="254" fontId="240" fillId="0" borderId="914" applyBorder="0" applyProtection="0">
      <alignment horizontal="right" vertical="center"/>
    </xf>
    <xf numFmtId="0" fontId="25" fillId="10" borderId="924" applyNumberFormat="0" applyProtection="0">
      <alignment horizontal="left" vertical="top"/>
    </xf>
    <xf numFmtId="0" fontId="25" fillId="10" borderId="923" applyNumberFormat="0" applyProtection="0">
      <alignment horizontal="left" vertical="top"/>
    </xf>
    <xf numFmtId="0" fontId="25" fillId="10" borderId="922" applyNumberFormat="0" applyProtection="0">
      <alignment horizontal="left" vertical="top"/>
    </xf>
    <xf numFmtId="0" fontId="25" fillId="10" borderId="921" applyNumberFormat="0" applyProtection="0">
      <alignment horizontal="left" vertical="top"/>
    </xf>
    <xf numFmtId="0" fontId="25" fillId="10" borderId="924" applyNumberFormat="0" applyProtection="0">
      <alignment horizontal="left" vertical="top"/>
    </xf>
    <xf numFmtId="0" fontId="25" fillId="10" borderId="923" applyNumberFormat="0" applyProtection="0">
      <alignment horizontal="left" vertical="top"/>
    </xf>
    <xf numFmtId="0" fontId="25" fillId="10" borderId="922" applyNumberFormat="0" applyProtection="0">
      <alignment horizontal="left" vertical="top"/>
    </xf>
    <xf numFmtId="0" fontId="25" fillId="10" borderId="921" applyNumberFormat="0" applyProtection="0">
      <alignment horizontal="left" vertical="top"/>
    </xf>
    <xf numFmtId="0" fontId="214" fillId="0" borderId="920" applyNumberFormat="0" applyFont="0" applyFill="0" applyAlignment="0" applyProtection="0"/>
    <xf numFmtId="0" fontId="2" fillId="0" borderId="919" applyNumberFormat="0" applyAlignment="0" applyProtection="0"/>
    <xf numFmtId="0" fontId="210" fillId="0" borderId="914" applyNumberFormat="0" applyFill="0" applyBorder="0" applyAlignment="0">
      <protection locked="0"/>
    </xf>
    <xf numFmtId="264" fontId="12" fillId="14" borderId="914" applyFont="0" applyFill="0" applyBorder="0" applyAlignment="0" applyProtection="0">
      <alignment horizontal="right"/>
    </xf>
    <xf numFmtId="0" fontId="166" fillId="0" borderId="914">
      <alignment horizontal="center"/>
    </xf>
    <xf numFmtId="0" fontId="165" fillId="0" borderId="914" applyFill="0" applyProtection="0">
      <alignment horizontal="center"/>
    </xf>
    <xf numFmtId="0" fontId="12" fillId="0" borderId="914" applyNumberFormat="0" applyFill="0" applyBorder="0" applyAlignment="0" applyProtection="0">
      <alignment horizontal="center"/>
    </xf>
    <xf numFmtId="248" fontId="46" fillId="0" borderId="914"/>
    <xf numFmtId="222" fontId="79" fillId="0" borderId="913" applyBorder="0"/>
    <xf numFmtId="0" fontId="113" fillId="0" borderId="914" applyNumberFormat="0" applyFill="0" applyAlignment="0" applyProtection="0"/>
    <xf numFmtId="0" fontId="12" fillId="0" borderId="914" applyNumberFormat="0" applyFill="0" applyBorder="0" applyAlignment="0" applyProtection="0">
      <alignment horizontal="center"/>
    </xf>
    <xf numFmtId="192" fontId="9" fillId="3" borderId="914">
      <alignment horizontal="right" vertical="center"/>
    </xf>
    <xf numFmtId="180" fontId="9" fillId="3" borderId="914">
      <alignment horizontal="right" vertical="center"/>
    </xf>
    <xf numFmtId="0" fontId="166" fillId="0" borderId="914">
      <alignment horizontal="center"/>
    </xf>
    <xf numFmtId="264" fontId="12" fillId="14" borderId="914" applyFont="0" applyFill="0" applyBorder="0" applyAlignment="0" applyProtection="0">
      <alignment horizontal="right"/>
    </xf>
    <xf numFmtId="246" fontId="249" fillId="0" borderId="914" applyFill="0" applyProtection="0">
      <alignment horizontal="center"/>
    </xf>
    <xf numFmtId="0" fontId="78" fillId="14" borderId="916" applyFont="0" applyFill="0" applyBorder="0" applyAlignment="0" applyProtection="0"/>
    <xf numFmtId="246" fontId="250" fillId="0" borderId="902" applyFill="0" applyProtection="0">
      <alignment horizontal="center"/>
    </xf>
    <xf numFmtId="246" fontId="249" fillId="0" borderId="902" applyFill="0" applyProtection="0">
      <alignment horizontal="center"/>
    </xf>
    <xf numFmtId="0" fontId="166" fillId="0" borderId="902">
      <alignment horizontal="center"/>
    </xf>
    <xf numFmtId="180" fontId="9" fillId="3" borderId="902">
      <alignment horizontal="right" vertical="center"/>
    </xf>
    <xf numFmtId="192" fontId="9" fillId="3" borderId="902">
      <alignment horizontal="right" vertical="center"/>
    </xf>
    <xf numFmtId="0" fontId="113" fillId="0" borderId="902" applyNumberFormat="0" applyFill="0" applyAlignment="0" applyProtection="0"/>
    <xf numFmtId="222" fontId="79" fillId="0" borderId="901" applyBorder="0"/>
    <xf numFmtId="0" fontId="101" fillId="0" borderId="902" applyBorder="0"/>
    <xf numFmtId="186" fontId="146" fillId="3" borderId="893">
      <alignment horizontal="left"/>
    </xf>
    <xf numFmtId="0" fontId="214" fillId="0" borderId="896" applyNumberFormat="0" applyFont="0" applyFill="0" applyAlignment="0" applyProtection="0"/>
    <xf numFmtId="0" fontId="25" fillId="10" borderId="899" applyNumberFormat="0" applyProtection="0">
      <alignment horizontal="left" vertical="top"/>
    </xf>
    <xf numFmtId="222" fontId="79" fillId="0" borderId="889" applyBorder="0"/>
    <xf numFmtId="0" fontId="241" fillId="94" borderId="878" applyBorder="0" applyProtection="0">
      <alignment horizontal="centerContinuous" vertical="center"/>
    </xf>
    <xf numFmtId="264" fontId="12" fillId="14" borderId="878" applyFont="0" applyFill="0" applyBorder="0" applyAlignment="0" applyProtection="0">
      <alignment horizontal="right"/>
    </xf>
    <xf numFmtId="186" fontId="146" fillId="3" borderId="878" applyBorder="0">
      <alignment horizontal="left" vertical="center"/>
    </xf>
    <xf numFmtId="248" fontId="46" fillId="0" borderId="878"/>
    <xf numFmtId="222" fontId="79" fillId="0" borderId="877" applyBorder="0"/>
    <xf numFmtId="0" fontId="75" fillId="0" borderId="867" applyNumberFormat="0" applyFont="0" applyFill="0" applyAlignment="0" applyProtection="0"/>
    <xf numFmtId="0" fontId="2" fillId="0" borderId="871" applyNumberFormat="0" applyAlignment="0" applyProtection="0"/>
    <xf numFmtId="0" fontId="78" fillId="14" borderId="856" applyFont="0" applyFill="0" applyBorder="0" applyAlignment="0" applyProtection="0"/>
    <xf numFmtId="0" fontId="166" fillId="0" borderId="854">
      <alignment horizontal="center"/>
    </xf>
    <xf numFmtId="180" fontId="9" fillId="3" borderId="854">
      <alignment horizontal="right" vertical="center"/>
    </xf>
    <xf numFmtId="192" fontId="9" fillId="3" borderId="854">
      <alignment horizontal="right" vertical="center"/>
    </xf>
    <xf numFmtId="248" fontId="46" fillId="0" borderId="854"/>
    <xf numFmtId="0" fontId="12" fillId="0" borderId="854" applyNumberFormat="0" applyFill="0" applyBorder="0" applyAlignment="0" applyProtection="0">
      <alignment horizontal="center"/>
    </xf>
    <xf numFmtId="0" fontId="113" fillId="0" borderId="854" applyNumberFormat="0" applyFill="0" applyAlignment="0" applyProtection="0"/>
    <xf numFmtId="222" fontId="79" fillId="0" borderId="865" applyBorder="0"/>
    <xf numFmtId="0" fontId="25" fillId="10" borderId="864" applyNumberFormat="0" applyProtection="0">
      <alignment horizontal="left" vertical="top"/>
    </xf>
    <xf numFmtId="186" fontId="146" fillId="3" borderId="857">
      <alignment horizontal="left"/>
    </xf>
    <xf numFmtId="186" fontId="140" fillId="3" borderId="858">
      <alignment horizontal="center" vertical="center"/>
    </xf>
    <xf numFmtId="0" fontId="2" fillId="0" borderId="859" applyNumberFormat="0" applyAlignment="0" applyProtection="0"/>
    <xf numFmtId="0" fontId="25" fillId="10" borderId="861" applyNumberFormat="0" applyProtection="0">
      <alignment horizontal="left" vertical="top"/>
    </xf>
    <xf numFmtId="0" fontId="25" fillId="10" borderId="863" applyNumberFormat="0" applyProtection="0">
      <alignment horizontal="left" vertical="top"/>
    </xf>
    <xf numFmtId="0" fontId="25" fillId="10" borderId="864" applyNumberFormat="0" applyProtection="0">
      <alignment horizontal="left" vertical="top"/>
    </xf>
    <xf numFmtId="222" fontId="79" fillId="0" borderId="865" applyBorder="0"/>
    <xf numFmtId="0" fontId="78" fillId="14" borderId="856" applyFont="0" applyFill="0" applyBorder="0" applyAlignment="0" applyProtection="0"/>
    <xf numFmtId="222" fontId="79" fillId="0" borderId="865" applyBorder="0"/>
    <xf numFmtId="0" fontId="25" fillId="10" borderId="863" applyNumberFormat="0" applyProtection="0">
      <alignment horizontal="left" vertical="top"/>
    </xf>
    <xf numFmtId="0" fontId="25" fillId="10" borderId="861" applyNumberFormat="0" applyProtection="0">
      <alignment horizontal="left" vertical="top"/>
    </xf>
    <xf numFmtId="0" fontId="214" fillId="0" borderId="860" applyNumberFormat="0" applyFont="0" applyFill="0" applyAlignment="0" applyProtection="0"/>
    <xf numFmtId="186" fontId="146" fillId="3" borderId="857">
      <alignment horizontal="left"/>
    </xf>
    <xf numFmtId="0" fontId="101" fillId="0" borderId="854" applyBorder="0"/>
    <xf numFmtId="180" fontId="9" fillId="3" borderId="854">
      <alignment horizontal="right" vertical="center"/>
    </xf>
    <xf numFmtId="0" fontId="166" fillId="0" borderId="854">
      <alignment horizontal="center"/>
    </xf>
    <xf numFmtId="264" fontId="12" fillId="14" borderId="854" applyFont="0" applyFill="0" applyBorder="0" applyAlignment="0" applyProtection="0">
      <alignment horizontal="right"/>
    </xf>
    <xf numFmtId="0" fontId="210" fillId="0" borderId="854" applyNumberFormat="0" applyFill="0" applyBorder="0" applyAlignment="0">
      <protection locked="0"/>
    </xf>
    <xf numFmtId="222" fontId="79" fillId="0" borderId="865" applyBorder="0"/>
    <xf numFmtId="0" fontId="2" fillId="0" borderId="859" applyNumberFormat="0" applyAlignment="0" applyProtection="0"/>
    <xf numFmtId="0" fontId="214" fillId="0" borderId="860" applyNumberFormat="0" applyFont="0" applyFill="0" applyAlignment="0" applyProtection="0"/>
    <xf numFmtId="0" fontId="25" fillId="10" borderId="863" applyNumberFormat="0" applyProtection="0">
      <alignment horizontal="left" vertical="top"/>
    </xf>
    <xf numFmtId="0" fontId="78" fillId="14" borderId="856" applyFont="0" applyFill="0" applyBorder="0" applyAlignment="0" applyProtection="0"/>
    <xf numFmtId="0" fontId="113" fillId="0" borderId="854" applyNumberFormat="0" applyFill="0" applyAlignment="0" applyProtection="0"/>
    <xf numFmtId="192" fontId="9" fillId="3" borderId="854">
      <alignment horizontal="right" vertical="center"/>
    </xf>
    <xf numFmtId="180" fontId="9" fillId="3" borderId="854">
      <alignment horizontal="right" vertical="center"/>
    </xf>
    <xf numFmtId="186" fontId="146" fillId="3" borderId="854" applyBorder="0">
      <alignment horizontal="left" vertical="center"/>
    </xf>
    <xf numFmtId="264" fontId="12" fillId="14" borderId="854" applyFont="0" applyFill="0" applyBorder="0" applyAlignment="0" applyProtection="0">
      <alignment horizontal="right"/>
    </xf>
    <xf numFmtId="0" fontId="210" fillId="0" borderId="854" applyNumberFormat="0" applyFill="0" applyBorder="0" applyAlignment="0">
      <protection locked="0"/>
    </xf>
    <xf numFmtId="254" fontId="240" fillId="0" borderId="854" applyBorder="0" applyProtection="0">
      <alignment horizontal="right" vertical="center"/>
    </xf>
    <xf numFmtId="0" fontId="241" fillId="94" borderId="854" applyBorder="0" applyProtection="0">
      <alignment horizontal="centerContinuous" vertical="center"/>
    </xf>
    <xf numFmtId="246" fontId="249" fillId="0" borderId="854" applyFill="0" applyProtection="0">
      <alignment horizontal="center"/>
    </xf>
    <xf numFmtId="246" fontId="250" fillId="0" borderId="854" applyFill="0" applyProtection="0">
      <alignment horizontal="center"/>
    </xf>
    <xf numFmtId="0" fontId="75" fillId="0" borderId="855" applyNumberFormat="0" applyFont="0" applyFill="0" applyAlignment="0" applyProtection="0"/>
    <xf numFmtId="186" fontId="146" fillId="3" borderId="905">
      <alignment horizontal="left"/>
    </xf>
    <xf numFmtId="186" fontId="146" fillId="3" borderId="857">
      <alignment horizontal="left"/>
    </xf>
    <xf numFmtId="186" fontId="140" fillId="3" borderId="858">
      <alignment horizontal="center" vertical="center"/>
    </xf>
    <xf numFmtId="0" fontId="2" fillId="0" borderId="859" applyNumberFormat="0" applyAlignment="0" applyProtection="0"/>
    <xf numFmtId="0" fontId="25" fillId="10" borderId="861" applyNumberFormat="0" applyProtection="0">
      <alignment horizontal="left" vertical="top"/>
    </xf>
    <xf numFmtId="0" fontId="25" fillId="10" borderId="862" applyNumberFormat="0" applyProtection="0">
      <alignment horizontal="left" vertical="top"/>
    </xf>
    <xf numFmtId="0" fontId="78" fillId="14" borderId="856" applyFont="0" applyFill="0" applyBorder="0" applyAlignment="0" applyProtection="0"/>
    <xf numFmtId="0" fontId="78" fillId="14" borderId="880" applyFont="0" applyFill="0" applyBorder="0" applyAlignment="0" applyProtection="0"/>
    <xf numFmtId="0" fontId="214" fillId="0" borderId="884" applyNumberFormat="0" applyFont="0" applyFill="0" applyAlignment="0" applyProtection="0"/>
    <xf numFmtId="186" fontId="146" fillId="3" borderId="890" applyBorder="0">
      <alignment horizontal="left" vertical="center"/>
    </xf>
    <xf numFmtId="0" fontId="166" fillId="0" borderId="890">
      <alignment horizontal="center"/>
    </xf>
    <xf numFmtId="254" fontId="240" fillId="0" borderId="866" applyBorder="0" applyProtection="0">
      <alignment horizontal="right" vertical="center"/>
    </xf>
    <xf numFmtId="222" fontId="79" fillId="0" borderId="865" applyBorder="0"/>
    <xf numFmtId="0" fontId="25" fillId="10" borderId="910" applyNumberFormat="0" applyProtection="0">
      <alignment horizontal="left" vertical="top"/>
    </xf>
    <xf numFmtId="246" fontId="249" fillId="0" borderId="854" applyFill="0" applyProtection="0">
      <alignment horizontal="center"/>
    </xf>
    <xf numFmtId="0" fontId="25" fillId="10" borderId="886" applyNumberFormat="0" applyProtection="0">
      <alignment horizontal="left" vertical="top"/>
    </xf>
    <xf numFmtId="186" fontId="146" fillId="3" borderId="881">
      <alignment horizontal="left"/>
    </xf>
    <xf numFmtId="0" fontId="25" fillId="10" borderId="887" applyNumberFormat="0" applyProtection="0">
      <alignment horizontal="left" vertical="top"/>
    </xf>
    <xf numFmtId="186" fontId="140" fillId="3" borderId="882">
      <alignment horizontal="center" vertical="center"/>
    </xf>
    <xf numFmtId="222" fontId="79" fillId="0" borderId="889" applyBorder="0"/>
    <xf numFmtId="248" fontId="46" fillId="0" borderId="890"/>
    <xf numFmtId="264" fontId="12" fillId="14" borderId="854" applyFont="0" applyFill="0" applyBorder="0" applyAlignment="0" applyProtection="0">
      <alignment horizontal="right"/>
    </xf>
    <xf numFmtId="0" fontId="166" fillId="0" borderId="854">
      <alignment horizontal="center"/>
    </xf>
    <xf numFmtId="0" fontId="25" fillId="10" borderId="864" applyNumberFormat="0" applyProtection="0">
      <alignment horizontal="left" vertical="top"/>
    </xf>
    <xf numFmtId="0" fontId="25" fillId="10" borderId="862" applyNumberFormat="0" applyProtection="0">
      <alignment horizontal="left" vertical="top"/>
    </xf>
    <xf numFmtId="0" fontId="25" fillId="10" borderId="861" applyNumberFormat="0" applyProtection="0">
      <alignment horizontal="left" vertical="top"/>
    </xf>
    <xf numFmtId="0" fontId="25" fillId="10" borderId="864" applyNumberFormat="0" applyProtection="0">
      <alignment horizontal="left" vertical="top"/>
    </xf>
    <xf numFmtId="0" fontId="214" fillId="0" borderId="860" applyNumberFormat="0" applyFont="0" applyFill="0" applyAlignment="0" applyProtection="0"/>
    <xf numFmtId="0" fontId="2" fillId="0" borderId="859" applyNumberFormat="0" applyAlignment="0" applyProtection="0"/>
    <xf numFmtId="186" fontId="146" fillId="3" borderId="857">
      <alignment horizontal="left"/>
    </xf>
    <xf numFmtId="0" fontId="75" fillId="0" borderId="855" applyNumberFormat="0" applyFont="0" applyFill="0" applyAlignment="0" applyProtection="0"/>
    <xf numFmtId="0" fontId="25" fillId="10" borderId="4726" applyNumberFormat="0" applyProtection="0">
      <alignment horizontal="left" vertical="top"/>
    </xf>
    <xf numFmtId="0" fontId="25" fillId="10" borderId="1414" applyNumberFormat="0" applyProtection="0">
      <alignment horizontal="left" vertical="top"/>
    </xf>
    <xf numFmtId="0" fontId="166" fillId="0" borderId="2093">
      <alignment horizontal="center"/>
    </xf>
    <xf numFmtId="0" fontId="2" fillId="0" borderId="2137" applyNumberFormat="0" applyAlignment="0" applyProtection="0"/>
    <xf numFmtId="186" fontId="146" fillId="3" borderId="1250" applyBorder="0">
      <alignment horizontal="left" vertical="center"/>
    </xf>
    <xf numFmtId="0" fontId="25" fillId="10" borderId="2072" applyNumberFormat="0" applyProtection="0">
      <alignment horizontal="left" vertical="top"/>
    </xf>
    <xf numFmtId="0" fontId="25" fillId="10" borderId="1257" applyNumberFormat="0" applyProtection="0">
      <alignment horizontal="left" vertical="top"/>
    </xf>
    <xf numFmtId="0" fontId="25" fillId="10" borderId="1259" applyNumberFormat="0" applyProtection="0">
      <alignment horizontal="left" vertical="top"/>
    </xf>
    <xf numFmtId="0" fontId="113" fillId="0" borderId="1250" applyNumberFormat="0" applyFill="0" applyAlignment="0" applyProtection="0"/>
    <xf numFmtId="0" fontId="165" fillId="0" borderId="1250" applyFill="0" applyProtection="0">
      <alignment horizontal="center"/>
    </xf>
    <xf numFmtId="0" fontId="25" fillId="10" borderId="1259" applyNumberFormat="0" applyProtection="0">
      <alignment horizontal="left" vertical="top"/>
    </xf>
    <xf numFmtId="248" fontId="46" fillId="0" borderId="1250"/>
    <xf numFmtId="0" fontId="2" fillId="0" borderId="1255" applyNumberFormat="0" applyAlignment="0" applyProtection="0"/>
    <xf numFmtId="254" fontId="240" fillId="0" borderId="1178" applyBorder="0" applyProtection="0">
      <alignment horizontal="right" vertical="center"/>
    </xf>
    <xf numFmtId="0" fontId="25" fillId="10" borderId="1257" applyNumberFormat="0" applyProtection="0">
      <alignment horizontal="left" vertical="top"/>
    </xf>
    <xf numFmtId="254" fontId="240" fillId="0" borderId="1214" applyBorder="0" applyProtection="0">
      <alignment horizontal="right" vertical="center"/>
    </xf>
    <xf numFmtId="0" fontId="101" fillId="0" borderId="1238" applyBorder="0"/>
    <xf numFmtId="0" fontId="12" fillId="0" borderId="4729" applyNumberFormat="0" applyFill="0" applyBorder="0" applyAlignment="0" applyProtection="0"/>
    <xf numFmtId="186" fontId="146" fillId="3" borderId="1178" applyBorder="0">
      <alignment horizontal="left" vertical="center"/>
    </xf>
    <xf numFmtId="0" fontId="12" fillId="0" borderId="890" applyNumberFormat="0" applyFill="0" applyBorder="0" applyAlignment="0" applyProtection="0">
      <alignment horizontal="center"/>
    </xf>
    <xf numFmtId="248" fontId="46" fillId="0" borderId="854"/>
    <xf numFmtId="0" fontId="210" fillId="0" borderId="914" applyNumberFormat="0" applyFill="0" applyBorder="0" applyAlignment="0">
      <protection locked="0"/>
    </xf>
    <xf numFmtId="186" fontId="140" fillId="3" borderId="894">
      <alignment horizontal="center" vertical="center"/>
    </xf>
    <xf numFmtId="180" fontId="9" fillId="3" borderId="854">
      <alignment horizontal="right" vertical="center"/>
    </xf>
    <xf numFmtId="0" fontId="25" fillId="10" borderId="862" applyNumberFormat="0" applyProtection="0">
      <alignment horizontal="left" vertical="top"/>
    </xf>
    <xf numFmtId="222" fontId="79" fillId="0" borderId="865" applyBorder="0"/>
    <xf numFmtId="0" fontId="12" fillId="0" borderId="854" applyNumberFormat="0" applyFill="0" applyBorder="0" applyAlignment="0" applyProtection="0">
      <alignment horizontal="center"/>
    </xf>
    <xf numFmtId="0" fontId="165" fillId="0" borderId="914" applyFill="0" applyProtection="0">
      <alignment horizontal="center"/>
    </xf>
    <xf numFmtId="222" fontId="79" fillId="0" borderId="769" applyBorder="0"/>
    <xf numFmtId="0" fontId="101" fillId="0" borderId="770" applyBorder="0"/>
    <xf numFmtId="222" fontId="79" fillId="0" borderId="769" applyBorder="0"/>
    <xf numFmtId="0" fontId="113" fillId="0" borderId="770" applyNumberFormat="0" applyFill="0" applyAlignment="0" applyProtection="0"/>
    <xf numFmtId="0" fontId="12" fillId="0" borderId="770" applyNumberFormat="0" applyFill="0" applyBorder="0" applyAlignment="0" applyProtection="0">
      <alignment horizontal="center"/>
    </xf>
    <xf numFmtId="248" fontId="46" fillId="0" borderId="770"/>
    <xf numFmtId="186" fontId="140" fillId="3" borderId="918">
      <alignment horizontal="center" vertical="center"/>
    </xf>
    <xf numFmtId="0" fontId="75" fillId="0" borderId="915" applyNumberFormat="0" applyFont="0" applyFill="0" applyAlignment="0" applyProtection="0"/>
    <xf numFmtId="192" fontId="9" fillId="3" borderId="770">
      <alignment horizontal="right" vertical="center"/>
    </xf>
    <xf numFmtId="180" fontId="9" fillId="3" borderId="770">
      <alignment horizontal="right" vertical="center"/>
    </xf>
    <xf numFmtId="186" fontId="146" fillId="3" borderId="770" applyBorder="0">
      <alignment horizontal="left" vertical="center"/>
    </xf>
    <xf numFmtId="0" fontId="165" fillId="0" borderId="914" applyFill="0" applyProtection="0">
      <alignment horizontal="center"/>
    </xf>
    <xf numFmtId="0" fontId="101" fillId="0" borderId="854" applyBorder="0"/>
    <xf numFmtId="222" fontId="79" fillId="0" borderId="865" applyBorder="0"/>
    <xf numFmtId="0" fontId="165" fillId="0" borderId="770" applyFill="0" applyProtection="0">
      <alignment horizontal="center"/>
    </xf>
    <xf numFmtId="0" fontId="166" fillId="0" borderId="770">
      <alignment horizontal="center"/>
    </xf>
    <xf numFmtId="222" fontId="79" fillId="0" borderId="865" applyBorder="0"/>
    <xf numFmtId="264" fontId="12" fillId="14" borderId="770" applyFont="0" applyFill="0" applyBorder="0" applyAlignment="0" applyProtection="0">
      <alignment horizontal="right"/>
    </xf>
    <xf numFmtId="0" fontId="25" fillId="10" borderId="909" applyNumberFormat="0" applyProtection="0">
      <alignment horizontal="left" vertical="top"/>
    </xf>
    <xf numFmtId="0" fontId="101" fillId="0" borderId="914" applyBorder="0"/>
    <xf numFmtId="186" fontId="146" fillId="3" borderId="914" applyBorder="0">
      <alignment horizontal="left" vertical="center"/>
    </xf>
    <xf numFmtId="0" fontId="210" fillId="0" borderId="770" applyNumberFormat="0" applyFill="0" applyBorder="0" applyAlignment="0">
      <protection locked="0"/>
    </xf>
    <xf numFmtId="222" fontId="79" fillId="0" borderId="865" applyBorder="0"/>
    <xf numFmtId="254" fontId="240" fillId="0" borderId="770" applyBorder="0" applyProtection="0">
      <alignment horizontal="right" vertical="center"/>
    </xf>
    <xf numFmtId="0" fontId="241" fillId="94" borderId="770" applyBorder="0" applyProtection="0">
      <alignment horizontal="centerContinuous" vertical="center"/>
    </xf>
    <xf numFmtId="246" fontId="249" fillId="0" borderId="770" applyFill="0" applyProtection="0">
      <alignment horizontal="center"/>
    </xf>
    <xf numFmtId="246" fontId="250" fillId="0" borderId="770" applyFill="0" applyProtection="0">
      <alignment horizontal="center"/>
    </xf>
    <xf numFmtId="0" fontId="2" fillId="0" borderId="883" applyNumberFormat="0" applyAlignment="0" applyProtection="0"/>
    <xf numFmtId="222" fontId="79" fillId="0" borderId="865" applyBorder="0"/>
    <xf numFmtId="186" fontId="146" fillId="3" borderId="857">
      <alignment horizontal="left"/>
    </xf>
    <xf numFmtId="254" fontId="240" fillId="0" borderId="890" applyBorder="0" applyProtection="0">
      <alignment horizontal="right" vertical="center"/>
    </xf>
    <xf numFmtId="0" fontId="25" fillId="10" borderId="897" applyNumberFormat="0" applyProtection="0">
      <alignment horizontal="left" vertical="top"/>
    </xf>
    <xf numFmtId="186" fontId="146" fillId="3" borderId="914" applyBorder="0">
      <alignment horizontal="left" vertical="center"/>
    </xf>
    <xf numFmtId="0" fontId="210" fillId="0" borderId="914" applyNumberFormat="0" applyFill="0" applyBorder="0" applyAlignment="0">
      <protection locked="0"/>
    </xf>
    <xf numFmtId="0" fontId="241" fillId="94" borderId="902" applyBorder="0" applyProtection="0">
      <alignment horizontal="centerContinuous" vertical="center"/>
    </xf>
    <xf numFmtId="0" fontId="214" fillId="0" borderId="872" applyNumberFormat="0" applyFont="0" applyFill="0" applyAlignment="0" applyProtection="0"/>
    <xf numFmtId="186" fontId="140" fillId="3" borderId="858">
      <alignment horizontal="center" vertical="center"/>
    </xf>
    <xf numFmtId="180" fontId="9" fillId="3" borderId="2063">
      <alignment horizontal="right" vertical="center"/>
    </xf>
    <xf numFmtId="264" fontId="12" fillId="14" borderId="866" applyFont="0" applyFill="0" applyBorder="0" applyAlignment="0" applyProtection="0">
      <alignment horizontal="right"/>
    </xf>
    <xf numFmtId="0" fontId="78" fillId="14" borderId="772" applyFont="0" applyFill="0" applyBorder="0" applyAlignment="0" applyProtection="0"/>
    <xf numFmtId="0" fontId="25" fillId="10" borderId="780" applyNumberFormat="0" applyProtection="0">
      <alignment horizontal="left" vertical="top"/>
    </xf>
    <xf numFmtId="0" fontId="25" fillId="10" borderId="779" applyNumberFormat="0" applyProtection="0">
      <alignment horizontal="left" vertical="top"/>
    </xf>
    <xf numFmtId="0" fontId="25" fillId="10" borderId="778" applyNumberFormat="0" applyProtection="0">
      <alignment horizontal="left" vertical="top"/>
    </xf>
    <xf numFmtId="0" fontId="25" fillId="10" borderId="777" applyNumberFormat="0" applyProtection="0">
      <alignment horizontal="left" vertical="top"/>
    </xf>
    <xf numFmtId="0" fontId="214" fillId="0" borderId="776" applyNumberFormat="0" applyFont="0" applyFill="0" applyAlignment="0" applyProtection="0"/>
    <xf numFmtId="0" fontId="2" fillId="0" borderId="775" applyNumberFormat="0" applyAlignment="0" applyProtection="0"/>
    <xf numFmtId="0" fontId="75" fillId="0" borderId="903" applyNumberFormat="0" applyFont="0" applyFill="0" applyAlignment="0" applyProtection="0"/>
    <xf numFmtId="186" fontId="140" fillId="3" borderId="774">
      <alignment horizontal="center" vertical="center"/>
    </xf>
    <xf numFmtId="186" fontId="146" fillId="3" borderId="773">
      <alignment horizontal="left"/>
    </xf>
    <xf numFmtId="180" fontId="9" fillId="3" borderId="914">
      <alignment horizontal="right" vertical="center"/>
    </xf>
    <xf numFmtId="0" fontId="75" fillId="0" borderId="771" applyNumberFormat="0" applyFont="0" applyFill="0" applyAlignment="0" applyProtection="0"/>
    <xf numFmtId="186" fontId="146" fillId="3" borderId="866" applyBorder="0">
      <alignment horizontal="left" vertical="center"/>
    </xf>
    <xf numFmtId="222" fontId="79" fillId="0" borderId="781" applyBorder="0"/>
    <xf numFmtId="0" fontId="101" fillId="0" borderId="782" applyBorder="0"/>
    <xf numFmtId="222" fontId="79" fillId="0" borderId="781" applyBorder="0"/>
    <xf numFmtId="0" fontId="113" fillId="0" borderId="782" applyNumberFormat="0" applyFill="0" applyAlignment="0" applyProtection="0"/>
    <xf numFmtId="0" fontId="12" fillId="0" borderId="782" applyNumberFormat="0" applyFill="0" applyBorder="0" applyAlignment="0" applyProtection="0">
      <alignment horizontal="center"/>
    </xf>
    <xf numFmtId="248" fontId="46" fillId="0" borderId="782"/>
    <xf numFmtId="186" fontId="146" fillId="3" borderId="917">
      <alignment horizontal="left"/>
    </xf>
    <xf numFmtId="0" fontId="113" fillId="0" borderId="914" applyNumberFormat="0" applyFill="0" applyAlignment="0" applyProtection="0"/>
    <xf numFmtId="192" fontId="9" fillId="3" borderId="782">
      <alignment horizontal="right" vertical="center"/>
    </xf>
    <xf numFmtId="180" fontId="9" fillId="3" borderId="782">
      <alignment horizontal="right" vertical="center"/>
    </xf>
    <xf numFmtId="186" fontId="146" fillId="3" borderId="782" applyBorder="0">
      <alignment horizontal="left" vertical="center"/>
    </xf>
    <xf numFmtId="0" fontId="165" fillId="0" borderId="782" applyFill="0" applyProtection="0">
      <alignment horizontal="center"/>
    </xf>
    <xf numFmtId="0" fontId="166" fillId="0" borderId="782">
      <alignment horizontal="center"/>
    </xf>
    <xf numFmtId="264" fontId="12" fillId="14" borderId="782" applyFont="0" applyFill="0" applyBorder="0" applyAlignment="0" applyProtection="0">
      <alignment horizontal="right"/>
    </xf>
    <xf numFmtId="0" fontId="210" fillId="0" borderId="782" applyNumberFormat="0" applyFill="0" applyBorder="0" applyAlignment="0">
      <protection locked="0"/>
    </xf>
    <xf numFmtId="254" fontId="240" fillId="0" borderId="782" applyBorder="0" applyProtection="0">
      <alignment horizontal="right" vertical="center"/>
    </xf>
    <xf numFmtId="0" fontId="241" fillId="94" borderId="782" applyBorder="0" applyProtection="0">
      <alignment horizontal="centerContinuous" vertical="center"/>
    </xf>
    <xf numFmtId="246" fontId="249" fillId="0" borderId="782" applyFill="0" applyProtection="0">
      <alignment horizontal="center"/>
    </xf>
    <xf numFmtId="246" fontId="250" fillId="0" borderId="782" applyFill="0" applyProtection="0">
      <alignment horizontal="center"/>
    </xf>
    <xf numFmtId="0" fontId="166" fillId="0" borderId="866">
      <alignment horizontal="center"/>
    </xf>
    <xf numFmtId="192" fontId="9" fillId="3" borderId="866">
      <alignment horizontal="right" vertical="center"/>
    </xf>
    <xf numFmtId="248" fontId="46" fillId="0" borderId="866"/>
    <xf numFmtId="0" fontId="12" fillId="0" borderId="866" applyNumberFormat="0" applyFill="0" applyBorder="0" applyAlignment="0" applyProtection="0">
      <alignment horizontal="center"/>
    </xf>
    <xf numFmtId="0" fontId="113" fillId="0" borderId="866" applyNumberFormat="0" applyFill="0" applyAlignment="0" applyProtection="0"/>
    <xf numFmtId="222" fontId="79" fillId="0" borderId="865" applyBorder="0"/>
    <xf numFmtId="0" fontId="101" fillId="0" borderId="866" applyBorder="0"/>
    <xf numFmtId="186" fontId="146" fillId="3" borderId="857">
      <alignment horizontal="left"/>
    </xf>
    <xf numFmtId="0" fontId="113" fillId="0" borderId="914" applyNumberFormat="0" applyFill="0" applyAlignment="0" applyProtection="0"/>
    <xf numFmtId="0" fontId="25" fillId="10" borderId="861" applyNumberFormat="0" applyProtection="0">
      <alignment horizontal="left" vertical="top"/>
    </xf>
    <xf numFmtId="186" fontId="140" fillId="3" borderId="918">
      <alignment horizontal="center" vertical="center"/>
    </xf>
    <xf numFmtId="0" fontId="25" fillId="10" borderId="924" applyNumberFormat="0" applyProtection="0">
      <alignment horizontal="left" vertical="top"/>
    </xf>
    <xf numFmtId="0" fontId="2" fillId="0" borderId="919" applyNumberFormat="0" applyAlignment="0" applyProtection="0"/>
    <xf numFmtId="0" fontId="101" fillId="0" borderId="890" applyBorder="0"/>
    <xf numFmtId="0" fontId="214" fillId="0" borderId="860" applyNumberFormat="0" applyFont="0" applyFill="0" applyAlignment="0" applyProtection="0"/>
    <xf numFmtId="186" fontId="146" fillId="3" borderId="917">
      <alignment horizontal="left"/>
    </xf>
    <xf numFmtId="0" fontId="25" fillId="10" borderId="921" applyNumberFormat="0" applyProtection="0">
      <alignment horizontal="left" vertical="top"/>
    </xf>
    <xf numFmtId="0" fontId="25" fillId="10" borderId="923" applyNumberFormat="0" applyProtection="0">
      <alignment horizontal="left" vertical="top"/>
    </xf>
    <xf numFmtId="0" fontId="25" fillId="10" borderId="922" applyNumberFormat="0" applyProtection="0">
      <alignment horizontal="left" vertical="top"/>
    </xf>
    <xf numFmtId="0" fontId="214" fillId="0" borderId="920" applyNumberFormat="0" applyFont="0" applyFill="0" applyAlignment="0" applyProtection="0"/>
    <xf numFmtId="0" fontId="210" fillId="0" borderId="914" applyNumberFormat="0" applyFill="0" applyBorder="0" applyAlignment="0">
      <protection locked="0"/>
    </xf>
    <xf numFmtId="254" fontId="240" fillId="0" borderId="854" applyBorder="0" applyProtection="0">
      <alignment horizontal="right" vertical="center"/>
    </xf>
    <xf numFmtId="246" fontId="249" fillId="0" borderId="854" applyFill="0" applyProtection="0">
      <alignment horizontal="center"/>
    </xf>
    <xf numFmtId="0" fontId="214" fillId="0" borderId="860" applyNumberFormat="0" applyFont="0" applyFill="0" applyAlignment="0" applyProtection="0"/>
    <xf numFmtId="0" fontId="166" fillId="0" borderId="914">
      <alignment horizontal="center"/>
    </xf>
    <xf numFmtId="222" fontId="79" fillId="0" borderId="865" applyBorder="0"/>
    <xf numFmtId="0" fontId="12" fillId="0" borderId="914" applyNumberFormat="0" applyFill="0" applyBorder="0" applyAlignment="0" applyProtection="0">
      <alignment horizontal="center"/>
    </xf>
    <xf numFmtId="180" fontId="9" fillId="3" borderId="50">
      <alignment horizontal="right" vertical="center"/>
    </xf>
    <xf numFmtId="190" fontId="25" fillId="10" borderId="899" applyNumberFormat="0" applyProtection="0">
      <alignment horizontal="left" vertical="top"/>
    </xf>
    <xf numFmtId="246" fontId="250" fillId="0" borderId="1178" applyFill="0" applyProtection="0">
      <alignment horizontal="center"/>
    </xf>
    <xf numFmtId="222" fontId="79" fillId="0" borderId="913" applyBorder="0"/>
    <xf numFmtId="192" fontId="9" fillId="3" borderId="914">
      <alignment horizontal="right" vertical="center"/>
    </xf>
    <xf numFmtId="186" fontId="146" fillId="3" borderId="785">
      <alignment horizontal="left"/>
    </xf>
    <xf numFmtId="0" fontId="75" fillId="0" borderId="783" applyNumberFormat="0" applyFont="0" applyFill="0" applyAlignment="0" applyProtection="0"/>
    <xf numFmtId="0" fontId="25" fillId="10" borderId="861" applyNumberFormat="0" applyProtection="0">
      <alignment horizontal="left" vertical="top"/>
    </xf>
    <xf numFmtId="0" fontId="75" fillId="0" borderId="855" applyNumberFormat="0" applyFont="0" applyFill="0" applyAlignment="0" applyProtection="0"/>
    <xf numFmtId="0" fontId="25" fillId="10" borderId="888" applyNumberFormat="0" applyProtection="0">
      <alignment horizontal="left" vertical="top"/>
    </xf>
    <xf numFmtId="0" fontId="113" fillId="0" borderId="866" applyNumberFormat="0" applyFill="0" applyAlignment="0" applyProtection="0"/>
    <xf numFmtId="264" fontId="12" fillId="14" borderId="866" applyFont="0" applyFill="0" applyBorder="0" applyAlignment="0" applyProtection="0">
      <alignment horizontal="right"/>
    </xf>
    <xf numFmtId="246" fontId="249" fillId="0" borderId="866" applyFill="0" applyProtection="0">
      <alignment horizontal="center"/>
    </xf>
    <xf numFmtId="0" fontId="25" fillId="10" borderId="792" applyNumberFormat="0" applyProtection="0">
      <alignment horizontal="left" vertical="top"/>
    </xf>
    <xf numFmtId="0" fontId="25" fillId="10" borderId="790" applyNumberFormat="0" applyProtection="0">
      <alignment horizontal="left" vertical="top"/>
    </xf>
    <xf numFmtId="0" fontId="25" fillId="10" borderId="791" applyNumberFormat="0" applyProtection="0">
      <alignment horizontal="left" vertical="top"/>
    </xf>
    <xf numFmtId="0" fontId="25" fillId="10" borderId="789" applyNumberFormat="0" applyProtection="0">
      <alignment horizontal="left" vertical="top"/>
    </xf>
    <xf numFmtId="0" fontId="25" fillId="10" borderId="792" applyNumberFormat="0" applyProtection="0">
      <alignment horizontal="left" vertical="top"/>
    </xf>
    <xf numFmtId="0" fontId="25" fillId="10" borderId="791" applyNumberFormat="0" applyProtection="0">
      <alignment horizontal="left" vertical="top"/>
    </xf>
    <xf numFmtId="0" fontId="25" fillId="10" borderId="790" applyNumberFormat="0" applyProtection="0">
      <alignment horizontal="left" vertical="top"/>
    </xf>
    <xf numFmtId="0" fontId="25" fillId="10" borderId="789" applyNumberFormat="0" applyProtection="0">
      <alignment horizontal="left" vertical="top"/>
    </xf>
    <xf numFmtId="0" fontId="214" fillId="0" borderId="788" applyNumberFormat="0" applyFont="0" applyFill="0" applyAlignment="0" applyProtection="0"/>
    <xf numFmtId="0" fontId="2" fillId="0" borderId="787" applyNumberFormat="0" applyAlignment="0" applyProtection="0"/>
    <xf numFmtId="186" fontId="140" fillId="3" borderId="786">
      <alignment horizontal="center" vertical="center"/>
    </xf>
    <xf numFmtId="186" fontId="140" fillId="3" borderId="798">
      <alignment horizontal="center" vertical="center"/>
    </xf>
    <xf numFmtId="0" fontId="25" fillId="10" borderId="801" applyNumberFormat="0" applyProtection="0">
      <alignment horizontal="left" vertical="top"/>
    </xf>
    <xf numFmtId="0" fontId="12" fillId="0" borderId="866" applyNumberFormat="0" applyFill="0" applyBorder="0" applyAlignment="0" applyProtection="0">
      <alignment horizontal="center"/>
    </xf>
    <xf numFmtId="0" fontId="25" fillId="10" borderId="863" applyNumberFormat="0" applyProtection="0">
      <alignment horizontal="left" vertical="top"/>
    </xf>
    <xf numFmtId="222" fontId="79" fillId="0" borderId="853" applyBorder="0"/>
    <xf numFmtId="0" fontId="78" fillId="14" borderId="856" applyFont="0" applyFill="0" applyBorder="0" applyAlignment="0" applyProtection="0"/>
    <xf numFmtId="222" fontId="79" fillId="0" borderId="865" applyBorder="0"/>
    <xf numFmtId="0" fontId="101" fillId="0" borderId="866" applyBorder="0"/>
    <xf numFmtId="222" fontId="79" fillId="0" borderId="865" applyBorder="0"/>
    <xf numFmtId="248" fontId="46" fillId="0" borderId="866"/>
    <xf numFmtId="192" fontId="9" fillId="3" borderId="866">
      <alignment horizontal="right" vertical="center"/>
    </xf>
    <xf numFmtId="180" fontId="9" fillId="3" borderId="866">
      <alignment horizontal="right" vertical="center"/>
    </xf>
    <xf numFmtId="186" fontId="146" fillId="3" borderId="866" applyBorder="0">
      <alignment horizontal="left" vertical="center"/>
    </xf>
    <xf numFmtId="0" fontId="165" fillId="0" borderId="866" applyFill="0" applyProtection="0">
      <alignment horizontal="center"/>
    </xf>
    <xf numFmtId="0" fontId="210" fillId="0" borderId="866" applyNumberFormat="0" applyFill="0" applyBorder="0" applyAlignment="0">
      <protection locked="0"/>
    </xf>
    <xf numFmtId="254" fontId="240" fillId="0" borderId="866" applyBorder="0" applyProtection="0">
      <alignment horizontal="right" vertical="center"/>
    </xf>
    <xf numFmtId="246" fontId="250" fillId="0" borderId="866" applyFill="0" applyProtection="0">
      <alignment horizontal="center"/>
    </xf>
    <xf numFmtId="222" fontId="79" fillId="0" borderId="805" applyBorder="0"/>
    <xf numFmtId="0" fontId="25" fillId="10" borderId="802" applyNumberFormat="0" applyProtection="0">
      <alignment horizontal="left" vertical="top"/>
    </xf>
    <xf numFmtId="0" fontId="25" fillId="10" borderId="804" applyNumberFormat="0" applyProtection="0">
      <alignment horizontal="left" vertical="top"/>
    </xf>
    <xf numFmtId="0" fontId="25" fillId="10" borderId="801" applyNumberFormat="0" applyProtection="0">
      <alignment horizontal="left" vertical="top"/>
    </xf>
    <xf numFmtId="0" fontId="25" fillId="10" borderId="802" applyNumberFormat="0" applyProtection="0">
      <alignment horizontal="left" vertical="top"/>
    </xf>
    <xf numFmtId="0" fontId="25" fillId="10" borderId="803" applyNumberFormat="0" applyProtection="0">
      <alignment horizontal="left" vertical="top"/>
    </xf>
    <xf numFmtId="0" fontId="75" fillId="0" borderId="807" applyNumberFormat="0" applyFont="0" applyFill="0" applyAlignment="0" applyProtection="0"/>
    <xf numFmtId="0" fontId="101" fillId="0" borderId="818" applyBorder="0"/>
    <xf numFmtId="222" fontId="79" fillId="0" borderId="817" applyBorder="0"/>
    <xf numFmtId="0" fontId="113" fillId="0" borderId="818" applyNumberFormat="0" applyFill="0" applyAlignment="0" applyProtection="0"/>
    <xf numFmtId="0" fontId="12" fillId="0" borderId="818" applyNumberFormat="0" applyFill="0" applyBorder="0" applyAlignment="0" applyProtection="0">
      <alignment horizontal="center"/>
    </xf>
    <xf numFmtId="248" fontId="46" fillId="0" borderId="818"/>
    <xf numFmtId="192" fontId="9" fillId="3" borderId="818">
      <alignment horizontal="right" vertical="center"/>
    </xf>
    <xf numFmtId="180" fontId="9" fillId="3" borderId="818">
      <alignment horizontal="right" vertical="center"/>
    </xf>
    <xf numFmtId="186" fontId="146" fillId="3" borderId="818" applyBorder="0">
      <alignment horizontal="left" vertical="center"/>
    </xf>
    <xf numFmtId="0" fontId="166" fillId="0" borderId="818">
      <alignment horizontal="center"/>
    </xf>
    <xf numFmtId="0" fontId="210" fillId="0" borderId="818" applyNumberFormat="0" applyFill="0" applyBorder="0" applyAlignment="0">
      <protection locked="0"/>
    </xf>
    <xf numFmtId="264" fontId="12" fillId="14" borderId="818" applyFont="0" applyFill="0" applyBorder="0" applyAlignment="0" applyProtection="0">
      <alignment horizontal="right"/>
    </xf>
    <xf numFmtId="246" fontId="249" fillId="0" borderId="818" applyFill="0" applyProtection="0">
      <alignment horizontal="center"/>
    </xf>
    <xf numFmtId="246" fontId="250" fillId="0" borderId="818" applyFill="0" applyProtection="0">
      <alignment horizontal="center"/>
    </xf>
    <xf numFmtId="246" fontId="250" fillId="0" borderId="842" applyFill="0" applyProtection="0">
      <alignment horizontal="center"/>
    </xf>
    <xf numFmtId="246" fontId="249" fillId="0" borderId="842" applyFill="0" applyProtection="0">
      <alignment horizontal="center"/>
    </xf>
    <xf numFmtId="254" fontId="240" fillId="0" borderId="842" applyBorder="0" applyProtection="0">
      <alignment horizontal="right" vertical="center"/>
    </xf>
    <xf numFmtId="264" fontId="12" fillId="14" borderId="842" applyFont="0" applyFill="0" applyBorder="0" applyAlignment="0" applyProtection="0">
      <alignment horizontal="right"/>
    </xf>
    <xf numFmtId="0" fontId="165" fillId="0" borderId="842" applyFill="0" applyProtection="0">
      <alignment horizontal="center"/>
    </xf>
    <xf numFmtId="180" fontId="9" fillId="3" borderId="842">
      <alignment horizontal="right" vertical="center"/>
    </xf>
    <xf numFmtId="0" fontId="12" fillId="0" borderId="842" applyNumberFormat="0" applyFill="0" applyBorder="0" applyAlignment="0" applyProtection="0">
      <alignment horizontal="center"/>
    </xf>
    <xf numFmtId="0" fontId="101" fillId="0" borderId="842" applyBorder="0"/>
    <xf numFmtId="222" fontId="79" fillId="0" borderId="841" applyBorder="0"/>
    <xf numFmtId="0" fontId="75" fillId="0" borderId="831" applyNumberFormat="0" applyFont="0" applyFill="0" applyAlignment="0" applyProtection="0"/>
    <xf numFmtId="0" fontId="2" fillId="0" borderId="835" applyNumberFormat="0" applyAlignment="0" applyProtection="0"/>
    <xf numFmtId="0" fontId="25" fillId="10" borderId="837" applyNumberFormat="0" applyProtection="0">
      <alignment horizontal="left" vertical="top"/>
    </xf>
    <xf numFmtId="0" fontId="25" fillId="10" borderId="840" applyNumberFormat="0" applyProtection="0">
      <alignment horizontal="left" vertical="top"/>
    </xf>
    <xf numFmtId="222" fontId="79" fillId="0" borderId="829" applyBorder="0"/>
    <xf numFmtId="0" fontId="25" fillId="10" borderId="815" applyNumberFormat="0" applyProtection="0">
      <alignment horizontal="left" vertical="top"/>
    </xf>
    <xf numFmtId="0" fontId="25" fillId="10" borderId="813" applyNumberFormat="0" applyProtection="0">
      <alignment horizontal="left" vertical="top"/>
    </xf>
    <xf numFmtId="0" fontId="214" fillId="0" borderId="812" applyNumberFormat="0" applyFont="0" applyFill="0" applyAlignment="0" applyProtection="0"/>
    <xf numFmtId="186" fontId="146" fillId="3" borderId="809">
      <alignment horizontal="left"/>
    </xf>
    <xf numFmtId="222" fontId="79" fillId="0" borderId="817" applyBorder="0"/>
    <xf numFmtId="222" fontId="79" fillId="0" borderId="913" applyBorder="0"/>
    <xf numFmtId="186" fontId="140" fillId="3" borderId="858">
      <alignment horizontal="center" vertical="center"/>
    </xf>
    <xf numFmtId="222" fontId="79" fillId="0" borderId="877" applyBorder="0"/>
    <xf numFmtId="0" fontId="101" fillId="0" borderId="698" applyBorder="0"/>
    <xf numFmtId="0" fontId="113" fillId="0" borderId="698" applyNumberFormat="0" applyFill="0" applyAlignment="0" applyProtection="0"/>
    <xf numFmtId="0" fontId="12" fillId="0" borderId="698" applyNumberFormat="0" applyFill="0" applyBorder="0" applyAlignment="0" applyProtection="0">
      <alignment horizontal="center"/>
    </xf>
    <xf numFmtId="248" fontId="46" fillId="0" borderId="698"/>
    <xf numFmtId="192" fontId="9" fillId="3" borderId="698">
      <alignment horizontal="right" vertical="center"/>
    </xf>
    <xf numFmtId="180" fontId="9" fillId="3" borderId="698">
      <alignment horizontal="right" vertical="center"/>
    </xf>
    <xf numFmtId="186" fontId="146" fillId="3" borderId="698" applyBorder="0">
      <alignment horizontal="left" vertical="center"/>
    </xf>
    <xf numFmtId="0" fontId="165" fillId="0" borderId="698" applyFill="0" applyProtection="0">
      <alignment horizontal="center"/>
    </xf>
    <xf numFmtId="0" fontId="166" fillId="0" borderId="698">
      <alignment horizontal="center"/>
    </xf>
    <xf numFmtId="264" fontId="12" fillId="14" borderId="698" applyFont="0" applyFill="0" applyBorder="0" applyAlignment="0" applyProtection="0">
      <alignment horizontal="right"/>
    </xf>
    <xf numFmtId="0" fontId="210" fillId="0" borderId="698" applyNumberFormat="0" applyFill="0" applyBorder="0" applyAlignment="0">
      <protection locked="0"/>
    </xf>
    <xf numFmtId="222" fontId="79" fillId="0" borderId="913" applyBorder="0"/>
    <xf numFmtId="248" fontId="46" fillId="0" borderId="842"/>
    <xf numFmtId="222" fontId="79" fillId="0" borderId="841" applyBorder="0"/>
    <xf numFmtId="186" fontId="140" fillId="3" borderId="834">
      <alignment horizontal="center" vertical="center"/>
    </xf>
    <xf numFmtId="0" fontId="25" fillId="10" borderId="839" applyNumberFormat="0" applyProtection="0">
      <alignment horizontal="left" vertical="top"/>
    </xf>
    <xf numFmtId="0" fontId="210" fillId="0" borderId="842" applyNumberFormat="0" applyFill="0" applyBorder="0" applyAlignment="0">
      <protection locked="0"/>
    </xf>
    <xf numFmtId="192" fontId="9" fillId="3" borderId="842">
      <alignment horizontal="right" vertical="center"/>
    </xf>
    <xf numFmtId="0" fontId="113" fillId="0" borderId="842" applyNumberFormat="0" applyFill="0" applyAlignment="0" applyProtection="0"/>
    <xf numFmtId="186" fontId="146" fillId="3" borderId="833">
      <alignment horizontal="left"/>
    </xf>
    <xf numFmtId="0" fontId="25" fillId="10" borderId="838" applyNumberFormat="0" applyProtection="0">
      <alignment horizontal="left" vertical="top"/>
    </xf>
    <xf numFmtId="254" fontId="240" fillId="0" borderId="698" applyBorder="0" applyProtection="0">
      <alignment horizontal="right" vertical="center"/>
    </xf>
    <xf numFmtId="0" fontId="241" fillId="94" borderId="698" applyBorder="0" applyProtection="0">
      <alignment horizontal="centerContinuous" vertical="center"/>
    </xf>
    <xf numFmtId="246" fontId="249" fillId="0" borderId="698" applyFill="0" applyProtection="0">
      <alignment horizontal="center"/>
    </xf>
    <xf numFmtId="246" fontId="250" fillId="0" borderId="698" applyFill="0" applyProtection="0">
      <alignment horizontal="center"/>
    </xf>
    <xf numFmtId="0" fontId="75" fillId="0" borderId="879" applyNumberFormat="0" applyFont="0" applyFill="0" applyAlignment="0" applyProtection="0"/>
    <xf numFmtId="0" fontId="25" fillId="10" borderId="862" applyNumberFormat="0" applyProtection="0">
      <alignment horizontal="left" vertical="top"/>
    </xf>
    <xf numFmtId="0" fontId="25" fillId="10" borderId="864" applyNumberFormat="0" applyProtection="0">
      <alignment horizontal="left" vertical="top"/>
    </xf>
    <xf numFmtId="246" fontId="249" fillId="0" borderId="890" applyFill="0" applyProtection="0">
      <alignment horizontal="center"/>
    </xf>
    <xf numFmtId="222" fontId="79" fillId="0" borderId="793" applyBorder="0"/>
    <xf numFmtId="0" fontId="214" fillId="0" borderId="860" applyNumberFormat="0" applyFont="0" applyFill="0" applyAlignment="0" applyProtection="0"/>
    <xf numFmtId="0" fontId="75" fillId="0" borderId="795" applyNumberFormat="0" applyFont="0" applyFill="0" applyAlignment="0" applyProtection="0"/>
    <xf numFmtId="0" fontId="25" fillId="10" borderId="803" applyNumberFormat="0" applyProtection="0">
      <alignment horizontal="left" vertical="top"/>
    </xf>
    <xf numFmtId="0" fontId="25" fillId="10" borderId="804" applyNumberFormat="0" applyProtection="0">
      <alignment horizontal="left" vertical="top"/>
    </xf>
    <xf numFmtId="0" fontId="165" fillId="0" borderId="818" applyFill="0" applyProtection="0">
      <alignment horizontal="center"/>
    </xf>
    <xf numFmtId="254" fontId="240" fillId="0" borderId="818" applyBorder="0" applyProtection="0">
      <alignment horizontal="right" vertical="center"/>
    </xf>
    <xf numFmtId="0" fontId="241" fillId="94" borderId="818" applyBorder="0" applyProtection="0">
      <alignment horizontal="centerContinuous" vertical="center"/>
    </xf>
    <xf numFmtId="0" fontId="241" fillId="94" borderId="842" applyBorder="0" applyProtection="0">
      <alignment horizontal="centerContinuous" vertical="center"/>
    </xf>
    <xf numFmtId="0" fontId="166" fillId="0" borderId="842">
      <alignment horizontal="center"/>
    </xf>
    <xf numFmtId="186" fontId="146" fillId="3" borderId="842" applyBorder="0">
      <alignment horizontal="left" vertical="center"/>
    </xf>
    <xf numFmtId="0" fontId="214" fillId="0" borderId="836" applyNumberFormat="0" applyFont="0" applyFill="0" applyAlignment="0" applyProtection="0"/>
    <xf numFmtId="0" fontId="78" fillId="14" borderId="832" applyFont="0" applyFill="0" applyBorder="0" applyAlignment="0" applyProtection="0"/>
    <xf numFmtId="0" fontId="210" fillId="0" borderId="866" applyNumberFormat="0" applyFill="0" applyBorder="0" applyAlignment="0">
      <protection locked="0"/>
    </xf>
    <xf numFmtId="0" fontId="78" fillId="14" borderId="760" applyFont="0" applyFill="0" applyBorder="0" applyAlignment="0" applyProtection="0"/>
    <xf numFmtId="0" fontId="25" fillId="10" borderId="696" applyNumberFormat="0" applyProtection="0">
      <alignment horizontal="left" vertical="top"/>
    </xf>
    <xf numFmtId="0" fontId="25" fillId="10" borderId="695" applyNumberFormat="0" applyProtection="0">
      <alignment horizontal="left" vertical="top"/>
    </xf>
    <xf numFmtId="0" fontId="25" fillId="10" borderId="694" applyNumberFormat="0" applyProtection="0">
      <alignment horizontal="left" vertical="top"/>
    </xf>
    <xf numFmtId="0" fontId="25" fillId="10" borderId="693" applyNumberFormat="0" applyProtection="0">
      <alignment horizontal="left" vertical="top"/>
    </xf>
    <xf numFmtId="186" fontId="140" fillId="3" borderId="858">
      <alignment horizontal="center" vertical="center"/>
    </xf>
    <xf numFmtId="0" fontId="214" fillId="0" borderId="692" applyNumberFormat="0" applyFont="0" applyFill="0" applyAlignment="0" applyProtection="0"/>
    <xf numFmtId="190" fontId="12" fillId="11" borderId="4732" applyNumberFormat="0" applyProtection="0">
      <alignment horizontal="left" vertical="top" indent="1"/>
    </xf>
    <xf numFmtId="186" fontId="140" fillId="3" borderId="690">
      <alignment horizontal="center" vertical="center"/>
    </xf>
    <xf numFmtId="186" fontId="146" fillId="3" borderId="857">
      <alignment horizontal="left"/>
    </xf>
    <xf numFmtId="0" fontId="25" fillId="10" borderId="4727" applyNumberFormat="0" applyProtection="0">
      <alignment horizontal="left" vertical="top"/>
    </xf>
    <xf numFmtId="180" fontId="9" fillId="3" borderId="866">
      <alignment horizontal="right" vertical="center"/>
    </xf>
    <xf numFmtId="0" fontId="75" fillId="0" borderId="855" applyNumberFormat="0" applyFont="0" applyFill="0" applyAlignment="0" applyProtection="0"/>
    <xf numFmtId="0" fontId="75" fillId="0" borderId="855" applyNumberFormat="0" applyFont="0" applyFill="0" applyAlignment="0" applyProtection="0"/>
    <xf numFmtId="222" fontId="79" fillId="0" borderId="769" applyBorder="0"/>
    <xf numFmtId="222" fontId="79" fillId="0" borderId="769" applyBorder="0"/>
    <xf numFmtId="0" fontId="25" fillId="10" borderId="861" applyNumberFormat="0" applyProtection="0">
      <alignment horizontal="left" vertical="top"/>
    </xf>
    <xf numFmtId="0" fontId="2" fillId="0" borderId="859" applyNumberFormat="0" applyAlignment="0" applyProtection="0"/>
    <xf numFmtId="246" fontId="250" fillId="0" borderId="794" applyFill="0" applyProtection="0">
      <alignment horizontal="center"/>
    </xf>
    <xf numFmtId="246" fontId="249" fillId="0" borderId="794" applyFill="0" applyProtection="0">
      <alignment horizontal="center"/>
    </xf>
    <xf numFmtId="0" fontId="241" fillId="94" borderId="794" applyBorder="0" applyProtection="0">
      <alignment horizontal="centerContinuous" vertical="center"/>
    </xf>
    <xf numFmtId="254" fontId="240" fillId="0" borderId="794" applyBorder="0" applyProtection="0">
      <alignment horizontal="right" vertical="center"/>
    </xf>
    <xf numFmtId="0" fontId="210" fillId="0" borderId="794" applyNumberFormat="0" applyFill="0" applyBorder="0" applyAlignment="0">
      <protection locked="0"/>
    </xf>
    <xf numFmtId="264" fontId="12" fillId="14" borderId="794" applyFont="0" applyFill="0" applyBorder="0" applyAlignment="0" applyProtection="0">
      <alignment horizontal="right"/>
    </xf>
    <xf numFmtId="0" fontId="166" fillId="0" borderId="794">
      <alignment horizontal="center"/>
    </xf>
    <xf numFmtId="0" fontId="165" fillId="0" borderId="794" applyFill="0" applyProtection="0">
      <alignment horizontal="center"/>
    </xf>
    <xf numFmtId="186" fontId="146" fillId="3" borderId="794" applyBorder="0">
      <alignment horizontal="left" vertical="center"/>
    </xf>
    <xf numFmtId="180" fontId="9" fillId="3" borderId="794">
      <alignment horizontal="right" vertical="center"/>
    </xf>
    <xf numFmtId="192" fontId="9" fillId="3" borderId="794">
      <alignment horizontal="right" vertical="center"/>
    </xf>
    <xf numFmtId="248" fontId="46" fillId="0" borderId="794"/>
    <xf numFmtId="0" fontId="12" fillId="0" borderId="794" applyNumberFormat="0" applyFill="0" applyBorder="0" applyAlignment="0" applyProtection="0">
      <alignment horizontal="center"/>
    </xf>
    <xf numFmtId="0" fontId="113" fillId="0" borderId="794" applyNumberFormat="0" applyFill="0" applyAlignment="0" applyProtection="0"/>
    <xf numFmtId="222" fontId="79" fillId="0" borderId="793" applyBorder="0"/>
    <xf numFmtId="0" fontId="101" fillId="0" borderId="794" applyBorder="0"/>
    <xf numFmtId="222" fontId="79" fillId="0" borderId="1201" applyBorder="0"/>
    <xf numFmtId="222" fontId="79" fillId="0" borderId="793" applyBorder="0"/>
    <xf numFmtId="0" fontId="75" fillId="0" borderId="783" applyNumberFormat="0" applyFont="0" applyFill="0" applyAlignment="0" applyProtection="0"/>
    <xf numFmtId="186" fontId="146" fillId="3" borderId="785">
      <alignment horizontal="left"/>
    </xf>
    <xf numFmtId="186" fontId="140" fillId="3" borderId="786">
      <alignment horizontal="center" vertical="center"/>
    </xf>
    <xf numFmtId="0" fontId="2" fillId="0" borderId="787" applyNumberFormat="0" applyAlignment="0" applyProtection="0"/>
    <xf numFmtId="0" fontId="214" fillId="0" borderId="788" applyNumberFormat="0" applyFont="0" applyFill="0" applyAlignment="0" applyProtection="0"/>
    <xf numFmtId="0" fontId="25" fillId="10" borderId="789" applyNumberFormat="0" applyProtection="0">
      <alignment horizontal="left" vertical="top"/>
    </xf>
    <xf numFmtId="0" fontId="25" fillId="10" borderId="790" applyNumberFormat="0" applyProtection="0">
      <alignment horizontal="left" vertical="top"/>
    </xf>
    <xf numFmtId="0" fontId="25" fillId="10" borderId="791" applyNumberFormat="0" applyProtection="0">
      <alignment horizontal="left" vertical="top"/>
    </xf>
    <xf numFmtId="0" fontId="25" fillId="10" borderId="792" applyNumberFormat="0" applyProtection="0">
      <alignment horizontal="left" vertical="top"/>
    </xf>
    <xf numFmtId="246" fontId="250" fillId="0" borderId="854" applyFill="0" applyProtection="0">
      <alignment horizontal="center"/>
    </xf>
    <xf numFmtId="0" fontId="78" fillId="14" borderId="784" applyFont="0" applyFill="0" applyBorder="0" applyAlignment="0" applyProtection="0"/>
    <xf numFmtId="264" fontId="12" fillId="14" borderId="914" applyFont="0" applyFill="0" applyBorder="0" applyAlignment="0" applyProtection="0">
      <alignment horizontal="right"/>
    </xf>
    <xf numFmtId="186" fontId="146" fillId="3" borderId="893">
      <alignment horizontal="left"/>
    </xf>
    <xf numFmtId="222" fontId="79" fillId="0" borderId="781" applyBorder="0"/>
    <xf numFmtId="312" fontId="101" fillId="0" borderId="914" applyBorder="0"/>
    <xf numFmtId="0" fontId="75" fillId="0" borderId="891" applyNumberFormat="0" applyFont="0" applyFill="0" applyAlignment="0" applyProtection="0"/>
    <xf numFmtId="0" fontId="75" fillId="0" borderId="855" applyNumberFormat="0" applyFont="0" applyFill="0" applyAlignment="0" applyProtection="0"/>
    <xf numFmtId="0" fontId="241" fillId="94" borderId="854" applyBorder="0" applyProtection="0">
      <alignment horizontal="centerContinuous" vertical="center"/>
    </xf>
    <xf numFmtId="0" fontId="241" fillId="94" borderId="914" applyBorder="0" applyProtection="0">
      <alignment horizontal="centerContinuous" vertical="center"/>
    </xf>
    <xf numFmtId="186" fontId="146" fillId="3" borderId="857">
      <alignment horizontal="left"/>
    </xf>
    <xf numFmtId="186" fontId="140" fillId="3" borderId="858">
      <alignment horizontal="center" vertical="center"/>
    </xf>
    <xf numFmtId="192" fontId="9" fillId="3" borderId="854">
      <alignment horizontal="right" vertical="center"/>
    </xf>
    <xf numFmtId="0" fontId="78" fillId="14" borderId="760" applyFont="0" applyFill="0" applyBorder="0" applyAlignment="0" applyProtection="0"/>
    <xf numFmtId="222" fontId="79" fillId="0" borderId="769" applyBorder="0"/>
    <xf numFmtId="0" fontId="214" fillId="0" borderId="908" applyNumberFormat="0" applyFont="0" applyFill="0" applyAlignment="0" applyProtection="0"/>
    <xf numFmtId="0" fontId="2" fillId="0" borderId="859" applyNumberFormat="0" applyAlignment="0" applyProtection="0"/>
    <xf numFmtId="0" fontId="78" fillId="14" borderId="772" applyFont="0" applyFill="0" applyBorder="0" applyAlignment="0" applyProtection="0"/>
    <xf numFmtId="0" fontId="25" fillId="10" borderId="780" applyNumberFormat="0" applyProtection="0">
      <alignment horizontal="left" vertical="top"/>
    </xf>
    <xf numFmtId="0" fontId="25" fillId="10" borderId="779" applyNumberFormat="0" applyProtection="0">
      <alignment horizontal="left" vertical="top"/>
    </xf>
    <xf numFmtId="0" fontId="25" fillId="10" borderId="778" applyNumberFormat="0" applyProtection="0">
      <alignment horizontal="left" vertical="top"/>
    </xf>
    <xf numFmtId="0" fontId="25" fillId="10" borderId="777" applyNumberFormat="0" applyProtection="0">
      <alignment horizontal="left" vertical="top"/>
    </xf>
    <xf numFmtId="0" fontId="214" fillId="0" borderId="776" applyNumberFormat="0" applyFont="0" applyFill="0" applyAlignment="0" applyProtection="0"/>
    <xf numFmtId="186" fontId="140" fillId="3" borderId="774">
      <alignment horizontal="center" vertical="center"/>
    </xf>
    <xf numFmtId="186" fontId="146" fillId="3" borderId="773">
      <alignment horizontal="left"/>
    </xf>
    <xf numFmtId="0" fontId="75" fillId="0" borderId="771" applyNumberFormat="0" applyFont="0" applyFill="0" applyAlignment="0" applyProtection="0"/>
    <xf numFmtId="222" fontId="79" fillId="0" borderId="781" applyBorder="0"/>
    <xf numFmtId="0" fontId="101" fillId="0" borderId="782" applyBorder="0"/>
    <xf numFmtId="222" fontId="79" fillId="0" borderId="781" applyBorder="0"/>
    <xf numFmtId="0" fontId="113" fillId="0" borderId="782" applyNumberFormat="0" applyFill="0" applyAlignment="0" applyProtection="0"/>
    <xf numFmtId="0" fontId="12" fillId="0" borderId="782" applyNumberFormat="0" applyFill="0" applyBorder="0" applyAlignment="0" applyProtection="0">
      <alignment horizontal="center"/>
    </xf>
    <xf numFmtId="248" fontId="46" fillId="0" borderId="782"/>
    <xf numFmtId="192" fontId="9" fillId="3" borderId="782">
      <alignment horizontal="right" vertical="center"/>
    </xf>
    <xf numFmtId="180" fontId="9" fillId="3" borderId="782">
      <alignment horizontal="right" vertical="center"/>
    </xf>
    <xf numFmtId="186" fontId="146" fillId="3" borderId="782" applyBorder="0">
      <alignment horizontal="left" vertical="center"/>
    </xf>
    <xf numFmtId="0" fontId="165" fillId="0" borderId="782" applyFill="0" applyProtection="0">
      <alignment horizontal="center"/>
    </xf>
    <xf numFmtId="0" fontId="166" fillId="0" borderId="782">
      <alignment horizontal="center"/>
    </xf>
    <xf numFmtId="264" fontId="12" fillId="14" borderId="782" applyFont="0" applyFill="0" applyBorder="0" applyAlignment="0" applyProtection="0">
      <alignment horizontal="right"/>
    </xf>
    <xf numFmtId="0" fontId="210" fillId="0" borderId="782" applyNumberFormat="0" applyFill="0" applyBorder="0" applyAlignment="0">
      <protection locked="0"/>
    </xf>
    <xf numFmtId="254" fontId="240" fillId="0" borderId="782" applyBorder="0" applyProtection="0">
      <alignment horizontal="right" vertical="center"/>
    </xf>
    <xf numFmtId="0" fontId="241" fillId="94" borderId="782" applyBorder="0" applyProtection="0">
      <alignment horizontal="centerContinuous" vertical="center"/>
    </xf>
    <xf numFmtId="246" fontId="249" fillId="0" borderId="782" applyFill="0" applyProtection="0">
      <alignment horizontal="center"/>
    </xf>
    <xf numFmtId="246" fontId="250" fillId="0" borderId="782" applyFill="0" applyProtection="0">
      <alignment horizontal="center"/>
    </xf>
    <xf numFmtId="0" fontId="241" fillId="94" borderId="866" applyBorder="0" applyProtection="0">
      <alignment horizontal="centerContinuous" vertical="center"/>
    </xf>
    <xf numFmtId="0" fontId="166" fillId="0" borderId="866">
      <alignment horizontal="center"/>
    </xf>
    <xf numFmtId="0" fontId="2" fillId="0" borderId="799" applyNumberFormat="0" applyAlignment="0" applyProtection="0"/>
    <xf numFmtId="0" fontId="214" fillId="0" borderId="800" applyNumberFormat="0" applyFont="0" applyFill="0" applyAlignment="0" applyProtection="0"/>
    <xf numFmtId="246" fontId="250" fillId="0" borderId="806" applyFill="0" applyProtection="0">
      <alignment horizontal="center"/>
    </xf>
    <xf numFmtId="246" fontId="249" fillId="0" borderId="806" applyFill="0" applyProtection="0">
      <alignment horizontal="center"/>
    </xf>
    <xf numFmtId="0" fontId="241" fillId="94" borderId="806" applyBorder="0" applyProtection="0">
      <alignment horizontal="centerContinuous" vertical="center"/>
    </xf>
    <xf numFmtId="254" fontId="240" fillId="0" borderId="806" applyBorder="0" applyProtection="0">
      <alignment horizontal="right" vertical="center"/>
    </xf>
    <xf numFmtId="0" fontId="210" fillId="0" borderId="806" applyNumberFormat="0" applyFill="0" applyBorder="0" applyAlignment="0">
      <protection locked="0"/>
    </xf>
    <xf numFmtId="264" fontId="12" fillId="14" borderId="806" applyFont="0" applyFill="0" applyBorder="0" applyAlignment="0" applyProtection="0">
      <alignment horizontal="right"/>
    </xf>
    <xf numFmtId="0" fontId="166" fillId="0" borderId="806">
      <alignment horizontal="center"/>
    </xf>
    <xf numFmtId="0" fontId="165" fillId="0" borderId="806" applyFill="0" applyProtection="0">
      <alignment horizontal="center"/>
    </xf>
    <xf numFmtId="186" fontId="146" fillId="3" borderId="806" applyBorder="0">
      <alignment horizontal="left" vertical="center"/>
    </xf>
    <xf numFmtId="180" fontId="9" fillId="3" borderId="806">
      <alignment horizontal="right" vertical="center"/>
    </xf>
    <xf numFmtId="192" fontId="9" fillId="3" borderId="806">
      <alignment horizontal="right" vertical="center"/>
    </xf>
    <xf numFmtId="248" fontId="46" fillId="0" borderId="806"/>
    <xf numFmtId="0" fontId="12" fillId="0" borderId="806" applyNumberFormat="0" applyFill="0" applyBorder="0" applyAlignment="0" applyProtection="0">
      <alignment horizontal="center"/>
    </xf>
    <xf numFmtId="0" fontId="113" fillId="0" borderId="806" applyNumberFormat="0" applyFill="0" applyAlignment="0" applyProtection="0"/>
    <xf numFmtId="222" fontId="79" fillId="0" borderId="805" applyBorder="0"/>
    <xf numFmtId="0" fontId="101" fillId="0" borderId="806" applyBorder="0"/>
    <xf numFmtId="222" fontId="79" fillId="0" borderId="805" applyBorder="0"/>
    <xf numFmtId="0" fontId="75" fillId="0" borderId="795" applyNumberFormat="0" applyFont="0" applyFill="0" applyAlignment="0" applyProtection="0"/>
    <xf numFmtId="186" fontId="146" fillId="3" borderId="797">
      <alignment horizontal="left"/>
    </xf>
    <xf numFmtId="186" fontId="140" fillId="3" borderId="798">
      <alignment horizontal="center" vertical="center"/>
    </xf>
    <xf numFmtId="0" fontId="2" fillId="0" borderId="799" applyNumberFormat="0" applyAlignment="0" applyProtection="0"/>
    <xf numFmtId="0" fontId="214" fillId="0" borderId="800" applyNumberFormat="0" applyFont="0" applyFill="0" applyAlignment="0" applyProtection="0"/>
    <xf numFmtId="0" fontId="25" fillId="10" borderId="801" applyNumberFormat="0" applyProtection="0">
      <alignment horizontal="left" vertical="top"/>
    </xf>
    <xf numFmtId="0" fontId="25" fillId="10" borderId="802" applyNumberFormat="0" applyProtection="0">
      <alignment horizontal="left" vertical="top"/>
    </xf>
    <xf numFmtId="0" fontId="25" fillId="10" borderId="803" applyNumberFormat="0" applyProtection="0">
      <alignment horizontal="left" vertical="top"/>
    </xf>
    <xf numFmtId="0" fontId="25" fillId="10" borderId="804" applyNumberFormat="0" applyProtection="0">
      <alignment horizontal="left" vertical="top"/>
    </xf>
    <xf numFmtId="0" fontId="78" fillId="14" borderId="796" applyFont="0" applyFill="0" applyBorder="0" applyAlignment="0" applyProtection="0"/>
    <xf numFmtId="222" fontId="79" fillId="0" borderId="793" applyBorder="0"/>
    <xf numFmtId="0" fontId="78" fillId="14" borderId="808" applyFont="0" applyFill="0" applyBorder="0" applyAlignment="0" applyProtection="0"/>
    <xf numFmtId="186" fontId="146" fillId="3" borderId="797">
      <alignment horizontal="left"/>
    </xf>
    <xf numFmtId="0" fontId="78" fillId="14" borderId="784" applyFont="0" applyFill="0" applyBorder="0" applyAlignment="0" applyProtection="0"/>
    <xf numFmtId="222" fontId="79" fillId="0" borderId="793" applyBorder="0"/>
    <xf numFmtId="0" fontId="2" fillId="0" borderId="811" applyNumberFormat="0" applyAlignment="0" applyProtection="0"/>
    <xf numFmtId="0" fontId="78" fillId="14" borderId="784" applyFont="0" applyFill="0" applyBorder="0" applyAlignment="0" applyProtection="0"/>
    <xf numFmtId="0" fontId="25" fillId="10" borderId="792" applyNumberFormat="0" applyProtection="0">
      <alignment horizontal="left" vertical="top"/>
    </xf>
    <xf numFmtId="0" fontId="25" fillId="10" borderId="791" applyNumberFormat="0" applyProtection="0">
      <alignment horizontal="left" vertical="top"/>
    </xf>
    <xf numFmtId="0" fontId="25" fillId="10" borderId="790" applyNumberFormat="0" applyProtection="0">
      <alignment horizontal="left" vertical="top"/>
    </xf>
    <xf numFmtId="0" fontId="25" fillId="10" borderId="789" applyNumberFormat="0" applyProtection="0">
      <alignment horizontal="left" vertical="top"/>
    </xf>
    <xf numFmtId="0" fontId="25" fillId="10" borderId="814" applyNumberFormat="0" applyProtection="0">
      <alignment horizontal="left" vertical="top"/>
    </xf>
    <xf numFmtId="0" fontId="214" fillId="0" borderId="788" applyNumberFormat="0" applyFont="0" applyFill="0" applyAlignment="0" applyProtection="0"/>
    <xf numFmtId="0" fontId="2" fillId="0" borderId="787" applyNumberFormat="0" applyAlignment="0" applyProtection="0"/>
    <xf numFmtId="186" fontId="140" fillId="3" borderId="786">
      <alignment horizontal="center" vertical="center"/>
    </xf>
    <xf numFmtId="186" fontId="146" fillId="3" borderId="785">
      <alignment horizontal="left"/>
    </xf>
    <xf numFmtId="0" fontId="25" fillId="10" borderId="816" applyNumberFormat="0" applyProtection="0">
      <alignment horizontal="left" vertical="top"/>
    </xf>
    <xf numFmtId="0" fontId="75" fillId="0" borderId="783" applyNumberFormat="0" applyFont="0" applyFill="0" applyAlignment="0" applyProtection="0"/>
    <xf numFmtId="222" fontId="79" fillId="0" borderId="793" applyBorder="0"/>
    <xf numFmtId="0" fontId="101" fillId="0" borderId="794" applyBorder="0"/>
    <xf numFmtId="222" fontId="79" fillId="0" borderId="793" applyBorder="0"/>
    <xf numFmtId="0" fontId="113" fillId="0" borderId="794" applyNumberFormat="0" applyFill="0" applyAlignment="0" applyProtection="0"/>
    <xf numFmtId="0" fontId="12" fillId="0" borderId="794" applyNumberFormat="0" applyFill="0" applyBorder="0" applyAlignment="0" applyProtection="0">
      <alignment horizontal="center"/>
    </xf>
    <xf numFmtId="248" fontId="46" fillId="0" borderId="794"/>
    <xf numFmtId="192" fontId="9" fillId="3" borderId="794">
      <alignment horizontal="right" vertical="center"/>
    </xf>
    <xf numFmtId="180" fontId="9" fillId="3" borderId="794">
      <alignment horizontal="right" vertical="center"/>
    </xf>
    <xf numFmtId="186" fontId="146" fillId="3" borderId="794" applyBorder="0">
      <alignment horizontal="left" vertical="center"/>
    </xf>
    <xf numFmtId="0" fontId="165" fillId="0" borderId="794" applyFill="0" applyProtection="0">
      <alignment horizontal="center"/>
    </xf>
    <xf numFmtId="0" fontId="166" fillId="0" borderId="794">
      <alignment horizontal="center"/>
    </xf>
    <xf numFmtId="264" fontId="12" fillId="14" borderId="794" applyFont="0" applyFill="0" applyBorder="0" applyAlignment="0" applyProtection="0">
      <alignment horizontal="right"/>
    </xf>
    <xf numFmtId="0" fontId="210" fillId="0" borderId="794" applyNumberFormat="0" applyFill="0" applyBorder="0" applyAlignment="0">
      <protection locked="0"/>
    </xf>
    <xf numFmtId="254" fontId="240" fillId="0" borderId="794" applyBorder="0" applyProtection="0">
      <alignment horizontal="right" vertical="center"/>
    </xf>
    <xf numFmtId="0" fontId="241" fillId="94" borderId="794" applyBorder="0" applyProtection="0">
      <alignment horizontal="centerContinuous" vertical="center"/>
    </xf>
    <xf numFmtId="246" fontId="249" fillId="0" borderId="794" applyFill="0" applyProtection="0">
      <alignment horizontal="center"/>
    </xf>
    <xf numFmtId="246" fontId="250" fillId="0" borderId="794" applyFill="0" applyProtection="0">
      <alignment horizontal="center"/>
    </xf>
    <xf numFmtId="186" fontId="140" fillId="3" borderId="810">
      <alignment horizontal="center" vertical="center"/>
    </xf>
    <xf numFmtId="0" fontId="78" fillId="14" borderId="796" applyFont="0" applyFill="0" applyBorder="0" applyAlignment="0" applyProtection="0"/>
    <xf numFmtId="222" fontId="79" fillId="0" borderId="817" applyBorder="0"/>
    <xf numFmtId="0" fontId="78" fillId="14" borderId="820" applyFont="0" applyFill="0" applyBorder="0" applyAlignment="0" applyProtection="0"/>
    <xf numFmtId="0" fontId="25" fillId="10" borderId="828" applyNumberFormat="0" applyProtection="0">
      <alignment horizontal="left" vertical="top"/>
    </xf>
    <xf numFmtId="0" fontId="25" fillId="10" borderId="827" applyNumberFormat="0" applyProtection="0">
      <alignment horizontal="left" vertical="top"/>
    </xf>
    <xf numFmtId="0" fontId="25" fillId="10" borderId="826" applyNumberFormat="0" applyProtection="0">
      <alignment horizontal="left" vertical="top"/>
    </xf>
    <xf numFmtId="0" fontId="25" fillId="10" borderId="825" applyNumberFormat="0" applyProtection="0">
      <alignment horizontal="left" vertical="top"/>
    </xf>
    <xf numFmtId="0" fontId="214" fillId="0" borderId="824" applyNumberFormat="0" applyFont="0" applyFill="0" applyAlignment="0" applyProtection="0"/>
    <xf numFmtId="0" fontId="2" fillId="0" borderId="823" applyNumberFormat="0" applyAlignment="0" applyProtection="0"/>
    <xf numFmtId="186" fontId="140" fillId="3" borderId="822">
      <alignment horizontal="center" vertical="center"/>
    </xf>
    <xf numFmtId="186" fontId="146" fillId="3" borderId="821">
      <alignment horizontal="left"/>
    </xf>
    <xf numFmtId="0" fontId="75" fillId="0" borderId="819" applyNumberFormat="0" applyFont="0" applyFill="0" applyAlignment="0" applyProtection="0"/>
    <xf numFmtId="222" fontId="79" fillId="0" borderId="829" applyBorder="0"/>
    <xf numFmtId="0" fontId="101" fillId="0" borderId="830" applyBorder="0"/>
    <xf numFmtId="222" fontId="79" fillId="0" borderId="829" applyBorder="0"/>
    <xf numFmtId="0" fontId="113" fillId="0" borderId="830" applyNumberFormat="0" applyFill="0" applyAlignment="0" applyProtection="0"/>
    <xf numFmtId="0" fontId="12" fillId="0" borderId="830" applyNumberFormat="0" applyFill="0" applyBorder="0" applyAlignment="0" applyProtection="0">
      <alignment horizontal="center"/>
    </xf>
    <xf numFmtId="248" fontId="46" fillId="0" borderId="830"/>
    <xf numFmtId="192" fontId="9" fillId="3" borderId="830">
      <alignment horizontal="right" vertical="center"/>
    </xf>
    <xf numFmtId="180" fontId="9" fillId="3" borderId="830">
      <alignment horizontal="right" vertical="center"/>
    </xf>
    <xf numFmtId="186" fontId="146" fillId="3" borderId="830" applyBorder="0">
      <alignment horizontal="left" vertical="center"/>
    </xf>
    <xf numFmtId="0" fontId="165" fillId="0" borderId="830" applyFill="0" applyProtection="0">
      <alignment horizontal="center"/>
    </xf>
    <xf numFmtId="0" fontId="166" fillId="0" borderId="830">
      <alignment horizontal="center"/>
    </xf>
    <xf numFmtId="264" fontId="12" fillId="14" borderId="830" applyFont="0" applyFill="0" applyBorder="0" applyAlignment="0" applyProtection="0">
      <alignment horizontal="right"/>
    </xf>
    <xf numFmtId="0" fontId="210" fillId="0" borderId="830" applyNumberFormat="0" applyFill="0" applyBorder="0" applyAlignment="0">
      <protection locked="0"/>
    </xf>
    <xf numFmtId="254" fontId="240" fillId="0" borderId="830" applyBorder="0" applyProtection="0">
      <alignment horizontal="right" vertical="center"/>
    </xf>
    <xf numFmtId="0" fontId="241" fillId="94" borderId="830" applyBorder="0" applyProtection="0">
      <alignment horizontal="centerContinuous" vertical="center"/>
    </xf>
    <xf numFmtId="246" fontId="249" fillId="0" borderId="830" applyFill="0" applyProtection="0">
      <alignment horizontal="center"/>
    </xf>
    <xf numFmtId="246" fontId="250" fillId="0" borderId="830" applyFill="0" applyProtection="0">
      <alignment horizontal="center"/>
    </xf>
    <xf numFmtId="222" fontId="79" fillId="0" borderId="841" applyBorder="0"/>
    <xf numFmtId="0" fontId="78" fillId="14" borderId="844" applyFont="0" applyFill="0" applyBorder="0" applyAlignment="0" applyProtection="0"/>
    <xf numFmtId="0" fontId="25" fillId="10" borderId="852" applyNumberFormat="0" applyProtection="0">
      <alignment horizontal="left" vertical="top"/>
    </xf>
    <xf numFmtId="0" fontId="25" fillId="10" borderId="851" applyNumberFormat="0" applyProtection="0">
      <alignment horizontal="left" vertical="top"/>
    </xf>
    <xf numFmtId="0" fontId="25" fillId="10" borderId="850" applyNumberFormat="0" applyProtection="0">
      <alignment horizontal="left" vertical="top"/>
    </xf>
    <xf numFmtId="0" fontId="25" fillId="10" borderId="849" applyNumberFormat="0" applyProtection="0">
      <alignment horizontal="left" vertical="top"/>
    </xf>
    <xf numFmtId="0" fontId="214" fillId="0" borderId="848" applyNumberFormat="0" applyFont="0" applyFill="0" applyAlignment="0" applyProtection="0"/>
    <xf numFmtId="0" fontId="2" fillId="0" borderId="847" applyNumberFormat="0" applyAlignment="0" applyProtection="0"/>
    <xf numFmtId="186" fontId="140" fillId="3" borderId="846">
      <alignment horizontal="center" vertical="center"/>
    </xf>
    <xf numFmtId="186" fontId="146" fillId="3" borderId="845">
      <alignment horizontal="left"/>
    </xf>
    <xf numFmtId="0" fontId="75" fillId="0" borderId="843" applyNumberFormat="0" applyFont="0" applyFill="0" applyAlignment="0" applyProtection="0"/>
    <xf numFmtId="222" fontId="79" fillId="0" borderId="853" applyBorder="0"/>
    <xf numFmtId="0" fontId="101" fillId="0" borderId="854" applyBorder="0"/>
    <xf numFmtId="222" fontId="79" fillId="0" borderId="853" applyBorder="0"/>
    <xf numFmtId="0" fontId="113" fillId="0" borderId="854" applyNumberFormat="0" applyFill="0" applyAlignment="0" applyProtection="0"/>
    <xf numFmtId="0" fontId="12" fillId="0" borderId="854" applyNumberFormat="0" applyFill="0" applyBorder="0" applyAlignment="0" applyProtection="0">
      <alignment horizontal="center"/>
    </xf>
    <xf numFmtId="248" fontId="46" fillId="0" borderId="854"/>
    <xf numFmtId="192" fontId="9" fillId="3" borderId="854">
      <alignment horizontal="right" vertical="center"/>
    </xf>
    <xf numFmtId="180" fontId="9" fillId="3" borderId="854">
      <alignment horizontal="right" vertical="center"/>
    </xf>
    <xf numFmtId="186" fontId="146" fillId="3" borderId="854" applyBorder="0">
      <alignment horizontal="left" vertical="center"/>
    </xf>
    <xf numFmtId="0" fontId="165" fillId="0" borderId="854" applyFill="0" applyProtection="0">
      <alignment horizontal="center"/>
    </xf>
    <xf numFmtId="0" fontId="166" fillId="0" borderId="854">
      <alignment horizontal="center"/>
    </xf>
    <xf numFmtId="264" fontId="12" fillId="14" borderId="854" applyFont="0" applyFill="0" applyBorder="0" applyAlignment="0" applyProtection="0">
      <alignment horizontal="right"/>
    </xf>
    <xf numFmtId="0" fontId="210" fillId="0" borderId="854" applyNumberFormat="0" applyFill="0" applyBorder="0" applyAlignment="0">
      <protection locked="0"/>
    </xf>
    <xf numFmtId="254" fontId="240" fillId="0" borderId="854" applyBorder="0" applyProtection="0">
      <alignment horizontal="right" vertical="center"/>
    </xf>
    <xf numFmtId="0" fontId="241" fillId="94" borderId="854" applyBorder="0" applyProtection="0">
      <alignment horizontal="centerContinuous" vertical="center"/>
    </xf>
    <xf numFmtId="246" fontId="249" fillId="0" borderId="854" applyFill="0" applyProtection="0">
      <alignment horizontal="center"/>
    </xf>
    <xf numFmtId="246" fontId="250" fillId="0" borderId="854" applyFill="0" applyProtection="0">
      <alignment horizontal="center"/>
    </xf>
    <xf numFmtId="0" fontId="75" fillId="0" borderId="867" applyNumberFormat="0" applyFont="0" applyFill="0" applyAlignment="0" applyProtection="0"/>
    <xf numFmtId="0" fontId="78" fillId="14" borderId="868" applyFont="0" applyFill="0" applyBorder="0" applyAlignment="0" applyProtection="0"/>
    <xf numFmtId="186" fontId="146" fillId="3" borderId="869">
      <alignment horizontal="left"/>
    </xf>
    <xf numFmtId="186" fontId="140" fillId="3" borderId="870">
      <alignment horizontal="center" vertical="center"/>
    </xf>
    <xf numFmtId="0" fontId="2" fillId="0" borderId="871" applyNumberFormat="0" applyAlignment="0" applyProtection="0"/>
    <xf numFmtId="0" fontId="214" fillId="0" borderId="872" applyNumberFormat="0" applyFont="0" applyFill="0" applyAlignment="0" applyProtection="0"/>
    <xf numFmtId="0" fontId="25" fillId="10" borderId="873" applyNumberFormat="0" applyProtection="0">
      <alignment horizontal="left" vertical="top"/>
    </xf>
    <xf numFmtId="0" fontId="25" fillId="10" borderId="874" applyNumberFormat="0" applyProtection="0">
      <alignment horizontal="left" vertical="top"/>
    </xf>
    <xf numFmtId="0" fontId="25" fillId="10" borderId="875" applyNumberFormat="0" applyProtection="0">
      <alignment horizontal="left" vertical="top"/>
    </xf>
    <xf numFmtId="0" fontId="25" fillId="10" borderId="876" applyNumberFormat="0" applyProtection="0">
      <alignment horizontal="left" vertical="top"/>
    </xf>
    <xf numFmtId="0" fontId="25" fillId="10" borderId="863" applyNumberFormat="0" applyProtection="0">
      <alignment horizontal="left" vertical="top"/>
    </xf>
    <xf numFmtId="190" fontId="210" fillId="0" borderId="914" applyNumberFormat="0" applyFill="0" applyBorder="0" applyAlignment="0">
      <protection locked="0"/>
    </xf>
    <xf numFmtId="254" fontId="240" fillId="0" borderId="902" applyBorder="0" applyProtection="0">
      <alignment horizontal="right" vertical="center"/>
    </xf>
    <xf numFmtId="246" fontId="250" fillId="0" borderId="866" applyFill="0" applyProtection="0">
      <alignment horizontal="center"/>
    </xf>
    <xf numFmtId="246" fontId="249" fillId="0" borderId="866" applyFill="0" applyProtection="0">
      <alignment horizontal="center"/>
    </xf>
    <xf numFmtId="0" fontId="241" fillId="94" borderId="866" applyBorder="0" applyProtection="0">
      <alignment horizontal="centerContinuous" vertical="center"/>
    </xf>
    <xf numFmtId="254" fontId="240" fillId="0" borderId="866" applyBorder="0" applyProtection="0">
      <alignment horizontal="right" vertical="center"/>
    </xf>
    <xf numFmtId="243" fontId="48" fillId="0" borderId="100" applyFont="0" applyFill="0" applyBorder="0" applyAlignment="0" applyProtection="0"/>
    <xf numFmtId="0" fontId="210" fillId="0" borderId="866" applyNumberFormat="0" applyFill="0" applyBorder="0" applyAlignment="0">
      <protection locked="0"/>
    </xf>
    <xf numFmtId="264" fontId="12" fillId="14" borderId="866" applyFont="0" applyFill="0" applyBorder="0" applyAlignment="0" applyProtection="0">
      <alignment horizontal="right"/>
    </xf>
    <xf numFmtId="0" fontId="166" fillId="0" borderId="866">
      <alignment horizontal="center"/>
    </xf>
    <xf numFmtId="0" fontId="165" fillId="0" borderId="866" applyFill="0" applyProtection="0">
      <alignment horizontal="center"/>
    </xf>
    <xf numFmtId="246" fontId="250" fillId="0" borderId="854" applyFill="0" applyProtection="0">
      <alignment horizontal="center"/>
    </xf>
    <xf numFmtId="0" fontId="25" fillId="10" borderId="873" applyNumberFormat="0" applyProtection="0">
      <alignment horizontal="left" vertical="top"/>
    </xf>
    <xf numFmtId="186" fontId="146" fillId="3" borderId="866" applyBorder="0">
      <alignment horizontal="left" vertical="center"/>
    </xf>
    <xf numFmtId="180" fontId="9" fillId="3" borderId="866">
      <alignment horizontal="right" vertical="center"/>
    </xf>
    <xf numFmtId="192" fontId="9" fillId="3" borderId="866">
      <alignment horizontal="right" vertical="center"/>
    </xf>
    <xf numFmtId="0" fontId="12" fillId="0" borderId="866" applyNumberFormat="0" applyFill="0" applyBorder="0" applyAlignment="0" applyProtection="0">
      <alignment horizontal="center"/>
    </xf>
    <xf numFmtId="0" fontId="113" fillId="0" borderId="866" applyNumberFormat="0" applyFill="0" applyAlignment="0" applyProtection="0"/>
    <xf numFmtId="0" fontId="25" fillId="10" borderId="900" applyNumberFormat="0" applyProtection="0">
      <alignment horizontal="left" vertical="top"/>
    </xf>
    <xf numFmtId="246" fontId="250" fillId="0" borderId="914" applyFill="0" applyProtection="0">
      <alignment horizontal="center"/>
    </xf>
    <xf numFmtId="222" fontId="79" fillId="0" borderId="865" applyBorder="0"/>
    <xf numFmtId="0" fontId="101" fillId="0" borderId="866" applyBorder="0"/>
    <xf numFmtId="248" fontId="46" fillId="0" borderId="866"/>
    <xf numFmtId="0" fontId="101" fillId="0" borderId="866" applyBorder="0"/>
    <xf numFmtId="222" fontId="79" fillId="0" borderId="865" applyBorder="0"/>
    <xf numFmtId="0" fontId="113" fillId="0" borderId="866" applyNumberFormat="0" applyFill="0" applyAlignment="0" applyProtection="0"/>
    <xf numFmtId="0" fontId="75" fillId="0" borderId="867" applyNumberFormat="0" applyFont="0" applyFill="0" applyAlignment="0" applyProtection="0"/>
    <xf numFmtId="0" fontId="12" fillId="0" borderId="866" applyNumberFormat="0" applyFill="0" applyBorder="0" applyAlignment="0" applyProtection="0">
      <alignment horizontal="center"/>
    </xf>
    <xf numFmtId="248" fontId="46" fillId="0" borderId="866"/>
    <xf numFmtId="192" fontId="9" fillId="3" borderId="866">
      <alignment horizontal="right" vertical="center"/>
    </xf>
    <xf numFmtId="180" fontId="9" fillId="3" borderId="866">
      <alignment horizontal="right" vertical="center"/>
    </xf>
    <xf numFmtId="186" fontId="146" fillId="3" borderId="866" applyBorder="0">
      <alignment horizontal="left" vertical="center"/>
    </xf>
    <xf numFmtId="186" fontId="146" fillId="3" borderId="869">
      <alignment horizontal="left"/>
    </xf>
    <xf numFmtId="186" fontId="140" fillId="3" borderId="870">
      <alignment horizontal="center" vertical="center"/>
    </xf>
    <xf numFmtId="0" fontId="165" fillId="0" borderId="866" applyFill="0" applyProtection="0">
      <alignment horizontal="center"/>
    </xf>
    <xf numFmtId="0" fontId="166" fillId="0" borderId="866">
      <alignment horizontal="center"/>
    </xf>
    <xf numFmtId="264" fontId="12" fillId="14" borderId="866" applyFont="0" applyFill="0" applyBorder="0" applyAlignment="0" applyProtection="0">
      <alignment horizontal="right"/>
    </xf>
    <xf numFmtId="0" fontId="210" fillId="0" borderId="866" applyNumberFormat="0" applyFill="0" applyBorder="0" applyAlignment="0">
      <protection locked="0"/>
    </xf>
    <xf numFmtId="0" fontId="2" fillId="0" borderId="871" applyNumberFormat="0" applyAlignment="0" applyProtection="0"/>
    <xf numFmtId="0" fontId="214" fillId="0" borderId="872" applyNumberFormat="0" applyFont="0" applyFill="0" applyAlignment="0" applyProtection="0"/>
    <xf numFmtId="0" fontId="25" fillId="10" borderId="873" applyNumberFormat="0" applyProtection="0">
      <alignment horizontal="left" vertical="top"/>
    </xf>
    <xf numFmtId="0" fontId="25" fillId="10" borderId="874" applyNumberFormat="0" applyProtection="0">
      <alignment horizontal="left" vertical="top"/>
    </xf>
    <xf numFmtId="0" fontId="25" fillId="10" borderId="875" applyNumberFormat="0" applyProtection="0">
      <alignment horizontal="left" vertical="top"/>
    </xf>
    <xf numFmtId="0" fontId="25" fillId="10" borderId="876" applyNumberFormat="0" applyProtection="0">
      <alignment horizontal="left" vertical="top"/>
    </xf>
    <xf numFmtId="0" fontId="25" fillId="10" borderId="873" applyNumberFormat="0" applyProtection="0">
      <alignment horizontal="left" vertical="top"/>
    </xf>
    <xf numFmtId="0" fontId="25" fillId="10" borderId="874" applyNumberFormat="0" applyProtection="0">
      <alignment horizontal="left" vertical="top"/>
    </xf>
    <xf numFmtId="0" fontId="25" fillId="10" borderId="875" applyNumberFormat="0" applyProtection="0">
      <alignment horizontal="left" vertical="top"/>
    </xf>
    <xf numFmtId="0" fontId="25" fillId="10" borderId="876" applyNumberFormat="0" applyProtection="0">
      <alignment horizontal="left" vertical="top"/>
    </xf>
    <xf numFmtId="254" fontId="240" fillId="0" borderId="866" applyBorder="0" applyProtection="0">
      <alignment horizontal="right" vertical="center"/>
    </xf>
    <xf numFmtId="0" fontId="241" fillId="94" borderId="866" applyBorder="0" applyProtection="0">
      <alignment horizontal="centerContinuous" vertical="center"/>
    </xf>
    <xf numFmtId="246" fontId="249" fillId="0" borderId="866" applyFill="0" applyProtection="0">
      <alignment horizontal="center"/>
    </xf>
    <xf numFmtId="246" fontId="250" fillId="0" borderId="866" applyFill="0" applyProtection="0">
      <alignment horizontal="center"/>
    </xf>
    <xf numFmtId="0" fontId="25" fillId="10" borderId="862" applyNumberFormat="0" applyProtection="0">
      <alignment horizontal="left" vertical="top"/>
    </xf>
    <xf numFmtId="312" fontId="25" fillId="10" borderId="897" applyNumberFormat="0" applyProtection="0">
      <alignment horizontal="left" vertical="top"/>
    </xf>
    <xf numFmtId="190" fontId="101" fillId="0" borderId="866" applyBorder="0"/>
    <xf numFmtId="246" fontId="249" fillId="0" borderId="914" applyFill="0" applyProtection="0">
      <alignment horizontal="center"/>
    </xf>
    <xf numFmtId="0" fontId="25" fillId="10" borderId="899" applyNumberFormat="0" applyProtection="0">
      <alignment horizontal="left" vertical="top"/>
    </xf>
    <xf numFmtId="0" fontId="166" fillId="0" borderId="914">
      <alignment horizontal="center"/>
    </xf>
    <xf numFmtId="186" fontId="146" fillId="3" borderId="914" applyBorder="0">
      <alignment horizontal="left" vertical="center"/>
    </xf>
    <xf numFmtId="190" fontId="113" fillId="0" borderId="866" applyNumberFormat="0" applyFill="0" applyAlignment="0" applyProtection="0"/>
    <xf numFmtId="190" fontId="75" fillId="0" borderId="843" applyNumberFormat="0" applyFont="0" applyFill="0" applyAlignment="0" applyProtection="0"/>
    <xf numFmtId="190" fontId="241" fillId="94" borderId="914" applyBorder="0" applyProtection="0">
      <alignment horizontal="centerContinuous" vertical="center"/>
    </xf>
    <xf numFmtId="190" fontId="25" fillId="10" borderId="898" applyNumberFormat="0" applyProtection="0">
      <alignment horizontal="left" vertical="top"/>
    </xf>
    <xf numFmtId="190" fontId="12" fillId="0" borderId="866" applyNumberFormat="0" applyFill="0" applyBorder="0" applyAlignment="0" applyProtection="0">
      <alignment horizontal="center"/>
    </xf>
    <xf numFmtId="190" fontId="75" fillId="0" borderId="891" applyNumberFormat="0" applyFont="0" applyFill="0" applyAlignment="0" applyProtection="0"/>
    <xf numFmtId="190" fontId="78" fillId="14" borderId="856" applyFont="0" applyFill="0" applyBorder="0" applyAlignment="0" applyProtection="0"/>
    <xf numFmtId="254" fontId="240" fillId="0" borderId="914" applyBorder="0" applyProtection="0">
      <alignment horizontal="right" vertical="center"/>
    </xf>
    <xf numFmtId="246" fontId="250" fillId="0" borderId="914" applyFill="0" applyProtection="0">
      <alignment horizontal="center"/>
    </xf>
    <xf numFmtId="0" fontId="165" fillId="0" borderId="902" applyFill="0" applyProtection="0">
      <alignment horizontal="center"/>
    </xf>
    <xf numFmtId="248" fontId="46" fillId="0" borderId="902"/>
    <xf numFmtId="222" fontId="79" fillId="0" borderId="901" applyBorder="0"/>
    <xf numFmtId="186" fontId="140" fillId="3" borderId="894">
      <alignment horizontal="center" vertical="center"/>
    </xf>
    <xf numFmtId="0" fontId="25" fillId="10" borderId="897" applyNumberFormat="0" applyProtection="0">
      <alignment horizontal="left" vertical="top"/>
    </xf>
    <xf numFmtId="0" fontId="25" fillId="10" borderId="900" applyNumberFormat="0" applyProtection="0">
      <alignment horizontal="left" vertical="top"/>
    </xf>
    <xf numFmtId="246" fontId="250" fillId="0" borderId="878" applyFill="0" applyProtection="0">
      <alignment horizontal="center"/>
    </xf>
    <xf numFmtId="254" fontId="240" fillId="0" borderId="878" applyBorder="0" applyProtection="0">
      <alignment horizontal="right" vertical="center"/>
    </xf>
    <xf numFmtId="0" fontId="166" fillId="0" borderId="878">
      <alignment horizontal="center"/>
    </xf>
    <xf numFmtId="180" fontId="9" fillId="3" borderId="878">
      <alignment horizontal="right" vertical="center"/>
    </xf>
    <xf numFmtId="0" fontId="12" fillId="0" borderId="878" applyNumberFormat="0" applyFill="0" applyBorder="0" applyAlignment="0" applyProtection="0">
      <alignment horizontal="center"/>
    </xf>
    <xf numFmtId="0" fontId="101" fillId="0" borderId="878" applyBorder="0"/>
    <xf numFmtId="186" fontId="146" fillId="3" borderId="869">
      <alignment horizontal="left"/>
    </xf>
    <xf numFmtId="0" fontId="25" fillId="10" borderId="874" applyNumberFormat="0" applyProtection="0">
      <alignment horizontal="left" vertical="top"/>
    </xf>
    <xf numFmtId="246" fontId="249" fillId="0" borderId="854" applyFill="0" applyProtection="0">
      <alignment horizontal="center"/>
    </xf>
    <xf numFmtId="0" fontId="165" fillId="0" borderId="854" applyFill="0" applyProtection="0">
      <alignment horizontal="center"/>
    </xf>
    <xf numFmtId="0" fontId="214" fillId="0" borderId="860" applyNumberFormat="0" applyFont="0" applyFill="0" applyAlignment="0" applyProtection="0"/>
    <xf numFmtId="0" fontId="78" fillId="14" borderId="856" applyFont="0" applyFill="0" applyBorder="0" applyAlignment="0" applyProtection="0"/>
    <xf numFmtId="0" fontId="2" fillId="0" borderId="859" applyNumberFormat="0" applyAlignment="0" applyProtection="0"/>
    <xf numFmtId="0" fontId="75" fillId="0" borderId="855" applyNumberFormat="0" applyFont="0" applyFill="0" applyAlignment="0" applyProtection="0"/>
    <xf numFmtId="0" fontId="12" fillId="0" borderId="854" applyNumberFormat="0" applyFill="0" applyBorder="0" applyAlignment="0" applyProtection="0">
      <alignment horizontal="center"/>
    </xf>
    <xf numFmtId="186" fontId="146" fillId="3" borderId="854" applyBorder="0">
      <alignment horizontal="left" vertical="center"/>
    </xf>
    <xf numFmtId="190" fontId="165" fillId="0" borderId="866" applyFill="0" applyProtection="0">
      <alignment horizontal="center"/>
    </xf>
    <xf numFmtId="190" fontId="166" fillId="0" borderId="866">
      <alignment horizontal="center"/>
    </xf>
    <xf numFmtId="0" fontId="25" fillId="10" borderId="861" applyNumberFormat="0" applyProtection="0">
      <alignment horizontal="left" vertical="top"/>
    </xf>
    <xf numFmtId="0" fontId="25" fillId="10" borderId="864" applyNumberFormat="0" applyProtection="0">
      <alignment horizontal="left" vertical="top"/>
    </xf>
    <xf numFmtId="222" fontId="79" fillId="0" borderId="865" applyBorder="0"/>
    <xf numFmtId="0" fontId="101" fillId="0" borderId="854" applyBorder="0"/>
    <xf numFmtId="0" fontId="12" fillId="0" borderId="854" applyNumberFormat="0" applyFill="0" applyBorder="0" applyAlignment="0" applyProtection="0">
      <alignment horizontal="center"/>
    </xf>
    <xf numFmtId="0" fontId="165" fillId="0" borderId="854" applyFill="0" applyProtection="0">
      <alignment horizontal="center"/>
    </xf>
    <xf numFmtId="0" fontId="214" fillId="0" borderId="860" applyNumberFormat="0" applyFont="0" applyFill="0" applyAlignment="0" applyProtection="0"/>
    <xf numFmtId="0" fontId="25" fillId="10" borderId="863" applyNumberFormat="0" applyProtection="0">
      <alignment horizontal="left" vertical="top"/>
    </xf>
    <xf numFmtId="0" fontId="241" fillId="94" borderId="890" applyBorder="0" applyProtection="0">
      <alignment horizontal="centerContinuous" vertical="center"/>
    </xf>
    <xf numFmtId="0" fontId="165" fillId="0" borderId="866" applyFill="0" applyProtection="0">
      <alignment horizontal="center"/>
    </xf>
    <xf numFmtId="0" fontId="25" fillId="10" borderId="912" applyNumberFormat="0" applyProtection="0">
      <alignment horizontal="left" vertical="top"/>
    </xf>
    <xf numFmtId="0" fontId="241" fillId="94" borderId="854" applyBorder="0" applyProtection="0">
      <alignment horizontal="centerContinuous" vertical="center"/>
    </xf>
    <xf numFmtId="0" fontId="113" fillId="0" borderId="890" applyNumberFormat="0" applyFill="0" applyAlignment="0" applyProtection="0"/>
    <xf numFmtId="0" fontId="165" fillId="0" borderId="854" applyFill="0" applyProtection="0">
      <alignment horizontal="center"/>
    </xf>
    <xf numFmtId="0" fontId="25" fillId="10" borderId="911" applyNumberFormat="0" applyProtection="0">
      <alignment horizontal="left" vertical="top"/>
    </xf>
    <xf numFmtId="0" fontId="25" fillId="10" borderId="864" applyNumberFormat="0" applyProtection="0">
      <alignment horizontal="left" vertical="top"/>
    </xf>
    <xf numFmtId="0" fontId="25" fillId="10" borderId="863" applyNumberFormat="0" applyProtection="0">
      <alignment horizontal="left" vertical="top"/>
    </xf>
    <xf numFmtId="182" fontId="144" fillId="3" borderId="50">
      <alignment vertical="center"/>
    </xf>
    <xf numFmtId="190" fontId="210" fillId="0" borderId="866" applyNumberFormat="0" applyFill="0" applyBorder="0" applyAlignment="0">
      <protection locked="0"/>
    </xf>
    <xf numFmtId="190" fontId="2" fillId="0" borderId="847" applyNumberFormat="0" applyAlignment="0" applyProtection="0"/>
    <xf numFmtId="190" fontId="214" fillId="0" borderId="848" applyNumberFormat="0" applyFont="0" applyFill="0" applyAlignment="0" applyProtection="0"/>
    <xf numFmtId="190" fontId="25" fillId="10" borderId="849" applyNumberFormat="0" applyProtection="0">
      <alignment horizontal="left" vertical="top"/>
    </xf>
    <xf numFmtId="190" fontId="25" fillId="10" borderId="850" applyNumberFormat="0" applyProtection="0">
      <alignment horizontal="left" vertical="top"/>
    </xf>
    <xf numFmtId="190" fontId="25" fillId="10" borderId="851" applyNumberFormat="0" applyProtection="0">
      <alignment horizontal="left" vertical="top"/>
    </xf>
    <xf numFmtId="190" fontId="25" fillId="10" borderId="852" applyNumberFormat="0" applyProtection="0">
      <alignment horizontal="left" vertical="top"/>
    </xf>
    <xf numFmtId="190" fontId="241" fillId="94" borderId="866" applyBorder="0" applyProtection="0">
      <alignment horizontal="centerContinuous" vertical="center"/>
    </xf>
    <xf numFmtId="264" fontId="12" fillId="14" borderId="1250" applyFont="0" applyFill="0" applyBorder="0" applyAlignment="0" applyProtection="0">
      <alignment horizontal="right"/>
    </xf>
    <xf numFmtId="0" fontId="75" fillId="0" borderId="1251" applyNumberFormat="0" applyFont="0" applyFill="0" applyAlignment="0" applyProtection="0"/>
    <xf numFmtId="0" fontId="25" fillId="10" borderId="863" applyNumberFormat="0" applyProtection="0">
      <alignment horizontal="left" vertical="top"/>
    </xf>
    <xf numFmtId="180" fontId="9" fillId="3" borderId="890">
      <alignment horizontal="right" vertical="center"/>
    </xf>
    <xf numFmtId="222" fontId="79" fillId="0" borderId="865" applyBorder="0"/>
    <xf numFmtId="0" fontId="101" fillId="0" borderId="866" applyBorder="0"/>
    <xf numFmtId="222" fontId="79" fillId="0" borderId="865" applyBorder="0"/>
    <xf numFmtId="0" fontId="113" fillId="0" borderId="866" applyNumberFormat="0" applyFill="0" applyAlignment="0" applyProtection="0"/>
    <xf numFmtId="0" fontId="75" fillId="0" borderId="843" applyNumberFormat="0" applyFont="0" applyFill="0" applyAlignment="0" applyProtection="0"/>
    <xf numFmtId="0" fontId="12" fillId="0" borderId="866" applyNumberFormat="0" applyFill="0" applyBorder="0" applyAlignment="0" applyProtection="0">
      <alignment horizontal="center"/>
    </xf>
    <xf numFmtId="248" fontId="46" fillId="0" borderId="866"/>
    <xf numFmtId="192" fontId="9" fillId="3" borderId="866">
      <alignment horizontal="right" vertical="center"/>
    </xf>
    <xf numFmtId="180" fontId="9" fillId="3" borderId="866">
      <alignment horizontal="right" vertical="center"/>
    </xf>
    <xf numFmtId="186" fontId="146" fillId="3" borderId="866" applyBorder="0">
      <alignment horizontal="left" vertical="center"/>
    </xf>
    <xf numFmtId="186" fontId="146" fillId="3" borderId="845">
      <alignment horizontal="left"/>
    </xf>
    <xf numFmtId="186" fontId="140" fillId="3" borderId="846">
      <alignment horizontal="center" vertical="center"/>
    </xf>
    <xf numFmtId="0" fontId="165" fillId="0" borderId="866" applyFill="0" applyProtection="0">
      <alignment horizontal="center"/>
    </xf>
    <xf numFmtId="0" fontId="166" fillId="0" borderId="866">
      <alignment horizontal="center"/>
    </xf>
    <xf numFmtId="264" fontId="12" fillId="14" borderId="866" applyFont="0" applyFill="0" applyBorder="0" applyAlignment="0" applyProtection="0">
      <alignment horizontal="right"/>
    </xf>
    <xf numFmtId="0" fontId="210" fillId="0" borderId="866" applyNumberFormat="0" applyFill="0" applyBorder="0" applyAlignment="0">
      <protection locked="0"/>
    </xf>
    <xf numFmtId="0" fontId="2" fillId="0" borderId="847" applyNumberFormat="0" applyAlignment="0" applyProtection="0"/>
    <xf numFmtId="0" fontId="214" fillId="0" borderId="848" applyNumberFormat="0" applyFont="0" applyFill="0" applyAlignment="0" applyProtection="0"/>
    <xf numFmtId="0" fontId="25" fillId="10" borderId="849" applyNumberFormat="0" applyProtection="0">
      <alignment horizontal="left" vertical="top"/>
    </xf>
    <xf numFmtId="0" fontId="25" fillId="10" borderId="850" applyNumberFormat="0" applyProtection="0">
      <alignment horizontal="left" vertical="top"/>
    </xf>
    <xf numFmtId="0" fontId="25" fillId="10" borderId="851" applyNumberFormat="0" applyProtection="0">
      <alignment horizontal="left" vertical="top"/>
    </xf>
    <xf numFmtId="0" fontId="25" fillId="10" borderId="852" applyNumberFormat="0" applyProtection="0">
      <alignment horizontal="left" vertical="top"/>
    </xf>
    <xf numFmtId="0" fontId="25" fillId="10" borderId="849" applyNumberFormat="0" applyProtection="0">
      <alignment horizontal="left" vertical="top"/>
    </xf>
    <xf numFmtId="0" fontId="25" fillId="10" borderId="850" applyNumberFormat="0" applyProtection="0">
      <alignment horizontal="left" vertical="top"/>
    </xf>
    <xf numFmtId="0" fontId="25" fillId="10" borderId="851" applyNumberFormat="0" applyProtection="0">
      <alignment horizontal="left" vertical="top"/>
    </xf>
    <xf numFmtId="0" fontId="25" fillId="10" borderId="852" applyNumberFormat="0" applyProtection="0">
      <alignment horizontal="left" vertical="top"/>
    </xf>
    <xf numFmtId="254" fontId="240" fillId="0" borderId="866" applyBorder="0" applyProtection="0">
      <alignment horizontal="right" vertical="center"/>
    </xf>
    <xf numFmtId="0" fontId="241" fillId="94" borderId="866" applyBorder="0" applyProtection="0">
      <alignment horizontal="centerContinuous" vertical="center"/>
    </xf>
    <xf numFmtId="246" fontId="249" fillId="0" borderId="866" applyFill="0" applyProtection="0">
      <alignment horizontal="center"/>
    </xf>
    <xf numFmtId="246" fontId="250" fillId="0" borderId="866" applyFill="0" applyProtection="0">
      <alignment horizontal="center"/>
    </xf>
    <xf numFmtId="248" fontId="46" fillId="0" borderId="914"/>
    <xf numFmtId="0" fontId="101" fillId="0" borderId="914" applyBorder="0"/>
    <xf numFmtId="192" fontId="9" fillId="3" borderId="854">
      <alignment horizontal="right" vertical="center"/>
    </xf>
    <xf numFmtId="0" fontId="25" fillId="10" borderId="861" applyNumberFormat="0" applyProtection="0">
      <alignment horizontal="left" vertical="top"/>
    </xf>
    <xf numFmtId="312" fontId="25" fillId="10" borderId="899" applyNumberFormat="0" applyProtection="0">
      <alignment horizontal="left" vertical="top"/>
    </xf>
    <xf numFmtId="312" fontId="75" fillId="0" borderId="891" applyNumberFormat="0" applyFont="0" applyFill="0" applyAlignment="0" applyProtection="0"/>
    <xf numFmtId="312" fontId="101" fillId="0" borderId="866" applyBorder="0"/>
    <xf numFmtId="0" fontId="241" fillId="94" borderId="914" applyBorder="0" applyProtection="0">
      <alignment horizontal="centerContinuous" vertical="center"/>
    </xf>
    <xf numFmtId="0" fontId="25" fillId="10" borderId="898" applyNumberFormat="0" applyProtection="0">
      <alignment horizontal="left" vertical="top"/>
    </xf>
    <xf numFmtId="0" fontId="165" fillId="0" borderId="914" applyFill="0" applyProtection="0">
      <alignment horizontal="center"/>
    </xf>
    <xf numFmtId="180" fontId="9" fillId="3" borderId="914">
      <alignment horizontal="right" vertical="center"/>
    </xf>
    <xf numFmtId="312" fontId="113" fillId="0" borderId="866" applyNumberFormat="0" applyFill="0" applyAlignment="0" applyProtection="0"/>
    <xf numFmtId="312" fontId="75" fillId="0" borderId="843" applyNumberFormat="0" applyFont="0" applyFill="0" applyAlignment="0" applyProtection="0"/>
    <xf numFmtId="190" fontId="25" fillId="10" borderId="897" applyNumberFormat="0" applyProtection="0">
      <alignment horizontal="left" vertical="top"/>
    </xf>
    <xf numFmtId="312" fontId="12" fillId="0" borderId="866" applyNumberFormat="0" applyFill="0" applyBorder="0" applyAlignment="0" applyProtection="0">
      <alignment horizontal="center"/>
    </xf>
    <xf numFmtId="246" fontId="250" fillId="0" borderId="914" applyFill="0" applyProtection="0">
      <alignment horizontal="center"/>
    </xf>
    <xf numFmtId="0" fontId="241" fillId="94" borderId="914" applyBorder="0" applyProtection="0">
      <alignment horizontal="centerContinuous" vertical="center"/>
    </xf>
    <xf numFmtId="0" fontId="75" fillId="0" borderId="915" applyNumberFormat="0" applyFont="0" applyFill="0" applyAlignment="0" applyProtection="0"/>
    <xf numFmtId="186" fontId="146" fillId="3" borderId="902" applyBorder="0">
      <alignment horizontal="left" vertical="center"/>
    </xf>
    <xf numFmtId="0" fontId="12" fillId="0" borderId="902" applyNumberFormat="0" applyFill="0" applyBorder="0" applyAlignment="0" applyProtection="0">
      <alignment horizontal="center"/>
    </xf>
    <xf numFmtId="0" fontId="75" fillId="0" borderId="891" applyNumberFormat="0" applyFont="0" applyFill="0" applyAlignment="0" applyProtection="0"/>
    <xf numFmtId="0" fontId="2" fillId="0" borderId="895" applyNumberFormat="0" applyAlignment="0" applyProtection="0"/>
    <xf numFmtId="0" fontId="25" fillId="10" borderId="898" applyNumberFormat="0" applyProtection="0">
      <alignment horizontal="left" vertical="top"/>
    </xf>
    <xf numFmtId="0" fontId="78" fillId="14" borderId="892" applyFont="0" applyFill="0" applyBorder="0" applyAlignment="0" applyProtection="0"/>
    <xf numFmtId="246" fontId="249" fillId="0" borderId="878" applyFill="0" applyProtection="0">
      <alignment horizontal="center"/>
    </xf>
    <xf numFmtId="0" fontId="210" fillId="0" borderId="878" applyNumberFormat="0" applyFill="0" applyBorder="0" applyAlignment="0">
      <protection locked="0"/>
    </xf>
    <xf numFmtId="0" fontId="165" fillId="0" borderId="878" applyFill="0" applyProtection="0">
      <alignment horizontal="center"/>
    </xf>
    <xf numFmtId="192" fontId="9" fillId="3" borderId="878">
      <alignment horizontal="right" vertical="center"/>
    </xf>
    <xf numFmtId="0" fontId="113" fillId="0" borderId="878" applyNumberFormat="0" applyFill="0" applyAlignment="0" applyProtection="0"/>
    <xf numFmtId="222" fontId="79" fillId="0" borderId="877" applyBorder="0"/>
    <xf numFmtId="186" fontId="140" fillId="3" borderId="870">
      <alignment horizontal="center" vertical="center"/>
    </xf>
    <xf numFmtId="0" fontId="25" fillId="10" borderId="875" applyNumberFormat="0" applyProtection="0">
      <alignment horizontal="left" vertical="top"/>
    </xf>
    <xf numFmtId="0" fontId="241" fillId="94" borderId="854" applyBorder="0" applyProtection="0">
      <alignment horizontal="centerContinuous" vertical="center"/>
    </xf>
    <xf numFmtId="186" fontId="146" fillId="3" borderId="854" applyBorder="0">
      <alignment horizontal="left" vertical="center"/>
    </xf>
    <xf numFmtId="0" fontId="25" fillId="10" borderId="862" applyNumberFormat="0" applyProtection="0">
      <alignment horizontal="left" vertical="top"/>
    </xf>
    <xf numFmtId="0" fontId="2" fillId="0" borderId="859" applyNumberFormat="0" applyAlignment="0" applyProtection="0"/>
    <xf numFmtId="186" fontId="140" fillId="3" borderId="858">
      <alignment horizontal="center" vertical="center"/>
    </xf>
    <xf numFmtId="222" fontId="79" fillId="0" borderId="865" applyBorder="0"/>
    <xf numFmtId="248" fontId="46" fillId="0" borderId="854"/>
    <xf numFmtId="0" fontId="165" fillId="0" borderId="854" applyFill="0" applyProtection="0">
      <alignment horizontal="center"/>
    </xf>
    <xf numFmtId="312" fontId="165" fillId="0" borderId="866" applyFill="0" applyProtection="0">
      <alignment horizontal="center"/>
    </xf>
    <xf numFmtId="312" fontId="242" fillId="0" borderId="866">
      <alignment horizontal="center"/>
    </xf>
    <xf numFmtId="222" fontId="79" fillId="0" borderId="865" applyBorder="0"/>
    <xf numFmtId="0" fontId="25" fillId="10" borderId="862" applyNumberFormat="0" applyProtection="0">
      <alignment horizontal="left" vertical="top"/>
    </xf>
    <xf numFmtId="0" fontId="78" fillId="14" borderId="856" applyFont="0" applyFill="0" applyBorder="0" applyAlignment="0" applyProtection="0"/>
    <xf numFmtId="222" fontId="79" fillId="0" borderId="865" applyBorder="0"/>
    <xf numFmtId="248" fontId="46" fillId="0" borderId="854"/>
    <xf numFmtId="0" fontId="166" fillId="0" borderId="854">
      <alignment horizontal="center"/>
    </xf>
    <xf numFmtId="186" fontId="140" fillId="3" borderId="906">
      <alignment horizontal="center" vertical="center"/>
    </xf>
    <xf numFmtId="0" fontId="25" fillId="10" borderId="864" applyNumberFormat="0" applyProtection="0">
      <alignment horizontal="left" vertical="top"/>
    </xf>
    <xf numFmtId="0" fontId="241" fillId="94" borderId="866" applyBorder="0" applyProtection="0">
      <alignment horizontal="centerContinuous" vertical="center"/>
    </xf>
    <xf numFmtId="0" fontId="25" fillId="10" borderId="864" applyNumberFormat="0" applyProtection="0">
      <alignment horizontal="left" vertical="top"/>
    </xf>
    <xf numFmtId="246" fontId="250" fillId="0" borderId="854" applyFill="0" applyProtection="0">
      <alignment horizontal="center"/>
    </xf>
    <xf numFmtId="254" fontId="240" fillId="0" borderId="854" applyBorder="0" applyProtection="0">
      <alignment horizontal="right" vertical="center"/>
    </xf>
    <xf numFmtId="192" fontId="9" fillId="3" borderId="890">
      <alignment horizontal="right" vertical="center"/>
    </xf>
    <xf numFmtId="0" fontId="210" fillId="0" borderId="854" applyNumberFormat="0" applyFill="0" applyBorder="0" applyAlignment="0">
      <protection locked="0"/>
    </xf>
    <xf numFmtId="186" fontId="146" fillId="3" borderId="854" applyBorder="0">
      <alignment horizontal="left" vertical="center"/>
    </xf>
    <xf numFmtId="0" fontId="25" fillId="10" borderId="863" applyNumberFormat="0" applyProtection="0">
      <alignment horizontal="left" vertical="top"/>
    </xf>
    <xf numFmtId="0" fontId="25" fillId="10" borderId="862" applyNumberFormat="0" applyProtection="0">
      <alignment horizontal="left" vertical="top"/>
    </xf>
    <xf numFmtId="0" fontId="79" fillId="3" borderId="50">
      <alignment vertical="center"/>
    </xf>
    <xf numFmtId="186" fontId="140" fillId="3" borderId="858">
      <alignment horizontal="center" vertical="center"/>
    </xf>
    <xf numFmtId="312" fontId="210" fillId="0" borderId="866" applyNumberFormat="0" applyFill="0" applyBorder="0" applyAlignment="0">
      <protection locked="0"/>
    </xf>
    <xf numFmtId="312" fontId="2" fillId="0" borderId="847" applyNumberFormat="0" applyAlignment="0" applyProtection="0"/>
    <xf numFmtId="312" fontId="214" fillId="0" borderId="848" applyNumberFormat="0" applyFont="0" applyFill="0" applyAlignment="0" applyProtection="0"/>
    <xf numFmtId="312" fontId="25" fillId="10" borderId="849" applyNumberFormat="0" applyProtection="0">
      <alignment horizontal="left" vertical="top"/>
    </xf>
    <xf numFmtId="312" fontId="25" fillId="10" borderId="850" applyNumberFormat="0" applyProtection="0">
      <alignment horizontal="left" vertical="top"/>
    </xf>
    <xf numFmtId="312" fontId="25" fillId="10" borderId="851" applyNumberFormat="0" applyProtection="0">
      <alignment horizontal="left" vertical="top"/>
    </xf>
    <xf numFmtId="312" fontId="25" fillId="10" borderId="852" applyNumberFormat="0" applyProtection="0">
      <alignment horizontal="left" vertical="top"/>
    </xf>
    <xf numFmtId="312" fontId="241" fillId="94" borderId="866" applyBorder="0" applyProtection="0">
      <alignment horizontal="centerContinuous" vertical="center"/>
    </xf>
    <xf numFmtId="246" fontId="296" fillId="0" borderId="866" applyFill="0" applyProtection="0">
      <alignment horizontal="center"/>
    </xf>
    <xf numFmtId="248" fontId="46" fillId="0" borderId="1250"/>
    <xf numFmtId="0" fontId="25" fillId="10" borderId="861" applyNumberFormat="0" applyProtection="0">
      <alignment horizontal="left" vertical="top"/>
    </xf>
    <xf numFmtId="0" fontId="25" fillId="10" borderId="861" applyNumberFormat="0" applyProtection="0">
      <alignment horizontal="left" vertical="top"/>
    </xf>
    <xf numFmtId="254" fontId="240" fillId="0" borderId="914" applyBorder="0" applyProtection="0">
      <alignment horizontal="right" vertical="center"/>
    </xf>
    <xf numFmtId="312" fontId="241" fillId="94" borderId="914" applyBorder="0" applyProtection="0">
      <alignment horizontal="centerContinuous" vertical="center"/>
    </xf>
    <xf numFmtId="312" fontId="101" fillId="0" borderId="866" applyBorder="0"/>
    <xf numFmtId="312" fontId="113" fillId="0" borderId="866" applyNumberFormat="0" applyFill="0" applyAlignment="0" applyProtection="0"/>
    <xf numFmtId="312" fontId="75" fillId="0" borderId="843" applyNumberFormat="0" applyFont="0" applyFill="0" applyAlignment="0" applyProtection="0"/>
    <xf numFmtId="312" fontId="12" fillId="0" borderId="866" applyNumberFormat="0" applyFill="0" applyBorder="0" applyAlignment="0" applyProtection="0">
      <alignment horizontal="center"/>
    </xf>
    <xf numFmtId="222" fontId="79" fillId="0" borderId="913" applyBorder="0"/>
    <xf numFmtId="0" fontId="113" fillId="0" borderId="854" applyNumberFormat="0" applyFill="0" applyAlignment="0" applyProtection="0"/>
    <xf numFmtId="312" fontId="165" fillId="0" borderId="866" applyFill="0" applyProtection="0">
      <alignment horizontal="center"/>
    </xf>
    <xf numFmtId="312" fontId="242" fillId="0" borderId="866">
      <alignment horizontal="center"/>
    </xf>
    <xf numFmtId="312" fontId="210" fillId="0" borderId="866" applyNumberFormat="0" applyFill="0" applyBorder="0" applyAlignment="0">
      <protection locked="0"/>
    </xf>
    <xf numFmtId="312" fontId="2" fillId="0" borderId="847" applyNumberFormat="0" applyAlignment="0" applyProtection="0"/>
    <xf numFmtId="312" fontId="214" fillId="0" borderId="848" applyNumberFormat="0" applyFont="0" applyFill="0" applyAlignment="0" applyProtection="0"/>
    <xf numFmtId="312" fontId="25" fillId="10" borderId="849" applyNumberFormat="0" applyProtection="0">
      <alignment horizontal="left" vertical="top"/>
    </xf>
    <xf numFmtId="312" fontId="25" fillId="10" borderId="850" applyNumberFormat="0" applyProtection="0">
      <alignment horizontal="left" vertical="top"/>
    </xf>
    <xf numFmtId="312" fontId="25" fillId="10" borderId="851" applyNumberFormat="0" applyProtection="0">
      <alignment horizontal="left" vertical="top"/>
    </xf>
    <xf numFmtId="312" fontId="25" fillId="10" borderId="852" applyNumberFormat="0" applyProtection="0">
      <alignment horizontal="left" vertical="top"/>
    </xf>
    <xf numFmtId="312" fontId="25" fillId="10" borderId="849" applyNumberFormat="0" applyProtection="0">
      <alignment horizontal="left" vertical="top"/>
    </xf>
    <xf numFmtId="312" fontId="25" fillId="10" borderId="850" applyNumberFormat="0" applyProtection="0">
      <alignment horizontal="left" vertical="top"/>
    </xf>
    <xf numFmtId="312" fontId="25" fillId="10" borderId="851" applyNumberFormat="0" applyProtection="0">
      <alignment horizontal="left" vertical="top"/>
    </xf>
    <xf numFmtId="312" fontId="25" fillId="10" borderId="852" applyNumberFormat="0" applyProtection="0">
      <alignment horizontal="left" vertical="top"/>
    </xf>
    <xf numFmtId="312" fontId="241" fillId="94" borderId="866" applyBorder="0" applyProtection="0">
      <alignment horizontal="centerContinuous" vertical="center"/>
    </xf>
    <xf numFmtId="246" fontId="296" fillId="0" borderId="866" applyFill="0" applyProtection="0">
      <alignment horizontal="center"/>
    </xf>
    <xf numFmtId="0" fontId="113" fillId="0" borderId="854" applyNumberFormat="0" applyFill="0" applyAlignment="0" applyProtection="0"/>
    <xf numFmtId="0" fontId="25" fillId="10" borderId="863" applyNumberFormat="0" applyProtection="0">
      <alignment horizontal="left" vertical="top"/>
    </xf>
    <xf numFmtId="192" fontId="9" fillId="3" borderId="914">
      <alignment horizontal="right" vertical="center"/>
    </xf>
    <xf numFmtId="0" fontId="25" fillId="10" borderId="862" applyNumberFormat="0" applyProtection="0">
      <alignment horizontal="left" vertical="top"/>
    </xf>
    <xf numFmtId="246" fontId="250" fillId="0" borderId="914" applyFill="0" applyProtection="0">
      <alignment horizontal="center"/>
    </xf>
    <xf numFmtId="0" fontId="101" fillId="0" borderId="914" applyBorder="0"/>
    <xf numFmtId="0" fontId="78" fillId="14" borderId="904" applyFont="0" applyFill="0" applyBorder="0" applyAlignment="0" applyProtection="0"/>
    <xf numFmtId="264" fontId="12" fillId="14" borderId="914" applyFont="0" applyFill="0" applyBorder="0" applyAlignment="0" applyProtection="0">
      <alignment horizontal="right"/>
    </xf>
    <xf numFmtId="246" fontId="250" fillId="0" borderId="866" applyFill="0" applyProtection="0">
      <alignment horizontal="center"/>
    </xf>
    <xf numFmtId="222" fontId="79" fillId="0" borderId="889" applyBorder="0"/>
    <xf numFmtId="0" fontId="2" fillId="0" borderId="859" applyNumberFormat="0" applyAlignment="0" applyProtection="0"/>
    <xf numFmtId="0" fontId="25" fillId="10" borderId="862" applyNumberFormat="0" applyProtection="0">
      <alignment horizontal="left" vertical="top"/>
    </xf>
    <xf numFmtId="0" fontId="25" fillId="10" borderId="864" applyNumberFormat="0" applyProtection="0">
      <alignment horizontal="left" vertical="top"/>
    </xf>
    <xf numFmtId="246" fontId="249" fillId="0" borderId="914" applyFill="0" applyProtection="0">
      <alignment horizontal="center"/>
    </xf>
    <xf numFmtId="186" fontId="146" fillId="3" borderId="914" applyBorder="0">
      <alignment horizontal="left" vertical="center"/>
    </xf>
    <xf numFmtId="0" fontId="25" fillId="10" borderId="863" applyNumberFormat="0" applyProtection="0">
      <alignment horizontal="left" vertical="top"/>
    </xf>
    <xf numFmtId="0" fontId="25" fillId="10" borderId="862" applyNumberFormat="0" applyProtection="0">
      <alignment horizontal="left" vertical="top"/>
    </xf>
    <xf numFmtId="248" fontId="46" fillId="0" borderId="914"/>
    <xf numFmtId="0" fontId="101" fillId="0" borderId="854" applyBorder="0"/>
    <xf numFmtId="190" fontId="78" fillId="14" borderId="904" applyFont="0" applyFill="0" applyBorder="0" applyAlignment="0" applyProtection="0"/>
    <xf numFmtId="0" fontId="25" fillId="10" borderId="864" applyNumberFormat="0" applyProtection="0">
      <alignment horizontal="left" vertical="top"/>
    </xf>
    <xf numFmtId="0" fontId="12" fillId="0" borderId="914" applyNumberFormat="0" applyFill="0" applyBorder="0" applyAlignment="0" applyProtection="0">
      <alignment horizontal="center"/>
    </xf>
    <xf numFmtId="222" fontId="79" fillId="0" borderId="901" applyBorder="0"/>
    <xf numFmtId="186" fontId="140" fillId="3" borderId="858">
      <alignment horizontal="center" vertical="center"/>
    </xf>
    <xf numFmtId="0" fontId="25" fillId="10" borderId="863" applyNumberFormat="0" applyProtection="0">
      <alignment horizontal="left" vertical="top"/>
    </xf>
    <xf numFmtId="0" fontId="210" fillId="0" borderId="902" applyNumberFormat="0" applyFill="0" applyBorder="0" applyAlignment="0">
      <protection locked="0"/>
    </xf>
    <xf numFmtId="9" fontId="50" fillId="0" borderId="0" applyFont="0" applyFill="0" applyBorder="0" applyAlignment="0" applyProtection="0"/>
    <xf numFmtId="246" fontId="250" fillId="0" borderId="866" applyFill="0" applyProtection="0">
      <alignment horizontal="center"/>
    </xf>
    <xf numFmtId="246" fontId="249" fillId="0" borderId="866" applyFill="0" applyProtection="0">
      <alignment horizontal="center"/>
    </xf>
    <xf numFmtId="0" fontId="241" fillId="94" borderId="866" applyBorder="0" applyProtection="0">
      <alignment horizontal="centerContinuous" vertical="center"/>
    </xf>
    <xf numFmtId="254" fontId="240" fillId="0" borderId="866" applyBorder="0" applyProtection="0">
      <alignment horizontal="right" vertical="center"/>
    </xf>
    <xf numFmtId="0" fontId="25" fillId="10" borderId="864" applyNumberFormat="0" applyProtection="0">
      <alignment horizontal="left" vertical="top"/>
    </xf>
    <xf numFmtId="0" fontId="113" fillId="0" borderId="4746" applyNumberFormat="0" applyFill="0" applyAlignment="0" applyProtection="0"/>
    <xf numFmtId="0" fontId="25" fillId="10" borderId="863" applyNumberFormat="0" applyProtection="0">
      <alignment horizontal="left" vertical="top"/>
    </xf>
    <xf numFmtId="0" fontId="25" fillId="10" borderId="862" applyNumberFormat="0" applyProtection="0">
      <alignment horizontal="left" vertical="top"/>
    </xf>
    <xf numFmtId="0" fontId="25" fillId="10" borderId="861" applyNumberFormat="0" applyProtection="0">
      <alignment horizontal="left" vertical="top"/>
    </xf>
    <xf numFmtId="0" fontId="25" fillId="10" borderId="900" applyNumberFormat="0" applyProtection="0">
      <alignment horizontal="left" vertical="top"/>
    </xf>
    <xf numFmtId="0" fontId="214" fillId="0" borderId="896" applyNumberFormat="0" applyFont="0" applyFill="0" applyAlignment="0" applyProtection="0"/>
    <xf numFmtId="0" fontId="214" fillId="0" borderId="860" applyNumberFormat="0" applyFont="0" applyFill="0" applyAlignment="0" applyProtection="0"/>
    <xf numFmtId="0" fontId="2" fillId="0" borderId="859" applyNumberFormat="0" applyAlignment="0" applyProtection="0"/>
    <xf numFmtId="0" fontId="210" fillId="0" borderId="866" applyNumberFormat="0" applyFill="0" applyBorder="0" applyAlignment="0">
      <protection locked="0"/>
    </xf>
    <xf numFmtId="0" fontId="25" fillId="10" borderId="861" applyNumberFormat="0" applyProtection="0">
      <alignment horizontal="left" vertical="top"/>
    </xf>
    <xf numFmtId="264" fontId="12" fillId="14" borderId="866" applyFont="0" applyFill="0" applyBorder="0" applyAlignment="0" applyProtection="0">
      <alignment horizontal="right"/>
    </xf>
    <xf numFmtId="0" fontId="78" fillId="14" borderId="868" applyFont="0" applyFill="0" applyBorder="0" applyAlignment="0" applyProtection="0"/>
    <xf numFmtId="0" fontId="210" fillId="0" borderId="854" applyNumberFormat="0" applyFill="0" applyBorder="0" applyAlignment="0">
      <protection locked="0"/>
    </xf>
    <xf numFmtId="0" fontId="75" fillId="0" borderId="855" applyNumberFormat="0" applyFont="0" applyFill="0" applyAlignment="0" applyProtection="0"/>
    <xf numFmtId="0" fontId="166" fillId="0" borderId="866">
      <alignment horizontal="center"/>
    </xf>
    <xf numFmtId="0" fontId="165" fillId="0" borderId="866" applyFill="0" applyProtection="0">
      <alignment horizontal="center"/>
    </xf>
    <xf numFmtId="0" fontId="78" fillId="14" borderId="856" applyFont="0" applyFill="0" applyBorder="0" applyAlignment="0" applyProtection="0"/>
    <xf numFmtId="186" fontId="146" fillId="3" borderId="857">
      <alignment horizontal="left"/>
    </xf>
    <xf numFmtId="254" fontId="240" fillId="0" borderId="854" applyBorder="0" applyProtection="0">
      <alignment horizontal="right" vertical="center"/>
    </xf>
    <xf numFmtId="0" fontId="25" fillId="10" borderId="876" applyNumberFormat="0" applyProtection="0">
      <alignment horizontal="left" vertical="top"/>
    </xf>
    <xf numFmtId="186" fontId="140" fillId="3" borderId="858">
      <alignment horizontal="center" vertical="center"/>
    </xf>
    <xf numFmtId="186" fontId="146" fillId="3" borderId="857">
      <alignment horizontal="left"/>
    </xf>
    <xf numFmtId="186" fontId="146" fillId="3" borderId="866" applyBorder="0">
      <alignment horizontal="left" vertical="center"/>
    </xf>
    <xf numFmtId="180" fontId="9" fillId="3" borderId="866">
      <alignment horizontal="right" vertical="center"/>
    </xf>
    <xf numFmtId="192" fontId="9" fillId="3" borderId="866">
      <alignment horizontal="right" vertical="center"/>
    </xf>
    <xf numFmtId="192" fontId="9" fillId="3" borderId="914">
      <alignment horizontal="right" vertical="center"/>
    </xf>
    <xf numFmtId="248" fontId="46" fillId="0" borderId="866"/>
    <xf numFmtId="0" fontId="78" fillId="14" borderId="856" applyFont="0" applyFill="0" applyBorder="0" applyAlignment="0" applyProtection="0"/>
    <xf numFmtId="0" fontId="12" fillId="0" borderId="866" applyNumberFormat="0" applyFill="0" applyBorder="0" applyAlignment="0" applyProtection="0">
      <alignment horizontal="center"/>
    </xf>
    <xf numFmtId="0" fontId="75" fillId="0" borderId="855" applyNumberFormat="0" applyFont="0" applyFill="0" applyAlignment="0" applyProtection="0"/>
    <xf numFmtId="0" fontId="113" fillId="0" borderId="866" applyNumberFormat="0" applyFill="0" applyAlignment="0" applyProtection="0"/>
    <xf numFmtId="0" fontId="25" fillId="10" borderId="897" applyNumberFormat="0" applyProtection="0">
      <alignment horizontal="left" vertical="top"/>
    </xf>
    <xf numFmtId="254" fontId="240" fillId="0" borderId="914" applyBorder="0" applyProtection="0">
      <alignment horizontal="right" vertical="center"/>
    </xf>
    <xf numFmtId="222" fontId="79" fillId="0" borderId="865" applyBorder="0"/>
    <xf numFmtId="0" fontId="101" fillId="0" borderId="866" applyBorder="0"/>
    <xf numFmtId="0" fontId="25" fillId="10" borderId="873" applyNumberFormat="0" applyProtection="0">
      <alignment horizontal="left" vertical="top"/>
    </xf>
    <xf numFmtId="0" fontId="25" fillId="10" borderId="874" applyNumberFormat="0" applyProtection="0">
      <alignment horizontal="left" vertical="top"/>
    </xf>
    <xf numFmtId="0" fontId="25" fillId="10" borderId="875" applyNumberFormat="0" applyProtection="0">
      <alignment horizontal="left" vertical="top"/>
    </xf>
    <xf numFmtId="0" fontId="25" fillId="10" borderId="876" applyNumberFormat="0" applyProtection="0">
      <alignment horizontal="left" vertical="top"/>
    </xf>
    <xf numFmtId="190" fontId="12" fillId="0" borderId="914" applyNumberFormat="0" applyFill="0" applyBorder="0" applyAlignment="0" applyProtection="0">
      <alignment horizontal="center"/>
    </xf>
    <xf numFmtId="0" fontId="165" fillId="0" borderId="890" applyFill="0" applyProtection="0">
      <alignment horizontal="center"/>
    </xf>
    <xf numFmtId="190" fontId="214" fillId="0" borderId="896" applyNumberFormat="0" applyFont="0" applyFill="0" applyAlignment="0" applyProtection="0"/>
    <xf numFmtId="312" fontId="242" fillId="0" borderId="914">
      <alignment horizontal="center"/>
    </xf>
    <xf numFmtId="190" fontId="165" fillId="0" borderId="914" applyFill="0" applyProtection="0">
      <alignment horizontal="center"/>
    </xf>
    <xf numFmtId="0" fontId="25" fillId="10" borderId="862" applyNumberFormat="0" applyProtection="0">
      <alignment horizontal="left" vertical="top"/>
    </xf>
    <xf numFmtId="0" fontId="25" fillId="10" borderId="885" applyNumberFormat="0" applyProtection="0">
      <alignment horizontal="left" vertical="top"/>
    </xf>
    <xf numFmtId="264" fontId="12" fillId="14" borderId="890" applyFont="0" applyFill="0" applyBorder="0" applyAlignment="0" applyProtection="0">
      <alignment horizontal="right"/>
    </xf>
    <xf numFmtId="246" fontId="250" fillId="0" borderId="890" applyFill="0" applyProtection="0">
      <alignment horizontal="center"/>
    </xf>
    <xf numFmtId="180" fontId="9" fillId="3" borderId="914">
      <alignment horizontal="right" vertical="center"/>
    </xf>
    <xf numFmtId="0" fontId="214" fillId="0" borderId="860" applyNumberFormat="0" applyFont="0" applyFill="0" applyAlignment="0" applyProtection="0"/>
    <xf numFmtId="246" fontId="249" fillId="0" borderId="866" applyFill="0" applyProtection="0">
      <alignment horizontal="center"/>
    </xf>
    <xf numFmtId="246" fontId="250" fillId="0" borderId="854" applyFill="0" applyProtection="0">
      <alignment horizontal="center"/>
    </xf>
    <xf numFmtId="246" fontId="249" fillId="0" borderId="854" applyFill="0" applyProtection="0">
      <alignment horizontal="center"/>
    </xf>
    <xf numFmtId="0" fontId="241" fillId="94" borderId="854" applyBorder="0" applyProtection="0">
      <alignment horizontal="centerContinuous" vertical="center"/>
    </xf>
    <xf numFmtId="254" fontId="240" fillId="0" borderId="854" applyBorder="0" applyProtection="0">
      <alignment horizontal="right" vertical="center"/>
    </xf>
    <xf numFmtId="0" fontId="210" fillId="0" borderId="854" applyNumberFormat="0" applyFill="0" applyBorder="0" applyAlignment="0">
      <protection locked="0"/>
    </xf>
    <xf numFmtId="0" fontId="2" fillId="0" borderId="907" applyNumberFormat="0" applyAlignment="0" applyProtection="0"/>
    <xf numFmtId="264" fontId="12" fillId="14" borderId="854" applyFont="0" applyFill="0" applyBorder="0" applyAlignment="0" applyProtection="0">
      <alignment horizontal="right"/>
    </xf>
    <xf numFmtId="0" fontId="166" fillId="0" borderId="854">
      <alignment horizontal="center"/>
    </xf>
    <xf numFmtId="0" fontId="165" fillId="0" borderId="854" applyFill="0" applyProtection="0">
      <alignment horizontal="center"/>
    </xf>
    <xf numFmtId="186" fontId="146" fillId="3" borderId="854" applyBorder="0">
      <alignment horizontal="left" vertical="center"/>
    </xf>
    <xf numFmtId="180" fontId="9" fillId="3" borderId="854">
      <alignment horizontal="right" vertical="center"/>
    </xf>
    <xf numFmtId="192" fontId="9" fillId="3" borderId="854">
      <alignment horizontal="right" vertical="center"/>
    </xf>
    <xf numFmtId="248" fontId="46" fillId="0" borderId="854"/>
    <xf numFmtId="0" fontId="12" fillId="0" borderId="854" applyNumberFormat="0" applyFill="0" applyBorder="0" applyAlignment="0" applyProtection="0">
      <alignment horizontal="center"/>
    </xf>
    <xf numFmtId="0" fontId="113" fillId="0" borderId="854" applyNumberFormat="0" applyFill="0" applyAlignment="0" applyProtection="0"/>
    <xf numFmtId="222" fontId="79" fillId="0" borderId="853" applyBorder="0"/>
    <xf numFmtId="0" fontId="101" fillId="0" borderId="854" applyBorder="0"/>
    <xf numFmtId="264" fontId="12" fillId="14" borderId="902" applyFont="0" applyFill="0" applyBorder="0" applyAlignment="0" applyProtection="0">
      <alignment horizontal="right"/>
    </xf>
    <xf numFmtId="246" fontId="250" fillId="0" borderId="854" applyFill="0" applyProtection="0">
      <alignment horizontal="center"/>
    </xf>
    <xf numFmtId="246" fontId="249" fillId="0" borderId="854" applyFill="0" applyProtection="0">
      <alignment horizontal="center"/>
    </xf>
    <xf numFmtId="0" fontId="241" fillId="94" borderId="854" applyBorder="0" applyProtection="0">
      <alignment horizontal="centerContinuous" vertical="center"/>
    </xf>
    <xf numFmtId="254" fontId="240" fillId="0" borderId="854" applyBorder="0" applyProtection="0">
      <alignment horizontal="right" vertical="center"/>
    </xf>
    <xf numFmtId="0" fontId="210" fillId="0" borderId="854" applyNumberFormat="0" applyFill="0" applyBorder="0" applyAlignment="0">
      <protection locked="0"/>
    </xf>
    <xf numFmtId="264" fontId="12" fillId="14" borderId="854" applyFont="0" applyFill="0" applyBorder="0" applyAlignment="0" applyProtection="0">
      <alignment horizontal="right"/>
    </xf>
    <xf numFmtId="0" fontId="166" fillId="0" borderId="854">
      <alignment horizontal="center"/>
    </xf>
    <xf numFmtId="0" fontId="165" fillId="0" borderId="854" applyFill="0" applyProtection="0">
      <alignment horizontal="center"/>
    </xf>
    <xf numFmtId="0" fontId="25" fillId="10" borderId="864" applyNumberFormat="0" applyProtection="0">
      <alignment horizontal="left" vertical="top"/>
    </xf>
    <xf numFmtId="0" fontId="78" fillId="14" borderId="856" applyFont="0" applyFill="0" applyBorder="0" applyAlignment="0" applyProtection="0"/>
    <xf numFmtId="264" fontId="12" fillId="14" borderId="854" applyFont="0" applyFill="0" applyBorder="0" applyAlignment="0" applyProtection="0">
      <alignment horizontal="right"/>
    </xf>
    <xf numFmtId="222" fontId="79" fillId="0" borderId="865" applyBorder="0"/>
    <xf numFmtId="186" fontId="146" fillId="3" borderId="854" applyBorder="0">
      <alignment horizontal="left" vertical="center"/>
    </xf>
    <xf numFmtId="180" fontId="9" fillId="3" borderId="854">
      <alignment horizontal="right" vertical="center"/>
    </xf>
    <xf numFmtId="192" fontId="9" fillId="3" borderId="854">
      <alignment horizontal="right" vertical="center"/>
    </xf>
    <xf numFmtId="0" fontId="12" fillId="0" borderId="854" applyNumberFormat="0" applyFill="0" applyBorder="0" applyAlignment="0" applyProtection="0">
      <alignment horizontal="center"/>
    </xf>
    <xf numFmtId="0" fontId="113" fillId="0" borderId="854" applyNumberFormat="0" applyFill="0" applyAlignment="0" applyProtection="0"/>
    <xf numFmtId="0" fontId="2" fillId="0" borderId="895" applyNumberFormat="0" applyAlignment="0" applyProtection="0"/>
    <xf numFmtId="0" fontId="25" fillId="10" borderId="899" applyNumberFormat="0" applyProtection="0">
      <alignment horizontal="left" vertical="top"/>
    </xf>
    <xf numFmtId="222" fontId="79" fillId="0" borderId="853" applyBorder="0"/>
    <xf numFmtId="0" fontId="101" fillId="0" borderId="854" applyBorder="0"/>
    <xf numFmtId="248" fontId="46" fillId="0" borderId="854"/>
    <xf numFmtId="246" fontId="250" fillId="0" borderId="854" applyFill="0" applyProtection="0">
      <alignment horizontal="center"/>
    </xf>
    <xf numFmtId="246" fontId="249" fillId="0" borderId="854" applyFill="0" applyProtection="0">
      <alignment horizontal="center"/>
    </xf>
    <xf numFmtId="0" fontId="241" fillId="94" borderId="854" applyBorder="0" applyProtection="0">
      <alignment horizontal="centerContinuous" vertical="center"/>
    </xf>
    <xf numFmtId="254" fontId="240" fillId="0" borderId="854" applyBorder="0" applyProtection="0">
      <alignment horizontal="right" vertical="center"/>
    </xf>
    <xf numFmtId="0" fontId="210" fillId="0" borderId="854" applyNumberFormat="0" applyFill="0" applyBorder="0" applyAlignment="0">
      <protection locked="0"/>
    </xf>
    <xf numFmtId="264" fontId="12" fillId="14" borderId="854" applyFont="0" applyFill="0" applyBorder="0" applyAlignment="0" applyProtection="0">
      <alignment horizontal="right"/>
    </xf>
    <xf numFmtId="0" fontId="166" fillId="0" borderId="854">
      <alignment horizontal="center"/>
    </xf>
    <xf numFmtId="0" fontId="165" fillId="0" borderId="854" applyFill="0" applyProtection="0">
      <alignment horizontal="center"/>
    </xf>
    <xf numFmtId="186" fontId="146" fillId="3" borderId="854" applyBorder="0">
      <alignment horizontal="left" vertical="center"/>
    </xf>
    <xf numFmtId="180" fontId="9" fillId="3" borderId="854">
      <alignment horizontal="right" vertical="center"/>
    </xf>
    <xf numFmtId="192" fontId="9" fillId="3" borderId="854">
      <alignment horizontal="right" vertical="center"/>
    </xf>
    <xf numFmtId="248" fontId="46" fillId="0" borderId="854"/>
    <xf numFmtId="0" fontId="12" fillId="0" borderId="854" applyNumberFormat="0" applyFill="0" applyBorder="0" applyAlignment="0" applyProtection="0">
      <alignment horizontal="center"/>
    </xf>
    <xf numFmtId="0" fontId="113" fillId="0" borderId="854" applyNumberFormat="0" applyFill="0" applyAlignment="0" applyProtection="0"/>
    <xf numFmtId="222" fontId="79" fillId="0" borderId="853" applyBorder="0"/>
    <xf numFmtId="0" fontId="101" fillId="0" borderId="854" applyBorder="0"/>
    <xf numFmtId="246" fontId="296" fillId="0" borderId="914" applyFill="0" applyProtection="0">
      <alignment horizontal="center"/>
    </xf>
    <xf numFmtId="312" fontId="101" fillId="0" borderId="914" applyBorder="0"/>
    <xf numFmtId="312" fontId="113" fillId="0" borderId="914" applyNumberFormat="0" applyFill="0" applyAlignment="0" applyProtection="0"/>
    <xf numFmtId="312" fontId="75" fillId="0" borderId="891" applyNumberFormat="0" applyFont="0" applyFill="0" applyAlignment="0" applyProtection="0"/>
    <xf numFmtId="312" fontId="12" fillId="0" borderId="914" applyNumberFormat="0" applyFill="0" applyBorder="0" applyAlignment="0" applyProtection="0">
      <alignment horizontal="center"/>
    </xf>
    <xf numFmtId="312" fontId="165" fillId="0" borderId="914" applyFill="0" applyProtection="0">
      <alignment horizontal="center"/>
    </xf>
    <xf numFmtId="312" fontId="242" fillId="0" borderId="914">
      <alignment horizontal="center"/>
    </xf>
    <xf numFmtId="312" fontId="79" fillId="3" borderId="50">
      <alignment vertical="center"/>
    </xf>
    <xf numFmtId="312" fontId="210" fillId="0" borderId="914" applyNumberFormat="0" applyFill="0" applyBorder="0" applyAlignment="0">
      <protection locked="0"/>
    </xf>
    <xf numFmtId="312" fontId="2" fillId="0" borderId="895" applyNumberFormat="0" applyAlignment="0" applyProtection="0"/>
    <xf numFmtId="312" fontId="214" fillId="0" borderId="896" applyNumberFormat="0" applyFont="0" applyFill="0" applyAlignment="0" applyProtection="0"/>
    <xf numFmtId="312" fontId="25" fillId="10" borderId="897" applyNumberFormat="0" applyProtection="0">
      <alignment horizontal="left" vertical="top"/>
    </xf>
    <xf numFmtId="312" fontId="25" fillId="10" borderId="898" applyNumberFormat="0" applyProtection="0">
      <alignment horizontal="left" vertical="top"/>
    </xf>
    <xf numFmtId="312" fontId="25" fillId="10" borderId="899" applyNumberFormat="0" applyProtection="0">
      <alignment horizontal="left" vertical="top"/>
    </xf>
    <xf numFmtId="312" fontId="25" fillId="10" borderId="900" applyNumberFormat="0" applyProtection="0">
      <alignment horizontal="left" vertical="top"/>
    </xf>
    <xf numFmtId="312" fontId="25" fillId="10" borderId="897" applyNumberFormat="0" applyProtection="0">
      <alignment horizontal="left" vertical="top"/>
    </xf>
    <xf numFmtId="312" fontId="25" fillId="10" borderId="898" applyNumberFormat="0" applyProtection="0">
      <alignment horizontal="left" vertical="top"/>
    </xf>
    <xf numFmtId="312" fontId="25" fillId="10" borderId="899" applyNumberFormat="0" applyProtection="0">
      <alignment horizontal="left" vertical="top"/>
    </xf>
    <xf numFmtId="312" fontId="25" fillId="10" borderId="900" applyNumberFormat="0" applyProtection="0">
      <alignment horizontal="left" vertical="top"/>
    </xf>
    <xf numFmtId="312" fontId="241" fillId="94" borderId="914" applyBorder="0" applyProtection="0">
      <alignment horizontal="centerContinuous" vertical="center"/>
    </xf>
    <xf numFmtId="246" fontId="296" fillId="0" borderId="914" applyFill="0" applyProtection="0">
      <alignment horizontal="center"/>
    </xf>
    <xf numFmtId="246" fontId="250" fillId="0" borderId="914" applyFill="0" applyProtection="0">
      <alignment horizontal="center"/>
    </xf>
    <xf numFmtId="246" fontId="249" fillId="0" borderId="914" applyFill="0" applyProtection="0">
      <alignment horizontal="center"/>
    </xf>
    <xf numFmtId="0" fontId="241" fillId="94" borderId="914" applyBorder="0" applyProtection="0">
      <alignment horizontal="centerContinuous" vertical="center"/>
    </xf>
    <xf numFmtId="254" fontId="240" fillId="0" borderId="914" applyBorder="0" applyProtection="0">
      <alignment horizontal="right" vertical="center"/>
    </xf>
    <xf numFmtId="0" fontId="210" fillId="0" borderId="914" applyNumberFormat="0" applyFill="0" applyBorder="0" applyAlignment="0">
      <protection locked="0"/>
    </xf>
    <xf numFmtId="264" fontId="12" fillId="14" borderId="914" applyFont="0" applyFill="0" applyBorder="0" applyAlignment="0" applyProtection="0">
      <alignment horizontal="right"/>
    </xf>
    <xf numFmtId="0" fontId="166" fillId="0" borderId="914">
      <alignment horizontal="center"/>
    </xf>
    <xf numFmtId="0" fontId="165" fillId="0" borderId="914" applyFill="0" applyProtection="0">
      <alignment horizontal="center"/>
    </xf>
    <xf numFmtId="186" fontId="146" fillId="3" borderId="914" applyBorder="0">
      <alignment horizontal="left" vertical="center"/>
    </xf>
    <xf numFmtId="180" fontId="9" fillId="3" borderId="914">
      <alignment horizontal="right" vertical="center"/>
    </xf>
    <xf numFmtId="192" fontId="9" fillId="3" borderId="914">
      <alignment horizontal="right" vertical="center"/>
    </xf>
    <xf numFmtId="248" fontId="46" fillId="0" borderId="914"/>
    <xf numFmtId="0" fontId="12" fillId="0" borderId="914" applyNumberFormat="0" applyFill="0" applyBorder="0" applyAlignment="0" applyProtection="0">
      <alignment horizontal="center"/>
    </xf>
    <xf numFmtId="0" fontId="113" fillId="0" borderId="914" applyNumberFormat="0" applyFill="0" applyAlignment="0" applyProtection="0"/>
    <xf numFmtId="222" fontId="79" fillId="0" borderId="913" applyBorder="0"/>
    <xf numFmtId="0" fontId="101" fillId="0" borderId="914" applyBorder="0"/>
    <xf numFmtId="0" fontId="25" fillId="10" borderId="921" applyNumberFormat="0" applyProtection="0">
      <alignment horizontal="left" vertical="top"/>
    </xf>
    <xf numFmtId="0" fontId="25" fillId="10" borderId="922" applyNumberFormat="0" applyProtection="0">
      <alignment horizontal="left" vertical="top"/>
    </xf>
    <xf numFmtId="0" fontId="25" fillId="10" borderId="923" applyNumberFormat="0" applyProtection="0">
      <alignment horizontal="left" vertical="top"/>
    </xf>
    <xf numFmtId="0" fontId="25" fillId="10" borderId="924" applyNumberFormat="0" applyProtection="0">
      <alignment horizontal="left" vertical="top"/>
    </xf>
    <xf numFmtId="222" fontId="79" fillId="0" borderId="925" applyBorder="0"/>
    <xf numFmtId="0" fontId="101" fillId="0" borderId="926" applyBorder="0"/>
    <xf numFmtId="222" fontId="79" fillId="0" borderId="925" applyBorder="0"/>
    <xf numFmtId="0" fontId="113" fillId="0" borderId="926" applyNumberFormat="0" applyFill="0" applyAlignment="0" applyProtection="0"/>
    <xf numFmtId="0" fontId="12" fillId="0" borderId="926" applyNumberFormat="0" applyFill="0" applyBorder="0" applyAlignment="0" applyProtection="0">
      <alignment horizontal="center"/>
    </xf>
    <xf numFmtId="248" fontId="46" fillId="0" borderId="926"/>
    <xf numFmtId="192" fontId="9" fillId="3" borderId="926">
      <alignment horizontal="right" vertical="center"/>
    </xf>
    <xf numFmtId="180" fontId="9" fillId="3" borderId="926">
      <alignment horizontal="right" vertical="center"/>
    </xf>
    <xf numFmtId="186" fontId="146" fillId="3" borderId="926" applyBorder="0">
      <alignment horizontal="left" vertical="center"/>
    </xf>
    <xf numFmtId="0" fontId="165" fillId="0" borderId="926" applyFill="0" applyProtection="0">
      <alignment horizontal="center"/>
    </xf>
    <xf numFmtId="0" fontId="166" fillId="0" borderId="926">
      <alignment horizontal="center"/>
    </xf>
    <xf numFmtId="264" fontId="12" fillId="14" borderId="926" applyFont="0" applyFill="0" applyBorder="0" applyAlignment="0" applyProtection="0">
      <alignment horizontal="right"/>
    </xf>
    <xf numFmtId="0" fontId="210" fillId="0" borderId="926" applyNumberFormat="0" applyFill="0" applyBorder="0" applyAlignment="0">
      <protection locked="0"/>
    </xf>
    <xf numFmtId="254" fontId="240" fillId="0" borderId="926" applyBorder="0" applyProtection="0">
      <alignment horizontal="right" vertical="center"/>
    </xf>
    <xf numFmtId="0" fontId="241" fillId="94" borderId="926" applyBorder="0" applyProtection="0">
      <alignment horizontal="centerContinuous" vertical="center"/>
    </xf>
    <xf numFmtId="246" fontId="249" fillId="0" borderId="926" applyFill="0" applyProtection="0">
      <alignment horizontal="center"/>
    </xf>
    <xf numFmtId="246" fontId="250" fillId="0" borderId="926" applyFill="0" applyProtection="0">
      <alignment horizontal="center"/>
    </xf>
    <xf numFmtId="0" fontId="78" fillId="14" borderId="928" applyFont="0" applyFill="0" applyBorder="0" applyAlignment="0" applyProtection="0"/>
    <xf numFmtId="0" fontId="25" fillId="10" borderId="936" applyNumberFormat="0" applyProtection="0">
      <alignment horizontal="left" vertical="top"/>
    </xf>
    <xf numFmtId="0" fontId="25" fillId="10" borderId="935" applyNumberFormat="0" applyProtection="0">
      <alignment horizontal="left" vertical="top"/>
    </xf>
    <xf numFmtId="0" fontId="25" fillId="10" borderId="934" applyNumberFormat="0" applyProtection="0">
      <alignment horizontal="left" vertical="top"/>
    </xf>
    <xf numFmtId="0" fontId="25" fillId="10" borderId="933" applyNumberFormat="0" applyProtection="0">
      <alignment horizontal="left" vertical="top"/>
    </xf>
    <xf numFmtId="0" fontId="214" fillId="0" borderId="932" applyNumberFormat="0" applyFont="0" applyFill="0" applyAlignment="0" applyProtection="0"/>
    <xf numFmtId="0" fontId="2" fillId="0" borderId="931" applyNumberFormat="0" applyAlignment="0" applyProtection="0"/>
    <xf numFmtId="186" fontId="140" fillId="3" borderId="930">
      <alignment horizontal="center" vertical="center"/>
    </xf>
    <xf numFmtId="186" fontId="146" fillId="3" borderId="929">
      <alignment horizontal="left"/>
    </xf>
    <xf numFmtId="0" fontId="75" fillId="0" borderId="927" applyNumberFormat="0" applyFont="0" applyFill="0" applyAlignment="0" applyProtection="0"/>
    <xf numFmtId="222" fontId="79" fillId="0" borderId="937" applyBorder="0"/>
    <xf numFmtId="0" fontId="101" fillId="0" borderId="938" applyBorder="0"/>
    <xf numFmtId="222" fontId="79" fillId="0" borderId="937" applyBorder="0"/>
    <xf numFmtId="0" fontId="113" fillId="0" borderId="938" applyNumberFormat="0" applyFill="0" applyAlignment="0" applyProtection="0"/>
    <xf numFmtId="0" fontId="12" fillId="0" borderId="938" applyNumberFormat="0" applyFill="0" applyBorder="0" applyAlignment="0" applyProtection="0">
      <alignment horizontal="center"/>
    </xf>
    <xf numFmtId="248" fontId="46" fillId="0" borderId="938"/>
    <xf numFmtId="192" fontId="9" fillId="3" borderId="938">
      <alignment horizontal="right" vertical="center"/>
    </xf>
    <xf numFmtId="180" fontId="9" fillId="3" borderId="938">
      <alignment horizontal="right" vertical="center"/>
    </xf>
    <xf numFmtId="186" fontId="146" fillId="3" borderId="938" applyBorder="0">
      <alignment horizontal="left" vertical="center"/>
    </xf>
    <xf numFmtId="0" fontId="165" fillId="0" borderId="938" applyFill="0" applyProtection="0">
      <alignment horizontal="center"/>
    </xf>
    <xf numFmtId="0" fontId="166" fillId="0" borderId="938">
      <alignment horizontal="center"/>
    </xf>
    <xf numFmtId="264" fontId="12" fillId="14" borderId="938" applyFont="0" applyFill="0" applyBorder="0" applyAlignment="0" applyProtection="0">
      <alignment horizontal="right"/>
    </xf>
    <xf numFmtId="0" fontId="210" fillId="0" borderId="938" applyNumberFormat="0" applyFill="0" applyBorder="0" applyAlignment="0">
      <protection locked="0"/>
    </xf>
    <xf numFmtId="254" fontId="240" fillId="0" borderId="938" applyBorder="0" applyProtection="0">
      <alignment horizontal="right" vertical="center"/>
    </xf>
    <xf numFmtId="0" fontId="241" fillId="94" borderId="938" applyBorder="0" applyProtection="0">
      <alignment horizontal="centerContinuous" vertical="center"/>
    </xf>
    <xf numFmtId="246" fontId="249" fillId="0" borderId="938" applyFill="0" applyProtection="0">
      <alignment horizontal="center"/>
    </xf>
    <xf numFmtId="246" fontId="250" fillId="0" borderId="938" applyFill="0" applyProtection="0">
      <alignment horizontal="center"/>
    </xf>
    <xf numFmtId="186" fontId="146" fillId="3" borderId="941">
      <alignment horizontal="left"/>
    </xf>
    <xf numFmtId="0" fontId="75" fillId="0" borderId="939" applyNumberFormat="0" applyFont="0" applyFill="0" applyAlignment="0" applyProtection="0"/>
    <xf numFmtId="0" fontId="113" fillId="0" borderId="1022" applyNumberFormat="0" applyFill="0" applyAlignment="0" applyProtection="0"/>
    <xf numFmtId="264" fontId="12" fillId="14" borderId="1022" applyFont="0" applyFill="0" applyBorder="0" applyAlignment="0" applyProtection="0">
      <alignment horizontal="right"/>
    </xf>
    <xf numFmtId="246" fontId="249" fillId="0" borderId="1022" applyFill="0" applyProtection="0">
      <alignment horizontal="center"/>
    </xf>
    <xf numFmtId="0" fontId="25" fillId="10" borderId="948" applyNumberFormat="0" applyProtection="0">
      <alignment horizontal="left" vertical="top"/>
    </xf>
    <xf numFmtId="0" fontId="25" fillId="10" borderId="946" applyNumberFormat="0" applyProtection="0">
      <alignment horizontal="left" vertical="top"/>
    </xf>
    <xf numFmtId="0" fontId="25" fillId="10" borderId="947" applyNumberFormat="0" applyProtection="0">
      <alignment horizontal="left" vertical="top"/>
    </xf>
    <xf numFmtId="0" fontId="25" fillId="10" borderId="945" applyNumberFormat="0" applyProtection="0">
      <alignment horizontal="left" vertical="top"/>
    </xf>
    <xf numFmtId="0" fontId="25" fillId="10" borderId="948" applyNumberFormat="0" applyProtection="0">
      <alignment horizontal="left" vertical="top"/>
    </xf>
    <xf numFmtId="0" fontId="25" fillId="10" borderId="947" applyNumberFormat="0" applyProtection="0">
      <alignment horizontal="left" vertical="top"/>
    </xf>
    <xf numFmtId="0" fontId="25" fillId="10" borderId="946" applyNumberFormat="0" applyProtection="0">
      <alignment horizontal="left" vertical="top"/>
    </xf>
    <xf numFmtId="0" fontId="25" fillId="10" borderId="945" applyNumberFormat="0" applyProtection="0">
      <alignment horizontal="left" vertical="top"/>
    </xf>
    <xf numFmtId="0" fontId="214" fillId="0" borderId="944" applyNumberFormat="0" applyFont="0" applyFill="0" applyAlignment="0" applyProtection="0"/>
    <xf numFmtId="0" fontId="2" fillId="0" borderId="943" applyNumberFormat="0" applyAlignment="0" applyProtection="0"/>
    <xf numFmtId="186" fontId="140" fillId="3" borderId="942">
      <alignment horizontal="center" vertical="center"/>
    </xf>
    <xf numFmtId="186" fontId="140" fillId="3" borderId="954">
      <alignment horizontal="center" vertical="center"/>
    </xf>
    <xf numFmtId="0" fontId="25" fillId="10" borderId="957" applyNumberFormat="0" applyProtection="0">
      <alignment horizontal="left" vertical="top"/>
    </xf>
    <xf numFmtId="0" fontId="12" fillId="0" borderId="1022" applyNumberFormat="0" applyFill="0" applyBorder="0" applyAlignment="0" applyProtection="0">
      <alignment horizontal="center"/>
    </xf>
    <xf numFmtId="0" fontId="25" fillId="10" borderId="1019" applyNumberFormat="0" applyProtection="0">
      <alignment horizontal="left" vertical="top"/>
    </xf>
    <xf numFmtId="222" fontId="79" fillId="0" borderId="1009" applyBorder="0"/>
    <xf numFmtId="0" fontId="78" fillId="14" borderId="1012" applyFont="0" applyFill="0" applyBorder="0" applyAlignment="0" applyProtection="0"/>
    <xf numFmtId="222" fontId="79" fillId="0" borderId="1021" applyBorder="0"/>
    <xf numFmtId="0" fontId="101" fillId="0" borderId="1022" applyBorder="0"/>
    <xf numFmtId="222" fontId="79" fillId="0" borderId="1021" applyBorder="0"/>
    <xf numFmtId="248" fontId="46" fillId="0" borderId="1022"/>
    <xf numFmtId="192" fontId="9" fillId="3" borderId="1022">
      <alignment horizontal="right" vertical="center"/>
    </xf>
    <xf numFmtId="180" fontId="9" fillId="3" borderId="1022">
      <alignment horizontal="right" vertical="center"/>
    </xf>
    <xf numFmtId="186" fontId="146" fillId="3" borderId="1022" applyBorder="0">
      <alignment horizontal="left" vertical="center"/>
    </xf>
    <xf numFmtId="0" fontId="165" fillId="0" borderId="1022" applyFill="0" applyProtection="0">
      <alignment horizontal="center"/>
    </xf>
    <xf numFmtId="0" fontId="210" fillId="0" borderId="1022" applyNumberFormat="0" applyFill="0" applyBorder="0" applyAlignment="0">
      <protection locked="0"/>
    </xf>
    <xf numFmtId="254" fontId="240" fillId="0" borderId="1022" applyBorder="0" applyProtection="0">
      <alignment horizontal="right" vertical="center"/>
    </xf>
    <xf numFmtId="246" fontId="250" fillId="0" borderId="1022" applyFill="0" applyProtection="0">
      <alignment horizontal="center"/>
    </xf>
    <xf numFmtId="222" fontId="79" fillId="0" borderId="961" applyBorder="0"/>
    <xf numFmtId="0" fontId="25" fillId="10" borderId="958" applyNumberFormat="0" applyProtection="0">
      <alignment horizontal="left" vertical="top"/>
    </xf>
    <xf numFmtId="0" fontId="25" fillId="10" borderId="960" applyNumberFormat="0" applyProtection="0">
      <alignment horizontal="left" vertical="top"/>
    </xf>
    <xf numFmtId="0" fontId="25" fillId="10" borderId="957" applyNumberFormat="0" applyProtection="0">
      <alignment horizontal="left" vertical="top"/>
    </xf>
    <xf numFmtId="0" fontId="25" fillId="10" borderId="958" applyNumberFormat="0" applyProtection="0">
      <alignment horizontal="left" vertical="top"/>
    </xf>
    <xf numFmtId="0" fontId="25" fillId="10" borderId="959" applyNumberFormat="0" applyProtection="0">
      <alignment horizontal="left" vertical="top"/>
    </xf>
    <xf numFmtId="0" fontId="75" fillId="0" borderId="963" applyNumberFormat="0" applyFont="0" applyFill="0" applyAlignment="0" applyProtection="0"/>
    <xf numFmtId="0" fontId="101" fillId="0" borderId="974" applyBorder="0"/>
    <xf numFmtId="222" fontId="79" fillId="0" borderId="973" applyBorder="0"/>
    <xf numFmtId="0" fontId="113" fillId="0" borderId="974" applyNumberFormat="0" applyFill="0" applyAlignment="0" applyProtection="0"/>
    <xf numFmtId="0" fontId="12" fillId="0" borderId="974" applyNumberFormat="0" applyFill="0" applyBorder="0" applyAlignment="0" applyProtection="0">
      <alignment horizontal="center"/>
    </xf>
    <xf numFmtId="248" fontId="46" fillId="0" borderId="974"/>
    <xf numFmtId="192" fontId="9" fillId="3" borderId="974">
      <alignment horizontal="right" vertical="center"/>
    </xf>
    <xf numFmtId="180" fontId="9" fillId="3" borderId="974">
      <alignment horizontal="right" vertical="center"/>
    </xf>
    <xf numFmtId="186" fontId="146" fillId="3" borderId="974" applyBorder="0">
      <alignment horizontal="left" vertical="center"/>
    </xf>
    <xf numFmtId="0" fontId="166" fillId="0" borderId="974">
      <alignment horizontal="center"/>
    </xf>
    <xf numFmtId="0" fontId="210" fillId="0" borderId="974" applyNumberFormat="0" applyFill="0" applyBorder="0" applyAlignment="0">
      <protection locked="0"/>
    </xf>
    <xf numFmtId="264" fontId="12" fillId="14" borderId="974" applyFont="0" applyFill="0" applyBorder="0" applyAlignment="0" applyProtection="0">
      <alignment horizontal="right"/>
    </xf>
    <xf numFmtId="246" fontId="249" fillId="0" borderId="974" applyFill="0" applyProtection="0">
      <alignment horizontal="center"/>
    </xf>
    <xf numFmtId="246" fontId="250" fillId="0" borderId="974" applyFill="0" applyProtection="0">
      <alignment horizontal="center"/>
    </xf>
    <xf numFmtId="246" fontId="250" fillId="0" borderId="998" applyFill="0" applyProtection="0">
      <alignment horizontal="center"/>
    </xf>
    <xf numFmtId="246" fontId="249" fillId="0" borderId="998" applyFill="0" applyProtection="0">
      <alignment horizontal="center"/>
    </xf>
    <xf numFmtId="254" fontId="240" fillId="0" borderId="998" applyBorder="0" applyProtection="0">
      <alignment horizontal="right" vertical="center"/>
    </xf>
    <xf numFmtId="264" fontId="12" fillId="14" borderId="998" applyFont="0" applyFill="0" applyBorder="0" applyAlignment="0" applyProtection="0">
      <alignment horizontal="right"/>
    </xf>
    <xf numFmtId="0" fontId="165" fillId="0" borderId="998" applyFill="0" applyProtection="0">
      <alignment horizontal="center"/>
    </xf>
    <xf numFmtId="180" fontId="9" fillId="3" borderId="998">
      <alignment horizontal="right" vertical="center"/>
    </xf>
    <xf numFmtId="0" fontId="12" fillId="0" borderId="998" applyNumberFormat="0" applyFill="0" applyBorder="0" applyAlignment="0" applyProtection="0">
      <alignment horizontal="center"/>
    </xf>
    <xf numFmtId="0" fontId="101" fillId="0" borderId="998" applyBorder="0"/>
    <xf numFmtId="222" fontId="79" fillId="0" borderId="997" applyBorder="0"/>
    <xf numFmtId="0" fontId="75" fillId="0" borderId="987" applyNumberFormat="0" applyFont="0" applyFill="0" applyAlignment="0" applyProtection="0"/>
    <xf numFmtId="0" fontId="2" fillId="0" borderId="991" applyNumberFormat="0" applyAlignment="0" applyProtection="0"/>
    <xf numFmtId="0" fontId="25" fillId="10" borderId="993" applyNumberFormat="0" applyProtection="0">
      <alignment horizontal="left" vertical="top"/>
    </xf>
    <xf numFmtId="0" fontId="25" fillId="10" borderId="996" applyNumberFormat="0" applyProtection="0">
      <alignment horizontal="left" vertical="top"/>
    </xf>
    <xf numFmtId="222" fontId="79" fillId="0" borderId="985" applyBorder="0"/>
    <xf numFmtId="0" fontId="25" fillId="10" borderId="971" applyNumberFormat="0" applyProtection="0">
      <alignment horizontal="left" vertical="top"/>
    </xf>
    <xf numFmtId="0" fontId="25" fillId="10" borderId="969" applyNumberFormat="0" applyProtection="0">
      <alignment horizontal="left" vertical="top"/>
    </xf>
    <xf numFmtId="0" fontId="214" fillId="0" borderId="968" applyNumberFormat="0" applyFont="0" applyFill="0" applyAlignment="0" applyProtection="0"/>
    <xf numFmtId="186" fontId="146" fillId="3" borderId="965">
      <alignment horizontal="left"/>
    </xf>
    <xf numFmtId="222" fontId="79" fillId="0" borderId="973" applyBorder="0"/>
    <xf numFmtId="0" fontId="101" fillId="0" borderId="854" applyBorder="0"/>
    <xf numFmtId="0" fontId="113" fillId="0" borderId="854" applyNumberFormat="0" applyFill="0" applyAlignment="0" applyProtection="0"/>
    <xf numFmtId="0" fontId="12" fillId="0" borderId="854" applyNumberFormat="0" applyFill="0" applyBorder="0" applyAlignment="0" applyProtection="0">
      <alignment horizontal="center"/>
    </xf>
    <xf numFmtId="248" fontId="46" fillId="0" borderId="854"/>
    <xf numFmtId="192" fontId="9" fillId="3" borderId="854">
      <alignment horizontal="right" vertical="center"/>
    </xf>
    <xf numFmtId="180" fontId="9" fillId="3" borderId="854">
      <alignment horizontal="right" vertical="center"/>
    </xf>
    <xf numFmtId="186" fontId="146" fillId="3" borderId="854" applyBorder="0">
      <alignment horizontal="left" vertical="center"/>
    </xf>
    <xf numFmtId="0" fontId="165" fillId="0" borderId="854" applyFill="0" applyProtection="0">
      <alignment horizontal="center"/>
    </xf>
    <xf numFmtId="0" fontId="166" fillId="0" borderId="854">
      <alignment horizontal="center"/>
    </xf>
    <xf numFmtId="264" fontId="12" fillId="14" borderId="854" applyFont="0" applyFill="0" applyBorder="0" applyAlignment="0" applyProtection="0">
      <alignment horizontal="right"/>
    </xf>
    <xf numFmtId="0" fontId="210" fillId="0" borderId="854" applyNumberFormat="0" applyFill="0" applyBorder="0" applyAlignment="0">
      <protection locked="0"/>
    </xf>
    <xf numFmtId="248" fontId="46" fillId="0" borderId="998"/>
    <xf numFmtId="222" fontId="79" fillId="0" borderId="997" applyBorder="0"/>
    <xf numFmtId="186" fontId="140" fillId="3" borderId="990">
      <alignment horizontal="center" vertical="center"/>
    </xf>
    <xf numFmtId="0" fontId="25" fillId="10" borderId="995" applyNumberFormat="0" applyProtection="0">
      <alignment horizontal="left" vertical="top"/>
    </xf>
    <xf numFmtId="0" fontId="210" fillId="0" borderId="998" applyNumberFormat="0" applyFill="0" applyBorder="0" applyAlignment="0">
      <protection locked="0"/>
    </xf>
    <xf numFmtId="192" fontId="9" fillId="3" borderId="998">
      <alignment horizontal="right" vertical="center"/>
    </xf>
    <xf numFmtId="0" fontId="113" fillId="0" borderId="998" applyNumberFormat="0" applyFill="0" applyAlignment="0" applyProtection="0"/>
    <xf numFmtId="186" fontId="146" fillId="3" borderId="989">
      <alignment horizontal="left"/>
    </xf>
    <xf numFmtId="0" fontId="25" fillId="10" borderId="994" applyNumberFormat="0" applyProtection="0">
      <alignment horizontal="left" vertical="top"/>
    </xf>
    <xf numFmtId="254" fontId="240" fillId="0" borderId="854" applyBorder="0" applyProtection="0">
      <alignment horizontal="right" vertical="center"/>
    </xf>
    <xf numFmtId="0" fontId="241" fillId="94" borderId="854" applyBorder="0" applyProtection="0">
      <alignment horizontal="centerContinuous" vertical="center"/>
    </xf>
    <xf numFmtId="246" fontId="249" fillId="0" borderId="854" applyFill="0" applyProtection="0">
      <alignment horizontal="center"/>
    </xf>
    <xf numFmtId="246" fontId="250" fillId="0" borderId="854" applyFill="0" applyProtection="0">
      <alignment horizontal="center"/>
    </xf>
    <xf numFmtId="0" fontId="25" fillId="10" borderId="1018" applyNumberFormat="0" applyProtection="0">
      <alignment horizontal="left" vertical="top"/>
    </xf>
    <xf numFmtId="0" fontId="25" fillId="10" borderId="1020" applyNumberFormat="0" applyProtection="0">
      <alignment horizontal="left" vertical="top"/>
    </xf>
    <xf numFmtId="222" fontId="79" fillId="0" borderId="949" applyBorder="0"/>
    <xf numFmtId="0" fontId="214" fillId="0" borderId="1016" applyNumberFormat="0" applyFont="0" applyFill="0" applyAlignment="0" applyProtection="0"/>
    <xf numFmtId="0" fontId="75" fillId="0" borderId="951" applyNumberFormat="0" applyFont="0" applyFill="0" applyAlignment="0" applyProtection="0"/>
    <xf numFmtId="0" fontId="25" fillId="10" borderId="959" applyNumberFormat="0" applyProtection="0">
      <alignment horizontal="left" vertical="top"/>
    </xf>
    <xf numFmtId="0" fontId="25" fillId="10" borderId="960" applyNumberFormat="0" applyProtection="0">
      <alignment horizontal="left" vertical="top"/>
    </xf>
    <xf numFmtId="0" fontId="165" fillId="0" borderId="974" applyFill="0" applyProtection="0">
      <alignment horizontal="center"/>
    </xf>
    <xf numFmtId="254" fontId="240" fillId="0" borderId="974" applyBorder="0" applyProtection="0">
      <alignment horizontal="right" vertical="center"/>
    </xf>
    <xf numFmtId="0" fontId="241" fillId="94" borderId="974" applyBorder="0" applyProtection="0">
      <alignment horizontal="centerContinuous" vertical="center"/>
    </xf>
    <xf numFmtId="0" fontId="241" fillId="94" borderId="998" applyBorder="0" applyProtection="0">
      <alignment horizontal="centerContinuous" vertical="center"/>
    </xf>
    <xf numFmtId="0" fontId="166" fillId="0" borderId="998">
      <alignment horizontal="center"/>
    </xf>
    <xf numFmtId="186" fontId="146" fillId="3" borderId="998" applyBorder="0">
      <alignment horizontal="left" vertical="center"/>
    </xf>
    <xf numFmtId="0" fontId="214" fillId="0" borderId="992" applyNumberFormat="0" applyFont="0" applyFill="0" applyAlignment="0" applyProtection="0"/>
    <xf numFmtId="0" fontId="78" fillId="14" borderId="988" applyFont="0" applyFill="0" applyBorder="0" applyAlignment="0" applyProtection="0"/>
    <xf numFmtId="0" fontId="78" fillId="14" borderId="916" applyFont="0" applyFill="0" applyBorder="0" applyAlignment="0" applyProtection="0"/>
    <xf numFmtId="0" fontId="25" fillId="10" borderId="864" applyNumberFormat="0" applyProtection="0">
      <alignment horizontal="left" vertical="top"/>
    </xf>
    <xf numFmtId="0" fontId="25" fillId="10" borderId="863" applyNumberFormat="0" applyProtection="0">
      <alignment horizontal="left" vertical="top"/>
    </xf>
    <xf numFmtId="0" fontId="25" fillId="10" borderId="862" applyNumberFormat="0" applyProtection="0">
      <alignment horizontal="left" vertical="top"/>
    </xf>
    <xf numFmtId="0" fontId="25" fillId="10" borderId="861" applyNumberFormat="0" applyProtection="0">
      <alignment horizontal="left" vertical="top"/>
    </xf>
    <xf numFmtId="186" fontId="140" fillId="3" borderId="1014">
      <alignment horizontal="center" vertical="center"/>
    </xf>
    <xf numFmtId="0" fontId="214" fillId="0" borderId="860" applyNumberFormat="0" applyFont="0" applyFill="0" applyAlignment="0" applyProtection="0"/>
    <xf numFmtId="0" fontId="2" fillId="0" borderId="859" applyNumberFormat="0" applyAlignment="0" applyProtection="0"/>
    <xf numFmtId="186" fontId="140" fillId="3" borderId="858">
      <alignment horizontal="center" vertical="center"/>
    </xf>
    <xf numFmtId="186" fontId="146" fillId="3" borderId="857">
      <alignment horizontal="left"/>
    </xf>
    <xf numFmtId="186" fontId="146" fillId="3" borderId="1013">
      <alignment horizontal="left"/>
    </xf>
    <xf numFmtId="0" fontId="75" fillId="0" borderId="855" applyNumberFormat="0" applyFont="0" applyFill="0" applyAlignment="0" applyProtection="0"/>
    <xf numFmtId="0" fontId="75" fillId="0" borderId="1011" applyNumberFormat="0" applyFont="0" applyFill="0" applyAlignment="0" applyProtection="0"/>
    <xf numFmtId="222" fontId="79" fillId="0" borderId="925" applyBorder="0"/>
    <xf numFmtId="222" fontId="79" fillId="0" borderId="925" applyBorder="0"/>
    <xf numFmtId="0" fontId="25" fillId="10" borderId="1017" applyNumberFormat="0" applyProtection="0">
      <alignment horizontal="left" vertical="top"/>
    </xf>
    <xf numFmtId="0" fontId="2" fillId="0" borderId="1015" applyNumberFormat="0" applyAlignment="0" applyProtection="0"/>
    <xf numFmtId="246" fontId="250" fillId="0" borderId="950" applyFill="0" applyProtection="0">
      <alignment horizontal="center"/>
    </xf>
    <xf numFmtId="246" fontId="249" fillId="0" borderId="950" applyFill="0" applyProtection="0">
      <alignment horizontal="center"/>
    </xf>
    <xf numFmtId="0" fontId="241" fillId="94" borderId="950" applyBorder="0" applyProtection="0">
      <alignment horizontal="centerContinuous" vertical="center"/>
    </xf>
    <xf numFmtId="254" fontId="240" fillId="0" borderId="950" applyBorder="0" applyProtection="0">
      <alignment horizontal="right" vertical="center"/>
    </xf>
    <xf numFmtId="0" fontId="210" fillId="0" borderId="950" applyNumberFormat="0" applyFill="0" applyBorder="0" applyAlignment="0">
      <protection locked="0"/>
    </xf>
    <xf numFmtId="264" fontId="12" fillId="14" borderId="950" applyFont="0" applyFill="0" applyBorder="0" applyAlignment="0" applyProtection="0">
      <alignment horizontal="right"/>
    </xf>
    <xf numFmtId="0" fontId="166" fillId="0" borderId="950">
      <alignment horizontal="center"/>
    </xf>
    <xf numFmtId="0" fontId="165" fillId="0" borderId="950" applyFill="0" applyProtection="0">
      <alignment horizontal="center"/>
    </xf>
    <xf numFmtId="186" fontId="146" fillId="3" borderId="950" applyBorder="0">
      <alignment horizontal="left" vertical="center"/>
    </xf>
    <xf numFmtId="180" fontId="9" fillId="3" borderId="950">
      <alignment horizontal="right" vertical="center"/>
    </xf>
    <xf numFmtId="192" fontId="9" fillId="3" borderId="950">
      <alignment horizontal="right" vertical="center"/>
    </xf>
    <xf numFmtId="248" fontId="46" fillId="0" borderId="950"/>
    <xf numFmtId="0" fontId="12" fillId="0" borderId="950" applyNumberFormat="0" applyFill="0" applyBorder="0" applyAlignment="0" applyProtection="0">
      <alignment horizontal="center"/>
    </xf>
    <xf numFmtId="0" fontId="113" fillId="0" borderId="950" applyNumberFormat="0" applyFill="0" applyAlignment="0" applyProtection="0"/>
    <xf numFmtId="222" fontId="79" fillId="0" borderId="949" applyBorder="0"/>
    <xf numFmtId="0" fontId="101" fillId="0" borderId="950" applyBorder="0"/>
    <xf numFmtId="222" fontId="79" fillId="0" borderId="949" applyBorder="0"/>
    <xf numFmtId="0" fontId="75" fillId="0" borderId="939" applyNumberFormat="0" applyFont="0" applyFill="0" applyAlignment="0" applyProtection="0"/>
    <xf numFmtId="186" fontId="146" fillId="3" borderId="941">
      <alignment horizontal="left"/>
    </xf>
    <xf numFmtId="186" fontId="140" fillId="3" borderId="942">
      <alignment horizontal="center" vertical="center"/>
    </xf>
    <xf numFmtId="0" fontId="2" fillId="0" borderId="943" applyNumberFormat="0" applyAlignment="0" applyProtection="0"/>
    <xf numFmtId="0" fontId="214" fillId="0" borderId="944" applyNumberFormat="0" applyFont="0" applyFill="0" applyAlignment="0" applyProtection="0"/>
    <xf numFmtId="0" fontId="25" fillId="10" borderId="945" applyNumberFormat="0" applyProtection="0">
      <alignment horizontal="left" vertical="top"/>
    </xf>
    <xf numFmtId="0" fontId="25" fillId="10" borderId="946" applyNumberFormat="0" applyProtection="0">
      <alignment horizontal="left" vertical="top"/>
    </xf>
    <xf numFmtId="0" fontId="25" fillId="10" borderId="947" applyNumberFormat="0" applyProtection="0">
      <alignment horizontal="left" vertical="top"/>
    </xf>
    <xf numFmtId="0" fontId="25" fillId="10" borderId="948" applyNumberFormat="0" applyProtection="0">
      <alignment horizontal="left" vertical="top"/>
    </xf>
    <xf numFmtId="0" fontId="78" fillId="14" borderId="940" applyFont="0" applyFill="0" applyBorder="0" applyAlignment="0" applyProtection="0"/>
    <xf numFmtId="222" fontId="79" fillId="0" borderId="937" applyBorder="0"/>
    <xf numFmtId="0" fontId="78" fillId="14" borderId="916" applyFont="0" applyFill="0" applyBorder="0" applyAlignment="0" applyProtection="0"/>
    <xf numFmtId="222" fontId="79" fillId="0" borderId="925" applyBorder="0"/>
    <xf numFmtId="0" fontId="78" fillId="14" borderId="928" applyFont="0" applyFill="0" applyBorder="0" applyAlignment="0" applyProtection="0"/>
    <xf numFmtId="0" fontId="25" fillId="10" borderId="936" applyNumberFormat="0" applyProtection="0">
      <alignment horizontal="left" vertical="top"/>
    </xf>
    <xf numFmtId="0" fontId="25" fillId="10" borderId="935" applyNumberFormat="0" applyProtection="0">
      <alignment horizontal="left" vertical="top"/>
    </xf>
    <xf numFmtId="0" fontId="25" fillId="10" borderId="934" applyNumberFormat="0" applyProtection="0">
      <alignment horizontal="left" vertical="top"/>
    </xf>
    <xf numFmtId="0" fontId="25" fillId="10" borderId="933" applyNumberFormat="0" applyProtection="0">
      <alignment horizontal="left" vertical="top"/>
    </xf>
    <xf numFmtId="0" fontId="214" fillId="0" borderId="932" applyNumberFormat="0" applyFont="0" applyFill="0" applyAlignment="0" applyProtection="0"/>
    <xf numFmtId="0" fontId="2" fillId="0" borderId="859" applyNumberFormat="0" applyAlignment="0" applyProtection="0"/>
    <xf numFmtId="186" fontId="140" fillId="3" borderId="930">
      <alignment horizontal="center" vertical="center"/>
    </xf>
    <xf numFmtId="186" fontId="146" fillId="3" borderId="929">
      <alignment horizontal="left"/>
    </xf>
    <xf numFmtId="0" fontId="75" fillId="0" borderId="927" applyNumberFormat="0" applyFont="0" applyFill="0" applyAlignment="0" applyProtection="0"/>
    <xf numFmtId="222" fontId="79" fillId="0" borderId="937" applyBorder="0"/>
    <xf numFmtId="0" fontId="101" fillId="0" borderId="938" applyBorder="0"/>
    <xf numFmtId="222" fontId="79" fillId="0" borderId="937" applyBorder="0"/>
    <xf numFmtId="0" fontId="113" fillId="0" borderId="938" applyNumberFormat="0" applyFill="0" applyAlignment="0" applyProtection="0"/>
    <xf numFmtId="0" fontId="12" fillId="0" borderId="938" applyNumberFormat="0" applyFill="0" applyBorder="0" applyAlignment="0" applyProtection="0">
      <alignment horizontal="center"/>
    </xf>
    <xf numFmtId="248" fontId="46" fillId="0" borderId="938"/>
    <xf numFmtId="192" fontId="9" fillId="3" borderId="938">
      <alignment horizontal="right" vertical="center"/>
    </xf>
    <xf numFmtId="180" fontId="9" fillId="3" borderId="938">
      <alignment horizontal="right" vertical="center"/>
    </xf>
    <xf numFmtId="186" fontId="146" fillId="3" borderId="938" applyBorder="0">
      <alignment horizontal="left" vertical="center"/>
    </xf>
    <xf numFmtId="0" fontId="165" fillId="0" borderId="938" applyFill="0" applyProtection="0">
      <alignment horizontal="center"/>
    </xf>
    <xf numFmtId="0" fontId="166" fillId="0" borderId="938">
      <alignment horizontal="center"/>
    </xf>
    <xf numFmtId="264" fontId="12" fillId="14" borderId="938" applyFont="0" applyFill="0" applyBorder="0" applyAlignment="0" applyProtection="0">
      <alignment horizontal="right"/>
    </xf>
    <xf numFmtId="0" fontId="210" fillId="0" borderId="938" applyNumberFormat="0" applyFill="0" applyBorder="0" applyAlignment="0">
      <protection locked="0"/>
    </xf>
    <xf numFmtId="254" fontId="240" fillId="0" borderId="938" applyBorder="0" applyProtection="0">
      <alignment horizontal="right" vertical="center"/>
    </xf>
    <xf numFmtId="0" fontId="241" fillId="94" borderId="938" applyBorder="0" applyProtection="0">
      <alignment horizontal="centerContinuous" vertical="center"/>
    </xf>
    <xf numFmtId="246" fontId="249" fillId="0" borderId="938" applyFill="0" applyProtection="0">
      <alignment horizontal="center"/>
    </xf>
    <xf numFmtId="246" fontId="250" fillId="0" borderId="938" applyFill="0" applyProtection="0">
      <alignment horizontal="center"/>
    </xf>
    <xf numFmtId="0" fontId="241" fillId="94" borderId="1022" applyBorder="0" applyProtection="0">
      <alignment horizontal="centerContinuous" vertical="center"/>
    </xf>
    <xf numFmtId="0" fontId="166" fillId="0" borderId="1022">
      <alignment horizontal="center"/>
    </xf>
    <xf numFmtId="0" fontId="2" fillId="0" borderId="955" applyNumberFormat="0" applyAlignment="0" applyProtection="0"/>
    <xf numFmtId="0" fontId="214" fillId="0" borderId="956" applyNumberFormat="0" applyFont="0" applyFill="0" applyAlignment="0" applyProtection="0"/>
    <xf numFmtId="246" fontId="250" fillId="0" borderId="962" applyFill="0" applyProtection="0">
      <alignment horizontal="center"/>
    </xf>
    <xf numFmtId="246" fontId="249" fillId="0" borderId="962" applyFill="0" applyProtection="0">
      <alignment horizontal="center"/>
    </xf>
    <xf numFmtId="0" fontId="241" fillId="94" borderId="962" applyBorder="0" applyProtection="0">
      <alignment horizontal="centerContinuous" vertical="center"/>
    </xf>
    <xf numFmtId="254" fontId="240" fillId="0" borderId="962" applyBorder="0" applyProtection="0">
      <alignment horizontal="right" vertical="center"/>
    </xf>
    <xf numFmtId="0" fontId="210" fillId="0" borderId="962" applyNumberFormat="0" applyFill="0" applyBorder="0" applyAlignment="0">
      <protection locked="0"/>
    </xf>
    <xf numFmtId="264" fontId="12" fillId="14" borderId="962" applyFont="0" applyFill="0" applyBorder="0" applyAlignment="0" applyProtection="0">
      <alignment horizontal="right"/>
    </xf>
    <xf numFmtId="0" fontId="166" fillId="0" borderId="962">
      <alignment horizontal="center"/>
    </xf>
    <xf numFmtId="0" fontId="165" fillId="0" borderId="962" applyFill="0" applyProtection="0">
      <alignment horizontal="center"/>
    </xf>
    <xf numFmtId="186" fontId="146" fillId="3" borderId="962" applyBorder="0">
      <alignment horizontal="left" vertical="center"/>
    </xf>
    <xf numFmtId="180" fontId="9" fillId="3" borderId="962">
      <alignment horizontal="right" vertical="center"/>
    </xf>
    <xf numFmtId="192" fontId="9" fillId="3" borderId="962">
      <alignment horizontal="right" vertical="center"/>
    </xf>
    <xf numFmtId="248" fontId="46" fillId="0" borderId="962"/>
    <xf numFmtId="0" fontId="12" fillId="0" borderId="962" applyNumberFormat="0" applyFill="0" applyBorder="0" applyAlignment="0" applyProtection="0">
      <alignment horizontal="center"/>
    </xf>
    <xf numFmtId="0" fontId="113" fillId="0" borderId="962" applyNumberFormat="0" applyFill="0" applyAlignment="0" applyProtection="0"/>
    <xf numFmtId="222" fontId="79" fillId="0" borderId="961" applyBorder="0"/>
    <xf numFmtId="0" fontId="101" fillId="0" borderId="962" applyBorder="0"/>
    <xf numFmtId="222" fontId="79" fillId="0" borderId="961" applyBorder="0"/>
    <xf numFmtId="0" fontId="75" fillId="0" borderId="951" applyNumberFormat="0" applyFont="0" applyFill="0" applyAlignment="0" applyProtection="0"/>
    <xf numFmtId="186" fontId="146" fillId="3" borderId="953">
      <alignment horizontal="left"/>
    </xf>
    <xf numFmtId="186" fontId="140" fillId="3" borderId="954">
      <alignment horizontal="center" vertical="center"/>
    </xf>
    <xf numFmtId="0" fontId="2" fillId="0" borderId="955" applyNumberFormat="0" applyAlignment="0" applyProtection="0"/>
    <xf numFmtId="0" fontId="214" fillId="0" borderId="956" applyNumberFormat="0" applyFont="0" applyFill="0" applyAlignment="0" applyProtection="0"/>
    <xf numFmtId="0" fontId="25" fillId="10" borderId="957" applyNumberFormat="0" applyProtection="0">
      <alignment horizontal="left" vertical="top"/>
    </xf>
    <xf numFmtId="0" fontId="25" fillId="10" borderId="958" applyNumberFormat="0" applyProtection="0">
      <alignment horizontal="left" vertical="top"/>
    </xf>
    <xf numFmtId="0" fontId="25" fillId="10" borderId="959" applyNumberFormat="0" applyProtection="0">
      <alignment horizontal="left" vertical="top"/>
    </xf>
    <xf numFmtId="0" fontId="25" fillId="10" borderId="960" applyNumberFormat="0" applyProtection="0">
      <alignment horizontal="left" vertical="top"/>
    </xf>
    <xf numFmtId="0" fontId="78" fillId="14" borderId="952" applyFont="0" applyFill="0" applyBorder="0" applyAlignment="0" applyProtection="0"/>
    <xf numFmtId="222" fontId="79" fillId="0" borderId="949" applyBorder="0"/>
    <xf numFmtId="0" fontId="78" fillId="14" borderId="964" applyFont="0" applyFill="0" applyBorder="0" applyAlignment="0" applyProtection="0"/>
    <xf numFmtId="186" fontId="146" fillId="3" borderId="953">
      <alignment horizontal="left"/>
    </xf>
    <xf numFmtId="0" fontId="78" fillId="14" borderId="940" applyFont="0" applyFill="0" applyBorder="0" applyAlignment="0" applyProtection="0"/>
    <xf numFmtId="222" fontId="79" fillId="0" borderId="949" applyBorder="0"/>
    <xf numFmtId="0" fontId="2" fillId="0" borderId="967" applyNumberFormat="0" applyAlignment="0" applyProtection="0"/>
    <xf numFmtId="0" fontId="78" fillId="14" borderId="940" applyFont="0" applyFill="0" applyBorder="0" applyAlignment="0" applyProtection="0"/>
    <xf numFmtId="0" fontId="25" fillId="10" borderId="948" applyNumberFormat="0" applyProtection="0">
      <alignment horizontal="left" vertical="top"/>
    </xf>
    <xf numFmtId="0" fontId="25" fillId="10" borderId="947" applyNumberFormat="0" applyProtection="0">
      <alignment horizontal="left" vertical="top"/>
    </xf>
    <xf numFmtId="0" fontId="25" fillId="10" borderId="946" applyNumberFormat="0" applyProtection="0">
      <alignment horizontal="left" vertical="top"/>
    </xf>
    <xf numFmtId="0" fontId="25" fillId="10" borderId="945" applyNumberFormat="0" applyProtection="0">
      <alignment horizontal="left" vertical="top"/>
    </xf>
    <xf numFmtId="0" fontId="25" fillId="10" borderId="970" applyNumberFormat="0" applyProtection="0">
      <alignment horizontal="left" vertical="top"/>
    </xf>
    <xf numFmtId="0" fontId="214" fillId="0" borderId="944" applyNumberFormat="0" applyFont="0" applyFill="0" applyAlignment="0" applyProtection="0"/>
    <xf numFmtId="0" fontId="2" fillId="0" borderId="943" applyNumberFormat="0" applyAlignment="0" applyProtection="0"/>
    <xf numFmtId="186" fontId="140" fillId="3" borderId="942">
      <alignment horizontal="center" vertical="center"/>
    </xf>
    <xf numFmtId="186" fontId="146" fillId="3" borderId="941">
      <alignment horizontal="left"/>
    </xf>
    <xf numFmtId="0" fontId="25" fillId="10" borderId="972" applyNumberFormat="0" applyProtection="0">
      <alignment horizontal="left" vertical="top"/>
    </xf>
    <xf numFmtId="0" fontId="75" fillId="0" borderId="939" applyNumberFormat="0" applyFont="0" applyFill="0" applyAlignment="0" applyProtection="0"/>
    <xf numFmtId="222" fontId="79" fillId="0" borderId="949" applyBorder="0"/>
    <xf numFmtId="0" fontId="101" fillId="0" borderId="950" applyBorder="0"/>
    <xf numFmtId="222" fontId="79" fillId="0" borderId="949" applyBorder="0"/>
    <xf numFmtId="0" fontId="113" fillId="0" borderId="950" applyNumberFormat="0" applyFill="0" applyAlignment="0" applyProtection="0"/>
    <xf numFmtId="0" fontId="12" fillId="0" borderId="950" applyNumberFormat="0" applyFill="0" applyBorder="0" applyAlignment="0" applyProtection="0">
      <alignment horizontal="center"/>
    </xf>
    <xf numFmtId="248" fontId="46" fillId="0" borderId="950"/>
    <xf numFmtId="192" fontId="9" fillId="3" borderId="950">
      <alignment horizontal="right" vertical="center"/>
    </xf>
    <xf numFmtId="180" fontId="9" fillId="3" borderId="950">
      <alignment horizontal="right" vertical="center"/>
    </xf>
    <xf numFmtId="186" fontId="146" fillId="3" borderId="950" applyBorder="0">
      <alignment horizontal="left" vertical="center"/>
    </xf>
    <xf numFmtId="0" fontId="165" fillId="0" borderId="950" applyFill="0" applyProtection="0">
      <alignment horizontal="center"/>
    </xf>
    <xf numFmtId="0" fontId="166" fillId="0" borderId="950">
      <alignment horizontal="center"/>
    </xf>
    <xf numFmtId="264" fontId="12" fillId="14" borderId="950" applyFont="0" applyFill="0" applyBorder="0" applyAlignment="0" applyProtection="0">
      <alignment horizontal="right"/>
    </xf>
    <xf numFmtId="0" fontId="210" fillId="0" borderId="950" applyNumberFormat="0" applyFill="0" applyBorder="0" applyAlignment="0">
      <protection locked="0"/>
    </xf>
    <xf numFmtId="254" fontId="240" fillId="0" borderId="950" applyBorder="0" applyProtection="0">
      <alignment horizontal="right" vertical="center"/>
    </xf>
    <xf numFmtId="0" fontId="241" fillId="94" borderId="950" applyBorder="0" applyProtection="0">
      <alignment horizontal="centerContinuous" vertical="center"/>
    </xf>
    <xf numFmtId="246" fontId="249" fillId="0" borderId="950" applyFill="0" applyProtection="0">
      <alignment horizontal="center"/>
    </xf>
    <xf numFmtId="246" fontId="250" fillId="0" borderId="950" applyFill="0" applyProtection="0">
      <alignment horizontal="center"/>
    </xf>
    <xf numFmtId="186" fontId="140" fillId="3" borderId="966">
      <alignment horizontal="center" vertical="center"/>
    </xf>
    <xf numFmtId="0" fontId="78" fillId="14" borderId="952" applyFont="0" applyFill="0" applyBorder="0" applyAlignment="0" applyProtection="0"/>
    <xf numFmtId="222" fontId="79" fillId="0" borderId="973" applyBorder="0"/>
    <xf numFmtId="0" fontId="78" fillId="14" borderId="976" applyFont="0" applyFill="0" applyBorder="0" applyAlignment="0" applyProtection="0"/>
    <xf numFmtId="0" fontId="25" fillId="10" borderId="984" applyNumberFormat="0" applyProtection="0">
      <alignment horizontal="left" vertical="top"/>
    </xf>
    <xf numFmtId="0" fontId="25" fillId="10" borderId="983" applyNumberFormat="0" applyProtection="0">
      <alignment horizontal="left" vertical="top"/>
    </xf>
    <xf numFmtId="0" fontId="25" fillId="10" borderId="982" applyNumberFormat="0" applyProtection="0">
      <alignment horizontal="left" vertical="top"/>
    </xf>
    <xf numFmtId="0" fontId="25" fillId="10" borderId="981" applyNumberFormat="0" applyProtection="0">
      <alignment horizontal="left" vertical="top"/>
    </xf>
    <xf numFmtId="0" fontId="214" fillId="0" borderId="980" applyNumberFormat="0" applyFont="0" applyFill="0" applyAlignment="0" applyProtection="0"/>
    <xf numFmtId="0" fontId="2" fillId="0" borderId="979" applyNumberFormat="0" applyAlignment="0" applyProtection="0"/>
    <xf numFmtId="186" fontId="140" fillId="3" borderId="978">
      <alignment horizontal="center" vertical="center"/>
    </xf>
    <xf numFmtId="186" fontId="146" fillId="3" borderId="977">
      <alignment horizontal="left"/>
    </xf>
    <xf numFmtId="0" fontId="75" fillId="0" borderId="975" applyNumberFormat="0" applyFont="0" applyFill="0" applyAlignment="0" applyProtection="0"/>
    <xf numFmtId="222" fontId="79" fillId="0" borderId="985" applyBorder="0"/>
    <xf numFmtId="0" fontId="101" fillId="0" borderId="986" applyBorder="0"/>
    <xf numFmtId="222" fontId="79" fillId="0" borderId="985" applyBorder="0"/>
    <xf numFmtId="0" fontId="113" fillId="0" borderId="986" applyNumberFormat="0" applyFill="0" applyAlignment="0" applyProtection="0"/>
    <xf numFmtId="0" fontId="12" fillId="0" borderId="986" applyNumberFormat="0" applyFill="0" applyBorder="0" applyAlignment="0" applyProtection="0">
      <alignment horizontal="center"/>
    </xf>
    <xf numFmtId="248" fontId="46" fillId="0" borderId="986"/>
    <xf numFmtId="192" fontId="9" fillId="3" borderId="986">
      <alignment horizontal="right" vertical="center"/>
    </xf>
    <xf numFmtId="180" fontId="9" fillId="3" borderId="986">
      <alignment horizontal="right" vertical="center"/>
    </xf>
    <xf numFmtId="186" fontId="146" fillId="3" borderId="986" applyBorder="0">
      <alignment horizontal="left" vertical="center"/>
    </xf>
    <xf numFmtId="0" fontId="165" fillId="0" borderId="986" applyFill="0" applyProtection="0">
      <alignment horizontal="center"/>
    </xf>
    <xf numFmtId="0" fontId="166" fillId="0" borderId="986">
      <alignment horizontal="center"/>
    </xf>
    <xf numFmtId="264" fontId="12" fillId="14" borderId="986" applyFont="0" applyFill="0" applyBorder="0" applyAlignment="0" applyProtection="0">
      <alignment horizontal="right"/>
    </xf>
    <xf numFmtId="0" fontId="210" fillId="0" borderId="986" applyNumberFormat="0" applyFill="0" applyBorder="0" applyAlignment="0">
      <protection locked="0"/>
    </xf>
    <xf numFmtId="254" fontId="240" fillId="0" borderId="986" applyBorder="0" applyProtection="0">
      <alignment horizontal="right" vertical="center"/>
    </xf>
    <xf numFmtId="0" fontId="241" fillId="94" borderId="986" applyBorder="0" applyProtection="0">
      <alignment horizontal="centerContinuous" vertical="center"/>
    </xf>
    <xf numFmtId="246" fontId="249" fillId="0" borderId="986" applyFill="0" applyProtection="0">
      <alignment horizontal="center"/>
    </xf>
    <xf numFmtId="246" fontId="250" fillId="0" borderId="986" applyFill="0" applyProtection="0">
      <alignment horizontal="center"/>
    </xf>
    <xf numFmtId="222" fontId="79" fillId="0" borderId="997" applyBorder="0"/>
    <xf numFmtId="0" fontId="78" fillId="14" borderId="1000" applyFont="0" applyFill="0" applyBorder="0" applyAlignment="0" applyProtection="0"/>
    <xf numFmtId="0" fontId="25" fillId="10" borderId="1008" applyNumberFormat="0" applyProtection="0">
      <alignment horizontal="left" vertical="top"/>
    </xf>
    <xf numFmtId="0" fontId="25" fillId="10" borderId="1007" applyNumberFormat="0" applyProtection="0">
      <alignment horizontal="left" vertical="top"/>
    </xf>
    <xf numFmtId="0" fontId="25" fillId="10" borderId="1006" applyNumberFormat="0" applyProtection="0">
      <alignment horizontal="left" vertical="top"/>
    </xf>
    <xf numFmtId="0" fontId="25" fillId="10" borderId="1005" applyNumberFormat="0" applyProtection="0">
      <alignment horizontal="left" vertical="top"/>
    </xf>
    <xf numFmtId="0" fontId="214" fillId="0" borderId="1004" applyNumberFormat="0" applyFont="0" applyFill="0" applyAlignment="0" applyProtection="0"/>
    <xf numFmtId="0" fontId="2" fillId="0" borderId="1003" applyNumberFormat="0" applyAlignment="0" applyProtection="0"/>
    <xf numFmtId="186" fontId="140" fillId="3" borderId="1002">
      <alignment horizontal="center" vertical="center"/>
    </xf>
    <xf numFmtId="186" fontId="146" fillId="3" borderId="1001">
      <alignment horizontal="left"/>
    </xf>
    <xf numFmtId="0" fontId="75" fillId="0" borderId="999" applyNumberFormat="0" applyFont="0" applyFill="0" applyAlignment="0" applyProtection="0"/>
    <xf numFmtId="222" fontId="79" fillId="0" borderId="1009" applyBorder="0"/>
    <xf numFmtId="0" fontId="101" fillId="0" borderId="1010" applyBorder="0"/>
    <xf numFmtId="222" fontId="79" fillId="0" borderId="1009" applyBorder="0"/>
    <xf numFmtId="0" fontId="113" fillId="0" borderId="1010" applyNumberFormat="0" applyFill="0" applyAlignment="0" applyProtection="0"/>
    <xf numFmtId="0" fontId="12" fillId="0" borderId="1010" applyNumberFormat="0" applyFill="0" applyBorder="0" applyAlignment="0" applyProtection="0">
      <alignment horizontal="center"/>
    </xf>
    <xf numFmtId="248" fontId="46" fillId="0" borderId="1010"/>
    <xf numFmtId="192" fontId="9" fillId="3" borderId="1010">
      <alignment horizontal="right" vertical="center"/>
    </xf>
    <xf numFmtId="180" fontId="9" fillId="3" borderId="1010">
      <alignment horizontal="right" vertical="center"/>
    </xf>
    <xf numFmtId="186" fontId="146" fillId="3" borderId="1010" applyBorder="0">
      <alignment horizontal="left" vertical="center"/>
    </xf>
    <xf numFmtId="0" fontId="165" fillId="0" borderId="1010" applyFill="0" applyProtection="0">
      <alignment horizontal="center"/>
    </xf>
    <xf numFmtId="0" fontId="166" fillId="0" borderId="1010">
      <alignment horizontal="center"/>
    </xf>
    <xf numFmtId="264" fontId="12" fillId="14" borderId="1010" applyFont="0" applyFill="0" applyBorder="0" applyAlignment="0" applyProtection="0">
      <alignment horizontal="right"/>
    </xf>
    <xf numFmtId="0" fontId="210" fillId="0" borderId="1010" applyNumberFormat="0" applyFill="0" applyBorder="0" applyAlignment="0">
      <protection locked="0"/>
    </xf>
    <xf numFmtId="254" fontId="240" fillId="0" borderId="1010" applyBorder="0" applyProtection="0">
      <alignment horizontal="right" vertical="center"/>
    </xf>
    <xf numFmtId="0" fontId="241" fillId="94" borderId="1010" applyBorder="0" applyProtection="0">
      <alignment horizontal="centerContinuous" vertical="center"/>
    </xf>
    <xf numFmtId="246" fontId="249" fillId="0" borderId="1010" applyFill="0" applyProtection="0">
      <alignment horizontal="center"/>
    </xf>
    <xf numFmtId="246" fontId="250" fillId="0" borderId="1010" applyFill="0" applyProtection="0">
      <alignment horizontal="center"/>
    </xf>
    <xf numFmtId="0" fontId="75" fillId="0" borderId="1023" applyNumberFormat="0" applyFont="0" applyFill="0" applyAlignment="0" applyProtection="0"/>
    <xf numFmtId="0" fontId="78" fillId="14" borderId="1024" applyFont="0" applyFill="0" applyBorder="0" applyAlignment="0" applyProtection="0"/>
    <xf numFmtId="186" fontId="146" fillId="3" borderId="1025">
      <alignment horizontal="left"/>
    </xf>
    <xf numFmtId="186" fontId="140" fillId="3" borderId="1026">
      <alignment horizontal="center" vertical="center"/>
    </xf>
    <xf numFmtId="0" fontId="2" fillId="0" borderId="1027" applyNumberFormat="0" applyAlignment="0" applyProtection="0"/>
    <xf numFmtId="0" fontId="214" fillId="0" borderId="1028" applyNumberFormat="0" applyFont="0" applyFill="0" applyAlignment="0" applyProtection="0"/>
    <xf numFmtId="0" fontId="25" fillId="10" borderId="1029" applyNumberFormat="0" applyProtection="0">
      <alignment horizontal="left" vertical="top"/>
    </xf>
    <xf numFmtId="0" fontId="25" fillId="10" borderId="1030" applyNumberFormat="0" applyProtection="0">
      <alignment horizontal="left" vertical="top"/>
    </xf>
    <xf numFmtId="0" fontId="25" fillId="10" borderId="1031" applyNumberFormat="0" applyProtection="0">
      <alignment horizontal="left" vertical="top"/>
    </xf>
    <xf numFmtId="0" fontId="25" fillId="10" borderId="1032" applyNumberFormat="0" applyProtection="0">
      <alignment horizontal="left" vertical="top"/>
    </xf>
    <xf numFmtId="246" fontId="250" fillId="0" borderId="1022" applyFill="0" applyProtection="0">
      <alignment horizontal="center"/>
    </xf>
    <xf numFmtId="246" fontId="249" fillId="0" borderId="1022" applyFill="0" applyProtection="0">
      <alignment horizontal="center"/>
    </xf>
    <xf numFmtId="0" fontId="241" fillId="94" borderId="1022" applyBorder="0" applyProtection="0">
      <alignment horizontal="centerContinuous" vertical="center"/>
    </xf>
    <xf numFmtId="254" fontId="240" fillId="0" borderId="1022" applyBorder="0" applyProtection="0">
      <alignment horizontal="right" vertical="center"/>
    </xf>
    <xf numFmtId="0" fontId="210" fillId="0" borderId="1022" applyNumberFormat="0" applyFill="0" applyBorder="0" applyAlignment="0">
      <protection locked="0"/>
    </xf>
    <xf numFmtId="264" fontId="12" fillId="14" borderId="1022" applyFont="0" applyFill="0" applyBorder="0" applyAlignment="0" applyProtection="0">
      <alignment horizontal="right"/>
    </xf>
    <xf numFmtId="0" fontId="166" fillId="0" borderId="1022">
      <alignment horizontal="center"/>
    </xf>
    <xf numFmtId="0" fontId="165" fillId="0" borderId="1022" applyFill="0" applyProtection="0">
      <alignment horizontal="center"/>
    </xf>
    <xf numFmtId="186" fontId="146" fillId="3" borderId="1022" applyBorder="0">
      <alignment horizontal="left" vertical="center"/>
    </xf>
    <xf numFmtId="180" fontId="9" fillId="3" borderId="1022">
      <alignment horizontal="right" vertical="center"/>
    </xf>
    <xf numFmtId="192" fontId="9" fillId="3" borderId="1022">
      <alignment horizontal="right" vertical="center"/>
    </xf>
    <xf numFmtId="0" fontId="12" fillId="0" borderId="1022" applyNumberFormat="0" applyFill="0" applyBorder="0" applyAlignment="0" applyProtection="0">
      <alignment horizontal="center"/>
    </xf>
    <xf numFmtId="0" fontId="113" fillId="0" borderId="1022" applyNumberFormat="0" applyFill="0" applyAlignment="0" applyProtection="0"/>
    <xf numFmtId="222" fontId="79" fillId="0" borderId="1021" applyBorder="0"/>
    <xf numFmtId="0" fontId="101" fillId="0" borderId="1022" applyBorder="0"/>
    <xf numFmtId="248" fontId="46" fillId="0" borderId="1022"/>
    <xf numFmtId="0" fontId="101" fillId="0" borderId="1022" applyBorder="0"/>
    <xf numFmtId="222" fontId="79" fillId="0" borderId="1021" applyBorder="0"/>
    <xf numFmtId="0" fontId="113" fillId="0" borderId="1022" applyNumberFormat="0" applyFill="0" applyAlignment="0" applyProtection="0"/>
    <xf numFmtId="0" fontId="75" fillId="0" borderId="1023" applyNumberFormat="0" applyFont="0" applyFill="0" applyAlignment="0" applyProtection="0"/>
    <xf numFmtId="0" fontId="12" fillId="0" borderId="1022" applyNumberFormat="0" applyFill="0" applyBorder="0" applyAlignment="0" applyProtection="0">
      <alignment horizontal="center"/>
    </xf>
    <xf numFmtId="248" fontId="46" fillId="0" borderId="1022"/>
    <xf numFmtId="192" fontId="9" fillId="3" borderId="1022">
      <alignment horizontal="right" vertical="center"/>
    </xf>
    <xf numFmtId="180" fontId="9" fillId="3" borderId="1022">
      <alignment horizontal="right" vertical="center"/>
    </xf>
    <xf numFmtId="186" fontId="146" fillId="3" borderId="1022" applyBorder="0">
      <alignment horizontal="left" vertical="center"/>
    </xf>
    <xf numFmtId="186" fontId="146" fillId="3" borderId="1025">
      <alignment horizontal="left"/>
    </xf>
    <xf numFmtId="186" fontId="140" fillId="3" borderId="1026">
      <alignment horizontal="center" vertical="center"/>
    </xf>
    <xf numFmtId="0" fontId="165" fillId="0" borderId="1022" applyFill="0" applyProtection="0">
      <alignment horizontal="center"/>
    </xf>
    <xf numFmtId="0" fontId="166" fillId="0" borderId="1022">
      <alignment horizontal="center"/>
    </xf>
    <xf numFmtId="264" fontId="12" fillId="14" borderId="1022" applyFont="0" applyFill="0" applyBorder="0" applyAlignment="0" applyProtection="0">
      <alignment horizontal="right"/>
    </xf>
    <xf numFmtId="0" fontId="210" fillId="0" borderId="1022" applyNumberFormat="0" applyFill="0" applyBorder="0" applyAlignment="0">
      <protection locked="0"/>
    </xf>
    <xf numFmtId="0" fontId="2" fillId="0" borderId="1027" applyNumberFormat="0" applyAlignment="0" applyProtection="0"/>
    <xf numFmtId="0" fontId="214" fillId="0" borderId="1028" applyNumberFormat="0" applyFont="0" applyFill="0" applyAlignment="0" applyProtection="0"/>
    <xf numFmtId="0" fontId="25" fillId="10" borderId="1029" applyNumberFormat="0" applyProtection="0">
      <alignment horizontal="left" vertical="top"/>
    </xf>
    <xf numFmtId="0" fontId="25" fillId="10" borderId="1030" applyNumberFormat="0" applyProtection="0">
      <alignment horizontal="left" vertical="top"/>
    </xf>
    <xf numFmtId="0" fontId="25" fillId="10" borderId="1031" applyNumberFormat="0" applyProtection="0">
      <alignment horizontal="left" vertical="top"/>
    </xf>
    <xf numFmtId="0" fontId="25" fillId="10" borderId="1032" applyNumberFormat="0" applyProtection="0">
      <alignment horizontal="left" vertical="top"/>
    </xf>
    <xf numFmtId="0" fontId="25" fillId="10" borderId="1029" applyNumberFormat="0" applyProtection="0">
      <alignment horizontal="left" vertical="top"/>
    </xf>
    <xf numFmtId="0" fontId="25" fillId="10" borderId="1030" applyNumberFormat="0" applyProtection="0">
      <alignment horizontal="left" vertical="top"/>
    </xf>
    <xf numFmtId="0" fontId="25" fillId="10" borderId="1031" applyNumberFormat="0" applyProtection="0">
      <alignment horizontal="left" vertical="top"/>
    </xf>
    <xf numFmtId="0" fontId="25" fillId="10" borderId="1032" applyNumberFormat="0" applyProtection="0">
      <alignment horizontal="left" vertical="top"/>
    </xf>
    <xf numFmtId="254" fontId="240" fillId="0" borderId="1022" applyBorder="0" applyProtection="0">
      <alignment horizontal="right" vertical="center"/>
    </xf>
    <xf numFmtId="0" fontId="241" fillId="94" borderId="1022" applyBorder="0" applyProtection="0">
      <alignment horizontal="centerContinuous" vertical="center"/>
    </xf>
    <xf numFmtId="246" fontId="249" fillId="0" borderId="1022" applyFill="0" applyProtection="0">
      <alignment horizontal="center"/>
    </xf>
    <xf numFmtId="246" fontId="250" fillId="0" borderId="1022" applyFill="0" applyProtection="0">
      <alignment horizontal="center"/>
    </xf>
    <xf numFmtId="190" fontId="101" fillId="0" borderId="1022" applyBorder="0"/>
    <xf numFmtId="190" fontId="113" fillId="0" borderId="1022" applyNumberFormat="0" applyFill="0" applyAlignment="0" applyProtection="0"/>
    <xf numFmtId="190" fontId="75" fillId="0" borderId="999" applyNumberFormat="0" applyFont="0" applyFill="0" applyAlignment="0" applyProtection="0"/>
    <xf numFmtId="190" fontId="12" fillId="0" borderId="1022" applyNumberFormat="0" applyFill="0" applyBorder="0" applyAlignment="0" applyProtection="0">
      <alignment horizontal="center"/>
    </xf>
    <xf numFmtId="190" fontId="78" fillId="14" borderId="1012" applyFont="0" applyFill="0" applyBorder="0" applyAlignment="0" applyProtection="0"/>
    <xf numFmtId="190" fontId="165" fillId="0" borderId="1022" applyFill="0" applyProtection="0">
      <alignment horizontal="center"/>
    </xf>
    <xf numFmtId="190" fontId="166" fillId="0" borderId="1022">
      <alignment horizontal="center"/>
    </xf>
    <xf numFmtId="190" fontId="210" fillId="0" borderId="1022" applyNumberFormat="0" applyFill="0" applyBorder="0" applyAlignment="0">
      <protection locked="0"/>
    </xf>
    <xf numFmtId="190" fontId="2" fillId="0" borderId="1003" applyNumberFormat="0" applyAlignment="0" applyProtection="0"/>
    <xf numFmtId="190" fontId="214" fillId="0" borderId="1004" applyNumberFormat="0" applyFont="0" applyFill="0" applyAlignment="0" applyProtection="0"/>
    <xf numFmtId="190" fontId="25" fillId="10" borderId="1005" applyNumberFormat="0" applyProtection="0">
      <alignment horizontal="left" vertical="top"/>
    </xf>
    <xf numFmtId="190" fontId="25" fillId="10" borderId="1006" applyNumberFormat="0" applyProtection="0">
      <alignment horizontal="left" vertical="top"/>
    </xf>
    <xf numFmtId="190" fontId="25" fillId="10" borderId="1007" applyNumberFormat="0" applyProtection="0">
      <alignment horizontal="left" vertical="top"/>
    </xf>
    <xf numFmtId="190" fontId="25" fillId="10" borderId="1008" applyNumberFormat="0" applyProtection="0">
      <alignment horizontal="left" vertical="top"/>
    </xf>
    <xf numFmtId="190" fontId="241" fillId="94" borderId="1022" applyBorder="0" applyProtection="0">
      <alignment horizontal="centerContinuous" vertical="center"/>
    </xf>
    <xf numFmtId="222" fontId="79" fillId="0" borderId="1021" applyBorder="0"/>
    <xf numFmtId="0" fontId="101" fillId="0" borderId="1022" applyBorder="0"/>
    <xf numFmtId="222" fontId="79" fillId="0" borderId="1021" applyBorder="0"/>
    <xf numFmtId="0" fontId="113" fillId="0" borderId="1022" applyNumberFormat="0" applyFill="0" applyAlignment="0" applyProtection="0"/>
    <xf numFmtId="0" fontId="75" fillId="0" borderId="999" applyNumberFormat="0" applyFont="0" applyFill="0" applyAlignment="0" applyProtection="0"/>
    <xf numFmtId="0" fontId="12" fillId="0" borderId="1022" applyNumberFormat="0" applyFill="0" applyBorder="0" applyAlignment="0" applyProtection="0">
      <alignment horizontal="center"/>
    </xf>
    <xf numFmtId="248" fontId="46" fillId="0" borderId="1022"/>
    <xf numFmtId="192" fontId="9" fillId="3" borderId="1022">
      <alignment horizontal="right" vertical="center"/>
    </xf>
    <xf numFmtId="180" fontId="9" fillId="3" borderId="1022">
      <alignment horizontal="right" vertical="center"/>
    </xf>
    <xf numFmtId="186" fontId="146" fillId="3" borderId="1022" applyBorder="0">
      <alignment horizontal="left" vertical="center"/>
    </xf>
    <xf numFmtId="186" fontId="146" fillId="3" borderId="1001">
      <alignment horizontal="left"/>
    </xf>
    <xf numFmtId="186" fontId="140" fillId="3" borderId="1002">
      <alignment horizontal="center" vertical="center"/>
    </xf>
    <xf numFmtId="0" fontId="165" fillId="0" borderId="1022" applyFill="0" applyProtection="0">
      <alignment horizontal="center"/>
    </xf>
    <xf numFmtId="0" fontId="166" fillId="0" borderId="1022">
      <alignment horizontal="center"/>
    </xf>
    <xf numFmtId="264" fontId="12" fillId="14" borderId="1022" applyFont="0" applyFill="0" applyBorder="0" applyAlignment="0" applyProtection="0">
      <alignment horizontal="right"/>
    </xf>
    <xf numFmtId="0" fontId="210" fillId="0" borderId="1022" applyNumberFormat="0" applyFill="0" applyBorder="0" applyAlignment="0">
      <protection locked="0"/>
    </xf>
    <xf numFmtId="0" fontId="2" fillId="0" borderId="1003" applyNumberFormat="0" applyAlignment="0" applyProtection="0"/>
    <xf numFmtId="0" fontId="214" fillId="0" borderId="1004" applyNumberFormat="0" applyFont="0" applyFill="0" applyAlignment="0" applyProtection="0"/>
    <xf numFmtId="0" fontId="25" fillId="10" borderId="1005" applyNumberFormat="0" applyProtection="0">
      <alignment horizontal="left" vertical="top"/>
    </xf>
    <xf numFmtId="0" fontId="25" fillId="10" borderId="1006" applyNumberFormat="0" applyProtection="0">
      <alignment horizontal="left" vertical="top"/>
    </xf>
    <xf numFmtId="0" fontId="25" fillId="10" borderId="1007" applyNumberFormat="0" applyProtection="0">
      <alignment horizontal="left" vertical="top"/>
    </xf>
    <xf numFmtId="0" fontId="25" fillId="10" borderId="1008" applyNumberFormat="0" applyProtection="0">
      <alignment horizontal="left" vertical="top"/>
    </xf>
    <xf numFmtId="0" fontId="25" fillId="10" borderId="1005" applyNumberFormat="0" applyProtection="0">
      <alignment horizontal="left" vertical="top"/>
    </xf>
    <xf numFmtId="0" fontId="25" fillId="10" borderId="1006" applyNumberFormat="0" applyProtection="0">
      <alignment horizontal="left" vertical="top"/>
    </xf>
    <xf numFmtId="0" fontId="25" fillId="10" borderId="1007" applyNumberFormat="0" applyProtection="0">
      <alignment horizontal="left" vertical="top"/>
    </xf>
    <xf numFmtId="0" fontId="25" fillId="10" borderId="1008" applyNumberFormat="0" applyProtection="0">
      <alignment horizontal="left" vertical="top"/>
    </xf>
    <xf numFmtId="254" fontId="240" fillId="0" borderId="1022" applyBorder="0" applyProtection="0">
      <alignment horizontal="right" vertical="center"/>
    </xf>
    <xf numFmtId="0" fontId="241" fillId="94" borderId="1022" applyBorder="0" applyProtection="0">
      <alignment horizontal="centerContinuous" vertical="center"/>
    </xf>
    <xf numFmtId="246" fontId="249" fillId="0" borderId="1022" applyFill="0" applyProtection="0">
      <alignment horizontal="center"/>
    </xf>
    <xf numFmtId="246" fontId="250" fillId="0" borderId="1022" applyFill="0" applyProtection="0">
      <alignment horizontal="center"/>
    </xf>
    <xf numFmtId="312" fontId="101" fillId="0" borderId="1022" applyBorder="0"/>
    <xf numFmtId="312" fontId="113" fillId="0" borderId="1022" applyNumberFormat="0" applyFill="0" applyAlignment="0" applyProtection="0"/>
    <xf numFmtId="312" fontId="75" fillId="0" borderId="999" applyNumberFormat="0" applyFont="0" applyFill="0" applyAlignment="0" applyProtection="0"/>
    <xf numFmtId="312" fontId="12" fillId="0" borderId="1022" applyNumberFormat="0" applyFill="0" applyBorder="0" applyAlignment="0" applyProtection="0">
      <alignment horizontal="center"/>
    </xf>
    <xf numFmtId="312" fontId="165" fillId="0" borderId="1022" applyFill="0" applyProtection="0">
      <alignment horizontal="center"/>
    </xf>
    <xf numFmtId="312" fontId="242" fillId="0" borderId="1022">
      <alignment horizontal="center"/>
    </xf>
    <xf numFmtId="312" fontId="210" fillId="0" borderId="1022" applyNumberFormat="0" applyFill="0" applyBorder="0" applyAlignment="0">
      <protection locked="0"/>
    </xf>
    <xf numFmtId="312" fontId="2" fillId="0" borderId="1003" applyNumberFormat="0" applyAlignment="0" applyProtection="0"/>
    <xf numFmtId="312" fontId="214" fillId="0" borderId="1004" applyNumberFormat="0" applyFont="0" applyFill="0" applyAlignment="0" applyProtection="0"/>
    <xf numFmtId="312" fontId="25" fillId="10" borderId="1005" applyNumberFormat="0" applyProtection="0">
      <alignment horizontal="left" vertical="top"/>
    </xf>
    <xf numFmtId="312" fontId="25" fillId="10" borderId="1006" applyNumberFormat="0" applyProtection="0">
      <alignment horizontal="left" vertical="top"/>
    </xf>
    <xf numFmtId="312" fontId="25" fillId="10" borderId="1007" applyNumberFormat="0" applyProtection="0">
      <alignment horizontal="left" vertical="top"/>
    </xf>
    <xf numFmtId="312" fontId="25" fillId="10" borderId="1008" applyNumberFormat="0" applyProtection="0">
      <alignment horizontal="left" vertical="top"/>
    </xf>
    <xf numFmtId="312" fontId="241" fillId="94" borderId="1022" applyBorder="0" applyProtection="0">
      <alignment horizontal="centerContinuous" vertical="center"/>
    </xf>
    <xf numFmtId="246" fontId="296" fillId="0" borderId="1022" applyFill="0" applyProtection="0">
      <alignment horizontal="center"/>
    </xf>
    <xf numFmtId="312" fontId="101" fillId="0" borderId="1022" applyBorder="0"/>
    <xf numFmtId="312" fontId="113" fillId="0" borderId="1022" applyNumberFormat="0" applyFill="0" applyAlignment="0" applyProtection="0"/>
    <xf numFmtId="312" fontId="75" fillId="0" borderId="999" applyNumberFormat="0" applyFont="0" applyFill="0" applyAlignment="0" applyProtection="0"/>
    <xf numFmtId="312" fontId="12" fillId="0" borderId="1022" applyNumberFormat="0" applyFill="0" applyBorder="0" applyAlignment="0" applyProtection="0">
      <alignment horizontal="center"/>
    </xf>
    <xf numFmtId="312" fontId="165" fillId="0" borderId="1022" applyFill="0" applyProtection="0">
      <alignment horizontal="center"/>
    </xf>
    <xf numFmtId="312" fontId="242" fillId="0" borderId="1022">
      <alignment horizontal="center"/>
    </xf>
    <xf numFmtId="312" fontId="210" fillId="0" borderId="1022" applyNumberFormat="0" applyFill="0" applyBorder="0" applyAlignment="0">
      <protection locked="0"/>
    </xf>
    <xf numFmtId="312" fontId="2" fillId="0" borderId="1003" applyNumberFormat="0" applyAlignment="0" applyProtection="0"/>
    <xf numFmtId="312" fontId="214" fillId="0" borderId="1004" applyNumberFormat="0" applyFont="0" applyFill="0" applyAlignment="0" applyProtection="0"/>
    <xf numFmtId="312" fontId="25" fillId="10" borderId="1005" applyNumberFormat="0" applyProtection="0">
      <alignment horizontal="left" vertical="top"/>
    </xf>
    <xf numFmtId="312" fontId="25" fillId="10" borderId="1006" applyNumberFormat="0" applyProtection="0">
      <alignment horizontal="left" vertical="top"/>
    </xf>
    <xf numFmtId="312" fontId="25" fillId="10" borderId="1007" applyNumberFormat="0" applyProtection="0">
      <alignment horizontal="left" vertical="top"/>
    </xf>
    <xf numFmtId="312" fontId="25" fillId="10" borderId="1008" applyNumberFormat="0" applyProtection="0">
      <alignment horizontal="left" vertical="top"/>
    </xf>
    <xf numFmtId="312" fontId="25" fillId="10" borderId="1005" applyNumberFormat="0" applyProtection="0">
      <alignment horizontal="left" vertical="top"/>
    </xf>
    <xf numFmtId="312" fontId="25" fillId="10" borderId="1006" applyNumberFormat="0" applyProtection="0">
      <alignment horizontal="left" vertical="top"/>
    </xf>
    <xf numFmtId="312" fontId="25" fillId="10" borderId="1007" applyNumberFormat="0" applyProtection="0">
      <alignment horizontal="left" vertical="top"/>
    </xf>
    <xf numFmtId="312" fontId="25" fillId="10" borderId="1008" applyNumberFormat="0" applyProtection="0">
      <alignment horizontal="left" vertical="top"/>
    </xf>
    <xf numFmtId="312" fontId="241" fillId="94" borderId="1022" applyBorder="0" applyProtection="0">
      <alignment horizontal="centerContinuous" vertical="center"/>
    </xf>
    <xf numFmtId="246" fontId="296" fillId="0" borderId="1022" applyFill="0" applyProtection="0">
      <alignment horizontal="center"/>
    </xf>
    <xf numFmtId="246" fontId="250" fillId="0" borderId="1022" applyFill="0" applyProtection="0">
      <alignment horizontal="center"/>
    </xf>
    <xf numFmtId="246" fontId="249" fillId="0" borderId="1022" applyFill="0" applyProtection="0">
      <alignment horizontal="center"/>
    </xf>
    <xf numFmtId="0" fontId="241" fillId="94" borderId="1022" applyBorder="0" applyProtection="0">
      <alignment horizontal="centerContinuous" vertical="center"/>
    </xf>
    <xf numFmtId="254" fontId="240" fillId="0" borderId="1022" applyBorder="0" applyProtection="0">
      <alignment horizontal="right" vertical="center"/>
    </xf>
    <xf numFmtId="0" fontId="25" fillId="10" borderId="1020" applyNumberFormat="0" applyProtection="0">
      <alignment horizontal="left" vertical="top"/>
    </xf>
    <xf numFmtId="0" fontId="25" fillId="10" borderId="1019" applyNumberFormat="0" applyProtection="0">
      <alignment horizontal="left" vertical="top"/>
    </xf>
    <xf numFmtId="0" fontId="25" fillId="10" borderId="1018" applyNumberFormat="0" applyProtection="0">
      <alignment horizontal="left" vertical="top"/>
    </xf>
    <xf numFmtId="0" fontId="25" fillId="10" borderId="1017" applyNumberFormat="0" applyProtection="0">
      <alignment horizontal="left" vertical="top"/>
    </xf>
    <xf numFmtId="0" fontId="214" fillId="0" borderId="1016" applyNumberFormat="0" applyFont="0" applyFill="0" applyAlignment="0" applyProtection="0"/>
    <xf numFmtId="0" fontId="2" fillId="0" borderId="1015" applyNumberFormat="0" applyAlignment="0" applyProtection="0"/>
    <xf numFmtId="0" fontId="210" fillId="0" borderId="1022" applyNumberFormat="0" applyFill="0" applyBorder="0" applyAlignment="0">
      <protection locked="0"/>
    </xf>
    <xf numFmtId="264" fontId="12" fillId="14" borderId="1022" applyFont="0" applyFill="0" applyBorder="0" applyAlignment="0" applyProtection="0">
      <alignment horizontal="right"/>
    </xf>
    <xf numFmtId="0" fontId="166" fillId="0" borderId="1022">
      <alignment horizontal="center"/>
    </xf>
    <xf numFmtId="0" fontId="165" fillId="0" borderId="1022" applyFill="0" applyProtection="0">
      <alignment horizontal="center"/>
    </xf>
    <xf numFmtId="186" fontId="140" fillId="3" borderId="1014">
      <alignment horizontal="center" vertical="center"/>
    </xf>
    <xf numFmtId="186" fontId="146" fillId="3" borderId="1013">
      <alignment horizontal="left"/>
    </xf>
    <xf numFmtId="186" fontId="146" fillId="3" borderId="1022" applyBorder="0">
      <alignment horizontal="left" vertical="center"/>
    </xf>
    <xf numFmtId="180" fontId="9" fillId="3" borderId="1022">
      <alignment horizontal="right" vertical="center"/>
    </xf>
    <xf numFmtId="192" fontId="9" fillId="3" borderId="1022">
      <alignment horizontal="right" vertical="center"/>
    </xf>
    <xf numFmtId="248" fontId="46" fillId="0" borderId="1022"/>
    <xf numFmtId="0" fontId="78" fillId="14" borderId="1012" applyFont="0" applyFill="0" applyBorder="0" applyAlignment="0" applyProtection="0"/>
    <xf numFmtId="0" fontId="12" fillId="0" borderId="1022" applyNumberFormat="0" applyFill="0" applyBorder="0" applyAlignment="0" applyProtection="0">
      <alignment horizontal="center"/>
    </xf>
    <xf numFmtId="0" fontId="75" fillId="0" borderId="1011" applyNumberFormat="0" applyFont="0" applyFill="0" applyAlignment="0" applyProtection="0"/>
    <xf numFmtId="0" fontId="113" fillId="0" borderId="1022" applyNumberFormat="0" applyFill="0" applyAlignment="0" applyProtection="0"/>
    <xf numFmtId="222" fontId="79" fillId="0" borderId="1021" applyBorder="0"/>
    <xf numFmtId="0" fontId="101" fillId="0" borderId="1022" applyBorder="0"/>
    <xf numFmtId="0" fontId="25" fillId="10" borderId="1029" applyNumberFormat="0" applyProtection="0">
      <alignment horizontal="left" vertical="top"/>
    </xf>
    <xf numFmtId="0" fontId="25" fillId="10" borderId="1030" applyNumberFormat="0" applyProtection="0">
      <alignment horizontal="left" vertical="top"/>
    </xf>
    <xf numFmtId="0" fontId="25" fillId="10" borderId="1031" applyNumberFormat="0" applyProtection="0">
      <alignment horizontal="left" vertical="top"/>
    </xf>
    <xf numFmtId="0" fontId="25" fillId="10" borderId="1032" applyNumberFormat="0" applyProtection="0">
      <alignment horizontal="left" vertical="top"/>
    </xf>
    <xf numFmtId="246" fontId="250" fillId="0" borderId="1010" applyFill="0" applyProtection="0">
      <alignment horizontal="center"/>
    </xf>
    <xf numFmtId="246" fontId="249" fillId="0" borderId="1010" applyFill="0" applyProtection="0">
      <alignment horizontal="center"/>
    </xf>
    <xf numFmtId="0" fontId="241" fillId="94" borderId="1010" applyBorder="0" applyProtection="0">
      <alignment horizontal="centerContinuous" vertical="center"/>
    </xf>
    <xf numFmtId="254" fontId="240" fillId="0" borderId="1010" applyBorder="0" applyProtection="0">
      <alignment horizontal="right" vertical="center"/>
    </xf>
    <xf numFmtId="0" fontId="210" fillId="0" borderId="1010" applyNumberFormat="0" applyFill="0" applyBorder="0" applyAlignment="0">
      <protection locked="0"/>
    </xf>
    <xf numFmtId="264" fontId="12" fillId="14" borderId="1010" applyFont="0" applyFill="0" applyBorder="0" applyAlignment="0" applyProtection="0">
      <alignment horizontal="right"/>
    </xf>
    <xf numFmtId="0" fontId="166" fillId="0" borderId="1010">
      <alignment horizontal="center"/>
    </xf>
    <xf numFmtId="0" fontId="165" fillId="0" borderId="1010" applyFill="0" applyProtection="0">
      <alignment horizontal="center"/>
    </xf>
    <xf numFmtId="186" fontId="146" fillId="3" borderId="1010" applyBorder="0">
      <alignment horizontal="left" vertical="center"/>
    </xf>
    <xf numFmtId="180" fontId="9" fillId="3" borderId="1010">
      <alignment horizontal="right" vertical="center"/>
    </xf>
    <xf numFmtId="192" fontId="9" fillId="3" borderId="1010">
      <alignment horizontal="right" vertical="center"/>
    </xf>
    <xf numFmtId="248" fontId="46" fillId="0" borderId="1010"/>
    <xf numFmtId="0" fontId="12" fillId="0" borderId="1010" applyNumberFormat="0" applyFill="0" applyBorder="0" applyAlignment="0" applyProtection="0">
      <alignment horizontal="center"/>
    </xf>
    <xf numFmtId="0" fontId="113" fillId="0" borderId="1010" applyNumberFormat="0" applyFill="0" applyAlignment="0" applyProtection="0"/>
    <xf numFmtId="222" fontId="79" fillId="0" borderId="1009" applyBorder="0"/>
    <xf numFmtId="0" fontId="101" fillId="0" borderId="1010" applyBorder="0"/>
    <xf numFmtId="246" fontId="250" fillId="0" borderId="1010" applyFill="0" applyProtection="0">
      <alignment horizontal="center"/>
    </xf>
    <xf numFmtId="246" fontId="249" fillId="0" borderId="1010" applyFill="0" applyProtection="0">
      <alignment horizontal="center"/>
    </xf>
    <xf numFmtId="0" fontId="241" fillId="94" borderId="1010" applyBorder="0" applyProtection="0">
      <alignment horizontal="centerContinuous" vertical="center"/>
    </xf>
    <xf numFmtId="254" fontId="240" fillId="0" borderId="1010" applyBorder="0" applyProtection="0">
      <alignment horizontal="right" vertical="center"/>
    </xf>
    <xf numFmtId="0" fontId="210" fillId="0" borderId="1010" applyNumberFormat="0" applyFill="0" applyBorder="0" applyAlignment="0">
      <protection locked="0"/>
    </xf>
    <xf numFmtId="264" fontId="12" fillId="14" borderId="1010" applyFont="0" applyFill="0" applyBorder="0" applyAlignment="0" applyProtection="0">
      <alignment horizontal="right"/>
    </xf>
    <xf numFmtId="0" fontId="166" fillId="0" borderId="1010">
      <alignment horizontal="center"/>
    </xf>
    <xf numFmtId="0" fontId="165" fillId="0" borderId="1010" applyFill="0" applyProtection="0">
      <alignment horizontal="center"/>
    </xf>
    <xf numFmtId="186" fontId="146" fillId="3" borderId="1010" applyBorder="0">
      <alignment horizontal="left" vertical="center"/>
    </xf>
    <xf numFmtId="180" fontId="9" fillId="3" borderId="1010">
      <alignment horizontal="right" vertical="center"/>
    </xf>
    <xf numFmtId="192" fontId="9" fillId="3" borderId="1010">
      <alignment horizontal="right" vertical="center"/>
    </xf>
    <xf numFmtId="0" fontId="12" fillId="0" borderId="1010" applyNumberFormat="0" applyFill="0" applyBorder="0" applyAlignment="0" applyProtection="0">
      <alignment horizontal="center"/>
    </xf>
    <xf numFmtId="0" fontId="113" fillId="0" borderId="1010" applyNumberFormat="0" applyFill="0" applyAlignment="0" applyProtection="0"/>
    <xf numFmtId="222" fontId="79" fillId="0" borderId="1009" applyBorder="0"/>
    <xf numFmtId="0" fontId="101" fillId="0" borderId="1010" applyBorder="0"/>
    <xf numFmtId="248" fontId="46" fillId="0" borderId="1010"/>
    <xf numFmtId="246" fontId="250" fillId="0" borderId="1010" applyFill="0" applyProtection="0">
      <alignment horizontal="center"/>
    </xf>
    <xf numFmtId="246" fontId="249" fillId="0" borderId="1010" applyFill="0" applyProtection="0">
      <alignment horizontal="center"/>
    </xf>
    <xf numFmtId="0" fontId="241" fillId="94" borderId="1010" applyBorder="0" applyProtection="0">
      <alignment horizontal="centerContinuous" vertical="center"/>
    </xf>
    <xf numFmtId="254" fontId="240" fillId="0" borderId="1010" applyBorder="0" applyProtection="0">
      <alignment horizontal="right" vertical="center"/>
    </xf>
    <xf numFmtId="0" fontId="210" fillId="0" borderId="1010" applyNumberFormat="0" applyFill="0" applyBorder="0" applyAlignment="0">
      <protection locked="0"/>
    </xf>
    <xf numFmtId="264" fontId="12" fillId="14" borderId="1010" applyFont="0" applyFill="0" applyBorder="0" applyAlignment="0" applyProtection="0">
      <alignment horizontal="right"/>
    </xf>
    <xf numFmtId="0" fontId="166" fillId="0" borderId="1010">
      <alignment horizontal="center"/>
    </xf>
    <xf numFmtId="0" fontId="165" fillId="0" borderId="1010" applyFill="0" applyProtection="0">
      <alignment horizontal="center"/>
    </xf>
    <xf numFmtId="186" fontId="146" fillId="3" borderId="1010" applyBorder="0">
      <alignment horizontal="left" vertical="center"/>
    </xf>
    <xf numFmtId="180" fontId="9" fillId="3" borderId="1010">
      <alignment horizontal="right" vertical="center"/>
    </xf>
    <xf numFmtId="192" fontId="9" fillId="3" borderId="1010">
      <alignment horizontal="right" vertical="center"/>
    </xf>
    <xf numFmtId="248" fontId="46" fillId="0" borderId="1010"/>
    <xf numFmtId="0" fontId="12" fillId="0" borderId="1010" applyNumberFormat="0" applyFill="0" applyBorder="0" applyAlignment="0" applyProtection="0">
      <alignment horizontal="center"/>
    </xf>
    <xf numFmtId="0" fontId="113" fillId="0" borderId="1010" applyNumberFormat="0" applyFill="0" applyAlignment="0" applyProtection="0"/>
    <xf numFmtId="222" fontId="79" fillId="0" borderId="1009" applyBorder="0"/>
    <xf numFmtId="0" fontId="101" fillId="0" borderId="1010" applyBorder="0"/>
    <xf numFmtId="222" fontId="79" fillId="0" borderId="1069" applyBorder="0"/>
    <xf numFmtId="0" fontId="113" fillId="0" borderId="1190" applyNumberFormat="0" applyFill="0" applyAlignment="0" applyProtection="0"/>
    <xf numFmtId="0" fontId="210" fillId="0" borderId="1178" applyNumberFormat="0" applyFill="0" applyBorder="0" applyAlignment="0">
      <protection locked="0"/>
    </xf>
    <xf numFmtId="0" fontId="241" fillId="94" borderId="1190" applyBorder="0" applyProtection="0">
      <alignment horizontal="centerContinuous" vertical="center"/>
    </xf>
    <xf numFmtId="248" fontId="46" fillId="0" borderId="2120"/>
    <xf numFmtId="246" fontId="249" fillId="0" borderId="1369" applyFill="0" applyProtection="0">
      <alignment horizontal="center"/>
    </xf>
    <xf numFmtId="190" fontId="2" fillId="0" borderId="1231" applyNumberFormat="0" applyAlignment="0" applyProtection="0"/>
    <xf numFmtId="190" fontId="210" fillId="0" borderId="1250" applyNumberFormat="0" applyFill="0" applyBorder="0" applyAlignment="0">
      <protection locked="0"/>
    </xf>
    <xf numFmtId="190" fontId="166" fillId="0" borderId="1250">
      <alignment horizontal="center"/>
    </xf>
    <xf numFmtId="190" fontId="165" fillId="0" borderId="1250" applyFill="0" applyProtection="0">
      <alignment horizontal="center"/>
    </xf>
    <xf numFmtId="190" fontId="12" fillId="0" borderId="1250" applyNumberFormat="0" applyFill="0" applyBorder="0" applyAlignment="0" applyProtection="0">
      <alignment horizontal="center"/>
    </xf>
    <xf numFmtId="190" fontId="75" fillId="0" borderId="1227" applyNumberFormat="0" applyFont="0" applyFill="0" applyAlignment="0" applyProtection="0"/>
    <xf numFmtId="246" fontId="249" fillId="0" borderId="1250" applyFill="0" applyProtection="0">
      <alignment horizontal="center"/>
    </xf>
    <xf numFmtId="0" fontId="25" fillId="10" borderId="1260" applyNumberFormat="0" applyProtection="0">
      <alignment horizontal="left" vertical="top"/>
    </xf>
    <xf numFmtId="186" fontId="146" fillId="3" borderId="1441" applyBorder="0">
      <alignment horizontal="left" vertical="center"/>
    </xf>
    <xf numFmtId="0" fontId="101" fillId="0" borderId="1250" applyBorder="0"/>
    <xf numFmtId="222" fontId="79" fillId="0" borderId="1249" applyBorder="0"/>
    <xf numFmtId="0" fontId="12" fillId="0" borderId="1250" applyNumberFormat="0" applyFill="0" applyBorder="0" applyAlignment="0" applyProtection="0">
      <alignment horizontal="center"/>
    </xf>
    <xf numFmtId="248" fontId="46" fillId="0" borderId="1441"/>
    <xf numFmtId="0" fontId="78" fillId="14" borderId="4719" applyFont="0" applyFill="0" applyBorder="0" applyAlignment="0" applyProtection="0"/>
    <xf numFmtId="0" fontId="241" fillId="94" borderId="1250" applyBorder="0" applyProtection="0">
      <alignment horizontal="centerContinuous" vertical="center"/>
    </xf>
    <xf numFmtId="312" fontId="12" fillId="0" borderId="2075" applyNumberFormat="0" applyFill="0" applyBorder="0" applyAlignment="0" applyProtection="0"/>
    <xf numFmtId="0" fontId="12" fillId="75" borderId="4732" applyNumberFormat="0" applyProtection="0">
      <alignment horizontal="left" vertical="top" indent="1"/>
    </xf>
    <xf numFmtId="248" fontId="46" fillId="0" borderId="4746"/>
    <xf numFmtId="0" fontId="25" fillId="10" borderId="1260" applyNumberFormat="0" applyProtection="0">
      <alignment horizontal="left" vertical="top"/>
    </xf>
    <xf numFmtId="0" fontId="25" fillId="10" borderId="1259" applyNumberFormat="0" applyProtection="0">
      <alignment horizontal="left" vertical="top"/>
    </xf>
    <xf numFmtId="0" fontId="25" fillId="10" borderId="1258" applyNumberFormat="0" applyProtection="0">
      <alignment horizontal="left" vertical="top"/>
    </xf>
    <xf numFmtId="0" fontId="25" fillId="10" borderId="1257" applyNumberFormat="0" applyProtection="0">
      <alignment horizontal="left" vertical="top"/>
    </xf>
    <xf numFmtId="186" fontId="140" fillId="3" borderId="1254">
      <alignment horizontal="center" vertical="center"/>
    </xf>
    <xf numFmtId="246" fontId="249" fillId="0" borderId="1238" applyFill="0" applyProtection="0">
      <alignment horizontal="center"/>
    </xf>
    <xf numFmtId="0" fontId="210" fillId="0" borderId="1238" applyNumberFormat="0" applyFill="0" applyBorder="0" applyAlignment="0">
      <protection locked="0"/>
    </xf>
    <xf numFmtId="264" fontId="12" fillId="14" borderId="1238" applyFont="0" applyFill="0" applyBorder="0" applyAlignment="0" applyProtection="0">
      <alignment horizontal="right"/>
    </xf>
    <xf numFmtId="192" fontId="9" fillId="3" borderId="1238">
      <alignment horizontal="right" vertical="center"/>
    </xf>
    <xf numFmtId="0" fontId="113" fillId="0" borderId="1238" applyNumberFormat="0" applyFill="0" applyAlignment="0" applyProtection="0"/>
    <xf numFmtId="222" fontId="79" fillId="0" borderId="1237" applyBorder="0"/>
    <xf numFmtId="0" fontId="75" fillId="0" borderId="1227" applyNumberFormat="0" applyFont="0" applyFill="0" applyAlignment="0" applyProtection="0"/>
    <xf numFmtId="186" fontId="146" fillId="3" borderId="1229">
      <alignment horizontal="left"/>
    </xf>
    <xf numFmtId="0" fontId="25" fillId="10" borderId="1234" applyNumberFormat="0" applyProtection="0">
      <alignment horizontal="left" vertical="top"/>
    </xf>
    <xf numFmtId="0" fontId="25" fillId="10" borderId="1235" applyNumberFormat="0" applyProtection="0">
      <alignment horizontal="left" vertical="top"/>
    </xf>
    <xf numFmtId="0" fontId="25" fillId="10" borderId="1236" applyNumberFormat="0" applyProtection="0">
      <alignment horizontal="left" vertical="top"/>
    </xf>
    <xf numFmtId="246" fontId="250" fillId="0" borderId="1214" applyFill="0" applyProtection="0">
      <alignment horizontal="center"/>
    </xf>
    <xf numFmtId="246" fontId="249" fillId="0" borderId="1214" applyFill="0" applyProtection="0">
      <alignment horizontal="center"/>
    </xf>
    <xf numFmtId="0" fontId="241" fillId="94" borderId="1214" applyBorder="0" applyProtection="0">
      <alignment horizontal="centerContinuous" vertical="center"/>
    </xf>
    <xf numFmtId="0" fontId="210" fillId="0" borderId="1214" applyNumberFormat="0" applyFill="0" applyBorder="0" applyAlignment="0">
      <protection locked="0"/>
    </xf>
    <xf numFmtId="0" fontId="165" fillId="0" borderId="1214" applyFill="0" applyProtection="0">
      <alignment horizontal="center"/>
    </xf>
    <xf numFmtId="192" fontId="9" fillId="3" borderId="1214">
      <alignment horizontal="right" vertical="center"/>
    </xf>
    <xf numFmtId="0" fontId="113" fillId="0" borderId="1214" applyNumberFormat="0" applyFill="0" applyAlignment="0" applyProtection="0"/>
    <xf numFmtId="222" fontId="79" fillId="0" borderId="1213" applyBorder="0"/>
    <xf numFmtId="186" fontId="140" fillId="3" borderId="1206">
      <alignment horizontal="center" vertical="center"/>
    </xf>
    <xf numFmtId="0" fontId="25" fillId="10" borderId="1209" applyNumberFormat="0" applyProtection="0">
      <alignment horizontal="left" vertical="top"/>
    </xf>
    <xf numFmtId="0" fontId="25" fillId="10" borderId="1212" applyNumberFormat="0" applyProtection="0">
      <alignment horizontal="left" vertical="top"/>
    </xf>
    <xf numFmtId="0" fontId="78" fillId="14" borderId="1180" applyFont="0" applyFill="0" applyBorder="0" applyAlignment="0" applyProtection="0"/>
    <xf numFmtId="186" fontId="140" fillId="3" borderId="1194">
      <alignment horizontal="center" vertical="center"/>
    </xf>
    <xf numFmtId="0" fontId="241" fillId="94" borderId="1190" applyBorder="0" applyProtection="0">
      <alignment horizontal="centerContinuous" vertical="center"/>
    </xf>
    <xf numFmtId="254" fontId="240" fillId="0" borderId="1190" applyBorder="0" applyProtection="0">
      <alignment horizontal="right" vertical="center"/>
    </xf>
    <xf numFmtId="0" fontId="210" fillId="0" borderId="1190" applyNumberFormat="0" applyFill="0" applyBorder="0" applyAlignment="0">
      <protection locked="0"/>
    </xf>
    <xf numFmtId="264" fontId="12" fillId="14" borderId="1190" applyFont="0" applyFill="0" applyBorder="0" applyAlignment="0" applyProtection="0">
      <alignment horizontal="right"/>
    </xf>
    <xf numFmtId="186" fontId="140" fillId="3" borderId="1182">
      <alignment horizontal="center" vertical="center"/>
    </xf>
    <xf numFmtId="186" fontId="146" fillId="3" borderId="1181">
      <alignment horizontal="left"/>
    </xf>
    <xf numFmtId="222" fontId="79" fillId="0" borderId="1189" applyBorder="0"/>
    <xf numFmtId="180" fontId="9" fillId="3" borderId="1178">
      <alignment horizontal="right" vertical="center"/>
    </xf>
    <xf numFmtId="192" fontId="9" fillId="3" borderId="1178">
      <alignment horizontal="right" vertical="center"/>
    </xf>
    <xf numFmtId="248" fontId="46" fillId="0" borderId="1178"/>
    <xf numFmtId="0" fontId="12" fillId="0" borderId="1178" applyNumberFormat="0" applyFill="0" applyBorder="0" applyAlignment="0" applyProtection="0">
      <alignment horizontal="center"/>
    </xf>
    <xf numFmtId="0" fontId="101" fillId="0" borderId="1178" applyBorder="0"/>
    <xf numFmtId="222" fontId="79" fillId="0" borderId="1069" applyBorder="0"/>
    <xf numFmtId="192" fontId="9" fillId="3" borderId="4746">
      <alignment horizontal="right" vertical="center"/>
    </xf>
    <xf numFmtId="0" fontId="78" fillId="14" borderId="1060" applyFont="0" applyFill="0" applyBorder="0" applyAlignment="0" applyProtection="0"/>
    <xf numFmtId="222" fontId="79" fillId="0" borderId="1069" applyBorder="0"/>
    <xf numFmtId="0" fontId="25" fillId="10" borderId="1187" applyNumberFormat="0" applyProtection="0">
      <alignment horizontal="left" vertical="top"/>
    </xf>
    <xf numFmtId="0" fontId="214" fillId="0" borderId="1184" applyNumberFormat="0" applyFont="0" applyFill="0" applyAlignment="0" applyProtection="0"/>
    <xf numFmtId="186" fontId="146" fillId="3" borderId="1181">
      <alignment horizontal="left"/>
    </xf>
    <xf numFmtId="0" fontId="75" fillId="0" borderId="1179" applyNumberFormat="0" applyFont="0" applyFill="0" applyAlignment="0" applyProtection="0"/>
    <xf numFmtId="0" fontId="25" fillId="10" borderId="1450" applyNumberFormat="0" applyProtection="0">
      <alignment horizontal="left" vertical="top"/>
    </xf>
    <xf numFmtId="222" fontId="79" fillId="0" borderId="1189" applyBorder="0"/>
    <xf numFmtId="248" fontId="46" fillId="0" borderId="1190"/>
    <xf numFmtId="192" fontId="9" fillId="3" borderId="1190">
      <alignment horizontal="right" vertical="center"/>
    </xf>
    <xf numFmtId="180" fontId="9" fillId="3" borderId="1190">
      <alignment horizontal="right" vertical="center"/>
    </xf>
    <xf numFmtId="186" fontId="146" fillId="3" borderId="1190" applyBorder="0">
      <alignment horizontal="left" vertical="center"/>
    </xf>
    <xf numFmtId="0" fontId="165" fillId="0" borderId="1190" applyFill="0" applyProtection="0">
      <alignment horizontal="center"/>
    </xf>
    <xf numFmtId="0" fontId="166" fillId="0" borderId="1190">
      <alignment horizontal="center"/>
    </xf>
    <xf numFmtId="264" fontId="12" fillId="14" borderId="1190" applyFont="0" applyFill="0" applyBorder="0" applyAlignment="0" applyProtection="0">
      <alignment horizontal="right"/>
    </xf>
    <xf numFmtId="0" fontId="210" fillId="0" borderId="1190" applyNumberFormat="0" applyFill="0" applyBorder="0" applyAlignment="0">
      <protection locked="0"/>
    </xf>
    <xf numFmtId="254" fontId="240" fillId="0" borderId="1190" applyBorder="0" applyProtection="0">
      <alignment horizontal="right" vertical="center"/>
    </xf>
    <xf numFmtId="0" fontId="241" fillId="94" borderId="1190" applyBorder="0" applyProtection="0">
      <alignment horizontal="centerContinuous" vertical="center"/>
    </xf>
    <xf numFmtId="0" fontId="2" fillId="0" borderId="1243" applyNumberFormat="0" applyAlignment="0" applyProtection="0"/>
    <xf numFmtId="0" fontId="25" fillId="10" borderId="2086" applyNumberFormat="0" applyProtection="0">
      <alignment horizontal="left" vertical="top"/>
    </xf>
    <xf numFmtId="0" fontId="25" fillId="10" borderId="1245" applyNumberFormat="0" applyProtection="0">
      <alignment horizontal="left" vertical="top"/>
    </xf>
    <xf numFmtId="222" fontId="79" fillId="0" borderId="1069" applyBorder="0"/>
    <xf numFmtId="186" fontId="146" fillId="3" borderId="1241">
      <alignment horizontal="left"/>
    </xf>
    <xf numFmtId="186" fontId="140" fillId="3" borderId="1242">
      <alignment horizontal="center" vertical="center"/>
    </xf>
    <xf numFmtId="0" fontId="25" fillId="10" borderId="1029" applyNumberFormat="0" applyProtection="0">
      <alignment horizontal="left" vertical="top"/>
    </xf>
    <xf numFmtId="0" fontId="25" fillId="10" borderId="1032" applyNumberFormat="0" applyProtection="0">
      <alignment horizontal="left" vertical="top"/>
    </xf>
    <xf numFmtId="0" fontId="78" fillId="14" borderId="1060" applyFont="0" applyFill="0" applyBorder="0" applyAlignment="0" applyProtection="0"/>
    <xf numFmtId="0" fontId="78" fillId="14" borderId="1216" applyFont="0" applyFill="0" applyBorder="0" applyAlignment="0" applyProtection="0"/>
    <xf numFmtId="0" fontId="214" fillId="0" borderId="1220" applyNumberFormat="0" applyFont="0" applyFill="0" applyAlignment="0" applyProtection="0"/>
    <xf numFmtId="186" fontId="146" fillId="3" borderId="1226" applyBorder="0">
      <alignment horizontal="left" vertical="center"/>
    </xf>
    <xf numFmtId="0" fontId="166" fillId="0" borderId="1226">
      <alignment horizontal="center"/>
    </xf>
    <xf numFmtId="0" fontId="241" fillId="94" borderId="1226" applyBorder="0" applyProtection="0">
      <alignment horizontal="centerContinuous" vertical="center"/>
    </xf>
    <xf numFmtId="0" fontId="241" fillId="94" borderId="1202" applyBorder="0" applyProtection="0">
      <alignment horizontal="centerContinuous" vertical="center"/>
    </xf>
    <xf numFmtId="254" fontId="240" fillId="0" borderId="1202" applyBorder="0" applyProtection="0">
      <alignment horizontal="right" vertical="center"/>
    </xf>
    <xf numFmtId="0" fontId="165" fillId="0" borderId="1202" applyFill="0" applyProtection="0">
      <alignment horizontal="center"/>
    </xf>
    <xf numFmtId="0" fontId="25" fillId="10" borderId="1188" applyNumberFormat="0" applyProtection="0">
      <alignment horizontal="left" vertical="top"/>
    </xf>
    <xf numFmtId="0" fontId="25" fillId="10" borderId="1187" applyNumberFormat="0" applyProtection="0">
      <alignment horizontal="left" vertical="top"/>
    </xf>
    <xf numFmtId="0" fontId="75" fillId="0" borderId="1179" applyNumberFormat="0" applyFont="0" applyFill="0" applyAlignment="0" applyProtection="0"/>
    <xf numFmtId="0" fontId="214" fillId="0" borderId="1244" applyNumberFormat="0" applyFont="0" applyFill="0" applyAlignment="0" applyProtection="0"/>
    <xf numFmtId="222" fontId="79" fillId="0" borderId="1189" applyBorder="0"/>
    <xf numFmtId="0" fontId="25" fillId="10" borderId="1248" applyNumberFormat="0" applyProtection="0">
      <alignment horizontal="left" vertical="top"/>
    </xf>
    <xf numFmtId="254" fontId="240" fillId="0" borderId="1070" applyBorder="0" applyProtection="0">
      <alignment horizontal="right" vertical="center"/>
    </xf>
    <xf numFmtId="0" fontId="210" fillId="0" borderId="1070" applyNumberFormat="0" applyFill="0" applyBorder="0" applyAlignment="0">
      <protection locked="0"/>
    </xf>
    <xf numFmtId="264" fontId="12" fillId="14" borderId="1070" applyFont="0" applyFill="0" applyBorder="0" applyAlignment="0" applyProtection="0">
      <alignment horizontal="right"/>
    </xf>
    <xf numFmtId="0" fontId="166" fillId="0" borderId="1070">
      <alignment horizontal="center"/>
    </xf>
    <xf numFmtId="0" fontId="165" fillId="0" borderId="1070" applyFill="0" applyProtection="0">
      <alignment horizontal="center"/>
    </xf>
    <xf numFmtId="186" fontId="146" fillId="3" borderId="1070" applyBorder="0">
      <alignment horizontal="left" vertical="center"/>
    </xf>
    <xf numFmtId="180" fontId="9" fillId="3" borderId="1070">
      <alignment horizontal="right" vertical="center"/>
    </xf>
    <xf numFmtId="186" fontId="146" fillId="3" borderId="1193">
      <alignment horizontal="left"/>
    </xf>
    <xf numFmtId="0" fontId="214" fillId="0" borderId="1196" applyNumberFormat="0" applyFont="0" applyFill="0" applyAlignment="0" applyProtection="0"/>
    <xf numFmtId="10" fontId="12" fillId="3" borderId="2088" applyNumberFormat="0" applyFont="0" applyFill="0" applyBorder="0" applyAlignment="0">
      <protection locked="0"/>
    </xf>
    <xf numFmtId="0" fontId="25" fillId="10" borderId="1197" applyNumberFormat="0" applyProtection="0">
      <alignment horizontal="left" vertical="top"/>
    </xf>
    <xf numFmtId="0" fontId="25" fillId="10" borderId="1199" applyNumberFormat="0" applyProtection="0">
      <alignment horizontal="left" vertical="top"/>
    </xf>
    <xf numFmtId="222" fontId="79" fillId="0" borderId="1213" applyBorder="0"/>
    <xf numFmtId="0" fontId="25" fillId="10" borderId="1224" applyNumberFormat="0" applyProtection="0">
      <alignment horizontal="left" vertical="top"/>
    </xf>
    <xf numFmtId="0" fontId="25" fillId="10" borderId="1221" applyNumberFormat="0" applyProtection="0">
      <alignment horizontal="left" vertical="top"/>
    </xf>
    <xf numFmtId="222" fontId="79" fillId="0" borderId="1225" applyBorder="0"/>
    <xf numFmtId="180" fontId="9" fillId="3" borderId="1226">
      <alignment horizontal="right" vertical="center"/>
    </xf>
    <xf numFmtId="254" fontId="240" fillId="0" borderId="1226" applyBorder="0" applyProtection="0">
      <alignment horizontal="right" vertical="center"/>
    </xf>
    <xf numFmtId="246" fontId="249" fillId="0" borderId="1226" applyFill="0" applyProtection="0">
      <alignment horizontal="center"/>
    </xf>
    <xf numFmtId="246" fontId="250" fillId="0" borderId="1226" applyFill="0" applyProtection="0">
      <alignment horizontal="center"/>
    </xf>
    <xf numFmtId="264" fontId="12" fillId="14" borderId="1202" applyFont="0" applyFill="0" applyBorder="0" applyAlignment="0" applyProtection="0">
      <alignment horizontal="right"/>
    </xf>
    <xf numFmtId="186" fontId="146" fillId="3" borderId="1202" applyBorder="0">
      <alignment horizontal="left" vertical="center"/>
    </xf>
    <xf numFmtId="180" fontId="9" fillId="3" borderId="1202">
      <alignment horizontal="right" vertical="center"/>
    </xf>
    <xf numFmtId="192" fontId="9" fillId="3" borderId="1202">
      <alignment horizontal="right" vertical="center"/>
    </xf>
    <xf numFmtId="248" fontId="46" fillId="0" borderId="1202"/>
    <xf numFmtId="0" fontId="12" fillId="0" borderId="1202" applyNumberFormat="0" applyFill="0" applyBorder="0" applyAlignment="0" applyProtection="0">
      <alignment horizontal="center"/>
    </xf>
    <xf numFmtId="0" fontId="113" fillId="0" borderId="1202" applyNumberFormat="0" applyFill="0" applyAlignment="0" applyProtection="0"/>
    <xf numFmtId="0" fontId="210" fillId="0" borderId="1250" applyNumberFormat="0" applyFill="0" applyBorder="0" applyAlignment="0">
      <protection locked="0"/>
    </xf>
    <xf numFmtId="0" fontId="165" fillId="0" borderId="1250" applyFill="0" applyProtection="0">
      <alignment horizontal="center"/>
    </xf>
    <xf numFmtId="192" fontId="9" fillId="3" borderId="1250">
      <alignment horizontal="right" vertical="center"/>
    </xf>
    <xf numFmtId="248" fontId="46" fillId="0" borderId="1250"/>
    <xf numFmtId="222" fontId="79" fillId="0" borderId="1249" applyBorder="0"/>
    <xf numFmtId="0" fontId="78" fillId="14" borderId="1240" applyFont="0" applyFill="0" applyBorder="0" applyAlignment="0" applyProtection="0"/>
    <xf numFmtId="0" fontId="25" fillId="10" borderId="1247" applyNumberFormat="0" applyProtection="0">
      <alignment horizontal="left" vertical="top"/>
    </xf>
    <xf numFmtId="186" fontId="140" fillId="3" borderId="1182">
      <alignment horizontal="center" vertical="center"/>
    </xf>
    <xf numFmtId="0" fontId="2" fillId="0" borderId="1183" applyNumberFormat="0" applyAlignment="0" applyProtection="0"/>
    <xf numFmtId="0" fontId="25" fillId="10" borderId="1186" applyNumberFormat="0" applyProtection="0">
      <alignment horizontal="left" vertical="top"/>
    </xf>
    <xf numFmtId="0" fontId="25" fillId="10" borderId="1185" applyNumberFormat="0" applyProtection="0">
      <alignment horizontal="left" vertical="top"/>
    </xf>
    <xf numFmtId="0" fontId="25" fillId="10" borderId="1188" applyNumberFormat="0" applyProtection="0">
      <alignment horizontal="left" vertical="top"/>
    </xf>
    <xf numFmtId="222" fontId="79" fillId="0" borderId="1440" applyBorder="0"/>
    <xf numFmtId="0" fontId="75" fillId="0" borderId="1179" applyNumberFormat="0" applyFont="0" applyFill="0" applyAlignment="0" applyProtection="0"/>
    <xf numFmtId="186" fontId="146" fillId="3" borderId="1181">
      <alignment horizontal="left"/>
    </xf>
    <xf numFmtId="0" fontId="210" fillId="0" borderId="1369" applyNumberFormat="0" applyFill="0" applyBorder="0" applyAlignment="0">
      <protection locked="0"/>
    </xf>
    <xf numFmtId="246" fontId="250" fillId="0" borderId="1178" applyFill="0" applyProtection="0">
      <alignment horizontal="center"/>
    </xf>
    <xf numFmtId="0" fontId="210" fillId="0" borderId="1178" applyNumberFormat="0" applyFill="0" applyBorder="0" applyAlignment="0">
      <protection locked="0"/>
    </xf>
    <xf numFmtId="264" fontId="12" fillId="14" borderId="1178" applyFont="0" applyFill="0" applyBorder="0" applyAlignment="0" applyProtection="0">
      <alignment horizontal="right"/>
    </xf>
    <xf numFmtId="180" fontId="9" fillId="3" borderId="1178">
      <alignment horizontal="right" vertical="center"/>
    </xf>
    <xf numFmtId="248" fontId="46" fillId="0" borderId="1178"/>
    <xf numFmtId="246" fontId="249" fillId="0" borderId="2156" applyFill="0" applyProtection="0">
      <alignment horizontal="center"/>
    </xf>
    <xf numFmtId="186" fontId="146" fillId="3" borderId="4786" applyBorder="0">
      <alignment horizontal="left" vertical="center"/>
    </xf>
    <xf numFmtId="10" fontId="12" fillId="3" borderId="2088" applyNumberFormat="0" applyFont="0" applyFill="0" applyBorder="0" applyAlignment="0">
      <protection locked="0"/>
    </xf>
    <xf numFmtId="0" fontId="78" fillId="14" borderId="1371" applyFont="0" applyFill="0" applyBorder="0" applyAlignment="0" applyProtection="0"/>
    <xf numFmtId="0" fontId="25" fillId="10" borderId="2085" applyNumberFormat="0" applyProtection="0">
      <alignment horizontal="left" vertical="top"/>
    </xf>
    <xf numFmtId="0" fontId="75" fillId="0" borderId="2109" applyNumberFormat="0" applyFont="0" applyFill="0" applyAlignment="0" applyProtection="0"/>
    <xf numFmtId="0" fontId="165" fillId="0" borderId="1369" applyFill="0" applyProtection="0">
      <alignment horizontal="center"/>
    </xf>
    <xf numFmtId="246" fontId="249" fillId="0" borderId="1178" applyFill="0" applyProtection="0">
      <alignment horizontal="center"/>
    </xf>
    <xf numFmtId="0" fontId="241" fillId="94" borderId="1178" applyBorder="0" applyProtection="0">
      <alignment horizontal="centerContinuous" vertical="center"/>
    </xf>
    <xf numFmtId="254" fontId="240" fillId="0" borderId="1178" applyBorder="0" applyProtection="0">
      <alignment horizontal="right" vertical="center"/>
    </xf>
    <xf numFmtId="190" fontId="12" fillId="0" borderId="4729" applyNumberFormat="0" applyFill="0" applyBorder="0" applyAlignment="0" applyProtection="0"/>
    <xf numFmtId="0" fontId="25" fillId="10" borderId="2140" applyNumberFormat="0" applyProtection="0">
      <alignment horizontal="left" vertical="top"/>
    </xf>
    <xf numFmtId="190" fontId="210" fillId="0" borderId="2156" applyNumberFormat="0" applyFill="0" applyBorder="0" applyAlignment="0">
      <protection locked="0"/>
    </xf>
    <xf numFmtId="186" fontId="140" fillId="3" borderId="4814">
      <alignment horizontal="center" vertical="center"/>
    </xf>
    <xf numFmtId="222" fontId="79" fillId="0" borderId="2092" applyBorder="0"/>
    <xf numFmtId="0" fontId="25" fillId="10" borderId="4725" applyNumberFormat="0" applyProtection="0">
      <alignment horizontal="left" vertical="top"/>
    </xf>
    <xf numFmtId="0" fontId="25" fillId="10" borderId="706" applyNumberFormat="0" applyProtection="0">
      <alignment horizontal="left" vertical="top"/>
    </xf>
    <xf numFmtId="0" fontId="166" fillId="0" borderId="1369">
      <alignment horizontal="center"/>
    </xf>
    <xf numFmtId="190" fontId="136" fillId="84" borderId="2078" applyNumberFormat="0" applyProtection="0">
      <alignment horizontal="left" vertical="top" indent="1"/>
    </xf>
    <xf numFmtId="0" fontId="12" fillId="0" borderId="4810" applyNumberFormat="0" applyFill="0" applyBorder="0" applyAlignment="0" applyProtection="0">
      <alignment horizontal="center"/>
    </xf>
    <xf numFmtId="246" fontId="250" fillId="0" borderId="2063" applyFill="0" applyProtection="0">
      <alignment horizontal="center"/>
    </xf>
    <xf numFmtId="188" fontId="25" fillId="0" borderId="2090" applyFont="0" applyFill="0" applyBorder="0" applyAlignment="0" applyProtection="0">
      <alignment horizontal="center"/>
    </xf>
    <xf numFmtId="0" fontId="101" fillId="0" borderId="2093" applyBorder="0"/>
    <xf numFmtId="246" fontId="250" fillId="0" borderId="4774" applyFill="0" applyProtection="0">
      <alignment horizontal="center"/>
    </xf>
    <xf numFmtId="0" fontId="210" fillId="0" borderId="2289" applyNumberFormat="0" applyFill="0" applyBorder="0" applyAlignment="0">
      <protection locked="0"/>
    </xf>
    <xf numFmtId="0" fontId="210" fillId="0" borderId="4810" applyNumberFormat="0" applyFill="0" applyBorder="0" applyAlignment="0">
      <protection locked="0"/>
    </xf>
    <xf numFmtId="190" fontId="101" fillId="0" borderId="4810" applyBorder="0"/>
    <xf numFmtId="180" fontId="9" fillId="3" borderId="4746">
      <alignment horizontal="right" vertical="center"/>
    </xf>
    <xf numFmtId="0" fontId="135" fillId="0" borderId="2076"/>
    <xf numFmtId="0" fontId="12" fillId="84" borderId="2078" applyNumberFormat="0" applyProtection="0">
      <alignment horizontal="left" vertical="top" indent="1"/>
    </xf>
    <xf numFmtId="169" fontId="234" fillId="3" borderId="4730" applyFont="0" applyProtection="0"/>
    <xf numFmtId="0" fontId="75" fillId="0" borderId="2064" applyNumberFormat="0" applyFont="0" applyFill="0" applyAlignment="0" applyProtection="0"/>
    <xf numFmtId="0" fontId="25" fillId="10" borderId="2142" applyNumberFormat="0" applyProtection="0">
      <alignment horizontal="left" vertical="top"/>
    </xf>
    <xf numFmtId="293" fontId="234" fillId="3" borderId="2076" applyFont="0" applyProtection="0"/>
    <xf numFmtId="0" fontId="12" fillId="0" borderId="2156" applyNumberFormat="0" applyFill="0" applyBorder="0" applyAlignment="0" applyProtection="0">
      <alignment horizontal="center"/>
    </xf>
    <xf numFmtId="222" fontId="79" fillId="0" borderId="4797" applyBorder="0"/>
    <xf numFmtId="0" fontId="241" fillId="94" borderId="2108" applyBorder="0" applyProtection="0">
      <alignment horizontal="centerContinuous" vertical="center"/>
    </xf>
    <xf numFmtId="188" fontId="25" fillId="0" borderId="4745" applyFont="0" applyFill="0" applyBorder="0" applyAlignment="0" applyProtection="0">
      <alignment horizontal="center"/>
    </xf>
    <xf numFmtId="0" fontId="12" fillId="0" borderId="1178" applyNumberFormat="0" applyFill="0" applyBorder="0" applyAlignment="0" applyProtection="0">
      <alignment horizontal="center"/>
    </xf>
    <xf numFmtId="254" fontId="240" fillId="0" borderId="1190" applyBorder="0" applyProtection="0">
      <alignment horizontal="right" vertical="center"/>
    </xf>
    <xf numFmtId="264" fontId="12" fillId="14" borderId="1250" applyFont="0" applyFill="0" applyBorder="0" applyAlignment="0" applyProtection="0">
      <alignment horizontal="right"/>
    </xf>
    <xf numFmtId="0" fontId="25" fillId="10" borderId="1031" applyNumberFormat="0" applyProtection="0">
      <alignment horizontal="left" vertical="top"/>
    </xf>
    <xf numFmtId="254" fontId="240" fillId="0" borderId="1250" applyBorder="0" applyProtection="0">
      <alignment horizontal="right" vertical="center"/>
    </xf>
    <xf numFmtId="0" fontId="166" fillId="0" borderId="1190">
      <alignment horizontal="center"/>
    </xf>
    <xf numFmtId="186" fontId="146" fillId="3" borderId="1181">
      <alignment horizontal="left"/>
    </xf>
    <xf numFmtId="0" fontId="78" fillId="14" borderId="1060" applyFont="0" applyFill="0" applyBorder="0" applyAlignment="0" applyProtection="0"/>
    <xf numFmtId="246" fontId="249" fillId="0" borderId="1178" applyFill="0" applyProtection="0">
      <alignment horizontal="center"/>
    </xf>
    <xf numFmtId="0" fontId="78" fillId="14" borderId="1012" applyFont="0" applyFill="0" applyBorder="0" applyAlignment="0" applyProtection="0"/>
    <xf numFmtId="192" fontId="9" fillId="3" borderId="1178">
      <alignment horizontal="right" vertical="center"/>
    </xf>
    <xf numFmtId="222" fontId="79" fillId="0" borderId="769" applyBorder="0"/>
    <xf numFmtId="248" fontId="46" fillId="0" borderId="1441"/>
    <xf numFmtId="0" fontId="101" fillId="0" borderId="950" applyBorder="0"/>
    <xf numFmtId="222" fontId="79" fillId="0" borderId="769" applyBorder="0"/>
    <xf numFmtId="0" fontId="113" fillId="0" borderId="950" applyNumberFormat="0" applyFill="0" applyAlignment="0" applyProtection="0"/>
    <xf numFmtId="0" fontId="12" fillId="0" borderId="950" applyNumberFormat="0" applyFill="0" applyBorder="0" applyAlignment="0" applyProtection="0">
      <alignment horizontal="center"/>
    </xf>
    <xf numFmtId="0" fontId="75" fillId="0" borderId="1179" applyNumberFormat="0" applyFont="0" applyFill="0" applyAlignment="0" applyProtection="0"/>
    <xf numFmtId="248" fontId="46" fillId="0" borderId="950"/>
    <xf numFmtId="0" fontId="25" fillId="10" borderId="1222" applyNumberFormat="0" applyProtection="0">
      <alignment horizontal="left" vertical="top"/>
    </xf>
    <xf numFmtId="192" fontId="9" fillId="3" borderId="1070">
      <alignment horizontal="right" vertical="center"/>
    </xf>
    <xf numFmtId="192" fontId="9" fillId="3" borderId="950">
      <alignment horizontal="right" vertical="center"/>
    </xf>
    <xf numFmtId="180" fontId="9" fillId="3" borderId="950">
      <alignment horizontal="right" vertical="center"/>
    </xf>
    <xf numFmtId="186" fontId="146" fillId="3" borderId="950" applyBorder="0">
      <alignment horizontal="left" vertical="center"/>
    </xf>
    <xf numFmtId="222" fontId="79" fillId="0" borderId="1201" applyBorder="0"/>
    <xf numFmtId="186" fontId="140" fillId="3" borderId="990">
      <alignment horizontal="center" vertical="center"/>
    </xf>
    <xf numFmtId="0" fontId="25" fillId="10" borderId="4724" applyNumberFormat="0" applyProtection="0">
      <alignment horizontal="left" vertical="top"/>
    </xf>
    <xf numFmtId="0" fontId="165" fillId="0" borderId="950" applyFill="0" applyProtection="0">
      <alignment horizontal="center"/>
    </xf>
    <xf numFmtId="0" fontId="166" fillId="0" borderId="950">
      <alignment horizontal="center"/>
    </xf>
    <xf numFmtId="190" fontId="12" fillId="0" borderId="1441" applyNumberFormat="0" applyFill="0" applyBorder="0" applyAlignment="0" applyProtection="0">
      <alignment horizontal="center"/>
    </xf>
    <xf numFmtId="264" fontId="12" fillId="14" borderId="950" applyFont="0" applyFill="0" applyBorder="0" applyAlignment="0" applyProtection="0">
      <alignment horizontal="right"/>
    </xf>
    <xf numFmtId="0" fontId="12" fillId="0" borderId="1070" applyNumberFormat="0" applyFill="0" applyBorder="0" applyAlignment="0" applyProtection="0">
      <alignment horizontal="center"/>
    </xf>
    <xf numFmtId="192" fontId="9" fillId="3" borderId="1226">
      <alignment horizontal="right" vertical="center"/>
    </xf>
    <xf numFmtId="0" fontId="210" fillId="0" borderId="950" applyNumberFormat="0" applyFill="0" applyBorder="0" applyAlignment="0">
      <protection locked="0"/>
    </xf>
    <xf numFmtId="0" fontId="214" fillId="0" borderId="1016" applyNumberFormat="0" applyFont="0" applyFill="0" applyAlignment="0" applyProtection="0"/>
    <xf numFmtId="0" fontId="25" fillId="10" borderId="1017" applyNumberFormat="0" applyProtection="0">
      <alignment horizontal="left" vertical="top"/>
    </xf>
    <xf numFmtId="0" fontId="25" fillId="10" borderId="1018" applyNumberFormat="0" applyProtection="0">
      <alignment horizontal="left" vertical="top"/>
    </xf>
    <xf numFmtId="0" fontId="25" fillId="10" borderId="1019" applyNumberFormat="0" applyProtection="0">
      <alignment horizontal="left" vertical="top"/>
    </xf>
    <xf numFmtId="0" fontId="25" fillId="10" borderId="1020" applyNumberFormat="0" applyProtection="0">
      <alignment horizontal="left" vertical="top"/>
    </xf>
    <xf numFmtId="0" fontId="25" fillId="10" borderId="1017" applyNumberFormat="0" applyProtection="0">
      <alignment horizontal="left" vertical="top"/>
    </xf>
    <xf numFmtId="0" fontId="25" fillId="10" borderId="1018" applyNumberFormat="0" applyProtection="0">
      <alignment horizontal="left" vertical="top"/>
    </xf>
    <xf numFmtId="0" fontId="25" fillId="10" borderId="1019" applyNumberFormat="0" applyProtection="0">
      <alignment horizontal="left" vertical="top"/>
    </xf>
    <xf numFmtId="0" fontId="25" fillId="10" borderId="1020" applyNumberFormat="0" applyProtection="0">
      <alignment horizontal="left" vertical="top"/>
    </xf>
    <xf numFmtId="254" fontId="240" fillId="0" borderId="950" applyBorder="0" applyProtection="0">
      <alignment horizontal="right" vertical="center"/>
    </xf>
    <xf numFmtId="0" fontId="241" fillId="94" borderId="950" applyBorder="0" applyProtection="0">
      <alignment horizontal="centerContinuous" vertical="center"/>
    </xf>
    <xf numFmtId="246" fontId="249" fillId="0" borderId="950" applyFill="0" applyProtection="0">
      <alignment horizontal="center"/>
    </xf>
    <xf numFmtId="246" fontId="250" fillId="0" borderId="950" applyFill="0" applyProtection="0">
      <alignment horizontal="center"/>
    </xf>
    <xf numFmtId="264" fontId="12" fillId="14" borderId="1178" applyFont="0" applyFill="0" applyBorder="0" applyAlignment="0" applyProtection="0">
      <alignment horizontal="right"/>
    </xf>
    <xf numFmtId="248" fontId="46" fillId="0" borderId="1178"/>
    <xf numFmtId="264" fontId="12" fillId="14" borderId="1178" applyFont="0" applyFill="0" applyBorder="0" applyAlignment="0" applyProtection="0">
      <alignment horizontal="right"/>
    </xf>
    <xf numFmtId="246" fontId="250" fillId="0" borderId="1190" applyFill="0" applyProtection="0">
      <alignment horizontal="center"/>
    </xf>
    <xf numFmtId="0" fontId="101" fillId="0" borderId="1178" applyBorder="0"/>
    <xf numFmtId="0" fontId="166" fillId="0" borderId="1178">
      <alignment horizontal="center"/>
    </xf>
    <xf numFmtId="0" fontId="12" fillId="52" borderId="2078" applyNumberFormat="0" applyProtection="0">
      <alignment horizontal="left" vertical="center" indent="1"/>
    </xf>
    <xf numFmtId="0" fontId="101" fillId="0" borderId="1441" applyBorder="0"/>
    <xf numFmtId="0" fontId="286" fillId="54" borderId="4749" applyNumberFormat="0" applyAlignment="0" applyProtection="0"/>
    <xf numFmtId="0" fontId="25" fillId="69" borderId="2076">
      <alignment horizontal="left" vertical="center" wrapText="1"/>
    </xf>
    <xf numFmtId="0" fontId="135" fillId="0" borderId="4730"/>
    <xf numFmtId="0" fontId="25" fillId="10" borderId="2164" applyNumberFormat="0" applyProtection="0">
      <alignment horizontal="left" vertical="top"/>
    </xf>
    <xf numFmtId="312" fontId="113" fillId="0" borderId="1441" applyNumberFormat="0" applyFill="0" applyAlignment="0" applyProtection="0"/>
    <xf numFmtId="186" fontId="140" fillId="3" borderId="1421">
      <alignment horizontal="center" vertical="center"/>
    </xf>
    <xf numFmtId="4" fontId="223" fillId="53" borderId="4732" applyNumberFormat="0" applyProtection="0">
      <alignment vertical="center"/>
    </xf>
    <xf numFmtId="0" fontId="25" fillId="10" borderId="1451" applyNumberFormat="0" applyProtection="0">
      <alignment horizontal="left" vertical="top"/>
    </xf>
    <xf numFmtId="0" fontId="165" fillId="0" borderId="2156" applyFill="0" applyProtection="0">
      <alignment horizontal="center"/>
    </xf>
    <xf numFmtId="0" fontId="210" fillId="0" borderId="1369" applyNumberFormat="0" applyFill="0" applyBorder="0" applyAlignment="0">
      <protection locked="0"/>
    </xf>
    <xf numFmtId="248" fontId="46" fillId="0" borderId="1369"/>
    <xf numFmtId="246" fontId="250" fillId="0" borderId="2132" applyFill="0" applyProtection="0">
      <alignment horizontal="center"/>
    </xf>
    <xf numFmtId="0" fontId="214" fillId="0" borderId="4723" applyNumberFormat="0" applyFont="0" applyFill="0" applyAlignment="0" applyProtection="0"/>
    <xf numFmtId="190" fontId="2" fillId="0" borderId="2137" applyNumberFormat="0" applyAlignment="0" applyProtection="0"/>
    <xf numFmtId="0" fontId="78" fillId="14" borderId="4707" applyFont="0" applyFill="0" applyBorder="0" applyAlignment="0" applyProtection="0"/>
    <xf numFmtId="0" fontId="12" fillId="3" borderId="2076" applyNumberFormat="0" applyFont="0" applyAlignment="0" applyProtection="0"/>
    <xf numFmtId="0" fontId="12" fillId="0" borderId="1369" applyNumberFormat="0" applyFill="0" applyBorder="0" applyAlignment="0" applyProtection="0">
      <alignment horizontal="center"/>
    </xf>
    <xf numFmtId="0" fontId="165" fillId="0" borderId="2156" applyFill="0" applyProtection="0">
      <alignment horizontal="center"/>
    </xf>
    <xf numFmtId="10" fontId="12" fillId="3" borderId="2088" applyNumberFormat="0" applyFont="0" applyFill="0" applyBorder="0" applyAlignment="0">
      <protection locked="0"/>
    </xf>
    <xf numFmtId="186" fontId="146" fillId="3" borderId="2063" applyBorder="0">
      <alignment horizontal="left" vertical="center"/>
    </xf>
    <xf numFmtId="0" fontId="166" fillId="0" borderId="4810">
      <alignment horizontal="center"/>
    </xf>
    <xf numFmtId="0" fontId="46" fillId="0" borderId="2075" applyNumberFormat="0" applyFill="0" applyBorder="0" applyAlignment="0" applyProtection="0"/>
    <xf numFmtId="10" fontId="12" fillId="3" borderId="4742" applyNumberFormat="0" applyFont="0" applyFill="0" applyBorder="0" applyAlignment="0">
      <protection locked="0"/>
    </xf>
    <xf numFmtId="0" fontId="25" fillId="10" borderId="4738" applyNumberFormat="0" applyProtection="0">
      <alignment horizontal="left" vertical="top"/>
    </xf>
    <xf numFmtId="4" fontId="223" fillId="52" borderId="4732" applyNumberFormat="0" applyProtection="0">
      <alignment horizontal="left" vertical="center" indent="1"/>
    </xf>
    <xf numFmtId="0" fontId="12" fillId="0" borderId="2075" applyNumberFormat="0" applyFill="0" applyBorder="0" applyAlignment="0" applyProtection="0"/>
    <xf numFmtId="188" fontId="25" fillId="0" borderId="2090" applyFont="0" applyFill="0" applyBorder="0" applyAlignment="0" applyProtection="0">
      <alignment horizontal="center"/>
    </xf>
    <xf numFmtId="4" fontId="184" fillId="53" borderId="2078" applyNumberFormat="0" applyProtection="0">
      <alignment horizontal="left" vertical="center" indent="1"/>
    </xf>
    <xf numFmtId="0" fontId="12" fillId="0" borderId="2075" applyNumberFormat="0" applyFill="0" applyBorder="0" applyAlignment="0" applyProtection="0"/>
    <xf numFmtId="248" fontId="46" fillId="0" borderId="4774"/>
    <xf numFmtId="0" fontId="25" fillId="10" borderId="1451" applyNumberFormat="0" applyProtection="0">
      <alignment horizontal="left" vertical="top"/>
    </xf>
    <xf numFmtId="180" fontId="9" fillId="3" borderId="2093">
      <alignment horizontal="right" vertical="center"/>
    </xf>
    <xf numFmtId="192" fontId="9" fillId="3" borderId="2093">
      <alignment horizontal="right" vertical="center"/>
    </xf>
    <xf numFmtId="1" fontId="154" fillId="65" borderId="2167" applyNumberFormat="0" applyBorder="0" applyAlignment="0">
      <alignment horizontal="centerContinuous" vertical="center"/>
      <protection locked="0"/>
    </xf>
    <xf numFmtId="5" fontId="114" fillId="0" borderId="2074" applyAlignment="0" applyProtection="0"/>
    <xf numFmtId="0" fontId="25" fillId="10" borderId="2166" applyNumberFormat="0" applyProtection="0">
      <alignment horizontal="left" vertical="top"/>
    </xf>
    <xf numFmtId="0" fontId="25" fillId="10" borderId="4727" applyNumberFormat="0" applyProtection="0">
      <alignment horizontal="left" vertical="top"/>
    </xf>
    <xf numFmtId="312" fontId="25" fillId="10" borderId="2139" applyNumberFormat="0" applyProtection="0">
      <alignment horizontal="left" vertical="top"/>
    </xf>
    <xf numFmtId="10" fontId="12" fillId="3" borderId="2088" applyNumberFormat="0" applyFont="0" applyFill="0" applyBorder="0" applyAlignment="0">
      <protection locked="0"/>
    </xf>
    <xf numFmtId="4" fontId="223" fillId="53" borderId="4732" applyNumberFormat="0" applyProtection="0">
      <alignment vertical="center"/>
    </xf>
    <xf numFmtId="312" fontId="12" fillId="52" borderId="2078" applyNumberFormat="0" applyProtection="0">
      <alignment horizontal="left" vertical="center" indent="1"/>
    </xf>
    <xf numFmtId="186" fontId="146" fillId="3" borderId="1178" applyBorder="0">
      <alignment horizontal="left" vertical="center"/>
    </xf>
    <xf numFmtId="0" fontId="101" fillId="0" borderId="1190" applyBorder="0"/>
    <xf numFmtId="0" fontId="25" fillId="10" borderId="4795" applyNumberFormat="0" applyProtection="0">
      <alignment horizontal="left" vertical="top"/>
    </xf>
    <xf numFmtId="186" fontId="146" fillId="3" borderId="2093" applyBorder="0">
      <alignment horizontal="left" vertical="center"/>
    </xf>
    <xf numFmtId="186" fontId="146" fillId="3" borderId="917">
      <alignment horizontal="left"/>
    </xf>
    <xf numFmtId="0" fontId="113" fillId="0" borderId="1070" applyNumberFormat="0" applyFill="0" applyAlignment="0" applyProtection="0"/>
    <xf numFmtId="0" fontId="25" fillId="10" borderId="1223" applyNumberFormat="0" applyProtection="0">
      <alignment horizontal="left" vertical="top"/>
    </xf>
    <xf numFmtId="246" fontId="250" fillId="0" borderId="1070" applyFill="0" applyProtection="0">
      <alignment horizontal="center"/>
    </xf>
    <xf numFmtId="0" fontId="75" fillId="0" borderId="915" applyNumberFormat="0" applyFont="0" applyFill="0" applyAlignment="0" applyProtection="0"/>
    <xf numFmtId="10" fontId="12" fillId="3" borderId="2088" applyNumberFormat="0" applyFont="0" applyFill="0" applyBorder="0" applyAlignment="0">
      <protection locked="0"/>
    </xf>
    <xf numFmtId="186" fontId="146" fillId="3" borderId="1190" applyBorder="0">
      <alignment horizontal="left" vertical="center"/>
    </xf>
    <xf numFmtId="180" fontId="9" fillId="3" borderId="1190">
      <alignment horizontal="right" vertical="center"/>
    </xf>
    <xf numFmtId="0" fontId="25" fillId="10" borderId="4724" applyNumberFormat="0" applyProtection="0">
      <alignment horizontal="left" vertical="top"/>
    </xf>
    <xf numFmtId="222" fontId="79" fillId="0" borderId="769" applyBorder="0"/>
    <xf numFmtId="190" fontId="113" fillId="0" borderId="1250" applyNumberFormat="0" applyFill="0" applyAlignment="0" applyProtection="0"/>
    <xf numFmtId="0" fontId="101" fillId="0" borderId="950" applyBorder="0"/>
    <xf numFmtId="222" fontId="79" fillId="0" borderId="769" applyBorder="0"/>
    <xf numFmtId="0" fontId="113" fillId="0" borderId="950" applyNumberFormat="0" applyFill="0" applyAlignment="0" applyProtection="0"/>
    <xf numFmtId="0" fontId="12" fillId="0" borderId="950" applyNumberFormat="0" applyFill="0" applyBorder="0" applyAlignment="0" applyProtection="0">
      <alignment horizontal="center"/>
    </xf>
    <xf numFmtId="248" fontId="46" fillId="0" borderId="950"/>
    <xf numFmtId="0" fontId="25" fillId="10" borderId="1246" applyNumberFormat="0" applyProtection="0">
      <alignment horizontal="left" vertical="top"/>
    </xf>
    <xf numFmtId="186" fontId="146" fillId="3" borderId="1217">
      <alignment horizontal="left"/>
    </xf>
    <xf numFmtId="248" fontId="46" fillId="0" borderId="1070"/>
    <xf numFmtId="192" fontId="9" fillId="3" borderId="950">
      <alignment horizontal="right" vertical="center"/>
    </xf>
    <xf numFmtId="180" fontId="9" fillId="3" borderId="950">
      <alignment horizontal="right" vertical="center"/>
    </xf>
    <xf numFmtId="186" fontId="146" fillId="3" borderId="950" applyBorder="0">
      <alignment horizontal="left" vertical="center"/>
    </xf>
    <xf numFmtId="0" fontId="165" fillId="0" borderId="950" applyFill="0" applyProtection="0">
      <alignment horizontal="center"/>
    </xf>
    <xf numFmtId="0" fontId="166" fillId="0" borderId="950">
      <alignment horizontal="center"/>
    </xf>
    <xf numFmtId="264" fontId="12" fillId="14" borderId="950" applyFont="0" applyFill="0" applyBorder="0" applyAlignment="0" applyProtection="0">
      <alignment horizontal="right"/>
    </xf>
    <xf numFmtId="0" fontId="210" fillId="0" borderId="950" applyNumberFormat="0" applyFill="0" applyBorder="0" applyAlignment="0">
      <protection locked="0"/>
    </xf>
    <xf numFmtId="254" fontId="240" fillId="0" borderId="950" applyBorder="0" applyProtection="0">
      <alignment horizontal="right" vertical="center"/>
    </xf>
    <xf numFmtId="0" fontId="241" fillId="94" borderId="950" applyBorder="0" applyProtection="0">
      <alignment horizontal="centerContinuous" vertical="center"/>
    </xf>
    <xf numFmtId="246" fontId="249" fillId="0" borderId="950" applyFill="0" applyProtection="0">
      <alignment horizontal="center"/>
    </xf>
    <xf numFmtId="246" fontId="250" fillId="0" borderId="950" applyFill="0" applyProtection="0">
      <alignment horizontal="center"/>
    </xf>
    <xf numFmtId="248" fontId="46" fillId="0" borderId="1190"/>
    <xf numFmtId="0" fontId="12" fillId="0" borderId="1190" applyNumberFormat="0" applyFill="0" applyBorder="0" applyAlignment="0" applyProtection="0">
      <alignment horizontal="center"/>
    </xf>
    <xf numFmtId="192" fontId="9" fillId="3" borderId="1190">
      <alignment horizontal="right" vertical="center"/>
    </xf>
    <xf numFmtId="0" fontId="78" fillId="14" borderId="1060" applyFont="0" applyFill="0" applyBorder="0" applyAlignment="0" applyProtection="0"/>
    <xf numFmtId="0" fontId="2" fillId="0" borderId="1183" applyNumberFormat="0" applyAlignment="0" applyProtection="0"/>
    <xf numFmtId="222" fontId="79" fillId="0" borderId="1189" applyBorder="0"/>
    <xf numFmtId="188" fontId="25" fillId="0" borderId="4745" applyFont="0" applyFill="0" applyBorder="0" applyAlignment="0" applyProtection="0">
      <alignment horizontal="center"/>
    </xf>
    <xf numFmtId="186" fontId="146" fillId="3" borderId="4777">
      <alignment horizontal="left"/>
    </xf>
    <xf numFmtId="0" fontId="101" fillId="0" borderId="1190" applyBorder="0"/>
    <xf numFmtId="186" fontId="140" fillId="3" borderId="2160">
      <alignment horizontal="center" vertical="center"/>
    </xf>
    <xf numFmtId="222" fontId="79" fillId="0" borderId="1189" applyBorder="0"/>
    <xf numFmtId="0" fontId="25" fillId="10" borderId="1186" applyNumberFormat="0" applyProtection="0">
      <alignment horizontal="left" vertical="top"/>
    </xf>
    <xf numFmtId="0" fontId="25" fillId="10" borderId="1187" applyNumberFormat="0" applyProtection="0">
      <alignment horizontal="left" vertical="top"/>
    </xf>
    <xf numFmtId="0" fontId="25" fillId="10" borderId="1188" applyNumberFormat="0" applyProtection="0">
      <alignment horizontal="left" vertical="top"/>
    </xf>
    <xf numFmtId="0" fontId="75" fillId="0" borderId="1191" applyNumberFormat="0" applyFont="0" applyFill="0" applyAlignment="0" applyProtection="0"/>
    <xf numFmtId="222" fontId="79" fillId="0" borderId="1189" applyBorder="0"/>
    <xf numFmtId="0" fontId="214" fillId="0" borderId="2126" applyNumberFormat="0" applyFont="0" applyFill="0" applyAlignment="0" applyProtection="0"/>
    <xf numFmtId="0" fontId="25" fillId="10" borderId="1186" applyNumberFormat="0" applyProtection="0">
      <alignment horizontal="left" vertical="top"/>
    </xf>
    <xf numFmtId="246" fontId="250" fillId="0" borderId="2156" applyFill="0" applyProtection="0">
      <alignment horizontal="center"/>
    </xf>
    <xf numFmtId="0" fontId="25" fillId="10" borderId="1185" applyNumberFormat="0" applyProtection="0">
      <alignment horizontal="left" vertical="top"/>
    </xf>
    <xf numFmtId="0" fontId="25" fillId="10" borderId="1186" applyNumberFormat="0" applyProtection="0">
      <alignment horizontal="left" vertical="top"/>
    </xf>
    <xf numFmtId="0" fontId="210" fillId="0" borderId="1597" applyNumberFormat="0" applyFill="0" applyBorder="0" applyAlignment="0">
      <protection locked="0"/>
    </xf>
    <xf numFmtId="186" fontId="146" fillId="3" borderId="1025">
      <alignment horizontal="left"/>
    </xf>
    <xf numFmtId="0" fontId="75" fillId="0" borderId="1023" applyNumberFormat="0" applyFont="0" applyFill="0" applyAlignment="0" applyProtection="0"/>
    <xf numFmtId="0" fontId="214" fillId="0" borderId="1184" applyNumberFormat="0" applyFont="0" applyFill="0" applyAlignment="0" applyProtection="0"/>
    <xf numFmtId="0" fontId="78" fillId="14" borderId="1180" applyFont="0" applyFill="0" applyBorder="0" applyAlignment="0" applyProtection="0"/>
    <xf numFmtId="186" fontId="140" fillId="3" borderId="1254">
      <alignment horizontal="center" vertical="center"/>
    </xf>
    <xf numFmtId="180" fontId="9" fillId="3" borderId="1250">
      <alignment horizontal="right" vertical="center"/>
    </xf>
    <xf numFmtId="0" fontId="12" fillId="0" borderId="1250" applyNumberFormat="0" applyFill="0" applyBorder="0" applyAlignment="0" applyProtection="0">
      <alignment horizontal="center"/>
    </xf>
    <xf numFmtId="222" fontId="79" fillId="0" borderId="1249" applyBorder="0"/>
    <xf numFmtId="312" fontId="12" fillId="11" borderId="2078" applyNumberFormat="0" applyProtection="0">
      <alignment horizontal="left" vertical="top" indent="1"/>
    </xf>
    <xf numFmtId="182" fontId="145" fillId="3" borderId="4728">
      <alignment horizontal="right" vertical="center"/>
    </xf>
    <xf numFmtId="0" fontId="46" fillId="0" borderId="4729" applyNumberFormat="0" applyFill="0" applyBorder="0" applyAlignment="0" applyProtection="0"/>
    <xf numFmtId="0" fontId="113" fillId="0" borderId="1070" applyNumberFormat="0" applyFill="0" applyAlignment="0" applyProtection="0"/>
    <xf numFmtId="264" fontId="12" fillId="14" borderId="1070" applyFont="0" applyFill="0" applyBorder="0" applyAlignment="0" applyProtection="0">
      <alignment horizontal="right"/>
    </xf>
    <xf numFmtId="246" fontId="249" fillId="0" borderId="1070" applyFill="0" applyProtection="0">
      <alignment horizontal="center"/>
    </xf>
    <xf numFmtId="0" fontId="25" fillId="10" borderId="1032" applyNumberFormat="0" applyProtection="0">
      <alignment horizontal="left" vertical="top"/>
    </xf>
    <xf numFmtId="0" fontId="25" fillId="10" borderId="1030" applyNumberFormat="0" applyProtection="0">
      <alignment horizontal="left" vertical="top"/>
    </xf>
    <xf numFmtId="0" fontId="25" fillId="10" borderId="1031" applyNumberFormat="0" applyProtection="0">
      <alignment horizontal="left" vertical="top"/>
    </xf>
    <xf numFmtId="0" fontId="25" fillId="10" borderId="1029" applyNumberFormat="0" applyProtection="0">
      <alignment horizontal="left" vertical="top"/>
    </xf>
    <xf numFmtId="0" fontId="25" fillId="10" borderId="1032" applyNumberFormat="0" applyProtection="0">
      <alignment horizontal="left" vertical="top"/>
    </xf>
    <xf numFmtId="0" fontId="25" fillId="10" borderId="1031" applyNumberFormat="0" applyProtection="0">
      <alignment horizontal="left" vertical="top"/>
    </xf>
    <xf numFmtId="0" fontId="25" fillId="10" borderId="1030" applyNumberFormat="0" applyProtection="0">
      <alignment horizontal="left" vertical="top"/>
    </xf>
    <xf numFmtId="0" fontId="25" fillId="10" borderId="1029" applyNumberFormat="0" applyProtection="0">
      <alignment horizontal="left" vertical="top"/>
    </xf>
    <xf numFmtId="0" fontId="214" fillId="0" borderId="1028" applyNumberFormat="0" applyFont="0" applyFill="0" applyAlignment="0" applyProtection="0"/>
    <xf numFmtId="0" fontId="2" fillId="0" borderId="1027" applyNumberFormat="0" applyAlignment="0" applyProtection="0"/>
    <xf numFmtId="186" fontId="140" fillId="3" borderId="1026">
      <alignment horizontal="center" vertical="center"/>
    </xf>
    <xf numFmtId="186" fontId="140" fillId="3" borderId="990">
      <alignment horizontal="center" vertical="center"/>
    </xf>
    <xf numFmtId="0" fontId="25" fillId="10" borderId="1017" applyNumberFormat="0" applyProtection="0">
      <alignment horizontal="left" vertical="top"/>
    </xf>
    <xf numFmtId="0" fontId="12" fillId="0" borderId="1070" applyNumberFormat="0" applyFill="0" applyBorder="0" applyAlignment="0" applyProtection="0">
      <alignment horizontal="center"/>
    </xf>
    <xf numFmtId="0" fontId="25" fillId="10" borderId="1067" applyNumberFormat="0" applyProtection="0">
      <alignment horizontal="left" vertical="top"/>
    </xf>
    <xf numFmtId="0" fontId="78" fillId="14" borderId="1180" applyFont="0" applyFill="0" applyBorder="0" applyAlignment="0" applyProtection="0"/>
    <xf numFmtId="222" fontId="79" fillId="0" borderId="1057" applyBorder="0"/>
    <xf numFmtId="0" fontId="78" fillId="14" borderId="1060" applyFont="0" applyFill="0" applyBorder="0" applyAlignment="0" applyProtection="0"/>
    <xf numFmtId="222" fontId="79" fillId="0" borderId="1069" applyBorder="0"/>
    <xf numFmtId="0" fontId="101" fillId="0" borderId="1070" applyBorder="0"/>
    <xf numFmtId="222" fontId="79" fillId="0" borderId="1069" applyBorder="0"/>
    <xf numFmtId="248" fontId="46" fillId="0" borderId="1070"/>
    <xf numFmtId="192" fontId="9" fillId="3" borderId="1070">
      <alignment horizontal="right" vertical="center"/>
    </xf>
    <xf numFmtId="180" fontId="9" fillId="3" borderId="1070">
      <alignment horizontal="right" vertical="center"/>
    </xf>
    <xf numFmtId="186" fontId="146" fillId="3" borderId="1070" applyBorder="0">
      <alignment horizontal="left" vertical="center"/>
    </xf>
    <xf numFmtId="0" fontId="165" fillId="0" borderId="1070" applyFill="0" applyProtection="0">
      <alignment horizontal="center"/>
    </xf>
    <xf numFmtId="0" fontId="210" fillId="0" borderId="1070" applyNumberFormat="0" applyFill="0" applyBorder="0" applyAlignment="0">
      <protection locked="0"/>
    </xf>
    <xf numFmtId="254" fontId="240" fillId="0" borderId="1070" applyBorder="0" applyProtection="0">
      <alignment horizontal="right" vertical="center"/>
    </xf>
    <xf numFmtId="246" fontId="250" fillId="0" borderId="1070" applyFill="0" applyProtection="0">
      <alignment horizontal="center"/>
    </xf>
    <xf numFmtId="0" fontId="166" fillId="0" borderId="4746">
      <alignment horizontal="center"/>
    </xf>
    <xf numFmtId="0" fontId="12" fillId="0" borderId="4729" applyNumberFormat="0" applyFill="0" applyBorder="0" applyAlignment="0" applyProtection="0"/>
    <xf numFmtId="222" fontId="79" fillId="0" borderId="769" applyBorder="0"/>
    <xf numFmtId="0" fontId="25" fillId="10" borderId="1018" applyNumberFormat="0" applyProtection="0">
      <alignment horizontal="left" vertical="top"/>
    </xf>
    <xf numFmtId="0" fontId="25" fillId="10" borderId="1020" applyNumberFormat="0" applyProtection="0">
      <alignment horizontal="left" vertical="top"/>
    </xf>
    <xf numFmtId="0" fontId="25" fillId="10" borderId="1017" applyNumberFormat="0" applyProtection="0">
      <alignment horizontal="left" vertical="top"/>
    </xf>
    <xf numFmtId="0" fontId="25" fillId="10" borderId="1018" applyNumberFormat="0" applyProtection="0">
      <alignment horizontal="left" vertical="top"/>
    </xf>
    <xf numFmtId="0" fontId="25" fillId="10" borderId="1019" applyNumberFormat="0" applyProtection="0">
      <alignment horizontal="left" vertical="top"/>
    </xf>
    <xf numFmtId="0" fontId="75" fillId="0" borderId="1023" applyNumberFormat="0" applyFont="0" applyFill="0" applyAlignment="0" applyProtection="0"/>
    <xf numFmtId="0" fontId="101" fillId="0" borderId="1034" applyBorder="0"/>
    <xf numFmtId="222" fontId="79" fillId="0" borderId="1033" applyBorder="0"/>
    <xf numFmtId="0" fontId="113" fillId="0" borderId="1034" applyNumberFormat="0" applyFill="0" applyAlignment="0" applyProtection="0"/>
    <xf numFmtId="0" fontId="12" fillId="0" borderId="1034" applyNumberFormat="0" applyFill="0" applyBorder="0" applyAlignment="0" applyProtection="0">
      <alignment horizontal="center"/>
    </xf>
    <xf numFmtId="248" fontId="46" fillId="0" borderId="1034"/>
    <xf numFmtId="192" fontId="9" fillId="3" borderId="1034">
      <alignment horizontal="right" vertical="center"/>
    </xf>
    <xf numFmtId="180" fontId="9" fillId="3" borderId="1034">
      <alignment horizontal="right" vertical="center"/>
    </xf>
    <xf numFmtId="186" fontId="146" fillId="3" borderId="1034" applyBorder="0">
      <alignment horizontal="left" vertical="center"/>
    </xf>
    <xf numFmtId="0" fontId="166" fillId="0" borderId="1034">
      <alignment horizontal="center"/>
    </xf>
    <xf numFmtId="0" fontId="210" fillId="0" borderId="1034" applyNumberFormat="0" applyFill="0" applyBorder="0" applyAlignment="0">
      <protection locked="0"/>
    </xf>
    <xf numFmtId="264" fontId="12" fillId="14" borderId="1034" applyFont="0" applyFill="0" applyBorder="0" applyAlignment="0" applyProtection="0">
      <alignment horizontal="right"/>
    </xf>
    <xf numFmtId="246" fontId="249" fillId="0" borderId="1034" applyFill="0" applyProtection="0">
      <alignment horizontal="center"/>
    </xf>
    <xf numFmtId="246" fontId="250" fillId="0" borderId="1034" applyFill="0" applyProtection="0">
      <alignment horizontal="center"/>
    </xf>
    <xf numFmtId="246" fontId="250" fillId="0" borderId="1046" applyFill="0" applyProtection="0">
      <alignment horizontal="center"/>
    </xf>
    <xf numFmtId="246" fontId="249" fillId="0" borderId="1046" applyFill="0" applyProtection="0">
      <alignment horizontal="center"/>
    </xf>
    <xf numFmtId="254" fontId="240" fillId="0" borderId="1046" applyBorder="0" applyProtection="0">
      <alignment horizontal="right" vertical="center"/>
    </xf>
    <xf numFmtId="264" fontId="12" fillId="14" borderId="1046" applyFont="0" applyFill="0" applyBorder="0" applyAlignment="0" applyProtection="0">
      <alignment horizontal="right"/>
    </xf>
    <xf numFmtId="0" fontId="165" fillId="0" borderId="1046" applyFill="0" applyProtection="0">
      <alignment horizontal="center"/>
    </xf>
    <xf numFmtId="180" fontId="9" fillId="3" borderId="1046">
      <alignment horizontal="right" vertical="center"/>
    </xf>
    <xf numFmtId="0" fontId="12" fillId="0" borderId="1046" applyNumberFormat="0" applyFill="0" applyBorder="0" applyAlignment="0" applyProtection="0">
      <alignment horizontal="center"/>
    </xf>
    <xf numFmtId="0" fontId="101" fillId="0" borderId="1046" applyBorder="0"/>
    <xf numFmtId="222" fontId="79" fillId="0" borderId="1045" applyBorder="0"/>
    <xf numFmtId="0" fontId="75" fillId="0" borderId="1035" applyNumberFormat="0" applyFont="0" applyFill="0" applyAlignment="0" applyProtection="0"/>
    <xf numFmtId="0" fontId="2" fillId="0" borderId="1039" applyNumberFormat="0" applyAlignment="0" applyProtection="0"/>
    <xf numFmtId="0" fontId="25" fillId="10" borderId="1041" applyNumberFormat="0" applyProtection="0">
      <alignment horizontal="left" vertical="top"/>
    </xf>
    <xf numFmtId="0" fontId="25" fillId="10" borderId="1044" applyNumberFormat="0" applyProtection="0">
      <alignment horizontal="left" vertical="top"/>
    </xf>
    <xf numFmtId="222" fontId="79" fillId="0" borderId="1033" applyBorder="0"/>
    <xf numFmtId="0" fontId="25" fillId="10" borderId="1031" applyNumberFormat="0" applyProtection="0">
      <alignment horizontal="left" vertical="top"/>
    </xf>
    <xf numFmtId="0" fontId="25" fillId="10" borderId="1029" applyNumberFormat="0" applyProtection="0">
      <alignment horizontal="left" vertical="top"/>
    </xf>
    <xf numFmtId="0" fontId="214" fillId="0" borderId="1028" applyNumberFormat="0" applyFont="0" applyFill="0" applyAlignment="0" applyProtection="0"/>
    <xf numFmtId="186" fontId="146" fillId="3" borderId="1025">
      <alignment horizontal="left"/>
    </xf>
    <xf numFmtId="222" fontId="79" fillId="0" borderId="1033" applyBorder="0"/>
    <xf numFmtId="0" fontId="214" fillId="0" borderId="1603" applyNumberFormat="0" applyFont="0" applyFill="0" applyAlignment="0" applyProtection="0"/>
    <xf numFmtId="186" fontId="146" fillId="3" borderId="1178" applyBorder="0">
      <alignment horizontal="left" vertical="center"/>
    </xf>
    <xf numFmtId="0" fontId="101" fillId="0" borderId="1022" applyBorder="0"/>
    <xf numFmtId="0" fontId="113" fillId="0" borderId="1022" applyNumberFormat="0" applyFill="0" applyAlignment="0" applyProtection="0"/>
    <xf numFmtId="0" fontId="12" fillId="0" borderId="1022" applyNumberFormat="0" applyFill="0" applyBorder="0" applyAlignment="0" applyProtection="0">
      <alignment horizontal="center"/>
    </xf>
    <xf numFmtId="248" fontId="46" fillId="0" borderId="1022"/>
    <xf numFmtId="192" fontId="9" fillId="3" borderId="1022">
      <alignment horizontal="right" vertical="center"/>
    </xf>
    <xf numFmtId="180" fontId="9" fillId="3" borderId="1022">
      <alignment horizontal="right" vertical="center"/>
    </xf>
    <xf numFmtId="186" fontId="146" fillId="3" borderId="1022" applyBorder="0">
      <alignment horizontal="left" vertical="center"/>
    </xf>
    <xf numFmtId="0" fontId="165" fillId="0" borderId="1022" applyFill="0" applyProtection="0">
      <alignment horizontal="center"/>
    </xf>
    <xf numFmtId="0" fontId="166" fillId="0" borderId="1022">
      <alignment horizontal="center"/>
    </xf>
    <xf numFmtId="264" fontId="12" fillId="14" borderId="1022" applyFont="0" applyFill="0" applyBorder="0" applyAlignment="0" applyProtection="0">
      <alignment horizontal="right"/>
    </xf>
    <xf numFmtId="0" fontId="210" fillId="0" borderId="1022" applyNumberFormat="0" applyFill="0" applyBorder="0" applyAlignment="0">
      <protection locked="0"/>
    </xf>
    <xf numFmtId="248" fontId="46" fillId="0" borderId="1046"/>
    <xf numFmtId="222" fontId="79" fillId="0" borderId="1045" applyBorder="0"/>
    <xf numFmtId="186" fontId="140" fillId="3" borderId="1038">
      <alignment horizontal="center" vertical="center"/>
    </xf>
    <xf numFmtId="0" fontId="25" fillId="10" borderId="1043" applyNumberFormat="0" applyProtection="0">
      <alignment horizontal="left" vertical="top"/>
    </xf>
    <xf numFmtId="0" fontId="210" fillId="0" borderId="1046" applyNumberFormat="0" applyFill="0" applyBorder="0" applyAlignment="0">
      <protection locked="0"/>
    </xf>
    <xf numFmtId="192" fontId="9" fillId="3" borderId="1046">
      <alignment horizontal="right" vertical="center"/>
    </xf>
    <xf numFmtId="0" fontId="113" fillId="0" borderId="1046" applyNumberFormat="0" applyFill="0" applyAlignment="0" applyProtection="0"/>
    <xf numFmtId="186" fontId="146" fillId="3" borderId="1037">
      <alignment horizontal="left"/>
    </xf>
    <xf numFmtId="0" fontId="25" fillId="10" borderId="1042" applyNumberFormat="0" applyProtection="0">
      <alignment horizontal="left" vertical="top"/>
    </xf>
    <xf numFmtId="254" fontId="240" fillId="0" borderId="1022" applyBorder="0" applyProtection="0">
      <alignment horizontal="right" vertical="center"/>
    </xf>
    <xf numFmtId="0" fontId="241" fillId="94" borderId="1022" applyBorder="0" applyProtection="0">
      <alignment horizontal="centerContinuous" vertical="center"/>
    </xf>
    <xf numFmtId="246" fontId="249" fillId="0" borderId="1022" applyFill="0" applyProtection="0">
      <alignment horizontal="center"/>
    </xf>
    <xf numFmtId="246" fontId="250" fillId="0" borderId="1022" applyFill="0" applyProtection="0">
      <alignment horizontal="center"/>
    </xf>
    <xf numFmtId="0" fontId="25" fillId="10" borderId="1066" applyNumberFormat="0" applyProtection="0">
      <alignment horizontal="left" vertical="top"/>
    </xf>
    <xf numFmtId="0" fontId="25" fillId="10" borderId="1068" applyNumberFormat="0" applyProtection="0">
      <alignment horizontal="left" vertical="top"/>
    </xf>
    <xf numFmtId="222" fontId="79" fillId="0" borderId="1033" applyBorder="0"/>
    <xf numFmtId="0" fontId="214" fillId="0" borderId="1064" applyNumberFormat="0" applyFont="0" applyFill="0" applyAlignment="0" applyProtection="0"/>
    <xf numFmtId="0" fontId="75" fillId="0" borderId="915" applyNumberFormat="0" applyFont="0" applyFill="0" applyAlignment="0" applyProtection="0"/>
    <xf numFmtId="0" fontId="25" fillId="10" borderId="1019" applyNumberFormat="0" applyProtection="0">
      <alignment horizontal="left" vertical="top"/>
    </xf>
    <xf numFmtId="0" fontId="25" fillId="10" borderId="1020" applyNumberFormat="0" applyProtection="0">
      <alignment horizontal="left" vertical="top"/>
    </xf>
    <xf numFmtId="0" fontId="165" fillId="0" borderId="1034" applyFill="0" applyProtection="0">
      <alignment horizontal="center"/>
    </xf>
    <xf numFmtId="254" fontId="240" fillId="0" borderId="1034" applyBorder="0" applyProtection="0">
      <alignment horizontal="right" vertical="center"/>
    </xf>
    <xf numFmtId="0" fontId="241" fillId="94" borderId="1034" applyBorder="0" applyProtection="0">
      <alignment horizontal="centerContinuous" vertical="center"/>
    </xf>
    <xf numFmtId="0" fontId="241" fillId="94" borderId="1046" applyBorder="0" applyProtection="0">
      <alignment horizontal="centerContinuous" vertical="center"/>
    </xf>
    <xf numFmtId="0" fontId="166" fillId="0" borderId="1046">
      <alignment horizontal="center"/>
    </xf>
    <xf numFmtId="186" fontId="146" fillId="3" borderId="1046" applyBorder="0">
      <alignment horizontal="left" vertical="center"/>
    </xf>
    <xf numFmtId="0" fontId="214" fillId="0" borderId="1040" applyNumberFormat="0" applyFont="0" applyFill="0" applyAlignment="0" applyProtection="0"/>
    <xf numFmtId="0" fontId="78" fillId="14" borderId="1036" applyFont="0" applyFill="0" applyBorder="0" applyAlignment="0" applyProtection="0"/>
    <xf numFmtId="0" fontId="78" fillId="14" borderId="1012" applyFont="0" applyFill="0" applyBorder="0" applyAlignment="0" applyProtection="0"/>
    <xf numFmtId="4" fontId="184" fillId="11" borderId="4732" applyNumberFormat="0" applyProtection="0">
      <alignment horizontal="right" vertical="center"/>
    </xf>
    <xf numFmtId="0" fontId="25" fillId="10" borderId="1020" applyNumberFormat="0" applyProtection="0">
      <alignment horizontal="left" vertical="top"/>
    </xf>
    <xf numFmtId="0" fontId="25" fillId="10" borderId="1019" applyNumberFormat="0" applyProtection="0">
      <alignment horizontal="left" vertical="top"/>
    </xf>
    <xf numFmtId="0" fontId="25" fillId="10" borderId="1018" applyNumberFormat="0" applyProtection="0">
      <alignment horizontal="left" vertical="top"/>
    </xf>
    <xf numFmtId="0" fontId="25" fillId="10" borderId="1017" applyNumberFormat="0" applyProtection="0">
      <alignment horizontal="left" vertical="top"/>
    </xf>
    <xf numFmtId="186" fontId="140" fillId="3" borderId="1062">
      <alignment horizontal="center" vertical="center"/>
    </xf>
    <xf numFmtId="0" fontId="214" fillId="0" borderId="1016" applyNumberFormat="0" applyFont="0" applyFill="0" applyAlignment="0" applyProtection="0"/>
    <xf numFmtId="186" fontId="140" fillId="3" borderId="990">
      <alignment horizontal="center" vertical="center"/>
    </xf>
    <xf numFmtId="186" fontId="146" fillId="3" borderId="917">
      <alignment horizontal="left"/>
    </xf>
    <xf numFmtId="186" fontId="146" fillId="3" borderId="1061">
      <alignment horizontal="left"/>
    </xf>
    <xf numFmtId="0" fontId="75" fillId="0" borderId="915" applyNumberFormat="0" applyFont="0" applyFill="0" applyAlignment="0" applyProtection="0"/>
    <xf numFmtId="246" fontId="250" fillId="0" borderId="4746" applyFill="0" applyProtection="0">
      <alignment horizontal="center"/>
    </xf>
    <xf numFmtId="0" fontId="75" fillId="0" borderId="1059" applyNumberFormat="0" applyFont="0" applyFill="0" applyAlignment="0" applyProtection="0"/>
    <xf numFmtId="222" fontId="79" fillId="0" borderId="769" applyBorder="0"/>
    <xf numFmtId="222" fontId="79" fillId="0" borderId="769" applyBorder="0"/>
    <xf numFmtId="0" fontId="25" fillId="10" borderId="1065" applyNumberFormat="0" applyProtection="0">
      <alignment horizontal="left" vertical="top"/>
    </xf>
    <xf numFmtId="0" fontId="2" fillId="0" borderId="1063" applyNumberFormat="0" applyAlignment="0" applyProtection="0"/>
    <xf numFmtId="246" fontId="250" fillId="0" borderId="1034" applyFill="0" applyProtection="0">
      <alignment horizontal="center"/>
    </xf>
    <xf numFmtId="246" fontId="249" fillId="0" borderId="1034" applyFill="0" applyProtection="0">
      <alignment horizontal="center"/>
    </xf>
    <xf numFmtId="0" fontId="241" fillId="94" borderId="1034" applyBorder="0" applyProtection="0">
      <alignment horizontal="centerContinuous" vertical="center"/>
    </xf>
    <xf numFmtId="254" fontId="240" fillId="0" borderId="1034" applyBorder="0" applyProtection="0">
      <alignment horizontal="right" vertical="center"/>
    </xf>
    <xf numFmtId="0" fontId="210" fillId="0" borderId="1034" applyNumberFormat="0" applyFill="0" applyBorder="0" applyAlignment="0">
      <protection locked="0"/>
    </xf>
    <xf numFmtId="264" fontId="12" fillId="14" borderId="1034" applyFont="0" applyFill="0" applyBorder="0" applyAlignment="0" applyProtection="0">
      <alignment horizontal="right"/>
    </xf>
    <xf numFmtId="0" fontId="166" fillId="0" borderId="1034">
      <alignment horizontal="center"/>
    </xf>
    <xf numFmtId="0" fontId="165" fillId="0" borderId="1034" applyFill="0" applyProtection="0">
      <alignment horizontal="center"/>
    </xf>
    <xf numFmtId="186" fontId="146" fillId="3" borderId="1034" applyBorder="0">
      <alignment horizontal="left" vertical="center"/>
    </xf>
    <xf numFmtId="180" fontId="9" fillId="3" borderId="1034">
      <alignment horizontal="right" vertical="center"/>
    </xf>
    <xf numFmtId="192" fontId="9" fillId="3" borderId="1034">
      <alignment horizontal="right" vertical="center"/>
    </xf>
    <xf numFmtId="248" fontId="46" fillId="0" borderId="1034"/>
    <xf numFmtId="0" fontId="12" fillId="0" borderId="1034" applyNumberFormat="0" applyFill="0" applyBorder="0" applyAlignment="0" applyProtection="0">
      <alignment horizontal="center"/>
    </xf>
    <xf numFmtId="0" fontId="113" fillId="0" borderId="1034" applyNumberFormat="0" applyFill="0" applyAlignment="0" applyProtection="0"/>
    <xf numFmtId="222" fontId="79" fillId="0" borderId="1033" applyBorder="0"/>
    <xf numFmtId="0" fontId="101" fillId="0" borderId="1034" applyBorder="0"/>
    <xf numFmtId="222" fontId="79" fillId="0" borderId="1033" applyBorder="0"/>
    <xf numFmtId="0" fontId="75" fillId="0" borderId="1023" applyNumberFormat="0" applyFont="0" applyFill="0" applyAlignment="0" applyProtection="0"/>
    <xf numFmtId="186" fontId="146" fillId="3" borderId="1025">
      <alignment horizontal="left"/>
    </xf>
    <xf numFmtId="186" fontId="140" fillId="3" borderId="1026">
      <alignment horizontal="center" vertical="center"/>
    </xf>
    <xf numFmtId="0" fontId="2" fillId="0" borderId="1027" applyNumberFormat="0" applyAlignment="0" applyProtection="0"/>
    <xf numFmtId="0" fontId="214" fillId="0" borderId="1028" applyNumberFormat="0" applyFont="0" applyFill="0" applyAlignment="0" applyProtection="0"/>
    <xf numFmtId="0" fontId="25" fillId="10" borderId="1029" applyNumberFormat="0" applyProtection="0">
      <alignment horizontal="left" vertical="top"/>
    </xf>
    <xf numFmtId="0" fontId="25" fillId="10" borderId="1030" applyNumberFormat="0" applyProtection="0">
      <alignment horizontal="left" vertical="top"/>
    </xf>
    <xf numFmtId="0" fontId="25" fillId="10" borderId="1031" applyNumberFormat="0" applyProtection="0">
      <alignment horizontal="left" vertical="top"/>
    </xf>
    <xf numFmtId="0" fontId="25" fillId="10" borderId="1032" applyNumberFormat="0" applyProtection="0">
      <alignment horizontal="left" vertical="top"/>
    </xf>
    <xf numFmtId="0" fontId="78" fillId="14" borderId="1024" applyFont="0" applyFill="0" applyBorder="0" applyAlignment="0" applyProtection="0"/>
    <xf numFmtId="246" fontId="250" fillId="0" borderId="1250" applyFill="0" applyProtection="0">
      <alignment horizontal="center"/>
    </xf>
    <xf numFmtId="0" fontId="25" fillId="10" borderId="1260" applyNumberFormat="0" applyProtection="0">
      <alignment horizontal="left" vertical="top"/>
    </xf>
    <xf numFmtId="222" fontId="79" fillId="0" borderId="769" applyBorder="0"/>
    <xf numFmtId="0" fontId="75" fillId="0" borderId="1251" applyNumberFormat="0" applyFont="0" applyFill="0" applyAlignment="0" applyProtection="0"/>
    <xf numFmtId="190" fontId="12" fillId="75" borderId="4732" applyNumberFormat="0" applyProtection="0">
      <alignment horizontal="left" vertical="top" indent="1"/>
    </xf>
    <xf numFmtId="222" fontId="79" fillId="0" borderId="1237" applyBorder="0"/>
    <xf numFmtId="0" fontId="101" fillId="0" borderId="1202" applyBorder="0"/>
    <xf numFmtId="0" fontId="2" fillId="0" borderId="2068" applyNumberFormat="0" applyAlignment="0" applyProtection="0"/>
    <xf numFmtId="0" fontId="78" fillId="14" borderId="1192" applyFont="0" applyFill="0" applyBorder="0" applyAlignment="0" applyProtection="0"/>
    <xf numFmtId="188" fontId="25" fillId="0" borderId="4745" applyFont="0" applyFill="0" applyBorder="0" applyAlignment="0" applyProtection="0">
      <alignment horizontal="center"/>
    </xf>
    <xf numFmtId="222" fontId="79" fillId="0" borderId="1189" applyBorder="0"/>
    <xf numFmtId="0" fontId="2" fillId="0" borderId="1183" applyNumberFormat="0" applyAlignment="0" applyProtection="0"/>
    <xf numFmtId="0" fontId="214" fillId="0" borderId="1184" applyNumberFormat="0" applyFont="0" applyFill="0" applyAlignment="0" applyProtection="0"/>
    <xf numFmtId="0" fontId="78" fillId="14" borderId="1180" applyFont="0" applyFill="0" applyBorder="0" applyAlignment="0" applyProtection="0"/>
    <xf numFmtId="186" fontId="140" fillId="3" borderId="4766">
      <alignment horizontal="center" vertical="center"/>
    </xf>
    <xf numFmtId="0" fontId="101" fillId="0" borderId="1250" applyBorder="0"/>
    <xf numFmtId="0" fontId="78" fillId="14" borderId="1012" applyFont="0" applyFill="0" applyBorder="0" applyAlignment="0" applyProtection="0"/>
    <xf numFmtId="222" fontId="79" fillId="0" borderId="769" applyBorder="0"/>
    <xf numFmtId="186" fontId="146" fillId="3" borderId="1181">
      <alignment horizontal="left"/>
    </xf>
    <xf numFmtId="0" fontId="25" fillId="10" borderId="1258" applyNumberFormat="0" applyProtection="0">
      <alignment horizontal="left" vertical="top"/>
    </xf>
    <xf numFmtId="0" fontId="214" fillId="0" borderId="1256" applyNumberFormat="0" applyFont="0" applyFill="0" applyAlignment="0" applyProtection="0"/>
    <xf numFmtId="0" fontId="25" fillId="10" borderId="1200" applyNumberFormat="0" applyProtection="0">
      <alignment horizontal="left" vertical="top"/>
    </xf>
    <xf numFmtId="0" fontId="78" fillId="14" borderId="1012" applyFont="0" applyFill="0" applyBorder="0" applyAlignment="0" applyProtection="0"/>
    <xf numFmtId="0" fontId="25" fillId="10" borderId="1020" applyNumberFormat="0" applyProtection="0">
      <alignment horizontal="left" vertical="top"/>
    </xf>
    <xf numFmtId="0" fontId="25" fillId="10" borderId="1019" applyNumberFormat="0" applyProtection="0">
      <alignment horizontal="left" vertical="top"/>
    </xf>
    <xf numFmtId="0" fontId="25" fillId="10" borderId="1018" applyNumberFormat="0" applyProtection="0">
      <alignment horizontal="left" vertical="top"/>
    </xf>
    <xf numFmtId="0" fontId="25" fillId="10" borderId="1017" applyNumberFormat="0" applyProtection="0">
      <alignment horizontal="left" vertical="top"/>
    </xf>
    <xf numFmtId="0" fontId="166" fillId="0" borderId="1250">
      <alignment horizontal="center"/>
    </xf>
    <xf numFmtId="0" fontId="214" fillId="0" borderId="1016" applyNumberFormat="0" applyFont="0" applyFill="0" applyAlignment="0" applyProtection="0"/>
    <xf numFmtId="186" fontId="140" fillId="3" borderId="990">
      <alignment horizontal="center" vertical="center"/>
    </xf>
    <xf numFmtId="186" fontId="146" fillId="3" borderId="917">
      <alignment horizontal="left"/>
    </xf>
    <xf numFmtId="186" fontId="146" fillId="3" borderId="1253">
      <alignment horizontal="left"/>
    </xf>
    <xf numFmtId="0" fontId="75" fillId="0" borderId="915" applyNumberFormat="0" applyFont="0" applyFill="0" applyAlignment="0" applyProtection="0"/>
    <xf numFmtId="192" fontId="9" fillId="3" borderId="1250">
      <alignment horizontal="right" vertical="center"/>
    </xf>
    <xf numFmtId="222" fontId="79" fillId="0" borderId="769" applyBorder="0"/>
    <xf numFmtId="0" fontId="101" fillId="0" borderId="950" applyBorder="0"/>
    <xf numFmtId="222" fontId="79" fillId="0" borderId="769" applyBorder="0"/>
    <xf numFmtId="0" fontId="113" fillId="0" borderId="950" applyNumberFormat="0" applyFill="0" applyAlignment="0" applyProtection="0"/>
    <xf numFmtId="0" fontId="12" fillId="0" borderId="950" applyNumberFormat="0" applyFill="0" applyBorder="0" applyAlignment="0" applyProtection="0">
      <alignment horizontal="center"/>
    </xf>
    <xf numFmtId="248" fontId="46" fillId="0" borderId="950"/>
    <xf numFmtId="192" fontId="9" fillId="3" borderId="950">
      <alignment horizontal="right" vertical="center"/>
    </xf>
    <xf numFmtId="180" fontId="9" fillId="3" borderId="950">
      <alignment horizontal="right" vertical="center"/>
    </xf>
    <xf numFmtId="186" fontId="146" fillId="3" borderId="950" applyBorder="0">
      <alignment horizontal="left" vertical="center"/>
    </xf>
    <xf numFmtId="0" fontId="165" fillId="0" borderId="950" applyFill="0" applyProtection="0">
      <alignment horizontal="center"/>
    </xf>
    <xf numFmtId="0" fontId="166" fillId="0" borderId="950">
      <alignment horizontal="center"/>
    </xf>
    <xf numFmtId="264" fontId="12" fillId="14" borderId="950" applyFont="0" applyFill="0" applyBorder="0" applyAlignment="0" applyProtection="0">
      <alignment horizontal="right"/>
    </xf>
    <xf numFmtId="0" fontId="210" fillId="0" borderId="950" applyNumberFormat="0" applyFill="0" applyBorder="0" applyAlignment="0">
      <protection locked="0"/>
    </xf>
    <xf numFmtId="254" fontId="240" fillId="0" borderId="950" applyBorder="0" applyProtection="0">
      <alignment horizontal="right" vertical="center"/>
    </xf>
    <xf numFmtId="0" fontId="241" fillId="94" borderId="950" applyBorder="0" applyProtection="0">
      <alignment horizontal="centerContinuous" vertical="center"/>
    </xf>
    <xf numFmtId="246" fontId="249" fillId="0" borderId="950" applyFill="0" applyProtection="0">
      <alignment horizontal="center"/>
    </xf>
    <xf numFmtId="246" fontId="250" fillId="0" borderId="950" applyFill="0" applyProtection="0">
      <alignment horizontal="center"/>
    </xf>
    <xf numFmtId="0" fontId="25" fillId="10" borderId="1258" applyNumberFormat="0" applyProtection="0">
      <alignment horizontal="left" vertical="top"/>
    </xf>
    <xf numFmtId="312" fontId="225" fillId="53" borderId="2078" applyNumberFormat="0" applyProtection="0">
      <alignment horizontal="left" vertical="top" indent="1"/>
    </xf>
    <xf numFmtId="0" fontId="210" fillId="0" borderId="4746" applyNumberFormat="0" applyFill="0" applyBorder="0" applyAlignment="0">
      <protection locked="0"/>
    </xf>
    <xf numFmtId="0" fontId="75" fillId="0" borderId="1179" applyNumberFormat="0" applyFont="0" applyFill="0" applyAlignment="0" applyProtection="0"/>
    <xf numFmtId="0" fontId="210" fillId="0" borderId="1250" applyNumberFormat="0" applyFill="0" applyBorder="0" applyAlignment="0">
      <protection locked="0"/>
    </xf>
    <xf numFmtId="0" fontId="25" fillId="10" borderId="1188" applyNumberFormat="0" applyProtection="0">
      <alignment horizontal="left" vertical="top"/>
    </xf>
    <xf numFmtId="0" fontId="25" fillId="10" borderId="1186" applyNumberFormat="0" applyProtection="0">
      <alignment horizontal="left" vertical="top"/>
    </xf>
    <xf numFmtId="0" fontId="25" fillId="10" borderId="1187" applyNumberFormat="0" applyProtection="0">
      <alignment horizontal="left" vertical="top"/>
    </xf>
    <xf numFmtId="0" fontId="25" fillId="10" borderId="1185" applyNumberFormat="0" applyProtection="0">
      <alignment horizontal="left" vertical="top"/>
    </xf>
    <xf numFmtId="186" fontId="140" fillId="3" borderId="1182">
      <alignment horizontal="center" vertical="center"/>
    </xf>
    <xf numFmtId="0" fontId="241" fillId="94" borderId="1070" applyBorder="0" applyProtection="0">
      <alignment horizontal="centerContinuous" vertical="center"/>
    </xf>
    <xf numFmtId="0" fontId="166" fillId="0" borderId="1070">
      <alignment horizontal="center"/>
    </xf>
    <xf numFmtId="0" fontId="214" fillId="0" borderId="1016" applyNumberFormat="0" applyFont="0" applyFill="0" applyAlignment="0" applyProtection="0"/>
    <xf numFmtId="246" fontId="250" fillId="0" borderId="950" applyFill="0" applyProtection="0">
      <alignment horizontal="center"/>
    </xf>
    <xf numFmtId="246" fontId="249" fillId="0" borderId="950" applyFill="0" applyProtection="0">
      <alignment horizontal="center"/>
    </xf>
    <xf numFmtId="0" fontId="241" fillId="94" borderId="950" applyBorder="0" applyProtection="0">
      <alignment horizontal="centerContinuous" vertical="center"/>
    </xf>
    <xf numFmtId="254" fontId="240" fillId="0" borderId="950" applyBorder="0" applyProtection="0">
      <alignment horizontal="right" vertical="center"/>
    </xf>
    <xf numFmtId="0" fontId="210" fillId="0" borderId="950" applyNumberFormat="0" applyFill="0" applyBorder="0" applyAlignment="0">
      <protection locked="0"/>
    </xf>
    <xf numFmtId="264" fontId="12" fillId="14" borderId="950" applyFont="0" applyFill="0" applyBorder="0" applyAlignment="0" applyProtection="0">
      <alignment horizontal="right"/>
    </xf>
    <xf numFmtId="0" fontId="166" fillId="0" borderId="950">
      <alignment horizontal="center"/>
    </xf>
    <xf numFmtId="0" fontId="165" fillId="0" borderId="950" applyFill="0" applyProtection="0">
      <alignment horizontal="center"/>
    </xf>
    <xf numFmtId="186" fontId="146" fillId="3" borderId="950" applyBorder="0">
      <alignment horizontal="left" vertical="center"/>
    </xf>
    <xf numFmtId="180" fontId="9" fillId="3" borderId="950">
      <alignment horizontal="right" vertical="center"/>
    </xf>
    <xf numFmtId="192" fontId="9" fillId="3" borderId="950">
      <alignment horizontal="right" vertical="center"/>
    </xf>
    <xf numFmtId="248" fontId="46" fillId="0" borderId="950"/>
    <xf numFmtId="0" fontId="12" fillId="0" borderId="950" applyNumberFormat="0" applyFill="0" applyBorder="0" applyAlignment="0" applyProtection="0">
      <alignment horizontal="center"/>
    </xf>
    <xf numFmtId="0" fontId="113" fillId="0" borderId="950" applyNumberFormat="0" applyFill="0" applyAlignment="0" applyProtection="0"/>
    <xf numFmtId="222" fontId="79" fillId="0" borderId="769" applyBorder="0"/>
    <xf numFmtId="0" fontId="101" fillId="0" borderId="950" applyBorder="0"/>
    <xf numFmtId="222" fontId="79" fillId="0" borderId="769" applyBorder="0"/>
    <xf numFmtId="0" fontId="75" fillId="0" borderId="915" applyNumberFormat="0" applyFont="0" applyFill="0" applyAlignment="0" applyProtection="0"/>
    <xf numFmtId="186" fontId="146" fillId="3" borderId="917">
      <alignment horizontal="left"/>
    </xf>
    <xf numFmtId="186" fontId="140" fillId="3" borderId="990">
      <alignment horizontal="center" vertical="center"/>
    </xf>
    <xf numFmtId="0" fontId="214" fillId="0" borderId="1016" applyNumberFormat="0" applyFont="0" applyFill="0" applyAlignment="0" applyProtection="0"/>
    <xf numFmtId="0" fontId="25" fillId="10" borderId="1017" applyNumberFormat="0" applyProtection="0">
      <alignment horizontal="left" vertical="top"/>
    </xf>
    <xf numFmtId="0" fontId="25" fillId="10" borderId="1018" applyNumberFormat="0" applyProtection="0">
      <alignment horizontal="left" vertical="top"/>
    </xf>
    <xf numFmtId="0" fontId="25" fillId="10" borderId="1019" applyNumberFormat="0" applyProtection="0">
      <alignment horizontal="left" vertical="top"/>
    </xf>
    <xf numFmtId="0" fontId="25" fillId="10" borderId="1020" applyNumberFormat="0" applyProtection="0">
      <alignment horizontal="left" vertical="top"/>
    </xf>
    <xf numFmtId="0" fontId="78" fillId="14" borderId="1024" applyFont="0" applyFill="0" applyBorder="0" applyAlignment="0" applyProtection="0"/>
    <xf numFmtId="222" fontId="79" fillId="0" borderId="1033" applyBorder="0"/>
    <xf numFmtId="0" fontId="78" fillId="14" borderId="1024" applyFont="0" applyFill="0" applyBorder="0" applyAlignment="0" applyProtection="0"/>
    <xf numFmtId="186" fontId="146" fillId="3" borderId="917">
      <alignment horizontal="left"/>
    </xf>
    <xf numFmtId="0" fontId="78" fillId="14" borderId="1024" applyFont="0" applyFill="0" applyBorder="0" applyAlignment="0" applyProtection="0"/>
    <xf numFmtId="222" fontId="79" fillId="0" borderId="1033" applyBorder="0"/>
    <xf numFmtId="0" fontId="2" fillId="0" borderId="1027" applyNumberFormat="0" applyAlignment="0" applyProtection="0"/>
    <xf numFmtId="0" fontId="78" fillId="14" borderId="1024" applyFont="0" applyFill="0" applyBorder="0" applyAlignment="0" applyProtection="0"/>
    <xf numFmtId="0" fontId="25" fillId="10" borderId="1032" applyNumberFormat="0" applyProtection="0">
      <alignment horizontal="left" vertical="top"/>
    </xf>
    <xf numFmtId="0" fontId="25" fillId="10" borderId="1031" applyNumberFormat="0" applyProtection="0">
      <alignment horizontal="left" vertical="top"/>
    </xf>
    <xf numFmtId="0" fontId="25" fillId="10" borderId="1030" applyNumberFormat="0" applyProtection="0">
      <alignment horizontal="left" vertical="top"/>
    </xf>
    <xf numFmtId="0" fontId="25" fillId="10" borderId="1029" applyNumberFormat="0" applyProtection="0">
      <alignment horizontal="left" vertical="top"/>
    </xf>
    <xf numFmtId="0" fontId="25" fillId="10" borderId="1030" applyNumberFormat="0" applyProtection="0">
      <alignment horizontal="left" vertical="top"/>
    </xf>
    <xf numFmtId="0" fontId="214" fillId="0" borderId="1028" applyNumberFormat="0" applyFont="0" applyFill="0" applyAlignment="0" applyProtection="0"/>
    <xf numFmtId="0" fontId="2" fillId="0" borderId="1027" applyNumberFormat="0" applyAlignment="0" applyProtection="0"/>
    <xf numFmtId="186" fontId="140" fillId="3" borderId="1026">
      <alignment horizontal="center" vertical="center"/>
    </xf>
    <xf numFmtId="186" fontId="146" fillId="3" borderId="1025">
      <alignment horizontal="left"/>
    </xf>
    <xf numFmtId="0" fontId="25" fillId="10" borderId="1032" applyNumberFormat="0" applyProtection="0">
      <alignment horizontal="left" vertical="top"/>
    </xf>
    <xf numFmtId="0" fontId="75" fillId="0" borderId="1023" applyNumberFormat="0" applyFont="0" applyFill="0" applyAlignment="0" applyProtection="0"/>
    <xf numFmtId="222" fontId="79" fillId="0" borderId="1033" applyBorder="0"/>
    <xf numFmtId="0" fontId="101" fillId="0" borderId="1034" applyBorder="0"/>
    <xf numFmtId="222" fontId="79" fillId="0" borderId="1033" applyBorder="0"/>
    <xf numFmtId="0" fontId="113" fillId="0" borderId="1034" applyNumberFormat="0" applyFill="0" applyAlignment="0" applyProtection="0"/>
    <xf numFmtId="0" fontId="12" fillId="0" borderId="1034" applyNumberFormat="0" applyFill="0" applyBorder="0" applyAlignment="0" applyProtection="0">
      <alignment horizontal="center"/>
    </xf>
    <xf numFmtId="248" fontId="46" fillId="0" borderId="1034"/>
    <xf numFmtId="192" fontId="9" fillId="3" borderId="1034">
      <alignment horizontal="right" vertical="center"/>
    </xf>
    <xf numFmtId="180" fontId="9" fillId="3" borderId="1034">
      <alignment horizontal="right" vertical="center"/>
    </xf>
    <xf numFmtId="186" fontId="146" fillId="3" borderId="1034" applyBorder="0">
      <alignment horizontal="left" vertical="center"/>
    </xf>
    <xf numFmtId="0" fontId="165" fillId="0" borderId="1034" applyFill="0" applyProtection="0">
      <alignment horizontal="center"/>
    </xf>
    <xf numFmtId="0" fontId="166" fillId="0" borderId="1034">
      <alignment horizontal="center"/>
    </xf>
    <xf numFmtId="264" fontId="12" fillId="14" borderId="1034" applyFont="0" applyFill="0" applyBorder="0" applyAlignment="0" applyProtection="0">
      <alignment horizontal="right"/>
    </xf>
    <xf numFmtId="0" fontId="210" fillId="0" borderId="1034" applyNumberFormat="0" applyFill="0" applyBorder="0" applyAlignment="0">
      <protection locked="0"/>
    </xf>
    <xf numFmtId="254" fontId="240" fillId="0" borderId="1034" applyBorder="0" applyProtection="0">
      <alignment horizontal="right" vertical="center"/>
    </xf>
    <xf numFmtId="0" fontId="241" fillId="94" borderId="1034" applyBorder="0" applyProtection="0">
      <alignment horizontal="centerContinuous" vertical="center"/>
    </xf>
    <xf numFmtId="246" fontId="249" fillId="0" borderId="1034" applyFill="0" applyProtection="0">
      <alignment horizontal="center"/>
    </xf>
    <xf numFmtId="246" fontId="250" fillId="0" borderId="1034" applyFill="0" applyProtection="0">
      <alignment horizontal="center"/>
    </xf>
    <xf numFmtId="186" fontId="140" fillId="3" borderId="1026">
      <alignment horizontal="center" vertical="center"/>
    </xf>
    <xf numFmtId="0" fontId="78" fillId="14" borderId="1024" applyFont="0" applyFill="0" applyBorder="0" applyAlignment="0" applyProtection="0"/>
    <xf numFmtId="222" fontId="79" fillId="0" borderId="1033" applyBorder="0"/>
    <xf numFmtId="0" fontId="78" fillId="14" borderId="1024" applyFont="0" applyFill="0" applyBorder="0" applyAlignment="0" applyProtection="0"/>
    <xf numFmtId="0" fontId="25" fillId="10" borderId="1032" applyNumberFormat="0" applyProtection="0">
      <alignment horizontal="left" vertical="top"/>
    </xf>
    <xf numFmtId="0" fontId="25" fillId="10" borderId="1031" applyNumberFormat="0" applyProtection="0">
      <alignment horizontal="left" vertical="top"/>
    </xf>
    <xf numFmtId="0" fontId="25" fillId="10" borderId="1030" applyNumberFormat="0" applyProtection="0">
      <alignment horizontal="left" vertical="top"/>
    </xf>
    <xf numFmtId="0" fontId="25" fillId="10" borderId="1029" applyNumberFormat="0" applyProtection="0">
      <alignment horizontal="left" vertical="top"/>
    </xf>
    <xf numFmtId="0" fontId="214" fillId="0" borderId="1028" applyNumberFormat="0" applyFont="0" applyFill="0" applyAlignment="0" applyProtection="0"/>
    <xf numFmtId="0" fontId="2" fillId="0" borderId="1027" applyNumberFormat="0" applyAlignment="0" applyProtection="0"/>
    <xf numFmtId="186" fontId="140" fillId="3" borderId="1026">
      <alignment horizontal="center" vertical="center"/>
    </xf>
    <xf numFmtId="186" fontId="146" fillId="3" borderId="1025">
      <alignment horizontal="left"/>
    </xf>
    <xf numFmtId="0" fontId="75" fillId="0" borderId="1023" applyNumberFormat="0" applyFont="0" applyFill="0" applyAlignment="0" applyProtection="0"/>
    <xf numFmtId="222" fontId="79" fillId="0" borderId="1033" applyBorder="0"/>
    <xf numFmtId="0" fontId="101" fillId="0" borderId="1034" applyBorder="0"/>
    <xf numFmtId="222" fontId="79" fillId="0" borderId="1033" applyBorder="0"/>
    <xf numFmtId="0" fontId="113" fillId="0" borderId="1034" applyNumberFormat="0" applyFill="0" applyAlignment="0" applyProtection="0"/>
    <xf numFmtId="0" fontId="12" fillId="0" borderId="1034" applyNumberFormat="0" applyFill="0" applyBorder="0" applyAlignment="0" applyProtection="0">
      <alignment horizontal="center"/>
    </xf>
    <xf numFmtId="248" fontId="46" fillId="0" borderId="1034"/>
    <xf numFmtId="192" fontId="9" fillId="3" borderId="1034">
      <alignment horizontal="right" vertical="center"/>
    </xf>
    <xf numFmtId="180" fontId="9" fillId="3" borderId="1034">
      <alignment horizontal="right" vertical="center"/>
    </xf>
    <xf numFmtId="186" fontId="146" fillId="3" borderId="1034" applyBorder="0">
      <alignment horizontal="left" vertical="center"/>
    </xf>
    <xf numFmtId="0" fontId="165" fillId="0" borderId="1034" applyFill="0" applyProtection="0">
      <alignment horizontal="center"/>
    </xf>
    <xf numFmtId="0" fontId="166" fillId="0" borderId="1034">
      <alignment horizontal="center"/>
    </xf>
    <xf numFmtId="264" fontId="12" fillId="14" borderId="1034" applyFont="0" applyFill="0" applyBorder="0" applyAlignment="0" applyProtection="0">
      <alignment horizontal="right"/>
    </xf>
    <xf numFmtId="0" fontId="210" fillId="0" borderId="1034" applyNumberFormat="0" applyFill="0" applyBorder="0" applyAlignment="0">
      <protection locked="0"/>
    </xf>
    <xf numFmtId="254" fontId="240" fillId="0" borderId="1034" applyBorder="0" applyProtection="0">
      <alignment horizontal="right" vertical="center"/>
    </xf>
    <xf numFmtId="0" fontId="241" fillId="94" borderId="1034" applyBorder="0" applyProtection="0">
      <alignment horizontal="centerContinuous" vertical="center"/>
    </xf>
    <xf numFmtId="246" fontId="249" fillId="0" borderId="1034" applyFill="0" applyProtection="0">
      <alignment horizontal="center"/>
    </xf>
    <xf numFmtId="246" fontId="250" fillId="0" borderId="1034" applyFill="0" applyProtection="0">
      <alignment horizontal="center"/>
    </xf>
    <xf numFmtId="222" fontId="79" fillId="0" borderId="1045" applyBorder="0"/>
    <xf numFmtId="0" fontId="78" fillId="14" borderId="1048" applyFont="0" applyFill="0" applyBorder="0" applyAlignment="0" applyProtection="0"/>
    <xf numFmtId="0" fontId="25" fillId="10" borderId="1056" applyNumberFormat="0" applyProtection="0">
      <alignment horizontal="left" vertical="top"/>
    </xf>
    <xf numFmtId="0" fontId="25" fillId="10" borderId="1055" applyNumberFormat="0" applyProtection="0">
      <alignment horizontal="left" vertical="top"/>
    </xf>
    <xf numFmtId="0" fontId="25" fillId="10" borderId="1054" applyNumberFormat="0" applyProtection="0">
      <alignment horizontal="left" vertical="top"/>
    </xf>
    <xf numFmtId="0" fontId="25" fillId="10" borderId="1053" applyNumberFormat="0" applyProtection="0">
      <alignment horizontal="left" vertical="top"/>
    </xf>
    <xf numFmtId="0" fontId="214" fillId="0" borderId="1052" applyNumberFormat="0" applyFont="0" applyFill="0" applyAlignment="0" applyProtection="0"/>
    <xf numFmtId="0" fontId="2" fillId="0" borderId="1051" applyNumberFormat="0" applyAlignment="0" applyProtection="0"/>
    <xf numFmtId="186" fontId="140" fillId="3" borderId="1050">
      <alignment horizontal="center" vertical="center"/>
    </xf>
    <xf numFmtId="186" fontId="146" fillId="3" borderId="1049">
      <alignment horizontal="left"/>
    </xf>
    <xf numFmtId="0" fontId="75" fillId="0" borderId="1047" applyNumberFormat="0" applyFont="0" applyFill="0" applyAlignment="0" applyProtection="0"/>
    <xf numFmtId="222" fontId="79" fillId="0" borderId="1057" applyBorder="0"/>
    <xf numFmtId="0" fontId="101" fillId="0" borderId="1058" applyBorder="0"/>
    <xf numFmtId="222" fontId="79" fillId="0" borderId="1057" applyBorder="0"/>
    <xf numFmtId="0" fontId="113" fillId="0" borderId="1058" applyNumberFormat="0" applyFill="0" applyAlignment="0" applyProtection="0"/>
    <xf numFmtId="0" fontId="12" fillId="0" borderId="1058" applyNumberFormat="0" applyFill="0" applyBorder="0" applyAlignment="0" applyProtection="0">
      <alignment horizontal="center"/>
    </xf>
    <xf numFmtId="248" fontId="46" fillId="0" borderId="1058"/>
    <xf numFmtId="192" fontId="9" fillId="3" borderId="1058">
      <alignment horizontal="right" vertical="center"/>
    </xf>
    <xf numFmtId="180" fontId="9" fillId="3" borderId="1058">
      <alignment horizontal="right" vertical="center"/>
    </xf>
    <xf numFmtId="186" fontId="146" fillId="3" borderId="1058" applyBorder="0">
      <alignment horizontal="left" vertical="center"/>
    </xf>
    <xf numFmtId="0" fontId="165" fillId="0" borderId="1058" applyFill="0" applyProtection="0">
      <alignment horizontal="center"/>
    </xf>
    <xf numFmtId="0" fontId="166" fillId="0" borderId="1058">
      <alignment horizontal="center"/>
    </xf>
    <xf numFmtId="264" fontId="12" fillId="14" borderId="1058" applyFont="0" applyFill="0" applyBorder="0" applyAlignment="0" applyProtection="0">
      <alignment horizontal="right"/>
    </xf>
    <xf numFmtId="0" fontId="210" fillId="0" borderId="1058" applyNumberFormat="0" applyFill="0" applyBorder="0" applyAlignment="0">
      <protection locked="0"/>
    </xf>
    <xf numFmtId="254" fontId="240" fillId="0" borderId="1058" applyBorder="0" applyProtection="0">
      <alignment horizontal="right" vertical="center"/>
    </xf>
    <xf numFmtId="0" fontId="241" fillId="94" borderId="1058" applyBorder="0" applyProtection="0">
      <alignment horizontal="centerContinuous" vertical="center"/>
    </xf>
    <xf numFmtId="246" fontId="249" fillId="0" borderId="1058" applyFill="0" applyProtection="0">
      <alignment horizontal="center"/>
    </xf>
    <xf numFmtId="246" fontId="250" fillId="0" borderId="1058" applyFill="0" applyProtection="0">
      <alignment horizontal="center"/>
    </xf>
    <xf numFmtId="0" fontId="113" fillId="0" borderId="1190" applyNumberFormat="0" applyFill="0" applyAlignment="0" applyProtection="0"/>
    <xf numFmtId="0" fontId="75" fillId="0" borderId="1071" applyNumberFormat="0" applyFont="0" applyFill="0" applyAlignment="0" applyProtection="0"/>
    <xf numFmtId="0" fontId="78" fillId="14" borderId="1072" applyFont="0" applyFill="0" applyBorder="0" applyAlignment="0" applyProtection="0"/>
    <xf numFmtId="186" fontId="146" fillId="3" borderId="1073">
      <alignment horizontal="left"/>
    </xf>
    <xf numFmtId="186" fontId="140" fillId="3" borderId="1074">
      <alignment horizontal="center" vertical="center"/>
    </xf>
    <xf numFmtId="0" fontId="2" fillId="0" borderId="1075" applyNumberFormat="0" applyAlignment="0" applyProtection="0"/>
    <xf numFmtId="0" fontId="214" fillId="0" borderId="1076" applyNumberFormat="0" applyFont="0" applyFill="0" applyAlignment="0" applyProtection="0"/>
    <xf numFmtId="0" fontId="25" fillId="10" borderId="1077" applyNumberFormat="0" applyProtection="0">
      <alignment horizontal="left" vertical="top"/>
    </xf>
    <xf numFmtId="0" fontId="25" fillId="10" borderId="1078" applyNumberFormat="0" applyProtection="0">
      <alignment horizontal="left" vertical="top"/>
    </xf>
    <xf numFmtId="0" fontId="25" fillId="10" borderId="1079" applyNumberFormat="0" applyProtection="0">
      <alignment horizontal="left" vertical="top"/>
    </xf>
    <xf numFmtId="0" fontId="25" fillId="10" borderId="1080" applyNumberFormat="0" applyProtection="0">
      <alignment horizontal="left" vertical="top"/>
    </xf>
    <xf numFmtId="0" fontId="12" fillId="0" borderId="1190" applyNumberFormat="0" applyFill="0" applyBorder="0" applyAlignment="0" applyProtection="0">
      <alignment horizontal="center"/>
    </xf>
    <xf numFmtId="0" fontId="101" fillId="0" borderId="1190" applyBorder="0"/>
    <xf numFmtId="248" fontId="46" fillId="0" borderId="1190"/>
    <xf numFmtId="0" fontId="136" fillId="14" borderId="4732" applyNumberFormat="0" applyProtection="0">
      <alignment horizontal="left" vertical="top" indent="1"/>
    </xf>
    <xf numFmtId="0" fontId="241" fillId="94" borderId="2156" applyBorder="0" applyProtection="0">
      <alignment horizontal="centerContinuous" vertical="center"/>
    </xf>
    <xf numFmtId="246" fontId="250" fillId="0" borderId="1070" applyFill="0" applyProtection="0">
      <alignment horizontal="center"/>
    </xf>
    <xf numFmtId="246" fontId="249" fillId="0" borderId="1070" applyFill="0" applyProtection="0">
      <alignment horizontal="center"/>
    </xf>
    <xf numFmtId="0" fontId="241" fillId="94" borderId="1070" applyBorder="0" applyProtection="0">
      <alignment horizontal="centerContinuous" vertical="center"/>
    </xf>
    <xf numFmtId="254" fontId="240" fillId="0" borderId="1070" applyBorder="0" applyProtection="0">
      <alignment horizontal="right" vertical="center"/>
    </xf>
    <xf numFmtId="186" fontId="140" fillId="3" borderId="4778">
      <alignment horizontal="center" vertical="center"/>
    </xf>
    <xf numFmtId="10" fontId="12" fillId="3" borderId="4742" applyNumberFormat="0" applyFont="0" applyFill="0" applyBorder="0" applyAlignment="0">
      <protection locked="0"/>
    </xf>
    <xf numFmtId="222" fontId="79" fillId="0" borderId="2155" applyBorder="0"/>
    <xf numFmtId="0" fontId="12" fillId="0" borderId="2075" applyNumberFormat="0" applyFill="0" applyBorder="0" applyAlignment="0" applyProtection="0"/>
    <xf numFmtId="0" fontId="210" fillId="0" borderId="2093" applyNumberFormat="0" applyFill="0" applyBorder="0" applyAlignment="0">
      <protection locked="0"/>
    </xf>
    <xf numFmtId="248" fontId="46" fillId="0" borderId="2093"/>
    <xf numFmtId="0" fontId="283" fillId="103" borderId="2094" applyNumberFormat="0" applyAlignment="0" applyProtection="0"/>
    <xf numFmtId="190" fontId="166" fillId="0" borderId="4810">
      <alignment horizontal="center"/>
    </xf>
    <xf numFmtId="0" fontId="165" fillId="0" borderId="4798" applyFill="0" applyProtection="0">
      <alignment horizontal="center"/>
    </xf>
    <xf numFmtId="4" fontId="226" fillId="76" borderId="2078" applyNumberFormat="0" applyProtection="0">
      <alignment horizontal="right" vertical="center"/>
    </xf>
    <xf numFmtId="0" fontId="12" fillId="0" borderId="2075" applyNumberFormat="0" applyFill="0" applyBorder="0" applyAlignment="0" applyProtection="0"/>
    <xf numFmtId="222" fontId="79" fillId="0" borderId="4743" applyBorder="0"/>
    <xf numFmtId="0" fontId="210" fillId="0" borderId="1070" applyNumberFormat="0" applyFill="0" applyBorder="0" applyAlignment="0">
      <protection locked="0"/>
    </xf>
    <xf numFmtId="190" fontId="25" fillId="10" borderId="4738" applyNumberFormat="0" applyProtection="0">
      <alignment horizontal="left" vertical="top"/>
    </xf>
    <xf numFmtId="264" fontId="12" fillId="14" borderId="1070" applyFont="0" applyFill="0" applyBorder="0" applyAlignment="0" applyProtection="0">
      <alignment horizontal="right"/>
    </xf>
    <xf numFmtId="0" fontId="113" fillId="0" borderId="4810" applyNumberFormat="0" applyFill="0" applyAlignment="0" applyProtection="0"/>
    <xf numFmtId="0" fontId="166" fillId="0" borderId="1070">
      <alignment horizontal="center"/>
    </xf>
    <xf numFmtId="0" fontId="165" fillId="0" borderId="1070" applyFill="0" applyProtection="0">
      <alignment horizontal="center"/>
    </xf>
    <xf numFmtId="248" fontId="46" fillId="0" borderId="2093"/>
    <xf numFmtId="186" fontId="146" fillId="3" borderId="1441" applyBorder="0">
      <alignment horizontal="left" vertical="center"/>
    </xf>
    <xf numFmtId="186" fontId="146" fillId="3" borderId="1070" applyBorder="0">
      <alignment horizontal="left" vertical="center"/>
    </xf>
    <xf numFmtId="180" fontId="9" fillId="3" borderId="1070">
      <alignment horizontal="right" vertical="center"/>
    </xf>
    <xf numFmtId="192" fontId="9" fillId="3" borderId="1070">
      <alignment horizontal="right" vertical="center"/>
    </xf>
    <xf numFmtId="0" fontId="12" fillId="0" borderId="1070" applyNumberFormat="0" applyFill="0" applyBorder="0" applyAlignment="0" applyProtection="0">
      <alignment horizontal="center"/>
    </xf>
    <xf numFmtId="0" fontId="113" fillId="0" borderId="1070" applyNumberFormat="0" applyFill="0" applyAlignment="0" applyProtection="0"/>
    <xf numFmtId="0" fontId="210" fillId="0" borderId="4786" applyNumberFormat="0" applyFill="0" applyBorder="0" applyAlignment="0">
      <protection locked="0"/>
    </xf>
    <xf numFmtId="222" fontId="79" fillId="0" borderId="1069" applyBorder="0"/>
    <xf numFmtId="0" fontId="101" fillId="0" borderId="1070" applyBorder="0"/>
    <xf numFmtId="192" fontId="9" fillId="3" borderId="1190">
      <alignment horizontal="right" vertical="center"/>
    </xf>
    <xf numFmtId="248" fontId="46" fillId="0" borderId="1070"/>
    <xf numFmtId="180" fontId="9" fillId="3" borderId="1190">
      <alignment horizontal="right" vertical="center"/>
    </xf>
    <xf numFmtId="0" fontId="166" fillId="0" borderId="1178">
      <alignment horizontal="center"/>
    </xf>
    <xf numFmtId="186" fontId="146" fillId="3" borderId="1190" applyBorder="0">
      <alignment horizontal="left" vertical="center"/>
    </xf>
    <xf numFmtId="312" fontId="101" fillId="0" borderId="2156" applyBorder="0"/>
    <xf numFmtId="254" fontId="240" fillId="0" borderId="1178" applyBorder="0" applyProtection="0">
      <alignment horizontal="right" vertical="center"/>
    </xf>
    <xf numFmtId="312" fontId="165" fillId="0" borderId="2156" applyFill="0" applyProtection="0">
      <alignment horizontal="center"/>
    </xf>
    <xf numFmtId="0" fontId="101" fillId="0" borderId="1070" applyBorder="0"/>
    <xf numFmtId="222" fontId="79" fillId="0" borderId="1069" applyBorder="0"/>
    <xf numFmtId="0" fontId="113" fillId="0" borderId="1070" applyNumberFormat="0" applyFill="0" applyAlignment="0" applyProtection="0"/>
    <xf numFmtId="0" fontId="75" fillId="0" borderId="1071" applyNumberFormat="0" applyFont="0" applyFill="0" applyAlignment="0" applyProtection="0"/>
    <xf numFmtId="0" fontId="12" fillId="0" borderId="1070" applyNumberFormat="0" applyFill="0" applyBorder="0" applyAlignment="0" applyProtection="0">
      <alignment horizontal="center"/>
    </xf>
    <xf numFmtId="248" fontId="46" fillId="0" borderId="1070"/>
    <xf numFmtId="192" fontId="9" fillId="3" borderId="1070">
      <alignment horizontal="right" vertical="center"/>
    </xf>
    <xf numFmtId="180" fontId="9" fillId="3" borderId="1070">
      <alignment horizontal="right" vertical="center"/>
    </xf>
    <xf numFmtId="186" fontId="146" fillId="3" borderId="1070" applyBorder="0">
      <alignment horizontal="left" vertical="center"/>
    </xf>
    <xf numFmtId="186" fontId="146" fillId="3" borderId="1073">
      <alignment horizontal="left"/>
    </xf>
    <xf numFmtId="186" fontId="140" fillId="3" borderId="1074">
      <alignment horizontal="center" vertical="center"/>
    </xf>
    <xf numFmtId="0" fontId="165" fillId="0" borderId="1070" applyFill="0" applyProtection="0">
      <alignment horizontal="center"/>
    </xf>
    <xf numFmtId="0" fontId="166" fillId="0" borderId="1070">
      <alignment horizontal="center"/>
    </xf>
    <xf numFmtId="264" fontId="12" fillId="14" borderId="1070" applyFont="0" applyFill="0" applyBorder="0" applyAlignment="0" applyProtection="0">
      <alignment horizontal="right"/>
    </xf>
    <xf numFmtId="0" fontId="210" fillId="0" borderId="1070" applyNumberFormat="0" applyFill="0" applyBorder="0" applyAlignment="0">
      <protection locked="0"/>
    </xf>
    <xf numFmtId="0" fontId="2" fillId="0" borderId="1075" applyNumberFormat="0" applyAlignment="0" applyProtection="0"/>
    <xf numFmtId="0" fontId="214" fillId="0" borderId="1076" applyNumberFormat="0" applyFont="0" applyFill="0" applyAlignment="0" applyProtection="0"/>
    <xf numFmtId="0" fontId="25" fillId="10" borderId="1077" applyNumberFormat="0" applyProtection="0">
      <alignment horizontal="left" vertical="top"/>
    </xf>
    <xf numFmtId="0" fontId="25" fillId="10" borderId="1078" applyNumberFormat="0" applyProtection="0">
      <alignment horizontal="left" vertical="top"/>
    </xf>
    <xf numFmtId="0" fontId="25" fillId="10" borderId="1079" applyNumberFormat="0" applyProtection="0">
      <alignment horizontal="left" vertical="top"/>
    </xf>
    <xf numFmtId="0" fontId="25" fillId="10" borderId="1080" applyNumberFormat="0" applyProtection="0">
      <alignment horizontal="left" vertical="top"/>
    </xf>
    <xf numFmtId="0" fontId="25" fillId="10" borderId="1077" applyNumberFormat="0" applyProtection="0">
      <alignment horizontal="left" vertical="top"/>
    </xf>
    <xf numFmtId="0" fontId="25" fillId="10" borderId="1078" applyNumberFormat="0" applyProtection="0">
      <alignment horizontal="left" vertical="top"/>
    </xf>
    <xf numFmtId="0" fontId="25" fillId="10" borderId="1079" applyNumberFormat="0" applyProtection="0">
      <alignment horizontal="left" vertical="top"/>
    </xf>
    <xf numFmtId="0" fontId="25" fillId="10" borderId="1080" applyNumberFormat="0" applyProtection="0">
      <alignment horizontal="left" vertical="top"/>
    </xf>
    <xf numFmtId="254" fontId="240" fillId="0" borderId="1070" applyBorder="0" applyProtection="0">
      <alignment horizontal="right" vertical="center"/>
    </xf>
    <xf numFmtId="0" fontId="241" fillId="94" borderId="1070" applyBorder="0" applyProtection="0">
      <alignment horizontal="centerContinuous" vertical="center"/>
    </xf>
    <xf numFmtId="246" fontId="249" fillId="0" borderId="1070" applyFill="0" applyProtection="0">
      <alignment horizontal="center"/>
    </xf>
    <xf numFmtId="246" fontId="250" fillId="0" borderId="1070" applyFill="0" applyProtection="0">
      <alignment horizontal="center"/>
    </xf>
    <xf numFmtId="0" fontId="165" fillId="0" borderId="1190" applyFill="0" applyProtection="0">
      <alignment horizontal="center"/>
    </xf>
    <xf numFmtId="312" fontId="25" fillId="10" borderId="2140" applyNumberFormat="0" applyProtection="0">
      <alignment horizontal="left" vertical="top"/>
    </xf>
    <xf numFmtId="0" fontId="166" fillId="0" borderId="1190">
      <alignment horizontal="center"/>
    </xf>
    <xf numFmtId="0" fontId="241" fillId="94" borderId="1369" applyBorder="0" applyProtection="0">
      <alignment horizontal="centerContinuous" vertical="center"/>
    </xf>
    <xf numFmtId="0" fontId="241" fillId="94" borderId="1250" applyBorder="0" applyProtection="0">
      <alignment horizontal="centerContinuous" vertical="center"/>
    </xf>
    <xf numFmtId="190" fontId="101" fillId="0" borderId="1070" applyBorder="0"/>
    <xf numFmtId="186" fontId="146" fillId="3" borderId="1250" applyBorder="0">
      <alignment horizontal="left" vertical="center"/>
    </xf>
    <xf numFmtId="192" fontId="9" fillId="3" borderId="1250">
      <alignment horizontal="right" vertical="center"/>
    </xf>
    <xf numFmtId="0" fontId="166" fillId="0" borderId="1441">
      <alignment horizontal="center"/>
    </xf>
    <xf numFmtId="0" fontId="210" fillId="0" borderId="1250" applyNumberFormat="0" applyFill="0" applyBorder="0" applyAlignment="0">
      <protection locked="0"/>
    </xf>
    <xf numFmtId="246" fontId="249" fillId="0" borderId="1250" applyFill="0" applyProtection="0">
      <alignment horizontal="center"/>
    </xf>
    <xf numFmtId="190" fontId="113" fillId="0" borderId="1070" applyNumberFormat="0" applyFill="0" applyAlignment="0" applyProtection="0"/>
    <xf numFmtId="0" fontId="241" fillId="94" borderId="2063" applyBorder="0" applyProtection="0">
      <alignment horizontal="centerContinuous" vertical="center"/>
    </xf>
    <xf numFmtId="190" fontId="75" fillId="0" borderId="1047" applyNumberFormat="0" applyFont="0" applyFill="0" applyAlignment="0" applyProtection="0"/>
    <xf numFmtId="0" fontId="214" fillId="0" borderId="1256" applyNumberFormat="0" applyFont="0" applyFill="0" applyAlignment="0" applyProtection="0"/>
    <xf numFmtId="186" fontId="146" fillId="3" borderId="1253">
      <alignment horizontal="left"/>
    </xf>
    <xf numFmtId="0" fontId="241" fillId="94" borderId="1238" applyBorder="0" applyProtection="0">
      <alignment horizontal="centerContinuous" vertical="center"/>
    </xf>
    <xf numFmtId="0" fontId="166" fillId="0" borderId="1238">
      <alignment horizontal="center"/>
    </xf>
    <xf numFmtId="248" fontId="46" fillId="0" borderId="1238"/>
    <xf numFmtId="0" fontId="214" fillId="0" borderId="1232" applyNumberFormat="0" applyFont="0" applyFill="0" applyAlignment="0" applyProtection="0"/>
    <xf numFmtId="186" fontId="140" fillId="3" borderId="1230">
      <alignment horizontal="center" vertical="center"/>
    </xf>
    <xf numFmtId="190" fontId="12" fillId="0" borderId="1070" applyNumberFormat="0" applyFill="0" applyBorder="0" applyAlignment="0" applyProtection="0">
      <alignment horizontal="center"/>
    </xf>
    <xf numFmtId="0" fontId="78" fillId="14" borderId="1228" applyFont="0" applyFill="0" applyBorder="0" applyAlignment="0" applyProtection="0"/>
    <xf numFmtId="264" fontId="12" fillId="14" borderId="1214" applyFont="0" applyFill="0" applyBorder="0" applyAlignment="0" applyProtection="0">
      <alignment horizontal="right"/>
    </xf>
    <xf numFmtId="186" fontId="146" fillId="3" borderId="1214" applyBorder="0">
      <alignment horizontal="left" vertical="center"/>
    </xf>
    <xf numFmtId="248" fontId="46" fillId="0" borderId="1214"/>
    <xf numFmtId="222" fontId="79" fillId="0" borderId="1213" applyBorder="0"/>
    <xf numFmtId="0" fontId="75" fillId="0" borderId="1203" applyNumberFormat="0" applyFont="0" applyFill="0" applyAlignment="0" applyProtection="0"/>
    <xf numFmtId="0" fontId="2" fillId="0" borderId="1207" applyNumberFormat="0" applyAlignment="0" applyProtection="0"/>
    <xf numFmtId="0" fontId="25" fillId="10" borderId="1210" applyNumberFormat="0" applyProtection="0">
      <alignment horizontal="left" vertical="top"/>
    </xf>
    <xf numFmtId="0" fontId="78" fillId="14" borderId="1204" applyFont="0" applyFill="0" applyBorder="0" applyAlignment="0" applyProtection="0"/>
    <xf numFmtId="246" fontId="250" fillId="0" borderId="1190" applyFill="0" applyProtection="0">
      <alignment horizontal="center"/>
    </xf>
    <xf numFmtId="0" fontId="113" fillId="0" borderId="1178" applyNumberFormat="0" applyFill="0" applyAlignment="0" applyProtection="0"/>
    <xf numFmtId="0" fontId="25" fillId="10" borderId="1186" applyNumberFormat="0" applyProtection="0">
      <alignment horizontal="left" vertical="top"/>
    </xf>
    <xf numFmtId="0" fontId="2" fillId="0" borderId="1183" applyNumberFormat="0" applyAlignment="0" applyProtection="0"/>
    <xf numFmtId="190" fontId="78" fillId="14" borderId="1060" applyFont="0" applyFill="0" applyBorder="0" applyAlignment="0" applyProtection="0"/>
    <xf numFmtId="0" fontId="113" fillId="0" borderId="1190" applyNumberFormat="0" applyFill="0" applyAlignment="0" applyProtection="0"/>
    <xf numFmtId="246" fontId="249" fillId="0" borderId="1190" applyFill="0" applyProtection="0">
      <alignment horizontal="center"/>
    </xf>
    <xf numFmtId="0" fontId="101" fillId="0" borderId="4746" applyBorder="0"/>
    <xf numFmtId="0" fontId="25" fillId="10" borderId="1030" applyNumberFormat="0" applyProtection="0">
      <alignment horizontal="left" vertical="top"/>
    </xf>
    <xf numFmtId="186" fontId="140" fillId="3" borderId="1218">
      <alignment horizontal="center" vertical="center"/>
    </xf>
    <xf numFmtId="0" fontId="2" fillId="0" borderId="4791" applyNumberFormat="0" applyAlignment="0" applyProtection="0"/>
    <xf numFmtId="0" fontId="2" fillId="0" borderId="1219" applyNumberFormat="0" applyAlignment="0" applyProtection="0"/>
    <xf numFmtId="0" fontId="101" fillId="0" borderId="1226" applyBorder="0"/>
    <xf numFmtId="0" fontId="165" fillId="0" borderId="1226" applyFill="0" applyProtection="0">
      <alignment horizontal="center"/>
    </xf>
    <xf numFmtId="246" fontId="250" fillId="0" borderId="1202" applyFill="0" applyProtection="0">
      <alignment horizontal="center"/>
    </xf>
    <xf numFmtId="0" fontId="210" fillId="0" borderId="1202" applyNumberFormat="0" applyFill="0" applyBorder="0" applyAlignment="0">
      <protection locked="0"/>
    </xf>
    <xf numFmtId="246" fontId="250" fillId="0" borderId="1250" applyFill="0" applyProtection="0">
      <alignment horizontal="center"/>
    </xf>
    <xf numFmtId="186" fontId="146" fillId="3" borderId="1250" applyBorder="0">
      <alignment horizontal="left" vertical="center"/>
    </xf>
    <xf numFmtId="0" fontId="101" fillId="0" borderId="1250" applyBorder="0"/>
    <xf numFmtId="222" fontId="79" fillId="0" borderId="1237" applyBorder="0"/>
    <xf numFmtId="0" fontId="12" fillId="0" borderId="1250" applyNumberFormat="0" applyFill="0" applyBorder="0" applyAlignment="0" applyProtection="0">
      <alignment horizontal="center"/>
    </xf>
    <xf numFmtId="0" fontId="214" fillId="0" borderId="1184" applyNumberFormat="0" applyFont="0" applyFill="0" applyAlignment="0" applyProtection="0"/>
    <xf numFmtId="0" fontId="25" fillId="10" borderId="1187" applyNumberFormat="0" applyProtection="0">
      <alignment horizontal="left" vertical="top"/>
    </xf>
    <xf numFmtId="0" fontId="25" fillId="10" borderId="1187" applyNumberFormat="0" applyProtection="0">
      <alignment horizontal="left" vertical="top"/>
    </xf>
    <xf numFmtId="246" fontId="249" fillId="0" borderId="1250" applyFill="0" applyProtection="0">
      <alignment horizontal="center"/>
    </xf>
    <xf numFmtId="0" fontId="113" fillId="0" borderId="1250" applyNumberFormat="0" applyFill="0" applyAlignment="0" applyProtection="0"/>
    <xf numFmtId="192" fontId="9" fillId="3" borderId="1441">
      <alignment horizontal="right" vertical="center"/>
    </xf>
    <xf numFmtId="190" fontId="165" fillId="0" borderId="1070" applyFill="0" applyProtection="0">
      <alignment horizontal="center"/>
    </xf>
    <xf numFmtId="190" fontId="166" fillId="0" borderId="1070">
      <alignment horizontal="center"/>
    </xf>
    <xf numFmtId="246" fontId="249" fillId="0" borderId="1178" applyFill="0" applyProtection="0">
      <alignment horizontal="center"/>
    </xf>
    <xf numFmtId="0" fontId="166" fillId="0" borderId="1178">
      <alignment horizontal="center"/>
    </xf>
    <xf numFmtId="0" fontId="12" fillId="0" borderId="1178" applyNumberFormat="0" applyFill="0" applyBorder="0" applyAlignment="0" applyProtection="0">
      <alignment horizontal="center"/>
    </xf>
    <xf numFmtId="0" fontId="101" fillId="0" borderId="1178" applyBorder="0"/>
    <xf numFmtId="0" fontId="25" fillId="10" borderId="1451" applyNumberFormat="0" applyProtection="0">
      <alignment horizontal="left" vertical="top"/>
    </xf>
    <xf numFmtId="0" fontId="113" fillId="0" borderId="2156" applyNumberFormat="0" applyFill="0" applyAlignment="0" applyProtection="0"/>
    <xf numFmtId="0" fontId="12" fillId="0" borderId="2156" applyNumberFormat="0" applyFill="0" applyBorder="0" applyAlignment="0" applyProtection="0">
      <alignment horizontal="center"/>
    </xf>
    <xf numFmtId="190" fontId="210" fillId="0" borderId="1070" applyNumberFormat="0" applyFill="0" applyBorder="0" applyAlignment="0">
      <protection locked="0"/>
    </xf>
    <xf numFmtId="190" fontId="2" fillId="0" borderId="1051" applyNumberFormat="0" applyAlignment="0" applyProtection="0"/>
    <xf numFmtId="190" fontId="214" fillId="0" borderId="1052" applyNumberFormat="0" applyFont="0" applyFill="0" applyAlignment="0" applyProtection="0"/>
    <xf numFmtId="0" fontId="225" fillId="53" borderId="4732" applyNumberFormat="0" applyProtection="0">
      <alignment horizontal="left" vertical="top" indent="1"/>
    </xf>
    <xf numFmtId="0" fontId="2" fillId="0" borderId="3260" applyNumberFormat="0" applyAlignment="0" applyProtection="0"/>
    <xf numFmtId="254" fontId="240" fillId="0" borderId="1369" applyBorder="0" applyProtection="0">
      <alignment horizontal="right" vertical="center"/>
    </xf>
    <xf numFmtId="190" fontId="225" fillId="53" borderId="4732" applyNumberFormat="0" applyProtection="0">
      <alignment horizontal="left" vertical="top" indent="1"/>
    </xf>
    <xf numFmtId="0" fontId="113" fillId="0" borderId="1369" applyNumberFormat="0" applyFill="0" applyAlignment="0" applyProtection="0"/>
    <xf numFmtId="0" fontId="241" fillId="94" borderId="2156" applyBorder="0" applyProtection="0">
      <alignment horizontal="centerContinuous" vertical="center"/>
    </xf>
    <xf numFmtId="0" fontId="113" fillId="0" borderId="4746" applyNumberFormat="0" applyFill="0" applyAlignment="0" applyProtection="0"/>
    <xf numFmtId="0" fontId="25" fillId="10" borderId="1450" applyNumberFormat="0" applyProtection="0">
      <alignment horizontal="left" vertical="top"/>
    </xf>
    <xf numFmtId="0" fontId="101" fillId="0" borderId="2063" applyBorder="0"/>
    <xf numFmtId="0" fontId="241" fillId="94" borderId="2093" applyBorder="0" applyProtection="0">
      <alignment horizontal="centerContinuous" vertical="center"/>
    </xf>
    <xf numFmtId="190" fontId="25" fillId="10" borderId="1053" applyNumberFormat="0" applyProtection="0">
      <alignment horizontal="left" vertical="top"/>
    </xf>
    <xf numFmtId="190" fontId="25" fillId="10" borderId="1054" applyNumberFormat="0" applyProtection="0">
      <alignment horizontal="left" vertical="top"/>
    </xf>
    <xf numFmtId="246" fontId="249" fillId="0" borderId="2156" applyFill="0" applyProtection="0">
      <alignment horizontal="center"/>
    </xf>
    <xf numFmtId="190" fontId="25" fillId="10" borderId="1055" applyNumberFormat="0" applyProtection="0">
      <alignment horizontal="left" vertical="top"/>
    </xf>
    <xf numFmtId="190" fontId="25" fillId="10" borderId="1056" applyNumberFormat="0" applyProtection="0">
      <alignment horizontal="left" vertical="top"/>
    </xf>
    <xf numFmtId="0" fontId="166" fillId="0" borderId="4717">
      <alignment horizontal="center"/>
    </xf>
    <xf numFmtId="190" fontId="241" fillId="94" borderId="1070" applyBorder="0" applyProtection="0">
      <alignment horizontal="centerContinuous" vertical="center"/>
    </xf>
    <xf numFmtId="4" fontId="226" fillId="79" borderId="4732" applyNumberFormat="0" applyProtection="0">
      <alignment horizontal="right" vertical="center"/>
    </xf>
    <xf numFmtId="0" fontId="12" fillId="0" borderId="2075" applyNumberFormat="0" applyFill="0" applyBorder="0" applyAlignment="0" applyProtection="0"/>
    <xf numFmtId="312" fontId="136" fillId="14" borderId="2078" applyNumberFormat="0" applyProtection="0">
      <alignment horizontal="left" vertical="top" indent="1"/>
    </xf>
    <xf numFmtId="0" fontId="165" fillId="0" borderId="1178" applyFill="0" applyProtection="0">
      <alignment horizontal="center"/>
    </xf>
    <xf numFmtId="222" fontId="79" fillId="0" borderId="1069" applyBorder="0"/>
    <xf numFmtId="0" fontId="101" fillId="0" borderId="1070" applyBorder="0"/>
    <xf numFmtId="222" fontId="79" fillId="0" borderId="1069" applyBorder="0"/>
    <xf numFmtId="0" fontId="113" fillId="0" borderId="1070" applyNumberFormat="0" applyFill="0" applyAlignment="0" applyProtection="0"/>
    <xf numFmtId="0" fontId="75" fillId="0" borderId="1047" applyNumberFormat="0" applyFont="0" applyFill="0" applyAlignment="0" applyProtection="0"/>
    <xf numFmtId="0" fontId="12" fillId="0" borderId="1070" applyNumberFormat="0" applyFill="0" applyBorder="0" applyAlignment="0" applyProtection="0">
      <alignment horizontal="center"/>
    </xf>
    <xf numFmtId="248" fontId="46" fillId="0" borderId="1070"/>
    <xf numFmtId="192" fontId="9" fillId="3" borderId="1070">
      <alignment horizontal="right" vertical="center"/>
    </xf>
    <xf numFmtId="180" fontId="9" fillId="3" borderId="1070">
      <alignment horizontal="right" vertical="center"/>
    </xf>
    <xf numFmtId="186" fontId="146" fillId="3" borderId="1070" applyBorder="0">
      <alignment horizontal="left" vertical="center"/>
    </xf>
    <xf numFmtId="186" fontId="146" fillId="3" borderId="1049">
      <alignment horizontal="left"/>
    </xf>
    <xf numFmtId="186" fontId="140" fillId="3" borderId="1050">
      <alignment horizontal="center" vertical="center"/>
    </xf>
    <xf numFmtId="0" fontId="165" fillId="0" borderId="1070" applyFill="0" applyProtection="0">
      <alignment horizontal="center"/>
    </xf>
    <xf numFmtId="0" fontId="166" fillId="0" borderId="1070">
      <alignment horizontal="center"/>
    </xf>
    <xf numFmtId="264" fontId="12" fillId="14" borderId="1070" applyFont="0" applyFill="0" applyBorder="0" applyAlignment="0" applyProtection="0">
      <alignment horizontal="right"/>
    </xf>
    <xf numFmtId="0" fontId="210" fillId="0" borderId="1070" applyNumberFormat="0" applyFill="0" applyBorder="0" applyAlignment="0">
      <protection locked="0"/>
    </xf>
    <xf numFmtId="0" fontId="2" fillId="0" borderId="1051" applyNumberFormat="0" applyAlignment="0" applyProtection="0"/>
    <xf numFmtId="0" fontId="214" fillId="0" borderId="1052" applyNumberFormat="0" applyFont="0" applyFill="0" applyAlignment="0" applyProtection="0"/>
    <xf numFmtId="0" fontId="25" fillId="10" borderId="1053" applyNumberFormat="0" applyProtection="0">
      <alignment horizontal="left" vertical="top"/>
    </xf>
    <xf numFmtId="0" fontId="25" fillId="10" borderId="1054" applyNumberFormat="0" applyProtection="0">
      <alignment horizontal="left" vertical="top"/>
    </xf>
    <xf numFmtId="0" fontId="25" fillId="10" borderId="1055" applyNumberFormat="0" applyProtection="0">
      <alignment horizontal="left" vertical="top"/>
    </xf>
    <xf numFmtId="0" fontId="25" fillId="10" borderId="1056" applyNumberFormat="0" applyProtection="0">
      <alignment horizontal="left" vertical="top"/>
    </xf>
    <xf numFmtId="0" fontId="25" fillId="10" borderId="1053" applyNumberFormat="0" applyProtection="0">
      <alignment horizontal="left" vertical="top"/>
    </xf>
    <xf numFmtId="0" fontId="25" fillId="10" borderId="1054" applyNumberFormat="0" applyProtection="0">
      <alignment horizontal="left" vertical="top"/>
    </xf>
    <xf numFmtId="0" fontId="25" fillId="10" borderId="1055" applyNumberFormat="0" applyProtection="0">
      <alignment horizontal="left" vertical="top"/>
    </xf>
    <xf numFmtId="0" fontId="25" fillId="10" borderId="1056" applyNumberFormat="0" applyProtection="0">
      <alignment horizontal="left" vertical="top"/>
    </xf>
    <xf numFmtId="254" fontId="240" fillId="0" borderId="1070" applyBorder="0" applyProtection="0">
      <alignment horizontal="right" vertical="center"/>
    </xf>
    <xf numFmtId="0" fontId="241" fillId="94" borderId="1070" applyBorder="0" applyProtection="0">
      <alignment horizontal="centerContinuous" vertical="center"/>
    </xf>
    <xf numFmtId="246" fontId="249" fillId="0" borderId="1070" applyFill="0" applyProtection="0">
      <alignment horizontal="center"/>
    </xf>
    <xf numFmtId="246" fontId="250" fillId="0" borderId="1070" applyFill="0" applyProtection="0">
      <alignment horizontal="center"/>
    </xf>
    <xf numFmtId="264" fontId="12" fillId="14" borderId="1190" applyFont="0" applyFill="0" applyBorder="0" applyAlignment="0" applyProtection="0">
      <alignment horizontal="right"/>
    </xf>
    <xf numFmtId="0" fontId="241" fillId="94" borderId="1070" applyBorder="0" applyProtection="0">
      <alignment horizontal="centerContinuous" vertical="center"/>
    </xf>
    <xf numFmtId="0" fontId="210" fillId="0" borderId="1190" applyNumberFormat="0" applyFill="0" applyBorder="0" applyAlignment="0">
      <protection locked="0"/>
    </xf>
    <xf numFmtId="0" fontId="166" fillId="0" borderId="1250">
      <alignment horizontal="center"/>
    </xf>
    <xf numFmtId="190" fontId="214" fillId="0" borderId="1232" applyNumberFormat="0" applyFont="0" applyFill="0" applyAlignment="0" applyProtection="0"/>
    <xf numFmtId="190" fontId="78" fillId="14" borderId="1240" applyFont="0" applyFill="0" applyBorder="0" applyAlignment="0" applyProtection="0"/>
    <xf numFmtId="190" fontId="101" fillId="0" borderId="1250" applyBorder="0"/>
    <xf numFmtId="254" fontId="240" fillId="0" borderId="1250" applyBorder="0" applyProtection="0">
      <alignment horizontal="right" vertical="center"/>
    </xf>
    <xf numFmtId="312" fontId="101" fillId="0" borderId="1070" applyBorder="0"/>
    <xf numFmtId="0" fontId="113" fillId="0" borderId="1250" applyNumberFormat="0" applyFill="0" applyAlignment="0" applyProtection="0"/>
    <xf numFmtId="180" fontId="9" fillId="3" borderId="1250">
      <alignment horizontal="right" vertical="center"/>
    </xf>
    <xf numFmtId="0" fontId="113" fillId="0" borderId="1441" applyNumberFormat="0" applyFill="0" applyAlignment="0" applyProtection="0"/>
    <xf numFmtId="180" fontId="9" fillId="3" borderId="1441">
      <alignment horizontal="right" vertical="center"/>
    </xf>
    <xf numFmtId="264" fontId="12" fillId="14" borderId="2156" applyFont="0" applyFill="0" applyBorder="0" applyAlignment="0" applyProtection="0">
      <alignment horizontal="right"/>
    </xf>
    <xf numFmtId="0" fontId="165" fillId="0" borderId="1250" applyFill="0" applyProtection="0">
      <alignment horizontal="center"/>
    </xf>
    <xf numFmtId="246" fontId="250" fillId="0" borderId="1250" applyFill="0" applyProtection="0">
      <alignment horizontal="center"/>
    </xf>
    <xf numFmtId="312" fontId="113" fillId="0" borderId="1070" applyNumberFormat="0" applyFill="0" applyAlignment="0" applyProtection="0"/>
    <xf numFmtId="312" fontId="75" fillId="0" borderId="1047" applyNumberFormat="0" applyFont="0" applyFill="0" applyAlignment="0" applyProtection="0"/>
    <xf numFmtId="0" fontId="2" fillId="0" borderId="1255" applyNumberFormat="0" applyAlignment="0" applyProtection="0"/>
    <xf numFmtId="0" fontId="78" fillId="14" borderId="1252" applyFont="0" applyFill="0" applyBorder="0" applyAlignment="0" applyProtection="0"/>
    <xf numFmtId="246" fontId="250" fillId="0" borderId="1238" applyFill="0" applyProtection="0">
      <alignment horizontal="center"/>
    </xf>
    <xf numFmtId="254" fontId="240" fillId="0" borderId="1238" applyBorder="0" applyProtection="0">
      <alignment horizontal="right" vertical="center"/>
    </xf>
    <xf numFmtId="0" fontId="165" fillId="0" borderId="1238" applyFill="0" applyProtection="0">
      <alignment horizontal="center"/>
    </xf>
    <xf numFmtId="0" fontId="12" fillId="0" borderId="1238" applyNumberFormat="0" applyFill="0" applyBorder="0" applyAlignment="0" applyProtection="0">
      <alignment horizontal="center"/>
    </xf>
    <xf numFmtId="0" fontId="25" fillId="10" borderId="1233" applyNumberFormat="0" applyProtection="0">
      <alignment horizontal="left" vertical="top"/>
    </xf>
    <xf numFmtId="0" fontId="2" fillId="0" borderId="1231" applyNumberFormat="0" applyAlignment="0" applyProtection="0"/>
    <xf numFmtId="312" fontId="12" fillId="0" borderId="1070" applyNumberFormat="0" applyFill="0" applyBorder="0" applyAlignment="0" applyProtection="0">
      <alignment horizontal="center"/>
    </xf>
    <xf numFmtId="222" fontId="79" fillId="0" borderId="1225" applyBorder="0"/>
    <xf numFmtId="0" fontId="166" fillId="0" borderId="1214">
      <alignment horizontal="center"/>
    </xf>
    <xf numFmtId="180" fontId="9" fillId="3" borderId="1214">
      <alignment horizontal="right" vertical="center"/>
    </xf>
    <xf numFmtId="0" fontId="12" fillId="0" borderId="1214" applyNumberFormat="0" applyFill="0" applyBorder="0" applyAlignment="0" applyProtection="0">
      <alignment horizontal="center"/>
    </xf>
    <xf numFmtId="0" fontId="101" fillId="0" borderId="1214" applyBorder="0"/>
    <xf numFmtId="186" fontId="146" fillId="3" borderId="1205">
      <alignment horizontal="left"/>
    </xf>
    <xf numFmtId="0" fontId="214" fillId="0" borderId="1208" applyNumberFormat="0" applyFont="0" applyFill="0" applyAlignment="0" applyProtection="0"/>
    <xf numFmtId="0" fontId="25" fillId="10" borderId="1211" applyNumberFormat="0" applyProtection="0">
      <alignment horizontal="left" vertical="top"/>
    </xf>
    <xf numFmtId="222" fontId="79" fillId="0" borderId="1201" applyBorder="0"/>
    <xf numFmtId="246" fontId="249" fillId="0" borderId="1190" applyFill="0" applyProtection="0">
      <alignment horizontal="center"/>
    </xf>
    <xf numFmtId="222" fontId="79" fillId="0" borderId="1069" applyBorder="0"/>
    <xf numFmtId="0" fontId="78" fillId="14" borderId="1180" applyFont="0" applyFill="0" applyBorder="0" applyAlignment="0" applyProtection="0"/>
    <xf numFmtId="0" fontId="25" fillId="10" borderId="1188" applyNumberFormat="0" applyProtection="0">
      <alignment horizontal="left" vertical="top"/>
    </xf>
    <xf numFmtId="0" fontId="25" fillId="10" borderId="1185" applyNumberFormat="0" applyProtection="0">
      <alignment horizontal="left" vertical="top"/>
    </xf>
    <xf numFmtId="186" fontId="140" fillId="3" borderId="1182">
      <alignment horizontal="center" vertical="center"/>
    </xf>
    <xf numFmtId="222" fontId="79" fillId="0" borderId="1189" applyBorder="0"/>
    <xf numFmtId="312" fontId="78" fillId="14" borderId="1012" applyFont="0" applyFill="0" applyBorder="0" applyAlignment="0" applyProtection="0"/>
    <xf numFmtId="0" fontId="12" fillId="0" borderId="1190" applyNumberFormat="0" applyFill="0" applyBorder="0" applyAlignment="0" applyProtection="0">
      <alignment horizontal="center"/>
    </xf>
    <xf numFmtId="246" fontId="250" fillId="0" borderId="1190" applyFill="0" applyProtection="0">
      <alignment horizontal="center"/>
    </xf>
    <xf numFmtId="188" fontId="25" fillId="0" borderId="2090" applyFont="0" applyFill="0" applyBorder="0" applyAlignment="0" applyProtection="0">
      <alignment horizontal="center"/>
    </xf>
    <xf numFmtId="222" fontId="79" fillId="0" borderId="1069" applyBorder="0"/>
    <xf numFmtId="0" fontId="75" fillId="0" borderId="1239" applyNumberFormat="0" applyFont="0" applyFill="0" applyAlignment="0" applyProtection="0"/>
    <xf numFmtId="0" fontId="25" fillId="10" borderId="1031" applyNumberFormat="0" applyProtection="0">
      <alignment horizontal="left" vertical="top"/>
    </xf>
    <xf numFmtId="246" fontId="250" fillId="0" borderId="4717" applyFill="0" applyProtection="0">
      <alignment horizontal="center"/>
    </xf>
    <xf numFmtId="222" fontId="79" fillId="0" borderId="1225" applyBorder="0"/>
    <xf numFmtId="0" fontId="25" fillId="10" borderId="4726" applyNumberFormat="0" applyProtection="0">
      <alignment horizontal="left" vertical="top"/>
    </xf>
    <xf numFmtId="312" fontId="12" fillId="10" borderId="2076" applyNumberFormat="0" applyFont="0" applyProtection="0"/>
    <xf numFmtId="0" fontId="75" fillId="0" borderId="1215" applyNumberFormat="0" applyFont="0" applyFill="0" applyAlignment="0" applyProtection="0"/>
    <xf numFmtId="0" fontId="12" fillId="0" borderId="1226" applyNumberFormat="0" applyFill="0" applyBorder="0" applyAlignment="0" applyProtection="0">
      <alignment horizontal="center"/>
    </xf>
    <xf numFmtId="264" fontId="12" fillId="14" borderId="1226" applyFont="0" applyFill="0" applyBorder="0" applyAlignment="0" applyProtection="0">
      <alignment horizontal="right"/>
    </xf>
    <xf numFmtId="246" fontId="249" fillId="0" borderId="1202" applyFill="0" applyProtection="0">
      <alignment horizontal="center"/>
    </xf>
    <xf numFmtId="0" fontId="166" fillId="0" borderId="1202">
      <alignment horizontal="center"/>
    </xf>
    <xf numFmtId="254" fontId="240" fillId="0" borderId="1250" applyBorder="0" applyProtection="0">
      <alignment horizontal="right" vertical="center"/>
    </xf>
    <xf numFmtId="180" fontId="9" fillId="3" borderId="1250">
      <alignment horizontal="right" vertical="center"/>
    </xf>
    <xf numFmtId="222" fontId="79" fillId="0" borderId="1249" applyBorder="0"/>
    <xf numFmtId="0" fontId="25" fillId="10" borderId="1185" applyNumberFormat="0" applyProtection="0">
      <alignment horizontal="left" vertical="top"/>
    </xf>
    <xf numFmtId="186" fontId="140" fillId="3" borderId="1182">
      <alignment horizontal="center" vertical="center"/>
    </xf>
    <xf numFmtId="0" fontId="25" fillId="10" borderId="1185" applyNumberFormat="0" applyProtection="0">
      <alignment horizontal="left" vertical="top"/>
    </xf>
    <xf numFmtId="0" fontId="25" fillId="10" borderId="1188" applyNumberFormat="0" applyProtection="0">
      <alignment horizontal="left" vertical="top"/>
    </xf>
    <xf numFmtId="0" fontId="25" fillId="10" borderId="1186" applyNumberFormat="0" applyProtection="0">
      <alignment horizontal="left" vertical="top"/>
    </xf>
    <xf numFmtId="264" fontId="12" fillId="14" borderId="1250" applyFont="0" applyFill="0" applyBorder="0" applyAlignment="0" applyProtection="0">
      <alignment horizontal="right"/>
    </xf>
    <xf numFmtId="0" fontId="12" fillId="0" borderId="1441" applyNumberFormat="0" applyFill="0" applyBorder="0" applyAlignment="0" applyProtection="0">
      <alignment horizontal="center"/>
    </xf>
    <xf numFmtId="190" fontId="74" fillId="0" borderId="4728" applyFont="0" applyFill="0" applyBorder="0" applyAlignment="0" applyProtection="0">
      <alignment horizontal="center"/>
    </xf>
    <xf numFmtId="312" fontId="165" fillId="0" borderId="1070" applyFill="0" applyProtection="0">
      <alignment horizontal="center"/>
    </xf>
    <xf numFmtId="312" fontId="242" fillId="0" borderId="1070">
      <alignment horizontal="center"/>
    </xf>
    <xf numFmtId="0" fontId="241" fillId="94" borderId="1178" applyBorder="0" applyProtection="0">
      <alignment horizontal="centerContinuous" vertical="center"/>
    </xf>
    <xf numFmtId="0" fontId="165" fillId="0" borderId="1178" applyFill="0" applyProtection="0">
      <alignment horizontal="center"/>
    </xf>
    <xf numFmtId="0" fontId="113" fillId="0" borderId="1178" applyNumberFormat="0" applyFill="0" applyAlignment="0" applyProtection="0"/>
    <xf numFmtId="0" fontId="210" fillId="0" borderId="2063" applyNumberFormat="0" applyFill="0" applyBorder="0" applyAlignment="0">
      <protection locked="0"/>
    </xf>
    <xf numFmtId="190" fontId="12" fillId="11" borderId="2078" applyNumberFormat="0" applyProtection="0">
      <alignment horizontal="left" vertical="center" indent="1"/>
    </xf>
    <xf numFmtId="0" fontId="12" fillId="0" borderId="2075" applyNumberFormat="0" applyFill="0" applyBorder="0" applyAlignment="0" applyProtection="0"/>
    <xf numFmtId="0" fontId="25" fillId="10" borderId="1031" applyNumberFormat="0" applyProtection="0">
      <alignment horizontal="left" vertical="top"/>
    </xf>
    <xf numFmtId="254" fontId="240" fillId="0" borderId="1381" applyBorder="0" applyProtection="0">
      <alignment horizontal="right" vertical="center"/>
    </xf>
    <xf numFmtId="312" fontId="210" fillId="0" borderId="1070" applyNumberFormat="0" applyFill="0" applyBorder="0" applyAlignment="0">
      <protection locked="0"/>
    </xf>
    <xf numFmtId="312" fontId="2" fillId="0" borderId="1051" applyNumberFormat="0" applyAlignment="0" applyProtection="0"/>
    <xf numFmtId="312" fontId="214" fillId="0" borderId="1052" applyNumberFormat="0" applyFont="0" applyFill="0" applyAlignment="0" applyProtection="0"/>
    <xf numFmtId="186" fontId="140" fillId="3" borderId="4790">
      <alignment horizontal="center" vertical="center"/>
    </xf>
    <xf numFmtId="0" fontId="25" fillId="10" borderId="707" applyNumberFormat="0" applyProtection="0">
      <alignment horizontal="left" vertical="top"/>
    </xf>
    <xf numFmtId="0" fontId="210" fillId="0" borderId="1369" applyNumberFormat="0" applyFill="0" applyBorder="0" applyAlignment="0">
      <protection locked="0"/>
    </xf>
    <xf numFmtId="186" fontId="146" fillId="3" borderId="1369" applyBorder="0">
      <alignment horizontal="left" vertical="center"/>
    </xf>
    <xf numFmtId="0" fontId="101" fillId="0" borderId="1369" applyBorder="0"/>
    <xf numFmtId="254" fontId="240" fillId="0" borderId="2108" applyBorder="0" applyProtection="0">
      <alignment horizontal="right" vertical="center"/>
    </xf>
    <xf numFmtId="180" fontId="9" fillId="3" borderId="2093">
      <alignment horizontal="right" vertical="center"/>
    </xf>
    <xf numFmtId="0" fontId="12" fillId="0" borderId="2815" applyNumberFormat="0" applyFill="0" applyBorder="0" applyAlignment="0" applyProtection="0"/>
    <xf numFmtId="0" fontId="75" fillId="0" borderId="4718" applyNumberFormat="0" applyFont="0" applyFill="0" applyAlignment="0" applyProtection="0"/>
    <xf numFmtId="248" fontId="46" fillId="0" borderId="2063"/>
    <xf numFmtId="0" fontId="78" fillId="14" borderId="2065" applyFont="0" applyFill="0" applyBorder="0" applyAlignment="0" applyProtection="0"/>
    <xf numFmtId="222" fontId="79" fillId="0" borderId="2119" applyBorder="0"/>
    <xf numFmtId="312" fontId="25" fillId="10" borderId="1053" applyNumberFormat="0" applyProtection="0">
      <alignment horizontal="left" vertical="top"/>
    </xf>
    <xf numFmtId="312" fontId="25" fillId="10" borderId="1054" applyNumberFormat="0" applyProtection="0">
      <alignment horizontal="left" vertical="top"/>
    </xf>
    <xf numFmtId="0" fontId="25" fillId="10" borderId="2086" applyNumberFormat="0" applyProtection="0">
      <alignment horizontal="left" vertical="top"/>
    </xf>
    <xf numFmtId="312" fontId="25" fillId="10" borderId="1055" applyNumberFormat="0" applyProtection="0">
      <alignment horizontal="left" vertical="top"/>
    </xf>
    <xf numFmtId="10" fontId="12" fillId="3" borderId="2088" applyNumberFormat="0" applyFont="0" applyFill="0" applyBorder="0" applyAlignment="0">
      <protection locked="0"/>
    </xf>
    <xf numFmtId="312" fontId="25" fillId="10" borderId="1056" applyNumberFormat="0" applyProtection="0">
      <alignment horizontal="left" vertical="top"/>
    </xf>
    <xf numFmtId="0" fontId="12" fillId="0" borderId="4717" applyNumberFormat="0" applyFill="0" applyBorder="0" applyAlignment="0" applyProtection="0">
      <alignment horizontal="center"/>
    </xf>
    <xf numFmtId="312" fontId="241" fillId="94" borderId="1070" applyBorder="0" applyProtection="0">
      <alignment horizontal="centerContinuous" vertical="center"/>
    </xf>
    <xf numFmtId="0" fontId="135" fillId="0" borderId="4730"/>
    <xf numFmtId="246" fontId="296" fillId="0" borderId="1070" applyFill="0" applyProtection="0">
      <alignment horizontal="center"/>
    </xf>
    <xf numFmtId="0" fontId="25" fillId="10" borderId="2086" applyNumberFormat="0" applyProtection="0">
      <alignment horizontal="left" vertical="top"/>
    </xf>
    <xf numFmtId="4" fontId="226" fillId="76" borderId="4732" applyNumberFormat="0" applyProtection="0">
      <alignment horizontal="right" vertical="center"/>
    </xf>
    <xf numFmtId="0" fontId="25" fillId="10" borderId="1451" applyNumberFormat="0" applyProtection="0">
      <alignment horizontal="left" vertical="top"/>
    </xf>
    <xf numFmtId="0" fontId="25" fillId="10" borderId="1450" applyNumberFormat="0" applyProtection="0">
      <alignment horizontal="left" vertical="top"/>
    </xf>
    <xf numFmtId="190" fontId="25" fillId="10" borderId="1424" applyNumberFormat="0" applyProtection="0">
      <alignment horizontal="left" vertical="top"/>
    </xf>
    <xf numFmtId="312" fontId="101" fillId="0" borderId="1070" applyBorder="0"/>
    <xf numFmtId="312" fontId="113" fillId="0" borderId="1070" applyNumberFormat="0" applyFill="0" applyAlignment="0" applyProtection="0"/>
    <xf numFmtId="312" fontId="75" fillId="0" borderId="1047" applyNumberFormat="0" applyFont="0" applyFill="0" applyAlignment="0" applyProtection="0"/>
    <xf numFmtId="312" fontId="12" fillId="0" borderId="1070" applyNumberFormat="0" applyFill="0" applyBorder="0" applyAlignment="0" applyProtection="0">
      <alignment horizontal="center"/>
    </xf>
    <xf numFmtId="312" fontId="78" fillId="14" borderId="1012" applyFont="0" applyFill="0" applyBorder="0" applyAlignment="0" applyProtection="0"/>
    <xf numFmtId="0" fontId="113" fillId="0" borderId="1226" applyNumberFormat="0" applyFill="0" applyAlignment="0" applyProtection="0"/>
    <xf numFmtId="254" fontId="240" fillId="0" borderId="4774" applyBorder="0" applyProtection="0">
      <alignment horizontal="right" vertical="center"/>
    </xf>
    <xf numFmtId="312" fontId="165" fillId="0" borderId="1070" applyFill="0" applyProtection="0">
      <alignment horizontal="center"/>
    </xf>
    <xf numFmtId="312" fontId="242" fillId="0" borderId="1070">
      <alignment horizontal="center"/>
    </xf>
    <xf numFmtId="0" fontId="210" fillId="0" borderId="1226" applyNumberFormat="0" applyFill="0" applyBorder="0" applyAlignment="0">
      <protection locked="0"/>
    </xf>
    <xf numFmtId="312" fontId="210" fillId="0" borderId="1070" applyNumberFormat="0" applyFill="0" applyBorder="0" applyAlignment="0">
      <protection locked="0"/>
    </xf>
    <xf numFmtId="312" fontId="2" fillId="0" borderId="1051" applyNumberFormat="0" applyAlignment="0" applyProtection="0"/>
    <xf numFmtId="312" fontId="214" fillId="0" borderId="1052" applyNumberFormat="0" applyFont="0" applyFill="0" applyAlignment="0" applyProtection="0"/>
    <xf numFmtId="312" fontId="25" fillId="10" borderId="1053" applyNumberFormat="0" applyProtection="0">
      <alignment horizontal="left" vertical="top"/>
    </xf>
    <xf numFmtId="312" fontId="25" fillId="10" borderId="1054" applyNumberFormat="0" applyProtection="0">
      <alignment horizontal="left" vertical="top"/>
    </xf>
    <xf numFmtId="312" fontId="25" fillId="10" borderId="1055" applyNumberFormat="0" applyProtection="0">
      <alignment horizontal="left" vertical="top"/>
    </xf>
    <xf numFmtId="312" fontId="25" fillId="10" borderId="1056" applyNumberFormat="0" applyProtection="0">
      <alignment horizontal="left" vertical="top"/>
    </xf>
    <xf numFmtId="312" fontId="25" fillId="10" borderId="1053" applyNumberFormat="0" applyProtection="0">
      <alignment horizontal="left" vertical="top"/>
    </xf>
    <xf numFmtId="312" fontId="25" fillId="10" borderId="1054" applyNumberFormat="0" applyProtection="0">
      <alignment horizontal="left" vertical="top"/>
    </xf>
    <xf numFmtId="312" fontId="25" fillId="10" borderId="1055" applyNumberFormat="0" applyProtection="0">
      <alignment horizontal="left" vertical="top"/>
    </xf>
    <xf numFmtId="312" fontId="25" fillId="10" borderId="1056" applyNumberFormat="0" applyProtection="0">
      <alignment horizontal="left" vertical="top"/>
    </xf>
    <xf numFmtId="312" fontId="241" fillId="94" borderId="1070" applyBorder="0" applyProtection="0">
      <alignment horizontal="centerContinuous" vertical="center"/>
    </xf>
    <xf numFmtId="246" fontId="296" fillId="0" borderId="1070" applyFill="0" applyProtection="0">
      <alignment horizontal="center"/>
    </xf>
    <xf numFmtId="0" fontId="241" fillId="94" borderId="1250" applyBorder="0" applyProtection="0">
      <alignment horizontal="centerContinuous" vertical="center"/>
    </xf>
    <xf numFmtId="0" fontId="241" fillId="94" borderId="1178" applyBorder="0" applyProtection="0">
      <alignment horizontal="centerContinuous" vertical="center"/>
    </xf>
    <xf numFmtId="246" fontId="249" fillId="0" borderId="4746" applyFill="0" applyProtection="0">
      <alignment horizontal="center"/>
    </xf>
    <xf numFmtId="0" fontId="210" fillId="0" borderId="1178" applyNumberFormat="0" applyFill="0" applyBorder="0" applyAlignment="0">
      <protection locked="0"/>
    </xf>
    <xf numFmtId="0" fontId="2" fillId="0" borderId="1602" applyNumberFormat="0" applyAlignment="0" applyProtection="0"/>
    <xf numFmtId="264" fontId="12" fillId="14" borderId="1381" applyFont="0" applyFill="0" applyBorder="0" applyAlignment="0" applyProtection="0">
      <alignment horizontal="right"/>
    </xf>
    <xf numFmtId="0" fontId="210" fillId="0" borderId="1381" applyNumberFormat="0" applyFill="0" applyBorder="0" applyAlignment="0">
      <protection locked="0"/>
    </xf>
    <xf numFmtId="246" fontId="249" fillId="0" borderId="1190" applyFill="0" applyProtection="0">
      <alignment horizontal="center"/>
    </xf>
    <xf numFmtId="264" fontId="12" fillId="14" borderId="2093" applyFont="0" applyFill="0" applyBorder="0" applyAlignment="0" applyProtection="0">
      <alignment horizontal="right"/>
    </xf>
    <xf numFmtId="192" fontId="9" fillId="3" borderId="1381">
      <alignment horizontal="right" vertical="center"/>
    </xf>
    <xf numFmtId="0" fontId="166" fillId="0" borderId="1381">
      <alignment horizontal="center"/>
    </xf>
    <xf numFmtId="0" fontId="165" fillId="0" borderId="1381" applyFill="0" applyProtection="0">
      <alignment horizontal="center"/>
    </xf>
    <xf numFmtId="0" fontId="101" fillId="0" borderId="4746" applyBorder="0"/>
    <xf numFmtId="0" fontId="2" fillId="0" borderId="1195" applyNumberFormat="0" applyAlignment="0" applyProtection="0"/>
    <xf numFmtId="0" fontId="214" fillId="0" borderId="1184" applyNumberFormat="0" applyFont="0" applyFill="0" applyAlignment="0" applyProtection="0"/>
    <xf numFmtId="0" fontId="12" fillId="0" borderId="4746" applyNumberFormat="0" applyFill="0" applyBorder="0" applyAlignment="0" applyProtection="0">
      <alignment horizontal="center"/>
    </xf>
    <xf numFmtId="0" fontId="25" fillId="10" borderId="1187" applyNumberFormat="0" applyProtection="0">
      <alignment horizontal="left" vertical="top"/>
    </xf>
    <xf numFmtId="10" fontId="12" fillId="3" borderId="4742" applyNumberFormat="0" applyFont="0" applyFill="0" applyBorder="0" applyAlignment="0">
      <protection locked="0"/>
    </xf>
    <xf numFmtId="180" fontId="9" fillId="3" borderId="1178">
      <alignment horizontal="right" vertical="center"/>
    </xf>
    <xf numFmtId="0" fontId="165" fillId="0" borderId="1178" applyFill="0" applyProtection="0">
      <alignment horizontal="center"/>
    </xf>
    <xf numFmtId="0" fontId="166" fillId="0" borderId="4746">
      <alignment horizontal="center"/>
    </xf>
    <xf numFmtId="0" fontId="25" fillId="10" borderId="2084" applyNumberFormat="0" applyProtection="0">
      <alignment horizontal="left" vertical="top"/>
    </xf>
    <xf numFmtId="246" fontId="250" fillId="0" borderId="1070" applyFill="0" applyProtection="0">
      <alignment horizontal="center"/>
    </xf>
    <xf numFmtId="246" fontId="249" fillId="0" borderId="1070" applyFill="0" applyProtection="0">
      <alignment horizontal="center"/>
    </xf>
    <xf numFmtId="0" fontId="241" fillId="94" borderId="1070" applyBorder="0" applyProtection="0">
      <alignment horizontal="centerContinuous" vertical="center"/>
    </xf>
    <xf numFmtId="254" fontId="240" fillId="0" borderId="1070" applyBorder="0" applyProtection="0">
      <alignment horizontal="right" vertical="center"/>
    </xf>
    <xf numFmtId="190" fontId="159" fillId="0" borderId="2076"/>
    <xf numFmtId="190" fontId="105" fillId="0" borderId="2075" applyNumberFormat="0" applyFill="0" applyBorder="0" applyAlignment="0" applyProtection="0"/>
    <xf numFmtId="10" fontId="12" fillId="3" borderId="2088" applyNumberFormat="0" applyFont="0" applyFill="0" applyBorder="0" applyAlignment="0">
      <protection locked="0"/>
    </xf>
    <xf numFmtId="0" fontId="25" fillId="10" borderId="2084" applyNumberFormat="0" applyProtection="0">
      <alignment horizontal="left" vertical="top"/>
    </xf>
    <xf numFmtId="192" fontId="9" fillId="3" borderId="2120">
      <alignment horizontal="right" vertical="center"/>
    </xf>
    <xf numFmtId="222" fontId="79" fillId="0" borderId="2092" applyBorder="0"/>
    <xf numFmtId="264" fontId="12" fillId="14" borderId="2063" applyFont="0" applyFill="0" applyBorder="0" applyAlignment="0" applyProtection="0">
      <alignment horizontal="right"/>
    </xf>
    <xf numFmtId="0" fontId="25" fillId="10" borderId="2073" applyNumberFormat="0" applyProtection="0">
      <alignment horizontal="left" vertical="top"/>
    </xf>
    <xf numFmtId="4" fontId="226" fillId="80" borderId="2078" applyNumberFormat="0" applyProtection="0">
      <alignment horizontal="right" vertical="center"/>
    </xf>
    <xf numFmtId="293" fontId="234" fillId="10" borderId="4730" applyFont="0" applyProtection="0"/>
    <xf numFmtId="4" fontId="226" fillId="11" borderId="4732" applyNumberFormat="0" applyProtection="0">
      <alignment vertical="center"/>
    </xf>
    <xf numFmtId="2" fontId="12" fillId="60" borderId="4734" applyFont="0" applyFill="0" applyBorder="0" applyAlignment="0" applyProtection="0"/>
    <xf numFmtId="4" fontId="227" fillId="52" borderId="4733" applyNumberFormat="0" applyProtection="0">
      <alignment horizontal="left" vertical="center" indent="1"/>
    </xf>
    <xf numFmtId="10" fontId="12" fillId="3" borderId="4742" applyNumberFormat="0" applyFont="0" applyFill="0" applyBorder="0" applyAlignment="0">
      <protection locked="0"/>
    </xf>
    <xf numFmtId="190" fontId="214" fillId="0" borderId="4792" applyNumberFormat="0" applyFont="0" applyFill="0" applyAlignment="0" applyProtection="0"/>
    <xf numFmtId="186" fontId="140" fillId="3" borderId="4790">
      <alignment horizontal="center" vertical="center"/>
    </xf>
    <xf numFmtId="0" fontId="25" fillId="10" borderId="4740" applyNumberFormat="0" applyProtection="0">
      <alignment horizontal="left" vertical="top"/>
    </xf>
    <xf numFmtId="0" fontId="75" fillId="0" borderId="2097" applyNumberFormat="0" applyFont="0" applyFill="0" applyAlignment="0" applyProtection="0"/>
    <xf numFmtId="248" fontId="46" fillId="0" borderId="4746"/>
    <xf numFmtId="0" fontId="214" fillId="0" borderId="4723" applyNumberFormat="0" applyFont="0" applyFill="0" applyAlignment="0" applyProtection="0"/>
    <xf numFmtId="192" fontId="9" fillId="3" borderId="1369">
      <alignment horizontal="right" vertical="center"/>
    </xf>
    <xf numFmtId="0" fontId="210" fillId="0" borderId="4774" applyNumberFormat="0" applyFill="0" applyBorder="0" applyAlignment="0">
      <protection locked="0"/>
    </xf>
    <xf numFmtId="0" fontId="25" fillId="10" borderId="706" applyNumberFormat="0" applyProtection="0">
      <alignment horizontal="left" vertical="top"/>
    </xf>
    <xf numFmtId="1" fontId="154" fillId="65" borderId="4439" applyNumberFormat="0" applyBorder="0" applyAlignment="0">
      <alignment horizontal="centerContinuous" vertical="center"/>
      <protection locked="0"/>
    </xf>
    <xf numFmtId="5" fontId="114" fillId="0" borderId="4728" applyAlignment="0" applyProtection="0"/>
    <xf numFmtId="0" fontId="48" fillId="0" borderId="2074" applyFont="0" applyFill="0" applyBorder="0" applyAlignment="0" applyProtection="0">
      <alignment horizontal="center"/>
    </xf>
    <xf numFmtId="4" fontId="226" fillId="11" borderId="2078" applyNumberFormat="0" applyProtection="0">
      <alignment vertical="center"/>
    </xf>
    <xf numFmtId="0" fontId="113" fillId="0" borderId="4786" applyNumberFormat="0" applyFill="0" applyAlignment="0" applyProtection="0"/>
    <xf numFmtId="190" fontId="12" fillId="0" borderId="2075" applyNumberFormat="0" applyFill="0" applyBorder="0" applyAlignment="0" applyProtection="0"/>
    <xf numFmtId="4" fontId="226" fillId="79" borderId="4732" applyNumberFormat="0" applyProtection="0">
      <alignment horizontal="right" vertical="center"/>
    </xf>
    <xf numFmtId="0" fontId="113" fillId="0" borderId="1369" applyNumberFormat="0" applyFill="0" applyAlignment="0" applyProtection="0"/>
    <xf numFmtId="0" fontId="166" fillId="0" borderId="1369">
      <alignment horizontal="center"/>
    </xf>
    <xf numFmtId="0" fontId="12" fillId="0" borderId="1441" applyNumberFormat="0" applyFill="0" applyBorder="0" applyAlignment="0" applyProtection="0">
      <alignment horizontal="center"/>
    </xf>
    <xf numFmtId="186" fontId="140" fillId="3" borderId="1373">
      <alignment horizontal="center" vertical="center"/>
    </xf>
    <xf numFmtId="186" fontId="48" fillId="3" borderId="2074">
      <alignment vertical="center"/>
    </xf>
    <xf numFmtId="0" fontId="210" fillId="0" borderId="1070" applyNumberFormat="0" applyFill="0" applyBorder="0" applyAlignment="0">
      <protection locked="0"/>
    </xf>
    <xf numFmtId="312" fontId="159" fillId="67" borderId="2076"/>
    <xf numFmtId="254" fontId="240" fillId="0" borderId="4810" applyBorder="0" applyProtection="0">
      <alignment horizontal="right" vertical="center"/>
    </xf>
    <xf numFmtId="264" fontId="12" fillId="14" borderId="1070" applyFont="0" applyFill="0" applyBorder="0" applyAlignment="0" applyProtection="0">
      <alignment horizontal="right"/>
    </xf>
    <xf numFmtId="0" fontId="101" fillId="0" borderId="1441" applyBorder="0"/>
    <xf numFmtId="192" fontId="9" fillId="3" borderId="1178">
      <alignment horizontal="right" vertical="center"/>
    </xf>
    <xf numFmtId="0" fontId="166" fillId="0" borderId="1070">
      <alignment horizontal="center"/>
    </xf>
    <xf numFmtId="0" fontId="165" fillId="0" borderId="1070" applyFill="0" applyProtection="0">
      <alignment horizontal="center"/>
    </xf>
    <xf numFmtId="246" fontId="250" fillId="0" borderId="2156" applyFill="0" applyProtection="0">
      <alignment horizontal="center"/>
    </xf>
    <xf numFmtId="0" fontId="113" fillId="0" borderId="1441" applyNumberFormat="0" applyFill="0" applyAlignment="0" applyProtection="0"/>
    <xf numFmtId="248" fontId="46" fillId="0" borderId="4746"/>
    <xf numFmtId="312" fontId="25" fillId="10" borderId="2142" applyNumberFormat="0" applyProtection="0">
      <alignment horizontal="left" vertical="top"/>
    </xf>
    <xf numFmtId="0" fontId="78" fillId="14" borderId="4776" applyFont="0" applyFill="0" applyBorder="0" applyAlignment="0" applyProtection="0"/>
    <xf numFmtId="186" fontId="140" fillId="3" borderId="990">
      <alignment horizontal="center" vertical="center"/>
    </xf>
    <xf numFmtId="186" fontId="146" fillId="3" borderId="917">
      <alignment horizontal="left"/>
    </xf>
    <xf numFmtId="186" fontId="146" fillId="3" borderId="1070" applyBorder="0">
      <alignment horizontal="left" vertical="center"/>
    </xf>
    <xf numFmtId="180" fontId="9" fillId="3" borderId="1070">
      <alignment horizontal="right" vertical="center"/>
    </xf>
    <xf numFmtId="192" fontId="9" fillId="3" borderId="1070">
      <alignment horizontal="right" vertical="center"/>
    </xf>
    <xf numFmtId="0" fontId="101" fillId="0" borderId="1070" applyBorder="0"/>
    <xf numFmtId="190" fontId="25" fillId="10" borderId="2140" applyNumberFormat="0" applyProtection="0">
      <alignment horizontal="left" vertical="top"/>
    </xf>
    <xf numFmtId="248" fontId="46" fillId="0" borderId="1226"/>
    <xf numFmtId="246" fontId="249" fillId="0" borderId="1070" applyFill="0" applyProtection="0">
      <alignment horizontal="center"/>
    </xf>
    <xf numFmtId="0" fontId="276" fillId="54" borderId="2094" applyNumberFormat="0" applyAlignment="0" applyProtection="0"/>
    <xf numFmtId="0" fontId="12" fillId="75" borderId="2078" applyNumberFormat="0" applyProtection="0">
      <alignment horizontal="left" vertical="top" indent="1"/>
    </xf>
    <xf numFmtId="248" fontId="46" fillId="0" borderId="1070"/>
    <xf numFmtId="0" fontId="78" fillId="14" borderId="1024" applyFont="0" applyFill="0" applyBorder="0" applyAlignment="0" applyProtection="0"/>
    <xf numFmtId="0" fontId="12" fillId="0" borderId="1070" applyNumberFormat="0" applyFill="0" applyBorder="0" applyAlignment="0" applyProtection="0">
      <alignment horizontal="center"/>
    </xf>
    <xf numFmtId="186" fontId="146" fillId="3" borderId="1238" applyBorder="0">
      <alignment horizontal="left" vertical="center"/>
    </xf>
    <xf numFmtId="0" fontId="75" fillId="0" borderId="915" applyNumberFormat="0" applyFont="0" applyFill="0" applyAlignment="0" applyProtection="0"/>
    <xf numFmtId="0" fontId="113" fillId="0" borderId="1070" applyNumberFormat="0" applyFill="0" applyAlignment="0" applyProtection="0"/>
    <xf numFmtId="0" fontId="25" fillId="10" borderId="1451" applyNumberFormat="0" applyProtection="0">
      <alignment horizontal="left" vertical="top"/>
    </xf>
    <xf numFmtId="186" fontId="146" fillId="3" borderId="1372">
      <alignment horizontal="left"/>
    </xf>
    <xf numFmtId="0" fontId="75" fillId="0" borderId="1370" applyNumberFormat="0" applyFont="0" applyFill="0" applyAlignment="0" applyProtection="0"/>
    <xf numFmtId="222" fontId="79" fillId="0" borderId="1069" applyBorder="0"/>
    <xf numFmtId="0" fontId="101" fillId="0" borderId="1070" applyBorder="0"/>
    <xf numFmtId="186" fontId="146" fillId="3" borderId="1369" applyBorder="0">
      <alignment horizontal="left" vertical="center"/>
    </xf>
    <xf numFmtId="0" fontId="101" fillId="0" borderId="1369" applyBorder="0"/>
    <xf numFmtId="0" fontId="25" fillId="10" borderId="2139" applyNumberFormat="0" applyProtection="0">
      <alignment horizontal="left" vertical="top"/>
    </xf>
    <xf numFmtId="186" fontId="140" fillId="3" borderId="4721">
      <alignment horizontal="center" vertical="center"/>
    </xf>
    <xf numFmtId="0" fontId="12" fillId="0" borderId="4746" applyNumberFormat="0" applyFill="0" applyBorder="0" applyAlignment="0" applyProtection="0">
      <alignment horizontal="center"/>
    </xf>
    <xf numFmtId="0" fontId="12" fillId="0" borderId="4762" applyNumberFormat="0" applyFill="0" applyBorder="0" applyAlignment="0" applyProtection="0">
      <alignment horizontal="center"/>
    </xf>
    <xf numFmtId="0" fontId="25" fillId="10" borderId="4730" applyNumberFormat="0" applyProtection="0">
      <alignment horizontal="center" vertical="top"/>
    </xf>
    <xf numFmtId="243" fontId="48" fillId="0" borderId="100" applyFont="0" applyFill="0" applyBorder="0" applyAlignment="0" applyProtection="0"/>
    <xf numFmtId="0" fontId="25" fillId="10" borderId="4808" applyNumberFormat="0" applyProtection="0">
      <alignment horizontal="left" vertical="top"/>
    </xf>
    <xf numFmtId="188" fontId="25" fillId="0" borderId="2090" applyFont="0" applyFill="0" applyBorder="0" applyAlignment="0" applyProtection="0">
      <alignment horizontal="center"/>
    </xf>
    <xf numFmtId="0" fontId="25" fillId="10" borderId="2073" applyNumberFormat="0" applyProtection="0">
      <alignment horizontal="left" vertical="top"/>
    </xf>
    <xf numFmtId="186" fontId="146" fillId="3" borderId="4810" applyBorder="0">
      <alignment horizontal="left" vertical="center"/>
    </xf>
    <xf numFmtId="1" fontId="154" fillId="65" borderId="4821" applyNumberFormat="0" applyBorder="0" applyAlignment="0">
      <alignment horizontal="centerContinuous" vertical="center"/>
      <protection locked="0"/>
    </xf>
    <xf numFmtId="186" fontId="146" fillId="3" borderId="4810" applyBorder="0">
      <alignment horizontal="left" vertical="center"/>
    </xf>
    <xf numFmtId="0" fontId="25" fillId="10" borderId="1077" applyNumberFormat="0" applyProtection="0">
      <alignment horizontal="left" vertical="top"/>
    </xf>
    <xf numFmtId="0" fontId="25" fillId="10" borderId="1078" applyNumberFormat="0" applyProtection="0">
      <alignment horizontal="left" vertical="top"/>
    </xf>
    <xf numFmtId="0" fontId="25" fillId="10" borderId="1079" applyNumberFormat="0" applyProtection="0">
      <alignment horizontal="left" vertical="top"/>
    </xf>
    <xf numFmtId="0" fontId="25" fillId="10" borderId="1080" applyNumberFormat="0" applyProtection="0">
      <alignment horizontal="left" vertical="top"/>
    </xf>
    <xf numFmtId="0" fontId="75" fillId="0" borderId="4718" applyNumberFormat="0" applyFont="0" applyFill="0" applyAlignment="0" applyProtection="0"/>
    <xf numFmtId="0" fontId="12" fillId="52" borderId="4732" applyNumberFormat="0" applyProtection="0">
      <alignment horizontal="left" vertical="center" indent="1"/>
    </xf>
    <xf numFmtId="0" fontId="12" fillId="75" borderId="4732" applyNumberFormat="0" applyProtection="0">
      <alignment horizontal="left" vertical="center" indent="1"/>
    </xf>
    <xf numFmtId="254" fontId="240" fillId="0" borderId="5813" applyBorder="0" applyProtection="0">
      <alignment horizontal="right" vertical="center"/>
    </xf>
    <xf numFmtId="0" fontId="46" fillId="0" borderId="2075" applyNumberFormat="0" applyFill="0" applyBorder="0" applyAlignment="0" applyProtection="0"/>
    <xf numFmtId="4" fontId="226" fillId="82" borderId="2078" applyNumberFormat="0" applyProtection="0">
      <alignment horizontal="right" vertical="center"/>
    </xf>
    <xf numFmtId="186" fontId="146" fillId="3" borderId="2132" applyBorder="0">
      <alignment horizontal="left" vertical="center"/>
    </xf>
    <xf numFmtId="0" fontId="12" fillId="3" borderId="4730" applyNumberFormat="0" applyFont="0" applyAlignment="0" applyProtection="0"/>
    <xf numFmtId="0" fontId="288" fillId="0" borderId="2096" applyNumberFormat="0" applyFill="0" applyAlignment="0" applyProtection="0"/>
    <xf numFmtId="0" fontId="25" fillId="10" borderId="2070" applyNumberFormat="0" applyProtection="0">
      <alignment horizontal="left" vertical="top"/>
    </xf>
    <xf numFmtId="0" fontId="166" fillId="0" borderId="2120">
      <alignment horizontal="center"/>
    </xf>
    <xf numFmtId="293" fontId="234" fillId="10" borderId="2076" applyFont="0" applyProtection="0"/>
    <xf numFmtId="0" fontId="75" fillId="0" borderId="2254" applyNumberFormat="0" applyFont="0" applyFill="0" applyAlignment="0" applyProtection="0"/>
    <xf numFmtId="0" fontId="113" fillId="0" borderId="1178" applyNumberFormat="0" applyFill="0" applyAlignment="0" applyProtection="0"/>
    <xf numFmtId="222" fontId="79" fillId="0" borderId="1189" applyBorder="0"/>
    <xf numFmtId="0" fontId="25" fillId="10" borderId="1185" applyNumberFormat="0" applyProtection="0">
      <alignment horizontal="left" vertical="top"/>
    </xf>
    <xf numFmtId="0" fontId="165" fillId="0" borderId="1190" applyFill="0" applyProtection="0">
      <alignment horizontal="center"/>
    </xf>
    <xf numFmtId="0" fontId="25" fillId="10" borderId="1198" applyNumberFormat="0" applyProtection="0">
      <alignment horizontal="left" vertical="top"/>
    </xf>
    <xf numFmtId="222" fontId="79" fillId="0" borderId="1189" applyBorder="0"/>
    <xf numFmtId="0" fontId="2" fillId="0" borderId="1183" applyNumberFormat="0" applyAlignment="0" applyProtection="0"/>
    <xf numFmtId="0" fontId="12" fillId="0" borderId="2075" applyNumberFormat="0" applyFill="0" applyBorder="0" applyAlignment="0" applyProtection="0"/>
    <xf numFmtId="0" fontId="25" fillId="10" borderId="1188" applyNumberFormat="0" applyProtection="0">
      <alignment horizontal="left" vertical="top"/>
    </xf>
    <xf numFmtId="0" fontId="25" fillId="10" borderId="4730" applyNumberFormat="0" applyProtection="0">
      <alignment horizontal="center" vertical="top"/>
    </xf>
    <xf numFmtId="4" fontId="228" fillId="11" borderId="2078" applyNumberFormat="0" applyProtection="0">
      <alignment horizontal="right" vertical="center"/>
    </xf>
    <xf numFmtId="222" fontId="79" fillId="0" borderId="2264" applyBorder="0"/>
    <xf numFmtId="246" fontId="250" fillId="0" borderId="1034" applyFill="0" applyProtection="0">
      <alignment horizontal="center"/>
    </xf>
    <xf numFmtId="246" fontId="249" fillId="0" borderId="1034" applyFill="0" applyProtection="0">
      <alignment horizontal="center"/>
    </xf>
    <xf numFmtId="0" fontId="241" fillId="94" borderId="1034" applyBorder="0" applyProtection="0">
      <alignment horizontal="centerContinuous" vertical="center"/>
    </xf>
    <xf numFmtId="254" fontId="240" fillId="0" borderId="1034" applyBorder="0" applyProtection="0">
      <alignment horizontal="right" vertical="center"/>
    </xf>
    <xf numFmtId="0" fontId="210" fillId="0" borderId="1034" applyNumberFormat="0" applyFill="0" applyBorder="0" applyAlignment="0">
      <protection locked="0"/>
    </xf>
    <xf numFmtId="264" fontId="12" fillId="14" borderId="1034" applyFont="0" applyFill="0" applyBorder="0" applyAlignment="0" applyProtection="0">
      <alignment horizontal="right"/>
    </xf>
    <xf numFmtId="0" fontId="166" fillId="0" borderId="1034">
      <alignment horizontal="center"/>
    </xf>
    <xf numFmtId="0" fontId="165" fillId="0" borderId="1034" applyFill="0" applyProtection="0">
      <alignment horizontal="center"/>
    </xf>
    <xf numFmtId="186" fontId="146" fillId="3" borderId="1034" applyBorder="0">
      <alignment horizontal="left" vertical="center"/>
    </xf>
    <xf numFmtId="180" fontId="9" fillId="3" borderId="1034">
      <alignment horizontal="right" vertical="center"/>
    </xf>
    <xf numFmtId="192" fontId="9" fillId="3" borderId="1034">
      <alignment horizontal="right" vertical="center"/>
    </xf>
    <xf numFmtId="248" fontId="46" fillId="0" borderId="1034"/>
    <xf numFmtId="0" fontId="12" fillId="0" borderId="1034" applyNumberFormat="0" applyFill="0" applyBorder="0" applyAlignment="0" applyProtection="0">
      <alignment horizontal="center"/>
    </xf>
    <xf numFmtId="0" fontId="113" fillId="0" borderId="1034" applyNumberFormat="0" applyFill="0" applyAlignment="0" applyProtection="0"/>
    <xf numFmtId="222" fontId="79" fillId="0" borderId="1021" applyBorder="0"/>
    <xf numFmtId="0" fontId="101" fillId="0" borderId="1034" applyBorder="0"/>
    <xf numFmtId="312" fontId="12" fillId="75" borderId="2078" applyNumberFormat="0" applyProtection="0">
      <alignment horizontal="left" vertical="center" indent="1"/>
    </xf>
    <xf numFmtId="246" fontId="250" fillId="0" borderId="1034" applyFill="0" applyProtection="0">
      <alignment horizontal="center"/>
    </xf>
    <xf numFmtId="246" fontId="249" fillId="0" borderId="1034" applyFill="0" applyProtection="0">
      <alignment horizontal="center"/>
    </xf>
    <xf numFmtId="0" fontId="241" fillId="94" borderId="1034" applyBorder="0" applyProtection="0">
      <alignment horizontal="centerContinuous" vertical="center"/>
    </xf>
    <xf numFmtId="254" fontId="240" fillId="0" borderId="1034" applyBorder="0" applyProtection="0">
      <alignment horizontal="right" vertical="center"/>
    </xf>
    <xf numFmtId="0" fontId="113" fillId="0" borderId="4762" applyNumberFormat="0" applyFill="0" applyAlignment="0" applyProtection="0"/>
    <xf numFmtId="190" fontId="113" fillId="0" borderId="4810" applyNumberFormat="0" applyFill="0" applyAlignment="0" applyProtection="0"/>
    <xf numFmtId="222" fontId="79" fillId="0" borderId="2155" applyBorder="0"/>
    <xf numFmtId="293" fontId="234" fillId="10" borderId="2076" applyFont="0" applyProtection="0"/>
    <xf numFmtId="246" fontId="250" fillId="0" borderId="2120" applyFill="0" applyProtection="0">
      <alignment horizontal="center"/>
    </xf>
    <xf numFmtId="0" fontId="25" fillId="10" borderId="2106" applyNumberFormat="0" applyProtection="0">
      <alignment horizontal="left" vertical="top"/>
    </xf>
    <xf numFmtId="293" fontId="234" fillId="3" borderId="4730" applyFont="0" applyProtection="0"/>
    <xf numFmtId="0" fontId="12" fillId="75" borderId="2078" applyNumberFormat="0" applyProtection="0">
      <alignment horizontal="left" vertical="center" indent="1"/>
    </xf>
    <xf numFmtId="0" fontId="25" fillId="10" borderId="4739" applyNumberFormat="0" applyProtection="0">
      <alignment horizontal="left" vertical="top"/>
    </xf>
    <xf numFmtId="0" fontId="48" fillId="0" borderId="2074" applyFont="0" applyFill="0" applyBorder="0" applyAlignment="0" applyProtection="0">
      <alignment horizontal="center"/>
    </xf>
    <xf numFmtId="4" fontId="226" fillId="80" borderId="4732" applyNumberFormat="0" applyProtection="0">
      <alignment horizontal="right" vertical="center"/>
    </xf>
    <xf numFmtId="190" fontId="46" fillId="0" borderId="4729" applyNumberFormat="0" applyFill="0" applyBorder="0" applyAlignment="0" applyProtection="0"/>
    <xf numFmtId="10" fontId="12" fillId="3" borderId="4742" applyNumberFormat="0" applyFont="0" applyFill="0" applyBorder="0" applyAlignment="0">
      <protection locked="0"/>
    </xf>
    <xf numFmtId="246" fontId="250" fillId="0" borderId="4798" applyFill="0" applyProtection="0">
      <alignment horizontal="center"/>
    </xf>
    <xf numFmtId="186" fontId="146" fillId="3" borderId="4813">
      <alignment horizontal="left"/>
    </xf>
    <xf numFmtId="0" fontId="5" fillId="0" borderId="2090">
      <alignment horizontal="left" vertical="center"/>
    </xf>
    <xf numFmtId="222" fontId="79" fillId="0" borderId="4743" applyBorder="0"/>
    <xf numFmtId="248" fontId="46" fillId="0" borderId="1369"/>
    <xf numFmtId="0" fontId="25" fillId="10" borderId="707" applyNumberFormat="0" applyProtection="0">
      <alignment horizontal="left" vertical="top"/>
    </xf>
    <xf numFmtId="0" fontId="2" fillId="0" borderId="2149" applyNumberFormat="0" applyAlignment="0" applyProtection="0"/>
    <xf numFmtId="0" fontId="78" fillId="14" borderId="4719" applyFont="0" applyFill="0" applyBorder="0" applyAlignment="0" applyProtection="0"/>
    <xf numFmtId="186" fontId="140" fillId="3" borderId="4721">
      <alignment horizontal="center" vertical="center"/>
    </xf>
    <xf numFmtId="192" fontId="9" fillId="3" borderId="1369">
      <alignment horizontal="right" vertical="center"/>
    </xf>
    <xf numFmtId="0" fontId="210" fillId="0" borderId="1034" applyNumberFormat="0" applyFill="0" applyBorder="0" applyAlignment="0">
      <protection locked="0"/>
    </xf>
    <xf numFmtId="0" fontId="12" fillId="0" borderId="4746" applyNumberFormat="0" applyFill="0" applyBorder="0" applyAlignment="0" applyProtection="0">
      <alignment horizontal="center"/>
    </xf>
    <xf numFmtId="264" fontId="12" fillId="14" borderId="1034" applyFont="0" applyFill="0" applyBorder="0" applyAlignment="0" applyProtection="0">
      <alignment horizontal="right"/>
    </xf>
    <xf numFmtId="0" fontId="166" fillId="0" borderId="1034">
      <alignment horizontal="center"/>
    </xf>
    <xf numFmtId="0" fontId="165" fillId="0" borderId="1034" applyFill="0" applyProtection="0">
      <alignment horizontal="center"/>
    </xf>
    <xf numFmtId="186" fontId="146" fillId="3" borderId="1034" applyBorder="0">
      <alignment horizontal="left" vertical="center"/>
    </xf>
    <xf numFmtId="180" fontId="9" fillId="3" borderId="1034">
      <alignment horizontal="right" vertical="center"/>
    </xf>
    <xf numFmtId="192" fontId="9" fillId="3" borderId="1034">
      <alignment horizontal="right" vertical="center"/>
    </xf>
    <xf numFmtId="0" fontId="12" fillId="0" borderId="4798" applyNumberFormat="0" applyFill="0" applyBorder="0" applyAlignment="0" applyProtection="0">
      <alignment horizontal="center"/>
    </xf>
    <xf numFmtId="0" fontId="25" fillId="10" borderId="2083" applyNumberFormat="0" applyProtection="0">
      <alignment horizontal="left" vertical="top"/>
    </xf>
    <xf numFmtId="0" fontId="12" fillId="0" borderId="1034" applyNumberFormat="0" applyFill="0" applyBorder="0" applyAlignment="0" applyProtection="0">
      <alignment horizontal="center"/>
    </xf>
    <xf numFmtId="180" fontId="9" fillId="3" borderId="1238">
      <alignment horizontal="right" vertical="center"/>
    </xf>
    <xf numFmtId="0" fontId="113" fillId="0" borderId="1034" applyNumberFormat="0" applyFill="0" applyAlignment="0" applyProtection="0"/>
    <xf numFmtId="264" fontId="12" fillId="14" borderId="1441" applyFont="0" applyFill="0" applyBorder="0" applyAlignment="0" applyProtection="0">
      <alignment horizontal="right"/>
    </xf>
    <xf numFmtId="0" fontId="78" fillId="14" borderId="1371" applyFont="0" applyFill="0" applyBorder="0" applyAlignment="0" applyProtection="0"/>
    <xf numFmtId="293" fontId="234" fillId="10" borderId="2076" applyFont="0" applyProtection="0"/>
    <xf numFmtId="222" fontId="79" fillId="0" borderId="1021" applyBorder="0"/>
    <xf numFmtId="0" fontId="101" fillId="0" borderId="1034" applyBorder="0"/>
    <xf numFmtId="222" fontId="79" fillId="0" borderId="4743" applyBorder="0"/>
    <xf numFmtId="248" fontId="46" fillId="0" borderId="1034"/>
    <xf numFmtId="246" fontId="250" fillId="0" borderId="1034" applyFill="0" applyProtection="0">
      <alignment horizontal="center"/>
    </xf>
    <xf numFmtId="246" fontId="249" fillId="0" borderId="1034" applyFill="0" applyProtection="0">
      <alignment horizontal="center"/>
    </xf>
    <xf numFmtId="0" fontId="241" fillId="94" borderId="1034" applyBorder="0" applyProtection="0">
      <alignment horizontal="centerContinuous" vertical="center"/>
    </xf>
    <xf numFmtId="254" fontId="240" fillId="0" borderId="1034" applyBorder="0" applyProtection="0">
      <alignment horizontal="right" vertical="center"/>
    </xf>
    <xf numFmtId="0" fontId="210" fillId="0" borderId="1034" applyNumberFormat="0" applyFill="0" applyBorder="0" applyAlignment="0">
      <protection locked="0"/>
    </xf>
    <xf numFmtId="264" fontId="12" fillId="14" borderId="1034" applyFont="0" applyFill="0" applyBorder="0" applyAlignment="0" applyProtection="0">
      <alignment horizontal="right"/>
    </xf>
    <xf numFmtId="0" fontId="166" fillId="0" borderId="1034">
      <alignment horizontal="center"/>
    </xf>
    <xf numFmtId="0" fontId="165" fillId="0" borderId="1034" applyFill="0" applyProtection="0">
      <alignment horizontal="center"/>
    </xf>
    <xf numFmtId="186" fontId="146" fillId="3" borderId="1034" applyBorder="0">
      <alignment horizontal="left" vertical="center"/>
    </xf>
    <xf numFmtId="180" fontId="9" fillId="3" borderId="1034">
      <alignment horizontal="right" vertical="center"/>
    </xf>
    <xf numFmtId="192" fontId="9" fillId="3" borderId="1034">
      <alignment horizontal="right" vertical="center"/>
    </xf>
    <xf numFmtId="248" fontId="46" fillId="0" borderId="1034"/>
    <xf numFmtId="0" fontId="12" fillId="0" borderId="1034" applyNumberFormat="0" applyFill="0" applyBorder="0" applyAlignment="0" applyProtection="0">
      <alignment horizontal="center"/>
    </xf>
    <xf numFmtId="0" fontId="113" fillId="0" borderId="1034" applyNumberFormat="0" applyFill="0" applyAlignment="0" applyProtection="0"/>
    <xf numFmtId="222" fontId="79" fillId="0" borderId="1021" applyBorder="0"/>
    <xf numFmtId="0" fontId="101" fillId="0" borderId="1034" applyBorder="0"/>
    <xf numFmtId="246" fontId="250" fillId="0" borderId="1178" applyFill="0" applyProtection="0">
      <alignment horizontal="center"/>
    </xf>
    <xf numFmtId="0" fontId="166" fillId="0" borderId="1250">
      <alignment horizontal="center"/>
    </xf>
    <xf numFmtId="222" fontId="79" fillId="0" borderId="1069" applyBorder="0"/>
    <xf numFmtId="192" fontId="9" fillId="3" borderId="1441">
      <alignment horizontal="right" vertical="center"/>
    </xf>
    <xf numFmtId="222" fontId="79" fillId="0" borderId="1081" applyBorder="0"/>
    <xf numFmtId="0" fontId="101" fillId="0" borderId="1082" applyBorder="0"/>
    <xf numFmtId="222" fontId="79" fillId="0" borderId="1081" applyBorder="0"/>
    <xf numFmtId="0" fontId="113" fillId="0" borderId="1082" applyNumberFormat="0" applyFill="0" applyAlignment="0" applyProtection="0"/>
    <xf numFmtId="0" fontId="12" fillId="0" borderId="1082" applyNumberFormat="0" applyFill="0" applyBorder="0" applyAlignment="0" applyProtection="0">
      <alignment horizontal="center"/>
    </xf>
    <xf numFmtId="248" fontId="46" fillId="0" borderId="1082"/>
    <xf numFmtId="192" fontId="9" fillId="3" borderId="1082">
      <alignment horizontal="right" vertical="center"/>
    </xf>
    <xf numFmtId="180" fontId="9" fillId="3" borderId="1082">
      <alignment horizontal="right" vertical="center"/>
    </xf>
    <xf numFmtId="186" fontId="146" fillId="3" borderId="1082" applyBorder="0">
      <alignment horizontal="left" vertical="center"/>
    </xf>
    <xf numFmtId="0" fontId="165" fillId="0" borderId="1082" applyFill="0" applyProtection="0">
      <alignment horizontal="center"/>
    </xf>
    <xf numFmtId="0" fontId="166" fillId="0" borderId="1082">
      <alignment horizontal="center"/>
    </xf>
    <xf numFmtId="264" fontId="12" fillId="14" borderId="1082" applyFont="0" applyFill="0" applyBorder="0" applyAlignment="0" applyProtection="0">
      <alignment horizontal="right"/>
    </xf>
    <xf numFmtId="0" fontId="210" fillId="0" borderId="1082" applyNumberFormat="0" applyFill="0" applyBorder="0" applyAlignment="0">
      <protection locked="0"/>
    </xf>
    <xf numFmtId="254" fontId="240" fillId="0" borderId="1082" applyBorder="0" applyProtection="0">
      <alignment horizontal="right" vertical="center"/>
    </xf>
    <xf numFmtId="0" fontId="241" fillId="94" borderId="1082" applyBorder="0" applyProtection="0">
      <alignment horizontal="centerContinuous" vertical="center"/>
    </xf>
    <xf numFmtId="246" fontId="249" fillId="0" borderId="1082" applyFill="0" applyProtection="0">
      <alignment horizontal="center"/>
    </xf>
    <xf numFmtId="246" fontId="250" fillId="0" borderId="1082" applyFill="0" applyProtection="0">
      <alignment horizontal="center"/>
    </xf>
    <xf numFmtId="0" fontId="78" fillId="14" borderId="1084" applyFont="0" applyFill="0" applyBorder="0" applyAlignment="0" applyProtection="0"/>
    <xf numFmtId="0" fontId="25" fillId="10" borderId="1092" applyNumberFormat="0" applyProtection="0">
      <alignment horizontal="left" vertical="top"/>
    </xf>
    <xf numFmtId="0" fontId="25" fillId="10" borderId="1091" applyNumberFormat="0" applyProtection="0">
      <alignment horizontal="left" vertical="top"/>
    </xf>
    <xf numFmtId="0" fontId="25" fillId="10" borderId="1090" applyNumberFormat="0" applyProtection="0">
      <alignment horizontal="left" vertical="top"/>
    </xf>
    <xf numFmtId="0" fontId="25" fillId="10" borderId="1089" applyNumberFormat="0" applyProtection="0">
      <alignment horizontal="left" vertical="top"/>
    </xf>
    <xf numFmtId="0" fontId="214" fillId="0" borderId="1088" applyNumberFormat="0" applyFont="0" applyFill="0" applyAlignment="0" applyProtection="0"/>
    <xf numFmtId="0" fontId="2" fillId="0" borderId="1087" applyNumberFormat="0" applyAlignment="0" applyProtection="0"/>
    <xf numFmtId="186" fontId="140" fillId="3" borderId="1086">
      <alignment horizontal="center" vertical="center"/>
    </xf>
    <xf numFmtId="186" fontId="146" fillId="3" borderId="1085">
      <alignment horizontal="left"/>
    </xf>
    <xf numFmtId="0" fontId="75" fillId="0" borderId="1083" applyNumberFormat="0" applyFont="0" applyFill="0" applyAlignment="0" applyProtection="0"/>
    <xf numFmtId="222" fontId="79" fillId="0" borderId="1093" applyBorder="0"/>
    <xf numFmtId="0" fontId="101" fillId="0" borderId="1094" applyBorder="0"/>
    <xf numFmtId="222" fontId="79" fillId="0" borderId="1093" applyBorder="0"/>
    <xf numFmtId="0" fontId="113" fillId="0" borderId="1094" applyNumberFormat="0" applyFill="0" applyAlignment="0" applyProtection="0"/>
    <xf numFmtId="0" fontId="12" fillId="0" borderId="1094" applyNumberFormat="0" applyFill="0" applyBorder="0" applyAlignment="0" applyProtection="0">
      <alignment horizontal="center"/>
    </xf>
    <xf numFmtId="248" fontId="46" fillId="0" borderId="1094"/>
    <xf numFmtId="192" fontId="9" fillId="3" borderId="1094">
      <alignment horizontal="right" vertical="center"/>
    </xf>
    <xf numFmtId="180" fontId="9" fillId="3" borderId="1094">
      <alignment horizontal="right" vertical="center"/>
    </xf>
    <xf numFmtId="186" fontId="146" fillId="3" borderId="1094" applyBorder="0">
      <alignment horizontal="left" vertical="center"/>
    </xf>
    <xf numFmtId="0" fontId="165" fillId="0" borderId="1094" applyFill="0" applyProtection="0">
      <alignment horizontal="center"/>
    </xf>
    <xf numFmtId="0" fontId="166" fillId="0" borderId="1094">
      <alignment horizontal="center"/>
    </xf>
    <xf numFmtId="264" fontId="12" fillId="14" borderId="1094" applyFont="0" applyFill="0" applyBorder="0" applyAlignment="0" applyProtection="0">
      <alignment horizontal="right"/>
    </xf>
    <xf numFmtId="0" fontId="210" fillId="0" borderId="1094" applyNumberFormat="0" applyFill="0" applyBorder="0" applyAlignment="0">
      <protection locked="0"/>
    </xf>
    <xf numFmtId="254" fontId="240" fillId="0" borderId="1094" applyBorder="0" applyProtection="0">
      <alignment horizontal="right" vertical="center"/>
    </xf>
    <xf numFmtId="0" fontId="241" fillId="94" borderId="1094" applyBorder="0" applyProtection="0">
      <alignment horizontal="centerContinuous" vertical="center"/>
    </xf>
    <xf numFmtId="246" fontId="249" fillId="0" borderId="1094" applyFill="0" applyProtection="0">
      <alignment horizontal="center"/>
    </xf>
    <xf numFmtId="246" fontId="250" fillId="0" borderId="1094" applyFill="0" applyProtection="0">
      <alignment horizontal="center"/>
    </xf>
    <xf numFmtId="186" fontId="146" fillId="3" borderId="1097">
      <alignment horizontal="left"/>
    </xf>
    <xf numFmtId="0" fontId="75" fillId="0" borderId="1095" applyNumberFormat="0" applyFont="0" applyFill="0" applyAlignment="0" applyProtection="0"/>
    <xf numFmtId="0" fontId="113" fillId="0" borderId="1178" applyNumberFormat="0" applyFill="0" applyAlignment="0" applyProtection="0"/>
    <xf numFmtId="264" fontId="12" fillId="14" borderId="1178" applyFont="0" applyFill="0" applyBorder="0" applyAlignment="0" applyProtection="0">
      <alignment horizontal="right"/>
    </xf>
    <xf numFmtId="246" fontId="249" fillId="0" borderId="1178" applyFill="0" applyProtection="0">
      <alignment horizontal="center"/>
    </xf>
    <xf numFmtId="0" fontId="25" fillId="10" borderId="1104" applyNumberFormat="0" applyProtection="0">
      <alignment horizontal="left" vertical="top"/>
    </xf>
    <xf numFmtId="0" fontId="25" fillId="10" borderId="1102" applyNumberFormat="0" applyProtection="0">
      <alignment horizontal="left" vertical="top"/>
    </xf>
    <xf numFmtId="0" fontId="25" fillId="10" borderId="1103" applyNumberFormat="0" applyProtection="0">
      <alignment horizontal="left" vertical="top"/>
    </xf>
    <xf numFmtId="0" fontId="25" fillId="10" borderId="1101" applyNumberFormat="0" applyProtection="0">
      <alignment horizontal="left" vertical="top"/>
    </xf>
    <xf numFmtId="0" fontId="25" fillId="10" borderId="1104" applyNumberFormat="0" applyProtection="0">
      <alignment horizontal="left" vertical="top"/>
    </xf>
    <xf numFmtId="0" fontId="25" fillId="10" borderId="1103" applyNumberFormat="0" applyProtection="0">
      <alignment horizontal="left" vertical="top"/>
    </xf>
    <xf numFmtId="0" fontId="25" fillId="10" borderId="1102" applyNumberFormat="0" applyProtection="0">
      <alignment horizontal="left" vertical="top"/>
    </xf>
    <xf numFmtId="0" fontId="25" fillId="10" borderId="1101" applyNumberFormat="0" applyProtection="0">
      <alignment horizontal="left" vertical="top"/>
    </xf>
    <xf numFmtId="0" fontId="214" fillId="0" borderId="1100" applyNumberFormat="0" applyFont="0" applyFill="0" applyAlignment="0" applyProtection="0"/>
    <xf numFmtId="0" fontId="2" fillId="0" borderId="1099" applyNumberFormat="0" applyAlignment="0" applyProtection="0"/>
    <xf numFmtId="186" fontId="140" fillId="3" borderId="1098">
      <alignment horizontal="center" vertical="center"/>
    </xf>
    <xf numFmtId="186" fontId="140" fillId="3" borderId="1110">
      <alignment horizontal="center" vertical="center"/>
    </xf>
    <xf numFmtId="0" fontId="25" fillId="10" borderId="1113" applyNumberFormat="0" applyProtection="0">
      <alignment horizontal="left" vertical="top"/>
    </xf>
    <xf numFmtId="0" fontId="12" fillId="0" borderId="1178" applyNumberFormat="0" applyFill="0" applyBorder="0" applyAlignment="0" applyProtection="0">
      <alignment horizontal="center"/>
    </xf>
    <xf numFmtId="0" fontId="25" fillId="10" borderId="1175" applyNumberFormat="0" applyProtection="0">
      <alignment horizontal="left" vertical="top"/>
    </xf>
    <xf numFmtId="222" fontId="79" fillId="0" borderId="1165" applyBorder="0"/>
    <xf numFmtId="0" fontId="78" fillId="14" borderId="1168" applyFont="0" applyFill="0" applyBorder="0" applyAlignment="0" applyProtection="0"/>
    <xf numFmtId="222" fontId="79" fillId="0" borderId="1177" applyBorder="0"/>
    <xf numFmtId="0" fontId="101" fillId="0" borderId="1178" applyBorder="0"/>
    <xf numFmtId="222" fontId="79" fillId="0" borderId="1177" applyBorder="0"/>
    <xf numFmtId="248" fontId="46" fillId="0" borderId="1178"/>
    <xf numFmtId="192" fontId="9" fillId="3" borderId="1178">
      <alignment horizontal="right" vertical="center"/>
    </xf>
    <xf numFmtId="180" fontId="9" fillId="3" borderId="1178">
      <alignment horizontal="right" vertical="center"/>
    </xf>
    <xf numFmtId="186" fontId="146" fillId="3" borderId="1178" applyBorder="0">
      <alignment horizontal="left" vertical="center"/>
    </xf>
    <xf numFmtId="0" fontId="165" fillId="0" borderId="1178" applyFill="0" applyProtection="0">
      <alignment horizontal="center"/>
    </xf>
    <xf numFmtId="0" fontId="210" fillId="0" borderId="1178" applyNumberFormat="0" applyFill="0" applyBorder="0" applyAlignment="0">
      <protection locked="0"/>
    </xf>
    <xf numFmtId="254" fontId="240" fillId="0" borderId="1178" applyBorder="0" applyProtection="0">
      <alignment horizontal="right" vertical="center"/>
    </xf>
    <xf numFmtId="246" fontId="250" fillId="0" borderId="1178" applyFill="0" applyProtection="0">
      <alignment horizontal="center"/>
    </xf>
    <xf numFmtId="222" fontId="79" fillId="0" borderId="1117" applyBorder="0"/>
    <xf numFmtId="0" fontId="25" fillId="10" borderId="1114" applyNumberFormat="0" applyProtection="0">
      <alignment horizontal="left" vertical="top"/>
    </xf>
    <xf numFmtId="0" fontId="25" fillId="10" borderId="1116" applyNumberFormat="0" applyProtection="0">
      <alignment horizontal="left" vertical="top"/>
    </xf>
    <xf numFmtId="0" fontId="25" fillId="10" borderId="1113" applyNumberFormat="0" applyProtection="0">
      <alignment horizontal="left" vertical="top"/>
    </xf>
    <xf numFmtId="0" fontId="25" fillId="10" borderId="1114" applyNumberFormat="0" applyProtection="0">
      <alignment horizontal="left" vertical="top"/>
    </xf>
    <xf numFmtId="0" fontId="25" fillId="10" borderId="1115" applyNumberFormat="0" applyProtection="0">
      <alignment horizontal="left" vertical="top"/>
    </xf>
    <xf numFmtId="0" fontId="75" fillId="0" borderId="1119" applyNumberFormat="0" applyFont="0" applyFill="0" applyAlignment="0" applyProtection="0"/>
    <xf numFmtId="0" fontId="101" fillId="0" borderId="1130" applyBorder="0"/>
    <xf numFmtId="222" fontId="79" fillId="0" borderId="1129" applyBorder="0"/>
    <xf numFmtId="0" fontId="113" fillId="0" borderId="1130" applyNumberFormat="0" applyFill="0" applyAlignment="0" applyProtection="0"/>
    <xf numFmtId="0" fontId="12" fillId="0" borderId="1130" applyNumberFormat="0" applyFill="0" applyBorder="0" applyAlignment="0" applyProtection="0">
      <alignment horizontal="center"/>
    </xf>
    <xf numFmtId="248" fontId="46" fillId="0" borderId="1130"/>
    <xf numFmtId="192" fontId="9" fillId="3" borderId="1130">
      <alignment horizontal="right" vertical="center"/>
    </xf>
    <xf numFmtId="180" fontId="9" fillId="3" borderId="1130">
      <alignment horizontal="right" vertical="center"/>
    </xf>
    <xf numFmtId="186" fontId="146" fillId="3" borderId="1130" applyBorder="0">
      <alignment horizontal="left" vertical="center"/>
    </xf>
    <xf numFmtId="0" fontId="166" fillId="0" borderId="1130">
      <alignment horizontal="center"/>
    </xf>
    <xf numFmtId="0" fontId="210" fillId="0" borderId="1130" applyNumberFormat="0" applyFill="0" applyBorder="0" applyAlignment="0">
      <protection locked="0"/>
    </xf>
    <xf numFmtId="264" fontId="12" fillId="14" borderId="1130" applyFont="0" applyFill="0" applyBorder="0" applyAlignment="0" applyProtection="0">
      <alignment horizontal="right"/>
    </xf>
    <xf numFmtId="246" fontId="249" fillId="0" borderId="1130" applyFill="0" applyProtection="0">
      <alignment horizontal="center"/>
    </xf>
    <xf numFmtId="246" fontId="250" fillId="0" borderId="1130" applyFill="0" applyProtection="0">
      <alignment horizontal="center"/>
    </xf>
    <xf numFmtId="246" fontId="250" fillId="0" borderId="1154" applyFill="0" applyProtection="0">
      <alignment horizontal="center"/>
    </xf>
    <xf numFmtId="246" fontId="249" fillId="0" borderId="1154" applyFill="0" applyProtection="0">
      <alignment horizontal="center"/>
    </xf>
    <xf numFmtId="254" fontId="240" fillId="0" borderId="1154" applyBorder="0" applyProtection="0">
      <alignment horizontal="right" vertical="center"/>
    </xf>
    <xf numFmtId="264" fontId="12" fillId="14" borderId="1154" applyFont="0" applyFill="0" applyBorder="0" applyAlignment="0" applyProtection="0">
      <alignment horizontal="right"/>
    </xf>
    <xf numFmtId="0" fontId="165" fillId="0" borderId="1154" applyFill="0" applyProtection="0">
      <alignment horizontal="center"/>
    </xf>
    <xf numFmtId="180" fontId="9" fillId="3" borderId="1154">
      <alignment horizontal="right" vertical="center"/>
    </xf>
    <xf numFmtId="0" fontId="12" fillId="0" borderId="1154" applyNumberFormat="0" applyFill="0" applyBorder="0" applyAlignment="0" applyProtection="0">
      <alignment horizontal="center"/>
    </xf>
    <xf numFmtId="0" fontId="101" fillId="0" borderId="1154" applyBorder="0"/>
    <xf numFmtId="222" fontId="79" fillId="0" borderId="1153" applyBorder="0"/>
    <xf numFmtId="0" fontId="75" fillId="0" borderId="1143" applyNumberFormat="0" applyFont="0" applyFill="0" applyAlignment="0" applyProtection="0"/>
    <xf numFmtId="0" fontId="2" fillId="0" borderId="1147" applyNumberFormat="0" applyAlignment="0" applyProtection="0"/>
    <xf numFmtId="0" fontId="25" fillId="10" borderId="1149" applyNumberFormat="0" applyProtection="0">
      <alignment horizontal="left" vertical="top"/>
    </xf>
    <xf numFmtId="0" fontId="25" fillId="10" borderId="1152" applyNumberFormat="0" applyProtection="0">
      <alignment horizontal="left" vertical="top"/>
    </xf>
    <xf numFmtId="222" fontId="79" fillId="0" borderId="1141" applyBorder="0"/>
    <xf numFmtId="0" fontId="25" fillId="10" borderId="1127" applyNumberFormat="0" applyProtection="0">
      <alignment horizontal="left" vertical="top"/>
    </xf>
    <xf numFmtId="0" fontId="25" fillId="10" borderId="1125" applyNumberFormat="0" applyProtection="0">
      <alignment horizontal="left" vertical="top"/>
    </xf>
    <xf numFmtId="0" fontId="214" fillId="0" borderId="1124" applyNumberFormat="0" applyFont="0" applyFill="0" applyAlignment="0" applyProtection="0"/>
    <xf numFmtId="186" fontId="146" fillId="3" borderId="1121">
      <alignment horizontal="left"/>
    </xf>
    <xf numFmtId="222" fontId="79" fillId="0" borderId="1129" applyBorder="0"/>
    <xf numFmtId="0" fontId="101" fillId="0" borderId="1034" applyBorder="0"/>
    <xf numFmtId="0" fontId="113" fillId="0" borderId="1034" applyNumberFormat="0" applyFill="0" applyAlignment="0" applyProtection="0"/>
    <xf numFmtId="0" fontId="12" fillId="0" borderId="1034" applyNumberFormat="0" applyFill="0" applyBorder="0" applyAlignment="0" applyProtection="0">
      <alignment horizontal="center"/>
    </xf>
    <xf numFmtId="248" fontId="46" fillId="0" borderId="1034"/>
    <xf numFmtId="192" fontId="9" fillId="3" borderId="1034">
      <alignment horizontal="right" vertical="center"/>
    </xf>
    <xf numFmtId="180" fontId="9" fillId="3" borderId="1034">
      <alignment horizontal="right" vertical="center"/>
    </xf>
    <xf numFmtId="186" fontId="146" fillId="3" borderId="1034" applyBorder="0">
      <alignment horizontal="left" vertical="center"/>
    </xf>
    <xf numFmtId="0" fontId="165" fillId="0" borderId="1034" applyFill="0" applyProtection="0">
      <alignment horizontal="center"/>
    </xf>
    <xf numFmtId="0" fontId="166" fillId="0" borderId="1034">
      <alignment horizontal="center"/>
    </xf>
    <xf numFmtId="264" fontId="12" fillId="14" borderId="1034" applyFont="0" applyFill="0" applyBorder="0" applyAlignment="0" applyProtection="0">
      <alignment horizontal="right"/>
    </xf>
    <xf numFmtId="0" fontId="210" fillId="0" borderId="1034" applyNumberFormat="0" applyFill="0" applyBorder="0" applyAlignment="0">
      <protection locked="0"/>
    </xf>
    <xf numFmtId="248" fontId="46" fillId="0" borderId="1154"/>
    <xf numFmtId="222" fontId="79" fillId="0" borderId="1153" applyBorder="0"/>
    <xf numFmtId="186" fontId="140" fillId="3" borderId="1146">
      <alignment horizontal="center" vertical="center"/>
    </xf>
    <xf numFmtId="0" fontId="25" fillId="10" borderId="1151" applyNumberFormat="0" applyProtection="0">
      <alignment horizontal="left" vertical="top"/>
    </xf>
    <xf numFmtId="0" fontId="210" fillId="0" borderId="1154" applyNumberFormat="0" applyFill="0" applyBorder="0" applyAlignment="0">
      <protection locked="0"/>
    </xf>
    <xf numFmtId="192" fontId="9" fillId="3" borderId="1154">
      <alignment horizontal="right" vertical="center"/>
    </xf>
    <xf numFmtId="0" fontId="113" fillId="0" borderId="1154" applyNumberFormat="0" applyFill="0" applyAlignment="0" applyProtection="0"/>
    <xf numFmtId="186" fontId="146" fillId="3" borderId="1145">
      <alignment horizontal="left"/>
    </xf>
    <xf numFmtId="0" fontId="25" fillId="10" borderId="1150" applyNumberFormat="0" applyProtection="0">
      <alignment horizontal="left" vertical="top"/>
    </xf>
    <xf numFmtId="254" fontId="240" fillId="0" borderId="1034" applyBorder="0" applyProtection="0">
      <alignment horizontal="right" vertical="center"/>
    </xf>
    <xf numFmtId="0" fontId="241" fillId="94" borderId="1034" applyBorder="0" applyProtection="0">
      <alignment horizontal="centerContinuous" vertical="center"/>
    </xf>
    <xf numFmtId="246" fontId="249" fillId="0" borderId="1034" applyFill="0" applyProtection="0">
      <alignment horizontal="center"/>
    </xf>
    <xf numFmtId="246" fontId="250" fillId="0" borderId="1034" applyFill="0" applyProtection="0">
      <alignment horizontal="center"/>
    </xf>
    <xf numFmtId="0" fontId="25" fillId="10" borderId="1174" applyNumberFormat="0" applyProtection="0">
      <alignment horizontal="left" vertical="top"/>
    </xf>
    <xf numFmtId="0" fontId="25" fillId="10" borderId="1176" applyNumberFormat="0" applyProtection="0">
      <alignment horizontal="left" vertical="top"/>
    </xf>
    <xf numFmtId="222" fontId="79" fillId="0" borderId="1105" applyBorder="0"/>
    <xf numFmtId="0" fontId="214" fillId="0" borderId="1172" applyNumberFormat="0" applyFont="0" applyFill="0" applyAlignment="0" applyProtection="0"/>
    <xf numFmtId="0" fontId="75" fillId="0" borderId="1107" applyNumberFormat="0" applyFont="0" applyFill="0" applyAlignment="0" applyProtection="0"/>
    <xf numFmtId="0" fontId="25" fillId="10" borderId="1115" applyNumberFormat="0" applyProtection="0">
      <alignment horizontal="left" vertical="top"/>
    </xf>
    <xf numFmtId="0" fontId="25" fillId="10" borderId="1116" applyNumberFormat="0" applyProtection="0">
      <alignment horizontal="left" vertical="top"/>
    </xf>
    <xf numFmtId="0" fontId="165" fillId="0" borderId="1130" applyFill="0" applyProtection="0">
      <alignment horizontal="center"/>
    </xf>
    <xf numFmtId="254" fontId="240" fillId="0" borderId="1130" applyBorder="0" applyProtection="0">
      <alignment horizontal="right" vertical="center"/>
    </xf>
    <xf numFmtId="0" fontId="241" fillId="94" borderId="1130" applyBorder="0" applyProtection="0">
      <alignment horizontal="centerContinuous" vertical="center"/>
    </xf>
    <xf numFmtId="0" fontId="241" fillId="94" borderId="1154" applyBorder="0" applyProtection="0">
      <alignment horizontal="centerContinuous" vertical="center"/>
    </xf>
    <xf numFmtId="0" fontId="166" fillId="0" borderId="1154">
      <alignment horizontal="center"/>
    </xf>
    <xf numFmtId="186" fontId="146" fillId="3" borderId="1154" applyBorder="0">
      <alignment horizontal="left" vertical="center"/>
    </xf>
    <xf numFmtId="0" fontId="214" fillId="0" borderId="1148" applyNumberFormat="0" applyFont="0" applyFill="0" applyAlignment="0" applyProtection="0"/>
    <xf numFmtId="0" fontId="78" fillId="14" borderId="1144" applyFont="0" applyFill="0" applyBorder="0" applyAlignment="0" applyProtection="0"/>
    <xf numFmtId="0" fontId="78" fillId="14" borderId="1072" applyFont="0" applyFill="0" applyBorder="0" applyAlignment="0" applyProtection="0"/>
    <xf numFmtId="0" fontId="25" fillId="10" borderId="1020" applyNumberFormat="0" applyProtection="0">
      <alignment horizontal="left" vertical="top"/>
    </xf>
    <xf numFmtId="0" fontId="25" fillId="10" borderId="1019" applyNumberFormat="0" applyProtection="0">
      <alignment horizontal="left" vertical="top"/>
    </xf>
    <xf numFmtId="0" fontId="25" fillId="10" borderId="1018" applyNumberFormat="0" applyProtection="0">
      <alignment horizontal="left" vertical="top"/>
    </xf>
    <xf numFmtId="0" fontId="25" fillId="10" borderId="1017" applyNumberFormat="0" applyProtection="0">
      <alignment horizontal="left" vertical="top"/>
    </xf>
    <xf numFmtId="186" fontId="140" fillId="3" borderId="1170">
      <alignment horizontal="center" vertical="center"/>
    </xf>
    <xf numFmtId="0" fontId="214" fillId="0" borderId="1016" applyNumberFormat="0" applyFont="0" applyFill="0" applyAlignment="0" applyProtection="0"/>
    <xf numFmtId="186" fontId="140" fillId="3" borderId="990">
      <alignment horizontal="center" vertical="center"/>
    </xf>
    <xf numFmtId="186" fontId="146" fillId="3" borderId="917">
      <alignment horizontal="left"/>
    </xf>
    <xf numFmtId="186" fontId="146" fillId="3" borderId="1169">
      <alignment horizontal="left"/>
    </xf>
    <xf numFmtId="0" fontId="75" fillId="0" borderId="915" applyNumberFormat="0" applyFont="0" applyFill="0" applyAlignment="0" applyProtection="0"/>
    <xf numFmtId="0" fontId="75" fillId="0" borderId="1167" applyNumberFormat="0" applyFont="0" applyFill="0" applyAlignment="0" applyProtection="0"/>
    <xf numFmtId="222" fontId="79" fillId="0" borderId="1081" applyBorder="0"/>
    <xf numFmtId="222" fontId="79" fillId="0" borderId="1081" applyBorder="0"/>
    <xf numFmtId="0" fontId="25" fillId="10" borderId="1173" applyNumberFormat="0" applyProtection="0">
      <alignment horizontal="left" vertical="top"/>
    </xf>
    <xf numFmtId="0" fontId="2" fillId="0" borderId="1171" applyNumberFormat="0" applyAlignment="0" applyProtection="0"/>
    <xf numFmtId="246" fontId="250" fillId="0" borderId="1106" applyFill="0" applyProtection="0">
      <alignment horizontal="center"/>
    </xf>
    <xf numFmtId="246" fontId="249" fillId="0" borderId="1106" applyFill="0" applyProtection="0">
      <alignment horizontal="center"/>
    </xf>
    <xf numFmtId="0" fontId="241" fillId="94" borderId="1106" applyBorder="0" applyProtection="0">
      <alignment horizontal="centerContinuous" vertical="center"/>
    </xf>
    <xf numFmtId="254" fontId="240" fillId="0" borderId="1106" applyBorder="0" applyProtection="0">
      <alignment horizontal="right" vertical="center"/>
    </xf>
    <xf numFmtId="0" fontId="210" fillId="0" borderId="1106" applyNumberFormat="0" applyFill="0" applyBorder="0" applyAlignment="0">
      <protection locked="0"/>
    </xf>
    <xf numFmtId="264" fontId="12" fillId="14" borderId="1106" applyFont="0" applyFill="0" applyBorder="0" applyAlignment="0" applyProtection="0">
      <alignment horizontal="right"/>
    </xf>
    <xf numFmtId="0" fontId="166" fillId="0" borderId="1106">
      <alignment horizontal="center"/>
    </xf>
    <xf numFmtId="0" fontId="165" fillId="0" borderId="1106" applyFill="0" applyProtection="0">
      <alignment horizontal="center"/>
    </xf>
    <xf numFmtId="186" fontId="146" fillId="3" borderId="1106" applyBorder="0">
      <alignment horizontal="left" vertical="center"/>
    </xf>
    <xf numFmtId="180" fontId="9" fillId="3" borderId="1106">
      <alignment horizontal="right" vertical="center"/>
    </xf>
    <xf numFmtId="192" fontId="9" fillId="3" borderId="1106">
      <alignment horizontal="right" vertical="center"/>
    </xf>
    <xf numFmtId="248" fontId="46" fillId="0" borderId="1106"/>
    <xf numFmtId="0" fontId="12" fillId="0" borderId="1106" applyNumberFormat="0" applyFill="0" applyBorder="0" applyAlignment="0" applyProtection="0">
      <alignment horizontal="center"/>
    </xf>
    <xf numFmtId="0" fontId="113" fillId="0" borderId="1106" applyNumberFormat="0" applyFill="0" applyAlignment="0" applyProtection="0"/>
    <xf numFmtId="222" fontId="79" fillId="0" borderId="1105" applyBorder="0"/>
    <xf numFmtId="0" fontId="101" fillId="0" borderId="1106" applyBorder="0"/>
    <xf numFmtId="222" fontId="79" fillId="0" borderId="1105" applyBorder="0"/>
    <xf numFmtId="0" fontId="75" fillId="0" borderId="1095" applyNumberFormat="0" applyFont="0" applyFill="0" applyAlignment="0" applyProtection="0"/>
    <xf numFmtId="186" fontId="146" fillId="3" borderId="1097">
      <alignment horizontal="left"/>
    </xf>
    <xf numFmtId="186" fontId="140" fillId="3" borderId="1098">
      <alignment horizontal="center" vertical="center"/>
    </xf>
    <xf numFmtId="0" fontId="2" fillId="0" borderId="1099" applyNumberFormat="0" applyAlignment="0" applyProtection="0"/>
    <xf numFmtId="0" fontId="214" fillId="0" borderId="1100" applyNumberFormat="0" applyFont="0" applyFill="0" applyAlignment="0" applyProtection="0"/>
    <xf numFmtId="0" fontId="25" fillId="10" borderId="1101" applyNumberFormat="0" applyProtection="0">
      <alignment horizontal="left" vertical="top"/>
    </xf>
    <xf numFmtId="0" fontId="25" fillId="10" borderId="1102" applyNumberFormat="0" applyProtection="0">
      <alignment horizontal="left" vertical="top"/>
    </xf>
    <xf numFmtId="0" fontId="25" fillId="10" borderId="1103" applyNumberFormat="0" applyProtection="0">
      <alignment horizontal="left" vertical="top"/>
    </xf>
    <xf numFmtId="0" fontId="25" fillId="10" borderId="1104" applyNumberFormat="0" applyProtection="0">
      <alignment horizontal="left" vertical="top"/>
    </xf>
    <xf numFmtId="0" fontId="78" fillId="14" borderId="1096" applyFont="0" applyFill="0" applyBorder="0" applyAlignment="0" applyProtection="0"/>
    <xf numFmtId="222" fontId="79" fillId="0" borderId="1093" applyBorder="0"/>
    <xf numFmtId="0" fontId="78" fillId="14" borderId="1072" applyFont="0" applyFill="0" applyBorder="0" applyAlignment="0" applyProtection="0"/>
    <xf numFmtId="222" fontId="79" fillId="0" borderId="1081" applyBorder="0"/>
    <xf numFmtId="0" fontId="78" fillId="14" borderId="1084" applyFont="0" applyFill="0" applyBorder="0" applyAlignment="0" applyProtection="0"/>
    <xf numFmtId="0" fontId="25" fillId="10" borderId="1092" applyNumberFormat="0" applyProtection="0">
      <alignment horizontal="left" vertical="top"/>
    </xf>
    <xf numFmtId="0" fontId="25" fillId="10" borderId="1091" applyNumberFormat="0" applyProtection="0">
      <alignment horizontal="left" vertical="top"/>
    </xf>
    <xf numFmtId="0" fontId="25" fillId="10" borderId="1090" applyNumberFormat="0" applyProtection="0">
      <alignment horizontal="left" vertical="top"/>
    </xf>
    <xf numFmtId="0" fontId="25" fillId="10" borderId="1089" applyNumberFormat="0" applyProtection="0">
      <alignment horizontal="left" vertical="top"/>
    </xf>
    <xf numFmtId="0" fontId="214" fillId="0" borderId="1088" applyNumberFormat="0" applyFont="0" applyFill="0" applyAlignment="0" applyProtection="0"/>
    <xf numFmtId="186" fontId="140" fillId="3" borderId="1086">
      <alignment horizontal="center" vertical="center"/>
    </xf>
    <xf numFmtId="186" fontId="146" fillId="3" borderId="1085">
      <alignment horizontal="left"/>
    </xf>
    <xf numFmtId="0" fontId="75" fillId="0" borderId="1083" applyNumberFormat="0" applyFont="0" applyFill="0" applyAlignment="0" applyProtection="0"/>
    <xf numFmtId="222" fontId="79" fillId="0" borderId="1093" applyBorder="0"/>
    <xf numFmtId="0" fontId="101" fillId="0" borderId="1094" applyBorder="0"/>
    <xf numFmtId="222" fontId="79" fillId="0" borderId="1093" applyBorder="0"/>
    <xf numFmtId="0" fontId="113" fillId="0" borderId="1094" applyNumberFormat="0" applyFill="0" applyAlignment="0" applyProtection="0"/>
    <xf numFmtId="0" fontId="12" fillId="0" borderId="1094" applyNumberFormat="0" applyFill="0" applyBorder="0" applyAlignment="0" applyProtection="0">
      <alignment horizontal="center"/>
    </xf>
    <xf numFmtId="248" fontId="46" fillId="0" borderId="1094"/>
    <xf numFmtId="192" fontId="9" fillId="3" borderId="1094">
      <alignment horizontal="right" vertical="center"/>
    </xf>
    <xf numFmtId="180" fontId="9" fillId="3" borderId="1094">
      <alignment horizontal="right" vertical="center"/>
    </xf>
    <xf numFmtId="186" fontId="146" fillId="3" borderId="1094" applyBorder="0">
      <alignment horizontal="left" vertical="center"/>
    </xf>
    <xf numFmtId="0" fontId="165" fillId="0" borderId="1094" applyFill="0" applyProtection="0">
      <alignment horizontal="center"/>
    </xf>
    <xf numFmtId="0" fontId="166" fillId="0" borderId="1094">
      <alignment horizontal="center"/>
    </xf>
    <xf numFmtId="264" fontId="12" fillId="14" borderId="1094" applyFont="0" applyFill="0" applyBorder="0" applyAlignment="0" applyProtection="0">
      <alignment horizontal="right"/>
    </xf>
    <xf numFmtId="0" fontId="210" fillId="0" borderId="1094" applyNumberFormat="0" applyFill="0" applyBorder="0" applyAlignment="0">
      <protection locked="0"/>
    </xf>
    <xf numFmtId="254" fontId="240" fillId="0" borderId="1094" applyBorder="0" applyProtection="0">
      <alignment horizontal="right" vertical="center"/>
    </xf>
    <xf numFmtId="0" fontId="241" fillId="94" borderId="1094" applyBorder="0" applyProtection="0">
      <alignment horizontal="centerContinuous" vertical="center"/>
    </xf>
    <xf numFmtId="246" fontId="249" fillId="0" borderId="1094" applyFill="0" applyProtection="0">
      <alignment horizontal="center"/>
    </xf>
    <xf numFmtId="246" fontId="250" fillId="0" borderId="1094" applyFill="0" applyProtection="0">
      <alignment horizontal="center"/>
    </xf>
    <xf numFmtId="0" fontId="241" fillId="94" borderId="1178" applyBorder="0" applyProtection="0">
      <alignment horizontal="centerContinuous" vertical="center"/>
    </xf>
    <xf numFmtId="0" fontId="166" fillId="0" borderId="1178">
      <alignment horizontal="center"/>
    </xf>
    <xf numFmtId="0" fontId="2" fillId="0" borderId="1111" applyNumberFormat="0" applyAlignment="0" applyProtection="0"/>
    <xf numFmtId="0" fontId="214" fillId="0" borderId="1112" applyNumberFormat="0" applyFont="0" applyFill="0" applyAlignment="0" applyProtection="0"/>
    <xf numFmtId="246" fontId="250" fillId="0" borderId="1118" applyFill="0" applyProtection="0">
      <alignment horizontal="center"/>
    </xf>
    <xf numFmtId="246" fontId="249" fillId="0" borderId="1118" applyFill="0" applyProtection="0">
      <alignment horizontal="center"/>
    </xf>
    <xf numFmtId="0" fontId="241" fillId="94" borderId="1118" applyBorder="0" applyProtection="0">
      <alignment horizontal="centerContinuous" vertical="center"/>
    </xf>
    <xf numFmtId="254" fontId="240" fillId="0" borderId="1118" applyBorder="0" applyProtection="0">
      <alignment horizontal="right" vertical="center"/>
    </xf>
    <xf numFmtId="0" fontId="210" fillId="0" borderId="1118" applyNumberFormat="0" applyFill="0" applyBorder="0" applyAlignment="0">
      <protection locked="0"/>
    </xf>
    <xf numFmtId="264" fontId="12" fillId="14" borderId="1118" applyFont="0" applyFill="0" applyBorder="0" applyAlignment="0" applyProtection="0">
      <alignment horizontal="right"/>
    </xf>
    <xf numFmtId="0" fontId="166" fillId="0" borderId="1118">
      <alignment horizontal="center"/>
    </xf>
    <xf numFmtId="0" fontId="165" fillId="0" borderId="1118" applyFill="0" applyProtection="0">
      <alignment horizontal="center"/>
    </xf>
    <xf numFmtId="186" fontId="146" fillId="3" borderId="1118" applyBorder="0">
      <alignment horizontal="left" vertical="center"/>
    </xf>
    <xf numFmtId="180" fontId="9" fillId="3" borderId="1118">
      <alignment horizontal="right" vertical="center"/>
    </xf>
    <xf numFmtId="192" fontId="9" fillId="3" borderId="1118">
      <alignment horizontal="right" vertical="center"/>
    </xf>
    <xf numFmtId="248" fontId="46" fillId="0" borderId="1118"/>
    <xf numFmtId="0" fontId="12" fillId="0" borderId="1118" applyNumberFormat="0" applyFill="0" applyBorder="0" applyAlignment="0" applyProtection="0">
      <alignment horizontal="center"/>
    </xf>
    <xf numFmtId="0" fontId="113" fillId="0" borderId="1118" applyNumberFormat="0" applyFill="0" applyAlignment="0" applyProtection="0"/>
    <xf numFmtId="222" fontId="79" fillId="0" borderId="1117" applyBorder="0"/>
    <xf numFmtId="0" fontId="101" fillId="0" borderId="1118" applyBorder="0"/>
    <xf numFmtId="222" fontId="79" fillId="0" borderId="1117" applyBorder="0"/>
    <xf numFmtId="0" fontId="75" fillId="0" borderId="1107" applyNumberFormat="0" applyFont="0" applyFill="0" applyAlignment="0" applyProtection="0"/>
    <xf numFmtId="186" fontId="146" fillId="3" borderId="1109">
      <alignment horizontal="left"/>
    </xf>
    <xf numFmtId="186" fontId="140" fillId="3" borderId="1110">
      <alignment horizontal="center" vertical="center"/>
    </xf>
    <xf numFmtId="0" fontId="2" fillId="0" borderId="1111" applyNumberFormat="0" applyAlignment="0" applyProtection="0"/>
    <xf numFmtId="0" fontId="214" fillId="0" borderId="1112" applyNumberFormat="0" applyFont="0" applyFill="0" applyAlignment="0" applyProtection="0"/>
    <xf numFmtId="0" fontId="25" fillId="10" borderId="1113" applyNumberFormat="0" applyProtection="0">
      <alignment horizontal="left" vertical="top"/>
    </xf>
    <xf numFmtId="0" fontId="25" fillId="10" borderId="1114" applyNumberFormat="0" applyProtection="0">
      <alignment horizontal="left" vertical="top"/>
    </xf>
    <xf numFmtId="0" fontId="25" fillId="10" borderId="1115" applyNumberFormat="0" applyProtection="0">
      <alignment horizontal="left" vertical="top"/>
    </xf>
    <xf numFmtId="0" fontId="25" fillId="10" borderId="1116" applyNumberFormat="0" applyProtection="0">
      <alignment horizontal="left" vertical="top"/>
    </xf>
    <xf numFmtId="0" fontId="78" fillId="14" borderId="1108" applyFont="0" applyFill="0" applyBorder="0" applyAlignment="0" applyProtection="0"/>
    <xf numFmtId="222" fontId="79" fillId="0" borderId="1105" applyBorder="0"/>
    <xf numFmtId="0" fontId="78" fillId="14" borderId="1120" applyFont="0" applyFill="0" applyBorder="0" applyAlignment="0" applyProtection="0"/>
    <xf numFmtId="186" fontId="146" fillId="3" borderId="1109">
      <alignment horizontal="left"/>
    </xf>
    <xf numFmtId="0" fontId="78" fillId="14" borderId="1096" applyFont="0" applyFill="0" applyBorder="0" applyAlignment="0" applyProtection="0"/>
    <xf numFmtId="222" fontId="79" fillId="0" borderId="1105" applyBorder="0"/>
    <xf numFmtId="0" fontId="2" fillId="0" borderId="1123" applyNumberFormat="0" applyAlignment="0" applyProtection="0"/>
    <xf numFmtId="0" fontId="78" fillId="14" borderId="1096" applyFont="0" applyFill="0" applyBorder="0" applyAlignment="0" applyProtection="0"/>
    <xf numFmtId="0" fontId="25" fillId="10" borderId="1104" applyNumberFormat="0" applyProtection="0">
      <alignment horizontal="left" vertical="top"/>
    </xf>
    <xf numFmtId="0" fontId="25" fillId="10" borderId="1103" applyNumberFormat="0" applyProtection="0">
      <alignment horizontal="left" vertical="top"/>
    </xf>
    <xf numFmtId="0" fontId="25" fillId="10" borderId="1102" applyNumberFormat="0" applyProtection="0">
      <alignment horizontal="left" vertical="top"/>
    </xf>
    <xf numFmtId="0" fontId="25" fillId="10" borderId="1101" applyNumberFormat="0" applyProtection="0">
      <alignment horizontal="left" vertical="top"/>
    </xf>
    <xf numFmtId="0" fontId="25" fillId="10" borderId="1126" applyNumberFormat="0" applyProtection="0">
      <alignment horizontal="left" vertical="top"/>
    </xf>
    <xf numFmtId="0" fontId="214" fillId="0" borderId="1100" applyNumberFormat="0" applyFont="0" applyFill="0" applyAlignment="0" applyProtection="0"/>
    <xf numFmtId="0" fontId="2" fillId="0" borderId="1099" applyNumberFormat="0" applyAlignment="0" applyProtection="0"/>
    <xf numFmtId="186" fontId="140" fillId="3" borderId="1098">
      <alignment horizontal="center" vertical="center"/>
    </xf>
    <xf numFmtId="186" fontId="146" fillId="3" borderId="1097">
      <alignment horizontal="left"/>
    </xf>
    <xf numFmtId="0" fontId="25" fillId="10" borderId="1128" applyNumberFormat="0" applyProtection="0">
      <alignment horizontal="left" vertical="top"/>
    </xf>
    <xf numFmtId="0" fontId="75" fillId="0" borderId="1095" applyNumberFormat="0" applyFont="0" applyFill="0" applyAlignment="0" applyProtection="0"/>
    <xf numFmtId="222" fontId="79" fillId="0" borderId="1105" applyBorder="0"/>
    <xf numFmtId="0" fontId="101" fillId="0" borderId="1106" applyBorder="0"/>
    <xf numFmtId="222" fontId="79" fillId="0" borderId="1105" applyBorder="0"/>
    <xf numFmtId="0" fontId="113" fillId="0" borderId="1106" applyNumberFormat="0" applyFill="0" applyAlignment="0" applyProtection="0"/>
    <xf numFmtId="0" fontId="12" fillId="0" borderId="1106" applyNumberFormat="0" applyFill="0" applyBorder="0" applyAlignment="0" applyProtection="0">
      <alignment horizontal="center"/>
    </xf>
    <xf numFmtId="248" fontId="46" fillId="0" borderId="1106"/>
    <xf numFmtId="192" fontId="9" fillId="3" borderId="1106">
      <alignment horizontal="right" vertical="center"/>
    </xf>
    <xf numFmtId="180" fontId="9" fillId="3" borderId="1106">
      <alignment horizontal="right" vertical="center"/>
    </xf>
    <xf numFmtId="186" fontId="146" fillId="3" borderId="1106" applyBorder="0">
      <alignment horizontal="left" vertical="center"/>
    </xf>
    <xf numFmtId="0" fontId="165" fillId="0" borderId="1106" applyFill="0" applyProtection="0">
      <alignment horizontal="center"/>
    </xf>
    <xf numFmtId="0" fontId="166" fillId="0" borderId="1106">
      <alignment horizontal="center"/>
    </xf>
    <xf numFmtId="264" fontId="12" fillId="14" borderId="1106" applyFont="0" applyFill="0" applyBorder="0" applyAlignment="0" applyProtection="0">
      <alignment horizontal="right"/>
    </xf>
    <xf numFmtId="0" fontId="210" fillId="0" borderId="1106" applyNumberFormat="0" applyFill="0" applyBorder="0" applyAlignment="0">
      <protection locked="0"/>
    </xf>
    <xf numFmtId="254" fontId="240" fillId="0" borderId="1106" applyBorder="0" applyProtection="0">
      <alignment horizontal="right" vertical="center"/>
    </xf>
    <xf numFmtId="0" fontId="241" fillId="94" borderId="1106" applyBorder="0" applyProtection="0">
      <alignment horizontal="centerContinuous" vertical="center"/>
    </xf>
    <xf numFmtId="246" fontId="249" fillId="0" borderId="1106" applyFill="0" applyProtection="0">
      <alignment horizontal="center"/>
    </xf>
    <xf numFmtId="246" fontId="250" fillId="0" borderId="1106" applyFill="0" applyProtection="0">
      <alignment horizontal="center"/>
    </xf>
    <xf numFmtId="186" fontId="140" fillId="3" borderId="1122">
      <alignment horizontal="center" vertical="center"/>
    </xf>
    <xf numFmtId="0" fontId="78" fillId="14" borderId="1108" applyFont="0" applyFill="0" applyBorder="0" applyAlignment="0" applyProtection="0"/>
    <xf numFmtId="222" fontId="79" fillId="0" borderId="1129" applyBorder="0"/>
    <xf numFmtId="0" fontId="78" fillId="14" borderId="1132" applyFont="0" applyFill="0" applyBorder="0" applyAlignment="0" applyProtection="0"/>
    <xf numFmtId="0" fontId="25" fillId="10" borderId="1140" applyNumberFormat="0" applyProtection="0">
      <alignment horizontal="left" vertical="top"/>
    </xf>
    <xf numFmtId="0" fontId="25" fillId="10" borderId="1139" applyNumberFormat="0" applyProtection="0">
      <alignment horizontal="left" vertical="top"/>
    </xf>
    <xf numFmtId="0" fontId="25" fillId="10" borderId="1138" applyNumberFormat="0" applyProtection="0">
      <alignment horizontal="left" vertical="top"/>
    </xf>
    <xf numFmtId="0" fontId="25" fillId="10" borderId="1137" applyNumberFormat="0" applyProtection="0">
      <alignment horizontal="left" vertical="top"/>
    </xf>
    <xf numFmtId="0" fontId="214" fillId="0" borderId="1136" applyNumberFormat="0" applyFont="0" applyFill="0" applyAlignment="0" applyProtection="0"/>
    <xf numFmtId="0" fontId="2" fillId="0" borderId="1135" applyNumberFormat="0" applyAlignment="0" applyProtection="0"/>
    <xf numFmtId="186" fontId="140" fillId="3" borderId="1134">
      <alignment horizontal="center" vertical="center"/>
    </xf>
    <xf numFmtId="186" fontId="146" fillId="3" borderId="1133">
      <alignment horizontal="left"/>
    </xf>
    <xf numFmtId="0" fontId="75" fillId="0" borderId="1131" applyNumberFormat="0" applyFont="0" applyFill="0" applyAlignment="0" applyProtection="0"/>
    <xf numFmtId="222" fontId="79" fillId="0" borderId="1141" applyBorder="0"/>
    <xf numFmtId="0" fontId="101" fillId="0" borderId="1142" applyBorder="0"/>
    <xf numFmtId="222" fontId="79" fillId="0" borderId="1141" applyBorder="0"/>
    <xf numFmtId="0" fontId="113" fillId="0" borderId="1142" applyNumberFormat="0" applyFill="0" applyAlignment="0" applyProtection="0"/>
    <xf numFmtId="0" fontId="12" fillId="0" borderId="1142" applyNumberFormat="0" applyFill="0" applyBorder="0" applyAlignment="0" applyProtection="0">
      <alignment horizontal="center"/>
    </xf>
    <xf numFmtId="248" fontId="46" fillId="0" borderId="1142"/>
    <xf numFmtId="192" fontId="9" fillId="3" borderId="1142">
      <alignment horizontal="right" vertical="center"/>
    </xf>
    <xf numFmtId="180" fontId="9" fillId="3" borderId="1142">
      <alignment horizontal="right" vertical="center"/>
    </xf>
    <xf numFmtId="186" fontId="146" fillId="3" borderId="1142" applyBorder="0">
      <alignment horizontal="left" vertical="center"/>
    </xf>
    <xf numFmtId="0" fontId="165" fillId="0" borderId="1142" applyFill="0" applyProtection="0">
      <alignment horizontal="center"/>
    </xf>
    <xf numFmtId="0" fontId="166" fillId="0" borderId="1142">
      <alignment horizontal="center"/>
    </xf>
    <xf numFmtId="264" fontId="12" fillId="14" borderId="1142" applyFont="0" applyFill="0" applyBorder="0" applyAlignment="0" applyProtection="0">
      <alignment horizontal="right"/>
    </xf>
    <xf numFmtId="0" fontId="210" fillId="0" borderId="1142" applyNumberFormat="0" applyFill="0" applyBorder="0" applyAlignment="0">
      <protection locked="0"/>
    </xf>
    <xf numFmtId="254" fontId="240" fillId="0" borderId="1142" applyBorder="0" applyProtection="0">
      <alignment horizontal="right" vertical="center"/>
    </xf>
    <xf numFmtId="0" fontId="241" fillId="94" borderId="1142" applyBorder="0" applyProtection="0">
      <alignment horizontal="centerContinuous" vertical="center"/>
    </xf>
    <xf numFmtId="246" fontId="249" fillId="0" borderId="1142" applyFill="0" applyProtection="0">
      <alignment horizontal="center"/>
    </xf>
    <xf numFmtId="246" fontId="250" fillId="0" borderId="1142" applyFill="0" applyProtection="0">
      <alignment horizontal="center"/>
    </xf>
    <xf numFmtId="222" fontId="79" fillId="0" borderId="1153" applyBorder="0"/>
    <xf numFmtId="0" fontId="78" fillId="14" borderId="1156" applyFont="0" applyFill="0" applyBorder="0" applyAlignment="0" applyProtection="0"/>
    <xf numFmtId="0" fontId="25" fillId="10" borderId="1164" applyNumberFormat="0" applyProtection="0">
      <alignment horizontal="left" vertical="top"/>
    </xf>
    <xf numFmtId="0" fontId="25" fillId="10" borderId="1163" applyNumberFormat="0" applyProtection="0">
      <alignment horizontal="left" vertical="top"/>
    </xf>
    <xf numFmtId="0" fontId="25" fillId="10" borderId="1162" applyNumberFormat="0" applyProtection="0">
      <alignment horizontal="left" vertical="top"/>
    </xf>
    <xf numFmtId="0" fontId="25" fillId="10" borderId="1161" applyNumberFormat="0" applyProtection="0">
      <alignment horizontal="left" vertical="top"/>
    </xf>
    <xf numFmtId="0" fontId="214" fillId="0" borderId="1160" applyNumberFormat="0" applyFont="0" applyFill="0" applyAlignment="0" applyProtection="0"/>
    <xf numFmtId="0" fontId="2" fillId="0" borderId="1159" applyNumberFormat="0" applyAlignment="0" applyProtection="0"/>
    <xf numFmtId="186" fontId="140" fillId="3" borderId="1158">
      <alignment horizontal="center" vertical="center"/>
    </xf>
    <xf numFmtId="186" fontId="146" fillId="3" borderId="1157">
      <alignment horizontal="left"/>
    </xf>
    <xf numFmtId="0" fontId="75" fillId="0" borderId="1155" applyNumberFormat="0" applyFont="0" applyFill="0" applyAlignment="0" applyProtection="0"/>
    <xf numFmtId="222" fontId="79" fillId="0" borderId="1165" applyBorder="0"/>
    <xf numFmtId="0" fontId="101" fillId="0" borderId="1166" applyBorder="0"/>
    <xf numFmtId="222" fontId="79" fillId="0" borderId="1165" applyBorder="0"/>
    <xf numFmtId="0" fontId="113" fillId="0" borderId="1166" applyNumberFormat="0" applyFill="0" applyAlignment="0" applyProtection="0"/>
    <xf numFmtId="0" fontId="12" fillId="0" borderId="1166" applyNumberFormat="0" applyFill="0" applyBorder="0" applyAlignment="0" applyProtection="0">
      <alignment horizontal="center"/>
    </xf>
    <xf numFmtId="248" fontId="46" fillId="0" borderId="1166"/>
    <xf numFmtId="192" fontId="9" fillId="3" borderId="1166">
      <alignment horizontal="right" vertical="center"/>
    </xf>
    <xf numFmtId="180" fontId="9" fillId="3" borderId="1166">
      <alignment horizontal="right" vertical="center"/>
    </xf>
    <xf numFmtId="186" fontId="146" fillId="3" borderId="1166" applyBorder="0">
      <alignment horizontal="left" vertical="center"/>
    </xf>
    <xf numFmtId="0" fontId="165" fillId="0" borderId="1166" applyFill="0" applyProtection="0">
      <alignment horizontal="center"/>
    </xf>
    <xf numFmtId="0" fontId="166" fillId="0" borderId="1166">
      <alignment horizontal="center"/>
    </xf>
    <xf numFmtId="264" fontId="12" fillId="14" borderId="1166" applyFont="0" applyFill="0" applyBorder="0" applyAlignment="0" applyProtection="0">
      <alignment horizontal="right"/>
    </xf>
    <xf numFmtId="0" fontId="210" fillId="0" borderId="1166" applyNumberFormat="0" applyFill="0" applyBorder="0" applyAlignment="0">
      <protection locked="0"/>
    </xf>
    <xf numFmtId="254" fontId="240" fillId="0" borderId="1166" applyBorder="0" applyProtection="0">
      <alignment horizontal="right" vertical="center"/>
    </xf>
    <xf numFmtId="0" fontId="241" fillId="94" borderId="1166" applyBorder="0" applyProtection="0">
      <alignment horizontal="centerContinuous" vertical="center"/>
    </xf>
    <xf numFmtId="246" fontId="249" fillId="0" borderId="1166" applyFill="0" applyProtection="0">
      <alignment horizontal="center"/>
    </xf>
    <xf numFmtId="246" fontId="250" fillId="0" borderId="1166" applyFill="0" applyProtection="0">
      <alignment horizontal="center"/>
    </xf>
    <xf numFmtId="0" fontId="75" fillId="0" borderId="1179" applyNumberFormat="0" applyFont="0" applyFill="0" applyAlignment="0" applyProtection="0"/>
    <xf numFmtId="0" fontId="78" fillId="14" borderId="1180" applyFont="0" applyFill="0" applyBorder="0" applyAlignment="0" applyProtection="0"/>
    <xf numFmtId="186" fontId="146" fillId="3" borderId="1181">
      <alignment horizontal="left"/>
    </xf>
    <xf numFmtId="186" fontId="140" fillId="3" borderId="1182">
      <alignment horizontal="center" vertical="center"/>
    </xf>
    <xf numFmtId="0" fontId="2" fillId="0" borderId="1183" applyNumberFormat="0" applyAlignment="0" applyProtection="0"/>
    <xf numFmtId="0" fontId="214" fillId="0" borderId="1184" applyNumberFormat="0" applyFont="0" applyFill="0" applyAlignment="0" applyProtection="0"/>
    <xf numFmtId="0" fontId="25" fillId="10" borderId="1185" applyNumberFormat="0" applyProtection="0">
      <alignment horizontal="left" vertical="top"/>
    </xf>
    <xf numFmtId="0" fontId="25" fillId="10" borderId="1186" applyNumberFormat="0" applyProtection="0">
      <alignment horizontal="left" vertical="top"/>
    </xf>
    <xf numFmtId="0" fontId="25" fillId="10" borderId="1187" applyNumberFormat="0" applyProtection="0">
      <alignment horizontal="left" vertical="top"/>
    </xf>
    <xf numFmtId="0" fontId="25" fillId="10" borderId="1188" applyNumberFormat="0" applyProtection="0">
      <alignment horizontal="left" vertical="top"/>
    </xf>
    <xf numFmtId="246" fontId="250" fillId="0" borderId="1178" applyFill="0" applyProtection="0">
      <alignment horizontal="center"/>
    </xf>
    <xf numFmtId="246" fontId="249" fillId="0" borderId="1178" applyFill="0" applyProtection="0">
      <alignment horizontal="center"/>
    </xf>
    <xf numFmtId="0" fontId="241" fillId="94" borderId="1178" applyBorder="0" applyProtection="0">
      <alignment horizontal="centerContinuous" vertical="center"/>
    </xf>
    <xf numFmtId="254" fontId="240" fillId="0" borderId="1178" applyBorder="0" applyProtection="0">
      <alignment horizontal="right" vertical="center"/>
    </xf>
    <xf numFmtId="0" fontId="210" fillId="0" borderId="1178" applyNumberFormat="0" applyFill="0" applyBorder="0" applyAlignment="0">
      <protection locked="0"/>
    </xf>
    <xf numFmtId="264" fontId="12" fillId="14" borderId="1178" applyFont="0" applyFill="0" applyBorder="0" applyAlignment="0" applyProtection="0">
      <alignment horizontal="right"/>
    </xf>
    <xf numFmtId="0" fontId="166" fillId="0" borderId="1178">
      <alignment horizontal="center"/>
    </xf>
    <xf numFmtId="0" fontId="165" fillId="0" borderId="1178" applyFill="0" applyProtection="0">
      <alignment horizontal="center"/>
    </xf>
    <xf numFmtId="186" fontId="146" fillId="3" borderId="1178" applyBorder="0">
      <alignment horizontal="left" vertical="center"/>
    </xf>
    <xf numFmtId="180" fontId="9" fillId="3" borderId="1178">
      <alignment horizontal="right" vertical="center"/>
    </xf>
    <xf numFmtId="192" fontId="9" fillId="3" borderId="1178">
      <alignment horizontal="right" vertical="center"/>
    </xf>
    <xf numFmtId="0" fontId="12" fillId="0" borderId="1178" applyNumberFormat="0" applyFill="0" applyBorder="0" applyAlignment="0" applyProtection="0">
      <alignment horizontal="center"/>
    </xf>
    <xf numFmtId="0" fontId="113" fillId="0" borderId="1178" applyNumberFormat="0" applyFill="0" applyAlignment="0" applyProtection="0"/>
    <xf numFmtId="222" fontId="79" fillId="0" borderId="1177" applyBorder="0"/>
    <xf numFmtId="0" fontId="101" fillId="0" borderId="1178" applyBorder="0"/>
    <xf numFmtId="248" fontId="46" fillId="0" borderId="1178"/>
    <xf numFmtId="0" fontId="101" fillId="0" borderId="1178" applyBorder="0"/>
    <xf numFmtId="222" fontId="79" fillId="0" borderId="1177" applyBorder="0"/>
    <xf numFmtId="0" fontId="113" fillId="0" borderId="1178" applyNumberFormat="0" applyFill="0" applyAlignment="0" applyProtection="0"/>
    <xf numFmtId="0" fontId="75" fillId="0" borderId="1179" applyNumberFormat="0" applyFont="0" applyFill="0" applyAlignment="0" applyProtection="0"/>
    <xf numFmtId="0" fontId="12" fillId="0" borderId="1178" applyNumberFormat="0" applyFill="0" applyBorder="0" applyAlignment="0" applyProtection="0">
      <alignment horizontal="center"/>
    </xf>
    <xf numFmtId="248" fontId="46" fillId="0" borderId="1178"/>
    <xf numFmtId="192" fontId="9" fillId="3" borderId="1178">
      <alignment horizontal="right" vertical="center"/>
    </xf>
    <xf numFmtId="180" fontId="9" fillId="3" borderId="1178">
      <alignment horizontal="right" vertical="center"/>
    </xf>
    <xf numFmtId="186" fontId="146" fillId="3" borderId="1178" applyBorder="0">
      <alignment horizontal="left" vertical="center"/>
    </xf>
    <xf numFmtId="186" fontId="146" fillId="3" borderId="1181">
      <alignment horizontal="left"/>
    </xf>
    <xf numFmtId="186" fontId="140" fillId="3" borderId="1182">
      <alignment horizontal="center" vertical="center"/>
    </xf>
    <xf numFmtId="0" fontId="165" fillId="0" borderId="1178" applyFill="0" applyProtection="0">
      <alignment horizontal="center"/>
    </xf>
    <xf numFmtId="0" fontId="166" fillId="0" borderId="1178">
      <alignment horizontal="center"/>
    </xf>
    <xf numFmtId="264" fontId="12" fillId="14" borderId="1178" applyFont="0" applyFill="0" applyBorder="0" applyAlignment="0" applyProtection="0">
      <alignment horizontal="right"/>
    </xf>
    <xf numFmtId="0" fontId="210" fillId="0" borderId="1178" applyNumberFormat="0" applyFill="0" applyBorder="0" applyAlignment="0">
      <protection locked="0"/>
    </xf>
    <xf numFmtId="0" fontId="2" fillId="0" borderId="1183" applyNumberFormat="0" applyAlignment="0" applyProtection="0"/>
    <xf numFmtId="0" fontId="214" fillId="0" borderId="1184" applyNumberFormat="0" applyFont="0" applyFill="0" applyAlignment="0" applyProtection="0"/>
    <xf numFmtId="0" fontId="25" fillId="10" borderId="1185" applyNumberFormat="0" applyProtection="0">
      <alignment horizontal="left" vertical="top"/>
    </xf>
    <xf numFmtId="0" fontId="25" fillId="10" borderId="1186" applyNumberFormat="0" applyProtection="0">
      <alignment horizontal="left" vertical="top"/>
    </xf>
    <xf numFmtId="0" fontId="25" fillId="10" borderId="1187" applyNumberFormat="0" applyProtection="0">
      <alignment horizontal="left" vertical="top"/>
    </xf>
    <xf numFmtId="0" fontId="25" fillId="10" borderId="1188" applyNumberFormat="0" applyProtection="0">
      <alignment horizontal="left" vertical="top"/>
    </xf>
    <xf numFmtId="0" fontId="25" fillId="10" borderId="1185" applyNumberFormat="0" applyProtection="0">
      <alignment horizontal="left" vertical="top"/>
    </xf>
    <xf numFmtId="0" fontId="25" fillId="10" borderId="1186" applyNumberFormat="0" applyProtection="0">
      <alignment horizontal="left" vertical="top"/>
    </xf>
    <xf numFmtId="0" fontId="25" fillId="10" borderId="1187" applyNumberFormat="0" applyProtection="0">
      <alignment horizontal="left" vertical="top"/>
    </xf>
    <xf numFmtId="0" fontId="25" fillId="10" borderId="1188" applyNumberFormat="0" applyProtection="0">
      <alignment horizontal="left" vertical="top"/>
    </xf>
    <xf numFmtId="254" fontId="240" fillId="0" borderId="1178" applyBorder="0" applyProtection="0">
      <alignment horizontal="right" vertical="center"/>
    </xf>
    <xf numFmtId="0" fontId="241" fillId="94" borderId="1178" applyBorder="0" applyProtection="0">
      <alignment horizontal="centerContinuous" vertical="center"/>
    </xf>
    <xf numFmtId="246" fontId="249" fillId="0" borderId="1178" applyFill="0" applyProtection="0">
      <alignment horizontal="center"/>
    </xf>
    <xf numFmtId="246" fontId="250" fillId="0" borderId="1178" applyFill="0" applyProtection="0">
      <alignment horizontal="center"/>
    </xf>
    <xf numFmtId="190" fontId="101" fillId="0" borderId="1178" applyBorder="0"/>
    <xf numFmtId="190" fontId="113" fillId="0" borderId="1178" applyNumberFormat="0" applyFill="0" applyAlignment="0" applyProtection="0"/>
    <xf numFmtId="190" fontId="75" fillId="0" borderId="1155" applyNumberFormat="0" applyFont="0" applyFill="0" applyAlignment="0" applyProtection="0"/>
    <xf numFmtId="190" fontId="12" fillId="0" borderId="1178" applyNumberFormat="0" applyFill="0" applyBorder="0" applyAlignment="0" applyProtection="0">
      <alignment horizontal="center"/>
    </xf>
    <xf numFmtId="190" fontId="78" fillId="14" borderId="1168" applyFont="0" applyFill="0" applyBorder="0" applyAlignment="0" applyProtection="0"/>
    <xf numFmtId="190" fontId="165" fillId="0" borderId="1178" applyFill="0" applyProtection="0">
      <alignment horizontal="center"/>
    </xf>
    <xf numFmtId="190" fontId="166" fillId="0" borderId="1178">
      <alignment horizontal="center"/>
    </xf>
    <xf numFmtId="190" fontId="210" fillId="0" borderId="1178" applyNumberFormat="0" applyFill="0" applyBorder="0" applyAlignment="0">
      <protection locked="0"/>
    </xf>
    <xf numFmtId="190" fontId="2" fillId="0" borderId="1159" applyNumberFormat="0" applyAlignment="0" applyProtection="0"/>
    <xf numFmtId="190" fontId="214" fillId="0" borderId="1160" applyNumberFormat="0" applyFont="0" applyFill="0" applyAlignment="0" applyProtection="0"/>
    <xf numFmtId="190" fontId="25" fillId="10" borderId="1161" applyNumberFormat="0" applyProtection="0">
      <alignment horizontal="left" vertical="top"/>
    </xf>
    <xf numFmtId="190" fontId="25" fillId="10" borderId="1162" applyNumberFormat="0" applyProtection="0">
      <alignment horizontal="left" vertical="top"/>
    </xf>
    <xf numFmtId="190" fontId="25" fillId="10" borderId="1163" applyNumberFormat="0" applyProtection="0">
      <alignment horizontal="left" vertical="top"/>
    </xf>
    <xf numFmtId="190" fontId="25" fillId="10" borderId="1164" applyNumberFormat="0" applyProtection="0">
      <alignment horizontal="left" vertical="top"/>
    </xf>
    <xf numFmtId="190" fontId="241" fillId="94" borderId="1178" applyBorder="0" applyProtection="0">
      <alignment horizontal="centerContinuous" vertical="center"/>
    </xf>
    <xf numFmtId="222" fontId="79" fillId="0" borderId="1177" applyBorder="0"/>
    <xf numFmtId="0" fontId="101" fillId="0" borderId="1178" applyBorder="0"/>
    <xf numFmtId="222" fontId="79" fillId="0" borderId="1177" applyBorder="0"/>
    <xf numFmtId="0" fontId="113" fillId="0" borderId="1178" applyNumberFormat="0" applyFill="0" applyAlignment="0" applyProtection="0"/>
    <xf numFmtId="0" fontId="75" fillId="0" borderId="1155" applyNumberFormat="0" applyFont="0" applyFill="0" applyAlignment="0" applyProtection="0"/>
    <xf numFmtId="0" fontId="12" fillId="0" borderId="1178" applyNumberFormat="0" applyFill="0" applyBorder="0" applyAlignment="0" applyProtection="0">
      <alignment horizontal="center"/>
    </xf>
    <xf numFmtId="248" fontId="46" fillId="0" borderId="1178"/>
    <xf numFmtId="192" fontId="9" fillId="3" borderId="1178">
      <alignment horizontal="right" vertical="center"/>
    </xf>
    <xf numFmtId="180" fontId="9" fillId="3" borderId="1178">
      <alignment horizontal="right" vertical="center"/>
    </xf>
    <xf numFmtId="186" fontId="146" fillId="3" borderId="1178" applyBorder="0">
      <alignment horizontal="left" vertical="center"/>
    </xf>
    <xf numFmtId="186" fontId="146" fillId="3" borderId="1157">
      <alignment horizontal="left"/>
    </xf>
    <xf numFmtId="186" fontId="140" fillId="3" borderId="1158">
      <alignment horizontal="center" vertical="center"/>
    </xf>
    <xf numFmtId="0" fontId="165" fillId="0" borderId="1178" applyFill="0" applyProtection="0">
      <alignment horizontal="center"/>
    </xf>
    <xf numFmtId="0" fontId="166" fillId="0" borderId="1178">
      <alignment horizontal="center"/>
    </xf>
    <xf numFmtId="264" fontId="12" fillId="14" borderId="1178" applyFont="0" applyFill="0" applyBorder="0" applyAlignment="0" applyProtection="0">
      <alignment horizontal="right"/>
    </xf>
    <xf numFmtId="0" fontId="210" fillId="0" borderId="1178" applyNumberFormat="0" applyFill="0" applyBorder="0" applyAlignment="0">
      <protection locked="0"/>
    </xf>
    <xf numFmtId="0" fontId="2" fillId="0" borderId="1159" applyNumberFormat="0" applyAlignment="0" applyProtection="0"/>
    <xf numFmtId="0" fontId="214" fillId="0" borderId="1160" applyNumberFormat="0" applyFont="0" applyFill="0" applyAlignment="0" applyProtection="0"/>
    <xf numFmtId="0" fontId="25" fillId="10" borderId="1161" applyNumberFormat="0" applyProtection="0">
      <alignment horizontal="left" vertical="top"/>
    </xf>
    <xf numFmtId="0" fontId="25" fillId="10" borderId="1162" applyNumberFormat="0" applyProtection="0">
      <alignment horizontal="left" vertical="top"/>
    </xf>
    <xf numFmtId="0" fontId="25" fillId="10" borderId="1163" applyNumberFormat="0" applyProtection="0">
      <alignment horizontal="left" vertical="top"/>
    </xf>
    <xf numFmtId="0" fontId="25" fillId="10" borderId="1164" applyNumberFormat="0" applyProtection="0">
      <alignment horizontal="left" vertical="top"/>
    </xf>
    <xf numFmtId="0" fontId="25" fillId="10" borderId="1161" applyNumberFormat="0" applyProtection="0">
      <alignment horizontal="left" vertical="top"/>
    </xf>
    <xf numFmtId="0" fontId="25" fillId="10" borderId="1162" applyNumberFormat="0" applyProtection="0">
      <alignment horizontal="left" vertical="top"/>
    </xf>
    <xf numFmtId="0" fontId="25" fillId="10" borderId="1163" applyNumberFormat="0" applyProtection="0">
      <alignment horizontal="left" vertical="top"/>
    </xf>
    <xf numFmtId="0" fontId="25" fillId="10" borderId="1164" applyNumberFormat="0" applyProtection="0">
      <alignment horizontal="left" vertical="top"/>
    </xf>
    <xf numFmtId="254" fontId="240" fillId="0" borderId="1178" applyBorder="0" applyProtection="0">
      <alignment horizontal="right" vertical="center"/>
    </xf>
    <xf numFmtId="0" fontId="241" fillId="94" borderId="1178" applyBorder="0" applyProtection="0">
      <alignment horizontal="centerContinuous" vertical="center"/>
    </xf>
    <xf numFmtId="246" fontId="249" fillId="0" borderId="1178" applyFill="0" applyProtection="0">
      <alignment horizontal="center"/>
    </xf>
    <xf numFmtId="246" fontId="250" fillId="0" borderId="1178" applyFill="0" applyProtection="0">
      <alignment horizontal="center"/>
    </xf>
    <xf numFmtId="312" fontId="101" fillId="0" borderId="1178" applyBorder="0"/>
    <xf numFmtId="312" fontId="113" fillId="0" borderId="1178" applyNumberFormat="0" applyFill="0" applyAlignment="0" applyProtection="0"/>
    <xf numFmtId="312" fontId="75" fillId="0" borderId="1155" applyNumberFormat="0" applyFont="0" applyFill="0" applyAlignment="0" applyProtection="0"/>
    <xf numFmtId="312" fontId="12" fillId="0" borderId="1178" applyNumberFormat="0" applyFill="0" applyBorder="0" applyAlignment="0" applyProtection="0">
      <alignment horizontal="center"/>
    </xf>
    <xf numFmtId="312" fontId="165" fillId="0" borderId="1178" applyFill="0" applyProtection="0">
      <alignment horizontal="center"/>
    </xf>
    <xf numFmtId="312" fontId="242" fillId="0" borderId="1178">
      <alignment horizontal="center"/>
    </xf>
    <xf numFmtId="312" fontId="210" fillId="0" borderId="1178" applyNumberFormat="0" applyFill="0" applyBorder="0" applyAlignment="0">
      <protection locked="0"/>
    </xf>
    <xf numFmtId="312" fontId="2" fillId="0" borderId="1159" applyNumberFormat="0" applyAlignment="0" applyProtection="0"/>
    <xf numFmtId="312" fontId="214" fillId="0" borderId="1160" applyNumberFormat="0" applyFont="0" applyFill="0" applyAlignment="0" applyProtection="0"/>
    <xf numFmtId="312" fontId="25" fillId="10" borderId="1161" applyNumberFormat="0" applyProtection="0">
      <alignment horizontal="left" vertical="top"/>
    </xf>
    <xf numFmtId="312" fontId="25" fillId="10" borderId="1162" applyNumberFormat="0" applyProtection="0">
      <alignment horizontal="left" vertical="top"/>
    </xf>
    <xf numFmtId="312" fontId="25" fillId="10" borderId="1163" applyNumberFormat="0" applyProtection="0">
      <alignment horizontal="left" vertical="top"/>
    </xf>
    <xf numFmtId="312" fontId="25" fillId="10" borderId="1164" applyNumberFormat="0" applyProtection="0">
      <alignment horizontal="left" vertical="top"/>
    </xf>
    <xf numFmtId="312" fontId="241" fillId="94" borderId="1178" applyBorder="0" applyProtection="0">
      <alignment horizontal="centerContinuous" vertical="center"/>
    </xf>
    <xf numFmtId="246" fontId="296" fillId="0" borderId="1178" applyFill="0" applyProtection="0">
      <alignment horizontal="center"/>
    </xf>
    <xf numFmtId="312" fontId="101" fillId="0" borderId="1178" applyBorder="0"/>
    <xf numFmtId="312" fontId="113" fillId="0" borderId="1178" applyNumberFormat="0" applyFill="0" applyAlignment="0" applyProtection="0"/>
    <xf numFmtId="312" fontId="75" fillId="0" borderId="1155" applyNumberFormat="0" applyFont="0" applyFill="0" applyAlignment="0" applyProtection="0"/>
    <xf numFmtId="312" fontId="12" fillId="0" borderId="1178" applyNumberFormat="0" applyFill="0" applyBorder="0" applyAlignment="0" applyProtection="0">
      <alignment horizontal="center"/>
    </xf>
    <xf numFmtId="312" fontId="165" fillId="0" borderId="1178" applyFill="0" applyProtection="0">
      <alignment horizontal="center"/>
    </xf>
    <xf numFmtId="312" fontId="242" fillId="0" borderId="1178">
      <alignment horizontal="center"/>
    </xf>
    <xf numFmtId="312" fontId="210" fillId="0" borderId="1178" applyNumberFormat="0" applyFill="0" applyBorder="0" applyAlignment="0">
      <protection locked="0"/>
    </xf>
    <xf numFmtId="312" fontId="2" fillId="0" borderId="1159" applyNumberFormat="0" applyAlignment="0" applyProtection="0"/>
    <xf numFmtId="312" fontId="214" fillId="0" borderId="1160" applyNumberFormat="0" applyFont="0" applyFill="0" applyAlignment="0" applyProtection="0"/>
    <xf numFmtId="312" fontId="25" fillId="10" borderId="1161" applyNumberFormat="0" applyProtection="0">
      <alignment horizontal="left" vertical="top"/>
    </xf>
    <xf numFmtId="312" fontId="25" fillId="10" borderId="1162" applyNumberFormat="0" applyProtection="0">
      <alignment horizontal="left" vertical="top"/>
    </xf>
    <xf numFmtId="312" fontId="25" fillId="10" borderId="1163" applyNumberFormat="0" applyProtection="0">
      <alignment horizontal="left" vertical="top"/>
    </xf>
    <xf numFmtId="312" fontId="25" fillId="10" borderId="1164" applyNumberFormat="0" applyProtection="0">
      <alignment horizontal="left" vertical="top"/>
    </xf>
    <xf numFmtId="312" fontId="25" fillId="10" borderId="1161" applyNumberFormat="0" applyProtection="0">
      <alignment horizontal="left" vertical="top"/>
    </xf>
    <xf numFmtId="312" fontId="25" fillId="10" borderId="1162" applyNumberFormat="0" applyProtection="0">
      <alignment horizontal="left" vertical="top"/>
    </xf>
    <xf numFmtId="312" fontId="25" fillId="10" borderId="1163" applyNumberFormat="0" applyProtection="0">
      <alignment horizontal="left" vertical="top"/>
    </xf>
    <xf numFmtId="312" fontId="25" fillId="10" borderId="1164" applyNumberFormat="0" applyProtection="0">
      <alignment horizontal="left" vertical="top"/>
    </xf>
    <xf numFmtId="312" fontId="241" fillId="94" borderId="1178" applyBorder="0" applyProtection="0">
      <alignment horizontal="centerContinuous" vertical="center"/>
    </xf>
    <xf numFmtId="246" fontId="296" fillId="0" borderId="1178" applyFill="0" applyProtection="0">
      <alignment horizontal="center"/>
    </xf>
    <xf numFmtId="246" fontId="250" fillId="0" borderId="1178" applyFill="0" applyProtection="0">
      <alignment horizontal="center"/>
    </xf>
    <xf numFmtId="246" fontId="249" fillId="0" borderId="1178" applyFill="0" applyProtection="0">
      <alignment horizontal="center"/>
    </xf>
    <xf numFmtId="0" fontId="241" fillId="94" borderId="1178" applyBorder="0" applyProtection="0">
      <alignment horizontal="centerContinuous" vertical="center"/>
    </xf>
    <xf numFmtId="254" fontId="240" fillId="0" borderId="1178" applyBorder="0" applyProtection="0">
      <alignment horizontal="right" vertical="center"/>
    </xf>
    <xf numFmtId="0" fontId="25" fillId="10" borderId="1176" applyNumberFormat="0" applyProtection="0">
      <alignment horizontal="left" vertical="top"/>
    </xf>
    <xf numFmtId="0" fontId="25" fillId="10" borderId="1175" applyNumberFormat="0" applyProtection="0">
      <alignment horizontal="left" vertical="top"/>
    </xf>
    <xf numFmtId="0" fontId="25" fillId="10" borderId="1174" applyNumberFormat="0" applyProtection="0">
      <alignment horizontal="left" vertical="top"/>
    </xf>
    <xf numFmtId="0" fontId="25" fillId="10" borderId="1173" applyNumberFormat="0" applyProtection="0">
      <alignment horizontal="left" vertical="top"/>
    </xf>
    <xf numFmtId="0" fontId="214" fillId="0" borderId="1172" applyNumberFormat="0" applyFont="0" applyFill="0" applyAlignment="0" applyProtection="0"/>
    <xf numFmtId="0" fontId="2" fillId="0" borderId="1171" applyNumberFormat="0" applyAlignment="0" applyProtection="0"/>
    <xf numFmtId="0" fontId="210" fillId="0" borderId="1178" applyNumberFormat="0" applyFill="0" applyBorder="0" applyAlignment="0">
      <protection locked="0"/>
    </xf>
    <xf numFmtId="264" fontId="12" fillId="14" borderId="1178" applyFont="0" applyFill="0" applyBorder="0" applyAlignment="0" applyProtection="0">
      <alignment horizontal="right"/>
    </xf>
    <xf numFmtId="0" fontId="166" fillId="0" borderId="1178">
      <alignment horizontal="center"/>
    </xf>
    <xf numFmtId="0" fontId="165" fillId="0" borderId="1178" applyFill="0" applyProtection="0">
      <alignment horizontal="center"/>
    </xf>
    <xf numFmtId="186" fontId="140" fillId="3" borderId="1170">
      <alignment horizontal="center" vertical="center"/>
    </xf>
    <xf numFmtId="186" fontId="146" fillId="3" borderId="1169">
      <alignment horizontal="left"/>
    </xf>
    <xf numFmtId="186" fontId="146" fillId="3" borderId="1178" applyBorder="0">
      <alignment horizontal="left" vertical="center"/>
    </xf>
    <xf numFmtId="180" fontId="9" fillId="3" borderId="1178">
      <alignment horizontal="right" vertical="center"/>
    </xf>
    <xf numFmtId="192" fontId="9" fillId="3" borderId="1178">
      <alignment horizontal="right" vertical="center"/>
    </xf>
    <xf numFmtId="248" fontId="46" fillId="0" borderId="1178"/>
    <xf numFmtId="0" fontId="78" fillId="14" borderId="1168" applyFont="0" applyFill="0" applyBorder="0" applyAlignment="0" applyProtection="0"/>
    <xf numFmtId="0" fontId="12" fillId="0" borderId="1178" applyNumberFormat="0" applyFill="0" applyBorder="0" applyAlignment="0" applyProtection="0">
      <alignment horizontal="center"/>
    </xf>
    <xf numFmtId="0" fontId="75" fillId="0" borderId="1167" applyNumberFormat="0" applyFont="0" applyFill="0" applyAlignment="0" applyProtection="0"/>
    <xf numFmtId="0" fontId="113" fillId="0" borderId="1178" applyNumberFormat="0" applyFill="0" applyAlignment="0" applyProtection="0"/>
    <xf numFmtId="222" fontId="79" fillId="0" borderId="1177" applyBorder="0"/>
    <xf numFmtId="0" fontId="101" fillId="0" borderId="1178" applyBorder="0"/>
    <xf numFmtId="0" fontId="25" fillId="10" borderId="1185" applyNumberFormat="0" applyProtection="0">
      <alignment horizontal="left" vertical="top"/>
    </xf>
    <xf numFmtId="0" fontId="25" fillId="10" borderId="1186" applyNumberFormat="0" applyProtection="0">
      <alignment horizontal="left" vertical="top"/>
    </xf>
    <xf numFmtId="0" fontId="25" fillId="10" borderId="1187" applyNumberFormat="0" applyProtection="0">
      <alignment horizontal="left" vertical="top"/>
    </xf>
    <xf numFmtId="0" fontId="25" fillId="10" borderId="1188" applyNumberFormat="0" applyProtection="0">
      <alignment horizontal="left" vertical="top"/>
    </xf>
    <xf numFmtId="246" fontId="250" fillId="0" borderId="1166" applyFill="0" applyProtection="0">
      <alignment horizontal="center"/>
    </xf>
    <xf numFmtId="246" fontId="249" fillId="0" borderId="1166" applyFill="0" applyProtection="0">
      <alignment horizontal="center"/>
    </xf>
    <xf numFmtId="0" fontId="241" fillId="94" borderId="1166" applyBorder="0" applyProtection="0">
      <alignment horizontal="centerContinuous" vertical="center"/>
    </xf>
    <xf numFmtId="254" fontId="240" fillId="0" borderId="1166" applyBorder="0" applyProtection="0">
      <alignment horizontal="right" vertical="center"/>
    </xf>
    <xf numFmtId="0" fontId="210" fillId="0" borderId="1166" applyNumberFormat="0" applyFill="0" applyBorder="0" applyAlignment="0">
      <protection locked="0"/>
    </xf>
    <xf numFmtId="264" fontId="12" fillId="14" borderId="1166" applyFont="0" applyFill="0" applyBorder="0" applyAlignment="0" applyProtection="0">
      <alignment horizontal="right"/>
    </xf>
    <xf numFmtId="0" fontId="166" fillId="0" borderId="1166">
      <alignment horizontal="center"/>
    </xf>
    <xf numFmtId="0" fontId="165" fillId="0" borderId="1166" applyFill="0" applyProtection="0">
      <alignment horizontal="center"/>
    </xf>
    <xf numFmtId="186" fontId="146" fillId="3" borderId="1166" applyBorder="0">
      <alignment horizontal="left" vertical="center"/>
    </xf>
    <xf numFmtId="180" fontId="9" fillId="3" borderId="1166">
      <alignment horizontal="right" vertical="center"/>
    </xf>
    <xf numFmtId="192" fontId="9" fillId="3" borderId="1166">
      <alignment horizontal="right" vertical="center"/>
    </xf>
    <xf numFmtId="248" fontId="46" fillId="0" borderId="1166"/>
    <xf numFmtId="0" fontId="12" fillId="0" borderId="1166" applyNumberFormat="0" applyFill="0" applyBorder="0" applyAlignment="0" applyProtection="0">
      <alignment horizontal="center"/>
    </xf>
    <xf numFmtId="0" fontId="113" fillId="0" borderId="1166" applyNumberFormat="0" applyFill="0" applyAlignment="0" applyProtection="0"/>
    <xf numFmtId="222" fontId="79" fillId="0" borderId="1165" applyBorder="0"/>
    <xf numFmtId="0" fontId="101" fillId="0" borderId="1166" applyBorder="0"/>
    <xf numFmtId="246" fontId="250" fillId="0" borderId="1166" applyFill="0" applyProtection="0">
      <alignment horizontal="center"/>
    </xf>
    <xf numFmtId="246" fontId="249" fillId="0" borderId="1166" applyFill="0" applyProtection="0">
      <alignment horizontal="center"/>
    </xf>
    <xf numFmtId="0" fontId="241" fillId="94" borderId="1166" applyBorder="0" applyProtection="0">
      <alignment horizontal="centerContinuous" vertical="center"/>
    </xf>
    <xf numFmtId="254" fontId="240" fillId="0" borderId="1166" applyBorder="0" applyProtection="0">
      <alignment horizontal="right" vertical="center"/>
    </xf>
    <xf numFmtId="0" fontId="210" fillId="0" borderId="1166" applyNumberFormat="0" applyFill="0" applyBorder="0" applyAlignment="0">
      <protection locked="0"/>
    </xf>
    <xf numFmtId="264" fontId="12" fillId="14" borderId="1166" applyFont="0" applyFill="0" applyBorder="0" applyAlignment="0" applyProtection="0">
      <alignment horizontal="right"/>
    </xf>
    <xf numFmtId="0" fontId="166" fillId="0" borderId="1166">
      <alignment horizontal="center"/>
    </xf>
    <xf numFmtId="0" fontId="165" fillId="0" borderId="1166" applyFill="0" applyProtection="0">
      <alignment horizontal="center"/>
    </xf>
    <xf numFmtId="186" fontId="146" fillId="3" borderId="1166" applyBorder="0">
      <alignment horizontal="left" vertical="center"/>
    </xf>
    <xf numFmtId="180" fontId="9" fillId="3" borderId="1166">
      <alignment horizontal="right" vertical="center"/>
    </xf>
    <xf numFmtId="192" fontId="9" fillId="3" borderId="1166">
      <alignment horizontal="right" vertical="center"/>
    </xf>
    <xf numFmtId="0" fontId="12" fillId="0" borderId="1166" applyNumberFormat="0" applyFill="0" applyBorder="0" applyAlignment="0" applyProtection="0">
      <alignment horizontal="center"/>
    </xf>
    <xf numFmtId="0" fontId="113" fillId="0" borderId="1166" applyNumberFormat="0" applyFill="0" applyAlignment="0" applyProtection="0"/>
    <xf numFmtId="222" fontId="79" fillId="0" borderId="1165" applyBorder="0"/>
    <xf numFmtId="0" fontId="101" fillId="0" borderId="1166" applyBorder="0"/>
    <xf numFmtId="248" fontId="46" fillId="0" borderId="1166"/>
    <xf numFmtId="246" fontId="250" fillId="0" borderId="1166" applyFill="0" applyProtection="0">
      <alignment horizontal="center"/>
    </xf>
    <xf numFmtId="246" fontId="249" fillId="0" borderId="1166" applyFill="0" applyProtection="0">
      <alignment horizontal="center"/>
    </xf>
    <xf numFmtId="0" fontId="241" fillId="94" borderId="1166" applyBorder="0" applyProtection="0">
      <alignment horizontal="centerContinuous" vertical="center"/>
    </xf>
    <xf numFmtId="254" fontId="240" fillId="0" borderId="1166" applyBorder="0" applyProtection="0">
      <alignment horizontal="right" vertical="center"/>
    </xf>
    <xf numFmtId="0" fontId="210" fillId="0" borderId="1166" applyNumberFormat="0" applyFill="0" applyBorder="0" applyAlignment="0">
      <protection locked="0"/>
    </xf>
    <xf numFmtId="264" fontId="12" fillId="14" borderId="1166" applyFont="0" applyFill="0" applyBorder="0" applyAlignment="0" applyProtection="0">
      <alignment horizontal="right"/>
    </xf>
    <xf numFmtId="0" fontId="166" fillId="0" borderId="1166">
      <alignment horizontal="center"/>
    </xf>
    <xf numFmtId="0" fontId="165" fillId="0" borderId="1166" applyFill="0" applyProtection="0">
      <alignment horizontal="center"/>
    </xf>
    <xf numFmtId="186" fontId="146" fillId="3" borderId="1166" applyBorder="0">
      <alignment horizontal="left" vertical="center"/>
    </xf>
    <xf numFmtId="180" fontId="9" fillId="3" borderId="1166">
      <alignment horizontal="right" vertical="center"/>
    </xf>
    <xf numFmtId="192" fontId="9" fillId="3" borderId="1166">
      <alignment horizontal="right" vertical="center"/>
    </xf>
    <xf numFmtId="248" fontId="46" fillId="0" borderId="1166"/>
    <xf numFmtId="0" fontId="12" fillId="0" borderId="1166" applyNumberFormat="0" applyFill="0" applyBorder="0" applyAlignment="0" applyProtection="0">
      <alignment horizontal="center"/>
    </xf>
    <xf numFmtId="0" fontId="113" fillId="0" borderId="1166" applyNumberFormat="0" applyFill="0" applyAlignment="0" applyProtection="0"/>
    <xf numFmtId="222" fontId="79" fillId="0" borderId="1165" applyBorder="0"/>
    <xf numFmtId="0" fontId="101" fillId="0" borderId="1166" applyBorder="0"/>
    <xf numFmtId="0" fontId="241" fillId="94" borderId="1381" applyBorder="0" applyProtection="0">
      <alignment horizontal="centerContinuous" vertical="center"/>
    </xf>
    <xf numFmtId="190" fontId="25" fillId="10" borderId="1233" applyNumberFormat="0" applyProtection="0">
      <alignment horizontal="left" vertical="top"/>
    </xf>
    <xf numFmtId="190" fontId="25" fillId="10" borderId="1234" applyNumberFormat="0" applyProtection="0">
      <alignment horizontal="left" vertical="top"/>
    </xf>
    <xf numFmtId="190" fontId="25" fillId="10" borderId="1235" applyNumberFormat="0" applyProtection="0">
      <alignment horizontal="left" vertical="top"/>
    </xf>
    <xf numFmtId="190" fontId="25" fillId="10" borderId="1236" applyNumberFormat="0" applyProtection="0">
      <alignment horizontal="left" vertical="top"/>
    </xf>
    <xf numFmtId="190" fontId="241" fillId="94" borderId="1250" applyBorder="0" applyProtection="0">
      <alignment horizontal="centerContinuous" vertical="center"/>
    </xf>
    <xf numFmtId="0" fontId="25" fillId="10" borderId="2117" applyNumberFormat="0" applyProtection="0">
      <alignment horizontal="left" vertical="top"/>
    </xf>
    <xf numFmtId="169" fontId="234" fillId="10" borderId="4730" applyFont="0" applyProtection="0"/>
    <xf numFmtId="0" fontId="25" fillId="10" borderId="4741" applyNumberFormat="0" applyProtection="0">
      <alignment horizontal="left" vertical="top"/>
    </xf>
    <xf numFmtId="222" fontId="79" fillId="0" borderId="4785" applyBorder="0"/>
    <xf numFmtId="248" fontId="46" fillId="0" borderId="2156"/>
    <xf numFmtId="190" fontId="166" fillId="0" borderId="2156">
      <alignment horizontal="center"/>
    </xf>
    <xf numFmtId="222" fontId="79" fillId="0" borderId="769" applyBorder="0"/>
    <xf numFmtId="264" fontId="12" fillId="14" borderId="1597" applyFont="0" applyFill="0" applyBorder="0" applyAlignment="0" applyProtection="0">
      <alignment horizontal="right"/>
    </xf>
    <xf numFmtId="222" fontId="79" fillId="0" borderId="1249" applyBorder="0"/>
    <xf numFmtId="186" fontId="140" fillId="3" borderId="2067">
      <alignment horizontal="center" vertical="center"/>
    </xf>
    <xf numFmtId="0" fontId="101" fillId="0" borderId="1250" applyBorder="0"/>
    <xf numFmtId="222" fontId="79" fillId="0" borderId="1249" applyBorder="0"/>
    <xf numFmtId="0" fontId="113" fillId="0" borderId="1250" applyNumberFormat="0" applyFill="0" applyAlignment="0" applyProtection="0"/>
    <xf numFmtId="0" fontId="75" fillId="0" borderId="1227" applyNumberFormat="0" applyFont="0" applyFill="0" applyAlignment="0" applyProtection="0"/>
    <xf numFmtId="0" fontId="12" fillId="0" borderId="1250" applyNumberFormat="0" applyFill="0" applyBorder="0" applyAlignment="0" applyProtection="0">
      <alignment horizontal="center"/>
    </xf>
    <xf numFmtId="248" fontId="46" fillId="0" borderId="1250"/>
    <xf numFmtId="192" fontId="9" fillId="3" borderId="1250">
      <alignment horizontal="right" vertical="center"/>
    </xf>
    <xf numFmtId="180" fontId="9" fillId="3" borderId="1250">
      <alignment horizontal="right" vertical="center"/>
    </xf>
    <xf numFmtId="186" fontId="146" fillId="3" borderId="1250" applyBorder="0">
      <alignment horizontal="left" vertical="center"/>
    </xf>
    <xf numFmtId="186" fontId="146" fillId="3" borderId="1229">
      <alignment horizontal="left"/>
    </xf>
    <xf numFmtId="186" fontId="140" fillId="3" borderId="1230">
      <alignment horizontal="center" vertical="center"/>
    </xf>
    <xf numFmtId="0" fontId="165" fillId="0" borderId="1250" applyFill="0" applyProtection="0">
      <alignment horizontal="center"/>
    </xf>
    <xf numFmtId="0" fontId="166" fillId="0" borderId="1250">
      <alignment horizontal="center"/>
    </xf>
    <xf numFmtId="264" fontId="12" fillId="14" borderId="1250" applyFont="0" applyFill="0" applyBorder="0" applyAlignment="0" applyProtection="0">
      <alignment horizontal="right"/>
    </xf>
    <xf numFmtId="0" fontId="210" fillId="0" borderId="1250" applyNumberFormat="0" applyFill="0" applyBorder="0" applyAlignment="0">
      <protection locked="0"/>
    </xf>
    <xf numFmtId="0" fontId="2" fillId="0" borderId="1231" applyNumberFormat="0" applyAlignment="0" applyProtection="0"/>
    <xf numFmtId="0" fontId="214" fillId="0" borderId="1232" applyNumberFormat="0" applyFont="0" applyFill="0" applyAlignment="0" applyProtection="0"/>
    <xf numFmtId="0" fontId="25" fillId="10" borderId="1233" applyNumberFormat="0" applyProtection="0">
      <alignment horizontal="left" vertical="top"/>
    </xf>
    <xf numFmtId="0" fontId="25" fillId="10" borderId="1234" applyNumberFormat="0" applyProtection="0">
      <alignment horizontal="left" vertical="top"/>
    </xf>
    <xf numFmtId="0" fontId="25" fillId="10" borderId="1235" applyNumberFormat="0" applyProtection="0">
      <alignment horizontal="left" vertical="top"/>
    </xf>
    <xf numFmtId="0" fontId="25" fillId="10" borderId="1236" applyNumberFormat="0" applyProtection="0">
      <alignment horizontal="left" vertical="top"/>
    </xf>
    <xf numFmtId="0" fontId="25" fillId="10" borderId="1233" applyNumberFormat="0" applyProtection="0">
      <alignment horizontal="left" vertical="top"/>
    </xf>
    <xf numFmtId="0" fontId="25" fillId="10" borderId="1234" applyNumberFormat="0" applyProtection="0">
      <alignment horizontal="left" vertical="top"/>
    </xf>
    <xf numFmtId="0" fontId="25" fillId="10" borderId="1235" applyNumberFormat="0" applyProtection="0">
      <alignment horizontal="left" vertical="top"/>
    </xf>
    <xf numFmtId="0" fontId="25" fillId="10" borderId="1236" applyNumberFormat="0" applyProtection="0">
      <alignment horizontal="left" vertical="top"/>
    </xf>
    <xf numFmtId="254" fontId="240" fillId="0" borderId="1250" applyBorder="0" applyProtection="0">
      <alignment horizontal="right" vertical="center"/>
    </xf>
    <xf numFmtId="0" fontId="241" fillId="94" borderId="1250" applyBorder="0" applyProtection="0">
      <alignment horizontal="centerContinuous" vertical="center"/>
    </xf>
    <xf numFmtId="246" fontId="249" fillId="0" borderId="1250" applyFill="0" applyProtection="0">
      <alignment horizontal="center"/>
    </xf>
    <xf numFmtId="246" fontId="250" fillId="0" borderId="1250" applyFill="0" applyProtection="0">
      <alignment horizontal="center"/>
    </xf>
    <xf numFmtId="0" fontId="25" fillId="10" borderId="2072" applyNumberFormat="0" applyProtection="0">
      <alignment horizontal="left" vertical="top"/>
    </xf>
    <xf numFmtId="0" fontId="12" fillId="0" borderId="2156" applyNumberFormat="0" applyFill="0" applyBorder="0" applyAlignment="0" applyProtection="0">
      <alignment horizontal="center"/>
    </xf>
    <xf numFmtId="0" fontId="78" fillId="14" borderId="1431" applyFont="0" applyFill="0" applyBorder="0" applyAlignment="0" applyProtection="0"/>
    <xf numFmtId="312" fontId="101" fillId="0" borderId="1250" applyBorder="0"/>
    <xf numFmtId="312" fontId="113" fillId="0" borderId="1250" applyNumberFormat="0" applyFill="0" applyAlignment="0" applyProtection="0"/>
    <xf numFmtId="312" fontId="75" fillId="0" borderId="1227" applyNumberFormat="0" applyFont="0" applyFill="0" applyAlignment="0" applyProtection="0"/>
    <xf numFmtId="312" fontId="12" fillId="0" borderId="1250" applyNumberFormat="0" applyFill="0" applyBorder="0" applyAlignment="0" applyProtection="0">
      <alignment horizontal="center"/>
    </xf>
    <xf numFmtId="312" fontId="78" fillId="14" borderId="1060" applyFont="0" applyFill="0" applyBorder="0" applyAlignment="0" applyProtection="0"/>
    <xf numFmtId="312" fontId="165" fillId="0" borderId="1250" applyFill="0" applyProtection="0">
      <alignment horizontal="center"/>
    </xf>
    <xf numFmtId="312" fontId="242" fillId="0" borderId="1250">
      <alignment horizontal="center"/>
    </xf>
    <xf numFmtId="312" fontId="210" fillId="0" borderId="1250" applyNumberFormat="0" applyFill="0" applyBorder="0" applyAlignment="0">
      <protection locked="0"/>
    </xf>
    <xf numFmtId="312" fontId="2" fillId="0" borderId="1231" applyNumberFormat="0" applyAlignment="0" applyProtection="0"/>
    <xf numFmtId="312" fontId="214" fillId="0" borderId="1232" applyNumberFormat="0" applyFont="0" applyFill="0" applyAlignment="0" applyProtection="0"/>
    <xf numFmtId="222" fontId="79" fillId="0" borderId="1380" applyBorder="0"/>
    <xf numFmtId="0" fontId="210" fillId="0" borderId="2120" applyNumberFormat="0" applyFill="0" applyBorder="0" applyAlignment="0">
      <protection locked="0"/>
    </xf>
    <xf numFmtId="312" fontId="25" fillId="10" borderId="1233" applyNumberFormat="0" applyProtection="0">
      <alignment horizontal="left" vertical="top"/>
    </xf>
    <xf numFmtId="312" fontId="25" fillId="10" borderId="1234" applyNumberFormat="0" applyProtection="0">
      <alignment horizontal="left" vertical="top"/>
    </xf>
    <xf numFmtId="312" fontId="25" fillId="10" borderId="1235" applyNumberFormat="0" applyProtection="0">
      <alignment horizontal="left" vertical="top"/>
    </xf>
    <xf numFmtId="312" fontId="25" fillId="10" borderId="1236" applyNumberFormat="0" applyProtection="0">
      <alignment horizontal="left" vertical="top"/>
    </xf>
    <xf numFmtId="312" fontId="241" fillId="94" borderId="1250" applyBorder="0" applyProtection="0">
      <alignment horizontal="centerContinuous" vertical="center"/>
    </xf>
    <xf numFmtId="246" fontId="296" fillId="0" borderId="1250" applyFill="0" applyProtection="0">
      <alignment horizontal="center"/>
    </xf>
    <xf numFmtId="190" fontId="12" fillId="52" borderId="4732" applyNumberFormat="0" applyProtection="0">
      <alignment horizontal="left" vertical="top" indent="1"/>
    </xf>
    <xf numFmtId="2" fontId="12" fillId="14" borderId="4744" applyFill="0" applyBorder="0" applyProtection="0">
      <alignment horizontal="center"/>
    </xf>
    <xf numFmtId="0" fontId="25" fillId="10" borderId="4725" applyNumberFormat="0" applyProtection="0">
      <alignment horizontal="left" vertical="top"/>
    </xf>
    <xf numFmtId="0" fontId="210" fillId="0" borderId="4762" applyNumberFormat="0" applyFill="0" applyBorder="0" applyAlignment="0">
      <protection locked="0"/>
    </xf>
    <xf numFmtId="5" fontId="114" fillId="0" borderId="4728" applyAlignment="0" applyProtection="0"/>
    <xf numFmtId="248" fontId="46" fillId="0" borderId="1381"/>
    <xf numFmtId="0" fontId="113" fillId="0" borderId="1381" applyNumberFormat="0" applyFill="0" applyAlignment="0" applyProtection="0"/>
    <xf numFmtId="0" fontId="12" fillId="0" borderId="1381" applyNumberFormat="0" applyFill="0" applyBorder="0" applyAlignment="0" applyProtection="0">
      <alignment horizontal="center"/>
    </xf>
    <xf numFmtId="312" fontId="101" fillId="0" borderId="1250" applyBorder="0"/>
    <xf numFmtId="312" fontId="113" fillId="0" borderId="1250" applyNumberFormat="0" applyFill="0" applyAlignment="0" applyProtection="0"/>
    <xf numFmtId="312" fontId="75" fillId="0" borderId="1227" applyNumberFormat="0" applyFont="0" applyFill="0" applyAlignment="0" applyProtection="0"/>
    <xf numFmtId="312" fontId="12" fillId="0" borderId="1250" applyNumberFormat="0" applyFill="0" applyBorder="0" applyAlignment="0" applyProtection="0">
      <alignment horizontal="center"/>
    </xf>
    <xf numFmtId="312" fontId="78" fillId="14" borderId="1060" applyFont="0" applyFill="0" applyBorder="0" applyAlignment="0" applyProtection="0"/>
    <xf numFmtId="312" fontId="165" fillId="0" borderId="1250" applyFill="0" applyProtection="0">
      <alignment horizontal="center"/>
    </xf>
    <xf numFmtId="312" fontId="242" fillId="0" borderId="1250">
      <alignment horizontal="center"/>
    </xf>
    <xf numFmtId="312" fontId="210" fillId="0" borderId="1250" applyNumberFormat="0" applyFill="0" applyBorder="0" applyAlignment="0">
      <protection locked="0"/>
    </xf>
    <xf numFmtId="312" fontId="2" fillId="0" borderId="1231" applyNumberFormat="0" applyAlignment="0" applyProtection="0"/>
    <xf numFmtId="312" fontId="214" fillId="0" borderId="1232" applyNumberFormat="0" applyFont="0" applyFill="0" applyAlignment="0" applyProtection="0"/>
    <xf numFmtId="312" fontId="25" fillId="10" borderId="1233" applyNumberFormat="0" applyProtection="0">
      <alignment horizontal="left" vertical="top"/>
    </xf>
    <xf numFmtId="312" fontId="25" fillId="10" borderId="1234" applyNumberFormat="0" applyProtection="0">
      <alignment horizontal="left" vertical="top"/>
    </xf>
    <xf numFmtId="312" fontId="25" fillId="10" borderId="1235" applyNumberFormat="0" applyProtection="0">
      <alignment horizontal="left" vertical="top"/>
    </xf>
    <xf numFmtId="312" fontId="25" fillId="10" borderId="1236" applyNumberFormat="0" applyProtection="0">
      <alignment horizontal="left" vertical="top"/>
    </xf>
    <xf numFmtId="312" fontId="25" fillId="10" borderId="1233" applyNumberFormat="0" applyProtection="0">
      <alignment horizontal="left" vertical="top"/>
    </xf>
    <xf numFmtId="312" fontId="25" fillId="10" borderId="1234" applyNumberFormat="0" applyProtection="0">
      <alignment horizontal="left" vertical="top"/>
    </xf>
    <xf numFmtId="312" fontId="25" fillId="10" borderId="1235" applyNumberFormat="0" applyProtection="0">
      <alignment horizontal="left" vertical="top"/>
    </xf>
    <xf numFmtId="312" fontId="25" fillId="10" borderId="1236" applyNumberFormat="0" applyProtection="0">
      <alignment horizontal="left" vertical="top"/>
    </xf>
    <xf numFmtId="312" fontId="241" fillId="94" borderId="1250" applyBorder="0" applyProtection="0">
      <alignment horizontal="centerContinuous" vertical="center"/>
    </xf>
    <xf numFmtId="246" fontId="296" fillId="0" borderId="1250" applyFill="0" applyProtection="0">
      <alignment horizontal="center"/>
    </xf>
    <xf numFmtId="246" fontId="250" fillId="0" borderId="1250" applyFill="0" applyProtection="0">
      <alignment horizontal="center"/>
    </xf>
    <xf numFmtId="246" fontId="249" fillId="0" borderId="1250" applyFill="0" applyProtection="0">
      <alignment horizontal="center"/>
    </xf>
    <xf numFmtId="0" fontId="241" fillId="94" borderId="1250" applyBorder="0" applyProtection="0">
      <alignment horizontal="centerContinuous" vertical="center"/>
    </xf>
    <xf numFmtId="254" fontId="240" fillId="0" borderId="1250" applyBorder="0" applyProtection="0">
      <alignment horizontal="right" vertical="center"/>
    </xf>
    <xf numFmtId="0" fontId="25" fillId="10" borderId="1188" applyNumberFormat="0" applyProtection="0">
      <alignment horizontal="left" vertical="top"/>
    </xf>
    <xf numFmtId="0" fontId="25" fillId="10" borderId="1187" applyNumberFormat="0" applyProtection="0">
      <alignment horizontal="left" vertical="top"/>
    </xf>
    <xf numFmtId="0" fontId="25" fillId="10" borderId="1186" applyNumberFormat="0" applyProtection="0">
      <alignment horizontal="left" vertical="top"/>
    </xf>
    <xf numFmtId="0" fontId="25" fillId="10" borderId="1185" applyNumberFormat="0" applyProtection="0">
      <alignment horizontal="left" vertical="top"/>
    </xf>
    <xf numFmtId="0" fontId="214" fillId="0" borderId="1184" applyNumberFormat="0" applyFont="0" applyFill="0" applyAlignment="0" applyProtection="0"/>
    <xf numFmtId="0" fontId="2" fillId="0" borderId="1183" applyNumberFormat="0" applyAlignment="0" applyProtection="0"/>
    <xf numFmtId="0" fontId="210" fillId="0" borderId="1250" applyNumberFormat="0" applyFill="0" applyBorder="0" applyAlignment="0">
      <protection locked="0"/>
    </xf>
    <xf numFmtId="264" fontId="12" fillId="14" borderId="1250" applyFont="0" applyFill="0" applyBorder="0" applyAlignment="0" applyProtection="0">
      <alignment horizontal="right"/>
    </xf>
    <xf numFmtId="254" fontId="240" fillId="0" borderId="1369" applyBorder="0" applyProtection="0">
      <alignment horizontal="right" vertical="center"/>
    </xf>
    <xf numFmtId="0" fontId="166" fillId="0" borderId="1250">
      <alignment horizontal="center"/>
    </xf>
    <xf numFmtId="0" fontId="165" fillId="0" borderId="1250" applyFill="0" applyProtection="0">
      <alignment horizontal="center"/>
    </xf>
    <xf numFmtId="186" fontId="140" fillId="3" borderId="1182">
      <alignment horizontal="center" vertical="center"/>
    </xf>
    <xf numFmtId="186" fontId="146" fillId="3" borderId="1181">
      <alignment horizontal="left"/>
    </xf>
    <xf numFmtId="186" fontId="146" fillId="3" borderId="1250" applyBorder="0">
      <alignment horizontal="left" vertical="center"/>
    </xf>
    <xf numFmtId="180" fontId="9" fillId="3" borderId="1250">
      <alignment horizontal="right" vertical="center"/>
    </xf>
    <xf numFmtId="192" fontId="9" fillId="3" borderId="1250">
      <alignment horizontal="right" vertical="center"/>
    </xf>
    <xf numFmtId="248" fontId="46" fillId="0" borderId="1250"/>
    <xf numFmtId="0" fontId="78" fillId="14" borderId="1180" applyFont="0" applyFill="0" applyBorder="0" applyAlignment="0" applyProtection="0"/>
    <xf numFmtId="222" fontId="79" fillId="0" borderId="1440" applyBorder="0"/>
    <xf numFmtId="0" fontId="12" fillId="0" borderId="1250" applyNumberFormat="0" applyFill="0" applyBorder="0" applyAlignment="0" applyProtection="0">
      <alignment horizontal="center"/>
    </xf>
    <xf numFmtId="0" fontId="75" fillId="0" borderId="1179" applyNumberFormat="0" applyFont="0" applyFill="0" applyAlignment="0" applyProtection="0"/>
    <xf numFmtId="0" fontId="113" fillId="0" borderId="1250" applyNumberFormat="0" applyFill="0" applyAlignment="0" applyProtection="0"/>
    <xf numFmtId="222" fontId="79" fillId="0" borderId="1249" applyBorder="0"/>
    <xf numFmtId="0" fontId="101" fillId="0" borderId="1250" applyBorder="0"/>
    <xf numFmtId="246" fontId="249" fillId="0" borderId="2120" applyFill="0" applyProtection="0">
      <alignment horizontal="center"/>
    </xf>
    <xf numFmtId="0" fontId="25" fillId="10" borderId="1257" applyNumberFormat="0" applyProtection="0">
      <alignment horizontal="left" vertical="top"/>
    </xf>
    <xf numFmtId="0" fontId="25" fillId="10" borderId="1258" applyNumberFormat="0" applyProtection="0">
      <alignment horizontal="left" vertical="top"/>
    </xf>
    <xf numFmtId="0" fontId="25" fillId="10" borderId="1259" applyNumberFormat="0" applyProtection="0">
      <alignment horizontal="left" vertical="top"/>
    </xf>
    <xf numFmtId="0" fontId="25" fillId="10" borderId="1260" applyNumberFormat="0" applyProtection="0">
      <alignment horizontal="left" vertical="top"/>
    </xf>
    <xf numFmtId="0" fontId="159" fillId="67" borderId="4730"/>
    <xf numFmtId="0" fontId="113" fillId="0" borderId="2156" applyNumberFormat="0" applyFill="0" applyAlignment="0" applyProtection="0"/>
    <xf numFmtId="246" fontId="249" fillId="0" borderId="1381" applyFill="0" applyProtection="0">
      <alignment horizontal="center"/>
    </xf>
    <xf numFmtId="0" fontId="210" fillId="0" borderId="1381" applyNumberFormat="0" applyFill="0" applyBorder="0" applyAlignment="0">
      <protection locked="0"/>
    </xf>
    <xf numFmtId="246" fontId="250" fillId="0" borderId="1190" applyFill="0" applyProtection="0">
      <alignment horizontal="center"/>
    </xf>
    <xf numFmtId="246" fontId="249" fillId="0" borderId="1190" applyFill="0" applyProtection="0">
      <alignment horizontal="center"/>
    </xf>
    <xf numFmtId="0" fontId="241" fillId="94" borderId="1190" applyBorder="0" applyProtection="0">
      <alignment horizontal="centerContinuous" vertical="center"/>
    </xf>
    <xf numFmtId="254" fontId="240" fillId="0" borderId="1190" applyBorder="0" applyProtection="0">
      <alignment horizontal="right" vertical="center"/>
    </xf>
    <xf numFmtId="0" fontId="210" fillId="0" borderId="1190" applyNumberFormat="0" applyFill="0" applyBorder="0" applyAlignment="0">
      <protection locked="0"/>
    </xf>
    <xf numFmtId="264" fontId="12" fillId="14" borderId="1190" applyFont="0" applyFill="0" applyBorder="0" applyAlignment="0" applyProtection="0">
      <alignment horizontal="right"/>
    </xf>
    <xf numFmtId="0" fontId="166" fillId="0" borderId="1190">
      <alignment horizontal="center"/>
    </xf>
    <xf numFmtId="0" fontId="165" fillId="0" borderId="1190" applyFill="0" applyProtection="0">
      <alignment horizontal="center"/>
    </xf>
    <xf numFmtId="186" fontId="146" fillId="3" borderId="1190" applyBorder="0">
      <alignment horizontal="left" vertical="center"/>
    </xf>
    <xf numFmtId="180" fontId="9" fillId="3" borderId="1190">
      <alignment horizontal="right" vertical="center"/>
    </xf>
    <xf numFmtId="192" fontId="9" fillId="3" borderId="1190">
      <alignment horizontal="right" vertical="center"/>
    </xf>
    <xf numFmtId="248" fontId="46" fillId="0" borderId="1190"/>
    <xf numFmtId="0" fontId="12" fillId="0" borderId="1190" applyNumberFormat="0" applyFill="0" applyBorder="0" applyAlignment="0" applyProtection="0">
      <alignment horizontal="center"/>
    </xf>
    <xf numFmtId="0" fontId="113" fillId="0" borderId="1190" applyNumberFormat="0" applyFill="0" applyAlignment="0" applyProtection="0"/>
    <xf numFmtId="222" fontId="79" fillId="0" borderId="1069" applyBorder="0"/>
    <xf numFmtId="0" fontId="101" fillId="0" borderId="1190" applyBorder="0"/>
    <xf numFmtId="246" fontId="250" fillId="0" borderId="1369" applyFill="0" applyProtection="0">
      <alignment horizontal="center"/>
    </xf>
    <xf numFmtId="4" fontId="226" fillId="78" borderId="2078" applyNumberFormat="0" applyProtection="0">
      <alignment horizontal="right" vertical="center"/>
    </xf>
    <xf numFmtId="246" fontId="250" fillId="0" borderId="1381" applyFill="0" applyProtection="0">
      <alignment horizontal="center"/>
    </xf>
    <xf numFmtId="246" fontId="250" fillId="0" borderId="1190" applyFill="0" applyProtection="0">
      <alignment horizontal="center"/>
    </xf>
    <xf numFmtId="246" fontId="249" fillId="0" borderId="1190" applyFill="0" applyProtection="0">
      <alignment horizontal="center"/>
    </xf>
    <xf numFmtId="0" fontId="241" fillId="94" borderId="1190" applyBorder="0" applyProtection="0">
      <alignment horizontal="centerContinuous" vertical="center"/>
    </xf>
    <xf numFmtId="254" fontId="240" fillId="0" borderId="1190" applyBorder="0" applyProtection="0">
      <alignment horizontal="right" vertical="center"/>
    </xf>
    <xf numFmtId="192" fontId="9" fillId="3" borderId="2156">
      <alignment horizontal="right" vertical="center"/>
    </xf>
    <xf numFmtId="186" fontId="146" fillId="3" borderId="2120" applyBorder="0">
      <alignment horizontal="left" vertical="center"/>
    </xf>
    <xf numFmtId="180" fontId="9" fillId="3" borderId="1441">
      <alignment horizontal="right" vertical="center"/>
    </xf>
    <xf numFmtId="0" fontId="210" fillId="0" borderId="1190" applyNumberFormat="0" applyFill="0" applyBorder="0" applyAlignment="0">
      <protection locked="0"/>
    </xf>
    <xf numFmtId="264" fontId="12" fillId="14" borderId="1190" applyFont="0" applyFill="0" applyBorder="0" applyAlignment="0" applyProtection="0">
      <alignment horizontal="right"/>
    </xf>
    <xf numFmtId="0" fontId="166" fillId="0" borderId="1190">
      <alignment horizontal="center"/>
    </xf>
    <xf numFmtId="0" fontId="165" fillId="0" borderId="1190" applyFill="0" applyProtection="0">
      <alignment horizontal="center"/>
    </xf>
    <xf numFmtId="186" fontId="146" fillId="3" borderId="1190" applyBorder="0">
      <alignment horizontal="left" vertical="center"/>
    </xf>
    <xf numFmtId="180" fontId="9" fillId="3" borderId="1190">
      <alignment horizontal="right" vertical="center"/>
    </xf>
    <xf numFmtId="192" fontId="9" fillId="3" borderId="1190">
      <alignment horizontal="right" vertical="center"/>
    </xf>
    <xf numFmtId="0" fontId="12" fillId="0" borderId="1190" applyNumberFormat="0" applyFill="0" applyBorder="0" applyAlignment="0" applyProtection="0">
      <alignment horizontal="center"/>
    </xf>
    <xf numFmtId="0" fontId="113" fillId="0" borderId="1190" applyNumberFormat="0" applyFill="0" applyAlignment="0" applyProtection="0"/>
    <xf numFmtId="222" fontId="79" fillId="0" borderId="1069" applyBorder="0"/>
    <xf numFmtId="0" fontId="101" fillId="0" borderId="1190" applyBorder="0"/>
    <xf numFmtId="0" fontId="210" fillId="0" borderId="1381" applyNumberFormat="0" applyFill="0" applyBorder="0" applyAlignment="0">
      <protection locked="0"/>
    </xf>
    <xf numFmtId="248" fontId="46" fillId="0" borderId="1190"/>
    <xf numFmtId="246" fontId="249" fillId="0" borderId="1429" applyFill="0" applyProtection="0">
      <alignment horizontal="center"/>
    </xf>
    <xf numFmtId="246" fontId="250" fillId="0" borderId="1190" applyFill="0" applyProtection="0">
      <alignment horizontal="center"/>
    </xf>
    <xf numFmtId="246" fontId="249" fillId="0" borderId="1190" applyFill="0" applyProtection="0">
      <alignment horizontal="center"/>
    </xf>
    <xf numFmtId="0" fontId="241" fillId="94" borderId="1190" applyBorder="0" applyProtection="0">
      <alignment horizontal="centerContinuous" vertical="center"/>
    </xf>
    <xf numFmtId="254" fontId="240" fillId="0" borderId="1190" applyBorder="0" applyProtection="0">
      <alignment horizontal="right" vertical="center"/>
    </xf>
    <xf numFmtId="0" fontId="210" fillId="0" borderId="1190" applyNumberFormat="0" applyFill="0" applyBorder="0" applyAlignment="0">
      <protection locked="0"/>
    </xf>
    <xf numFmtId="264" fontId="12" fillId="14" borderId="1190" applyFont="0" applyFill="0" applyBorder="0" applyAlignment="0" applyProtection="0">
      <alignment horizontal="right"/>
    </xf>
    <xf numFmtId="0" fontId="166" fillId="0" borderId="1190">
      <alignment horizontal="center"/>
    </xf>
    <xf numFmtId="0" fontId="165" fillId="0" borderId="1190" applyFill="0" applyProtection="0">
      <alignment horizontal="center"/>
    </xf>
    <xf numFmtId="186" fontId="146" fillId="3" borderId="1190" applyBorder="0">
      <alignment horizontal="left" vertical="center"/>
    </xf>
    <xf numFmtId="180" fontId="9" fillId="3" borderId="1190">
      <alignment horizontal="right" vertical="center"/>
    </xf>
    <xf numFmtId="192" fontId="9" fillId="3" borderId="1190">
      <alignment horizontal="right" vertical="center"/>
    </xf>
    <xf numFmtId="248" fontId="46" fillId="0" borderId="1190"/>
    <xf numFmtId="0" fontId="12" fillId="0" borderId="1190" applyNumberFormat="0" applyFill="0" applyBorder="0" applyAlignment="0" applyProtection="0">
      <alignment horizontal="center"/>
    </xf>
    <xf numFmtId="0" fontId="113" fillId="0" borderId="1190" applyNumberFormat="0" applyFill="0" applyAlignment="0" applyProtection="0"/>
    <xf numFmtId="222" fontId="79" fillId="0" borderId="1069" applyBorder="0"/>
    <xf numFmtId="0" fontId="101" fillId="0" borderId="1190" applyBorder="0"/>
    <xf numFmtId="0" fontId="25" fillId="10" borderId="1424" applyNumberFormat="0" applyProtection="0">
      <alignment horizontal="left" vertical="top"/>
    </xf>
    <xf numFmtId="222" fontId="79" fillId="0" borderId="1261" applyBorder="0"/>
    <xf numFmtId="0" fontId="101" fillId="0" borderId="1262" applyBorder="0"/>
    <xf numFmtId="222" fontId="79" fillId="0" borderId="1261" applyBorder="0"/>
    <xf numFmtId="0" fontId="113" fillId="0" borderId="1262" applyNumberFormat="0" applyFill="0" applyAlignment="0" applyProtection="0"/>
    <xf numFmtId="0" fontId="12" fillId="0" borderId="1262" applyNumberFormat="0" applyFill="0" applyBorder="0" applyAlignment="0" applyProtection="0">
      <alignment horizontal="center"/>
    </xf>
    <xf numFmtId="248" fontId="46" fillId="0" borderId="1262"/>
    <xf numFmtId="192" fontId="9" fillId="3" borderId="1262">
      <alignment horizontal="right" vertical="center"/>
    </xf>
    <xf numFmtId="180" fontId="9" fillId="3" borderId="1262">
      <alignment horizontal="right" vertical="center"/>
    </xf>
    <xf numFmtId="186" fontId="146" fillId="3" borderId="1262" applyBorder="0">
      <alignment horizontal="left" vertical="center"/>
    </xf>
    <xf numFmtId="0" fontId="165" fillId="0" borderId="1262" applyFill="0" applyProtection="0">
      <alignment horizontal="center"/>
    </xf>
    <xf numFmtId="0" fontId="166" fillId="0" borderId="1262">
      <alignment horizontal="center"/>
    </xf>
    <xf numFmtId="264" fontId="12" fillId="14" borderId="1262" applyFont="0" applyFill="0" applyBorder="0" applyAlignment="0" applyProtection="0">
      <alignment horizontal="right"/>
    </xf>
    <xf numFmtId="0" fontId="210" fillId="0" borderId="1262" applyNumberFormat="0" applyFill="0" applyBorder="0" applyAlignment="0">
      <protection locked="0"/>
    </xf>
    <xf numFmtId="254" fontId="240" fillId="0" borderId="1262" applyBorder="0" applyProtection="0">
      <alignment horizontal="right" vertical="center"/>
    </xf>
    <xf numFmtId="0" fontId="241" fillId="94" borderId="1262" applyBorder="0" applyProtection="0">
      <alignment horizontal="centerContinuous" vertical="center"/>
    </xf>
    <xf numFmtId="246" fontId="249" fillId="0" borderId="1262" applyFill="0" applyProtection="0">
      <alignment horizontal="center"/>
    </xf>
    <xf numFmtId="246" fontId="250" fillId="0" borderId="1262" applyFill="0" applyProtection="0">
      <alignment horizontal="center"/>
    </xf>
    <xf numFmtId="0" fontId="78" fillId="14" borderId="1264" applyFont="0" applyFill="0" applyBorder="0" applyAlignment="0" applyProtection="0"/>
    <xf numFmtId="0" fontId="25" fillId="10" borderId="1272" applyNumberFormat="0" applyProtection="0">
      <alignment horizontal="left" vertical="top"/>
    </xf>
    <xf numFmtId="0" fontId="25" fillId="10" borderId="1271" applyNumberFormat="0" applyProtection="0">
      <alignment horizontal="left" vertical="top"/>
    </xf>
    <xf numFmtId="0" fontId="25" fillId="10" borderId="1270" applyNumberFormat="0" applyProtection="0">
      <alignment horizontal="left" vertical="top"/>
    </xf>
    <xf numFmtId="0" fontId="25" fillId="10" borderId="1269" applyNumberFormat="0" applyProtection="0">
      <alignment horizontal="left" vertical="top"/>
    </xf>
    <xf numFmtId="0" fontId="214" fillId="0" borderId="1268" applyNumberFormat="0" applyFont="0" applyFill="0" applyAlignment="0" applyProtection="0"/>
    <xf numFmtId="0" fontId="2" fillId="0" borderId="1267" applyNumberFormat="0" applyAlignment="0" applyProtection="0"/>
    <xf numFmtId="186" fontId="140" fillId="3" borderId="1266">
      <alignment horizontal="center" vertical="center"/>
    </xf>
    <xf numFmtId="186" fontId="146" fillId="3" borderId="1265">
      <alignment horizontal="left"/>
    </xf>
    <xf numFmtId="0" fontId="75" fillId="0" borderId="1263" applyNumberFormat="0" applyFont="0" applyFill="0" applyAlignment="0" applyProtection="0"/>
    <xf numFmtId="222" fontId="79" fillId="0" borderId="1273" applyBorder="0"/>
    <xf numFmtId="0" fontId="101" fillId="0" borderId="1274" applyBorder="0"/>
    <xf numFmtId="222" fontId="79" fillId="0" borderId="1273" applyBorder="0"/>
    <xf numFmtId="0" fontId="113" fillId="0" borderId="1274" applyNumberFormat="0" applyFill="0" applyAlignment="0" applyProtection="0"/>
    <xf numFmtId="0" fontId="12" fillId="0" borderId="1274" applyNumberFormat="0" applyFill="0" applyBorder="0" applyAlignment="0" applyProtection="0">
      <alignment horizontal="center"/>
    </xf>
    <xf numFmtId="248" fontId="46" fillId="0" borderId="1274"/>
    <xf numFmtId="192" fontId="9" fillId="3" borderId="1274">
      <alignment horizontal="right" vertical="center"/>
    </xf>
    <xf numFmtId="180" fontId="9" fillId="3" borderId="1274">
      <alignment horizontal="right" vertical="center"/>
    </xf>
    <xf numFmtId="186" fontId="146" fillId="3" borderId="1274" applyBorder="0">
      <alignment horizontal="left" vertical="center"/>
    </xf>
    <xf numFmtId="0" fontId="165" fillId="0" borderId="1274" applyFill="0" applyProtection="0">
      <alignment horizontal="center"/>
    </xf>
    <xf numFmtId="0" fontId="166" fillId="0" borderId="1274">
      <alignment horizontal="center"/>
    </xf>
    <xf numFmtId="264" fontId="12" fillId="14" borderId="1274" applyFont="0" applyFill="0" applyBorder="0" applyAlignment="0" applyProtection="0">
      <alignment horizontal="right"/>
    </xf>
    <xf numFmtId="0" fontId="210" fillId="0" borderId="1274" applyNumberFormat="0" applyFill="0" applyBorder="0" applyAlignment="0">
      <protection locked="0"/>
    </xf>
    <xf numFmtId="254" fontId="240" fillId="0" borderId="1274" applyBorder="0" applyProtection="0">
      <alignment horizontal="right" vertical="center"/>
    </xf>
    <xf numFmtId="0" fontId="241" fillId="94" borderId="1274" applyBorder="0" applyProtection="0">
      <alignment horizontal="centerContinuous" vertical="center"/>
    </xf>
    <xf numFmtId="246" fontId="249" fillId="0" borderId="1274" applyFill="0" applyProtection="0">
      <alignment horizontal="center"/>
    </xf>
    <xf numFmtId="246" fontId="250" fillId="0" borderId="1274" applyFill="0" applyProtection="0">
      <alignment horizontal="center"/>
    </xf>
    <xf numFmtId="186" fontId="146" fillId="3" borderId="1277">
      <alignment horizontal="left"/>
    </xf>
    <xf numFmtId="0" fontId="75" fillId="0" borderId="1275" applyNumberFormat="0" applyFont="0" applyFill="0" applyAlignment="0" applyProtection="0"/>
    <xf numFmtId="0" fontId="113" fillId="0" borderId="1358" applyNumberFormat="0" applyFill="0" applyAlignment="0" applyProtection="0"/>
    <xf numFmtId="264" fontId="12" fillId="14" borderId="1358" applyFont="0" applyFill="0" applyBorder="0" applyAlignment="0" applyProtection="0">
      <alignment horizontal="right"/>
    </xf>
    <xf numFmtId="246" fontId="249" fillId="0" borderId="1358" applyFill="0" applyProtection="0">
      <alignment horizontal="center"/>
    </xf>
    <xf numFmtId="0" fontId="25" fillId="10" borderId="1284" applyNumberFormat="0" applyProtection="0">
      <alignment horizontal="left" vertical="top"/>
    </xf>
    <xf numFmtId="0" fontId="25" fillId="10" borderId="1282" applyNumberFormat="0" applyProtection="0">
      <alignment horizontal="left" vertical="top"/>
    </xf>
    <xf numFmtId="0" fontId="25" fillId="10" borderId="1283" applyNumberFormat="0" applyProtection="0">
      <alignment horizontal="left" vertical="top"/>
    </xf>
    <xf numFmtId="0" fontId="25" fillId="10" borderId="1281" applyNumberFormat="0" applyProtection="0">
      <alignment horizontal="left" vertical="top"/>
    </xf>
    <xf numFmtId="0" fontId="25" fillId="10" borderId="1284" applyNumberFormat="0" applyProtection="0">
      <alignment horizontal="left" vertical="top"/>
    </xf>
    <xf numFmtId="0" fontId="25" fillId="10" borderId="1283" applyNumberFormat="0" applyProtection="0">
      <alignment horizontal="left" vertical="top"/>
    </xf>
    <xf numFmtId="0" fontId="25" fillId="10" borderId="1282" applyNumberFormat="0" applyProtection="0">
      <alignment horizontal="left" vertical="top"/>
    </xf>
    <xf numFmtId="0" fontId="25" fillId="10" borderId="1281" applyNumberFormat="0" applyProtection="0">
      <alignment horizontal="left" vertical="top"/>
    </xf>
    <xf numFmtId="0" fontId="214" fillId="0" borderId="1280" applyNumberFormat="0" applyFont="0" applyFill="0" applyAlignment="0" applyProtection="0"/>
    <xf numFmtId="0" fontId="2" fillId="0" borderId="1279" applyNumberFormat="0" applyAlignment="0" applyProtection="0"/>
    <xf numFmtId="186" fontId="140" fillId="3" borderId="1278">
      <alignment horizontal="center" vertical="center"/>
    </xf>
    <xf numFmtId="186" fontId="140" fillId="3" borderId="1290">
      <alignment horizontal="center" vertical="center"/>
    </xf>
    <xf numFmtId="0" fontId="25" fillId="10" borderId="1293" applyNumberFormat="0" applyProtection="0">
      <alignment horizontal="left" vertical="top"/>
    </xf>
    <xf numFmtId="0" fontId="12" fillId="0" borderId="1358" applyNumberFormat="0" applyFill="0" applyBorder="0" applyAlignment="0" applyProtection="0">
      <alignment horizontal="center"/>
    </xf>
    <xf numFmtId="0" fontId="25" fillId="10" borderId="1355" applyNumberFormat="0" applyProtection="0">
      <alignment horizontal="left" vertical="top"/>
    </xf>
    <xf numFmtId="222" fontId="79" fillId="0" borderId="1345" applyBorder="0"/>
    <xf numFmtId="0" fontId="78" fillId="14" borderId="1348" applyFont="0" applyFill="0" applyBorder="0" applyAlignment="0" applyProtection="0"/>
    <xf numFmtId="222" fontId="79" fillId="0" borderId="1357" applyBorder="0"/>
    <xf numFmtId="0" fontId="101" fillId="0" borderId="1358" applyBorder="0"/>
    <xf numFmtId="222" fontId="79" fillId="0" borderId="1357" applyBorder="0"/>
    <xf numFmtId="248" fontId="46" fillId="0" borderId="1358"/>
    <xf numFmtId="192" fontId="9" fillId="3" borderId="1358">
      <alignment horizontal="right" vertical="center"/>
    </xf>
    <xf numFmtId="180" fontId="9" fillId="3" borderId="1358">
      <alignment horizontal="right" vertical="center"/>
    </xf>
    <xf numFmtId="186" fontId="146" fillId="3" borderId="1358" applyBorder="0">
      <alignment horizontal="left" vertical="center"/>
    </xf>
    <xf numFmtId="0" fontId="165" fillId="0" borderId="1358" applyFill="0" applyProtection="0">
      <alignment horizontal="center"/>
    </xf>
    <xf numFmtId="0" fontId="210" fillId="0" borderId="1358" applyNumberFormat="0" applyFill="0" applyBorder="0" applyAlignment="0">
      <protection locked="0"/>
    </xf>
    <xf numFmtId="254" fontId="240" fillId="0" borderId="1358" applyBorder="0" applyProtection="0">
      <alignment horizontal="right" vertical="center"/>
    </xf>
    <xf numFmtId="246" fontId="250" fillId="0" borderId="1358" applyFill="0" applyProtection="0">
      <alignment horizontal="center"/>
    </xf>
    <xf numFmtId="222" fontId="79" fillId="0" borderId="1297" applyBorder="0"/>
    <xf numFmtId="0" fontId="25" fillId="10" borderId="1294" applyNumberFormat="0" applyProtection="0">
      <alignment horizontal="left" vertical="top"/>
    </xf>
    <xf numFmtId="0" fontId="25" fillId="10" borderId="1296" applyNumberFormat="0" applyProtection="0">
      <alignment horizontal="left" vertical="top"/>
    </xf>
    <xf numFmtId="0" fontId="25" fillId="10" borderId="1293" applyNumberFormat="0" applyProtection="0">
      <alignment horizontal="left" vertical="top"/>
    </xf>
    <xf numFmtId="0" fontId="25" fillId="10" borderId="1294" applyNumberFormat="0" applyProtection="0">
      <alignment horizontal="left" vertical="top"/>
    </xf>
    <xf numFmtId="0" fontId="25" fillId="10" borderId="1295" applyNumberFormat="0" applyProtection="0">
      <alignment horizontal="left" vertical="top"/>
    </xf>
    <xf numFmtId="0" fontId="75" fillId="0" borderId="1299" applyNumberFormat="0" applyFont="0" applyFill="0" applyAlignment="0" applyProtection="0"/>
    <xf numFmtId="0" fontId="101" fillId="0" borderId="1310" applyBorder="0"/>
    <xf numFmtId="222" fontId="79" fillId="0" borderId="1309" applyBorder="0"/>
    <xf numFmtId="0" fontId="113" fillId="0" borderId="1310" applyNumberFormat="0" applyFill="0" applyAlignment="0" applyProtection="0"/>
    <xf numFmtId="0" fontId="12" fillId="0" borderId="1310" applyNumberFormat="0" applyFill="0" applyBorder="0" applyAlignment="0" applyProtection="0">
      <alignment horizontal="center"/>
    </xf>
    <xf numFmtId="248" fontId="46" fillId="0" borderId="1310"/>
    <xf numFmtId="192" fontId="9" fillId="3" borderId="1310">
      <alignment horizontal="right" vertical="center"/>
    </xf>
    <xf numFmtId="180" fontId="9" fillId="3" borderId="1310">
      <alignment horizontal="right" vertical="center"/>
    </xf>
    <xf numFmtId="186" fontId="146" fillId="3" borderId="1310" applyBorder="0">
      <alignment horizontal="left" vertical="center"/>
    </xf>
    <xf numFmtId="0" fontId="166" fillId="0" borderId="1310">
      <alignment horizontal="center"/>
    </xf>
    <xf numFmtId="0" fontId="210" fillId="0" borderId="1310" applyNumberFormat="0" applyFill="0" applyBorder="0" applyAlignment="0">
      <protection locked="0"/>
    </xf>
    <xf numFmtId="264" fontId="12" fillId="14" borderId="1310" applyFont="0" applyFill="0" applyBorder="0" applyAlignment="0" applyProtection="0">
      <alignment horizontal="right"/>
    </xf>
    <xf numFmtId="246" fontId="249" fillId="0" borderId="1310" applyFill="0" applyProtection="0">
      <alignment horizontal="center"/>
    </xf>
    <xf numFmtId="246" fontId="250" fillId="0" borderId="1310" applyFill="0" applyProtection="0">
      <alignment horizontal="center"/>
    </xf>
    <xf numFmtId="246" fontId="250" fillId="0" borderId="1334" applyFill="0" applyProtection="0">
      <alignment horizontal="center"/>
    </xf>
    <xf numFmtId="246" fontId="249" fillId="0" borderId="1334" applyFill="0" applyProtection="0">
      <alignment horizontal="center"/>
    </xf>
    <xf numFmtId="254" fontId="240" fillId="0" borderId="1334" applyBorder="0" applyProtection="0">
      <alignment horizontal="right" vertical="center"/>
    </xf>
    <xf numFmtId="264" fontId="12" fillId="14" borderId="1334" applyFont="0" applyFill="0" applyBorder="0" applyAlignment="0" applyProtection="0">
      <alignment horizontal="right"/>
    </xf>
    <xf numFmtId="0" fontId="165" fillId="0" borderId="1334" applyFill="0" applyProtection="0">
      <alignment horizontal="center"/>
    </xf>
    <xf numFmtId="180" fontId="9" fillId="3" borderId="1334">
      <alignment horizontal="right" vertical="center"/>
    </xf>
    <xf numFmtId="0" fontId="12" fillId="0" borderId="1334" applyNumberFormat="0" applyFill="0" applyBorder="0" applyAlignment="0" applyProtection="0">
      <alignment horizontal="center"/>
    </xf>
    <xf numFmtId="0" fontId="101" fillId="0" borderId="1334" applyBorder="0"/>
    <xf numFmtId="222" fontId="79" fillId="0" borderId="1333" applyBorder="0"/>
    <xf numFmtId="0" fontId="75" fillId="0" borderId="1323" applyNumberFormat="0" applyFont="0" applyFill="0" applyAlignment="0" applyProtection="0"/>
    <xf numFmtId="0" fontId="2" fillId="0" borderId="1327" applyNumberFormat="0" applyAlignment="0" applyProtection="0"/>
    <xf numFmtId="0" fontId="25" fillId="10" borderId="1329" applyNumberFormat="0" applyProtection="0">
      <alignment horizontal="left" vertical="top"/>
    </xf>
    <xf numFmtId="0" fontId="25" fillId="10" borderId="1332" applyNumberFormat="0" applyProtection="0">
      <alignment horizontal="left" vertical="top"/>
    </xf>
    <xf numFmtId="222" fontId="79" fillId="0" borderId="1321" applyBorder="0"/>
    <xf numFmtId="0" fontId="25" fillId="10" borderId="1307" applyNumberFormat="0" applyProtection="0">
      <alignment horizontal="left" vertical="top"/>
    </xf>
    <xf numFmtId="0" fontId="25" fillId="10" borderId="1305" applyNumberFormat="0" applyProtection="0">
      <alignment horizontal="left" vertical="top"/>
    </xf>
    <xf numFmtId="0" fontId="214" fillId="0" borderId="1304" applyNumberFormat="0" applyFont="0" applyFill="0" applyAlignment="0" applyProtection="0"/>
    <xf numFmtId="186" fontId="146" fillId="3" borderId="1301">
      <alignment horizontal="left"/>
    </xf>
    <xf numFmtId="222" fontId="79" fillId="0" borderId="1309" applyBorder="0"/>
    <xf numFmtId="0" fontId="101" fillId="0" borderId="1190" applyBorder="0"/>
    <xf numFmtId="0" fontId="113" fillId="0" borderId="1190" applyNumberFormat="0" applyFill="0" applyAlignment="0" applyProtection="0"/>
    <xf numFmtId="0" fontId="12" fillId="0" borderId="1190" applyNumberFormat="0" applyFill="0" applyBorder="0" applyAlignment="0" applyProtection="0">
      <alignment horizontal="center"/>
    </xf>
    <xf numFmtId="248" fontId="46" fillId="0" borderId="1190"/>
    <xf numFmtId="192" fontId="9" fillId="3" borderId="1190">
      <alignment horizontal="right" vertical="center"/>
    </xf>
    <xf numFmtId="180" fontId="9" fillId="3" borderId="1190">
      <alignment horizontal="right" vertical="center"/>
    </xf>
    <xf numFmtId="186" fontId="146" fillId="3" borderId="1190" applyBorder="0">
      <alignment horizontal="left" vertical="center"/>
    </xf>
    <xf numFmtId="0" fontId="165" fillId="0" borderId="1190" applyFill="0" applyProtection="0">
      <alignment horizontal="center"/>
    </xf>
    <xf numFmtId="0" fontId="166" fillId="0" borderId="1190">
      <alignment horizontal="center"/>
    </xf>
    <xf numFmtId="264" fontId="12" fillId="14" borderId="1190" applyFont="0" applyFill="0" applyBorder="0" applyAlignment="0" applyProtection="0">
      <alignment horizontal="right"/>
    </xf>
    <xf numFmtId="0" fontId="210" fillId="0" borderId="1190" applyNumberFormat="0" applyFill="0" applyBorder="0" applyAlignment="0">
      <protection locked="0"/>
    </xf>
    <xf numFmtId="248" fontId="46" fillId="0" borderId="1334"/>
    <xf numFmtId="222" fontId="79" fillId="0" borderId="1333" applyBorder="0"/>
    <xf numFmtId="186" fontId="140" fillId="3" borderId="1326">
      <alignment horizontal="center" vertical="center"/>
    </xf>
    <xf numFmtId="0" fontId="25" fillId="10" borderId="1331" applyNumberFormat="0" applyProtection="0">
      <alignment horizontal="left" vertical="top"/>
    </xf>
    <xf numFmtId="0" fontId="210" fillId="0" borderId="1334" applyNumberFormat="0" applyFill="0" applyBorder="0" applyAlignment="0">
      <protection locked="0"/>
    </xf>
    <xf numFmtId="192" fontId="9" fillId="3" borderId="1334">
      <alignment horizontal="right" vertical="center"/>
    </xf>
    <xf numFmtId="0" fontId="113" fillId="0" borderId="1334" applyNumberFormat="0" applyFill="0" applyAlignment="0" applyProtection="0"/>
    <xf numFmtId="186" fontId="146" fillId="3" borderId="1325">
      <alignment horizontal="left"/>
    </xf>
    <xf numFmtId="0" fontId="25" fillId="10" borderId="1330" applyNumberFormat="0" applyProtection="0">
      <alignment horizontal="left" vertical="top"/>
    </xf>
    <xf numFmtId="254" fontId="240" fillId="0" borderId="1190" applyBorder="0" applyProtection="0">
      <alignment horizontal="right" vertical="center"/>
    </xf>
    <xf numFmtId="0" fontId="241" fillId="94" borderId="1190" applyBorder="0" applyProtection="0">
      <alignment horizontal="centerContinuous" vertical="center"/>
    </xf>
    <xf numFmtId="246" fontId="249" fillId="0" borderId="1190" applyFill="0" applyProtection="0">
      <alignment horizontal="center"/>
    </xf>
    <xf numFmtId="246" fontId="250" fillId="0" borderId="1190" applyFill="0" applyProtection="0">
      <alignment horizontal="center"/>
    </xf>
    <xf numFmtId="0" fontId="25" fillId="10" borderId="1354" applyNumberFormat="0" applyProtection="0">
      <alignment horizontal="left" vertical="top"/>
    </xf>
    <xf numFmtId="0" fontId="25" fillId="10" borderId="1356" applyNumberFormat="0" applyProtection="0">
      <alignment horizontal="left" vertical="top"/>
    </xf>
    <xf numFmtId="222" fontId="79" fillId="0" borderId="1285" applyBorder="0"/>
    <xf numFmtId="0" fontId="214" fillId="0" borderId="1352" applyNumberFormat="0" applyFont="0" applyFill="0" applyAlignment="0" applyProtection="0"/>
    <xf numFmtId="0" fontId="75" fillId="0" borderId="1287" applyNumberFormat="0" applyFont="0" applyFill="0" applyAlignment="0" applyProtection="0"/>
    <xf numFmtId="0" fontId="25" fillId="10" borderId="1295" applyNumberFormat="0" applyProtection="0">
      <alignment horizontal="left" vertical="top"/>
    </xf>
    <xf numFmtId="0" fontId="25" fillId="10" borderId="1296" applyNumberFormat="0" applyProtection="0">
      <alignment horizontal="left" vertical="top"/>
    </xf>
    <xf numFmtId="0" fontId="165" fillId="0" borderId="1310" applyFill="0" applyProtection="0">
      <alignment horizontal="center"/>
    </xf>
    <xf numFmtId="254" fontId="240" fillId="0" borderId="1310" applyBorder="0" applyProtection="0">
      <alignment horizontal="right" vertical="center"/>
    </xf>
    <xf numFmtId="0" fontId="241" fillId="94" borderId="1310" applyBorder="0" applyProtection="0">
      <alignment horizontal="centerContinuous" vertical="center"/>
    </xf>
    <xf numFmtId="0" fontId="241" fillId="94" borderId="1334" applyBorder="0" applyProtection="0">
      <alignment horizontal="centerContinuous" vertical="center"/>
    </xf>
    <xf numFmtId="0" fontId="166" fillId="0" borderId="1334">
      <alignment horizontal="center"/>
    </xf>
    <xf numFmtId="186" fontId="146" fillId="3" borderId="1334" applyBorder="0">
      <alignment horizontal="left" vertical="center"/>
    </xf>
    <xf numFmtId="0" fontId="214" fillId="0" borderId="1328" applyNumberFormat="0" applyFont="0" applyFill="0" applyAlignment="0" applyProtection="0"/>
    <xf numFmtId="0" fontId="78" fillId="14" borderId="1324" applyFont="0" applyFill="0" applyBorder="0" applyAlignment="0" applyProtection="0"/>
    <xf numFmtId="0" fontId="78" fillId="14" borderId="1252" applyFont="0" applyFill="0" applyBorder="0" applyAlignment="0" applyProtection="0"/>
    <xf numFmtId="0" fontId="25" fillId="10" borderId="1188" applyNumberFormat="0" applyProtection="0">
      <alignment horizontal="left" vertical="top"/>
    </xf>
    <xf numFmtId="0" fontId="25" fillId="10" borderId="1187" applyNumberFormat="0" applyProtection="0">
      <alignment horizontal="left" vertical="top"/>
    </xf>
    <xf numFmtId="0" fontId="25" fillId="10" borderId="1186" applyNumberFormat="0" applyProtection="0">
      <alignment horizontal="left" vertical="top"/>
    </xf>
    <xf numFmtId="0" fontId="25" fillId="10" borderId="1185" applyNumberFormat="0" applyProtection="0">
      <alignment horizontal="left" vertical="top"/>
    </xf>
    <xf numFmtId="186" fontId="140" fillId="3" borderId="1350">
      <alignment horizontal="center" vertical="center"/>
    </xf>
    <xf numFmtId="0" fontId="214" fillId="0" borderId="1184" applyNumberFormat="0" applyFont="0" applyFill="0" applyAlignment="0" applyProtection="0"/>
    <xf numFmtId="0" fontId="2" fillId="0" borderId="1183" applyNumberFormat="0" applyAlignment="0" applyProtection="0"/>
    <xf numFmtId="186" fontId="140" fillId="3" borderId="1182">
      <alignment horizontal="center" vertical="center"/>
    </xf>
    <xf numFmtId="186" fontId="146" fillId="3" borderId="1181">
      <alignment horizontal="left"/>
    </xf>
    <xf numFmtId="186" fontId="146" fillId="3" borderId="1349">
      <alignment horizontal="left"/>
    </xf>
    <xf numFmtId="0" fontId="75" fillId="0" borderId="1179" applyNumberFormat="0" applyFont="0" applyFill="0" applyAlignment="0" applyProtection="0"/>
    <xf numFmtId="0" fontId="75" fillId="0" borderId="1347" applyNumberFormat="0" applyFont="0" applyFill="0" applyAlignment="0" applyProtection="0"/>
    <xf numFmtId="222" fontId="79" fillId="0" borderId="1261" applyBorder="0"/>
    <xf numFmtId="222" fontId="79" fillId="0" borderId="1261" applyBorder="0"/>
    <xf numFmtId="0" fontId="25" fillId="10" borderId="1353" applyNumberFormat="0" applyProtection="0">
      <alignment horizontal="left" vertical="top"/>
    </xf>
    <xf numFmtId="0" fontId="2" fillId="0" borderId="1351" applyNumberFormat="0" applyAlignment="0" applyProtection="0"/>
    <xf numFmtId="246" fontId="250" fillId="0" borderId="1286" applyFill="0" applyProtection="0">
      <alignment horizontal="center"/>
    </xf>
    <xf numFmtId="246" fontId="249" fillId="0" borderId="1286" applyFill="0" applyProtection="0">
      <alignment horizontal="center"/>
    </xf>
    <xf numFmtId="0" fontId="241" fillId="94" borderId="1286" applyBorder="0" applyProtection="0">
      <alignment horizontal="centerContinuous" vertical="center"/>
    </xf>
    <xf numFmtId="254" fontId="240" fillId="0" borderId="1286" applyBorder="0" applyProtection="0">
      <alignment horizontal="right" vertical="center"/>
    </xf>
    <xf numFmtId="0" fontId="210" fillId="0" borderId="1286" applyNumberFormat="0" applyFill="0" applyBorder="0" applyAlignment="0">
      <protection locked="0"/>
    </xf>
    <xf numFmtId="264" fontId="12" fillId="14" borderId="1286" applyFont="0" applyFill="0" applyBorder="0" applyAlignment="0" applyProtection="0">
      <alignment horizontal="right"/>
    </xf>
    <xf numFmtId="0" fontId="166" fillId="0" borderId="1286">
      <alignment horizontal="center"/>
    </xf>
    <xf numFmtId="0" fontId="165" fillId="0" borderId="1286" applyFill="0" applyProtection="0">
      <alignment horizontal="center"/>
    </xf>
    <xf numFmtId="186" fontId="146" fillId="3" borderId="1286" applyBorder="0">
      <alignment horizontal="left" vertical="center"/>
    </xf>
    <xf numFmtId="180" fontId="9" fillId="3" borderId="1286">
      <alignment horizontal="right" vertical="center"/>
    </xf>
    <xf numFmtId="192" fontId="9" fillId="3" borderId="1286">
      <alignment horizontal="right" vertical="center"/>
    </xf>
    <xf numFmtId="248" fontId="46" fillId="0" borderId="1286"/>
    <xf numFmtId="0" fontId="12" fillId="0" borderId="1286" applyNumberFormat="0" applyFill="0" applyBorder="0" applyAlignment="0" applyProtection="0">
      <alignment horizontal="center"/>
    </xf>
    <xf numFmtId="0" fontId="113" fillId="0" borderId="1286" applyNumberFormat="0" applyFill="0" applyAlignment="0" applyProtection="0"/>
    <xf numFmtId="222" fontId="79" fillId="0" borderId="1285" applyBorder="0"/>
    <xf numFmtId="0" fontId="101" fillId="0" borderId="1286" applyBorder="0"/>
    <xf numFmtId="222" fontId="79" fillId="0" borderId="1285" applyBorder="0"/>
    <xf numFmtId="0" fontId="75" fillId="0" borderId="1275" applyNumberFormat="0" applyFont="0" applyFill="0" applyAlignment="0" applyProtection="0"/>
    <xf numFmtId="186" fontId="146" fillId="3" borderId="1277">
      <alignment horizontal="left"/>
    </xf>
    <xf numFmtId="186" fontId="140" fillId="3" borderId="1278">
      <alignment horizontal="center" vertical="center"/>
    </xf>
    <xf numFmtId="0" fontId="2" fillId="0" borderId="1279" applyNumberFormat="0" applyAlignment="0" applyProtection="0"/>
    <xf numFmtId="0" fontId="214" fillId="0" borderId="1280" applyNumberFormat="0" applyFont="0" applyFill="0" applyAlignment="0" applyProtection="0"/>
    <xf numFmtId="0" fontId="25" fillId="10" borderId="1281" applyNumberFormat="0" applyProtection="0">
      <alignment horizontal="left" vertical="top"/>
    </xf>
    <xf numFmtId="0" fontId="25" fillId="10" borderId="1282" applyNumberFormat="0" applyProtection="0">
      <alignment horizontal="left" vertical="top"/>
    </xf>
    <xf numFmtId="0" fontId="25" fillId="10" borderId="1283" applyNumberFormat="0" applyProtection="0">
      <alignment horizontal="left" vertical="top"/>
    </xf>
    <xf numFmtId="0" fontId="25" fillId="10" borderId="1284" applyNumberFormat="0" applyProtection="0">
      <alignment horizontal="left" vertical="top"/>
    </xf>
    <xf numFmtId="0" fontId="78" fillId="14" borderId="1276" applyFont="0" applyFill="0" applyBorder="0" applyAlignment="0" applyProtection="0"/>
    <xf numFmtId="222" fontId="79" fillId="0" borderId="1273" applyBorder="0"/>
    <xf numFmtId="0" fontId="78" fillId="14" borderId="1252" applyFont="0" applyFill="0" applyBorder="0" applyAlignment="0" applyProtection="0"/>
    <xf numFmtId="222" fontId="79" fillId="0" borderId="1261" applyBorder="0"/>
    <xf numFmtId="0" fontId="78" fillId="14" borderId="1264" applyFont="0" applyFill="0" applyBorder="0" applyAlignment="0" applyProtection="0"/>
    <xf numFmtId="0" fontId="25" fillId="10" borderId="1272" applyNumberFormat="0" applyProtection="0">
      <alignment horizontal="left" vertical="top"/>
    </xf>
    <xf numFmtId="0" fontId="25" fillId="10" borderId="1271" applyNumberFormat="0" applyProtection="0">
      <alignment horizontal="left" vertical="top"/>
    </xf>
    <xf numFmtId="0" fontId="25" fillId="10" borderId="1270" applyNumberFormat="0" applyProtection="0">
      <alignment horizontal="left" vertical="top"/>
    </xf>
    <xf numFmtId="0" fontId="25" fillId="10" borderId="1269" applyNumberFormat="0" applyProtection="0">
      <alignment horizontal="left" vertical="top"/>
    </xf>
    <xf numFmtId="0" fontId="214" fillId="0" borderId="1268" applyNumberFormat="0" applyFont="0" applyFill="0" applyAlignment="0" applyProtection="0"/>
    <xf numFmtId="0" fontId="2" fillId="0" borderId="1183" applyNumberFormat="0" applyAlignment="0" applyProtection="0"/>
    <xf numFmtId="186" fontId="140" fillId="3" borderId="1266">
      <alignment horizontal="center" vertical="center"/>
    </xf>
    <xf numFmtId="186" fontId="146" fillId="3" borderId="1265">
      <alignment horizontal="left"/>
    </xf>
    <xf numFmtId="0" fontId="75" fillId="0" borderId="1263" applyNumberFormat="0" applyFont="0" applyFill="0" applyAlignment="0" applyProtection="0"/>
    <xf numFmtId="222" fontId="79" fillId="0" borderId="1273" applyBorder="0"/>
    <xf numFmtId="0" fontId="101" fillId="0" borderId="1274" applyBorder="0"/>
    <xf numFmtId="222" fontId="79" fillId="0" borderId="1273" applyBorder="0"/>
    <xf numFmtId="0" fontId="113" fillId="0" borderId="1274" applyNumberFormat="0" applyFill="0" applyAlignment="0" applyProtection="0"/>
    <xf numFmtId="0" fontId="12" fillId="0" borderId="1274" applyNumberFormat="0" applyFill="0" applyBorder="0" applyAlignment="0" applyProtection="0">
      <alignment horizontal="center"/>
    </xf>
    <xf numFmtId="248" fontId="46" fillId="0" borderId="1274"/>
    <xf numFmtId="192" fontId="9" fillId="3" borderId="1274">
      <alignment horizontal="right" vertical="center"/>
    </xf>
    <xf numFmtId="180" fontId="9" fillId="3" borderId="1274">
      <alignment horizontal="right" vertical="center"/>
    </xf>
    <xf numFmtId="186" fontId="146" fillId="3" borderId="1274" applyBorder="0">
      <alignment horizontal="left" vertical="center"/>
    </xf>
    <xf numFmtId="0" fontId="165" fillId="0" borderId="1274" applyFill="0" applyProtection="0">
      <alignment horizontal="center"/>
    </xf>
    <xf numFmtId="0" fontId="166" fillId="0" borderId="1274">
      <alignment horizontal="center"/>
    </xf>
    <xf numFmtId="264" fontId="12" fillId="14" borderId="1274" applyFont="0" applyFill="0" applyBorder="0" applyAlignment="0" applyProtection="0">
      <alignment horizontal="right"/>
    </xf>
    <xf numFmtId="0" fontId="210" fillId="0" borderId="1274" applyNumberFormat="0" applyFill="0" applyBorder="0" applyAlignment="0">
      <protection locked="0"/>
    </xf>
    <xf numFmtId="254" fontId="240" fillId="0" borderId="1274" applyBorder="0" applyProtection="0">
      <alignment horizontal="right" vertical="center"/>
    </xf>
    <xf numFmtId="0" fontId="241" fillId="94" borderId="1274" applyBorder="0" applyProtection="0">
      <alignment horizontal="centerContinuous" vertical="center"/>
    </xf>
    <xf numFmtId="246" fontId="249" fillId="0" borderId="1274" applyFill="0" applyProtection="0">
      <alignment horizontal="center"/>
    </xf>
    <xf numFmtId="246" fontId="250" fillId="0" borderId="1274" applyFill="0" applyProtection="0">
      <alignment horizontal="center"/>
    </xf>
    <xf numFmtId="0" fontId="241" fillId="94" borderId="1358" applyBorder="0" applyProtection="0">
      <alignment horizontal="centerContinuous" vertical="center"/>
    </xf>
    <xf numFmtId="0" fontId="166" fillId="0" borderId="1358">
      <alignment horizontal="center"/>
    </xf>
    <xf numFmtId="0" fontId="2" fillId="0" borderId="1291" applyNumberFormat="0" applyAlignment="0" applyProtection="0"/>
    <xf numFmtId="0" fontId="214" fillId="0" borderId="1292" applyNumberFormat="0" applyFont="0" applyFill="0" applyAlignment="0" applyProtection="0"/>
    <xf numFmtId="246" fontId="250" fillId="0" borderId="1298" applyFill="0" applyProtection="0">
      <alignment horizontal="center"/>
    </xf>
    <xf numFmtId="246" fontId="249" fillId="0" borderId="1298" applyFill="0" applyProtection="0">
      <alignment horizontal="center"/>
    </xf>
    <xf numFmtId="0" fontId="241" fillId="94" borderId="1298" applyBorder="0" applyProtection="0">
      <alignment horizontal="centerContinuous" vertical="center"/>
    </xf>
    <xf numFmtId="254" fontId="240" fillId="0" borderId="1298" applyBorder="0" applyProtection="0">
      <alignment horizontal="right" vertical="center"/>
    </xf>
    <xf numFmtId="0" fontId="210" fillId="0" borderId="1298" applyNumberFormat="0" applyFill="0" applyBorder="0" applyAlignment="0">
      <protection locked="0"/>
    </xf>
    <xf numFmtId="264" fontId="12" fillId="14" borderId="1298" applyFont="0" applyFill="0" applyBorder="0" applyAlignment="0" applyProtection="0">
      <alignment horizontal="right"/>
    </xf>
    <xf numFmtId="0" fontId="166" fillId="0" borderId="1298">
      <alignment horizontal="center"/>
    </xf>
    <xf numFmtId="0" fontId="165" fillId="0" borderId="1298" applyFill="0" applyProtection="0">
      <alignment horizontal="center"/>
    </xf>
    <xf numFmtId="186" fontId="146" fillId="3" borderId="1298" applyBorder="0">
      <alignment horizontal="left" vertical="center"/>
    </xf>
    <xf numFmtId="180" fontId="9" fillId="3" borderId="1298">
      <alignment horizontal="right" vertical="center"/>
    </xf>
    <xf numFmtId="192" fontId="9" fillId="3" borderId="1298">
      <alignment horizontal="right" vertical="center"/>
    </xf>
    <xf numFmtId="248" fontId="46" fillId="0" borderId="1298"/>
    <xf numFmtId="0" fontId="12" fillId="0" borderId="1298" applyNumberFormat="0" applyFill="0" applyBorder="0" applyAlignment="0" applyProtection="0">
      <alignment horizontal="center"/>
    </xf>
    <xf numFmtId="0" fontId="113" fillId="0" borderId="1298" applyNumberFormat="0" applyFill="0" applyAlignment="0" applyProtection="0"/>
    <xf numFmtId="222" fontId="79" fillId="0" borderId="1297" applyBorder="0"/>
    <xf numFmtId="0" fontId="101" fillId="0" borderId="1298" applyBorder="0"/>
    <xf numFmtId="222" fontId="79" fillId="0" borderId="1297" applyBorder="0"/>
    <xf numFmtId="0" fontId="75" fillId="0" borderId="1287" applyNumberFormat="0" applyFont="0" applyFill="0" applyAlignment="0" applyProtection="0"/>
    <xf numFmtId="186" fontId="146" fillId="3" borderId="1289">
      <alignment horizontal="left"/>
    </xf>
    <xf numFmtId="186" fontId="140" fillId="3" borderId="1290">
      <alignment horizontal="center" vertical="center"/>
    </xf>
    <xf numFmtId="0" fontId="2" fillId="0" borderId="1291" applyNumberFormat="0" applyAlignment="0" applyProtection="0"/>
    <xf numFmtId="0" fontId="214" fillId="0" borderId="1292" applyNumberFormat="0" applyFont="0" applyFill="0" applyAlignment="0" applyProtection="0"/>
    <xf numFmtId="0" fontId="25" fillId="10" borderId="1293" applyNumberFormat="0" applyProtection="0">
      <alignment horizontal="left" vertical="top"/>
    </xf>
    <xf numFmtId="0" fontId="25" fillId="10" borderId="1294" applyNumberFormat="0" applyProtection="0">
      <alignment horizontal="left" vertical="top"/>
    </xf>
    <xf numFmtId="0" fontId="25" fillId="10" borderId="1295" applyNumberFormat="0" applyProtection="0">
      <alignment horizontal="left" vertical="top"/>
    </xf>
    <xf numFmtId="0" fontId="25" fillId="10" borderId="1296" applyNumberFormat="0" applyProtection="0">
      <alignment horizontal="left" vertical="top"/>
    </xf>
    <xf numFmtId="0" fontId="78" fillId="14" borderId="1288" applyFont="0" applyFill="0" applyBorder="0" applyAlignment="0" applyProtection="0"/>
    <xf numFmtId="222" fontId="79" fillId="0" borderId="1285" applyBorder="0"/>
    <xf numFmtId="0" fontId="78" fillId="14" borderId="1300" applyFont="0" applyFill="0" applyBorder="0" applyAlignment="0" applyProtection="0"/>
    <xf numFmtId="186" fontId="146" fillId="3" borderId="1289">
      <alignment horizontal="left"/>
    </xf>
    <xf numFmtId="0" fontId="78" fillId="14" borderId="1276" applyFont="0" applyFill="0" applyBorder="0" applyAlignment="0" applyProtection="0"/>
    <xf numFmtId="222" fontId="79" fillId="0" borderId="1285" applyBorder="0"/>
    <xf numFmtId="0" fontId="2" fillId="0" borderId="1303" applyNumberFormat="0" applyAlignment="0" applyProtection="0"/>
    <xf numFmtId="0" fontId="78" fillId="14" borderId="1276" applyFont="0" applyFill="0" applyBorder="0" applyAlignment="0" applyProtection="0"/>
    <xf numFmtId="0" fontId="25" fillId="10" borderId="1284" applyNumberFormat="0" applyProtection="0">
      <alignment horizontal="left" vertical="top"/>
    </xf>
    <xf numFmtId="0" fontId="25" fillId="10" borderId="1283" applyNumberFormat="0" applyProtection="0">
      <alignment horizontal="left" vertical="top"/>
    </xf>
    <xf numFmtId="0" fontId="25" fillId="10" borderId="1282" applyNumberFormat="0" applyProtection="0">
      <alignment horizontal="left" vertical="top"/>
    </xf>
    <xf numFmtId="0" fontId="25" fillId="10" borderId="1281" applyNumberFormat="0" applyProtection="0">
      <alignment horizontal="left" vertical="top"/>
    </xf>
    <xf numFmtId="0" fontId="25" fillId="10" borderId="1306" applyNumberFormat="0" applyProtection="0">
      <alignment horizontal="left" vertical="top"/>
    </xf>
    <xf numFmtId="0" fontId="214" fillId="0" borderId="1280" applyNumberFormat="0" applyFont="0" applyFill="0" applyAlignment="0" applyProtection="0"/>
    <xf numFmtId="0" fontId="2" fillId="0" borderId="1279" applyNumberFormat="0" applyAlignment="0" applyProtection="0"/>
    <xf numFmtId="186" fontId="140" fillId="3" borderId="1278">
      <alignment horizontal="center" vertical="center"/>
    </xf>
    <xf numFmtId="186" fontId="146" fillId="3" borderId="1277">
      <alignment horizontal="left"/>
    </xf>
    <xf numFmtId="0" fontId="25" fillId="10" borderId="1308" applyNumberFormat="0" applyProtection="0">
      <alignment horizontal="left" vertical="top"/>
    </xf>
    <xf numFmtId="0" fontId="75" fillId="0" borderId="1275" applyNumberFormat="0" applyFont="0" applyFill="0" applyAlignment="0" applyProtection="0"/>
    <xf numFmtId="222" fontId="79" fillId="0" borderId="1285" applyBorder="0"/>
    <xf numFmtId="0" fontId="101" fillId="0" borderId="1286" applyBorder="0"/>
    <xf numFmtId="222" fontId="79" fillId="0" borderId="1285" applyBorder="0"/>
    <xf numFmtId="0" fontId="113" fillId="0" borderId="1286" applyNumberFormat="0" applyFill="0" applyAlignment="0" applyProtection="0"/>
    <xf numFmtId="0" fontId="12" fillId="0" borderId="1286" applyNumberFormat="0" applyFill="0" applyBorder="0" applyAlignment="0" applyProtection="0">
      <alignment horizontal="center"/>
    </xf>
    <xf numFmtId="248" fontId="46" fillId="0" borderId="1286"/>
    <xf numFmtId="192" fontId="9" fillId="3" borderId="1286">
      <alignment horizontal="right" vertical="center"/>
    </xf>
    <xf numFmtId="180" fontId="9" fillId="3" borderId="1286">
      <alignment horizontal="right" vertical="center"/>
    </xf>
    <xf numFmtId="186" fontId="146" fillId="3" borderId="1286" applyBorder="0">
      <alignment horizontal="left" vertical="center"/>
    </xf>
    <xf numFmtId="0" fontId="165" fillId="0" borderId="1286" applyFill="0" applyProtection="0">
      <alignment horizontal="center"/>
    </xf>
    <xf numFmtId="0" fontId="166" fillId="0" borderId="1286">
      <alignment horizontal="center"/>
    </xf>
    <xf numFmtId="264" fontId="12" fillId="14" borderId="1286" applyFont="0" applyFill="0" applyBorder="0" applyAlignment="0" applyProtection="0">
      <alignment horizontal="right"/>
    </xf>
    <xf numFmtId="0" fontId="210" fillId="0" borderId="1286" applyNumberFormat="0" applyFill="0" applyBorder="0" applyAlignment="0">
      <protection locked="0"/>
    </xf>
    <xf numFmtId="254" fontId="240" fillId="0" borderId="1286" applyBorder="0" applyProtection="0">
      <alignment horizontal="right" vertical="center"/>
    </xf>
    <xf numFmtId="0" fontId="241" fillId="94" borderId="1286" applyBorder="0" applyProtection="0">
      <alignment horizontal="centerContinuous" vertical="center"/>
    </xf>
    <xf numFmtId="246" fontId="249" fillId="0" borderId="1286" applyFill="0" applyProtection="0">
      <alignment horizontal="center"/>
    </xf>
    <xf numFmtId="246" fontId="250" fillId="0" borderId="1286" applyFill="0" applyProtection="0">
      <alignment horizontal="center"/>
    </xf>
    <xf numFmtId="186" fontId="140" fillId="3" borderId="1302">
      <alignment horizontal="center" vertical="center"/>
    </xf>
    <xf numFmtId="0" fontId="78" fillId="14" borderId="1288" applyFont="0" applyFill="0" applyBorder="0" applyAlignment="0" applyProtection="0"/>
    <xf numFmtId="222" fontId="79" fillId="0" borderId="1309" applyBorder="0"/>
    <xf numFmtId="0" fontId="78" fillId="14" borderId="1312" applyFont="0" applyFill="0" applyBorder="0" applyAlignment="0" applyProtection="0"/>
    <xf numFmtId="0" fontId="25" fillId="10" borderId="1320" applyNumberFormat="0" applyProtection="0">
      <alignment horizontal="left" vertical="top"/>
    </xf>
    <xf numFmtId="0" fontId="25" fillId="10" borderId="1319" applyNumberFormat="0" applyProtection="0">
      <alignment horizontal="left" vertical="top"/>
    </xf>
    <xf numFmtId="0" fontId="25" fillId="10" borderId="1318" applyNumberFormat="0" applyProtection="0">
      <alignment horizontal="left" vertical="top"/>
    </xf>
    <xf numFmtId="0" fontId="25" fillId="10" borderId="1317" applyNumberFormat="0" applyProtection="0">
      <alignment horizontal="left" vertical="top"/>
    </xf>
    <xf numFmtId="0" fontId="214" fillId="0" borderId="1316" applyNumberFormat="0" applyFont="0" applyFill="0" applyAlignment="0" applyProtection="0"/>
    <xf numFmtId="0" fontId="2" fillId="0" borderId="1315" applyNumberFormat="0" applyAlignment="0" applyProtection="0"/>
    <xf numFmtId="186" fontId="140" fillId="3" borderId="1314">
      <alignment horizontal="center" vertical="center"/>
    </xf>
    <xf numFmtId="186" fontId="146" fillId="3" borderId="1313">
      <alignment horizontal="left"/>
    </xf>
    <xf numFmtId="0" fontId="75" fillId="0" borderId="1311" applyNumberFormat="0" applyFont="0" applyFill="0" applyAlignment="0" applyProtection="0"/>
    <xf numFmtId="222" fontId="79" fillId="0" borderId="1321" applyBorder="0"/>
    <xf numFmtId="0" fontId="101" fillId="0" borderId="1322" applyBorder="0"/>
    <xf numFmtId="222" fontId="79" fillId="0" borderId="1321" applyBorder="0"/>
    <xf numFmtId="0" fontId="113" fillId="0" borderId="1322" applyNumberFormat="0" applyFill="0" applyAlignment="0" applyProtection="0"/>
    <xf numFmtId="0" fontId="12" fillId="0" borderId="1322" applyNumberFormat="0" applyFill="0" applyBorder="0" applyAlignment="0" applyProtection="0">
      <alignment horizontal="center"/>
    </xf>
    <xf numFmtId="248" fontId="46" fillId="0" borderId="1322"/>
    <xf numFmtId="192" fontId="9" fillId="3" borderId="1322">
      <alignment horizontal="right" vertical="center"/>
    </xf>
    <xf numFmtId="180" fontId="9" fillId="3" borderId="1322">
      <alignment horizontal="right" vertical="center"/>
    </xf>
    <xf numFmtId="186" fontId="146" fillId="3" borderId="1322" applyBorder="0">
      <alignment horizontal="left" vertical="center"/>
    </xf>
    <xf numFmtId="0" fontId="165" fillId="0" borderId="1322" applyFill="0" applyProtection="0">
      <alignment horizontal="center"/>
    </xf>
    <xf numFmtId="0" fontId="166" fillId="0" borderId="1322">
      <alignment horizontal="center"/>
    </xf>
    <xf numFmtId="264" fontId="12" fillId="14" borderId="1322" applyFont="0" applyFill="0" applyBorder="0" applyAlignment="0" applyProtection="0">
      <alignment horizontal="right"/>
    </xf>
    <xf numFmtId="0" fontId="210" fillId="0" borderId="1322" applyNumberFormat="0" applyFill="0" applyBorder="0" applyAlignment="0">
      <protection locked="0"/>
    </xf>
    <xf numFmtId="254" fontId="240" fillId="0" borderId="1322" applyBorder="0" applyProtection="0">
      <alignment horizontal="right" vertical="center"/>
    </xf>
    <xf numFmtId="0" fontId="241" fillId="94" borderId="1322" applyBorder="0" applyProtection="0">
      <alignment horizontal="centerContinuous" vertical="center"/>
    </xf>
    <xf numFmtId="246" fontId="249" fillId="0" borderId="1322" applyFill="0" applyProtection="0">
      <alignment horizontal="center"/>
    </xf>
    <xf numFmtId="246" fontId="250" fillId="0" borderId="1322" applyFill="0" applyProtection="0">
      <alignment horizontal="center"/>
    </xf>
    <xf numFmtId="222" fontId="79" fillId="0" borderId="1333" applyBorder="0"/>
    <xf numFmtId="0" fontId="78" fillId="14" borderId="1336" applyFont="0" applyFill="0" applyBorder="0" applyAlignment="0" applyProtection="0"/>
    <xf numFmtId="0" fontId="25" fillId="10" borderId="1344" applyNumberFormat="0" applyProtection="0">
      <alignment horizontal="left" vertical="top"/>
    </xf>
    <xf numFmtId="0" fontId="25" fillId="10" borderId="1343" applyNumberFormat="0" applyProtection="0">
      <alignment horizontal="left" vertical="top"/>
    </xf>
    <xf numFmtId="0" fontId="25" fillId="10" borderId="1342" applyNumberFormat="0" applyProtection="0">
      <alignment horizontal="left" vertical="top"/>
    </xf>
    <xf numFmtId="0" fontId="25" fillId="10" borderId="1341" applyNumberFormat="0" applyProtection="0">
      <alignment horizontal="left" vertical="top"/>
    </xf>
    <xf numFmtId="0" fontId="214" fillId="0" borderId="1340" applyNumberFormat="0" applyFont="0" applyFill="0" applyAlignment="0" applyProtection="0"/>
    <xf numFmtId="0" fontId="2" fillId="0" borderId="1339" applyNumberFormat="0" applyAlignment="0" applyProtection="0"/>
    <xf numFmtId="186" fontId="140" fillId="3" borderId="1338">
      <alignment horizontal="center" vertical="center"/>
    </xf>
    <xf numFmtId="186" fontId="146" fillId="3" borderId="1337">
      <alignment horizontal="left"/>
    </xf>
    <xf numFmtId="0" fontId="75" fillId="0" borderId="1335" applyNumberFormat="0" applyFont="0" applyFill="0" applyAlignment="0" applyProtection="0"/>
    <xf numFmtId="222" fontId="79" fillId="0" borderId="1345" applyBorder="0"/>
    <xf numFmtId="0" fontId="101" fillId="0" borderId="1346" applyBorder="0"/>
    <xf numFmtId="222" fontId="79" fillId="0" borderId="1345" applyBorder="0"/>
    <xf numFmtId="0" fontId="113" fillId="0" borderId="1346" applyNumberFormat="0" applyFill="0" applyAlignment="0" applyProtection="0"/>
    <xf numFmtId="0" fontId="12" fillId="0" borderId="1346" applyNumberFormat="0" applyFill="0" applyBorder="0" applyAlignment="0" applyProtection="0">
      <alignment horizontal="center"/>
    </xf>
    <xf numFmtId="248" fontId="46" fillId="0" borderId="1346"/>
    <xf numFmtId="192" fontId="9" fillId="3" borderId="1346">
      <alignment horizontal="right" vertical="center"/>
    </xf>
    <xf numFmtId="180" fontId="9" fillId="3" borderId="1346">
      <alignment horizontal="right" vertical="center"/>
    </xf>
    <xf numFmtId="186" fontId="146" fillId="3" borderId="1346" applyBorder="0">
      <alignment horizontal="left" vertical="center"/>
    </xf>
    <xf numFmtId="0" fontId="165" fillId="0" borderId="1346" applyFill="0" applyProtection="0">
      <alignment horizontal="center"/>
    </xf>
    <xf numFmtId="0" fontId="166" fillId="0" borderId="1346">
      <alignment horizontal="center"/>
    </xf>
    <xf numFmtId="264" fontId="12" fillId="14" borderId="1346" applyFont="0" applyFill="0" applyBorder="0" applyAlignment="0" applyProtection="0">
      <alignment horizontal="right"/>
    </xf>
    <xf numFmtId="0" fontId="210" fillId="0" borderId="1346" applyNumberFormat="0" applyFill="0" applyBorder="0" applyAlignment="0">
      <protection locked="0"/>
    </xf>
    <xf numFmtId="254" fontId="240" fillId="0" borderId="1346" applyBorder="0" applyProtection="0">
      <alignment horizontal="right" vertical="center"/>
    </xf>
    <xf numFmtId="0" fontId="241" fillId="94" borderId="1346" applyBorder="0" applyProtection="0">
      <alignment horizontal="centerContinuous" vertical="center"/>
    </xf>
    <xf numFmtId="246" fontId="249" fillId="0" borderId="1346" applyFill="0" applyProtection="0">
      <alignment horizontal="center"/>
    </xf>
    <xf numFmtId="246" fontId="250" fillId="0" borderId="1346" applyFill="0" applyProtection="0">
      <alignment horizontal="center"/>
    </xf>
    <xf numFmtId="0" fontId="75" fillId="0" borderId="1359" applyNumberFormat="0" applyFont="0" applyFill="0" applyAlignment="0" applyProtection="0"/>
    <xf numFmtId="0" fontId="78" fillId="14" borderId="1360" applyFont="0" applyFill="0" applyBorder="0" applyAlignment="0" applyProtection="0"/>
    <xf numFmtId="186" fontId="146" fillId="3" borderId="1361">
      <alignment horizontal="left"/>
    </xf>
    <xf numFmtId="186" fontId="140" fillId="3" borderId="1362">
      <alignment horizontal="center" vertical="center"/>
    </xf>
    <xf numFmtId="0" fontId="2" fillId="0" borderId="1363" applyNumberFormat="0" applyAlignment="0" applyProtection="0"/>
    <xf numFmtId="0" fontId="214" fillId="0" borderId="1364" applyNumberFormat="0" applyFont="0" applyFill="0" applyAlignment="0" applyProtection="0"/>
    <xf numFmtId="0" fontId="25" fillId="10" borderId="1365" applyNumberFormat="0" applyProtection="0">
      <alignment horizontal="left" vertical="top"/>
    </xf>
    <xf numFmtId="0" fontId="25" fillId="10" borderId="1366" applyNumberFormat="0" applyProtection="0">
      <alignment horizontal="left" vertical="top"/>
    </xf>
    <xf numFmtId="0" fontId="25" fillId="10" borderId="1367" applyNumberFormat="0" applyProtection="0">
      <alignment horizontal="left" vertical="top"/>
    </xf>
    <xf numFmtId="0" fontId="25" fillId="10" borderId="1368" applyNumberFormat="0" applyProtection="0">
      <alignment horizontal="left" vertical="top"/>
    </xf>
    <xf numFmtId="246" fontId="250" fillId="0" borderId="1358" applyFill="0" applyProtection="0">
      <alignment horizontal="center"/>
    </xf>
    <xf numFmtId="246" fontId="249" fillId="0" borderId="1358" applyFill="0" applyProtection="0">
      <alignment horizontal="center"/>
    </xf>
    <xf numFmtId="0" fontId="241" fillId="94" borderId="1358" applyBorder="0" applyProtection="0">
      <alignment horizontal="centerContinuous" vertical="center"/>
    </xf>
    <xf numFmtId="254" fontId="240" fillId="0" borderId="1358" applyBorder="0" applyProtection="0">
      <alignment horizontal="right" vertical="center"/>
    </xf>
    <xf numFmtId="0" fontId="210" fillId="0" borderId="1358" applyNumberFormat="0" applyFill="0" applyBorder="0" applyAlignment="0">
      <protection locked="0"/>
    </xf>
    <xf numFmtId="264" fontId="12" fillId="14" borderId="1358" applyFont="0" applyFill="0" applyBorder="0" applyAlignment="0" applyProtection="0">
      <alignment horizontal="right"/>
    </xf>
    <xf numFmtId="0" fontId="166" fillId="0" borderId="1358">
      <alignment horizontal="center"/>
    </xf>
    <xf numFmtId="0" fontId="165" fillId="0" borderId="1358" applyFill="0" applyProtection="0">
      <alignment horizontal="center"/>
    </xf>
    <xf numFmtId="186" fontId="146" fillId="3" borderId="1358" applyBorder="0">
      <alignment horizontal="left" vertical="center"/>
    </xf>
    <xf numFmtId="180" fontId="9" fillId="3" borderId="1358">
      <alignment horizontal="right" vertical="center"/>
    </xf>
    <xf numFmtId="192" fontId="9" fillId="3" borderId="1358">
      <alignment horizontal="right" vertical="center"/>
    </xf>
    <xf numFmtId="0" fontId="12" fillId="0" borderId="1358" applyNumberFormat="0" applyFill="0" applyBorder="0" applyAlignment="0" applyProtection="0">
      <alignment horizontal="center"/>
    </xf>
    <xf numFmtId="0" fontId="113" fillId="0" borderId="1358" applyNumberFormat="0" applyFill="0" applyAlignment="0" applyProtection="0"/>
    <xf numFmtId="222" fontId="79" fillId="0" borderId="1357" applyBorder="0"/>
    <xf numFmtId="0" fontId="101" fillId="0" borderId="1358" applyBorder="0"/>
    <xf numFmtId="248" fontId="46" fillId="0" borderId="1358"/>
    <xf numFmtId="0" fontId="101" fillId="0" borderId="1358" applyBorder="0"/>
    <xf numFmtId="222" fontId="79" fillId="0" borderId="1357" applyBorder="0"/>
    <xf numFmtId="0" fontId="113" fillId="0" borderId="1358" applyNumberFormat="0" applyFill="0" applyAlignment="0" applyProtection="0"/>
    <xf numFmtId="0" fontId="75" fillId="0" borderId="1359" applyNumberFormat="0" applyFont="0" applyFill="0" applyAlignment="0" applyProtection="0"/>
    <xf numFmtId="0" fontId="12" fillId="0" borderId="1358" applyNumberFormat="0" applyFill="0" applyBorder="0" applyAlignment="0" applyProtection="0">
      <alignment horizontal="center"/>
    </xf>
    <xf numFmtId="248" fontId="46" fillId="0" borderId="1358"/>
    <xf numFmtId="192" fontId="9" fillId="3" borderId="1358">
      <alignment horizontal="right" vertical="center"/>
    </xf>
    <xf numFmtId="180" fontId="9" fillId="3" borderId="1358">
      <alignment horizontal="right" vertical="center"/>
    </xf>
    <xf numFmtId="186" fontId="146" fillId="3" borderId="1358" applyBorder="0">
      <alignment horizontal="left" vertical="center"/>
    </xf>
    <xf numFmtId="186" fontId="146" fillId="3" borderId="1361">
      <alignment horizontal="left"/>
    </xf>
    <xf numFmtId="186" fontId="140" fillId="3" borderId="1362">
      <alignment horizontal="center" vertical="center"/>
    </xf>
    <xf numFmtId="0" fontId="165" fillId="0" borderId="1358" applyFill="0" applyProtection="0">
      <alignment horizontal="center"/>
    </xf>
    <xf numFmtId="0" fontId="166" fillId="0" borderId="1358">
      <alignment horizontal="center"/>
    </xf>
    <xf numFmtId="264" fontId="12" fillId="14" borderId="1358" applyFont="0" applyFill="0" applyBorder="0" applyAlignment="0" applyProtection="0">
      <alignment horizontal="right"/>
    </xf>
    <xf numFmtId="0" fontId="210" fillId="0" borderId="1358" applyNumberFormat="0" applyFill="0" applyBorder="0" applyAlignment="0">
      <protection locked="0"/>
    </xf>
    <xf numFmtId="0" fontId="2" fillId="0" borderId="1363" applyNumberFormat="0" applyAlignment="0" applyProtection="0"/>
    <xf numFmtId="0" fontId="214" fillId="0" borderId="1364" applyNumberFormat="0" applyFont="0" applyFill="0" applyAlignment="0" applyProtection="0"/>
    <xf numFmtId="0" fontId="25" fillId="10" borderId="1365" applyNumberFormat="0" applyProtection="0">
      <alignment horizontal="left" vertical="top"/>
    </xf>
    <xf numFmtId="0" fontId="25" fillId="10" borderId="1366" applyNumberFormat="0" applyProtection="0">
      <alignment horizontal="left" vertical="top"/>
    </xf>
    <xf numFmtId="0" fontId="25" fillId="10" borderId="1367" applyNumberFormat="0" applyProtection="0">
      <alignment horizontal="left" vertical="top"/>
    </xf>
    <xf numFmtId="0" fontId="25" fillId="10" borderId="1368" applyNumberFormat="0" applyProtection="0">
      <alignment horizontal="left" vertical="top"/>
    </xf>
    <xf numFmtId="0" fontId="25" fillId="10" borderId="1365" applyNumberFormat="0" applyProtection="0">
      <alignment horizontal="left" vertical="top"/>
    </xf>
    <xf numFmtId="0" fontId="25" fillId="10" borderId="1366" applyNumberFormat="0" applyProtection="0">
      <alignment horizontal="left" vertical="top"/>
    </xf>
    <xf numFmtId="0" fontId="25" fillId="10" borderId="1367" applyNumberFormat="0" applyProtection="0">
      <alignment horizontal="left" vertical="top"/>
    </xf>
    <xf numFmtId="0" fontId="25" fillId="10" borderId="1368" applyNumberFormat="0" applyProtection="0">
      <alignment horizontal="left" vertical="top"/>
    </xf>
    <xf numFmtId="254" fontId="240" fillId="0" borderId="1358" applyBorder="0" applyProtection="0">
      <alignment horizontal="right" vertical="center"/>
    </xf>
    <xf numFmtId="0" fontId="241" fillId="94" borderId="1358" applyBorder="0" applyProtection="0">
      <alignment horizontal="centerContinuous" vertical="center"/>
    </xf>
    <xf numFmtId="246" fontId="249" fillId="0" borderId="1358" applyFill="0" applyProtection="0">
      <alignment horizontal="center"/>
    </xf>
    <xf numFmtId="246" fontId="250" fillId="0" borderId="1358" applyFill="0" applyProtection="0">
      <alignment horizontal="center"/>
    </xf>
    <xf numFmtId="190" fontId="101" fillId="0" borderId="1358" applyBorder="0"/>
    <xf numFmtId="190" fontId="113" fillId="0" borderId="1358" applyNumberFormat="0" applyFill="0" applyAlignment="0" applyProtection="0"/>
    <xf numFmtId="190" fontId="75" fillId="0" borderId="1335" applyNumberFormat="0" applyFont="0" applyFill="0" applyAlignment="0" applyProtection="0"/>
    <xf numFmtId="190" fontId="12" fillId="0" borderId="1358" applyNumberFormat="0" applyFill="0" applyBorder="0" applyAlignment="0" applyProtection="0">
      <alignment horizontal="center"/>
    </xf>
    <xf numFmtId="190" fontId="78" fillId="14" borderId="1348" applyFont="0" applyFill="0" applyBorder="0" applyAlignment="0" applyProtection="0"/>
    <xf numFmtId="190" fontId="165" fillId="0" borderId="1358" applyFill="0" applyProtection="0">
      <alignment horizontal="center"/>
    </xf>
    <xf numFmtId="190" fontId="166" fillId="0" borderId="1358">
      <alignment horizontal="center"/>
    </xf>
    <xf numFmtId="190" fontId="210" fillId="0" borderId="1358" applyNumberFormat="0" applyFill="0" applyBorder="0" applyAlignment="0">
      <protection locked="0"/>
    </xf>
    <xf numFmtId="190" fontId="2" fillId="0" borderId="1339" applyNumberFormat="0" applyAlignment="0" applyProtection="0"/>
    <xf numFmtId="190" fontId="214" fillId="0" borderId="1340" applyNumberFormat="0" applyFont="0" applyFill="0" applyAlignment="0" applyProtection="0"/>
    <xf numFmtId="190" fontId="25" fillId="10" borderId="1341" applyNumberFormat="0" applyProtection="0">
      <alignment horizontal="left" vertical="top"/>
    </xf>
    <xf numFmtId="190" fontId="25" fillId="10" borderId="1342" applyNumberFormat="0" applyProtection="0">
      <alignment horizontal="left" vertical="top"/>
    </xf>
    <xf numFmtId="190" fontId="25" fillId="10" borderId="1343" applyNumberFormat="0" applyProtection="0">
      <alignment horizontal="left" vertical="top"/>
    </xf>
    <xf numFmtId="190" fontId="25" fillId="10" borderId="1344" applyNumberFormat="0" applyProtection="0">
      <alignment horizontal="left" vertical="top"/>
    </xf>
    <xf numFmtId="190" fontId="241" fillId="94" borderId="1358" applyBorder="0" applyProtection="0">
      <alignment horizontal="centerContinuous" vertical="center"/>
    </xf>
    <xf numFmtId="222" fontId="79" fillId="0" borderId="1357" applyBorder="0"/>
    <xf numFmtId="0" fontId="101" fillId="0" borderId="1358" applyBorder="0"/>
    <xf numFmtId="222" fontId="79" fillId="0" borderId="1357" applyBorder="0"/>
    <xf numFmtId="0" fontId="113" fillId="0" borderId="1358" applyNumberFormat="0" applyFill="0" applyAlignment="0" applyProtection="0"/>
    <xf numFmtId="0" fontId="75" fillId="0" borderId="1335" applyNumberFormat="0" applyFont="0" applyFill="0" applyAlignment="0" applyProtection="0"/>
    <xf numFmtId="0" fontId="12" fillId="0" borderId="1358" applyNumberFormat="0" applyFill="0" applyBorder="0" applyAlignment="0" applyProtection="0">
      <alignment horizontal="center"/>
    </xf>
    <xf numFmtId="248" fontId="46" fillId="0" borderId="1358"/>
    <xf numFmtId="192" fontId="9" fillId="3" borderId="1358">
      <alignment horizontal="right" vertical="center"/>
    </xf>
    <xf numFmtId="180" fontId="9" fillId="3" borderId="1358">
      <alignment horizontal="right" vertical="center"/>
    </xf>
    <xf numFmtId="186" fontId="146" fillId="3" borderId="1358" applyBorder="0">
      <alignment horizontal="left" vertical="center"/>
    </xf>
    <xf numFmtId="186" fontId="146" fillId="3" borderId="1337">
      <alignment horizontal="left"/>
    </xf>
    <xf numFmtId="186" fontId="140" fillId="3" borderId="1338">
      <alignment horizontal="center" vertical="center"/>
    </xf>
    <xf numFmtId="0" fontId="165" fillId="0" borderId="1358" applyFill="0" applyProtection="0">
      <alignment horizontal="center"/>
    </xf>
    <xf numFmtId="0" fontId="166" fillId="0" borderId="1358">
      <alignment horizontal="center"/>
    </xf>
    <xf numFmtId="264" fontId="12" fillId="14" borderId="1358" applyFont="0" applyFill="0" applyBorder="0" applyAlignment="0" applyProtection="0">
      <alignment horizontal="right"/>
    </xf>
    <xf numFmtId="0" fontId="210" fillId="0" borderId="1358" applyNumberFormat="0" applyFill="0" applyBorder="0" applyAlignment="0">
      <protection locked="0"/>
    </xf>
    <xf numFmtId="0" fontId="2" fillId="0" borderId="1339" applyNumberFormat="0" applyAlignment="0" applyProtection="0"/>
    <xf numFmtId="0" fontId="214" fillId="0" borderId="1340" applyNumberFormat="0" applyFont="0" applyFill="0" applyAlignment="0" applyProtection="0"/>
    <xf numFmtId="0" fontId="25" fillId="10" borderId="1341" applyNumberFormat="0" applyProtection="0">
      <alignment horizontal="left" vertical="top"/>
    </xf>
    <xf numFmtId="0" fontId="25" fillId="10" borderId="1342" applyNumberFormat="0" applyProtection="0">
      <alignment horizontal="left" vertical="top"/>
    </xf>
    <xf numFmtId="0" fontId="25" fillId="10" borderId="1343" applyNumberFormat="0" applyProtection="0">
      <alignment horizontal="left" vertical="top"/>
    </xf>
    <xf numFmtId="0" fontId="25" fillId="10" borderId="1344" applyNumberFormat="0" applyProtection="0">
      <alignment horizontal="left" vertical="top"/>
    </xf>
    <xf numFmtId="0" fontId="25" fillId="10" borderId="1341" applyNumberFormat="0" applyProtection="0">
      <alignment horizontal="left" vertical="top"/>
    </xf>
    <xf numFmtId="0" fontId="25" fillId="10" borderId="1342" applyNumberFormat="0" applyProtection="0">
      <alignment horizontal="left" vertical="top"/>
    </xf>
    <xf numFmtId="0" fontId="25" fillId="10" borderId="1343" applyNumberFormat="0" applyProtection="0">
      <alignment horizontal="left" vertical="top"/>
    </xf>
    <xf numFmtId="0" fontId="25" fillId="10" borderId="1344" applyNumberFormat="0" applyProtection="0">
      <alignment horizontal="left" vertical="top"/>
    </xf>
    <xf numFmtId="254" fontId="240" fillId="0" borderId="1358" applyBorder="0" applyProtection="0">
      <alignment horizontal="right" vertical="center"/>
    </xf>
    <xf numFmtId="0" fontId="241" fillId="94" borderId="1358" applyBorder="0" applyProtection="0">
      <alignment horizontal="centerContinuous" vertical="center"/>
    </xf>
    <xf numFmtId="246" fontId="249" fillId="0" borderId="1358" applyFill="0" applyProtection="0">
      <alignment horizontal="center"/>
    </xf>
    <xf numFmtId="246" fontId="250" fillId="0" borderId="1358" applyFill="0" applyProtection="0">
      <alignment horizontal="center"/>
    </xf>
    <xf numFmtId="312" fontId="101" fillId="0" borderId="1358" applyBorder="0"/>
    <xf numFmtId="312" fontId="113" fillId="0" borderId="1358" applyNumberFormat="0" applyFill="0" applyAlignment="0" applyProtection="0"/>
    <xf numFmtId="312" fontId="75" fillId="0" borderId="1335" applyNumberFormat="0" applyFont="0" applyFill="0" applyAlignment="0" applyProtection="0"/>
    <xf numFmtId="312" fontId="12" fillId="0" borderId="1358" applyNumberFormat="0" applyFill="0" applyBorder="0" applyAlignment="0" applyProtection="0">
      <alignment horizontal="center"/>
    </xf>
    <xf numFmtId="312" fontId="165" fillId="0" borderId="1358" applyFill="0" applyProtection="0">
      <alignment horizontal="center"/>
    </xf>
    <xf numFmtId="312" fontId="242" fillId="0" borderId="1358">
      <alignment horizontal="center"/>
    </xf>
    <xf numFmtId="312" fontId="210" fillId="0" borderId="1358" applyNumberFormat="0" applyFill="0" applyBorder="0" applyAlignment="0">
      <protection locked="0"/>
    </xf>
    <xf numFmtId="312" fontId="2" fillId="0" borderId="1339" applyNumberFormat="0" applyAlignment="0" applyProtection="0"/>
    <xf numFmtId="312" fontId="214" fillId="0" borderId="1340" applyNumberFormat="0" applyFont="0" applyFill="0" applyAlignment="0" applyProtection="0"/>
    <xf numFmtId="312" fontId="25" fillId="10" borderId="1341" applyNumberFormat="0" applyProtection="0">
      <alignment horizontal="left" vertical="top"/>
    </xf>
    <xf numFmtId="312" fontId="25" fillId="10" borderId="1342" applyNumberFormat="0" applyProtection="0">
      <alignment horizontal="left" vertical="top"/>
    </xf>
    <xf numFmtId="312" fontId="25" fillId="10" borderId="1343" applyNumberFormat="0" applyProtection="0">
      <alignment horizontal="left" vertical="top"/>
    </xf>
    <xf numFmtId="312" fontId="25" fillId="10" borderId="1344" applyNumberFormat="0" applyProtection="0">
      <alignment horizontal="left" vertical="top"/>
    </xf>
    <xf numFmtId="312" fontId="241" fillId="94" borderId="1358" applyBorder="0" applyProtection="0">
      <alignment horizontal="centerContinuous" vertical="center"/>
    </xf>
    <xf numFmtId="246" fontId="296" fillId="0" borderId="1358" applyFill="0" applyProtection="0">
      <alignment horizontal="center"/>
    </xf>
    <xf numFmtId="312" fontId="101" fillId="0" borderId="1358" applyBorder="0"/>
    <xf numFmtId="312" fontId="113" fillId="0" borderId="1358" applyNumberFormat="0" applyFill="0" applyAlignment="0" applyProtection="0"/>
    <xf numFmtId="312" fontId="75" fillId="0" borderId="1335" applyNumberFormat="0" applyFont="0" applyFill="0" applyAlignment="0" applyProtection="0"/>
    <xf numFmtId="312" fontId="12" fillId="0" borderId="1358" applyNumberFormat="0" applyFill="0" applyBorder="0" applyAlignment="0" applyProtection="0">
      <alignment horizontal="center"/>
    </xf>
    <xf numFmtId="312" fontId="165" fillId="0" borderId="1358" applyFill="0" applyProtection="0">
      <alignment horizontal="center"/>
    </xf>
    <xf numFmtId="312" fontId="242" fillId="0" borderId="1358">
      <alignment horizontal="center"/>
    </xf>
    <xf numFmtId="312" fontId="210" fillId="0" borderId="1358" applyNumberFormat="0" applyFill="0" applyBorder="0" applyAlignment="0">
      <protection locked="0"/>
    </xf>
    <xf numFmtId="312" fontId="2" fillId="0" borderId="1339" applyNumberFormat="0" applyAlignment="0" applyProtection="0"/>
    <xf numFmtId="312" fontId="214" fillId="0" borderId="1340" applyNumberFormat="0" applyFont="0" applyFill="0" applyAlignment="0" applyProtection="0"/>
    <xf numFmtId="312" fontId="25" fillId="10" borderId="1341" applyNumberFormat="0" applyProtection="0">
      <alignment horizontal="left" vertical="top"/>
    </xf>
    <xf numFmtId="312" fontId="25" fillId="10" borderId="1342" applyNumberFormat="0" applyProtection="0">
      <alignment horizontal="left" vertical="top"/>
    </xf>
    <xf numFmtId="312" fontId="25" fillId="10" borderId="1343" applyNumberFormat="0" applyProtection="0">
      <alignment horizontal="left" vertical="top"/>
    </xf>
    <xf numFmtId="312" fontId="25" fillId="10" borderId="1344" applyNumberFormat="0" applyProtection="0">
      <alignment horizontal="left" vertical="top"/>
    </xf>
    <xf numFmtId="312" fontId="25" fillId="10" borderId="1341" applyNumberFormat="0" applyProtection="0">
      <alignment horizontal="left" vertical="top"/>
    </xf>
    <xf numFmtId="312" fontId="25" fillId="10" borderId="1342" applyNumberFormat="0" applyProtection="0">
      <alignment horizontal="left" vertical="top"/>
    </xf>
    <xf numFmtId="312" fontId="25" fillId="10" borderId="1343" applyNumberFormat="0" applyProtection="0">
      <alignment horizontal="left" vertical="top"/>
    </xf>
    <xf numFmtId="312" fontId="25" fillId="10" borderId="1344" applyNumberFormat="0" applyProtection="0">
      <alignment horizontal="left" vertical="top"/>
    </xf>
    <xf numFmtId="312" fontId="241" fillId="94" borderId="1358" applyBorder="0" applyProtection="0">
      <alignment horizontal="centerContinuous" vertical="center"/>
    </xf>
    <xf numFmtId="246" fontId="296" fillId="0" borderId="1358" applyFill="0" applyProtection="0">
      <alignment horizontal="center"/>
    </xf>
    <xf numFmtId="246" fontId="250" fillId="0" borderId="1358" applyFill="0" applyProtection="0">
      <alignment horizontal="center"/>
    </xf>
    <xf numFmtId="246" fontId="249" fillId="0" borderId="1358" applyFill="0" applyProtection="0">
      <alignment horizontal="center"/>
    </xf>
    <xf numFmtId="0" fontId="241" fillId="94" borderId="1358" applyBorder="0" applyProtection="0">
      <alignment horizontal="centerContinuous" vertical="center"/>
    </xf>
    <xf numFmtId="254" fontId="240" fillId="0" borderId="1358" applyBorder="0" applyProtection="0">
      <alignment horizontal="right" vertical="center"/>
    </xf>
    <xf numFmtId="0" fontId="25" fillId="10" borderId="1356" applyNumberFormat="0" applyProtection="0">
      <alignment horizontal="left" vertical="top"/>
    </xf>
    <xf numFmtId="0" fontId="25" fillId="10" borderId="1355" applyNumberFormat="0" applyProtection="0">
      <alignment horizontal="left" vertical="top"/>
    </xf>
    <xf numFmtId="0" fontId="25" fillId="10" borderId="1354" applyNumberFormat="0" applyProtection="0">
      <alignment horizontal="left" vertical="top"/>
    </xf>
    <xf numFmtId="0" fontId="25" fillId="10" borderId="1353" applyNumberFormat="0" applyProtection="0">
      <alignment horizontal="left" vertical="top"/>
    </xf>
    <xf numFmtId="0" fontId="214" fillId="0" borderId="1352" applyNumberFormat="0" applyFont="0" applyFill="0" applyAlignment="0" applyProtection="0"/>
    <xf numFmtId="0" fontId="2" fillId="0" borderId="1351" applyNumberFormat="0" applyAlignment="0" applyProtection="0"/>
    <xf numFmtId="0" fontId="210" fillId="0" borderId="1358" applyNumberFormat="0" applyFill="0" applyBorder="0" applyAlignment="0">
      <protection locked="0"/>
    </xf>
    <xf numFmtId="264" fontId="12" fillId="14" borderId="1358" applyFont="0" applyFill="0" applyBorder="0" applyAlignment="0" applyProtection="0">
      <alignment horizontal="right"/>
    </xf>
    <xf numFmtId="0" fontId="166" fillId="0" borderId="1358">
      <alignment horizontal="center"/>
    </xf>
    <xf numFmtId="0" fontId="165" fillId="0" borderId="1358" applyFill="0" applyProtection="0">
      <alignment horizontal="center"/>
    </xf>
    <xf numFmtId="186" fontId="140" fillId="3" borderId="1350">
      <alignment horizontal="center" vertical="center"/>
    </xf>
    <xf numFmtId="186" fontId="146" fillId="3" borderId="1349">
      <alignment horizontal="left"/>
    </xf>
    <xf numFmtId="186" fontId="146" fillId="3" borderId="1358" applyBorder="0">
      <alignment horizontal="left" vertical="center"/>
    </xf>
    <xf numFmtId="180" fontId="9" fillId="3" borderId="1358">
      <alignment horizontal="right" vertical="center"/>
    </xf>
    <xf numFmtId="192" fontId="9" fillId="3" borderId="1358">
      <alignment horizontal="right" vertical="center"/>
    </xf>
    <xf numFmtId="248" fontId="46" fillId="0" borderId="1358"/>
    <xf numFmtId="0" fontId="78" fillId="14" borderId="1348" applyFont="0" applyFill="0" applyBorder="0" applyAlignment="0" applyProtection="0"/>
    <xf numFmtId="0" fontId="12" fillId="0" borderId="1358" applyNumberFormat="0" applyFill="0" applyBorder="0" applyAlignment="0" applyProtection="0">
      <alignment horizontal="center"/>
    </xf>
    <xf numFmtId="0" fontId="75" fillId="0" borderId="1347" applyNumberFormat="0" applyFont="0" applyFill="0" applyAlignment="0" applyProtection="0"/>
    <xf numFmtId="0" fontId="113" fillId="0" borderId="1358" applyNumberFormat="0" applyFill="0" applyAlignment="0" applyProtection="0"/>
    <xf numFmtId="222" fontId="79" fillId="0" borderId="1357" applyBorder="0"/>
    <xf numFmtId="0" fontId="101" fillId="0" borderId="1358" applyBorder="0"/>
    <xf numFmtId="0" fontId="25" fillId="10" borderId="1365" applyNumberFormat="0" applyProtection="0">
      <alignment horizontal="left" vertical="top"/>
    </xf>
    <xf numFmtId="0" fontId="25" fillId="10" borderId="1366" applyNumberFormat="0" applyProtection="0">
      <alignment horizontal="left" vertical="top"/>
    </xf>
    <xf numFmtId="0" fontId="25" fillId="10" borderId="1367" applyNumberFormat="0" applyProtection="0">
      <alignment horizontal="left" vertical="top"/>
    </xf>
    <xf numFmtId="0" fontId="25" fillId="10" borderId="1368" applyNumberFormat="0" applyProtection="0">
      <alignment horizontal="left" vertical="top"/>
    </xf>
    <xf numFmtId="246" fontId="250" fillId="0" borderId="1346" applyFill="0" applyProtection="0">
      <alignment horizontal="center"/>
    </xf>
    <xf numFmtId="246" fontId="249" fillId="0" borderId="1346" applyFill="0" applyProtection="0">
      <alignment horizontal="center"/>
    </xf>
    <xf numFmtId="0" fontId="241" fillId="94" borderId="1346" applyBorder="0" applyProtection="0">
      <alignment horizontal="centerContinuous" vertical="center"/>
    </xf>
    <xf numFmtId="254" fontId="240" fillId="0" borderId="1346" applyBorder="0" applyProtection="0">
      <alignment horizontal="right" vertical="center"/>
    </xf>
    <xf numFmtId="0" fontId="210" fillId="0" borderId="1346" applyNumberFormat="0" applyFill="0" applyBorder="0" applyAlignment="0">
      <protection locked="0"/>
    </xf>
    <xf numFmtId="264" fontId="12" fillId="14" borderId="1346" applyFont="0" applyFill="0" applyBorder="0" applyAlignment="0" applyProtection="0">
      <alignment horizontal="right"/>
    </xf>
    <xf numFmtId="0" fontId="166" fillId="0" borderId="1346">
      <alignment horizontal="center"/>
    </xf>
    <xf numFmtId="0" fontId="165" fillId="0" borderId="1346" applyFill="0" applyProtection="0">
      <alignment horizontal="center"/>
    </xf>
    <xf numFmtId="186" fontId="146" fillId="3" borderId="1346" applyBorder="0">
      <alignment horizontal="left" vertical="center"/>
    </xf>
    <xf numFmtId="180" fontId="9" fillId="3" borderId="1346">
      <alignment horizontal="right" vertical="center"/>
    </xf>
    <xf numFmtId="192" fontId="9" fillId="3" borderId="1346">
      <alignment horizontal="right" vertical="center"/>
    </xf>
    <xf numFmtId="248" fontId="46" fillId="0" borderId="1346"/>
    <xf numFmtId="0" fontId="12" fillId="0" borderId="1346" applyNumberFormat="0" applyFill="0" applyBorder="0" applyAlignment="0" applyProtection="0">
      <alignment horizontal="center"/>
    </xf>
    <xf numFmtId="0" fontId="113" fillId="0" borderId="1346" applyNumberFormat="0" applyFill="0" applyAlignment="0" applyProtection="0"/>
    <xf numFmtId="222" fontId="79" fillId="0" borderId="1345" applyBorder="0"/>
    <xf numFmtId="0" fontId="101" fillId="0" borderId="1346" applyBorder="0"/>
    <xf numFmtId="246" fontId="250" fillId="0" borderId="1346" applyFill="0" applyProtection="0">
      <alignment horizontal="center"/>
    </xf>
    <xf numFmtId="246" fontId="249" fillId="0" borderId="1346" applyFill="0" applyProtection="0">
      <alignment horizontal="center"/>
    </xf>
    <xf numFmtId="0" fontId="241" fillId="94" borderId="1346" applyBorder="0" applyProtection="0">
      <alignment horizontal="centerContinuous" vertical="center"/>
    </xf>
    <xf numFmtId="254" fontId="240" fillId="0" borderId="1346" applyBorder="0" applyProtection="0">
      <alignment horizontal="right" vertical="center"/>
    </xf>
    <xf numFmtId="0" fontId="210" fillId="0" borderId="1346" applyNumberFormat="0" applyFill="0" applyBorder="0" applyAlignment="0">
      <protection locked="0"/>
    </xf>
    <xf numFmtId="264" fontId="12" fillId="14" borderId="1346" applyFont="0" applyFill="0" applyBorder="0" applyAlignment="0" applyProtection="0">
      <alignment horizontal="right"/>
    </xf>
    <xf numFmtId="0" fontId="166" fillId="0" borderId="1346">
      <alignment horizontal="center"/>
    </xf>
    <xf numFmtId="0" fontId="165" fillId="0" borderId="1346" applyFill="0" applyProtection="0">
      <alignment horizontal="center"/>
    </xf>
    <xf numFmtId="186" fontId="146" fillId="3" borderId="1346" applyBorder="0">
      <alignment horizontal="left" vertical="center"/>
    </xf>
    <xf numFmtId="180" fontId="9" fillId="3" borderId="1346">
      <alignment horizontal="right" vertical="center"/>
    </xf>
    <xf numFmtId="192" fontId="9" fillId="3" borderId="1346">
      <alignment horizontal="right" vertical="center"/>
    </xf>
    <xf numFmtId="0" fontId="12" fillId="0" borderId="1346" applyNumberFormat="0" applyFill="0" applyBorder="0" applyAlignment="0" applyProtection="0">
      <alignment horizontal="center"/>
    </xf>
    <xf numFmtId="0" fontId="113" fillId="0" borderId="1346" applyNumberFormat="0" applyFill="0" applyAlignment="0" applyProtection="0"/>
    <xf numFmtId="222" fontId="79" fillId="0" borderId="1345" applyBorder="0"/>
    <xf numFmtId="0" fontId="101" fillId="0" borderId="1346" applyBorder="0"/>
    <xf numFmtId="248" fontId="46" fillId="0" borderId="1346"/>
    <xf numFmtId="246" fontId="250" fillId="0" borderId="1346" applyFill="0" applyProtection="0">
      <alignment horizontal="center"/>
    </xf>
    <xf numFmtId="246" fontId="249" fillId="0" borderId="1346" applyFill="0" applyProtection="0">
      <alignment horizontal="center"/>
    </xf>
    <xf numFmtId="0" fontId="241" fillId="94" borderId="1346" applyBorder="0" applyProtection="0">
      <alignment horizontal="centerContinuous" vertical="center"/>
    </xf>
    <xf numFmtId="254" fontId="240" fillId="0" borderId="1346" applyBorder="0" applyProtection="0">
      <alignment horizontal="right" vertical="center"/>
    </xf>
    <xf numFmtId="0" fontId="210" fillId="0" borderId="1346" applyNumberFormat="0" applyFill="0" applyBorder="0" applyAlignment="0">
      <protection locked="0"/>
    </xf>
    <xf numFmtId="264" fontId="12" fillId="14" borderId="1346" applyFont="0" applyFill="0" applyBorder="0" applyAlignment="0" applyProtection="0">
      <alignment horizontal="right"/>
    </xf>
    <xf numFmtId="0" fontId="166" fillId="0" borderId="1346">
      <alignment horizontal="center"/>
    </xf>
    <xf numFmtId="0" fontId="165" fillId="0" borderId="1346" applyFill="0" applyProtection="0">
      <alignment horizontal="center"/>
    </xf>
    <xf numFmtId="186" fontId="146" fillId="3" borderId="1346" applyBorder="0">
      <alignment horizontal="left" vertical="center"/>
    </xf>
    <xf numFmtId="180" fontId="9" fillId="3" borderId="1346">
      <alignment horizontal="right" vertical="center"/>
    </xf>
    <xf numFmtId="192" fontId="9" fillId="3" borderId="1346">
      <alignment horizontal="right" vertical="center"/>
    </xf>
    <xf numFmtId="248" fontId="46" fillId="0" borderId="1346"/>
    <xf numFmtId="0" fontId="12" fillId="0" borderId="1346" applyNumberFormat="0" applyFill="0" applyBorder="0" applyAlignment="0" applyProtection="0">
      <alignment horizontal="center"/>
    </xf>
    <xf numFmtId="0" fontId="113" fillId="0" borderId="1346" applyNumberFormat="0" applyFill="0" applyAlignment="0" applyProtection="0"/>
    <xf numFmtId="222" fontId="79" fillId="0" borderId="1345" applyBorder="0"/>
    <xf numFmtId="0" fontId="101" fillId="0" borderId="1346" applyBorder="0"/>
    <xf numFmtId="0" fontId="25" fillId="10" borderId="1570" applyNumberFormat="0" applyProtection="0">
      <alignment horizontal="left" vertical="top"/>
    </xf>
    <xf numFmtId="186" fontId="140" fillId="3" borderId="1565">
      <alignment horizontal="center" vertical="center"/>
    </xf>
    <xf numFmtId="222" fontId="79" fillId="0" borderId="1572" applyBorder="0"/>
    <xf numFmtId="248" fontId="46" fillId="0" borderId="1573"/>
    <xf numFmtId="264" fontId="12" fillId="14" borderId="1537" applyFont="0" applyFill="0" applyBorder="0" applyAlignment="0" applyProtection="0">
      <alignment horizontal="right"/>
    </xf>
    <xf numFmtId="0" fontId="166" fillId="0" borderId="1537">
      <alignment horizontal="center"/>
    </xf>
    <xf numFmtId="0" fontId="25" fillId="10" borderId="2071" applyNumberFormat="0" applyProtection="0">
      <alignment horizontal="left" vertical="top"/>
    </xf>
    <xf numFmtId="0" fontId="25" fillId="10" borderId="1547" applyNumberFormat="0" applyProtection="0">
      <alignment horizontal="left" vertical="top"/>
    </xf>
    <xf numFmtId="0" fontId="25" fillId="10" borderId="1545" applyNumberFormat="0" applyProtection="0">
      <alignment horizontal="left" vertical="top"/>
    </xf>
    <xf numFmtId="0" fontId="25" fillId="10" borderId="1544" applyNumberFormat="0" applyProtection="0">
      <alignment horizontal="left" vertical="top"/>
    </xf>
    <xf numFmtId="0" fontId="25" fillId="10" borderId="1547" applyNumberFormat="0" applyProtection="0">
      <alignment horizontal="left" vertical="top"/>
    </xf>
    <xf numFmtId="0" fontId="214" fillId="0" borderId="1543" applyNumberFormat="0" applyFont="0" applyFill="0" applyAlignment="0" applyProtection="0"/>
    <xf numFmtId="0" fontId="2" fillId="0" borderId="1542" applyNumberFormat="0" applyAlignment="0" applyProtection="0"/>
    <xf numFmtId="186" fontId="146" fillId="3" borderId="1540">
      <alignment horizontal="left"/>
    </xf>
    <xf numFmtId="0" fontId="75" fillId="0" borderId="1538" applyNumberFormat="0" applyFont="0" applyFill="0" applyAlignment="0" applyProtection="0"/>
    <xf numFmtId="0" fontId="283" fillId="103" borderId="4748" applyNumberFormat="0" applyAlignment="0" applyProtection="0"/>
    <xf numFmtId="0" fontId="105" fillId="0" borderId="4729" applyNumberFormat="0" applyFill="0" applyBorder="0" applyAlignment="0" applyProtection="0"/>
    <xf numFmtId="186" fontId="146" fillId="3" borderId="1955" applyBorder="0">
      <alignment horizontal="left" vertical="center"/>
    </xf>
    <xf numFmtId="10" fontId="12" fillId="60" borderId="2080" applyFont="0" applyFill="0" applyBorder="0" applyAlignment="0" applyProtection="0"/>
    <xf numFmtId="0" fontId="25" fillId="10" borderId="1962" applyNumberFormat="0" applyProtection="0">
      <alignment horizontal="left" vertical="top"/>
    </xf>
    <xf numFmtId="248" fontId="46" fillId="0" borderId="4810"/>
    <xf numFmtId="0" fontId="25" fillId="10" borderId="1964" applyNumberFormat="0" applyProtection="0">
      <alignment horizontal="left" vertical="top"/>
    </xf>
    <xf numFmtId="0" fontId="113" fillId="0" borderId="1955" applyNumberFormat="0" applyFill="0" applyAlignment="0" applyProtection="0"/>
    <xf numFmtId="0" fontId="165" fillId="0" borderId="1955" applyFill="0" applyProtection="0">
      <alignment horizontal="center"/>
    </xf>
    <xf numFmtId="0" fontId="25" fillId="10" borderId="1964" applyNumberFormat="0" applyProtection="0">
      <alignment horizontal="left" vertical="top"/>
    </xf>
    <xf numFmtId="248" fontId="46" fillId="0" borderId="1955"/>
    <xf numFmtId="0" fontId="2" fillId="0" borderId="1960" applyNumberFormat="0" applyAlignment="0" applyProtection="0"/>
    <xf numFmtId="254" fontId="240" fillId="0" borderId="1883" applyBorder="0" applyProtection="0">
      <alignment horizontal="right" vertical="center"/>
    </xf>
    <xf numFmtId="0" fontId="25" fillId="10" borderId="1962" applyNumberFormat="0" applyProtection="0">
      <alignment horizontal="left" vertical="top"/>
    </xf>
    <xf numFmtId="254" fontId="240" fillId="0" borderId="1919" applyBorder="0" applyProtection="0">
      <alignment horizontal="right" vertical="center"/>
    </xf>
    <xf numFmtId="0" fontId="101" fillId="0" borderId="1943" applyBorder="0"/>
    <xf numFmtId="186" fontId="146" fillId="3" borderId="1883" applyBorder="0">
      <alignment horizontal="left" vertical="center"/>
    </xf>
    <xf numFmtId="0" fontId="12" fillId="0" borderId="1573" applyNumberFormat="0" applyFill="0" applyBorder="0" applyAlignment="0" applyProtection="0">
      <alignment horizontal="center"/>
    </xf>
    <xf numFmtId="248" fontId="46" fillId="0" borderId="1537"/>
    <xf numFmtId="0" fontId="210" fillId="0" borderId="1597" applyNumberFormat="0" applyFill="0" applyBorder="0" applyAlignment="0">
      <protection locked="0"/>
    </xf>
    <xf numFmtId="186" fontId="140" fillId="3" borderId="1577">
      <alignment horizontal="center" vertical="center"/>
    </xf>
    <xf numFmtId="180" fontId="9" fillId="3" borderId="1537">
      <alignment horizontal="right" vertical="center"/>
    </xf>
    <xf numFmtId="0" fontId="25" fillId="10" borderId="1545" applyNumberFormat="0" applyProtection="0">
      <alignment horizontal="left" vertical="top"/>
    </xf>
    <xf numFmtId="222" fontId="79" fillId="0" borderId="1548" applyBorder="0"/>
    <xf numFmtId="0" fontId="12" fillId="0" borderId="1537" applyNumberFormat="0" applyFill="0" applyBorder="0" applyAlignment="0" applyProtection="0">
      <alignment horizontal="center"/>
    </xf>
    <xf numFmtId="0" fontId="165" fillId="0" borderId="1597" applyFill="0" applyProtection="0">
      <alignment horizontal="center"/>
    </xf>
    <xf numFmtId="222" fontId="79" fillId="0" borderId="1452" applyBorder="0"/>
    <xf numFmtId="0" fontId="101" fillId="0" borderId="1453" applyBorder="0"/>
    <xf numFmtId="222" fontId="79" fillId="0" borderId="1452" applyBorder="0"/>
    <xf numFmtId="0" fontId="113" fillId="0" borderId="1453" applyNumberFormat="0" applyFill="0" applyAlignment="0" applyProtection="0"/>
    <xf numFmtId="0" fontId="12" fillId="0" borderId="1453" applyNumberFormat="0" applyFill="0" applyBorder="0" applyAlignment="0" applyProtection="0">
      <alignment horizontal="center"/>
    </xf>
    <xf numFmtId="248" fontId="46" fillId="0" borderId="1453"/>
    <xf numFmtId="186" fontId="140" fillId="3" borderId="1601">
      <alignment horizontal="center" vertical="center"/>
    </xf>
    <xf numFmtId="0" fontId="75" fillId="0" borderId="1598" applyNumberFormat="0" applyFont="0" applyFill="0" applyAlignment="0" applyProtection="0"/>
    <xf numFmtId="192" fontId="9" fillId="3" borderId="1453">
      <alignment horizontal="right" vertical="center"/>
    </xf>
    <xf numFmtId="180" fontId="9" fillId="3" borderId="1453">
      <alignment horizontal="right" vertical="center"/>
    </xf>
    <xf numFmtId="186" fontId="146" fillId="3" borderId="1453" applyBorder="0">
      <alignment horizontal="left" vertical="center"/>
    </xf>
    <xf numFmtId="0" fontId="165" fillId="0" borderId="1597" applyFill="0" applyProtection="0">
      <alignment horizontal="center"/>
    </xf>
    <xf numFmtId="0" fontId="101" fillId="0" borderId="1537" applyBorder="0"/>
    <xf numFmtId="222" fontId="79" fillId="0" borderId="1548" applyBorder="0"/>
    <xf numFmtId="0" fontId="165" fillId="0" borderId="1453" applyFill="0" applyProtection="0">
      <alignment horizontal="center"/>
    </xf>
    <xf numFmtId="0" fontId="166" fillId="0" borderId="1453">
      <alignment horizontal="center"/>
    </xf>
    <xf numFmtId="222" fontId="79" fillId="0" borderId="1548" applyBorder="0"/>
    <xf numFmtId="264" fontId="12" fillId="14" borderId="1453" applyFont="0" applyFill="0" applyBorder="0" applyAlignment="0" applyProtection="0">
      <alignment horizontal="right"/>
    </xf>
    <xf numFmtId="0" fontId="25" fillId="10" borderId="1592" applyNumberFormat="0" applyProtection="0">
      <alignment horizontal="left" vertical="top"/>
    </xf>
    <xf numFmtId="0" fontId="101" fillId="0" borderId="1597" applyBorder="0"/>
    <xf numFmtId="186" fontId="146" fillId="3" borderId="1597" applyBorder="0">
      <alignment horizontal="left" vertical="center"/>
    </xf>
    <xf numFmtId="0" fontId="210" fillId="0" borderId="1453" applyNumberFormat="0" applyFill="0" applyBorder="0" applyAlignment="0">
      <protection locked="0"/>
    </xf>
    <xf numFmtId="222" fontId="79" fillId="0" borderId="1548" applyBorder="0"/>
    <xf numFmtId="254" fontId="240" fillId="0" borderId="1453" applyBorder="0" applyProtection="0">
      <alignment horizontal="right" vertical="center"/>
    </xf>
    <xf numFmtId="0" fontId="241" fillId="94" borderId="1453" applyBorder="0" applyProtection="0">
      <alignment horizontal="centerContinuous" vertical="center"/>
    </xf>
    <xf numFmtId="246" fontId="249" fillId="0" borderId="1453" applyFill="0" applyProtection="0">
      <alignment horizontal="center"/>
    </xf>
    <xf numFmtId="246" fontId="250" fillId="0" borderId="1453" applyFill="0" applyProtection="0">
      <alignment horizontal="center"/>
    </xf>
    <xf numFmtId="0" fontId="2" fillId="0" borderId="1566" applyNumberFormat="0" applyAlignment="0" applyProtection="0"/>
    <xf numFmtId="222" fontId="79" fillId="0" borderId="1548" applyBorder="0"/>
    <xf numFmtId="186" fontId="146" fillId="3" borderId="1540">
      <alignment horizontal="left"/>
    </xf>
    <xf numFmtId="254" fontId="240" fillId="0" borderId="1573" applyBorder="0" applyProtection="0">
      <alignment horizontal="right" vertical="center"/>
    </xf>
    <xf numFmtId="0" fontId="25" fillId="10" borderId="1580" applyNumberFormat="0" applyProtection="0">
      <alignment horizontal="left" vertical="top"/>
    </xf>
    <xf numFmtId="186" fontId="146" fillId="3" borderId="1597" applyBorder="0">
      <alignment horizontal="left" vertical="center"/>
    </xf>
    <xf numFmtId="0" fontId="210" fillId="0" borderId="1597" applyNumberFormat="0" applyFill="0" applyBorder="0" applyAlignment="0">
      <protection locked="0"/>
    </xf>
    <xf numFmtId="0" fontId="241" fillId="94" borderId="1585" applyBorder="0" applyProtection="0">
      <alignment horizontal="centerContinuous" vertical="center"/>
    </xf>
    <xf numFmtId="0" fontId="214" fillId="0" borderId="1555" applyNumberFormat="0" applyFont="0" applyFill="0" applyAlignment="0" applyProtection="0"/>
    <xf numFmtId="186" fontId="140" fillId="3" borderId="1541">
      <alignment horizontal="center" vertical="center"/>
    </xf>
    <xf numFmtId="264" fontId="12" fillId="14" borderId="1549" applyFont="0" applyFill="0" applyBorder="0" applyAlignment="0" applyProtection="0">
      <alignment horizontal="right"/>
    </xf>
    <xf numFmtId="0" fontId="78" fillId="14" borderId="1455" applyFont="0" applyFill="0" applyBorder="0" applyAlignment="0" applyProtection="0"/>
    <xf numFmtId="0" fontId="25" fillId="10" borderId="1463" applyNumberFormat="0" applyProtection="0">
      <alignment horizontal="left" vertical="top"/>
    </xf>
    <xf numFmtId="0" fontId="25" fillId="10" borderId="1462" applyNumberFormat="0" applyProtection="0">
      <alignment horizontal="left" vertical="top"/>
    </xf>
    <xf numFmtId="0" fontId="25" fillId="10" borderId="1461" applyNumberFormat="0" applyProtection="0">
      <alignment horizontal="left" vertical="top"/>
    </xf>
    <xf numFmtId="0" fontId="25" fillId="10" borderId="1460" applyNumberFormat="0" applyProtection="0">
      <alignment horizontal="left" vertical="top"/>
    </xf>
    <xf numFmtId="0" fontId="214" fillId="0" borderId="1459" applyNumberFormat="0" applyFont="0" applyFill="0" applyAlignment="0" applyProtection="0"/>
    <xf numFmtId="0" fontId="2" fillId="0" borderId="1458" applyNumberFormat="0" applyAlignment="0" applyProtection="0"/>
    <xf numFmtId="0" fontId="75" fillId="0" borderId="1586" applyNumberFormat="0" applyFont="0" applyFill="0" applyAlignment="0" applyProtection="0"/>
    <xf numFmtId="186" fontId="140" fillId="3" borderId="1457">
      <alignment horizontal="center" vertical="center"/>
    </xf>
    <xf numFmtId="186" fontId="146" fillId="3" borderId="1456">
      <alignment horizontal="left"/>
    </xf>
    <xf numFmtId="180" fontId="9" fillId="3" borderId="1597">
      <alignment horizontal="right" vertical="center"/>
    </xf>
    <xf numFmtId="0" fontId="75" fillId="0" borderId="1454" applyNumberFormat="0" applyFont="0" applyFill="0" applyAlignment="0" applyProtection="0"/>
    <xf numFmtId="186" fontId="146" fillId="3" borderId="1549" applyBorder="0">
      <alignment horizontal="left" vertical="center"/>
    </xf>
    <xf numFmtId="222" fontId="79" fillId="0" borderId="1464" applyBorder="0"/>
    <xf numFmtId="0" fontId="101" fillId="0" borderId="1465" applyBorder="0"/>
    <xf numFmtId="222" fontId="79" fillId="0" borderId="1464" applyBorder="0"/>
    <xf numFmtId="0" fontId="113" fillId="0" borderId="1465" applyNumberFormat="0" applyFill="0" applyAlignment="0" applyProtection="0"/>
    <xf numFmtId="0" fontId="12" fillId="0" borderId="1465" applyNumberFormat="0" applyFill="0" applyBorder="0" applyAlignment="0" applyProtection="0">
      <alignment horizontal="center"/>
    </xf>
    <xf numFmtId="248" fontId="46" fillId="0" borderId="1465"/>
    <xf numFmtId="186" fontId="146" fillId="3" borderId="1600">
      <alignment horizontal="left"/>
    </xf>
    <xf numFmtId="0" fontId="113" fillId="0" borderId="1597" applyNumberFormat="0" applyFill="0" applyAlignment="0" applyProtection="0"/>
    <xf numFmtId="192" fontId="9" fillId="3" borderId="1465">
      <alignment horizontal="right" vertical="center"/>
    </xf>
    <xf numFmtId="180" fontId="9" fillId="3" borderId="1465">
      <alignment horizontal="right" vertical="center"/>
    </xf>
    <xf numFmtId="186" fontId="146" fillId="3" borderId="1465" applyBorder="0">
      <alignment horizontal="left" vertical="center"/>
    </xf>
    <xf numFmtId="0" fontId="165" fillId="0" borderId="1465" applyFill="0" applyProtection="0">
      <alignment horizontal="center"/>
    </xf>
    <xf numFmtId="0" fontId="166" fillId="0" borderId="1465">
      <alignment horizontal="center"/>
    </xf>
    <xf numFmtId="264" fontId="12" fillId="14" borderId="1465" applyFont="0" applyFill="0" applyBorder="0" applyAlignment="0" applyProtection="0">
      <alignment horizontal="right"/>
    </xf>
    <xf numFmtId="0" fontId="210" fillId="0" borderId="1465" applyNumberFormat="0" applyFill="0" applyBorder="0" applyAlignment="0">
      <protection locked="0"/>
    </xf>
    <xf numFmtId="254" fontId="240" fillId="0" borderId="1465" applyBorder="0" applyProtection="0">
      <alignment horizontal="right" vertical="center"/>
    </xf>
    <xf numFmtId="0" fontId="241" fillId="94" borderId="1465" applyBorder="0" applyProtection="0">
      <alignment horizontal="centerContinuous" vertical="center"/>
    </xf>
    <xf numFmtId="246" fontId="249" fillId="0" borderId="1465" applyFill="0" applyProtection="0">
      <alignment horizontal="center"/>
    </xf>
    <xf numFmtId="246" fontId="250" fillId="0" borderId="1465" applyFill="0" applyProtection="0">
      <alignment horizontal="center"/>
    </xf>
    <xf numFmtId="0" fontId="166" fillId="0" borderId="1549">
      <alignment horizontal="center"/>
    </xf>
    <xf numFmtId="192" fontId="9" fillId="3" borderId="1549">
      <alignment horizontal="right" vertical="center"/>
    </xf>
    <xf numFmtId="248" fontId="46" fillId="0" borderId="1549"/>
    <xf numFmtId="0" fontId="12" fillId="0" borderId="1549" applyNumberFormat="0" applyFill="0" applyBorder="0" applyAlignment="0" applyProtection="0">
      <alignment horizontal="center"/>
    </xf>
    <xf numFmtId="0" fontId="113" fillId="0" borderId="1549" applyNumberFormat="0" applyFill="0" applyAlignment="0" applyProtection="0"/>
    <xf numFmtId="222" fontId="79" fillId="0" borderId="1548" applyBorder="0"/>
    <xf numFmtId="0" fontId="101" fillId="0" borderId="1549" applyBorder="0"/>
    <xf numFmtId="186" fontId="146" fillId="3" borderId="1540">
      <alignment horizontal="left"/>
    </xf>
    <xf numFmtId="0" fontId="113" fillId="0" borderId="1597" applyNumberFormat="0" applyFill="0" applyAlignment="0" applyProtection="0"/>
    <xf numFmtId="0" fontId="25" fillId="10" borderId="1544" applyNumberFormat="0" applyProtection="0">
      <alignment horizontal="left" vertical="top"/>
    </xf>
    <xf numFmtId="186" fontId="140" fillId="3" borderId="1601">
      <alignment horizontal="center" vertical="center"/>
    </xf>
    <xf numFmtId="0" fontId="25" fillId="10" borderId="1607" applyNumberFormat="0" applyProtection="0">
      <alignment horizontal="left" vertical="top"/>
    </xf>
    <xf numFmtId="0" fontId="2" fillId="0" borderId="1602" applyNumberFormat="0" applyAlignment="0" applyProtection="0"/>
    <xf numFmtId="0" fontId="101" fillId="0" borderId="1573" applyBorder="0"/>
    <xf numFmtId="0" fontId="214" fillId="0" borderId="1543" applyNumberFormat="0" applyFont="0" applyFill="0" applyAlignment="0" applyProtection="0"/>
    <xf numFmtId="186" fontId="146" fillId="3" borderId="1600">
      <alignment horizontal="left"/>
    </xf>
    <xf numFmtId="0" fontId="25" fillId="10" borderId="1604" applyNumberFormat="0" applyProtection="0">
      <alignment horizontal="left" vertical="top"/>
    </xf>
    <xf numFmtId="0" fontId="25" fillId="10" borderId="1606" applyNumberFormat="0" applyProtection="0">
      <alignment horizontal="left" vertical="top"/>
    </xf>
    <xf numFmtId="0" fontId="25" fillId="10" borderId="1605" applyNumberFormat="0" applyProtection="0">
      <alignment horizontal="left" vertical="top"/>
    </xf>
    <xf numFmtId="0" fontId="214" fillId="0" borderId="1603" applyNumberFormat="0" applyFont="0" applyFill="0" applyAlignment="0" applyProtection="0"/>
    <xf numFmtId="0" fontId="210" fillId="0" borderId="1597" applyNumberFormat="0" applyFill="0" applyBorder="0" applyAlignment="0">
      <protection locked="0"/>
    </xf>
    <xf numFmtId="254" fontId="240" fillId="0" borderId="1537" applyBorder="0" applyProtection="0">
      <alignment horizontal="right" vertical="center"/>
    </xf>
    <xf numFmtId="246" fontId="249" fillId="0" borderId="1537" applyFill="0" applyProtection="0">
      <alignment horizontal="center"/>
    </xf>
    <xf numFmtId="0" fontId="214" fillId="0" borderId="1543" applyNumberFormat="0" applyFont="0" applyFill="0" applyAlignment="0" applyProtection="0"/>
    <xf numFmtId="0" fontId="166" fillId="0" borderId="1597">
      <alignment horizontal="center"/>
    </xf>
    <xf numFmtId="222" fontId="79" fillId="0" borderId="1548" applyBorder="0"/>
    <xf numFmtId="0" fontId="12" fillId="0" borderId="1597" applyNumberFormat="0" applyFill="0" applyBorder="0" applyAlignment="0" applyProtection="0">
      <alignment horizontal="center"/>
    </xf>
    <xf numFmtId="190" fontId="25" fillId="10" borderId="1582" applyNumberFormat="0" applyProtection="0">
      <alignment horizontal="left" vertical="top"/>
    </xf>
    <xf numFmtId="246" fontId="250" fillId="0" borderId="1883" applyFill="0" applyProtection="0">
      <alignment horizontal="center"/>
    </xf>
    <xf numFmtId="222" fontId="79" fillId="0" borderId="1596" applyBorder="0"/>
    <xf numFmtId="192" fontId="9" fillId="3" borderId="1597">
      <alignment horizontal="right" vertical="center"/>
    </xf>
    <xf numFmtId="186" fontId="146" fillId="3" borderId="1468">
      <alignment horizontal="left"/>
    </xf>
    <xf numFmtId="0" fontId="75" fillId="0" borderId="1466" applyNumberFormat="0" applyFont="0" applyFill="0" applyAlignment="0" applyProtection="0"/>
    <xf numFmtId="0" fontId="25" fillId="10" borderId="1544" applyNumberFormat="0" applyProtection="0">
      <alignment horizontal="left" vertical="top"/>
    </xf>
    <xf numFmtId="0" fontId="75" fillId="0" borderId="1538" applyNumberFormat="0" applyFont="0" applyFill="0" applyAlignment="0" applyProtection="0"/>
    <xf numFmtId="0" fontId="25" fillId="10" borderId="1571" applyNumberFormat="0" applyProtection="0">
      <alignment horizontal="left" vertical="top"/>
    </xf>
    <xf numFmtId="0" fontId="113" fillId="0" borderId="1549" applyNumberFormat="0" applyFill="0" applyAlignment="0" applyProtection="0"/>
    <xf numFmtId="264" fontId="12" fillId="14" borderId="1549" applyFont="0" applyFill="0" applyBorder="0" applyAlignment="0" applyProtection="0">
      <alignment horizontal="right"/>
    </xf>
    <xf numFmtId="246" fontId="249" fillId="0" borderId="1549" applyFill="0" applyProtection="0">
      <alignment horizontal="center"/>
    </xf>
    <xf numFmtId="0" fontId="25" fillId="10" borderId="1475" applyNumberFormat="0" applyProtection="0">
      <alignment horizontal="left" vertical="top"/>
    </xf>
    <xf numFmtId="0" fontId="25" fillId="10" borderId="1473" applyNumberFormat="0" applyProtection="0">
      <alignment horizontal="left" vertical="top"/>
    </xf>
    <xf numFmtId="0" fontId="25" fillId="10" borderId="1474" applyNumberFormat="0" applyProtection="0">
      <alignment horizontal="left" vertical="top"/>
    </xf>
    <xf numFmtId="0" fontId="25" fillId="10" borderId="1472" applyNumberFormat="0" applyProtection="0">
      <alignment horizontal="left" vertical="top"/>
    </xf>
    <xf numFmtId="0" fontId="25" fillId="10" borderId="1475" applyNumberFormat="0" applyProtection="0">
      <alignment horizontal="left" vertical="top"/>
    </xf>
    <xf numFmtId="0" fontId="25" fillId="10" borderId="1474" applyNumberFormat="0" applyProtection="0">
      <alignment horizontal="left" vertical="top"/>
    </xf>
    <xf numFmtId="0" fontId="25" fillId="10" borderId="1473" applyNumberFormat="0" applyProtection="0">
      <alignment horizontal="left" vertical="top"/>
    </xf>
    <xf numFmtId="0" fontId="25" fillId="10" borderId="1472" applyNumberFormat="0" applyProtection="0">
      <alignment horizontal="left" vertical="top"/>
    </xf>
    <xf numFmtId="0" fontId="214" fillId="0" borderId="1471" applyNumberFormat="0" applyFont="0" applyFill="0" applyAlignment="0" applyProtection="0"/>
    <xf numFmtId="0" fontId="2" fillId="0" borderId="1470" applyNumberFormat="0" applyAlignment="0" applyProtection="0"/>
    <xf numFmtId="186" fontId="140" fillId="3" borderId="1469">
      <alignment horizontal="center" vertical="center"/>
    </xf>
    <xf numFmtId="186" fontId="140" fillId="3" borderId="1481">
      <alignment horizontal="center" vertical="center"/>
    </xf>
    <xf numFmtId="0" fontId="25" fillId="10" borderId="1484" applyNumberFormat="0" applyProtection="0">
      <alignment horizontal="left" vertical="top"/>
    </xf>
    <xf numFmtId="0" fontId="12" fillId="0" borderId="1549" applyNumberFormat="0" applyFill="0" applyBorder="0" applyAlignment="0" applyProtection="0">
      <alignment horizontal="center"/>
    </xf>
    <xf numFmtId="0" fontId="25" fillId="10" borderId="1546" applyNumberFormat="0" applyProtection="0">
      <alignment horizontal="left" vertical="top"/>
    </xf>
    <xf numFmtId="222" fontId="79" fillId="0" borderId="1536" applyBorder="0"/>
    <xf numFmtId="0" fontId="78" fillId="14" borderId="1539" applyFont="0" applyFill="0" applyBorder="0" applyAlignment="0" applyProtection="0"/>
    <xf numFmtId="222" fontId="79" fillId="0" borderId="1548" applyBorder="0"/>
    <xf numFmtId="0" fontId="101" fillId="0" borderId="1549" applyBorder="0"/>
    <xf numFmtId="222" fontId="79" fillId="0" borderId="1548" applyBorder="0"/>
    <xf numFmtId="248" fontId="46" fillId="0" borderId="1549"/>
    <xf numFmtId="192" fontId="9" fillId="3" borderId="1549">
      <alignment horizontal="right" vertical="center"/>
    </xf>
    <xf numFmtId="180" fontId="9" fillId="3" borderId="1549">
      <alignment horizontal="right" vertical="center"/>
    </xf>
    <xf numFmtId="186" fontId="146" fillId="3" borderId="1549" applyBorder="0">
      <alignment horizontal="left" vertical="center"/>
    </xf>
    <xf numFmtId="0" fontId="165" fillId="0" borderId="1549" applyFill="0" applyProtection="0">
      <alignment horizontal="center"/>
    </xf>
    <xf numFmtId="0" fontId="210" fillId="0" borderId="1549" applyNumberFormat="0" applyFill="0" applyBorder="0" applyAlignment="0">
      <protection locked="0"/>
    </xf>
    <xf numFmtId="254" fontId="240" fillId="0" borderId="1549" applyBorder="0" applyProtection="0">
      <alignment horizontal="right" vertical="center"/>
    </xf>
    <xf numFmtId="246" fontId="250" fillId="0" borderId="1549" applyFill="0" applyProtection="0">
      <alignment horizontal="center"/>
    </xf>
    <xf numFmtId="222" fontId="79" fillId="0" borderId="1488" applyBorder="0"/>
    <xf numFmtId="0" fontId="25" fillId="10" borderId="1485" applyNumberFormat="0" applyProtection="0">
      <alignment horizontal="left" vertical="top"/>
    </xf>
    <xf numFmtId="0" fontId="25" fillId="10" borderId="1487" applyNumberFormat="0" applyProtection="0">
      <alignment horizontal="left" vertical="top"/>
    </xf>
    <xf numFmtId="0" fontId="25" fillId="10" borderId="1484" applyNumberFormat="0" applyProtection="0">
      <alignment horizontal="left" vertical="top"/>
    </xf>
    <xf numFmtId="0" fontId="25" fillId="10" borderId="1485" applyNumberFormat="0" applyProtection="0">
      <alignment horizontal="left" vertical="top"/>
    </xf>
    <xf numFmtId="0" fontId="25" fillId="10" borderId="1486" applyNumberFormat="0" applyProtection="0">
      <alignment horizontal="left" vertical="top"/>
    </xf>
    <xf numFmtId="0" fontId="75" fillId="0" borderId="1490" applyNumberFormat="0" applyFont="0" applyFill="0" applyAlignment="0" applyProtection="0"/>
    <xf numFmtId="0" fontId="101" fillId="0" borderId="1501" applyBorder="0"/>
    <xf numFmtId="222" fontId="79" fillId="0" borderId="1500" applyBorder="0"/>
    <xf numFmtId="0" fontId="113" fillId="0" borderId="1501" applyNumberFormat="0" applyFill="0" applyAlignment="0" applyProtection="0"/>
    <xf numFmtId="0" fontId="12" fillId="0" borderId="1501" applyNumberFormat="0" applyFill="0" applyBorder="0" applyAlignment="0" applyProtection="0">
      <alignment horizontal="center"/>
    </xf>
    <xf numFmtId="248" fontId="46" fillId="0" borderId="1501"/>
    <xf numFmtId="192" fontId="9" fillId="3" borderId="1501">
      <alignment horizontal="right" vertical="center"/>
    </xf>
    <xf numFmtId="180" fontId="9" fillId="3" borderId="1501">
      <alignment horizontal="right" vertical="center"/>
    </xf>
    <xf numFmtId="186" fontId="146" fillId="3" borderId="1501" applyBorder="0">
      <alignment horizontal="left" vertical="center"/>
    </xf>
    <xf numFmtId="0" fontId="166" fillId="0" borderId="1501">
      <alignment horizontal="center"/>
    </xf>
    <xf numFmtId="0" fontId="210" fillId="0" borderId="1501" applyNumberFormat="0" applyFill="0" applyBorder="0" applyAlignment="0">
      <protection locked="0"/>
    </xf>
    <xf numFmtId="264" fontId="12" fillId="14" borderId="1501" applyFont="0" applyFill="0" applyBorder="0" applyAlignment="0" applyProtection="0">
      <alignment horizontal="right"/>
    </xf>
    <xf numFmtId="246" fontId="249" fillId="0" borderId="1501" applyFill="0" applyProtection="0">
      <alignment horizontal="center"/>
    </xf>
    <xf numFmtId="246" fontId="250" fillId="0" borderId="1501" applyFill="0" applyProtection="0">
      <alignment horizontal="center"/>
    </xf>
    <xf numFmtId="246" fontId="250" fillId="0" borderId="1525" applyFill="0" applyProtection="0">
      <alignment horizontal="center"/>
    </xf>
    <xf numFmtId="246" fontId="249" fillId="0" borderId="1525" applyFill="0" applyProtection="0">
      <alignment horizontal="center"/>
    </xf>
    <xf numFmtId="254" fontId="240" fillId="0" borderId="1525" applyBorder="0" applyProtection="0">
      <alignment horizontal="right" vertical="center"/>
    </xf>
    <xf numFmtId="264" fontId="12" fillId="14" borderId="1525" applyFont="0" applyFill="0" applyBorder="0" applyAlignment="0" applyProtection="0">
      <alignment horizontal="right"/>
    </xf>
    <xf numFmtId="0" fontId="165" fillId="0" borderId="1525" applyFill="0" applyProtection="0">
      <alignment horizontal="center"/>
    </xf>
    <xf numFmtId="180" fontId="9" fillId="3" borderId="1525">
      <alignment horizontal="right" vertical="center"/>
    </xf>
    <xf numFmtId="0" fontId="12" fillId="0" borderId="1525" applyNumberFormat="0" applyFill="0" applyBorder="0" applyAlignment="0" applyProtection="0">
      <alignment horizontal="center"/>
    </xf>
    <xf numFmtId="0" fontId="101" fillId="0" borderId="1525" applyBorder="0"/>
    <xf numFmtId="222" fontId="79" fillId="0" borderId="1524" applyBorder="0"/>
    <xf numFmtId="0" fontId="75" fillId="0" borderId="1514" applyNumberFormat="0" applyFont="0" applyFill="0" applyAlignment="0" applyProtection="0"/>
    <xf numFmtId="0" fontId="2" fillId="0" borderId="1518" applyNumberFormat="0" applyAlignment="0" applyProtection="0"/>
    <xf numFmtId="0" fontId="25" fillId="10" borderId="1520" applyNumberFormat="0" applyProtection="0">
      <alignment horizontal="left" vertical="top"/>
    </xf>
    <xf numFmtId="0" fontId="25" fillId="10" borderId="1523" applyNumberFormat="0" applyProtection="0">
      <alignment horizontal="left" vertical="top"/>
    </xf>
    <xf numFmtId="222" fontId="79" fillId="0" borderId="1512" applyBorder="0"/>
    <xf numFmtId="0" fontId="25" fillId="10" borderId="1498" applyNumberFormat="0" applyProtection="0">
      <alignment horizontal="left" vertical="top"/>
    </xf>
    <xf numFmtId="0" fontId="25" fillId="10" borderId="1496" applyNumberFormat="0" applyProtection="0">
      <alignment horizontal="left" vertical="top"/>
    </xf>
    <xf numFmtId="0" fontId="214" fillId="0" borderId="1495" applyNumberFormat="0" applyFont="0" applyFill="0" applyAlignment="0" applyProtection="0"/>
    <xf numFmtId="186" fontId="146" fillId="3" borderId="1492">
      <alignment horizontal="left"/>
    </xf>
    <xf numFmtId="222" fontId="79" fillId="0" borderId="1500" applyBorder="0"/>
    <xf numFmtId="222" fontId="79" fillId="0" borderId="1596" applyBorder="0"/>
    <xf numFmtId="186" fontId="140" fillId="3" borderId="1541">
      <alignment horizontal="center" vertical="center"/>
    </xf>
    <xf numFmtId="222" fontId="79" fillId="0" borderId="1560" applyBorder="0"/>
    <xf numFmtId="0" fontId="101" fillId="0" borderId="1381" applyBorder="0"/>
    <xf numFmtId="0" fontId="113" fillId="0" borderId="1381" applyNumberFormat="0" applyFill="0" applyAlignment="0" applyProtection="0"/>
    <xf numFmtId="0" fontId="12" fillId="0" borderId="1381" applyNumberFormat="0" applyFill="0" applyBorder="0" applyAlignment="0" applyProtection="0">
      <alignment horizontal="center"/>
    </xf>
    <xf numFmtId="248" fontId="46" fillId="0" borderId="1381"/>
    <xf numFmtId="192" fontId="9" fillId="3" borderId="1381">
      <alignment horizontal="right" vertical="center"/>
    </xf>
    <xf numFmtId="180" fontId="9" fillId="3" borderId="1381">
      <alignment horizontal="right" vertical="center"/>
    </xf>
    <xf numFmtId="186" fontId="146" fillId="3" borderId="1381" applyBorder="0">
      <alignment horizontal="left" vertical="center"/>
    </xf>
    <xf numFmtId="0" fontId="165" fillId="0" borderId="1381" applyFill="0" applyProtection="0">
      <alignment horizontal="center"/>
    </xf>
    <xf numFmtId="0" fontId="166" fillId="0" borderId="1381">
      <alignment horizontal="center"/>
    </xf>
    <xf numFmtId="264" fontId="12" fillId="14" borderId="1381" applyFont="0" applyFill="0" applyBorder="0" applyAlignment="0" applyProtection="0">
      <alignment horizontal="right"/>
    </xf>
    <xf numFmtId="0" fontId="210" fillId="0" borderId="1381" applyNumberFormat="0" applyFill="0" applyBorder="0" applyAlignment="0">
      <protection locked="0"/>
    </xf>
    <xf numFmtId="222" fontId="79" fillId="0" borderId="1596" applyBorder="0"/>
    <xf numFmtId="248" fontId="46" fillId="0" borderId="1525"/>
    <xf numFmtId="222" fontId="79" fillId="0" borderId="1524" applyBorder="0"/>
    <xf numFmtId="186" fontId="140" fillId="3" borderId="1517">
      <alignment horizontal="center" vertical="center"/>
    </xf>
    <xf numFmtId="0" fontId="25" fillId="10" borderId="1522" applyNumberFormat="0" applyProtection="0">
      <alignment horizontal="left" vertical="top"/>
    </xf>
    <xf numFmtId="0" fontId="210" fillId="0" borderId="1525" applyNumberFormat="0" applyFill="0" applyBorder="0" applyAlignment="0">
      <protection locked="0"/>
    </xf>
    <xf numFmtId="192" fontId="9" fillId="3" borderId="1525">
      <alignment horizontal="right" vertical="center"/>
    </xf>
    <xf numFmtId="0" fontId="113" fillId="0" borderId="1525" applyNumberFormat="0" applyFill="0" applyAlignment="0" applyProtection="0"/>
    <xf numFmtId="186" fontId="146" fillId="3" borderId="1516">
      <alignment horizontal="left"/>
    </xf>
    <xf numFmtId="0" fontId="25" fillId="10" borderId="1521" applyNumberFormat="0" applyProtection="0">
      <alignment horizontal="left" vertical="top"/>
    </xf>
    <xf numFmtId="254" fontId="240" fillId="0" borderId="1381" applyBorder="0" applyProtection="0">
      <alignment horizontal="right" vertical="center"/>
    </xf>
    <xf numFmtId="0" fontId="241" fillId="94" borderId="1381" applyBorder="0" applyProtection="0">
      <alignment horizontal="centerContinuous" vertical="center"/>
    </xf>
    <xf numFmtId="246" fontId="249" fillId="0" borderId="1381" applyFill="0" applyProtection="0">
      <alignment horizontal="center"/>
    </xf>
    <xf numFmtId="246" fontId="250" fillId="0" borderId="1381" applyFill="0" applyProtection="0">
      <alignment horizontal="center"/>
    </xf>
    <xf numFmtId="0" fontId="75" fillId="0" borderId="1562" applyNumberFormat="0" applyFont="0" applyFill="0" applyAlignment="0" applyProtection="0"/>
    <xf numFmtId="0" fontId="25" fillId="10" borderId="1545" applyNumberFormat="0" applyProtection="0">
      <alignment horizontal="left" vertical="top"/>
    </xf>
    <xf numFmtId="0" fontId="25" fillId="10" borderId="1547" applyNumberFormat="0" applyProtection="0">
      <alignment horizontal="left" vertical="top"/>
    </xf>
    <xf numFmtId="246" fontId="249" fillId="0" borderId="1573" applyFill="0" applyProtection="0">
      <alignment horizontal="center"/>
    </xf>
    <xf numFmtId="222" fontId="79" fillId="0" borderId="1476" applyBorder="0"/>
    <xf numFmtId="0" fontId="214" fillId="0" borderId="1543" applyNumberFormat="0" applyFont="0" applyFill="0" applyAlignment="0" applyProtection="0"/>
    <xf numFmtId="0" fontId="75" fillId="0" borderId="1478" applyNumberFormat="0" applyFont="0" applyFill="0" applyAlignment="0" applyProtection="0"/>
    <xf numFmtId="0" fontId="25" fillId="10" borderId="1486" applyNumberFormat="0" applyProtection="0">
      <alignment horizontal="left" vertical="top"/>
    </xf>
    <xf numFmtId="0" fontId="25" fillId="10" borderId="1487" applyNumberFormat="0" applyProtection="0">
      <alignment horizontal="left" vertical="top"/>
    </xf>
    <xf numFmtId="0" fontId="165" fillId="0" borderId="1501" applyFill="0" applyProtection="0">
      <alignment horizontal="center"/>
    </xf>
    <xf numFmtId="254" fontId="240" fillId="0" borderId="1501" applyBorder="0" applyProtection="0">
      <alignment horizontal="right" vertical="center"/>
    </xf>
    <xf numFmtId="0" fontId="241" fillId="94" borderId="1501" applyBorder="0" applyProtection="0">
      <alignment horizontal="centerContinuous" vertical="center"/>
    </xf>
    <xf numFmtId="0" fontId="241" fillId="94" borderId="1525" applyBorder="0" applyProtection="0">
      <alignment horizontal="centerContinuous" vertical="center"/>
    </xf>
    <xf numFmtId="0" fontId="166" fillId="0" borderId="1525">
      <alignment horizontal="center"/>
    </xf>
    <xf numFmtId="186" fontId="146" fillId="3" borderId="1525" applyBorder="0">
      <alignment horizontal="left" vertical="center"/>
    </xf>
    <xf numFmtId="0" fontId="214" fillId="0" borderId="1519" applyNumberFormat="0" applyFont="0" applyFill="0" applyAlignment="0" applyProtection="0"/>
    <xf numFmtId="0" fontId="78" fillId="14" borderId="1515" applyFont="0" applyFill="0" applyBorder="0" applyAlignment="0" applyProtection="0"/>
    <xf numFmtId="0" fontId="210" fillId="0" borderId="1549" applyNumberFormat="0" applyFill="0" applyBorder="0" applyAlignment="0">
      <protection locked="0"/>
    </xf>
    <xf numFmtId="0" fontId="78" fillId="14" borderId="1443" applyFont="0" applyFill="0" applyBorder="0" applyAlignment="0" applyProtection="0"/>
    <xf numFmtId="0" fontId="25" fillId="10" borderId="1379" applyNumberFormat="0" applyProtection="0">
      <alignment horizontal="left" vertical="top"/>
    </xf>
    <xf numFmtId="0" fontId="25" fillId="10" borderId="1378" applyNumberFormat="0" applyProtection="0">
      <alignment horizontal="left" vertical="top"/>
    </xf>
    <xf numFmtId="0" fontId="25" fillId="10" borderId="1377" applyNumberFormat="0" applyProtection="0">
      <alignment horizontal="left" vertical="top"/>
    </xf>
    <xf numFmtId="0" fontId="25" fillId="10" borderId="1376" applyNumberFormat="0" applyProtection="0">
      <alignment horizontal="left" vertical="top"/>
    </xf>
    <xf numFmtId="186" fontId="140" fillId="3" borderId="1541">
      <alignment horizontal="center" vertical="center"/>
    </xf>
    <xf numFmtId="0" fontId="214" fillId="0" borderId="1375" applyNumberFormat="0" applyFont="0" applyFill="0" applyAlignment="0" applyProtection="0"/>
    <xf numFmtId="0" fontId="2" fillId="0" borderId="1374" applyNumberFormat="0" applyAlignment="0" applyProtection="0"/>
    <xf numFmtId="186" fontId="140" fillId="3" borderId="1373">
      <alignment horizontal="center" vertical="center"/>
    </xf>
    <xf numFmtId="186" fontId="146" fillId="3" borderId="1372">
      <alignment horizontal="left"/>
    </xf>
    <xf numFmtId="186" fontId="146" fillId="3" borderId="1540">
      <alignment horizontal="left"/>
    </xf>
    <xf numFmtId="0" fontId="75" fillId="0" borderId="1370" applyNumberFormat="0" applyFont="0" applyFill="0" applyAlignment="0" applyProtection="0"/>
    <xf numFmtId="180" fontId="9" fillId="3" borderId="1549">
      <alignment horizontal="right" vertical="center"/>
    </xf>
    <xf numFmtId="0" fontId="75" fillId="0" borderId="1538" applyNumberFormat="0" applyFont="0" applyFill="0" applyAlignment="0" applyProtection="0"/>
    <xf numFmtId="0" fontId="75" fillId="0" borderId="1538" applyNumberFormat="0" applyFont="0" applyFill="0" applyAlignment="0" applyProtection="0"/>
    <xf numFmtId="222" fontId="79" fillId="0" borderId="1452" applyBorder="0"/>
    <xf numFmtId="222" fontId="79" fillId="0" borderId="1452" applyBorder="0"/>
    <xf numFmtId="0" fontId="25" fillId="10" borderId="1544" applyNumberFormat="0" applyProtection="0">
      <alignment horizontal="left" vertical="top"/>
    </xf>
    <xf numFmtId="0" fontId="2" fillId="0" borderId="1542" applyNumberFormat="0" applyAlignment="0" applyProtection="0"/>
    <xf numFmtId="246" fontId="250" fillId="0" borderId="1477" applyFill="0" applyProtection="0">
      <alignment horizontal="center"/>
    </xf>
    <xf numFmtId="246" fontId="249" fillId="0" borderId="1477" applyFill="0" applyProtection="0">
      <alignment horizontal="center"/>
    </xf>
    <xf numFmtId="0" fontId="241" fillId="94" borderId="1477" applyBorder="0" applyProtection="0">
      <alignment horizontal="centerContinuous" vertical="center"/>
    </xf>
    <xf numFmtId="254" fontId="240" fillId="0" borderId="1477" applyBorder="0" applyProtection="0">
      <alignment horizontal="right" vertical="center"/>
    </xf>
    <xf numFmtId="0" fontId="210" fillId="0" borderId="1477" applyNumberFormat="0" applyFill="0" applyBorder="0" applyAlignment="0">
      <protection locked="0"/>
    </xf>
    <xf numFmtId="264" fontId="12" fillId="14" borderId="1477" applyFont="0" applyFill="0" applyBorder="0" applyAlignment="0" applyProtection="0">
      <alignment horizontal="right"/>
    </xf>
    <xf numFmtId="0" fontId="166" fillId="0" borderId="1477">
      <alignment horizontal="center"/>
    </xf>
    <xf numFmtId="0" fontId="165" fillId="0" borderId="1477" applyFill="0" applyProtection="0">
      <alignment horizontal="center"/>
    </xf>
    <xf numFmtId="186" fontId="146" fillId="3" borderId="1477" applyBorder="0">
      <alignment horizontal="left" vertical="center"/>
    </xf>
    <xf numFmtId="180" fontId="9" fillId="3" borderId="1477">
      <alignment horizontal="right" vertical="center"/>
    </xf>
    <xf numFmtId="192" fontId="9" fillId="3" borderId="1477">
      <alignment horizontal="right" vertical="center"/>
    </xf>
    <xf numFmtId="248" fontId="46" fillId="0" borderId="1477"/>
    <xf numFmtId="0" fontId="12" fillId="0" borderId="1477" applyNumberFormat="0" applyFill="0" applyBorder="0" applyAlignment="0" applyProtection="0">
      <alignment horizontal="center"/>
    </xf>
    <xf numFmtId="0" fontId="113" fillId="0" borderId="1477" applyNumberFormat="0" applyFill="0" applyAlignment="0" applyProtection="0"/>
    <xf numFmtId="222" fontId="79" fillId="0" borderId="1476" applyBorder="0"/>
    <xf numFmtId="0" fontId="101" fillId="0" borderId="1477" applyBorder="0"/>
    <xf numFmtId="222" fontId="79" fillId="0" borderId="1906" applyBorder="0"/>
    <xf numFmtId="222" fontId="79" fillId="0" borderId="1476" applyBorder="0"/>
    <xf numFmtId="0" fontId="75" fillId="0" borderId="1466" applyNumberFormat="0" applyFont="0" applyFill="0" applyAlignment="0" applyProtection="0"/>
    <xf numFmtId="186" fontId="146" fillId="3" borderId="1468">
      <alignment horizontal="left"/>
    </xf>
    <xf numFmtId="186" fontId="140" fillId="3" borderId="1469">
      <alignment horizontal="center" vertical="center"/>
    </xf>
    <xf numFmtId="0" fontId="2" fillId="0" borderId="1470" applyNumberFormat="0" applyAlignment="0" applyProtection="0"/>
    <xf numFmtId="0" fontId="214" fillId="0" borderId="1471" applyNumberFormat="0" applyFont="0" applyFill="0" applyAlignment="0" applyProtection="0"/>
    <xf numFmtId="0" fontId="25" fillId="10" borderId="1472" applyNumberFormat="0" applyProtection="0">
      <alignment horizontal="left" vertical="top"/>
    </xf>
    <xf numFmtId="0" fontId="25" fillId="10" borderId="1473" applyNumberFormat="0" applyProtection="0">
      <alignment horizontal="left" vertical="top"/>
    </xf>
    <xf numFmtId="0" fontId="25" fillId="10" borderId="1474" applyNumberFormat="0" applyProtection="0">
      <alignment horizontal="left" vertical="top"/>
    </xf>
    <xf numFmtId="0" fontId="25" fillId="10" borderId="1475" applyNumberFormat="0" applyProtection="0">
      <alignment horizontal="left" vertical="top"/>
    </xf>
    <xf numFmtId="246" fontId="250" fillId="0" borderId="1537" applyFill="0" applyProtection="0">
      <alignment horizontal="center"/>
    </xf>
    <xf numFmtId="0" fontId="78" fillId="14" borderId="1467" applyFont="0" applyFill="0" applyBorder="0" applyAlignment="0" applyProtection="0"/>
    <xf numFmtId="264" fontId="12" fillId="14" borderId="1597" applyFont="0" applyFill="0" applyBorder="0" applyAlignment="0" applyProtection="0">
      <alignment horizontal="right"/>
    </xf>
    <xf numFmtId="186" fontId="146" fillId="3" borderId="1576">
      <alignment horizontal="left"/>
    </xf>
    <xf numFmtId="222" fontId="79" fillId="0" borderId="1464" applyBorder="0"/>
    <xf numFmtId="312" fontId="101" fillId="0" borderId="1597" applyBorder="0"/>
    <xf numFmtId="0" fontId="75" fillId="0" borderId="1574" applyNumberFormat="0" applyFont="0" applyFill="0" applyAlignment="0" applyProtection="0"/>
    <xf numFmtId="0" fontId="75" fillId="0" borderId="1538" applyNumberFormat="0" applyFont="0" applyFill="0" applyAlignment="0" applyProtection="0"/>
    <xf numFmtId="0" fontId="241" fillId="94" borderId="1537" applyBorder="0" applyProtection="0">
      <alignment horizontal="centerContinuous" vertical="center"/>
    </xf>
    <xf numFmtId="0" fontId="241" fillId="94" borderId="1597" applyBorder="0" applyProtection="0">
      <alignment horizontal="centerContinuous" vertical="center"/>
    </xf>
    <xf numFmtId="186" fontId="146" fillId="3" borderId="1540">
      <alignment horizontal="left"/>
    </xf>
    <xf numFmtId="186" fontId="140" fillId="3" borderId="1541">
      <alignment horizontal="center" vertical="center"/>
    </xf>
    <xf numFmtId="192" fontId="9" fillId="3" borderId="1537">
      <alignment horizontal="right" vertical="center"/>
    </xf>
    <xf numFmtId="0" fontId="78" fillId="14" borderId="1443" applyFont="0" applyFill="0" applyBorder="0" applyAlignment="0" applyProtection="0"/>
    <xf numFmtId="222" fontId="79" fillId="0" borderId="1452" applyBorder="0"/>
    <xf numFmtId="0" fontId="214" fillId="0" borderId="1591" applyNumberFormat="0" applyFont="0" applyFill="0" applyAlignment="0" applyProtection="0"/>
    <xf numFmtId="0" fontId="2" fillId="0" borderId="1542" applyNumberFormat="0" applyAlignment="0" applyProtection="0"/>
    <xf numFmtId="0" fontId="78" fillId="14" borderId="1455" applyFont="0" applyFill="0" applyBorder="0" applyAlignment="0" applyProtection="0"/>
    <xf numFmtId="0" fontId="25" fillId="10" borderId="1463" applyNumberFormat="0" applyProtection="0">
      <alignment horizontal="left" vertical="top"/>
    </xf>
    <xf numFmtId="0" fontId="25" fillId="10" borderId="1462" applyNumberFormat="0" applyProtection="0">
      <alignment horizontal="left" vertical="top"/>
    </xf>
    <xf numFmtId="0" fontId="25" fillId="10" borderId="1461" applyNumberFormat="0" applyProtection="0">
      <alignment horizontal="left" vertical="top"/>
    </xf>
    <xf numFmtId="0" fontId="25" fillId="10" borderId="1460" applyNumberFormat="0" applyProtection="0">
      <alignment horizontal="left" vertical="top"/>
    </xf>
    <xf numFmtId="0" fontId="214" fillId="0" borderId="1459" applyNumberFormat="0" applyFont="0" applyFill="0" applyAlignment="0" applyProtection="0"/>
    <xf numFmtId="0" fontId="2" fillId="0" borderId="1374" applyNumberFormat="0" applyAlignment="0" applyProtection="0"/>
    <xf numFmtId="186" fontId="140" fillId="3" borderId="1457">
      <alignment horizontal="center" vertical="center"/>
    </xf>
    <xf numFmtId="186" fontId="146" fillId="3" borderId="1456">
      <alignment horizontal="left"/>
    </xf>
    <xf numFmtId="0" fontId="75" fillId="0" borderId="1454" applyNumberFormat="0" applyFont="0" applyFill="0" applyAlignment="0" applyProtection="0"/>
    <xf numFmtId="222" fontId="79" fillId="0" borderId="1464" applyBorder="0"/>
    <xf numFmtId="0" fontId="101" fillId="0" borderId="1465" applyBorder="0"/>
    <xf numFmtId="222" fontId="79" fillId="0" borderId="1464" applyBorder="0"/>
    <xf numFmtId="0" fontId="113" fillId="0" borderId="1465" applyNumberFormat="0" applyFill="0" applyAlignment="0" applyProtection="0"/>
    <xf numFmtId="0" fontId="12" fillId="0" borderId="1465" applyNumberFormat="0" applyFill="0" applyBorder="0" applyAlignment="0" applyProtection="0">
      <alignment horizontal="center"/>
    </xf>
    <xf numFmtId="248" fontId="46" fillId="0" borderId="1465"/>
    <xf numFmtId="192" fontId="9" fillId="3" borderId="1465">
      <alignment horizontal="right" vertical="center"/>
    </xf>
    <xf numFmtId="180" fontId="9" fillId="3" borderId="1465">
      <alignment horizontal="right" vertical="center"/>
    </xf>
    <xf numFmtId="186" fontId="146" fillId="3" borderId="1465" applyBorder="0">
      <alignment horizontal="left" vertical="center"/>
    </xf>
    <xf numFmtId="0" fontId="165" fillId="0" borderId="1465" applyFill="0" applyProtection="0">
      <alignment horizontal="center"/>
    </xf>
    <xf numFmtId="0" fontId="166" fillId="0" borderId="1465">
      <alignment horizontal="center"/>
    </xf>
    <xf numFmtId="264" fontId="12" fillId="14" borderId="1465" applyFont="0" applyFill="0" applyBorder="0" applyAlignment="0" applyProtection="0">
      <alignment horizontal="right"/>
    </xf>
    <xf numFmtId="0" fontId="210" fillId="0" borderId="1465" applyNumberFormat="0" applyFill="0" applyBorder="0" applyAlignment="0">
      <protection locked="0"/>
    </xf>
    <xf numFmtId="254" fontId="240" fillId="0" borderId="1465" applyBorder="0" applyProtection="0">
      <alignment horizontal="right" vertical="center"/>
    </xf>
    <xf numFmtId="0" fontId="241" fillId="94" borderId="1465" applyBorder="0" applyProtection="0">
      <alignment horizontal="centerContinuous" vertical="center"/>
    </xf>
    <xf numFmtId="246" fontId="249" fillId="0" borderId="1465" applyFill="0" applyProtection="0">
      <alignment horizontal="center"/>
    </xf>
    <xf numFmtId="246" fontId="250" fillId="0" borderId="1465" applyFill="0" applyProtection="0">
      <alignment horizontal="center"/>
    </xf>
    <xf numFmtId="0" fontId="241" fillId="94" borderId="1549" applyBorder="0" applyProtection="0">
      <alignment horizontal="centerContinuous" vertical="center"/>
    </xf>
    <xf numFmtId="0" fontId="166" fillId="0" borderId="1549">
      <alignment horizontal="center"/>
    </xf>
    <xf numFmtId="0" fontId="2" fillId="0" borderId="1482" applyNumberFormat="0" applyAlignment="0" applyProtection="0"/>
    <xf numFmtId="0" fontId="214" fillId="0" borderId="1483" applyNumberFormat="0" applyFont="0" applyFill="0" applyAlignment="0" applyProtection="0"/>
    <xf numFmtId="246" fontId="250" fillId="0" borderId="1489" applyFill="0" applyProtection="0">
      <alignment horizontal="center"/>
    </xf>
    <xf numFmtId="246" fontId="249" fillId="0" borderId="1489" applyFill="0" applyProtection="0">
      <alignment horizontal="center"/>
    </xf>
    <xf numFmtId="0" fontId="241" fillId="94" borderId="1489" applyBorder="0" applyProtection="0">
      <alignment horizontal="centerContinuous" vertical="center"/>
    </xf>
    <xf numFmtId="254" fontId="240" fillId="0" borderId="1489" applyBorder="0" applyProtection="0">
      <alignment horizontal="right" vertical="center"/>
    </xf>
    <xf numFmtId="0" fontId="210" fillId="0" borderId="1489" applyNumberFormat="0" applyFill="0" applyBorder="0" applyAlignment="0">
      <protection locked="0"/>
    </xf>
    <xf numFmtId="264" fontId="12" fillId="14" borderId="1489" applyFont="0" applyFill="0" applyBorder="0" applyAlignment="0" applyProtection="0">
      <alignment horizontal="right"/>
    </xf>
    <xf numFmtId="0" fontId="166" fillId="0" borderId="1489">
      <alignment horizontal="center"/>
    </xf>
    <xf numFmtId="0" fontId="165" fillId="0" borderId="1489" applyFill="0" applyProtection="0">
      <alignment horizontal="center"/>
    </xf>
    <xf numFmtId="186" fontId="146" fillId="3" borderId="1489" applyBorder="0">
      <alignment horizontal="left" vertical="center"/>
    </xf>
    <xf numFmtId="180" fontId="9" fillId="3" borderId="1489">
      <alignment horizontal="right" vertical="center"/>
    </xf>
    <xf numFmtId="192" fontId="9" fillId="3" borderId="1489">
      <alignment horizontal="right" vertical="center"/>
    </xf>
    <xf numFmtId="248" fontId="46" fillId="0" borderId="1489"/>
    <xf numFmtId="0" fontId="12" fillId="0" borderId="1489" applyNumberFormat="0" applyFill="0" applyBorder="0" applyAlignment="0" applyProtection="0">
      <alignment horizontal="center"/>
    </xf>
    <xf numFmtId="0" fontId="113" fillId="0" borderId="1489" applyNumberFormat="0" applyFill="0" applyAlignment="0" applyProtection="0"/>
    <xf numFmtId="222" fontId="79" fillId="0" borderId="1488" applyBorder="0"/>
    <xf numFmtId="0" fontId="101" fillId="0" borderId="1489" applyBorder="0"/>
    <xf numFmtId="222" fontId="79" fillId="0" borderId="1488" applyBorder="0"/>
    <xf numFmtId="0" fontId="75" fillId="0" borderId="1478" applyNumberFormat="0" applyFont="0" applyFill="0" applyAlignment="0" applyProtection="0"/>
    <xf numFmtId="186" fontId="146" fillId="3" borderId="1480">
      <alignment horizontal="left"/>
    </xf>
    <xf numFmtId="186" fontId="140" fillId="3" borderId="1481">
      <alignment horizontal="center" vertical="center"/>
    </xf>
    <xf numFmtId="0" fontId="2" fillId="0" borderId="1482" applyNumberFormat="0" applyAlignment="0" applyProtection="0"/>
    <xf numFmtId="0" fontId="214" fillId="0" borderId="1483" applyNumberFormat="0" applyFont="0" applyFill="0" applyAlignment="0" applyProtection="0"/>
    <xf numFmtId="0" fontId="25" fillId="10" borderId="1484" applyNumberFormat="0" applyProtection="0">
      <alignment horizontal="left" vertical="top"/>
    </xf>
    <xf numFmtId="0" fontId="25" fillId="10" borderId="1485" applyNumberFormat="0" applyProtection="0">
      <alignment horizontal="left" vertical="top"/>
    </xf>
    <xf numFmtId="0" fontId="25" fillId="10" borderId="1486" applyNumberFormat="0" applyProtection="0">
      <alignment horizontal="left" vertical="top"/>
    </xf>
    <xf numFmtId="0" fontId="25" fillId="10" borderId="1487" applyNumberFormat="0" applyProtection="0">
      <alignment horizontal="left" vertical="top"/>
    </xf>
    <xf numFmtId="0" fontId="78" fillId="14" borderId="1479" applyFont="0" applyFill="0" applyBorder="0" applyAlignment="0" applyProtection="0"/>
    <xf numFmtId="222" fontId="79" fillId="0" borderId="1476" applyBorder="0"/>
    <xf numFmtId="0" fontId="78" fillId="14" borderId="1491" applyFont="0" applyFill="0" applyBorder="0" applyAlignment="0" applyProtection="0"/>
    <xf numFmtId="186" fontId="146" fillId="3" borderId="1480">
      <alignment horizontal="left"/>
    </xf>
    <xf numFmtId="0" fontId="78" fillId="14" borderId="1467" applyFont="0" applyFill="0" applyBorder="0" applyAlignment="0" applyProtection="0"/>
    <xf numFmtId="222" fontId="79" fillId="0" borderId="1476" applyBorder="0"/>
    <xf numFmtId="0" fontId="2" fillId="0" borderId="1494" applyNumberFormat="0" applyAlignment="0" applyProtection="0"/>
    <xf numFmtId="0" fontId="78" fillId="14" borderId="1467" applyFont="0" applyFill="0" applyBorder="0" applyAlignment="0" applyProtection="0"/>
    <xf numFmtId="0" fontId="25" fillId="10" borderId="1475" applyNumberFormat="0" applyProtection="0">
      <alignment horizontal="left" vertical="top"/>
    </xf>
    <xf numFmtId="0" fontId="25" fillId="10" borderId="1474" applyNumberFormat="0" applyProtection="0">
      <alignment horizontal="left" vertical="top"/>
    </xf>
    <xf numFmtId="0" fontId="25" fillId="10" borderId="1473" applyNumberFormat="0" applyProtection="0">
      <alignment horizontal="left" vertical="top"/>
    </xf>
    <xf numFmtId="0" fontId="25" fillId="10" borderId="1472" applyNumberFormat="0" applyProtection="0">
      <alignment horizontal="left" vertical="top"/>
    </xf>
    <xf numFmtId="0" fontId="25" fillId="10" borderId="1497" applyNumberFormat="0" applyProtection="0">
      <alignment horizontal="left" vertical="top"/>
    </xf>
    <xf numFmtId="0" fontId="214" fillId="0" borderId="1471" applyNumberFormat="0" applyFont="0" applyFill="0" applyAlignment="0" applyProtection="0"/>
    <xf numFmtId="0" fontId="2" fillId="0" borderId="1470" applyNumberFormat="0" applyAlignment="0" applyProtection="0"/>
    <xf numFmtId="186" fontId="140" fillId="3" borderId="1469">
      <alignment horizontal="center" vertical="center"/>
    </xf>
    <xf numFmtId="186" fontId="146" fillId="3" borderId="1468">
      <alignment horizontal="left"/>
    </xf>
    <xf numFmtId="0" fontId="25" fillId="10" borderId="1499" applyNumberFormat="0" applyProtection="0">
      <alignment horizontal="left" vertical="top"/>
    </xf>
    <xf numFmtId="0" fontId="75" fillId="0" borderId="1466" applyNumberFormat="0" applyFont="0" applyFill="0" applyAlignment="0" applyProtection="0"/>
    <xf numFmtId="222" fontId="79" fillId="0" borderId="1476" applyBorder="0"/>
    <xf numFmtId="0" fontId="101" fillId="0" borderId="1477" applyBorder="0"/>
    <xf numFmtId="222" fontId="79" fillId="0" borderId="1476" applyBorder="0"/>
    <xf numFmtId="0" fontId="113" fillId="0" borderId="1477" applyNumberFormat="0" applyFill="0" applyAlignment="0" applyProtection="0"/>
    <xf numFmtId="0" fontId="12" fillId="0" borderId="1477" applyNumberFormat="0" applyFill="0" applyBorder="0" applyAlignment="0" applyProtection="0">
      <alignment horizontal="center"/>
    </xf>
    <xf numFmtId="248" fontId="46" fillId="0" borderId="1477"/>
    <xf numFmtId="192" fontId="9" fillId="3" borderId="1477">
      <alignment horizontal="right" vertical="center"/>
    </xf>
    <xf numFmtId="180" fontId="9" fillId="3" borderId="1477">
      <alignment horizontal="right" vertical="center"/>
    </xf>
    <xf numFmtId="186" fontId="146" fillId="3" borderId="1477" applyBorder="0">
      <alignment horizontal="left" vertical="center"/>
    </xf>
    <xf numFmtId="0" fontId="165" fillId="0" borderId="1477" applyFill="0" applyProtection="0">
      <alignment horizontal="center"/>
    </xf>
    <xf numFmtId="0" fontId="166" fillId="0" borderId="1477">
      <alignment horizontal="center"/>
    </xf>
    <xf numFmtId="264" fontId="12" fillId="14" borderId="1477" applyFont="0" applyFill="0" applyBorder="0" applyAlignment="0" applyProtection="0">
      <alignment horizontal="right"/>
    </xf>
    <xf numFmtId="0" fontId="210" fillId="0" borderId="1477" applyNumberFormat="0" applyFill="0" applyBorder="0" applyAlignment="0">
      <protection locked="0"/>
    </xf>
    <xf numFmtId="254" fontId="240" fillId="0" borderId="1477" applyBorder="0" applyProtection="0">
      <alignment horizontal="right" vertical="center"/>
    </xf>
    <xf numFmtId="0" fontId="241" fillId="94" borderId="1477" applyBorder="0" applyProtection="0">
      <alignment horizontal="centerContinuous" vertical="center"/>
    </xf>
    <xf numFmtId="246" fontId="249" fillId="0" borderId="1477" applyFill="0" applyProtection="0">
      <alignment horizontal="center"/>
    </xf>
    <xf numFmtId="246" fontId="250" fillId="0" borderId="1477" applyFill="0" applyProtection="0">
      <alignment horizontal="center"/>
    </xf>
    <xf numFmtId="186" fontId="140" fillId="3" borderId="1493">
      <alignment horizontal="center" vertical="center"/>
    </xf>
    <xf numFmtId="0" fontId="78" fillId="14" borderId="1479" applyFont="0" applyFill="0" applyBorder="0" applyAlignment="0" applyProtection="0"/>
    <xf numFmtId="222" fontId="79" fillId="0" borderId="1500" applyBorder="0"/>
    <xf numFmtId="0" fontId="78" fillId="14" borderId="1503" applyFont="0" applyFill="0" applyBorder="0" applyAlignment="0" applyProtection="0"/>
    <xf numFmtId="0" fontId="25" fillId="10" borderId="1511" applyNumberFormat="0" applyProtection="0">
      <alignment horizontal="left" vertical="top"/>
    </xf>
    <xf numFmtId="0" fontId="25" fillId="10" borderId="1510" applyNumberFormat="0" applyProtection="0">
      <alignment horizontal="left" vertical="top"/>
    </xf>
    <xf numFmtId="0" fontId="25" fillId="10" borderId="1509" applyNumberFormat="0" applyProtection="0">
      <alignment horizontal="left" vertical="top"/>
    </xf>
    <xf numFmtId="0" fontId="25" fillId="10" borderId="1508" applyNumberFormat="0" applyProtection="0">
      <alignment horizontal="left" vertical="top"/>
    </xf>
    <xf numFmtId="0" fontId="214" fillId="0" borderId="1507" applyNumberFormat="0" applyFont="0" applyFill="0" applyAlignment="0" applyProtection="0"/>
    <xf numFmtId="0" fontId="2" fillId="0" borderId="1506" applyNumberFormat="0" applyAlignment="0" applyProtection="0"/>
    <xf numFmtId="186" fontId="140" fillId="3" borderId="1505">
      <alignment horizontal="center" vertical="center"/>
    </xf>
    <xf numFmtId="186" fontId="146" fillId="3" borderId="1504">
      <alignment horizontal="left"/>
    </xf>
    <xf numFmtId="0" fontId="75" fillId="0" borderId="1502" applyNumberFormat="0" applyFont="0" applyFill="0" applyAlignment="0" applyProtection="0"/>
    <xf numFmtId="222" fontId="79" fillId="0" borderId="1512" applyBorder="0"/>
    <xf numFmtId="0" fontId="101" fillId="0" borderId="1513" applyBorder="0"/>
    <xf numFmtId="222" fontId="79" fillId="0" borderId="1512" applyBorder="0"/>
    <xf numFmtId="0" fontId="113" fillId="0" borderId="1513" applyNumberFormat="0" applyFill="0" applyAlignment="0" applyProtection="0"/>
    <xf numFmtId="0" fontId="12" fillId="0" borderId="1513" applyNumberFormat="0" applyFill="0" applyBorder="0" applyAlignment="0" applyProtection="0">
      <alignment horizontal="center"/>
    </xf>
    <xf numFmtId="248" fontId="46" fillId="0" borderId="1513"/>
    <xf numFmtId="192" fontId="9" fillId="3" borderId="1513">
      <alignment horizontal="right" vertical="center"/>
    </xf>
    <xf numFmtId="180" fontId="9" fillId="3" borderId="1513">
      <alignment horizontal="right" vertical="center"/>
    </xf>
    <xf numFmtId="186" fontId="146" fillId="3" borderId="1513" applyBorder="0">
      <alignment horizontal="left" vertical="center"/>
    </xf>
    <xf numFmtId="0" fontId="165" fillId="0" borderId="1513" applyFill="0" applyProtection="0">
      <alignment horizontal="center"/>
    </xf>
    <xf numFmtId="0" fontId="166" fillId="0" borderId="1513">
      <alignment horizontal="center"/>
    </xf>
    <xf numFmtId="264" fontId="12" fillId="14" borderId="1513" applyFont="0" applyFill="0" applyBorder="0" applyAlignment="0" applyProtection="0">
      <alignment horizontal="right"/>
    </xf>
    <xf numFmtId="0" fontId="210" fillId="0" borderId="1513" applyNumberFormat="0" applyFill="0" applyBorder="0" applyAlignment="0">
      <protection locked="0"/>
    </xf>
    <xf numFmtId="254" fontId="240" fillId="0" borderId="1513" applyBorder="0" applyProtection="0">
      <alignment horizontal="right" vertical="center"/>
    </xf>
    <xf numFmtId="0" fontId="241" fillId="94" borderId="1513" applyBorder="0" applyProtection="0">
      <alignment horizontal="centerContinuous" vertical="center"/>
    </xf>
    <xf numFmtId="246" fontId="249" fillId="0" borderId="1513" applyFill="0" applyProtection="0">
      <alignment horizontal="center"/>
    </xf>
    <xf numFmtId="246" fontId="250" fillId="0" borderId="1513" applyFill="0" applyProtection="0">
      <alignment horizontal="center"/>
    </xf>
    <xf numFmtId="222" fontId="79" fillId="0" borderId="1524" applyBorder="0"/>
    <xf numFmtId="0" fontId="78" fillId="14" borderId="1527" applyFont="0" applyFill="0" applyBorder="0" applyAlignment="0" applyProtection="0"/>
    <xf numFmtId="0" fontId="25" fillId="10" borderId="1535" applyNumberFormat="0" applyProtection="0">
      <alignment horizontal="left" vertical="top"/>
    </xf>
    <xf numFmtId="0" fontId="25" fillId="10" borderId="1534" applyNumberFormat="0" applyProtection="0">
      <alignment horizontal="left" vertical="top"/>
    </xf>
    <xf numFmtId="0" fontId="25" fillId="10" borderId="1533" applyNumberFormat="0" applyProtection="0">
      <alignment horizontal="left" vertical="top"/>
    </xf>
    <xf numFmtId="0" fontId="25" fillId="10" borderId="1532" applyNumberFormat="0" applyProtection="0">
      <alignment horizontal="left" vertical="top"/>
    </xf>
    <xf numFmtId="0" fontId="214" fillId="0" borderId="1531" applyNumberFormat="0" applyFont="0" applyFill="0" applyAlignment="0" applyProtection="0"/>
    <xf numFmtId="0" fontId="2" fillId="0" borderId="1530" applyNumberFormat="0" applyAlignment="0" applyProtection="0"/>
    <xf numFmtId="186" fontId="140" fillId="3" borderId="1529">
      <alignment horizontal="center" vertical="center"/>
    </xf>
    <xf numFmtId="186" fontId="146" fillId="3" borderId="1528">
      <alignment horizontal="left"/>
    </xf>
    <xf numFmtId="0" fontId="75" fillId="0" borderId="1526" applyNumberFormat="0" applyFont="0" applyFill="0" applyAlignment="0" applyProtection="0"/>
    <xf numFmtId="222" fontId="79" fillId="0" borderId="1536" applyBorder="0"/>
    <xf numFmtId="0" fontId="101" fillId="0" borderId="1537" applyBorder="0"/>
    <xf numFmtId="222" fontId="79" fillId="0" borderId="1536" applyBorder="0"/>
    <xf numFmtId="0" fontId="113" fillId="0" borderId="1537" applyNumberFormat="0" applyFill="0" applyAlignment="0" applyProtection="0"/>
    <xf numFmtId="0" fontId="12" fillId="0" borderId="1537" applyNumberFormat="0" applyFill="0" applyBorder="0" applyAlignment="0" applyProtection="0">
      <alignment horizontal="center"/>
    </xf>
    <xf numFmtId="248" fontId="46" fillId="0" borderId="1537"/>
    <xf numFmtId="192" fontId="9" fillId="3" borderId="1537">
      <alignment horizontal="right" vertical="center"/>
    </xf>
    <xf numFmtId="180" fontId="9" fillId="3" borderId="1537">
      <alignment horizontal="right" vertical="center"/>
    </xf>
    <xf numFmtId="186" fontId="146" fillId="3" borderId="1537" applyBorder="0">
      <alignment horizontal="left" vertical="center"/>
    </xf>
    <xf numFmtId="0" fontId="165" fillId="0" borderId="1537" applyFill="0" applyProtection="0">
      <alignment horizontal="center"/>
    </xf>
    <xf numFmtId="0" fontId="166" fillId="0" borderId="1537">
      <alignment horizontal="center"/>
    </xf>
    <xf numFmtId="264" fontId="12" fillId="14" borderId="1537" applyFont="0" applyFill="0" applyBorder="0" applyAlignment="0" applyProtection="0">
      <alignment horizontal="right"/>
    </xf>
    <xf numFmtId="0" fontId="210" fillId="0" borderId="1537" applyNumberFormat="0" applyFill="0" applyBorder="0" applyAlignment="0">
      <protection locked="0"/>
    </xf>
    <xf numFmtId="254" fontId="240" fillId="0" borderId="1537" applyBorder="0" applyProtection="0">
      <alignment horizontal="right" vertical="center"/>
    </xf>
    <xf numFmtId="0" fontId="241" fillId="94" borderId="1537" applyBorder="0" applyProtection="0">
      <alignment horizontal="centerContinuous" vertical="center"/>
    </xf>
    <xf numFmtId="246" fontId="249" fillId="0" borderId="1537" applyFill="0" applyProtection="0">
      <alignment horizontal="center"/>
    </xf>
    <xf numFmtId="246" fontId="250" fillId="0" borderId="1537" applyFill="0" applyProtection="0">
      <alignment horizontal="center"/>
    </xf>
    <xf numFmtId="0" fontId="75" fillId="0" borderId="1550" applyNumberFormat="0" applyFont="0" applyFill="0" applyAlignment="0" applyProtection="0"/>
    <xf numFmtId="0" fontId="78" fillId="14" borderId="1551" applyFont="0" applyFill="0" applyBorder="0" applyAlignment="0" applyProtection="0"/>
    <xf numFmtId="186" fontId="146" fillId="3" borderId="1552">
      <alignment horizontal="left"/>
    </xf>
    <xf numFmtId="186" fontId="140" fillId="3" borderId="1553">
      <alignment horizontal="center" vertical="center"/>
    </xf>
    <xf numFmtId="0" fontId="2" fillId="0" borderId="1554" applyNumberFormat="0" applyAlignment="0" applyProtection="0"/>
    <xf numFmtId="0" fontId="214" fillId="0" borderId="1555" applyNumberFormat="0" applyFont="0" applyFill="0" applyAlignment="0" applyProtection="0"/>
    <xf numFmtId="0" fontId="25" fillId="10" borderId="1556" applyNumberFormat="0" applyProtection="0">
      <alignment horizontal="left" vertical="top"/>
    </xf>
    <xf numFmtId="0" fontId="25" fillId="10" borderId="1557" applyNumberFormat="0" applyProtection="0">
      <alignment horizontal="left" vertical="top"/>
    </xf>
    <xf numFmtId="0" fontId="25" fillId="10" borderId="1558" applyNumberFormat="0" applyProtection="0">
      <alignment horizontal="left" vertical="top"/>
    </xf>
    <xf numFmtId="0" fontId="25" fillId="10" borderId="1559" applyNumberFormat="0" applyProtection="0">
      <alignment horizontal="left" vertical="top"/>
    </xf>
    <xf numFmtId="0" fontId="25" fillId="10" borderId="1546" applyNumberFormat="0" applyProtection="0">
      <alignment horizontal="left" vertical="top"/>
    </xf>
    <xf numFmtId="190" fontId="210" fillId="0" borderId="1597" applyNumberFormat="0" applyFill="0" applyBorder="0" applyAlignment="0">
      <protection locked="0"/>
    </xf>
    <xf numFmtId="254" fontId="240" fillId="0" borderId="1585" applyBorder="0" applyProtection="0">
      <alignment horizontal="right" vertical="center"/>
    </xf>
    <xf numFmtId="246" fontId="250" fillId="0" borderId="1549" applyFill="0" applyProtection="0">
      <alignment horizontal="center"/>
    </xf>
    <xf numFmtId="246" fontId="249" fillId="0" borderId="1549" applyFill="0" applyProtection="0">
      <alignment horizontal="center"/>
    </xf>
    <xf numFmtId="0" fontId="241" fillId="94" borderId="1549" applyBorder="0" applyProtection="0">
      <alignment horizontal="centerContinuous" vertical="center"/>
    </xf>
    <xf numFmtId="254" fontId="240" fillId="0" borderId="1549" applyBorder="0" applyProtection="0">
      <alignment horizontal="right" vertical="center"/>
    </xf>
    <xf numFmtId="0" fontId="210" fillId="0" borderId="1549" applyNumberFormat="0" applyFill="0" applyBorder="0" applyAlignment="0">
      <protection locked="0"/>
    </xf>
    <xf numFmtId="264" fontId="12" fillId="14" borderId="1549" applyFont="0" applyFill="0" applyBorder="0" applyAlignment="0" applyProtection="0">
      <alignment horizontal="right"/>
    </xf>
    <xf numFmtId="0" fontId="166" fillId="0" borderId="1549">
      <alignment horizontal="center"/>
    </xf>
    <xf numFmtId="0" fontId="165" fillId="0" borderId="1549" applyFill="0" applyProtection="0">
      <alignment horizontal="center"/>
    </xf>
    <xf numFmtId="246" fontId="250" fillId="0" borderId="1537" applyFill="0" applyProtection="0">
      <alignment horizontal="center"/>
    </xf>
    <xf numFmtId="0" fontId="25" fillId="10" borderId="1556" applyNumberFormat="0" applyProtection="0">
      <alignment horizontal="left" vertical="top"/>
    </xf>
    <xf numFmtId="186" fontId="146" fillId="3" borderId="1549" applyBorder="0">
      <alignment horizontal="left" vertical="center"/>
    </xf>
    <xf numFmtId="180" fontId="9" fillId="3" borderId="1549">
      <alignment horizontal="right" vertical="center"/>
    </xf>
    <xf numFmtId="192" fontId="9" fillId="3" borderId="1549">
      <alignment horizontal="right" vertical="center"/>
    </xf>
    <xf numFmtId="0" fontId="12" fillId="0" borderId="1549" applyNumberFormat="0" applyFill="0" applyBorder="0" applyAlignment="0" applyProtection="0">
      <alignment horizontal="center"/>
    </xf>
    <xf numFmtId="0" fontId="113" fillId="0" borderId="1549" applyNumberFormat="0" applyFill="0" applyAlignment="0" applyProtection="0"/>
    <xf numFmtId="0" fontId="25" fillId="10" borderId="1583" applyNumberFormat="0" applyProtection="0">
      <alignment horizontal="left" vertical="top"/>
    </xf>
    <xf numFmtId="246" fontId="250" fillId="0" borderId="1597" applyFill="0" applyProtection="0">
      <alignment horizontal="center"/>
    </xf>
    <xf numFmtId="222" fontId="79" fillId="0" borderId="1548" applyBorder="0"/>
    <xf numFmtId="0" fontId="101" fillId="0" borderId="1549" applyBorder="0"/>
    <xf numFmtId="248" fontId="46" fillId="0" borderId="1549"/>
    <xf numFmtId="0" fontId="101" fillId="0" borderId="1549" applyBorder="0"/>
    <xf numFmtId="222" fontId="79" fillId="0" borderId="1548" applyBorder="0"/>
    <xf numFmtId="0" fontId="113" fillId="0" borderId="1549" applyNumberFormat="0" applyFill="0" applyAlignment="0" applyProtection="0"/>
    <xf numFmtId="0" fontId="75" fillId="0" borderId="1550" applyNumberFormat="0" applyFont="0" applyFill="0" applyAlignment="0" applyProtection="0"/>
    <xf numFmtId="0" fontId="12" fillId="0" borderId="1549" applyNumberFormat="0" applyFill="0" applyBorder="0" applyAlignment="0" applyProtection="0">
      <alignment horizontal="center"/>
    </xf>
    <xf numFmtId="248" fontId="46" fillId="0" borderId="1549"/>
    <xf numFmtId="192" fontId="9" fillId="3" borderId="1549">
      <alignment horizontal="right" vertical="center"/>
    </xf>
    <xf numFmtId="180" fontId="9" fillId="3" borderId="1549">
      <alignment horizontal="right" vertical="center"/>
    </xf>
    <xf numFmtId="186" fontId="146" fillId="3" borderId="1549" applyBorder="0">
      <alignment horizontal="left" vertical="center"/>
    </xf>
    <xf numFmtId="186" fontId="146" fillId="3" borderId="1552">
      <alignment horizontal="left"/>
    </xf>
    <xf numFmtId="186" fontId="140" fillId="3" borderId="1553">
      <alignment horizontal="center" vertical="center"/>
    </xf>
    <xf numFmtId="0" fontId="165" fillId="0" borderId="1549" applyFill="0" applyProtection="0">
      <alignment horizontal="center"/>
    </xf>
    <xf numFmtId="0" fontId="166" fillId="0" borderId="1549">
      <alignment horizontal="center"/>
    </xf>
    <xf numFmtId="264" fontId="12" fillId="14" borderId="1549" applyFont="0" applyFill="0" applyBorder="0" applyAlignment="0" applyProtection="0">
      <alignment horizontal="right"/>
    </xf>
    <xf numFmtId="0" fontId="210" fillId="0" borderId="1549" applyNumberFormat="0" applyFill="0" applyBorder="0" applyAlignment="0">
      <protection locked="0"/>
    </xf>
    <xf numFmtId="0" fontId="2" fillId="0" borderId="1554" applyNumberFormat="0" applyAlignment="0" applyProtection="0"/>
    <xf numFmtId="0" fontId="214" fillId="0" borderId="1555" applyNumberFormat="0" applyFont="0" applyFill="0" applyAlignment="0" applyProtection="0"/>
    <xf numFmtId="0" fontId="25" fillId="10" borderId="1556" applyNumberFormat="0" applyProtection="0">
      <alignment horizontal="left" vertical="top"/>
    </xf>
    <xf numFmtId="0" fontId="25" fillId="10" borderId="1557" applyNumberFormat="0" applyProtection="0">
      <alignment horizontal="left" vertical="top"/>
    </xf>
    <xf numFmtId="0" fontId="25" fillId="10" borderId="1558" applyNumberFormat="0" applyProtection="0">
      <alignment horizontal="left" vertical="top"/>
    </xf>
    <xf numFmtId="0" fontId="25" fillId="10" borderId="1559" applyNumberFormat="0" applyProtection="0">
      <alignment horizontal="left" vertical="top"/>
    </xf>
    <xf numFmtId="0" fontId="25" fillId="10" borderId="1556" applyNumberFormat="0" applyProtection="0">
      <alignment horizontal="left" vertical="top"/>
    </xf>
    <xf numFmtId="0" fontId="25" fillId="10" borderId="1557" applyNumberFormat="0" applyProtection="0">
      <alignment horizontal="left" vertical="top"/>
    </xf>
    <xf numFmtId="0" fontId="25" fillId="10" borderId="1558" applyNumberFormat="0" applyProtection="0">
      <alignment horizontal="left" vertical="top"/>
    </xf>
    <xf numFmtId="0" fontId="25" fillId="10" borderId="1559" applyNumberFormat="0" applyProtection="0">
      <alignment horizontal="left" vertical="top"/>
    </xf>
    <xf numFmtId="254" fontId="240" fillId="0" borderId="1549" applyBorder="0" applyProtection="0">
      <alignment horizontal="right" vertical="center"/>
    </xf>
    <xf numFmtId="0" fontId="241" fillId="94" borderId="1549" applyBorder="0" applyProtection="0">
      <alignment horizontal="centerContinuous" vertical="center"/>
    </xf>
    <xf numFmtId="246" fontId="249" fillId="0" borderId="1549" applyFill="0" applyProtection="0">
      <alignment horizontal="center"/>
    </xf>
    <xf numFmtId="246" fontId="250" fillId="0" borderId="1549" applyFill="0" applyProtection="0">
      <alignment horizontal="center"/>
    </xf>
    <xf numFmtId="0" fontId="25" fillId="10" borderId="1545" applyNumberFormat="0" applyProtection="0">
      <alignment horizontal="left" vertical="top"/>
    </xf>
    <xf numFmtId="312" fontId="25" fillId="10" borderId="1580" applyNumberFormat="0" applyProtection="0">
      <alignment horizontal="left" vertical="top"/>
    </xf>
    <xf numFmtId="190" fontId="101" fillId="0" borderId="1549" applyBorder="0"/>
    <xf numFmtId="246" fontId="249" fillId="0" borderId="1597" applyFill="0" applyProtection="0">
      <alignment horizontal="center"/>
    </xf>
    <xf numFmtId="0" fontId="25" fillId="10" borderId="1582" applyNumberFormat="0" applyProtection="0">
      <alignment horizontal="left" vertical="top"/>
    </xf>
    <xf numFmtId="0" fontId="166" fillId="0" borderId="1597">
      <alignment horizontal="center"/>
    </xf>
    <xf numFmtId="186" fontId="146" fillId="3" borderId="1597" applyBorder="0">
      <alignment horizontal="left" vertical="center"/>
    </xf>
    <xf numFmtId="190" fontId="113" fillId="0" borderId="1549" applyNumberFormat="0" applyFill="0" applyAlignment="0" applyProtection="0"/>
    <xf numFmtId="190" fontId="75" fillId="0" borderId="1526" applyNumberFormat="0" applyFont="0" applyFill="0" applyAlignment="0" applyProtection="0"/>
    <xf numFmtId="190" fontId="241" fillId="94" borderId="1597" applyBorder="0" applyProtection="0">
      <alignment horizontal="centerContinuous" vertical="center"/>
    </xf>
    <xf numFmtId="190" fontId="25" fillId="10" borderId="1581" applyNumberFormat="0" applyProtection="0">
      <alignment horizontal="left" vertical="top"/>
    </xf>
    <xf numFmtId="190" fontId="12" fillId="0" borderId="1549" applyNumberFormat="0" applyFill="0" applyBorder="0" applyAlignment="0" applyProtection="0">
      <alignment horizontal="center"/>
    </xf>
    <xf numFmtId="190" fontId="75" fillId="0" borderId="1574" applyNumberFormat="0" applyFont="0" applyFill="0" applyAlignment="0" applyProtection="0"/>
    <xf numFmtId="190" fontId="78" fillId="14" borderId="1539" applyFont="0" applyFill="0" applyBorder="0" applyAlignment="0" applyProtection="0"/>
    <xf numFmtId="254" fontId="240" fillId="0" borderId="1597" applyBorder="0" applyProtection="0">
      <alignment horizontal="right" vertical="center"/>
    </xf>
    <xf numFmtId="246" fontId="250" fillId="0" borderId="1597" applyFill="0" applyProtection="0">
      <alignment horizontal="center"/>
    </xf>
    <xf numFmtId="0" fontId="165" fillId="0" borderId="1585" applyFill="0" applyProtection="0">
      <alignment horizontal="center"/>
    </xf>
    <xf numFmtId="248" fontId="46" fillId="0" borderId="1585"/>
    <xf numFmtId="222" fontId="79" fillId="0" borderId="1584" applyBorder="0"/>
    <xf numFmtId="186" fontId="140" fillId="3" borderId="1577">
      <alignment horizontal="center" vertical="center"/>
    </xf>
    <xf numFmtId="0" fontId="25" fillId="10" borderId="1580" applyNumberFormat="0" applyProtection="0">
      <alignment horizontal="left" vertical="top"/>
    </xf>
    <xf numFmtId="0" fontId="25" fillId="10" borderId="1583" applyNumberFormat="0" applyProtection="0">
      <alignment horizontal="left" vertical="top"/>
    </xf>
    <xf numFmtId="246" fontId="250" fillId="0" borderId="1561" applyFill="0" applyProtection="0">
      <alignment horizontal="center"/>
    </xf>
    <xf numFmtId="254" fontId="240" fillId="0" borderId="1561" applyBorder="0" applyProtection="0">
      <alignment horizontal="right" vertical="center"/>
    </xf>
    <xf numFmtId="0" fontId="166" fillId="0" borderId="1561">
      <alignment horizontal="center"/>
    </xf>
    <xf numFmtId="180" fontId="9" fillId="3" borderId="1561">
      <alignment horizontal="right" vertical="center"/>
    </xf>
    <xf numFmtId="0" fontId="12" fillId="0" borderId="1561" applyNumberFormat="0" applyFill="0" applyBorder="0" applyAlignment="0" applyProtection="0">
      <alignment horizontal="center"/>
    </xf>
    <xf numFmtId="0" fontId="101" fillId="0" borderId="1561" applyBorder="0"/>
    <xf numFmtId="186" fontId="146" fillId="3" borderId="1552">
      <alignment horizontal="left"/>
    </xf>
    <xf numFmtId="0" fontId="25" fillId="10" borderId="1557" applyNumberFormat="0" applyProtection="0">
      <alignment horizontal="left" vertical="top"/>
    </xf>
    <xf numFmtId="246" fontId="249" fillId="0" borderId="1537" applyFill="0" applyProtection="0">
      <alignment horizontal="center"/>
    </xf>
    <xf numFmtId="0" fontId="165" fillId="0" borderId="1537" applyFill="0" applyProtection="0">
      <alignment horizontal="center"/>
    </xf>
    <xf numFmtId="0" fontId="214" fillId="0" borderId="1543" applyNumberFormat="0" applyFont="0" applyFill="0" applyAlignment="0" applyProtection="0"/>
    <xf numFmtId="0" fontId="78" fillId="14" borderId="1539" applyFont="0" applyFill="0" applyBorder="0" applyAlignment="0" applyProtection="0"/>
    <xf numFmtId="0" fontId="2" fillId="0" borderId="1542" applyNumberFormat="0" applyAlignment="0" applyProtection="0"/>
    <xf numFmtId="0" fontId="75" fillId="0" borderId="1538" applyNumberFormat="0" applyFont="0" applyFill="0" applyAlignment="0" applyProtection="0"/>
    <xf numFmtId="0" fontId="12" fillId="0" borderId="1537" applyNumberFormat="0" applyFill="0" applyBorder="0" applyAlignment="0" applyProtection="0">
      <alignment horizontal="center"/>
    </xf>
    <xf numFmtId="186" fontId="146" fillId="3" borderId="1537" applyBorder="0">
      <alignment horizontal="left" vertical="center"/>
    </xf>
    <xf numFmtId="190" fontId="165" fillId="0" borderId="1549" applyFill="0" applyProtection="0">
      <alignment horizontal="center"/>
    </xf>
    <xf numFmtId="190" fontId="166" fillId="0" borderId="1549">
      <alignment horizontal="center"/>
    </xf>
    <xf numFmtId="0" fontId="25" fillId="10" borderId="1544" applyNumberFormat="0" applyProtection="0">
      <alignment horizontal="left" vertical="top"/>
    </xf>
    <xf numFmtId="0" fontId="25" fillId="10" borderId="1547" applyNumberFormat="0" applyProtection="0">
      <alignment horizontal="left" vertical="top"/>
    </xf>
    <xf numFmtId="222" fontId="79" fillId="0" borderId="1548" applyBorder="0"/>
    <xf numFmtId="0" fontId="101" fillId="0" borderId="1537" applyBorder="0"/>
    <xf numFmtId="0" fontId="12" fillId="0" borderId="1537" applyNumberFormat="0" applyFill="0" applyBorder="0" applyAlignment="0" applyProtection="0">
      <alignment horizontal="center"/>
    </xf>
    <xf numFmtId="0" fontId="165" fillId="0" borderId="1537" applyFill="0" applyProtection="0">
      <alignment horizontal="center"/>
    </xf>
    <xf numFmtId="0" fontId="214" fillId="0" borderId="1543" applyNumberFormat="0" applyFont="0" applyFill="0" applyAlignment="0" applyProtection="0"/>
    <xf numFmtId="0" fontId="25" fillId="10" borderId="1546" applyNumberFormat="0" applyProtection="0">
      <alignment horizontal="left" vertical="top"/>
    </xf>
    <xf numFmtId="0" fontId="241" fillId="94" borderId="1573" applyBorder="0" applyProtection="0">
      <alignment horizontal="centerContinuous" vertical="center"/>
    </xf>
    <xf numFmtId="0" fontId="165" fillId="0" borderId="1549" applyFill="0" applyProtection="0">
      <alignment horizontal="center"/>
    </xf>
    <xf numFmtId="0" fontId="25" fillId="10" borderId="1595" applyNumberFormat="0" applyProtection="0">
      <alignment horizontal="left" vertical="top"/>
    </xf>
    <xf numFmtId="0" fontId="241" fillId="94" borderId="1537" applyBorder="0" applyProtection="0">
      <alignment horizontal="centerContinuous" vertical="center"/>
    </xf>
    <xf numFmtId="0" fontId="113" fillId="0" borderId="1573" applyNumberFormat="0" applyFill="0" applyAlignment="0" applyProtection="0"/>
    <xf numFmtId="0" fontId="165" fillId="0" borderId="1537" applyFill="0" applyProtection="0">
      <alignment horizontal="center"/>
    </xf>
    <xf numFmtId="0" fontId="25" fillId="10" borderId="1594" applyNumberFormat="0" applyProtection="0">
      <alignment horizontal="left" vertical="top"/>
    </xf>
    <xf numFmtId="0" fontId="25" fillId="10" borderId="1547" applyNumberFormat="0" applyProtection="0">
      <alignment horizontal="left" vertical="top"/>
    </xf>
    <xf numFmtId="0" fontId="25" fillId="10" borderId="1546" applyNumberFormat="0" applyProtection="0">
      <alignment horizontal="left" vertical="top"/>
    </xf>
    <xf numFmtId="180" fontId="9" fillId="3" borderId="4746">
      <alignment horizontal="right" vertical="center"/>
    </xf>
    <xf numFmtId="190" fontId="210" fillId="0" borderId="1549" applyNumberFormat="0" applyFill="0" applyBorder="0" applyAlignment="0">
      <protection locked="0"/>
    </xf>
    <xf numFmtId="190" fontId="2" fillId="0" borderId="1530" applyNumberFormat="0" applyAlignment="0" applyProtection="0"/>
    <xf numFmtId="190" fontId="214" fillId="0" borderId="1531" applyNumberFormat="0" applyFont="0" applyFill="0" applyAlignment="0" applyProtection="0"/>
    <xf numFmtId="190" fontId="25" fillId="10" borderId="1532" applyNumberFormat="0" applyProtection="0">
      <alignment horizontal="left" vertical="top"/>
    </xf>
    <xf numFmtId="190" fontId="25" fillId="10" borderId="1533" applyNumberFormat="0" applyProtection="0">
      <alignment horizontal="left" vertical="top"/>
    </xf>
    <xf numFmtId="190" fontId="25" fillId="10" borderId="1534" applyNumberFormat="0" applyProtection="0">
      <alignment horizontal="left" vertical="top"/>
    </xf>
    <xf numFmtId="190" fontId="25" fillId="10" borderId="1535" applyNumberFormat="0" applyProtection="0">
      <alignment horizontal="left" vertical="top"/>
    </xf>
    <xf numFmtId="190" fontId="241" fillId="94" borderId="1549" applyBorder="0" applyProtection="0">
      <alignment horizontal="centerContinuous" vertical="center"/>
    </xf>
    <xf numFmtId="264" fontId="12" fillId="14" borderId="1955" applyFont="0" applyFill="0" applyBorder="0" applyAlignment="0" applyProtection="0">
      <alignment horizontal="right"/>
    </xf>
    <xf numFmtId="0" fontId="75" fillId="0" borderId="1956" applyNumberFormat="0" applyFont="0" applyFill="0" applyAlignment="0" applyProtection="0"/>
    <xf numFmtId="0" fontId="25" fillId="10" borderId="1546" applyNumberFormat="0" applyProtection="0">
      <alignment horizontal="left" vertical="top"/>
    </xf>
    <xf numFmtId="180" fontId="9" fillId="3" borderId="1573">
      <alignment horizontal="right" vertical="center"/>
    </xf>
    <xf numFmtId="222" fontId="79" fillId="0" borderId="1548" applyBorder="0"/>
    <xf numFmtId="0" fontId="101" fillId="0" borderId="1549" applyBorder="0"/>
    <xf numFmtId="222" fontId="79" fillId="0" borderId="1548" applyBorder="0"/>
    <xf numFmtId="0" fontId="113" fillId="0" borderId="1549" applyNumberFormat="0" applyFill="0" applyAlignment="0" applyProtection="0"/>
    <xf numFmtId="0" fontId="75" fillId="0" borderId="1526" applyNumberFormat="0" applyFont="0" applyFill="0" applyAlignment="0" applyProtection="0"/>
    <xf numFmtId="0" fontId="12" fillId="0" borderId="1549" applyNumberFormat="0" applyFill="0" applyBorder="0" applyAlignment="0" applyProtection="0">
      <alignment horizontal="center"/>
    </xf>
    <xf numFmtId="248" fontId="46" fillId="0" borderId="1549"/>
    <xf numFmtId="192" fontId="9" fillId="3" borderId="1549">
      <alignment horizontal="right" vertical="center"/>
    </xf>
    <xf numFmtId="180" fontId="9" fillId="3" borderId="1549">
      <alignment horizontal="right" vertical="center"/>
    </xf>
    <xf numFmtId="186" fontId="146" fillId="3" borderId="1549" applyBorder="0">
      <alignment horizontal="left" vertical="center"/>
    </xf>
    <xf numFmtId="186" fontId="146" fillId="3" borderId="1528">
      <alignment horizontal="left"/>
    </xf>
    <xf numFmtId="186" fontId="140" fillId="3" borderId="1529">
      <alignment horizontal="center" vertical="center"/>
    </xf>
    <xf numFmtId="0" fontId="165" fillId="0" borderId="1549" applyFill="0" applyProtection="0">
      <alignment horizontal="center"/>
    </xf>
    <xf numFmtId="0" fontId="166" fillId="0" borderId="1549">
      <alignment horizontal="center"/>
    </xf>
    <xf numFmtId="264" fontId="12" fillId="14" borderId="1549" applyFont="0" applyFill="0" applyBorder="0" applyAlignment="0" applyProtection="0">
      <alignment horizontal="right"/>
    </xf>
    <xf numFmtId="0" fontId="210" fillId="0" borderId="1549" applyNumberFormat="0" applyFill="0" applyBorder="0" applyAlignment="0">
      <protection locked="0"/>
    </xf>
    <xf numFmtId="0" fontId="2" fillId="0" borderId="1530" applyNumberFormat="0" applyAlignment="0" applyProtection="0"/>
    <xf numFmtId="0" fontId="214" fillId="0" borderId="1531" applyNumberFormat="0" applyFont="0" applyFill="0" applyAlignment="0" applyProtection="0"/>
    <xf numFmtId="0" fontId="25" fillId="10" borderId="1532" applyNumberFormat="0" applyProtection="0">
      <alignment horizontal="left" vertical="top"/>
    </xf>
    <xf numFmtId="0" fontId="25" fillId="10" borderId="1533" applyNumberFormat="0" applyProtection="0">
      <alignment horizontal="left" vertical="top"/>
    </xf>
    <xf numFmtId="0" fontId="25" fillId="10" borderId="1534" applyNumberFormat="0" applyProtection="0">
      <alignment horizontal="left" vertical="top"/>
    </xf>
    <xf numFmtId="0" fontId="25" fillId="10" borderId="1535" applyNumberFormat="0" applyProtection="0">
      <alignment horizontal="left" vertical="top"/>
    </xf>
    <xf numFmtId="0" fontId="25" fillId="10" borderId="1532" applyNumberFormat="0" applyProtection="0">
      <alignment horizontal="left" vertical="top"/>
    </xf>
    <xf numFmtId="0" fontId="25" fillId="10" borderId="1533" applyNumberFormat="0" applyProtection="0">
      <alignment horizontal="left" vertical="top"/>
    </xf>
    <xf numFmtId="0" fontId="25" fillId="10" borderId="1534" applyNumberFormat="0" applyProtection="0">
      <alignment horizontal="left" vertical="top"/>
    </xf>
    <xf numFmtId="0" fontId="25" fillId="10" borderId="1535" applyNumberFormat="0" applyProtection="0">
      <alignment horizontal="left" vertical="top"/>
    </xf>
    <xf numFmtId="254" fontId="240" fillId="0" borderId="1549" applyBorder="0" applyProtection="0">
      <alignment horizontal="right" vertical="center"/>
    </xf>
    <xf numFmtId="0" fontId="241" fillId="94" borderId="1549" applyBorder="0" applyProtection="0">
      <alignment horizontal="centerContinuous" vertical="center"/>
    </xf>
    <xf numFmtId="246" fontId="249" fillId="0" borderId="1549" applyFill="0" applyProtection="0">
      <alignment horizontal="center"/>
    </xf>
    <xf numFmtId="246" fontId="250" fillId="0" borderId="1549" applyFill="0" applyProtection="0">
      <alignment horizontal="center"/>
    </xf>
    <xf numFmtId="248" fontId="46" fillId="0" borderId="1597"/>
    <xf numFmtId="0" fontId="101" fillId="0" borderId="1597" applyBorder="0"/>
    <xf numFmtId="192" fontId="9" fillId="3" borderId="1537">
      <alignment horizontal="right" vertical="center"/>
    </xf>
    <xf numFmtId="0" fontId="25" fillId="10" borderId="1544" applyNumberFormat="0" applyProtection="0">
      <alignment horizontal="left" vertical="top"/>
    </xf>
    <xf numFmtId="312" fontId="25" fillId="10" borderId="1582" applyNumberFormat="0" applyProtection="0">
      <alignment horizontal="left" vertical="top"/>
    </xf>
    <xf numFmtId="312" fontId="75" fillId="0" borderId="1574" applyNumberFormat="0" applyFont="0" applyFill="0" applyAlignment="0" applyProtection="0"/>
    <xf numFmtId="312" fontId="101" fillId="0" borderId="1549" applyBorder="0"/>
    <xf numFmtId="0" fontId="241" fillId="94" borderId="1597" applyBorder="0" applyProtection="0">
      <alignment horizontal="centerContinuous" vertical="center"/>
    </xf>
    <xf numFmtId="0" fontId="25" fillId="10" borderId="1581" applyNumberFormat="0" applyProtection="0">
      <alignment horizontal="left" vertical="top"/>
    </xf>
    <xf numFmtId="0" fontId="165" fillId="0" borderId="1597" applyFill="0" applyProtection="0">
      <alignment horizontal="center"/>
    </xf>
    <xf numFmtId="180" fontId="9" fillId="3" borderId="1597">
      <alignment horizontal="right" vertical="center"/>
    </xf>
    <xf numFmtId="312" fontId="113" fillId="0" borderId="1549" applyNumberFormat="0" applyFill="0" applyAlignment="0" applyProtection="0"/>
    <xf numFmtId="312" fontId="75" fillId="0" borderId="1526" applyNumberFormat="0" applyFont="0" applyFill="0" applyAlignment="0" applyProtection="0"/>
    <xf numFmtId="190" fontId="25" fillId="10" borderId="1580" applyNumberFormat="0" applyProtection="0">
      <alignment horizontal="left" vertical="top"/>
    </xf>
    <xf numFmtId="312" fontId="12" fillId="0" borderId="1549" applyNumberFormat="0" applyFill="0" applyBorder="0" applyAlignment="0" applyProtection="0">
      <alignment horizontal="center"/>
    </xf>
    <xf numFmtId="246" fontId="250" fillId="0" borderId="1597" applyFill="0" applyProtection="0">
      <alignment horizontal="center"/>
    </xf>
    <xf numFmtId="0" fontId="241" fillId="94" borderId="1597" applyBorder="0" applyProtection="0">
      <alignment horizontal="centerContinuous" vertical="center"/>
    </xf>
    <xf numFmtId="0" fontId="75" fillId="0" borderId="1598" applyNumberFormat="0" applyFont="0" applyFill="0" applyAlignment="0" applyProtection="0"/>
    <xf numFmtId="186" fontId="146" fillId="3" borderId="1585" applyBorder="0">
      <alignment horizontal="left" vertical="center"/>
    </xf>
    <xf numFmtId="0" fontId="12" fillId="0" borderId="1585" applyNumberFormat="0" applyFill="0" applyBorder="0" applyAlignment="0" applyProtection="0">
      <alignment horizontal="center"/>
    </xf>
    <xf numFmtId="0" fontId="75" fillId="0" borderId="1574" applyNumberFormat="0" applyFont="0" applyFill="0" applyAlignment="0" applyProtection="0"/>
    <xf numFmtId="0" fontId="2" fillId="0" borderId="1578" applyNumberFormat="0" applyAlignment="0" applyProtection="0"/>
    <xf numFmtId="0" fontId="25" fillId="10" borderId="1581" applyNumberFormat="0" applyProtection="0">
      <alignment horizontal="left" vertical="top"/>
    </xf>
    <xf numFmtId="0" fontId="78" fillId="14" borderId="1575" applyFont="0" applyFill="0" applyBorder="0" applyAlignment="0" applyProtection="0"/>
    <xf numFmtId="246" fontId="249" fillId="0" borderId="1561" applyFill="0" applyProtection="0">
      <alignment horizontal="center"/>
    </xf>
    <xf numFmtId="0" fontId="210" fillId="0" borderId="1561" applyNumberFormat="0" applyFill="0" applyBorder="0" applyAlignment="0">
      <protection locked="0"/>
    </xf>
    <xf numFmtId="0" fontId="165" fillId="0" borderId="1561" applyFill="0" applyProtection="0">
      <alignment horizontal="center"/>
    </xf>
    <xf numFmtId="192" fontId="9" fillId="3" borderId="1561">
      <alignment horizontal="right" vertical="center"/>
    </xf>
    <xf numFmtId="0" fontId="113" fillId="0" borderId="1561" applyNumberFormat="0" applyFill="0" applyAlignment="0" applyProtection="0"/>
    <xf numFmtId="222" fontId="79" fillId="0" borderId="1560" applyBorder="0"/>
    <xf numFmtId="186" fontId="140" fillId="3" borderId="1553">
      <alignment horizontal="center" vertical="center"/>
    </xf>
    <xf numFmtId="0" fontId="25" fillId="10" borderId="1558" applyNumberFormat="0" applyProtection="0">
      <alignment horizontal="left" vertical="top"/>
    </xf>
    <xf numFmtId="0" fontId="241" fillId="94" borderId="1537" applyBorder="0" applyProtection="0">
      <alignment horizontal="centerContinuous" vertical="center"/>
    </xf>
    <xf numFmtId="186" fontId="146" fillId="3" borderId="1537" applyBorder="0">
      <alignment horizontal="left" vertical="center"/>
    </xf>
    <xf numFmtId="0" fontId="25" fillId="10" borderId="1545" applyNumberFormat="0" applyProtection="0">
      <alignment horizontal="left" vertical="top"/>
    </xf>
    <xf numFmtId="0" fontId="2" fillId="0" borderId="1542" applyNumberFormat="0" applyAlignment="0" applyProtection="0"/>
    <xf numFmtId="186" fontId="140" fillId="3" borderId="1541">
      <alignment horizontal="center" vertical="center"/>
    </xf>
    <xf numFmtId="222" fontId="79" fillId="0" borderId="1548" applyBorder="0"/>
    <xf numFmtId="248" fontId="46" fillId="0" borderId="1537"/>
    <xf numFmtId="0" fontId="165" fillId="0" borderId="1537" applyFill="0" applyProtection="0">
      <alignment horizontal="center"/>
    </xf>
    <xf numFmtId="312" fontId="165" fillId="0" borderId="1549" applyFill="0" applyProtection="0">
      <alignment horizontal="center"/>
    </xf>
    <xf numFmtId="312" fontId="242" fillId="0" borderId="1549">
      <alignment horizontal="center"/>
    </xf>
    <xf numFmtId="222" fontId="79" fillId="0" borderId="1548" applyBorder="0"/>
    <xf numFmtId="0" fontId="25" fillId="10" borderId="1545" applyNumberFormat="0" applyProtection="0">
      <alignment horizontal="left" vertical="top"/>
    </xf>
    <xf numFmtId="0" fontId="78" fillId="14" borderId="1539" applyFont="0" applyFill="0" applyBorder="0" applyAlignment="0" applyProtection="0"/>
    <xf numFmtId="222" fontId="79" fillId="0" borderId="1548" applyBorder="0"/>
    <xf numFmtId="248" fontId="46" fillId="0" borderId="1537"/>
    <xf numFmtId="0" fontId="166" fillId="0" borderId="1537">
      <alignment horizontal="center"/>
    </xf>
    <xf numFmtId="186" fontId="140" fillId="3" borderId="1589">
      <alignment horizontal="center" vertical="center"/>
    </xf>
    <xf numFmtId="0" fontId="25" fillId="10" borderId="1547" applyNumberFormat="0" applyProtection="0">
      <alignment horizontal="left" vertical="top"/>
    </xf>
    <xf numFmtId="0" fontId="241" fillId="94" borderId="1549" applyBorder="0" applyProtection="0">
      <alignment horizontal="centerContinuous" vertical="center"/>
    </xf>
    <xf numFmtId="0" fontId="25" fillId="10" borderId="1547" applyNumberFormat="0" applyProtection="0">
      <alignment horizontal="left" vertical="top"/>
    </xf>
    <xf numFmtId="246" fontId="250" fillId="0" borderId="1537" applyFill="0" applyProtection="0">
      <alignment horizontal="center"/>
    </xf>
    <xf numFmtId="254" fontId="240" fillId="0" borderId="1537" applyBorder="0" applyProtection="0">
      <alignment horizontal="right" vertical="center"/>
    </xf>
    <xf numFmtId="192" fontId="9" fillId="3" borderId="1573">
      <alignment horizontal="right" vertical="center"/>
    </xf>
    <xf numFmtId="0" fontId="210" fillId="0" borderId="1537" applyNumberFormat="0" applyFill="0" applyBorder="0" applyAlignment="0">
      <protection locked="0"/>
    </xf>
    <xf numFmtId="186" fontId="146" fillId="3" borderId="1537" applyBorder="0">
      <alignment horizontal="left" vertical="center"/>
    </xf>
    <xf numFmtId="0" fontId="25" fillId="10" borderId="1546" applyNumberFormat="0" applyProtection="0">
      <alignment horizontal="left" vertical="top"/>
    </xf>
    <xf numFmtId="0" fontId="25" fillId="10" borderId="1545" applyNumberFormat="0" applyProtection="0">
      <alignment horizontal="left" vertical="top"/>
    </xf>
    <xf numFmtId="0" fontId="25" fillId="10" borderId="4793" applyNumberFormat="0" applyProtection="0">
      <alignment horizontal="left" vertical="top"/>
    </xf>
    <xf numFmtId="186" fontId="140" fillId="3" borderId="1541">
      <alignment horizontal="center" vertical="center"/>
    </xf>
    <xf numFmtId="312" fontId="210" fillId="0" borderId="1549" applyNumberFormat="0" applyFill="0" applyBorder="0" applyAlignment="0">
      <protection locked="0"/>
    </xf>
    <xf numFmtId="312" fontId="2" fillId="0" borderId="1530" applyNumberFormat="0" applyAlignment="0" applyProtection="0"/>
    <xf numFmtId="312" fontId="214" fillId="0" borderId="1531" applyNumberFormat="0" applyFont="0" applyFill="0" applyAlignment="0" applyProtection="0"/>
    <xf numFmtId="0" fontId="241" fillId="94" borderId="2132" applyBorder="0" applyProtection="0">
      <alignment horizontal="centerContinuous" vertical="center"/>
    </xf>
    <xf numFmtId="312" fontId="25" fillId="10" borderId="1532" applyNumberFormat="0" applyProtection="0">
      <alignment horizontal="left" vertical="top"/>
    </xf>
    <xf numFmtId="312" fontId="25" fillId="10" borderId="1533" applyNumberFormat="0" applyProtection="0">
      <alignment horizontal="left" vertical="top"/>
    </xf>
    <xf numFmtId="312" fontId="25" fillId="10" borderId="1534" applyNumberFormat="0" applyProtection="0">
      <alignment horizontal="left" vertical="top"/>
    </xf>
    <xf numFmtId="312" fontId="25" fillId="10" borderId="1535" applyNumberFormat="0" applyProtection="0">
      <alignment horizontal="left" vertical="top"/>
    </xf>
    <xf numFmtId="312" fontId="241" fillId="94" borderId="1549" applyBorder="0" applyProtection="0">
      <alignment horizontal="centerContinuous" vertical="center"/>
    </xf>
    <xf numFmtId="246" fontId="296" fillId="0" borderId="1549" applyFill="0" applyProtection="0">
      <alignment horizontal="center"/>
    </xf>
    <xf numFmtId="248" fontId="46" fillId="0" borderId="1955"/>
    <xf numFmtId="0" fontId="25" fillId="10" borderId="1544" applyNumberFormat="0" applyProtection="0">
      <alignment horizontal="left" vertical="top"/>
    </xf>
    <xf numFmtId="0" fontId="25" fillId="10" borderId="1544" applyNumberFormat="0" applyProtection="0">
      <alignment horizontal="left" vertical="top"/>
    </xf>
    <xf numFmtId="254" fontId="240" fillId="0" borderId="1597" applyBorder="0" applyProtection="0">
      <alignment horizontal="right" vertical="center"/>
    </xf>
    <xf numFmtId="312" fontId="241" fillId="94" borderId="1597" applyBorder="0" applyProtection="0">
      <alignment horizontal="centerContinuous" vertical="center"/>
    </xf>
    <xf numFmtId="312" fontId="101" fillId="0" borderId="1549" applyBorder="0"/>
    <xf numFmtId="312" fontId="113" fillId="0" borderId="1549" applyNumberFormat="0" applyFill="0" applyAlignment="0" applyProtection="0"/>
    <xf numFmtId="312" fontId="75" fillId="0" borderId="1526" applyNumberFormat="0" applyFont="0" applyFill="0" applyAlignment="0" applyProtection="0"/>
    <xf numFmtId="312" fontId="12" fillId="0" borderId="1549" applyNumberFormat="0" applyFill="0" applyBorder="0" applyAlignment="0" applyProtection="0">
      <alignment horizontal="center"/>
    </xf>
    <xf numFmtId="222" fontId="79" fillId="0" borderId="1596" applyBorder="0"/>
    <xf numFmtId="0" fontId="113" fillId="0" borderId="1537" applyNumberFormat="0" applyFill="0" applyAlignment="0" applyProtection="0"/>
    <xf numFmtId="312" fontId="165" fillId="0" borderId="1549" applyFill="0" applyProtection="0">
      <alignment horizontal="center"/>
    </xf>
    <xf numFmtId="312" fontId="242" fillId="0" borderId="1549">
      <alignment horizontal="center"/>
    </xf>
    <xf numFmtId="312" fontId="210" fillId="0" borderId="1549" applyNumberFormat="0" applyFill="0" applyBorder="0" applyAlignment="0">
      <protection locked="0"/>
    </xf>
    <xf numFmtId="312" fontId="2" fillId="0" borderId="1530" applyNumberFormat="0" applyAlignment="0" applyProtection="0"/>
    <xf numFmtId="312" fontId="214" fillId="0" borderId="1531" applyNumberFormat="0" applyFont="0" applyFill="0" applyAlignment="0" applyProtection="0"/>
    <xf numFmtId="312" fontId="25" fillId="10" borderId="1532" applyNumberFormat="0" applyProtection="0">
      <alignment horizontal="left" vertical="top"/>
    </xf>
    <xf numFmtId="312" fontId="25" fillId="10" borderId="1533" applyNumberFormat="0" applyProtection="0">
      <alignment horizontal="left" vertical="top"/>
    </xf>
    <xf numFmtId="312" fontId="25" fillId="10" borderId="1534" applyNumberFormat="0" applyProtection="0">
      <alignment horizontal="left" vertical="top"/>
    </xf>
    <xf numFmtId="312" fontId="25" fillId="10" borderId="1535" applyNumberFormat="0" applyProtection="0">
      <alignment horizontal="left" vertical="top"/>
    </xf>
    <xf numFmtId="312" fontId="25" fillId="10" borderId="1532" applyNumberFormat="0" applyProtection="0">
      <alignment horizontal="left" vertical="top"/>
    </xf>
    <xf numFmtId="312" fontId="25" fillId="10" borderId="1533" applyNumberFormat="0" applyProtection="0">
      <alignment horizontal="left" vertical="top"/>
    </xf>
    <xf numFmtId="312" fontId="25" fillId="10" borderId="1534" applyNumberFormat="0" applyProtection="0">
      <alignment horizontal="left" vertical="top"/>
    </xf>
    <xf numFmtId="312" fontId="25" fillId="10" borderId="1535" applyNumberFormat="0" applyProtection="0">
      <alignment horizontal="left" vertical="top"/>
    </xf>
    <xf numFmtId="312" fontId="241" fillId="94" borderId="1549" applyBorder="0" applyProtection="0">
      <alignment horizontal="centerContinuous" vertical="center"/>
    </xf>
    <xf numFmtId="246" fontId="296" fillId="0" borderId="1549" applyFill="0" applyProtection="0">
      <alignment horizontal="center"/>
    </xf>
    <xf numFmtId="0" fontId="113" fillId="0" borderId="1537" applyNumberFormat="0" applyFill="0" applyAlignment="0" applyProtection="0"/>
    <xf numFmtId="0" fontId="25" fillId="10" borderId="1546" applyNumberFormat="0" applyProtection="0">
      <alignment horizontal="left" vertical="top"/>
    </xf>
    <xf numFmtId="192" fontId="9" fillId="3" borderId="1597">
      <alignment horizontal="right" vertical="center"/>
    </xf>
    <xf numFmtId="0" fontId="25" fillId="10" borderId="1545" applyNumberFormat="0" applyProtection="0">
      <alignment horizontal="left" vertical="top"/>
    </xf>
    <xf numFmtId="246" fontId="250" fillId="0" borderId="1597" applyFill="0" applyProtection="0">
      <alignment horizontal="center"/>
    </xf>
    <xf numFmtId="0" fontId="101" fillId="0" borderId="1597" applyBorder="0"/>
    <xf numFmtId="0" fontId="78" fillId="14" borderId="1587" applyFont="0" applyFill="0" applyBorder="0" applyAlignment="0" applyProtection="0"/>
    <xf numFmtId="264" fontId="12" fillId="14" borderId="1597" applyFont="0" applyFill="0" applyBorder="0" applyAlignment="0" applyProtection="0">
      <alignment horizontal="right"/>
    </xf>
    <xf numFmtId="246" fontId="250" fillId="0" borderId="1549" applyFill="0" applyProtection="0">
      <alignment horizontal="center"/>
    </xf>
    <xf numFmtId="222" fontId="79" fillId="0" borderId="1572" applyBorder="0"/>
    <xf numFmtId="0" fontId="2" fillId="0" borderId="1542" applyNumberFormat="0" applyAlignment="0" applyProtection="0"/>
    <xf numFmtId="0" fontId="25" fillId="10" borderId="1545" applyNumberFormat="0" applyProtection="0">
      <alignment horizontal="left" vertical="top"/>
    </xf>
    <xf numFmtId="0" fontId="25" fillId="10" borderId="1547" applyNumberFormat="0" applyProtection="0">
      <alignment horizontal="left" vertical="top"/>
    </xf>
    <xf numFmtId="246" fontId="249" fillId="0" borderId="1597" applyFill="0" applyProtection="0">
      <alignment horizontal="center"/>
    </xf>
    <xf numFmtId="186" fontId="146" fillId="3" borderId="1597" applyBorder="0">
      <alignment horizontal="left" vertical="center"/>
    </xf>
    <xf numFmtId="0" fontId="25" fillId="10" borderId="1546" applyNumberFormat="0" applyProtection="0">
      <alignment horizontal="left" vertical="top"/>
    </xf>
    <xf numFmtId="0" fontId="25" fillId="10" borderId="1545" applyNumberFormat="0" applyProtection="0">
      <alignment horizontal="left" vertical="top"/>
    </xf>
    <xf numFmtId="248" fontId="46" fillId="0" borderId="1597"/>
    <xf numFmtId="0" fontId="101" fillId="0" borderId="1537" applyBorder="0"/>
    <xf numFmtId="190" fontId="78" fillId="14" borderId="1587" applyFont="0" applyFill="0" applyBorder="0" applyAlignment="0" applyProtection="0"/>
    <xf numFmtId="0" fontId="25" fillId="10" borderId="1547" applyNumberFormat="0" applyProtection="0">
      <alignment horizontal="left" vertical="top"/>
    </xf>
    <xf numFmtId="0" fontId="12" fillId="0" borderId="1597" applyNumberFormat="0" applyFill="0" applyBorder="0" applyAlignment="0" applyProtection="0">
      <alignment horizontal="center"/>
    </xf>
    <xf numFmtId="222" fontId="79" fillId="0" borderId="1584" applyBorder="0"/>
    <xf numFmtId="186" fontId="140" fillId="3" borderId="1541">
      <alignment horizontal="center" vertical="center"/>
    </xf>
    <xf numFmtId="0" fontId="25" fillId="10" borderId="1546" applyNumberFormat="0" applyProtection="0">
      <alignment horizontal="left" vertical="top"/>
    </xf>
    <xf numFmtId="0" fontId="210" fillId="0" borderId="1585" applyNumberFormat="0" applyFill="0" applyBorder="0" applyAlignment="0">
      <protection locked="0"/>
    </xf>
    <xf numFmtId="246" fontId="250" fillId="0" borderId="1549" applyFill="0" applyProtection="0">
      <alignment horizontal="center"/>
    </xf>
    <xf numFmtId="246" fontId="249" fillId="0" borderId="1549" applyFill="0" applyProtection="0">
      <alignment horizontal="center"/>
    </xf>
    <xf numFmtId="0" fontId="241" fillId="94" borderId="1549" applyBorder="0" applyProtection="0">
      <alignment horizontal="centerContinuous" vertical="center"/>
    </xf>
    <xf numFmtId="254" fontId="240" fillId="0" borderId="1549" applyBorder="0" applyProtection="0">
      <alignment horizontal="right" vertical="center"/>
    </xf>
    <xf numFmtId="0" fontId="25" fillId="10" borderId="1547" applyNumberFormat="0" applyProtection="0">
      <alignment horizontal="left" vertical="top"/>
    </xf>
    <xf numFmtId="222" fontId="79" fillId="0" borderId="2155" applyBorder="0"/>
    <xf numFmtId="0" fontId="25" fillId="10" borderId="1546" applyNumberFormat="0" applyProtection="0">
      <alignment horizontal="left" vertical="top"/>
    </xf>
    <xf numFmtId="0" fontId="25" fillId="10" borderId="1545" applyNumberFormat="0" applyProtection="0">
      <alignment horizontal="left" vertical="top"/>
    </xf>
    <xf numFmtId="0" fontId="25" fillId="10" borderId="1544" applyNumberFormat="0" applyProtection="0">
      <alignment horizontal="left" vertical="top"/>
    </xf>
    <xf numFmtId="0" fontId="25" fillId="10" borderId="1583" applyNumberFormat="0" applyProtection="0">
      <alignment horizontal="left" vertical="top"/>
    </xf>
    <xf numFmtId="0" fontId="214" fillId="0" borderId="1579" applyNumberFormat="0" applyFont="0" applyFill="0" applyAlignment="0" applyProtection="0"/>
    <xf numFmtId="0" fontId="214" fillId="0" borderId="1543" applyNumberFormat="0" applyFont="0" applyFill="0" applyAlignment="0" applyProtection="0"/>
    <xf numFmtId="0" fontId="2" fillId="0" borderId="1542" applyNumberFormat="0" applyAlignment="0" applyProtection="0"/>
    <xf numFmtId="0" fontId="210" fillId="0" borderId="1549" applyNumberFormat="0" applyFill="0" applyBorder="0" applyAlignment="0">
      <protection locked="0"/>
    </xf>
    <xf numFmtId="0" fontId="25" fillId="10" borderId="1544" applyNumberFormat="0" applyProtection="0">
      <alignment horizontal="left" vertical="top"/>
    </xf>
    <xf numFmtId="264" fontId="12" fillId="14" borderId="1549" applyFont="0" applyFill="0" applyBorder="0" applyAlignment="0" applyProtection="0">
      <alignment horizontal="right"/>
    </xf>
    <xf numFmtId="0" fontId="78" fillId="14" borderId="1551" applyFont="0" applyFill="0" applyBorder="0" applyAlignment="0" applyProtection="0"/>
    <xf numFmtId="0" fontId="210" fillId="0" borderId="1537" applyNumberFormat="0" applyFill="0" applyBorder="0" applyAlignment="0">
      <protection locked="0"/>
    </xf>
    <xf numFmtId="0" fontId="75" fillId="0" borderId="1538" applyNumberFormat="0" applyFont="0" applyFill="0" applyAlignment="0" applyProtection="0"/>
    <xf numFmtId="0" fontId="166" fillId="0" borderId="1549">
      <alignment horizontal="center"/>
    </xf>
    <xf numFmtId="0" fontId="165" fillId="0" borderId="1549" applyFill="0" applyProtection="0">
      <alignment horizontal="center"/>
    </xf>
    <xf numFmtId="0" fontId="78" fillId="14" borderId="1539" applyFont="0" applyFill="0" applyBorder="0" applyAlignment="0" applyProtection="0"/>
    <xf numFmtId="186" fontId="146" fillId="3" borderId="1540">
      <alignment horizontal="left"/>
    </xf>
    <xf numFmtId="254" fontId="240" fillId="0" borderId="1537" applyBorder="0" applyProtection="0">
      <alignment horizontal="right" vertical="center"/>
    </xf>
    <xf numFmtId="0" fontId="25" fillId="10" borderId="1559" applyNumberFormat="0" applyProtection="0">
      <alignment horizontal="left" vertical="top"/>
    </xf>
    <xf numFmtId="186" fontId="140" fillId="3" borderId="1541">
      <alignment horizontal="center" vertical="center"/>
    </xf>
    <xf numFmtId="186" fontId="146" fillId="3" borderId="1540">
      <alignment horizontal="left"/>
    </xf>
    <xf numFmtId="186" fontId="146" fillId="3" borderId="1549" applyBorder="0">
      <alignment horizontal="left" vertical="center"/>
    </xf>
    <xf numFmtId="180" fontId="9" fillId="3" borderId="1549">
      <alignment horizontal="right" vertical="center"/>
    </xf>
    <xf numFmtId="192" fontId="9" fillId="3" borderId="1549">
      <alignment horizontal="right" vertical="center"/>
    </xf>
    <xf numFmtId="192" fontId="9" fillId="3" borderId="1597">
      <alignment horizontal="right" vertical="center"/>
    </xf>
    <xf numFmtId="248" fontId="46" fillId="0" borderId="1549"/>
    <xf numFmtId="0" fontId="78" fillId="14" borderId="1539" applyFont="0" applyFill="0" applyBorder="0" applyAlignment="0" applyProtection="0"/>
    <xf numFmtId="0" fontId="12" fillId="0" borderId="1549" applyNumberFormat="0" applyFill="0" applyBorder="0" applyAlignment="0" applyProtection="0">
      <alignment horizontal="center"/>
    </xf>
    <xf numFmtId="0" fontId="75" fillId="0" borderId="1538" applyNumberFormat="0" applyFont="0" applyFill="0" applyAlignment="0" applyProtection="0"/>
    <xf numFmtId="0" fontId="113" fillId="0" borderId="1549" applyNumberFormat="0" applyFill="0" applyAlignment="0" applyProtection="0"/>
    <xf numFmtId="0" fontId="25" fillId="10" borderId="1580" applyNumberFormat="0" applyProtection="0">
      <alignment horizontal="left" vertical="top"/>
    </xf>
    <xf numFmtId="254" fontId="240" fillId="0" borderId="1597" applyBorder="0" applyProtection="0">
      <alignment horizontal="right" vertical="center"/>
    </xf>
    <xf numFmtId="222" fontId="79" fillId="0" borderId="1548" applyBorder="0"/>
    <xf numFmtId="0" fontId="101" fillId="0" borderId="1549" applyBorder="0"/>
    <xf numFmtId="0" fontId="25" fillId="10" borderId="1556" applyNumberFormat="0" applyProtection="0">
      <alignment horizontal="left" vertical="top"/>
    </xf>
    <xf numFmtId="0" fontId="25" fillId="10" borderId="1557" applyNumberFormat="0" applyProtection="0">
      <alignment horizontal="left" vertical="top"/>
    </xf>
    <xf numFmtId="0" fontId="25" fillId="10" borderId="1558" applyNumberFormat="0" applyProtection="0">
      <alignment horizontal="left" vertical="top"/>
    </xf>
    <xf numFmtId="0" fontId="25" fillId="10" borderId="1559" applyNumberFormat="0" applyProtection="0">
      <alignment horizontal="left" vertical="top"/>
    </xf>
    <xf numFmtId="190" fontId="12" fillId="0" borderId="1597" applyNumberFormat="0" applyFill="0" applyBorder="0" applyAlignment="0" applyProtection="0">
      <alignment horizontal="center"/>
    </xf>
    <xf numFmtId="0" fontId="165" fillId="0" borderId="1573" applyFill="0" applyProtection="0">
      <alignment horizontal="center"/>
    </xf>
    <xf numFmtId="190" fontId="214" fillId="0" borderId="1579" applyNumberFormat="0" applyFont="0" applyFill="0" applyAlignment="0" applyProtection="0"/>
    <xf numFmtId="312" fontId="242" fillId="0" borderId="1597">
      <alignment horizontal="center"/>
    </xf>
    <xf numFmtId="190" fontId="165" fillId="0" borderId="1597" applyFill="0" applyProtection="0">
      <alignment horizontal="center"/>
    </xf>
    <xf numFmtId="0" fontId="25" fillId="10" borderId="1545" applyNumberFormat="0" applyProtection="0">
      <alignment horizontal="left" vertical="top"/>
    </xf>
    <xf numFmtId="0" fontId="25" fillId="10" borderId="1568" applyNumberFormat="0" applyProtection="0">
      <alignment horizontal="left" vertical="top"/>
    </xf>
    <xf numFmtId="264" fontId="12" fillId="14" borderId="1573" applyFont="0" applyFill="0" applyBorder="0" applyAlignment="0" applyProtection="0">
      <alignment horizontal="right"/>
    </xf>
    <xf numFmtId="246" fontId="250" fillId="0" borderId="1573" applyFill="0" applyProtection="0">
      <alignment horizontal="center"/>
    </xf>
    <xf numFmtId="180" fontId="9" fillId="3" borderId="1597">
      <alignment horizontal="right" vertical="center"/>
    </xf>
    <xf numFmtId="0" fontId="214" fillId="0" borderId="1543" applyNumberFormat="0" applyFont="0" applyFill="0" applyAlignment="0" applyProtection="0"/>
    <xf numFmtId="246" fontId="249" fillId="0" borderId="1549" applyFill="0" applyProtection="0">
      <alignment horizontal="center"/>
    </xf>
    <xf numFmtId="246" fontId="250" fillId="0" borderId="1537" applyFill="0" applyProtection="0">
      <alignment horizontal="center"/>
    </xf>
    <xf numFmtId="246" fontId="249" fillId="0" borderId="1537" applyFill="0" applyProtection="0">
      <alignment horizontal="center"/>
    </xf>
    <xf numFmtId="0" fontId="241" fillId="94" borderId="1537" applyBorder="0" applyProtection="0">
      <alignment horizontal="centerContinuous" vertical="center"/>
    </xf>
    <xf numFmtId="254" fontId="240" fillId="0" borderId="1537" applyBorder="0" applyProtection="0">
      <alignment horizontal="right" vertical="center"/>
    </xf>
    <xf numFmtId="0" fontId="210" fillId="0" borderId="1537" applyNumberFormat="0" applyFill="0" applyBorder="0" applyAlignment="0">
      <protection locked="0"/>
    </xf>
    <xf numFmtId="0" fontId="2" fillId="0" borderId="1590" applyNumberFormat="0" applyAlignment="0" applyProtection="0"/>
    <xf numFmtId="264" fontId="12" fillId="14" borderId="1537" applyFont="0" applyFill="0" applyBorder="0" applyAlignment="0" applyProtection="0">
      <alignment horizontal="right"/>
    </xf>
    <xf numFmtId="0" fontId="166" fillId="0" borderId="1537">
      <alignment horizontal="center"/>
    </xf>
    <xf numFmtId="0" fontId="165" fillId="0" borderId="1537" applyFill="0" applyProtection="0">
      <alignment horizontal="center"/>
    </xf>
    <xf numFmtId="186" fontId="146" fillId="3" borderId="1537" applyBorder="0">
      <alignment horizontal="left" vertical="center"/>
    </xf>
    <xf numFmtId="180" fontId="9" fillId="3" borderId="1537">
      <alignment horizontal="right" vertical="center"/>
    </xf>
    <xf numFmtId="192" fontId="9" fillId="3" borderId="1537">
      <alignment horizontal="right" vertical="center"/>
    </xf>
    <xf numFmtId="248" fontId="46" fillId="0" borderId="1537"/>
    <xf numFmtId="0" fontId="12" fillId="0" borderId="1537" applyNumberFormat="0" applyFill="0" applyBorder="0" applyAlignment="0" applyProtection="0">
      <alignment horizontal="center"/>
    </xf>
    <xf numFmtId="0" fontId="113" fillId="0" borderId="1537" applyNumberFormat="0" applyFill="0" applyAlignment="0" applyProtection="0"/>
    <xf numFmtId="222" fontId="79" fillId="0" borderId="1536" applyBorder="0"/>
    <xf numFmtId="0" fontId="101" fillId="0" borderId="1537" applyBorder="0"/>
    <xf numFmtId="264" fontId="12" fillId="14" borderId="1585" applyFont="0" applyFill="0" applyBorder="0" applyAlignment="0" applyProtection="0">
      <alignment horizontal="right"/>
    </xf>
    <xf numFmtId="246" fontId="250" fillId="0" borderId="1537" applyFill="0" applyProtection="0">
      <alignment horizontal="center"/>
    </xf>
    <xf numFmtId="246" fontId="249" fillId="0" borderId="1537" applyFill="0" applyProtection="0">
      <alignment horizontal="center"/>
    </xf>
    <xf numFmtId="0" fontId="241" fillId="94" borderId="1537" applyBorder="0" applyProtection="0">
      <alignment horizontal="centerContinuous" vertical="center"/>
    </xf>
    <xf numFmtId="254" fontId="240" fillId="0" borderId="1537" applyBorder="0" applyProtection="0">
      <alignment horizontal="right" vertical="center"/>
    </xf>
    <xf numFmtId="0" fontId="210" fillId="0" borderId="1537" applyNumberFormat="0" applyFill="0" applyBorder="0" applyAlignment="0">
      <protection locked="0"/>
    </xf>
    <xf numFmtId="264" fontId="12" fillId="14" borderId="1537" applyFont="0" applyFill="0" applyBorder="0" applyAlignment="0" applyProtection="0">
      <alignment horizontal="right"/>
    </xf>
    <xf numFmtId="0" fontId="166" fillId="0" borderId="1537">
      <alignment horizontal="center"/>
    </xf>
    <xf numFmtId="0" fontId="165" fillId="0" borderId="1537" applyFill="0" applyProtection="0">
      <alignment horizontal="center"/>
    </xf>
    <xf numFmtId="0" fontId="25" fillId="10" borderId="1547" applyNumberFormat="0" applyProtection="0">
      <alignment horizontal="left" vertical="top"/>
    </xf>
    <xf numFmtId="0" fontId="78" fillId="14" borderId="1539" applyFont="0" applyFill="0" applyBorder="0" applyAlignment="0" applyProtection="0"/>
    <xf numFmtId="264" fontId="12" fillId="14" borderId="1537" applyFont="0" applyFill="0" applyBorder="0" applyAlignment="0" applyProtection="0">
      <alignment horizontal="right"/>
    </xf>
    <xf numFmtId="222" fontId="79" fillId="0" borderId="1548" applyBorder="0"/>
    <xf numFmtId="186" fontId="146" fillId="3" borderId="1537" applyBorder="0">
      <alignment horizontal="left" vertical="center"/>
    </xf>
    <xf numFmtId="180" fontId="9" fillId="3" borderId="1537">
      <alignment horizontal="right" vertical="center"/>
    </xf>
    <xf numFmtId="192" fontId="9" fillId="3" borderId="1537">
      <alignment horizontal="right" vertical="center"/>
    </xf>
    <xf numFmtId="0" fontId="12" fillId="0" borderId="1537" applyNumberFormat="0" applyFill="0" applyBorder="0" applyAlignment="0" applyProtection="0">
      <alignment horizontal="center"/>
    </xf>
    <xf numFmtId="0" fontId="113" fillId="0" borderId="1537" applyNumberFormat="0" applyFill="0" applyAlignment="0" applyProtection="0"/>
    <xf numFmtId="0" fontId="2" fillId="0" borderId="1578" applyNumberFormat="0" applyAlignment="0" applyProtection="0"/>
    <xf numFmtId="0" fontId="25" fillId="10" borderId="1582" applyNumberFormat="0" applyProtection="0">
      <alignment horizontal="left" vertical="top"/>
    </xf>
    <xf numFmtId="222" fontId="79" fillId="0" borderId="1536" applyBorder="0"/>
    <xf numFmtId="0" fontId="101" fillId="0" borderId="1537" applyBorder="0"/>
    <xf numFmtId="248" fontId="46" fillId="0" borderId="1537"/>
    <xf numFmtId="246" fontId="250" fillId="0" borderId="1537" applyFill="0" applyProtection="0">
      <alignment horizontal="center"/>
    </xf>
    <xf numFmtId="246" fontId="249" fillId="0" borderId="1537" applyFill="0" applyProtection="0">
      <alignment horizontal="center"/>
    </xf>
    <xf numFmtId="0" fontId="241" fillId="94" borderId="1537" applyBorder="0" applyProtection="0">
      <alignment horizontal="centerContinuous" vertical="center"/>
    </xf>
    <xf numFmtId="254" fontId="240" fillId="0" borderId="1537" applyBorder="0" applyProtection="0">
      <alignment horizontal="right" vertical="center"/>
    </xf>
    <xf numFmtId="0" fontId="210" fillId="0" borderId="1537" applyNumberFormat="0" applyFill="0" applyBorder="0" applyAlignment="0">
      <protection locked="0"/>
    </xf>
    <xf numFmtId="264" fontId="12" fillId="14" borderId="1537" applyFont="0" applyFill="0" applyBorder="0" applyAlignment="0" applyProtection="0">
      <alignment horizontal="right"/>
    </xf>
    <xf numFmtId="0" fontId="166" fillId="0" borderId="1537">
      <alignment horizontal="center"/>
    </xf>
    <xf numFmtId="0" fontId="165" fillId="0" borderId="1537" applyFill="0" applyProtection="0">
      <alignment horizontal="center"/>
    </xf>
    <xf numFmtId="186" fontId="146" fillId="3" borderId="1537" applyBorder="0">
      <alignment horizontal="left" vertical="center"/>
    </xf>
    <xf numFmtId="180" fontId="9" fillId="3" borderId="1537">
      <alignment horizontal="right" vertical="center"/>
    </xf>
    <xf numFmtId="192" fontId="9" fillId="3" borderId="1537">
      <alignment horizontal="right" vertical="center"/>
    </xf>
    <xf numFmtId="248" fontId="46" fillId="0" borderId="1537"/>
    <xf numFmtId="0" fontId="12" fillId="0" borderId="1537" applyNumberFormat="0" applyFill="0" applyBorder="0" applyAlignment="0" applyProtection="0">
      <alignment horizontal="center"/>
    </xf>
    <xf numFmtId="0" fontId="113" fillId="0" borderId="1537" applyNumberFormat="0" applyFill="0" applyAlignment="0" applyProtection="0"/>
    <xf numFmtId="222" fontId="79" fillId="0" borderId="1536" applyBorder="0"/>
    <xf numFmtId="0" fontId="101" fillId="0" borderId="1537" applyBorder="0"/>
    <xf numFmtId="246" fontId="296" fillId="0" borderId="1597" applyFill="0" applyProtection="0">
      <alignment horizontal="center"/>
    </xf>
    <xf numFmtId="312" fontId="101" fillId="0" borderId="1597" applyBorder="0"/>
    <xf numFmtId="312" fontId="113" fillId="0" borderId="1597" applyNumberFormat="0" applyFill="0" applyAlignment="0" applyProtection="0"/>
    <xf numFmtId="312" fontId="75" fillId="0" borderId="1574" applyNumberFormat="0" applyFont="0" applyFill="0" applyAlignment="0" applyProtection="0"/>
    <xf numFmtId="312" fontId="12" fillId="0" borderId="1597" applyNumberFormat="0" applyFill="0" applyBorder="0" applyAlignment="0" applyProtection="0">
      <alignment horizontal="center"/>
    </xf>
    <xf numFmtId="312" fontId="165" fillId="0" borderId="1597" applyFill="0" applyProtection="0">
      <alignment horizontal="center"/>
    </xf>
    <xf numFmtId="312" fontId="242" fillId="0" borderId="1597">
      <alignment horizontal="center"/>
    </xf>
    <xf numFmtId="0" fontId="101" fillId="0" borderId="4746" applyBorder="0"/>
    <xf numFmtId="312" fontId="210" fillId="0" borderId="1597" applyNumberFormat="0" applyFill="0" applyBorder="0" applyAlignment="0">
      <protection locked="0"/>
    </xf>
    <xf numFmtId="312" fontId="2" fillId="0" borderId="1578" applyNumberFormat="0" applyAlignment="0" applyProtection="0"/>
    <xf numFmtId="312" fontId="214" fillId="0" borderId="1579" applyNumberFormat="0" applyFont="0" applyFill="0" applyAlignment="0" applyProtection="0"/>
    <xf numFmtId="312" fontId="25" fillId="10" borderId="1580" applyNumberFormat="0" applyProtection="0">
      <alignment horizontal="left" vertical="top"/>
    </xf>
    <xf numFmtId="312" fontId="25" fillId="10" borderId="1581" applyNumberFormat="0" applyProtection="0">
      <alignment horizontal="left" vertical="top"/>
    </xf>
    <xf numFmtId="312" fontId="25" fillId="10" borderId="1582" applyNumberFormat="0" applyProtection="0">
      <alignment horizontal="left" vertical="top"/>
    </xf>
    <xf numFmtId="312" fontId="25" fillId="10" borderId="1583" applyNumberFormat="0" applyProtection="0">
      <alignment horizontal="left" vertical="top"/>
    </xf>
    <xf numFmtId="312" fontId="25" fillId="10" borderId="1580" applyNumberFormat="0" applyProtection="0">
      <alignment horizontal="left" vertical="top"/>
    </xf>
    <xf numFmtId="312" fontId="25" fillId="10" borderId="1581" applyNumberFormat="0" applyProtection="0">
      <alignment horizontal="left" vertical="top"/>
    </xf>
    <xf numFmtId="312" fontId="25" fillId="10" borderId="1582" applyNumberFormat="0" applyProtection="0">
      <alignment horizontal="left" vertical="top"/>
    </xf>
    <xf numFmtId="312" fontId="25" fillId="10" borderId="1583" applyNumberFormat="0" applyProtection="0">
      <alignment horizontal="left" vertical="top"/>
    </xf>
    <xf numFmtId="312" fontId="241" fillId="94" borderId="1597" applyBorder="0" applyProtection="0">
      <alignment horizontal="centerContinuous" vertical="center"/>
    </xf>
    <xf numFmtId="246" fontId="296" fillId="0" borderId="1597" applyFill="0" applyProtection="0">
      <alignment horizontal="center"/>
    </xf>
    <xf numFmtId="246" fontId="250" fillId="0" borderId="1597" applyFill="0" applyProtection="0">
      <alignment horizontal="center"/>
    </xf>
    <xf numFmtId="246" fontId="249" fillId="0" borderId="1597" applyFill="0" applyProtection="0">
      <alignment horizontal="center"/>
    </xf>
    <xf numFmtId="0" fontId="241" fillId="94" borderId="1597" applyBorder="0" applyProtection="0">
      <alignment horizontal="centerContinuous" vertical="center"/>
    </xf>
    <xf numFmtId="254" fontId="240" fillId="0" borderId="1597" applyBorder="0" applyProtection="0">
      <alignment horizontal="right" vertical="center"/>
    </xf>
    <xf numFmtId="0" fontId="210" fillId="0" borderId="1597" applyNumberFormat="0" applyFill="0" applyBorder="0" applyAlignment="0">
      <protection locked="0"/>
    </xf>
    <xf numFmtId="264" fontId="12" fillId="14" borderId="1597" applyFont="0" applyFill="0" applyBorder="0" applyAlignment="0" applyProtection="0">
      <alignment horizontal="right"/>
    </xf>
    <xf numFmtId="0" fontId="166" fillId="0" borderId="1597">
      <alignment horizontal="center"/>
    </xf>
    <xf numFmtId="0" fontId="165" fillId="0" borderId="1597" applyFill="0" applyProtection="0">
      <alignment horizontal="center"/>
    </xf>
    <xf numFmtId="186" fontId="146" fillId="3" borderId="1597" applyBorder="0">
      <alignment horizontal="left" vertical="center"/>
    </xf>
    <xf numFmtId="180" fontId="9" fillId="3" borderId="1597">
      <alignment horizontal="right" vertical="center"/>
    </xf>
    <xf numFmtId="192" fontId="9" fillId="3" borderId="1597">
      <alignment horizontal="right" vertical="center"/>
    </xf>
    <xf numFmtId="248" fontId="46" fillId="0" borderId="1597"/>
    <xf numFmtId="0" fontId="12" fillId="0" borderId="1597" applyNumberFormat="0" applyFill="0" applyBorder="0" applyAlignment="0" applyProtection="0">
      <alignment horizontal="center"/>
    </xf>
    <xf numFmtId="0" fontId="113" fillId="0" borderId="1597" applyNumberFormat="0" applyFill="0" applyAlignment="0" applyProtection="0"/>
    <xf numFmtId="222" fontId="79" fillId="0" borderId="1596" applyBorder="0"/>
    <xf numFmtId="0" fontId="101" fillId="0" borderId="1597" applyBorder="0"/>
    <xf numFmtId="0" fontId="25" fillId="10" borderId="1604" applyNumberFormat="0" applyProtection="0">
      <alignment horizontal="left" vertical="top"/>
    </xf>
    <xf numFmtId="0" fontId="25" fillId="10" borderId="1605" applyNumberFormat="0" applyProtection="0">
      <alignment horizontal="left" vertical="top"/>
    </xf>
    <xf numFmtId="0" fontId="25" fillId="10" borderId="1606" applyNumberFormat="0" applyProtection="0">
      <alignment horizontal="left" vertical="top"/>
    </xf>
    <xf numFmtId="0" fontId="25" fillId="10" borderId="1607" applyNumberFormat="0" applyProtection="0">
      <alignment horizontal="left" vertical="top"/>
    </xf>
    <xf numFmtId="222" fontId="79" fillId="0" borderId="1608" applyBorder="0"/>
    <xf numFmtId="0" fontId="101" fillId="0" borderId="1609" applyBorder="0"/>
    <xf numFmtId="222" fontId="79" fillId="0" borderId="1608" applyBorder="0"/>
    <xf numFmtId="0" fontId="113" fillId="0" borderId="1609" applyNumberFormat="0" applyFill="0" applyAlignment="0" applyProtection="0"/>
    <xf numFmtId="0" fontId="12" fillId="0" borderId="1609" applyNumberFormat="0" applyFill="0" applyBorder="0" applyAlignment="0" applyProtection="0">
      <alignment horizontal="center"/>
    </xf>
    <xf numFmtId="248" fontId="46" fillId="0" borderId="1609"/>
    <xf numFmtId="192" fontId="9" fillId="3" borderId="1609">
      <alignment horizontal="right" vertical="center"/>
    </xf>
    <xf numFmtId="180" fontId="9" fillId="3" borderId="1609">
      <alignment horizontal="right" vertical="center"/>
    </xf>
    <xf numFmtId="186" fontId="146" fillId="3" borderId="1609" applyBorder="0">
      <alignment horizontal="left" vertical="center"/>
    </xf>
    <xf numFmtId="0" fontId="165" fillId="0" borderId="1609" applyFill="0" applyProtection="0">
      <alignment horizontal="center"/>
    </xf>
    <xf numFmtId="0" fontId="166" fillId="0" borderId="1609">
      <alignment horizontal="center"/>
    </xf>
    <xf numFmtId="264" fontId="12" fillId="14" borderId="1609" applyFont="0" applyFill="0" applyBorder="0" applyAlignment="0" applyProtection="0">
      <alignment horizontal="right"/>
    </xf>
    <xf numFmtId="0" fontId="210" fillId="0" borderId="1609" applyNumberFormat="0" applyFill="0" applyBorder="0" applyAlignment="0">
      <protection locked="0"/>
    </xf>
    <xf numFmtId="254" fontId="240" fillId="0" borderId="1609" applyBorder="0" applyProtection="0">
      <alignment horizontal="right" vertical="center"/>
    </xf>
    <xf numFmtId="0" fontId="241" fillId="94" borderId="1609" applyBorder="0" applyProtection="0">
      <alignment horizontal="centerContinuous" vertical="center"/>
    </xf>
    <xf numFmtId="246" fontId="249" fillId="0" borderId="1609" applyFill="0" applyProtection="0">
      <alignment horizontal="center"/>
    </xf>
    <xf numFmtId="246" fontId="250" fillId="0" borderId="1609" applyFill="0" applyProtection="0">
      <alignment horizontal="center"/>
    </xf>
    <xf numFmtId="0" fontId="78" fillId="14" borderId="1611" applyFont="0" applyFill="0" applyBorder="0" applyAlignment="0" applyProtection="0"/>
    <xf numFmtId="0" fontId="25" fillId="10" borderId="1619" applyNumberFormat="0" applyProtection="0">
      <alignment horizontal="left" vertical="top"/>
    </xf>
    <xf numFmtId="0" fontId="25" fillId="10" borderId="1618" applyNumberFormat="0" applyProtection="0">
      <alignment horizontal="left" vertical="top"/>
    </xf>
    <xf numFmtId="0" fontId="25" fillId="10" borderId="1617" applyNumberFormat="0" applyProtection="0">
      <alignment horizontal="left" vertical="top"/>
    </xf>
    <xf numFmtId="0" fontId="25" fillId="10" borderId="1616" applyNumberFormat="0" applyProtection="0">
      <alignment horizontal="left" vertical="top"/>
    </xf>
    <xf numFmtId="0" fontId="214" fillId="0" borderId="1615" applyNumberFormat="0" applyFont="0" applyFill="0" applyAlignment="0" applyProtection="0"/>
    <xf numFmtId="0" fontId="2" fillId="0" borderId="1614" applyNumberFormat="0" applyAlignment="0" applyProtection="0"/>
    <xf numFmtId="186" fontId="140" fillId="3" borderId="1613">
      <alignment horizontal="center" vertical="center"/>
    </xf>
    <xf numFmtId="186" fontId="146" fillId="3" borderId="1612">
      <alignment horizontal="left"/>
    </xf>
    <xf numFmtId="0" fontId="75" fillId="0" borderId="1610" applyNumberFormat="0" applyFont="0" applyFill="0" applyAlignment="0" applyProtection="0"/>
    <xf numFmtId="222" fontId="79" fillId="0" borderId="1620" applyBorder="0"/>
    <xf numFmtId="0" fontId="101" fillId="0" borderId="1621" applyBorder="0"/>
    <xf numFmtId="222" fontId="79" fillId="0" borderId="1620" applyBorder="0"/>
    <xf numFmtId="0" fontId="113" fillId="0" borderId="1621" applyNumberFormat="0" applyFill="0" applyAlignment="0" applyProtection="0"/>
    <xf numFmtId="0" fontId="12" fillId="0" borderId="1621" applyNumberFormat="0" applyFill="0" applyBorder="0" applyAlignment="0" applyProtection="0">
      <alignment horizontal="center"/>
    </xf>
    <xf numFmtId="248" fontId="46" fillId="0" borderId="1621"/>
    <xf numFmtId="192" fontId="9" fillId="3" borderId="1621">
      <alignment horizontal="right" vertical="center"/>
    </xf>
    <xf numFmtId="180" fontId="9" fillId="3" borderId="1621">
      <alignment horizontal="right" vertical="center"/>
    </xf>
    <xf numFmtId="186" fontId="146" fillId="3" borderId="1621" applyBorder="0">
      <alignment horizontal="left" vertical="center"/>
    </xf>
    <xf numFmtId="0" fontId="165" fillId="0" borderId="1621" applyFill="0" applyProtection="0">
      <alignment horizontal="center"/>
    </xf>
    <xf numFmtId="0" fontId="166" fillId="0" borderId="1621">
      <alignment horizontal="center"/>
    </xf>
    <xf numFmtId="264" fontId="12" fillId="14" borderId="1621" applyFont="0" applyFill="0" applyBorder="0" applyAlignment="0" applyProtection="0">
      <alignment horizontal="right"/>
    </xf>
    <xf numFmtId="0" fontId="210" fillId="0" borderId="1621" applyNumberFormat="0" applyFill="0" applyBorder="0" applyAlignment="0">
      <protection locked="0"/>
    </xf>
    <xf numFmtId="254" fontId="240" fillId="0" borderId="1621" applyBorder="0" applyProtection="0">
      <alignment horizontal="right" vertical="center"/>
    </xf>
    <xf numFmtId="0" fontId="241" fillId="94" borderId="1621" applyBorder="0" applyProtection="0">
      <alignment horizontal="centerContinuous" vertical="center"/>
    </xf>
    <xf numFmtId="246" fontId="249" fillId="0" borderId="1621" applyFill="0" applyProtection="0">
      <alignment horizontal="center"/>
    </xf>
    <xf numFmtId="246" fontId="250" fillId="0" borderId="1621" applyFill="0" applyProtection="0">
      <alignment horizontal="center"/>
    </xf>
    <xf numFmtId="186" fontId="146" fillId="3" borderId="1624">
      <alignment horizontal="left"/>
    </xf>
    <xf numFmtId="0" fontId="75" fillId="0" borderId="1622" applyNumberFormat="0" applyFont="0" applyFill="0" applyAlignment="0" applyProtection="0"/>
    <xf numFmtId="0" fontId="113" fillId="0" borderId="1705" applyNumberFormat="0" applyFill="0" applyAlignment="0" applyProtection="0"/>
    <xf numFmtId="264" fontId="12" fillId="14" borderId="1705" applyFont="0" applyFill="0" applyBorder="0" applyAlignment="0" applyProtection="0">
      <alignment horizontal="right"/>
    </xf>
    <xf numFmtId="246" fontId="249" fillId="0" borderId="1705" applyFill="0" applyProtection="0">
      <alignment horizontal="center"/>
    </xf>
    <xf numFmtId="0" fontId="25" fillId="10" borderId="1631" applyNumberFormat="0" applyProtection="0">
      <alignment horizontal="left" vertical="top"/>
    </xf>
    <xf numFmtId="0" fontId="25" fillId="10" borderId="1629" applyNumberFormat="0" applyProtection="0">
      <alignment horizontal="left" vertical="top"/>
    </xf>
    <xf numFmtId="0" fontId="25" fillId="10" borderId="1630" applyNumberFormat="0" applyProtection="0">
      <alignment horizontal="left" vertical="top"/>
    </xf>
    <xf numFmtId="0" fontId="25" fillId="10" borderId="1628" applyNumberFormat="0" applyProtection="0">
      <alignment horizontal="left" vertical="top"/>
    </xf>
    <xf numFmtId="0" fontId="25" fillId="10" borderId="1631" applyNumberFormat="0" applyProtection="0">
      <alignment horizontal="left" vertical="top"/>
    </xf>
    <xf numFmtId="0" fontId="25" fillId="10" borderId="1630" applyNumberFormat="0" applyProtection="0">
      <alignment horizontal="left" vertical="top"/>
    </xf>
    <xf numFmtId="0" fontId="25" fillId="10" borderId="1629" applyNumberFormat="0" applyProtection="0">
      <alignment horizontal="left" vertical="top"/>
    </xf>
    <xf numFmtId="0" fontId="25" fillId="10" borderId="1628" applyNumberFormat="0" applyProtection="0">
      <alignment horizontal="left" vertical="top"/>
    </xf>
    <xf numFmtId="0" fontId="214" fillId="0" borderId="1627" applyNumberFormat="0" applyFont="0" applyFill="0" applyAlignment="0" applyProtection="0"/>
    <xf numFmtId="0" fontId="2" fillId="0" borderId="1626" applyNumberFormat="0" applyAlignment="0" applyProtection="0"/>
    <xf numFmtId="186" fontId="140" fillId="3" borderId="1625">
      <alignment horizontal="center" vertical="center"/>
    </xf>
    <xf numFmtId="186" fontId="140" fillId="3" borderId="1637">
      <alignment horizontal="center" vertical="center"/>
    </xf>
    <xf numFmtId="0" fontId="25" fillId="10" borderId="1640" applyNumberFormat="0" applyProtection="0">
      <alignment horizontal="left" vertical="top"/>
    </xf>
    <xf numFmtId="0" fontId="12" fillId="0" borderId="1705" applyNumberFormat="0" applyFill="0" applyBorder="0" applyAlignment="0" applyProtection="0">
      <alignment horizontal="center"/>
    </xf>
    <xf numFmtId="0" fontId="25" fillId="10" borderId="1702" applyNumberFormat="0" applyProtection="0">
      <alignment horizontal="left" vertical="top"/>
    </xf>
    <xf numFmtId="222" fontId="79" fillId="0" borderId="1692" applyBorder="0"/>
    <xf numFmtId="0" fontId="78" fillId="14" borderId="1695" applyFont="0" applyFill="0" applyBorder="0" applyAlignment="0" applyProtection="0"/>
    <xf numFmtId="222" fontId="79" fillId="0" borderId="1704" applyBorder="0"/>
    <xf numFmtId="0" fontId="101" fillId="0" borderId="1705" applyBorder="0"/>
    <xf numFmtId="222" fontId="79" fillId="0" borderId="1704" applyBorder="0"/>
    <xf numFmtId="248" fontId="46" fillId="0" borderId="1705"/>
    <xf numFmtId="192" fontId="9" fillId="3" borderId="1705">
      <alignment horizontal="right" vertical="center"/>
    </xf>
    <xf numFmtId="180" fontId="9" fillId="3" borderId="1705">
      <alignment horizontal="right" vertical="center"/>
    </xf>
    <xf numFmtId="186" fontId="146" fillId="3" borderId="1705" applyBorder="0">
      <alignment horizontal="left" vertical="center"/>
    </xf>
    <xf numFmtId="0" fontId="165" fillId="0" borderId="1705" applyFill="0" applyProtection="0">
      <alignment horizontal="center"/>
    </xf>
    <xf numFmtId="0" fontId="210" fillId="0" borderId="1705" applyNumberFormat="0" applyFill="0" applyBorder="0" applyAlignment="0">
      <protection locked="0"/>
    </xf>
    <xf numFmtId="254" fontId="240" fillId="0" borderId="1705" applyBorder="0" applyProtection="0">
      <alignment horizontal="right" vertical="center"/>
    </xf>
    <xf numFmtId="246" fontId="250" fillId="0" borderId="1705" applyFill="0" applyProtection="0">
      <alignment horizontal="center"/>
    </xf>
    <xf numFmtId="222" fontId="79" fillId="0" borderId="1644" applyBorder="0"/>
    <xf numFmtId="0" fontId="25" fillId="10" borderId="1641" applyNumberFormat="0" applyProtection="0">
      <alignment horizontal="left" vertical="top"/>
    </xf>
    <xf numFmtId="0" fontId="25" fillId="10" borderId="1643" applyNumberFormat="0" applyProtection="0">
      <alignment horizontal="left" vertical="top"/>
    </xf>
    <xf numFmtId="0" fontId="25" fillId="10" borderId="1640" applyNumberFormat="0" applyProtection="0">
      <alignment horizontal="left" vertical="top"/>
    </xf>
    <xf numFmtId="0" fontId="25" fillId="10" borderId="1641" applyNumberFormat="0" applyProtection="0">
      <alignment horizontal="left" vertical="top"/>
    </xf>
    <xf numFmtId="0" fontId="25" fillId="10" borderId="1642" applyNumberFormat="0" applyProtection="0">
      <alignment horizontal="left" vertical="top"/>
    </xf>
    <xf numFmtId="0" fontId="75" fillId="0" borderId="1646" applyNumberFormat="0" applyFont="0" applyFill="0" applyAlignment="0" applyProtection="0"/>
    <xf numFmtId="0" fontId="101" fillId="0" borderId="1657" applyBorder="0"/>
    <xf numFmtId="222" fontId="79" fillId="0" borderId="1656" applyBorder="0"/>
    <xf numFmtId="0" fontId="113" fillId="0" borderId="1657" applyNumberFormat="0" applyFill="0" applyAlignment="0" applyProtection="0"/>
    <xf numFmtId="0" fontId="12" fillId="0" borderId="1657" applyNumberFormat="0" applyFill="0" applyBorder="0" applyAlignment="0" applyProtection="0">
      <alignment horizontal="center"/>
    </xf>
    <xf numFmtId="248" fontId="46" fillId="0" borderId="1657"/>
    <xf numFmtId="192" fontId="9" fillId="3" borderId="1657">
      <alignment horizontal="right" vertical="center"/>
    </xf>
    <xf numFmtId="180" fontId="9" fillId="3" borderId="1657">
      <alignment horizontal="right" vertical="center"/>
    </xf>
    <xf numFmtId="186" fontId="146" fillId="3" borderId="1657" applyBorder="0">
      <alignment horizontal="left" vertical="center"/>
    </xf>
    <xf numFmtId="0" fontId="166" fillId="0" borderId="1657">
      <alignment horizontal="center"/>
    </xf>
    <xf numFmtId="0" fontId="210" fillId="0" borderId="1657" applyNumberFormat="0" applyFill="0" applyBorder="0" applyAlignment="0">
      <protection locked="0"/>
    </xf>
    <xf numFmtId="264" fontId="12" fillId="14" borderId="1657" applyFont="0" applyFill="0" applyBorder="0" applyAlignment="0" applyProtection="0">
      <alignment horizontal="right"/>
    </xf>
    <xf numFmtId="246" fontId="249" fillId="0" borderId="1657" applyFill="0" applyProtection="0">
      <alignment horizontal="center"/>
    </xf>
    <xf numFmtId="246" fontId="250" fillId="0" borderId="1657" applyFill="0" applyProtection="0">
      <alignment horizontal="center"/>
    </xf>
    <xf numFmtId="246" fontId="250" fillId="0" borderId="1681" applyFill="0" applyProtection="0">
      <alignment horizontal="center"/>
    </xf>
    <xf numFmtId="246" fontId="249" fillId="0" borderId="1681" applyFill="0" applyProtection="0">
      <alignment horizontal="center"/>
    </xf>
    <xf numFmtId="254" fontId="240" fillId="0" borderId="1681" applyBorder="0" applyProtection="0">
      <alignment horizontal="right" vertical="center"/>
    </xf>
    <xf numFmtId="264" fontId="12" fillId="14" borderId="1681" applyFont="0" applyFill="0" applyBorder="0" applyAlignment="0" applyProtection="0">
      <alignment horizontal="right"/>
    </xf>
    <xf numFmtId="0" fontId="165" fillId="0" borderId="1681" applyFill="0" applyProtection="0">
      <alignment horizontal="center"/>
    </xf>
    <xf numFmtId="180" fontId="9" fillId="3" borderId="1681">
      <alignment horizontal="right" vertical="center"/>
    </xf>
    <xf numFmtId="0" fontId="12" fillId="0" borderId="1681" applyNumberFormat="0" applyFill="0" applyBorder="0" applyAlignment="0" applyProtection="0">
      <alignment horizontal="center"/>
    </xf>
    <xf numFmtId="0" fontId="101" fillId="0" borderId="1681" applyBorder="0"/>
    <xf numFmtId="222" fontId="79" fillId="0" borderId="1680" applyBorder="0"/>
    <xf numFmtId="0" fontId="75" fillId="0" borderId="1670" applyNumberFormat="0" applyFont="0" applyFill="0" applyAlignment="0" applyProtection="0"/>
    <xf numFmtId="0" fontId="2" fillId="0" borderId="1674" applyNumberFormat="0" applyAlignment="0" applyProtection="0"/>
    <xf numFmtId="0" fontId="25" fillId="10" borderId="1676" applyNumberFormat="0" applyProtection="0">
      <alignment horizontal="left" vertical="top"/>
    </xf>
    <xf numFmtId="0" fontId="25" fillId="10" borderId="1679" applyNumberFormat="0" applyProtection="0">
      <alignment horizontal="left" vertical="top"/>
    </xf>
    <xf numFmtId="222" fontId="79" fillId="0" borderId="1668" applyBorder="0"/>
    <xf numFmtId="0" fontId="25" fillId="10" borderId="1654" applyNumberFormat="0" applyProtection="0">
      <alignment horizontal="left" vertical="top"/>
    </xf>
    <xf numFmtId="0" fontId="25" fillId="10" borderId="1652" applyNumberFormat="0" applyProtection="0">
      <alignment horizontal="left" vertical="top"/>
    </xf>
    <xf numFmtId="0" fontId="214" fillId="0" borderId="1651" applyNumberFormat="0" applyFont="0" applyFill="0" applyAlignment="0" applyProtection="0"/>
    <xf numFmtId="186" fontId="146" fillId="3" borderId="1648">
      <alignment horizontal="left"/>
    </xf>
    <xf numFmtId="222" fontId="79" fillId="0" borderId="1656" applyBorder="0"/>
    <xf numFmtId="0" fontId="101" fillId="0" borderId="1537" applyBorder="0"/>
    <xf numFmtId="0" fontId="113" fillId="0" borderId="1537" applyNumberFormat="0" applyFill="0" applyAlignment="0" applyProtection="0"/>
    <xf numFmtId="0" fontId="12" fillId="0" borderId="1537" applyNumberFormat="0" applyFill="0" applyBorder="0" applyAlignment="0" applyProtection="0">
      <alignment horizontal="center"/>
    </xf>
    <xf numFmtId="248" fontId="46" fillId="0" borderId="1537"/>
    <xf numFmtId="192" fontId="9" fillId="3" borderId="1537">
      <alignment horizontal="right" vertical="center"/>
    </xf>
    <xf numFmtId="180" fontId="9" fillId="3" borderId="1537">
      <alignment horizontal="right" vertical="center"/>
    </xf>
    <xf numFmtId="186" fontId="146" fillId="3" borderId="1537" applyBorder="0">
      <alignment horizontal="left" vertical="center"/>
    </xf>
    <xf numFmtId="0" fontId="165" fillId="0" borderId="1537" applyFill="0" applyProtection="0">
      <alignment horizontal="center"/>
    </xf>
    <xf numFmtId="0" fontId="166" fillId="0" borderId="1537">
      <alignment horizontal="center"/>
    </xf>
    <xf numFmtId="264" fontId="12" fillId="14" borderId="1537" applyFont="0" applyFill="0" applyBorder="0" applyAlignment="0" applyProtection="0">
      <alignment horizontal="right"/>
    </xf>
    <xf numFmtId="0" fontId="210" fillId="0" borderId="1537" applyNumberFormat="0" applyFill="0" applyBorder="0" applyAlignment="0">
      <protection locked="0"/>
    </xf>
    <xf numFmtId="248" fontId="46" fillId="0" borderId="1681"/>
    <xf numFmtId="222" fontId="79" fillId="0" borderId="1680" applyBorder="0"/>
    <xf numFmtId="186" fontId="140" fillId="3" borderId="1673">
      <alignment horizontal="center" vertical="center"/>
    </xf>
    <xf numFmtId="0" fontId="25" fillId="10" borderId="1678" applyNumberFormat="0" applyProtection="0">
      <alignment horizontal="left" vertical="top"/>
    </xf>
    <xf numFmtId="0" fontId="210" fillId="0" borderId="1681" applyNumberFormat="0" applyFill="0" applyBorder="0" applyAlignment="0">
      <protection locked="0"/>
    </xf>
    <xf numFmtId="192" fontId="9" fillId="3" borderId="1681">
      <alignment horizontal="right" vertical="center"/>
    </xf>
    <xf numFmtId="0" fontId="113" fillId="0" borderId="1681" applyNumberFormat="0" applyFill="0" applyAlignment="0" applyProtection="0"/>
    <xf numFmtId="186" fontId="146" fillId="3" borderId="1672">
      <alignment horizontal="left"/>
    </xf>
    <xf numFmtId="0" fontId="25" fillId="10" borderId="1677" applyNumberFormat="0" applyProtection="0">
      <alignment horizontal="left" vertical="top"/>
    </xf>
    <xf numFmtId="254" fontId="240" fillId="0" borderId="1537" applyBorder="0" applyProtection="0">
      <alignment horizontal="right" vertical="center"/>
    </xf>
    <xf numFmtId="0" fontId="241" fillId="94" borderId="1537" applyBorder="0" applyProtection="0">
      <alignment horizontal="centerContinuous" vertical="center"/>
    </xf>
    <xf numFmtId="246" fontId="249" fillId="0" borderId="1537" applyFill="0" applyProtection="0">
      <alignment horizontal="center"/>
    </xf>
    <xf numFmtId="246" fontId="250" fillId="0" borderId="1537" applyFill="0" applyProtection="0">
      <alignment horizontal="center"/>
    </xf>
    <xf numFmtId="0" fontId="25" fillId="10" borderId="1701" applyNumberFormat="0" applyProtection="0">
      <alignment horizontal="left" vertical="top"/>
    </xf>
    <xf numFmtId="0" fontId="25" fillId="10" borderId="1703" applyNumberFormat="0" applyProtection="0">
      <alignment horizontal="left" vertical="top"/>
    </xf>
    <xf numFmtId="222" fontId="79" fillId="0" borderId="1632" applyBorder="0"/>
    <xf numFmtId="0" fontId="214" fillId="0" borderId="1699" applyNumberFormat="0" applyFont="0" applyFill="0" applyAlignment="0" applyProtection="0"/>
    <xf numFmtId="0" fontId="75" fillId="0" borderId="1634" applyNumberFormat="0" applyFont="0" applyFill="0" applyAlignment="0" applyProtection="0"/>
    <xf numFmtId="0" fontId="25" fillId="10" borderId="1642" applyNumberFormat="0" applyProtection="0">
      <alignment horizontal="left" vertical="top"/>
    </xf>
    <xf numFmtId="0" fontId="25" fillId="10" borderId="1643" applyNumberFormat="0" applyProtection="0">
      <alignment horizontal="left" vertical="top"/>
    </xf>
    <xf numFmtId="0" fontId="165" fillId="0" borderId="1657" applyFill="0" applyProtection="0">
      <alignment horizontal="center"/>
    </xf>
    <xf numFmtId="254" fontId="240" fillId="0" borderId="1657" applyBorder="0" applyProtection="0">
      <alignment horizontal="right" vertical="center"/>
    </xf>
    <xf numFmtId="0" fontId="241" fillId="94" borderId="1657" applyBorder="0" applyProtection="0">
      <alignment horizontal="centerContinuous" vertical="center"/>
    </xf>
    <xf numFmtId="0" fontId="241" fillId="94" borderId="1681" applyBorder="0" applyProtection="0">
      <alignment horizontal="centerContinuous" vertical="center"/>
    </xf>
    <xf numFmtId="0" fontId="166" fillId="0" borderId="1681">
      <alignment horizontal="center"/>
    </xf>
    <xf numFmtId="186" fontId="146" fillId="3" borderId="1681" applyBorder="0">
      <alignment horizontal="left" vertical="center"/>
    </xf>
    <xf numFmtId="0" fontId="214" fillId="0" borderId="1675" applyNumberFormat="0" applyFont="0" applyFill="0" applyAlignment="0" applyProtection="0"/>
    <xf numFmtId="0" fontId="78" fillId="14" borderId="1671" applyFont="0" applyFill="0" applyBorder="0" applyAlignment="0" applyProtection="0"/>
    <xf numFmtId="0" fontId="78" fillId="14" borderId="1599" applyFont="0" applyFill="0" applyBorder="0" applyAlignment="0" applyProtection="0"/>
    <xf numFmtId="0" fontId="25" fillId="10" borderId="1547" applyNumberFormat="0" applyProtection="0">
      <alignment horizontal="left" vertical="top"/>
    </xf>
    <xf numFmtId="0" fontId="25" fillId="10" borderId="1546" applyNumberFormat="0" applyProtection="0">
      <alignment horizontal="left" vertical="top"/>
    </xf>
    <xf numFmtId="0" fontId="25" fillId="10" borderId="1545" applyNumberFormat="0" applyProtection="0">
      <alignment horizontal="left" vertical="top"/>
    </xf>
    <xf numFmtId="0" fontId="25" fillId="10" borderId="1544" applyNumberFormat="0" applyProtection="0">
      <alignment horizontal="left" vertical="top"/>
    </xf>
    <xf numFmtId="186" fontId="140" fillId="3" borderId="1697">
      <alignment horizontal="center" vertical="center"/>
    </xf>
    <xf numFmtId="0" fontId="214" fillId="0" borderId="1543" applyNumberFormat="0" applyFont="0" applyFill="0" applyAlignment="0" applyProtection="0"/>
    <xf numFmtId="0" fontId="2" fillId="0" borderId="1542" applyNumberFormat="0" applyAlignment="0" applyProtection="0"/>
    <xf numFmtId="186" fontId="140" fillId="3" borderId="1541">
      <alignment horizontal="center" vertical="center"/>
    </xf>
    <xf numFmtId="186" fontId="146" fillId="3" borderId="1540">
      <alignment horizontal="left"/>
    </xf>
    <xf numFmtId="186" fontId="146" fillId="3" borderId="1696">
      <alignment horizontal="left"/>
    </xf>
    <xf numFmtId="0" fontId="75" fillId="0" borderId="1538" applyNumberFormat="0" applyFont="0" applyFill="0" applyAlignment="0" applyProtection="0"/>
    <xf numFmtId="0" fontId="75" fillId="0" borderId="1694" applyNumberFormat="0" applyFont="0" applyFill="0" applyAlignment="0" applyProtection="0"/>
    <xf numFmtId="222" fontId="79" fillId="0" borderId="1608" applyBorder="0"/>
    <xf numFmtId="222" fontId="79" fillId="0" borderId="1608" applyBorder="0"/>
    <xf numFmtId="0" fontId="25" fillId="10" borderId="1700" applyNumberFormat="0" applyProtection="0">
      <alignment horizontal="left" vertical="top"/>
    </xf>
    <xf numFmtId="0" fontId="2" fillId="0" borderId="1698" applyNumberFormat="0" applyAlignment="0" applyProtection="0"/>
    <xf numFmtId="246" fontId="250" fillId="0" borderId="1633" applyFill="0" applyProtection="0">
      <alignment horizontal="center"/>
    </xf>
    <xf numFmtId="246" fontId="249" fillId="0" borderId="1633" applyFill="0" applyProtection="0">
      <alignment horizontal="center"/>
    </xf>
    <xf numFmtId="0" fontId="241" fillId="94" borderId="1633" applyBorder="0" applyProtection="0">
      <alignment horizontal="centerContinuous" vertical="center"/>
    </xf>
    <xf numFmtId="254" fontId="240" fillId="0" borderId="1633" applyBorder="0" applyProtection="0">
      <alignment horizontal="right" vertical="center"/>
    </xf>
    <xf numFmtId="0" fontId="210" fillId="0" borderId="1633" applyNumberFormat="0" applyFill="0" applyBorder="0" applyAlignment="0">
      <protection locked="0"/>
    </xf>
    <xf numFmtId="264" fontId="12" fillId="14" borderId="1633" applyFont="0" applyFill="0" applyBorder="0" applyAlignment="0" applyProtection="0">
      <alignment horizontal="right"/>
    </xf>
    <xf numFmtId="0" fontId="166" fillId="0" borderId="1633">
      <alignment horizontal="center"/>
    </xf>
    <xf numFmtId="0" fontId="165" fillId="0" borderId="1633" applyFill="0" applyProtection="0">
      <alignment horizontal="center"/>
    </xf>
    <xf numFmtId="186" fontId="146" fillId="3" borderId="1633" applyBorder="0">
      <alignment horizontal="left" vertical="center"/>
    </xf>
    <xf numFmtId="180" fontId="9" fillId="3" borderId="1633">
      <alignment horizontal="right" vertical="center"/>
    </xf>
    <xf numFmtId="192" fontId="9" fillId="3" borderId="1633">
      <alignment horizontal="right" vertical="center"/>
    </xf>
    <xf numFmtId="248" fontId="46" fillId="0" borderId="1633"/>
    <xf numFmtId="0" fontId="12" fillId="0" borderId="1633" applyNumberFormat="0" applyFill="0" applyBorder="0" applyAlignment="0" applyProtection="0">
      <alignment horizontal="center"/>
    </xf>
    <xf numFmtId="0" fontId="113" fillId="0" borderId="1633" applyNumberFormat="0" applyFill="0" applyAlignment="0" applyProtection="0"/>
    <xf numFmtId="222" fontId="79" fillId="0" borderId="1632" applyBorder="0"/>
    <xf numFmtId="0" fontId="101" fillId="0" borderId="1633" applyBorder="0"/>
    <xf numFmtId="222" fontId="79" fillId="0" borderId="1632" applyBorder="0"/>
    <xf numFmtId="0" fontId="75" fillId="0" borderId="1622" applyNumberFormat="0" applyFont="0" applyFill="0" applyAlignment="0" applyProtection="0"/>
    <xf numFmtId="186" fontId="146" fillId="3" borderId="1624">
      <alignment horizontal="left"/>
    </xf>
    <xf numFmtId="186" fontId="140" fillId="3" borderId="1625">
      <alignment horizontal="center" vertical="center"/>
    </xf>
    <xf numFmtId="0" fontId="2" fillId="0" borderId="1626" applyNumberFormat="0" applyAlignment="0" applyProtection="0"/>
    <xf numFmtId="0" fontId="214" fillId="0" borderId="1627" applyNumberFormat="0" applyFont="0" applyFill="0" applyAlignment="0" applyProtection="0"/>
    <xf numFmtId="0" fontId="25" fillId="10" borderId="1628" applyNumberFormat="0" applyProtection="0">
      <alignment horizontal="left" vertical="top"/>
    </xf>
    <xf numFmtId="0" fontId="25" fillId="10" borderId="1629" applyNumberFormat="0" applyProtection="0">
      <alignment horizontal="left" vertical="top"/>
    </xf>
    <xf numFmtId="0" fontId="25" fillId="10" borderId="1630" applyNumberFormat="0" applyProtection="0">
      <alignment horizontal="left" vertical="top"/>
    </xf>
    <xf numFmtId="0" fontId="25" fillId="10" borderId="1631" applyNumberFormat="0" applyProtection="0">
      <alignment horizontal="left" vertical="top"/>
    </xf>
    <xf numFmtId="0" fontId="78" fillId="14" borderId="1623" applyFont="0" applyFill="0" applyBorder="0" applyAlignment="0" applyProtection="0"/>
    <xf numFmtId="222" fontId="79" fillId="0" borderId="1620" applyBorder="0"/>
    <xf numFmtId="0" fontId="78" fillId="14" borderId="1599" applyFont="0" applyFill="0" applyBorder="0" applyAlignment="0" applyProtection="0"/>
    <xf numFmtId="222" fontId="79" fillId="0" borderId="1608" applyBorder="0"/>
    <xf numFmtId="0" fontId="78" fillId="14" borderId="1611" applyFont="0" applyFill="0" applyBorder="0" applyAlignment="0" applyProtection="0"/>
    <xf numFmtId="0" fontId="25" fillId="10" borderId="1619" applyNumberFormat="0" applyProtection="0">
      <alignment horizontal="left" vertical="top"/>
    </xf>
    <xf numFmtId="0" fontId="25" fillId="10" borderId="1618" applyNumberFormat="0" applyProtection="0">
      <alignment horizontal="left" vertical="top"/>
    </xf>
    <xf numFmtId="0" fontId="25" fillId="10" borderId="1617" applyNumberFormat="0" applyProtection="0">
      <alignment horizontal="left" vertical="top"/>
    </xf>
    <xf numFmtId="0" fontId="25" fillId="10" borderId="1616" applyNumberFormat="0" applyProtection="0">
      <alignment horizontal="left" vertical="top"/>
    </xf>
    <xf numFmtId="0" fontId="214" fillId="0" borderId="1615" applyNumberFormat="0" applyFont="0" applyFill="0" applyAlignment="0" applyProtection="0"/>
    <xf numFmtId="0" fontId="2" fillId="0" borderId="1542" applyNumberFormat="0" applyAlignment="0" applyProtection="0"/>
    <xf numFmtId="186" fontId="140" fillId="3" borderId="1613">
      <alignment horizontal="center" vertical="center"/>
    </xf>
    <xf numFmtId="186" fontId="146" fillId="3" borderId="1612">
      <alignment horizontal="left"/>
    </xf>
    <xf numFmtId="0" fontId="75" fillId="0" borderId="1610" applyNumberFormat="0" applyFont="0" applyFill="0" applyAlignment="0" applyProtection="0"/>
    <xf numFmtId="222" fontId="79" fillId="0" borderId="1620" applyBorder="0"/>
    <xf numFmtId="0" fontId="101" fillId="0" borderId="1621" applyBorder="0"/>
    <xf numFmtId="222" fontId="79" fillId="0" borderId="1620" applyBorder="0"/>
    <xf numFmtId="0" fontId="113" fillId="0" borderId="1621" applyNumberFormat="0" applyFill="0" applyAlignment="0" applyProtection="0"/>
    <xf numFmtId="0" fontId="12" fillId="0" borderId="1621" applyNumberFormat="0" applyFill="0" applyBorder="0" applyAlignment="0" applyProtection="0">
      <alignment horizontal="center"/>
    </xf>
    <xf numFmtId="248" fontId="46" fillId="0" borderId="1621"/>
    <xf numFmtId="192" fontId="9" fillId="3" borderId="1621">
      <alignment horizontal="right" vertical="center"/>
    </xf>
    <xf numFmtId="180" fontId="9" fillId="3" borderId="1621">
      <alignment horizontal="right" vertical="center"/>
    </xf>
    <xf numFmtId="186" fontId="146" fillId="3" borderId="1621" applyBorder="0">
      <alignment horizontal="left" vertical="center"/>
    </xf>
    <xf numFmtId="0" fontId="165" fillId="0" borderId="1621" applyFill="0" applyProtection="0">
      <alignment horizontal="center"/>
    </xf>
    <xf numFmtId="0" fontId="166" fillId="0" borderId="1621">
      <alignment horizontal="center"/>
    </xf>
    <xf numFmtId="264" fontId="12" fillId="14" borderId="1621" applyFont="0" applyFill="0" applyBorder="0" applyAlignment="0" applyProtection="0">
      <alignment horizontal="right"/>
    </xf>
    <xf numFmtId="0" fontId="210" fillId="0" borderId="1621" applyNumberFormat="0" applyFill="0" applyBorder="0" applyAlignment="0">
      <protection locked="0"/>
    </xf>
    <xf numFmtId="254" fontId="240" fillId="0" borderId="1621" applyBorder="0" applyProtection="0">
      <alignment horizontal="right" vertical="center"/>
    </xf>
    <xf numFmtId="0" fontId="241" fillId="94" borderId="1621" applyBorder="0" applyProtection="0">
      <alignment horizontal="centerContinuous" vertical="center"/>
    </xf>
    <xf numFmtId="246" fontId="249" fillId="0" borderId="1621" applyFill="0" applyProtection="0">
      <alignment horizontal="center"/>
    </xf>
    <xf numFmtId="246" fontId="250" fillId="0" borderId="1621" applyFill="0" applyProtection="0">
      <alignment horizontal="center"/>
    </xf>
    <xf numFmtId="0" fontId="241" fillId="94" borderId="1705" applyBorder="0" applyProtection="0">
      <alignment horizontal="centerContinuous" vertical="center"/>
    </xf>
    <xf numFmtId="0" fontId="166" fillId="0" borderId="1705">
      <alignment horizontal="center"/>
    </xf>
    <xf numFmtId="0" fontId="2" fillId="0" borderId="1638" applyNumberFormat="0" applyAlignment="0" applyProtection="0"/>
    <xf numFmtId="0" fontId="214" fillId="0" borderId="1639" applyNumberFormat="0" applyFont="0" applyFill="0" applyAlignment="0" applyProtection="0"/>
    <xf numFmtId="246" fontId="250" fillId="0" borderId="1645" applyFill="0" applyProtection="0">
      <alignment horizontal="center"/>
    </xf>
    <xf numFmtId="246" fontId="249" fillId="0" borderId="1645" applyFill="0" applyProtection="0">
      <alignment horizontal="center"/>
    </xf>
    <xf numFmtId="0" fontId="241" fillId="94" borderId="1645" applyBorder="0" applyProtection="0">
      <alignment horizontal="centerContinuous" vertical="center"/>
    </xf>
    <xf numFmtId="254" fontId="240" fillId="0" borderId="1645" applyBorder="0" applyProtection="0">
      <alignment horizontal="right" vertical="center"/>
    </xf>
    <xf numFmtId="0" fontId="210" fillId="0" borderId="1645" applyNumberFormat="0" applyFill="0" applyBorder="0" applyAlignment="0">
      <protection locked="0"/>
    </xf>
    <xf numFmtId="264" fontId="12" fillId="14" borderId="1645" applyFont="0" applyFill="0" applyBorder="0" applyAlignment="0" applyProtection="0">
      <alignment horizontal="right"/>
    </xf>
    <xf numFmtId="0" fontId="166" fillId="0" borderId="1645">
      <alignment horizontal="center"/>
    </xf>
    <xf numFmtId="0" fontId="165" fillId="0" borderId="1645" applyFill="0" applyProtection="0">
      <alignment horizontal="center"/>
    </xf>
    <xf numFmtId="186" fontId="146" fillId="3" borderId="1645" applyBorder="0">
      <alignment horizontal="left" vertical="center"/>
    </xf>
    <xf numFmtId="180" fontId="9" fillId="3" borderId="1645">
      <alignment horizontal="right" vertical="center"/>
    </xf>
    <xf numFmtId="192" fontId="9" fillId="3" borderId="1645">
      <alignment horizontal="right" vertical="center"/>
    </xf>
    <xf numFmtId="248" fontId="46" fillId="0" borderId="1645"/>
    <xf numFmtId="0" fontId="12" fillId="0" borderId="1645" applyNumberFormat="0" applyFill="0" applyBorder="0" applyAlignment="0" applyProtection="0">
      <alignment horizontal="center"/>
    </xf>
    <xf numFmtId="0" fontId="113" fillId="0" borderId="1645" applyNumberFormat="0" applyFill="0" applyAlignment="0" applyProtection="0"/>
    <xf numFmtId="222" fontId="79" fillId="0" borderId="1644" applyBorder="0"/>
    <xf numFmtId="0" fontId="101" fillId="0" borderId="1645" applyBorder="0"/>
    <xf numFmtId="222" fontId="79" fillId="0" borderId="1644" applyBorder="0"/>
    <xf numFmtId="0" fontId="75" fillId="0" borderId="1634" applyNumberFormat="0" applyFont="0" applyFill="0" applyAlignment="0" applyProtection="0"/>
    <xf numFmtId="186" fontId="146" fillId="3" borderId="1636">
      <alignment horizontal="left"/>
    </xf>
    <xf numFmtId="186" fontId="140" fillId="3" borderId="1637">
      <alignment horizontal="center" vertical="center"/>
    </xf>
    <xf numFmtId="0" fontId="2" fillId="0" borderId="1638" applyNumberFormat="0" applyAlignment="0" applyProtection="0"/>
    <xf numFmtId="0" fontId="214" fillId="0" borderId="1639" applyNumberFormat="0" applyFont="0" applyFill="0" applyAlignment="0" applyProtection="0"/>
    <xf numFmtId="0" fontId="25" fillId="10" borderId="1640" applyNumberFormat="0" applyProtection="0">
      <alignment horizontal="left" vertical="top"/>
    </xf>
    <xf numFmtId="0" fontId="25" fillId="10" borderId="1641" applyNumberFormat="0" applyProtection="0">
      <alignment horizontal="left" vertical="top"/>
    </xf>
    <xf numFmtId="0" fontId="25" fillId="10" borderId="1642" applyNumberFormat="0" applyProtection="0">
      <alignment horizontal="left" vertical="top"/>
    </xf>
    <xf numFmtId="0" fontId="25" fillId="10" borderId="1643" applyNumberFormat="0" applyProtection="0">
      <alignment horizontal="left" vertical="top"/>
    </xf>
    <xf numFmtId="0" fontId="78" fillId="14" borderId="1635" applyFont="0" applyFill="0" applyBorder="0" applyAlignment="0" applyProtection="0"/>
    <xf numFmtId="222" fontId="79" fillId="0" borderId="1632" applyBorder="0"/>
    <xf numFmtId="0" fontId="78" fillId="14" borderId="1647" applyFont="0" applyFill="0" applyBorder="0" applyAlignment="0" applyProtection="0"/>
    <xf numFmtId="186" fontId="146" fillId="3" borderId="1636">
      <alignment horizontal="left"/>
    </xf>
    <xf numFmtId="0" fontId="78" fillId="14" borderId="1623" applyFont="0" applyFill="0" applyBorder="0" applyAlignment="0" applyProtection="0"/>
    <xf numFmtId="222" fontId="79" fillId="0" borderId="1632" applyBorder="0"/>
    <xf numFmtId="0" fontId="2" fillId="0" borderId="1650" applyNumberFormat="0" applyAlignment="0" applyProtection="0"/>
    <xf numFmtId="0" fontId="78" fillId="14" borderId="1623" applyFont="0" applyFill="0" applyBorder="0" applyAlignment="0" applyProtection="0"/>
    <xf numFmtId="0" fontId="25" fillId="10" borderId="1631" applyNumberFormat="0" applyProtection="0">
      <alignment horizontal="left" vertical="top"/>
    </xf>
    <xf numFmtId="0" fontId="25" fillId="10" borderId="1630" applyNumberFormat="0" applyProtection="0">
      <alignment horizontal="left" vertical="top"/>
    </xf>
    <xf numFmtId="0" fontId="25" fillId="10" borderId="1629" applyNumberFormat="0" applyProtection="0">
      <alignment horizontal="left" vertical="top"/>
    </xf>
    <xf numFmtId="0" fontId="25" fillId="10" borderId="1628" applyNumberFormat="0" applyProtection="0">
      <alignment horizontal="left" vertical="top"/>
    </xf>
    <xf numFmtId="0" fontId="25" fillId="10" borderId="1653" applyNumberFormat="0" applyProtection="0">
      <alignment horizontal="left" vertical="top"/>
    </xf>
    <xf numFmtId="0" fontId="214" fillId="0" borderId="1627" applyNumberFormat="0" applyFont="0" applyFill="0" applyAlignment="0" applyProtection="0"/>
    <xf numFmtId="0" fontId="2" fillId="0" borderId="1626" applyNumberFormat="0" applyAlignment="0" applyProtection="0"/>
    <xf numFmtId="186" fontId="140" fillId="3" borderId="1625">
      <alignment horizontal="center" vertical="center"/>
    </xf>
    <xf numFmtId="186" fontId="146" fillId="3" borderId="1624">
      <alignment horizontal="left"/>
    </xf>
    <xf numFmtId="0" fontId="25" fillId="10" borderId="1655" applyNumberFormat="0" applyProtection="0">
      <alignment horizontal="left" vertical="top"/>
    </xf>
    <xf numFmtId="0" fontId="75" fillId="0" borderId="1622" applyNumberFormat="0" applyFont="0" applyFill="0" applyAlignment="0" applyProtection="0"/>
    <xf numFmtId="222" fontId="79" fillId="0" borderId="1632" applyBorder="0"/>
    <xf numFmtId="0" fontId="101" fillId="0" borderId="1633" applyBorder="0"/>
    <xf numFmtId="222" fontId="79" fillId="0" borderId="1632" applyBorder="0"/>
    <xf numFmtId="0" fontId="113" fillId="0" borderId="1633" applyNumberFormat="0" applyFill="0" applyAlignment="0" applyProtection="0"/>
    <xf numFmtId="0" fontId="12" fillId="0" borderId="1633" applyNumberFormat="0" applyFill="0" applyBorder="0" applyAlignment="0" applyProtection="0">
      <alignment horizontal="center"/>
    </xf>
    <xf numFmtId="248" fontId="46" fillId="0" borderId="1633"/>
    <xf numFmtId="192" fontId="9" fillId="3" borderId="1633">
      <alignment horizontal="right" vertical="center"/>
    </xf>
    <xf numFmtId="180" fontId="9" fillId="3" borderId="1633">
      <alignment horizontal="right" vertical="center"/>
    </xf>
    <xf numFmtId="186" fontId="146" fillId="3" borderId="1633" applyBorder="0">
      <alignment horizontal="left" vertical="center"/>
    </xf>
    <xf numFmtId="0" fontId="165" fillId="0" borderId="1633" applyFill="0" applyProtection="0">
      <alignment horizontal="center"/>
    </xf>
    <xf numFmtId="0" fontId="166" fillId="0" borderId="1633">
      <alignment horizontal="center"/>
    </xf>
    <xf numFmtId="264" fontId="12" fillId="14" borderId="1633" applyFont="0" applyFill="0" applyBorder="0" applyAlignment="0" applyProtection="0">
      <alignment horizontal="right"/>
    </xf>
    <xf numFmtId="0" fontId="210" fillId="0" borderId="1633" applyNumberFormat="0" applyFill="0" applyBorder="0" applyAlignment="0">
      <protection locked="0"/>
    </xf>
    <xf numFmtId="254" fontId="240" fillId="0" borderId="1633" applyBorder="0" applyProtection="0">
      <alignment horizontal="right" vertical="center"/>
    </xf>
    <xf numFmtId="0" fontId="241" fillId="94" borderId="1633" applyBorder="0" applyProtection="0">
      <alignment horizontal="centerContinuous" vertical="center"/>
    </xf>
    <xf numFmtId="246" fontId="249" fillId="0" borderId="1633" applyFill="0" applyProtection="0">
      <alignment horizontal="center"/>
    </xf>
    <xf numFmtId="246" fontId="250" fillId="0" borderId="1633" applyFill="0" applyProtection="0">
      <alignment horizontal="center"/>
    </xf>
    <xf numFmtId="186" fontId="140" fillId="3" borderId="1649">
      <alignment horizontal="center" vertical="center"/>
    </xf>
    <xf numFmtId="0" fontId="78" fillId="14" borderId="1635" applyFont="0" applyFill="0" applyBorder="0" applyAlignment="0" applyProtection="0"/>
    <xf numFmtId="222" fontId="79" fillId="0" borderId="1656" applyBorder="0"/>
    <xf numFmtId="0" fontId="78" fillId="14" borderId="1659" applyFont="0" applyFill="0" applyBorder="0" applyAlignment="0" applyProtection="0"/>
    <xf numFmtId="0" fontId="25" fillId="10" borderId="1667" applyNumberFormat="0" applyProtection="0">
      <alignment horizontal="left" vertical="top"/>
    </xf>
    <xf numFmtId="0" fontId="25" fillId="10" borderId="1666" applyNumberFormat="0" applyProtection="0">
      <alignment horizontal="left" vertical="top"/>
    </xf>
    <xf numFmtId="0" fontId="25" fillId="10" borderId="1665" applyNumberFormat="0" applyProtection="0">
      <alignment horizontal="left" vertical="top"/>
    </xf>
    <xf numFmtId="0" fontId="25" fillId="10" borderId="1664" applyNumberFormat="0" applyProtection="0">
      <alignment horizontal="left" vertical="top"/>
    </xf>
    <xf numFmtId="0" fontId="214" fillId="0" borderId="1663" applyNumberFormat="0" applyFont="0" applyFill="0" applyAlignment="0" applyProtection="0"/>
    <xf numFmtId="0" fontId="2" fillId="0" borderId="1662" applyNumberFormat="0" applyAlignment="0" applyProtection="0"/>
    <xf numFmtId="186" fontId="140" fillId="3" borderId="1661">
      <alignment horizontal="center" vertical="center"/>
    </xf>
    <xf numFmtId="186" fontId="146" fillId="3" borderId="1660">
      <alignment horizontal="left"/>
    </xf>
    <xf numFmtId="0" fontId="75" fillId="0" borderId="1658" applyNumberFormat="0" applyFont="0" applyFill="0" applyAlignment="0" applyProtection="0"/>
    <xf numFmtId="222" fontId="79" fillId="0" borderId="1668" applyBorder="0"/>
    <xf numFmtId="0" fontId="101" fillId="0" borderId="1669" applyBorder="0"/>
    <xf numFmtId="222" fontId="79" fillId="0" borderId="1668" applyBorder="0"/>
    <xf numFmtId="0" fontId="113" fillId="0" borderId="1669" applyNumberFormat="0" applyFill="0" applyAlignment="0" applyProtection="0"/>
    <xf numFmtId="0" fontId="12" fillId="0" borderId="1669" applyNumberFormat="0" applyFill="0" applyBorder="0" applyAlignment="0" applyProtection="0">
      <alignment horizontal="center"/>
    </xf>
    <xf numFmtId="248" fontId="46" fillId="0" borderId="1669"/>
    <xf numFmtId="192" fontId="9" fillId="3" borderId="1669">
      <alignment horizontal="right" vertical="center"/>
    </xf>
    <xf numFmtId="180" fontId="9" fillId="3" borderId="1669">
      <alignment horizontal="right" vertical="center"/>
    </xf>
    <xf numFmtId="186" fontId="146" fillId="3" borderId="1669" applyBorder="0">
      <alignment horizontal="left" vertical="center"/>
    </xf>
    <xf numFmtId="0" fontId="165" fillId="0" borderId="1669" applyFill="0" applyProtection="0">
      <alignment horizontal="center"/>
    </xf>
    <xf numFmtId="0" fontId="166" fillId="0" borderId="1669">
      <alignment horizontal="center"/>
    </xf>
    <xf numFmtId="264" fontId="12" fillId="14" borderId="1669" applyFont="0" applyFill="0" applyBorder="0" applyAlignment="0" applyProtection="0">
      <alignment horizontal="right"/>
    </xf>
    <xf numFmtId="0" fontId="210" fillId="0" borderId="1669" applyNumberFormat="0" applyFill="0" applyBorder="0" applyAlignment="0">
      <protection locked="0"/>
    </xf>
    <xf numFmtId="254" fontId="240" fillId="0" borderId="1669" applyBorder="0" applyProtection="0">
      <alignment horizontal="right" vertical="center"/>
    </xf>
    <xf numFmtId="0" fontId="241" fillId="94" borderId="1669" applyBorder="0" applyProtection="0">
      <alignment horizontal="centerContinuous" vertical="center"/>
    </xf>
    <xf numFmtId="246" fontId="249" fillId="0" borderId="1669" applyFill="0" applyProtection="0">
      <alignment horizontal="center"/>
    </xf>
    <xf numFmtId="246" fontId="250" fillId="0" borderId="1669" applyFill="0" applyProtection="0">
      <alignment horizontal="center"/>
    </xf>
    <xf numFmtId="222" fontId="79" fillId="0" borderId="1680" applyBorder="0"/>
    <xf numFmtId="0" fontId="78" fillId="14" borderId="1683" applyFont="0" applyFill="0" applyBorder="0" applyAlignment="0" applyProtection="0"/>
    <xf numFmtId="0" fontId="25" fillId="10" borderId="1691" applyNumberFormat="0" applyProtection="0">
      <alignment horizontal="left" vertical="top"/>
    </xf>
    <xf numFmtId="0" fontId="25" fillId="10" borderId="1690" applyNumberFormat="0" applyProtection="0">
      <alignment horizontal="left" vertical="top"/>
    </xf>
    <xf numFmtId="0" fontId="25" fillId="10" borderId="1689" applyNumberFormat="0" applyProtection="0">
      <alignment horizontal="left" vertical="top"/>
    </xf>
    <xf numFmtId="0" fontId="25" fillId="10" borderId="1688" applyNumberFormat="0" applyProtection="0">
      <alignment horizontal="left" vertical="top"/>
    </xf>
    <xf numFmtId="0" fontId="214" fillId="0" borderId="1687" applyNumberFormat="0" applyFont="0" applyFill="0" applyAlignment="0" applyProtection="0"/>
    <xf numFmtId="0" fontId="2" fillId="0" borderId="1686" applyNumberFormat="0" applyAlignment="0" applyProtection="0"/>
    <xf numFmtId="186" fontId="140" fillId="3" borderId="1685">
      <alignment horizontal="center" vertical="center"/>
    </xf>
    <xf numFmtId="186" fontId="146" fillId="3" borderId="1684">
      <alignment horizontal="left"/>
    </xf>
    <xf numFmtId="0" fontId="75" fillId="0" borderId="1682" applyNumberFormat="0" applyFont="0" applyFill="0" applyAlignment="0" applyProtection="0"/>
    <xf numFmtId="222" fontId="79" fillId="0" borderId="1692" applyBorder="0"/>
    <xf numFmtId="0" fontId="101" fillId="0" borderId="1693" applyBorder="0"/>
    <xf numFmtId="222" fontId="79" fillId="0" borderId="1692" applyBorder="0"/>
    <xf numFmtId="0" fontId="113" fillId="0" borderId="1693" applyNumberFormat="0" applyFill="0" applyAlignment="0" applyProtection="0"/>
    <xf numFmtId="0" fontId="12" fillId="0" borderId="1693" applyNumberFormat="0" applyFill="0" applyBorder="0" applyAlignment="0" applyProtection="0">
      <alignment horizontal="center"/>
    </xf>
    <xf numFmtId="248" fontId="46" fillId="0" borderId="1693"/>
    <xf numFmtId="192" fontId="9" fillId="3" borderId="1693">
      <alignment horizontal="right" vertical="center"/>
    </xf>
    <xf numFmtId="180" fontId="9" fillId="3" borderId="1693">
      <alignment horizontal="right" vertical="center"/>
    </xf>
    <xf numFmtId="186" fontId="146" fillId="3" borderId="1693" applyBorder="0">
      <alignment horizontal="left" vertical="center"/>
    </xf>
    <xf numFmtId="0" fontId="165" fillId="0" borderId="1693" applyFill="0" applyProtection="0">
      <alignment horizontal="center"/>
    </xf>
    <xf numFmtId="0" fontId="166" fillId="0" borderId="1693">
      <alignment horizontal="center"/>
    </xf>
    <xf numFmtId="264" fontId="12" fillId="14" borderId="1693" applyFont="0" applyFill="0" applyBorder="0" applyAlignment="0" applyProtection="0">
      <alignment horizontal="right"/>
    </xf>
    <xf numFmtId="0" fontId="210" fillId="0" borderId="1693" applyNumberFormat="0" applyFill="0" applyBorder="0" applyAlignment="0">
      <protection locked="0"/>
    </xf>
    <xf numFmtId="254" fontId="240" fillId="0" borderId="1693" applyBorder="0" applyProtection="0">
      <alignment horizontal="right" vertical="center"/>
    </xf>
    <xf numFmtId="0" fontId="241" fillId="94" borderId="1693" applyBorder="0" applyProtection="0">
      <alignment horizontal="centerContinuous" vertical="center"/>
    </xf>
    <xf numFmtId="246" fontId="249" fillId="0" borderId="1693" applyFill="0" applyProtection="0">
      <alignment horizontal="center"/>
    </xf>
    <xf numFmtId="246" fontId="250" fillId="0" borderId="1693" applyFill="0" applyProtection="0">
      <alignment horizontal="center"/>
    </xf>
    <xf numFmtId="0" fontId="75" fillId="0" borderId="1706" applyNumberFormat="0" applyFont="0" applyFill="0" applyAlignment="0" applyProtection="0"/>
    <xf numFmtId="0" fontId="78" fillId="14" borderId="1707" applyFont="0" applyFill="0" applyBorder="0" applyAlignment="0" applyProtection="0"/>
    <xf numFmtId="186" fontId="146" fillId="3" borderId="1708">
      <alignment horizontal="left"/>
    </xf>
    <xf numFmtId="186" fontId="140" fillId="3" borderId="1709">
      <alignment horizontal="center" vertical="center"/>
    </xf>
    <xf numFmtId="0" fontId="2" fillId="0" borderId="1710" applyNumberFormat="0" applyAlignment="0" applyProtection="0"/>
    <xf numFmtId="0" fontId="214" fillId="0" borderId="1711" applyNumberFormat="0" applyFont="0" applyFill="0" applyAlignment="0" applyProtection="0"/>
    <xf numFmtId="0" fontId="25" fillId="10" borderId="1712" applyNumberFormat="0" applyProtection="0">
      <alignment horizontal="left" vertical="top"/>
    </xf>
    <xf numFmtId="0" fontId="25" fillId="10" borderId="1713" applyNumberFormat="0" applyProtection="0">
      <alignment horizontal="left" vertical="top"/>
    </xf>
    <xf numFmtId="0" fontId="25" fillId="10" borderId="1714" applyNumberFormat="0" applyProtection="0">
      <alignment horizontal="left" vertical="top"/>
    </xf>
    <xf numFmtId="0" fontId="25" fillId="10" borderId="1715" applyNumberFormat="0" applyProtection="0">
      <alignment horizontal="left" vertical="top"/>
    </xf>
    <xf numFmtId="246" fontId="250" fillId="0" borderId="1705" applyFill="0" applyProtection="0">
      <alignment horizontal="center"/>
    </xf>
    <xf numFmtId="246" fontId="249" fillId="0" borderId="1705" applyFill="0" applyProtection="0">
      <alignment horizontal="center"/>
    </xf>
    <xf numFmtId="0" fontId="241" fillId="94" borderId="1705" applyBorder="0" applyProtection="0">
      <alignment horizontal="centerContinuous" vertical="center"/>
    </xf>
    <xf numFmtId="254" fontId="240" fillId="0" borderId="1705" applyBorder="0" applyProtection="0">
      <alignment horizontal="right" vertical="center"/>
    </xf>
    <xf numFmtId="0" fontId="210" fillId="0" borderId="1705" applyNumberFormat="0" applyFill="0" applyBorder="0" applyAlignment="0">
      <protection locked="0"/>
    </xf>
    <xf numFmtId="264" fontId="12" fillId="14" borderId="1705" applyFont="0" applyFill="0" applyBorder="0" applyAlignment="0" applyProtection="0">
      <alignment horizontal="right"/>
    </xf>
    <xf numFmtId="0" fontId="166" fillId="0" borderId="1705">
      <alignment horizontal="center"/>
    </xf>
    <xf numFmtId="0" fontId="165" fillId="0" borderId="1705" applyFill="0" applyProtection="0">
      <alignment horizontal="center"/>
    </xf>
    <xf numFmtId="186" fontId="146" fillId="3" borderId="1705" applyBorder="0">
      <alignment horizontal="left" vertical="center"/>
    </xf>
    <xf numFmtId="180" fontId="9" fillId="3" borderId="1705">
      <alignment horizontal="right" vertical="center"/>
    </xf>
    <xf numFmtId="192" fontId="9" fillId="3" borderId="1705">
      <alignment horizontal="right" vertical="center"/>
    </xf>
    <xf numFmtId="0" fontId="12" fillId="0" borderId="1705" applyNumberFormat="0" applyFill="0" applyBorder="0" applyAlignment="0" applyProtection="0">
      <alignment horizontal="center"/>
    </xf>
    <xf numFmtId="0" fontId="113" fillId="0" borderId="1705" applyNumberFormat="0" applyFill="0" applyAlignment="0" applyProtection="0"/>
    <xf numFmtId="222" fontId="79" fillId="0" borderId="1704" applyBorder="0"/>
    <xf numFmtId="0" fontId="101" fillId="0" borderId="1705" applyBorder="0"/>
    <xf numFmtId="248" fontId="46" fillId="0" borderId="1705"/>
    <xf numFmtId="0" fontId="101" fillId="0" borderId="1705" applyBorder="0"/>
    <xf numFmtId="222" fontId="79" fillId="0" borderId="1704" applyBorder="0"/>
    <xf numFmtId="0" fontId="113" fillId="0" borderId="1705" applyNumberFormat="0" applyFill="0" applyAlignment="0" applyProtection="0"/>
    <xf numFmtId="0" fontId="75" fillId="0" borderId="1706" applyNumberFormat="0" applyFont="0" applyFill="0" applyAlignment="0" applyProtection="0"/>
    <xf numFmtId="0" fontId="12" fillId="0" borderId="1705" applyNumberFormat="0" applyFill="0" applyBorder="0" applyAlignment="0" applyProtection="0">
      <alignment horizontal="center"/>
    </xf>
    <xf numFmtId="248" fontId="46" fillId="0" borderId="1705"/>
    <xf numFmtId="192" fontId="9" fillId="3" borderId="1705">
      <alignment horizontal="right" vertical="center"/>
    </xf>
    <xf numFmtId="180" fontId="9" fillId="3" borderId="1705">
      <alignment horizontal="right" vertical="center"/>
    </xf>
    <xf numFmtId="186" fontId="146" fillId="3" borderId="1705" applyBorder="0">
      <alignment horizontal="left" vertical="center"/>
    </xf>
    <xf numFmtId="186" fontId="146" fillId="3" borderId="1708">
      <alignment horizontal="left"/>
    </xf>
    <xf numFmtId="186" fontId="140" fillId="3" borderId="1709">
      <alignment horizontal="center" vertical="center"/>
    </xf>
    <xf numFmtId="0" fontId="165" fillId="0" borderId="1705" applyFill="0" applyProtection="0">
      <alignment horizontal="center"/>
    </xf>
    <xf numFmtId="0" fontId="166" fillId="0" borderId="1705">
      <alignment horizontal="center"/>
    </xf>
    <xf numFmtId="264" fontId="12" fillId="14" borderId="1705" applyFont="0" applyFill="0" applyBorder="0" applyAlignment="0" applyProtection="0">
      <alignment horizontal="right"/>
    </xf>
    <xf numFmtId="0" fontId="210" fillId="0" borderId="1705" applyNumberFormat="0" applyFill="0" applyBorder="0" applyAlignment="0">
      <protection locked="0"/>
    </xf>
    <xf numFmtId="0" fontId="2" fillId="0" borderId="1710" applyNumberFormat="0" applyAlignment="0" applyProtection="0"/>
    <xf numFmtId="0" fontId="214" fillId="0" borderId="1711" applyNumberFormat="0" applyFont="0" applyFill="0" applyAlignment="0" applyProtection="0"/>
    <xf numFmtId="0" fontId="25" fillId="10" borderId="1712" applyNumberFormat="0" applyProtection="0">
      <alignment horizontal="left" vertical="top"/>
    </xf>
    <xf numFmtId="0" fontId="25" fillId="10" borderId="1713" applyNumberFormat="0" applyProtection="0">
      <alignment horizontal="left" vertical="top"/>
    </xf>
    <xf numFmtId="0" fontId="25" fillId="10" borderId="1714" applyNumberFormat="0" applyProtection="0">
      <alignment horizontal="left" vertical="top"/>
    </xf>
    <xf numFmtId="0" fontId="25" fillId="10" borderId="1715" applyNumberFormat="0" applyProtection="0">
      <alignment horizontal="left" vertical="top"/>
    </xf>
    <xf numFmtId="0" fontId="25" fillId="10" borderId="1712" applyNumberFormat="0" applyProtection="0">
      <alignment horizontal="left" vertical="top"/>
    </xf>
    <xf numFmtId="0" fontId="25" fillId="10" borderId="1713" applyNumberFormat="0" applyProtection="0">
      <alignment horizontal="left" vertical="top"/>
    </xf>
    <xf numFmtId="0" fontId="25" fillId="10" borderId="1714" applyNumberFormat="0" applyProtection="0">
      <alignment horizontal="left" vertical="top"/>
    </xf>
    <xf numFmtId="0" fontId="25" fillId="10" borderId="1715" applyNumberFormat="0" applyProtection="0">
      <alignment horizontal="left" vertical="top"/>
    </xf>
    <xf numFmtId="254" fontId="240" fillId="0" borderId="1705" applyBorder="0" applyProtection="0">
      <alignment horizontal="right" vertical="center"/>
    </xf>
    <xf numFmtId="0" fontId="241" fillId="94" borderId="1705" applyBorder="0" applyProtection="0">
      <alignment horizontal="centerContinuous" vertical="center"/>
    </xf>
    <xf numFmtId="246" fontId="249" fillId="0" borderId="1705" applyFill="0" applyProtection="0">
      <alignment horizontal="center"/>
    </xf>
    <xf numFmtId="246" fontId="250" fillId="0" borderId="1705" applyFill="0" applyProtection="0">
      <alignment horizontal="center"/>
    </xf>
    <xf numFmtId="190" fontId="101" fillId="0" borderId="1705" applyBorder="0"/>
    <xf numFmtId="190" fontId="113" fillId="0" borderId="1705" applyNumberFormat="0" applyFill="0" applyAlignment="0" applyProtection="0"/>
    <xf numFmtId="190" fontId="75" fillId="0" borderId="1682" applyNumberFormat="0" applyFont="0" applyFill="0" applyAlignment="0" applyProtection="0"/>
    <xf numFmtId="190" fontId="12" fillId="0" borderId="1705" applyNumberFormat="0" applyFill="0" applyBorder="0" applyAlignment="0" applyProtection="0">
      <alignment horizontal="center"/>
    </xf>
    <xf numFmtId="190" fontId="78" fillId="14" borderId="1695" applyFont="0" applyFill="0" applyBorder="0" applyAlignment="0" applyProtection="0"/>
    <xf numFmtId="190" fontId="165" fillId="0" borderId="1705" applyFill="0" applyProtection="0">
      <alignment horizontal="center"/>
    </xf>
    <xf numFmtId="190" fontId="166" fillId="0" borderId="1705">
      <alignment horizontal="center"/>
    </xf>
    <xf numFmtId="190" fontId="210" fillId="0" borderId="1705" applyNumberFormat="0" applyFill="0" applyBorder="0" applyAlignment="0">
      <protection locked="0"/>
    </xf>
    <xf numFmtId="190" fontId="2" fillId="0" borderId="1686" applyNumberFormat="0" applyAlignment="0" applyProtection="0"/>
    <xf numFmtId="190" fontId="214" fillId="0" borderId="1687" applyNumberFormat="0" applyFont="0" applyFill="0" applyAlignment="0" applyProtection="0"/>
    <xf numFmtId="190" fontId="25" fillId="10" borderId="1688" applyNumberFormat="0" applyProtection="0">
      <alignment horizontal="left" vertical="top"/>
    </xf>
    <xf numFmtId="190" fontId="25" fillId="10" borderId="1689" applyNumberFormat="0" applyProtection="0">
      <alignment horizontal="left" vertical="top"/>
    </xf>
    <xf numFmtId="190" fontId="25" fillId="10" borderId="1690" applyNumberFormat="0" applyProtection="0">
      <alignment horizontal="left" vertical="top"/>
    </xf>
    <xf numFmtId="190" fontId="25" fillId="10" borderId="1691" applyNumberFormat="0" applyProtection="0">
      <alignment horizontal="left" vertical="top"/>
    </xf>
    <xf numFmtId="190" fontId="241" fillId="94" borderId="1705" applyBorder="0" applyProtection="0">
      <alignment horizontal="centerContinuous" vertical="center"/>
    </xf>
    <xf numFmtId="222" fontId="79" fillId="0" borderId="1704" applyBorder="0"/>
    <xf numFmtId="0" fontId="101" fillId="0" borderId="1705" applyBorder="0"/>
    <xf numFmtId="222" fontId="79" fillId="0" borderId="1704" applyBorder="0"/>
    <xf numFmtId="0" fontId="113" fillId="0" borderId="1705" applyNumberFormat="0" applyFill="0" applyAlignment="0" applyProtection="0"/>
    <xf numFmtId="0" fontId="75" fillId="0" borderId="1682" applyNumberFormat="0" applyFont="0" applyFill="0" applyAlignment="0" applyProtection="0"/>
    <xf numFmtId="0" fontId="12" fillId="0" borderId="1705" applyNumberFormat="0" applyFill="0" applyBorder="0" applyAlignment="0" applyProtection="0">
      <alignment horizontal="center"/>
    </xf>
    <xf numFmtId="248" fontId="46" fillId="0" borderId="1705"/>
    <xf numFmtId="192" fontId="9" fillId="3" borderId="1705">
      <alignment horizontal="right" vertical="center"/>
    </xf>
    <xf numFmtId="180" fontId="9" fillId="3" borderId="1705">
      <alignment horizontal="right" vertical="center"/>
    </xf>
    <xf numFmtId="186" fontId="146" fillId="3" borderId="1705" applyBorder="0">
      <alignment horizontal="left" vertical="center"/>
    </xf>
    <xf numFmtId="186" fontId="146" fillId="3" borderId="1684">
      <alignment horizontal="left"/>
    </xf>
    <xf numFmtId="186" fontId="140" fillId="3" borderId="1685">
      <alignment horizontal="center" vertical="center"/>
    </xf>
    <xf numFmtId="0" fontId="165" fillId="0" borderId="1705" applyFill="0" applyProtection="0">
      <alignment horizontal="center"/>
    </xf>
    <xf numFmtId="0" fontId="166" fillId="0" borderId="1705">
      <alignment horizontal="center"/>
    </xf>
    <xf numFmtId="264" fontId="12" fillId="14" borderId="1705" applyFont="0" applyFill="0" applyBorder="0" applyAlignment="0" applyProtection="0">
      <alignment horizontal="right"/>
    </xf>
    <xf numFmtId="0" fontId="210" fillId="0" borderId="1705" applyNumberFormat="0" applyFill="0" applyBorder="0" applyAlignment="0">
      <protection locked="0"/>
    </xf>
    <xf numFmtId="0" fontId="2" fillId="0" borderId="1686" applyNumberFormat="0" applyAlignment="0" applyProtection="0"/>
    <xf numFmtId="0" fontId="214" fillId="0" borderId="1687" applyNumberFormat="0" applyFont="0" applyFill="0" applyAlignment="0" applyProtection="0"/>
    <xf numFmtId="0" fontId="25" fillId="10" borderId="1688" applyNumberFormat="0" applyProtection="0">
      <alignment horizontal="left" vertical="top"/>
    </xf>
    <xf numFmtId="0" fontId="25" fillId="10" borderId="1689" applyNumberFormat="0" applyProtection="0">
      <alignment horizontal="left" vertical="top"/>
    </xf>
    <xf numFmtId="0" fontId="25" fillId="10" borderId="1690" applyNumberFormat="0" applyProtection="0">
      <alignment horizontal="left" vertical="top"/>
    </xf>
    <xf numFmtId="0" fontId="25" fillId="10" borderId="1691" applyNumberFormat="0" applyProtection="0">
      <alignment horizontal="left" vertical="top"/>
    </xf>
    <xf numFmtId="0" fontId="25" fillId="10" borderId="1688" applyNumberFormat="0" applyProtection="0">
      <alignment horizontal="left" vertical="top"/>
    </xf>
    <xf numFmtId="0" fontId="25" fillId="10" borderId="1689" applyNumberFormat="0" applyProtection="0">
      <alignment horizontal="left" vertical="top"/>
    </xf>
    <xf numFmtId="0" fontId="25" fillId="10" borderId="1690" applyNumberFormat="0" applyProtection="0">
      <alignment horizontal="left" vertical="top"/>
    </xf>
    <xf numFmtId="0" fontId="25" fillId="10" borderId="1691" applyNumberFormat="0" applyProtection="0">
      <alignment horizontal="left" vertical="top"/>
    </xf>
    <xf numFmtId="254" fontId="240" fillId="0" borderId="1705" applyBorder="0" applyProtection="0">
      <alignment horizontal="right" vertical="center"/>
    </xf>
    <xf numFmtId="0" fontId="241" fillId="94" borderId="1705" applyBorder="0" applyProtection="0">
      <alignment horizontal="centerContinuous" vertical="center"/>
    </xf>
    <xf numFmtId="246" fontId="249" fillId="0" borderId="1705" applyFill="0" applyProtection="0">
      <alignment horizontal="center"/>
    </xf>
    <xf numFmtId="246" fontId="250" fillId="0" borderId="1705" applyFill="0" applyProtection="0">
      <alignment horizontal="center"/>
    </xf>
    <xf numFmtId="312" fontId="101" fillId="0" borderId="1705" applyBorder="0"/>
    <xf numFmtId="312" fontId="113" fillId="0" borderId="1705" applyNumberFormat="0" applyFill="0" applyAlignment="0" applyProtection="0"/>
    <xf numFmtId="312" fontId="75" fillId="0" borderId="1682" applyNumberFormat="0" applyFont="0" applyFill="0" applyAlignment="0" applyProtection="0"/>
    <xf numFmtId="312" fontId="12" fillId="0" borderId="1705" applyNumberFormat="0" applyFill="0" applyBorder="0" applyAlignment="0" applyProtection="0">
      <alignment horizontal="center"/>
    </xf>
    <xf numFmtId="312" fontId="165" fillId="0" borderId="1705" applyFill="0" applyProtection="0">
      <alignment horizontal="center"/>
    </xf>
    <xf numFmtId="312" fontId="242" fillId="0" borderId="1705">
      <alignment horizontal="center"/>
    </xf>
    <xf numFmtId="312" fontId="210" fillId="0" borderId="1705" applyNumberFormat="0" applyFill="0" applyBorder="0" applyAlignment="0">
      <protection locked="0"/>
    </xf>
    <xf numFmtId="312" fontId="2" fillId="0" borderId="1686" applyNumberFormat="0" applyAlignment="0" applyProtection="0"/>
    <xf numFmtId="312" fontId="214" fillId="0" borderId="1687" applyNumberFormat="0" applyFont="0" applyFill="0" applyAlignment="0" applyProtection="0"/>
    <xf numFmtId="312" fontId="25" fillId="10" borderId="1688" applyNumberFormat="0" applyProtection="0">
      <alignment horizontal="left" vertical="top"/>
    </xf>
    <xf numFmtId="312" fontId="25" fillId="10" borderId="1689" applyNumberFormat="0" applyProtection="0">
      <alignment horizontal="left" vertical="top"/>
    </xf>
    <xf numFmtId="312" fontId="25" fillId="10" borderId="1690" applyNumberFormat="0" applyProtection="0">
      <alignment horizontal="left" vertical="top"/>
    </xf>
    <xf numFmtId="312" fontId="25" fillId="10" borderId="1691" applyNumberFormat="0" applyProtection="0">
      <alignment horizontal="left" vertical="top"/>
    </xf>
    <xf numFmtId="312" fontId="241" fillId="94" borderId="1705" applyBorder="0" applyProtection="0">
      <alignment horizontal="centerContinuous" vertical="center"/>
    </xf>
    <xf numFmtId="246" fontId="296" fillId="0" borderId="1705" applyFill="0" applyProtection="0">
      <alignment horizontal="center"/>
    </xf>
    <xf numFmtId="312" fontId="101" fillId="0" borderId="1705" applyBorder="0"/>
    <xf numFmtId="312" fontId="113" fillId="0" borderId="1705" applyNumberFormat="0" applyFill="0" applyAlignment="0" applyProtection="0"/>
    <xf numFmtId="312" fontId="75" fillId="0" borderId="1682" applyNumberFormat="0" applyFont="0" applyFill="0" applyAlignment="0" applyProtection="0"/>
    <xf numFmtId="312" fontId="12" fillId="0" borderId="1705" applyNumberFormat="0" applyFill="0" applyBorder="0" applyAlignment="0" applyProtection="0">
      <alignment horizontal="center"/>
    </xf>
    <xf numFmtId="312" fontId="165" fillId="0" borderId="1705" applyFill="0" applyProtection="0">
      <alignment horizontal="center"/>
    </xf>
    <xf numFmtId="312" fontId="242" fillId="0" borderId="1705">
      <alignment horizontal="center"/>
    </xf>
    <xf numFmtId="312" fontId="210" fillId="0" borderId="1705" applyNumberFormat="0" applyFill="0" applyBorder="0" applyAlignment="0">
      <protection locked="0"/>
    </xf>
    <xf numFmtId="312" fontId="2" fillId="0" borderId="1686" applyNumberFormat="0" applyAlignment="0" applyProtection="0"/>
    <xf numFmtId="312" fontId="214" fillId="0" borderId="1687" applyNumberFormat="0" applyFont="0" applyFill="0" applyAlignment="0" applyProtection="0"/>
    <xf numFmtId="312" fontId="25" fillId="10" borderId="1688" applyNumberFormat="0" applyProtection="0">
      <alignment horizontal="left" vertical="top"/>
    </xf>
    <xf numFmtId="312" fontId="25" fillId="10" borderId="1689" applyNumberFormat="0" applyProtection="0">
      <alignment horizontal="left" vertical="top"/>
    </xf>
    <xf numFmtId="312" fontId="25" fillId="10" borderId="1690" applyNumberFormat="0" applyProtection="0">
      <alignment horizontal="left" vertical="top"/>
    </xf>
    <xf numFmtId="312" fontId="25" fillId="10" borderId="1691" applyNumberFormat="0" applyProtection="0">
      <alignment horizontal="left" vertical="top"/>
    </xf>
    <xf numFmtId="312" fontId="25" fillId="10" borderId="1688" applyNumberFormat="0" applyProtection="0">
      <alignment horizontal="left" vertical="top"/>
    </xf>
    <xf numFmtId="312" fontId="25" fillId="10" borderId="1689" applyNumberFormat="0" applyProtection="0">
      <alignment horizontal="left" vertical="top"/>
    </xf>
    <xf numFmtId="312" fontId="25" fillId="10" borderId="1690" applyNumberFormat="0" applyProtection="0">
      <alignment horizontal="left" vertical="top"/>
    </xf>
    <xf numFmtId="312" fontId="25" fillId="10" borderId="1691" applyNumberFormat="0" applyProtection="0">
      <alignment horizontal="left" vertical="top"/>
    </xf>
    <xf numFmtId="312" fontId="241" fillId="94" borderId="1705" applyBorder="0" applyProtection="0">
      <alignment horizontal="centerContinuous" vertical="center"/>
    </xf>
    <xf numFmtId="246" fontId="296" fillId="0" borderId="1705" applyFill="0" applyProtection="0">
      <alignment horizontal="center"/>
    </xf>
    <xf numFmtId="246" fontId="250" fillId="0" borderId="1705" applyFill="0" applyProtection="0">
      <alignment horizontal="center"/>
    </xf>
    <xf numFmtId="246" fontId="249" fillId="0" borderId="1705" applyFill="0" applyProtection="0">
      <alignment horizontal="center"/>
    </xf>
    <xf numFmtId="0" fontId="241" fillId="94" borderId="1705" applyBorder="0" applyProtection="0">
      <alignment horizontal="centerContinuous" vertical="center"/>
    </xf>
    <xf numFmtId="254" fontId="240" fillId="0" borderId="1705" applyBorder="0" applyProtection="0">
      <alignment horizontal="right" vertical="center"/>
    </xf>
    <xf numFmtId="0" fontId="25" fillId="10" borderId="1703" applyNumberFormat="0" applyProtection="0">
      <alignment horizontal="left" vertical="top"/>
    </xf>
    <xf numFmtId="0" fontId="25" fillId="10" borderId="1702" applyNumberFormat="0" applyProtection="0">
      <alignment horizontal="left" vertical="top"/>
    </xf>
    <xf numFmtId="0" fontId="25" fillId="10" borderId="1701" applyNumberFormat="0" applyProtection="0">
      <alignment horizontal="left" vertical="top"/>
    </xf>
    <xf numFmtId="0" fontId="25" fillId="10" borderId="1700" applyNumberFormat="0" applyProtection="0">
      <alignment horizontal="left" vertical="top"/>
    </xf>
    <xf numFmtId="0" fontId="214" fillId="0" borderId="1699" applyNumberFormat="0" applyFont="0" applyFill="0" applyAlignment="0" applyProtection="0"/>
    <xf numFmtId="0" fontId="2" fillId="0" borderId="1698" applyNumberFormat="0" applyAlignment="0" applyProtection="0"/>
    <xf numFmtId="0" fontId="210" fillId="0" borderId="1705" applyNumberFormat="0" applyFill="0" applyBorder="0" applyAlignment="0">
      <protection locked="0"/>
    </xf>
    <xf numFmtId="264" fontId="12" fillId="14" borderId="1705" applyFont="0" applyFill="0" applyBorder="0" applyAlignment="0" applyProtection="0">
      <alignment horizontal="right"/>
    </xf>
    <xf numFmtId="0" fontId="166" fillId="0" borderId="1705">
      <alignment horizontal="center"/>
    </xf>
    <xf numFmtId="0" fontId="165" fillId="0" borderId="1705" applyFill="0" applyProtection="0">
      <alignment horizontal="center"/>
    </xf>
    <xf numFmtId="186" fontId="140" fillId="3" borderId="1697">
      <alignment horizontal="center" vertical="center"/>
    </xf>
    <xf numFmtId="186" fontId="146" fillId="3" borderId="1696">
      <alignment horizontal="left"/>
    </xf>
    <xf numFmtId="186" fontId="146" fillId="3" borderId="1705" applyBorder="0">
      <alignment horizontal="left" vertical="center"/>
    </xf>
    <xf numFmtId="180" fontId="9" fillId="3" borderId="1705">
      <alignment horizontal="right" vertical="center"/>
    </xf>
    <xf numFmtId="192" fontId="9" fillId="3" borderId="1705">
      <alignment horizontal="right" vertical="center"/>
    </xf>
    <xf numFmtId="248" fontId="46" fillId="0" borderId="1705"/>
    <xf numFmtId="0" fontId="78" fillId="14" borderId="1695" applyFont="0" applyFill="0" applyBorder="0" applyAlignment="0" applyProtection="0"/>
    <xf numFmtId="0" fontId="12" fillId="0" borderId="1705" applyNumberFormat="0" applyFill="0" applyBorder="0" applyAlignment="0" applyProtection="0">
      <alignment horizontal="center"/>
    </xf>
    <xf numFmtId="0" fontId="75" fillId="0" borderId="1694" applyNumberFormat="0" applyFont="0" applyFill="0" applyAlignment="0" applyProtection="0"/>
    <xf numFmtId="0" fontId="113" fillId="0" borderId="1705" applyNumberFormat="0" applyFill="0" applyAlignment="0" applyProtection="0"/>
    <xf numFmtId="222" fontId="79" fillId="0" borderId="1704" applyBorder="0"/>
    <xf numFmtId="0" fontId="101" fillId="0" borderId="1705" applyBorder="0"/>
    <xf numFmtId="0" fontId="25" fillId="10" borderId="1712" applyNumberFormat="0" applyProtection="0">
      <alignment horizontal="left" vertical="top"/>
    </xf>
    <xf numFmtId="0" fontId="25" fillId="10" borderId="1713" applyNumberFormat="0" applyProtection="0">
      <alignment horizontal="left" vertical="top"/>
    </xf>
    <xf numFmtId="0" fontId="25" fillId="10" borderId="1714" applyNumberFormat="0" applyProtection="0">
      <alignment horizontal="left" vertical="top"/>
    </xf>
    <xf numFmtId="0" fontId="25" fillId="10" borderId="1715" applyNumberFormat="0" applyProtection="0">
      <alignment horizontal="left" vertical="top"/>
    </xf>
    <xf numFmtId="246" fontId="250" fillId="0" borderId="1693" applyFill="0" applyProtection="0">
      <alignment horizontal="center"/>
    </xf>
    <xf numFmtId="246" fontId="249" fillId="0" borderId="1693" applyFill="0" applyProtection="0">
      <alignment horizontal="center"/>
    </xf>
    <xf numFmtId="0" fontId="241" fillId="94" borderId="1693" applyBorder="0" applyProtection="0">
      <alignment horizontal="centerContinuous" vertical="center"/>
    </xf>
    <xf numFmtId="254" fontId="240" fillId="0" borderId="1693" applyBorder="0" applyProtection="0">
      <alignment horizontal="right" vertical="center"/>
    </xf>
    <xf numFmtId="0" fontId="210" fillId="0" borderId="1693" applyNumberFormat="0" applyFill="0" applyBorder="0" applyAlignment="0">
      <protection locked="0"/>
    </xf>
    <xf numFmtId="264" fontId="12" fillId="14" borderId="1693" applyFont="0" applyFill="0" applyBorder="0" applyAlignment="0" applyProtection="0">
      <alignment horizontal="right"/>
    </xf>
    <xf numFmtId="0" fontId="166" fillId="0" borderId="1693">
      <alignment horizontal="center"/>
    </xf>
    <xf numFmtId="0" fontId="165" fillId="0" borderId="1693" applyFill="0" applyProtection="0">
      <alignment horizontal="center"/>
    </xf>
    <xf numFmtId="186" fontId="146" fillId="3" borderId="1693" applyBorder="0">
      <alignment horizontal="left" vertical="center"/>
    </xf>
    <xf numFmtId="180" fontId="9" fillId="3" borderId="1693">
      <alignment horizontal="right" vertical="center"/>
    </xf>
    <xf numFmtId="192" fontId="9" fillId="3" borderId="1693">
      <alignment horizontal="right" vertical="center"/>
    </xf>
    <xf numFmtId="248" fontId="46" fillId="0" borderId="1693"/>
    <xf numFmtId="0" fontId="12" fillId="0" borderId="1693" applyNumberFormat="0" applyFill="0" applyBorder="0" applyAlignment="0" applyProtection="0">
      <alignment horizontal="center"/>
    </xf>
    <xf numFmtId="0" fontId="113" fillId="0" borderId="1693" applyNumberFormat="0" applyFill="0" applyAlignment="0" applyProtection="0"/>
    <xf numFmtId="222" fontId="79" fillId="0" borderId="1692" applyBorder="0"/>
    <xf numFmtId="0" fontId="101" fillId="0" borderId="1693" applyBorder="0"/>
    <xf numFmtId="246" fontId="250" fillId="0" borderId="1693" applyFill="0" applyProtection="0">
      <alignment horizontal="center"/>
    </xf>
    <xf numFmtId="246" fontId="249" fillId="0" borderId="1693" applyFill="0" applyProtection="0">
      <alignment horizontal="center"/>
    </xf>
    <xf numFmtId="0" fontId="241" fillId="94" borderId="1693" applyBorder="0" applyProtection="0">
      <alignment horizontal="centerContinuous" vertical="center"/>
    </xf>
    <xf numFmtId="254" fontId="240" fillId="0" borderId="1693" applyBorder="0" applyProtection="0">
      <alignment horizontal="right" vertical="center"/>
    </xf>
    <xf numFmtId="0" fontId="210" fillId="0" borderId="1693" applyNumberFormat="0" applyFill="0" applyBorder="0" applyAlignment="0">
      <protection locked="0"/>
    </xf>
    <xf numFmtId="264" fontId="12" fillId="14" borderId="1693" applyFont="0" applyFill="0" applyBorder="0" applyAlignment="0" applyProtection="0">
      <alignment horizontal="right"/>
    </xf>
    <xf numFmtId="0" fontId="166" fillId="0" borderId="1693">
      <alignment horizontal="center"/>
    </xf>
    <xf numFmtId="0" fontId="165" fillId="0" borderId="1693" applyFill="0" applyProtection="0">
      <alignment horizontal="center"/>
    </xf>
    <xf numFmtId="186" fontId="146" fillId="3" borderId="1693" applyBorder="0">
      <alignment horizontal="left" vertical="center"/>
    </xf>
    <xf numFmtId="180" fontId="9" fillId="3" borderId="1693">
      <alignment horizontal="right" vertical="center"/>
    </xf>
    <xf numFmtId="192" fontId="9" fillId="3" borderId="1693">
      <alignment horizontal="right" vertical="center"/>
    </xf>
    <xf numFmtId="0" fontId="12" fillId="0" borderId="1693" applyNumberFormat="0" applyFill="0" applyBorder="0" applyAlignment="0" applyProtection="0">
      <alignment horizontal="center"/>
    </xf>
    <xf numFmtId="0" fontId="113" fillId="0" borderId="1693" applyNumberFormat="0" applyFill="0" applyAlignment="0" applyProtection="0"/>
    <xf numFmtId="222" fontId="79" fillId="0" borderId="1692" applyBorder="0"/>
    <xf numFmtId="0" fontId="101" fillId="0" borderId="1693" applyBorder="0"/>
    <xf numFmtId="248" fontId="46" fillId="0" borderId="1693"/>
    <xf numFmtId="246" fontId="250" fillId="0" borderId="1693" applyFill="0" applyProtection="0">
      <alignment horizontal="center"/>
    </xf>
    <xf numFmtId="246" fontId="249" fillId="0" borderId="1693" applyFill="0" applyProtection="0">
      <alignment horizontal="center"/>
    </xf>
    <xf numFmtId="0" fontId="241" fillId="94" borderId="1693" applyBorder="0" applyProtection="0">
      <alignment horizontal="centerContinuous" vertical="center"/>
    </xf>
    <xf numFmtId="254" fontId="240" fillId="0" borderId="1693" applyBorder="0" applyProtection="0">
      <alignment horizontal="right" vertical="center"/>
    </xf>
    <xf numFmtId="0" fontId="210" fillId="0" borderId="1693" applyNumberFormat="0" applyFill="0" applyBorder="0" applyAlignment="0">
      <protection locked="0"/>
    </xf>
    <xf numFmtId="264" fontId="12" fillId="14" borderId="1693" applyFont="0" applyFill="0" applyBorder="0" applyAlignment="0" applyProtection="0">
      <alignment horizontal="right"/>
    </xf>
    <xf numFmtId="0" fontId="166" fillId="0" borderId="1693">
      <alignment horizontal="center"/>
    </xf>
    <xf numFmtId="0" fontId="165" fillId="0" borderId="1693" applyFill="0" applyProtection="0">
      <alignment horizontal="center"/>
    </xf>
    <xf numFmtId="186" fontId="146" fillId="3" borderId="1693" applyBorder="0">
      <alignment horizontal="left" vertical="center"/>
    </xf>
    <xf numFmtId="180" fontId="9" fillId="3" borderId="1693">
      <alignment horizontal="right" vertical="center"/>
    </xf>
    <xf numFmtId="192" fontId="9" fillId="3" borderId="1693">
      <alignment horizontal="right" vertical="center"/>
    </xf>
    <xf numFmtId="248" fontId="46" fillId="0" borderId="1693"/>
    <xf numFmtId="0" fontId="12" fillId="0" borderId="1693" applyNumberFormat="0" applyFill="0" applyBorder="0" applyAlignment="0" applyProtection="0">
      <alignment horizontal="center"/>
    </xf>
    <xf numFmtId="0" fontId="113" fillId="0" borderId="1693" applyNumberFormat="0" applyFill="0" applyAlignment="0" applyProtection="0"/>
    <xf numFmtId="222" fontId="79" fillId="0" borderId="1692" applyBorder="0"/>
    <xf numFmtId="0" fontId="101" fillId="0" borderId="1693" applyBorder="0"/>
    <xf numFmtId="222" fontId="79" fillId="0" borderId="1773" applyBorder="0"/>
    <xf numFmtId="0" fontId="113" fillId="0" borderId="1895" applyNumberFormat="0" applyFill="0" applyAlignment="0" applyProtection="0"/>
    <xf numFmtId="0" fontId="210" fillId="0" borderId="1883" applyNumberFormat="0" applyFill="0" applyBorder="0" applyAlignment="0">
      <protection locked="0"/>
    </xf>
    <xf numFmtId="0" fontId="241" fillId="94" borderId="1895" applyBorder="0" applyProtection="0">
      <alignment horizontal="centerContinuous" vertical="center"/>
    </xf>
    <xf numFmtId="246" fontId="249" fillId="0" borderId="2063" applyFill="0" applyProtection="0">
      <alignment horizontal="center"/>
    </xf>
    <xf numFmtId="0" fontId="25" fillId="10" borderId="2082" applyNumberFormat="0" applyProtection="0">
      <alignment horizontal="left" vertical="top"/>
    </xf>
    <xf numFmtId="190" fontId="2" fillId="0" borderId="1936" applyNumberFormat="0" applyAlignment="0" applyProtection="0"/>
    <xf numFmtId="190" fontId="210" fillId="0" borderId="1955" applyNumberFormat="0" applyFill="0" applyBorder="0" applyAlignment="0">
      <protection locked="0"/>
    </xf>
    <xf numFmtId="190" fontId="166" fillId="0" borderId="1955">
      <alignment horizontal="center"/>
    </xf>
    <xf numFmtId="190" fontId="165" fillId="0" borderId="1955" applyFill="0" applyProtection="0">
      <alignment horizontal="center"/>
    </xf>
    <xf numFmtId="190" fontId="12" fillId="0" borderId="1955" applyNumberFormat="0" applyFill="0" applyBorder="0" applyAlignment="0" applyProtection="0">
      <alignment horizontal="center"/>
    </xf>
    <xf numFmtId="190" fontId="75" fillId="0" borderId="1932" applyNumberFormat="0" applyFont="0" applyFill="0" applyAlignment="0" applyProtection="0"/>
    <xf numFmtId="246" fontId="249" fillId="0" borderId="1955" applyFill="0" applyProtection="0">
      <alignment horizontal="center"/>
    </xf>
    <xf numFmtId="0" fontId="25" fillId="10" borderId="1965" applyNumberFormat="0" applyProtection="0">
      <alignment horizontal="left" vertical="top"/>
    </xf>
    <xf numFmtId="0" fontId="5" fillId="0" borderId="4745">
      <alignment horizontal="left" vertical="center"/>
    </xf>
    <xf numFmtId="0" fontId="101" fillId="0" borderId="1955" applyBorder="0"/>
    <xf numFmtId="222" fontId="79" fillId="0" borderId="1954" applyBorder="0"/>
    <xf numFmtId="0" fontId="12" fillId="0" borderId="1955" applyNumberFormat="0" applyFill="0" applyBorder="0" applyAlignment="0" applyProtection="0">
      <alignment horizontal="center"/>
    </xf>
    <xf numFmtId="0" fontId="12" fillId="0" borderId="1717" applyNumberFormat="0" applyFill="0" applyBorder="0" applyAlignment="0" applyProtection="0"/>
    <xf numFmtId="0" fontId="46" fillId="0" borderId="1717" applyNumberFormat="0" applyFill="0" applyBorder="0" applyAlignment="0" applyProtection="0"/>
    <xf numFmtId="0" fontId="105" fillId="0" borderId="1717" applyNumberFormat="0" applyFill="0" applyBorder="0" applyAlignment="0" applyProtection="0"/>
    <xf numFmtId="0" fontId="48" fillId="0" borderId="1717" applyNumberFormat="0" applyFill="0" applyAlignment="0" applyProtection="0"/>
    <xf numFmtId="0" fontId="241" fillId="94" borderId="1955" applyBorder="0" applyProtection="0">
      <alignment horizontal="centerContinuous" vertical="center"/>
    </xf>
    <xf numFmtId="192" fontId="9" fillId="3" borderId="4810">
      <alignment horizontal="right" vertical="center"/>
    </xf>
    <xf numFmtId="5" fontId="114" fillId="0" borderId="1716" applyAlignment="0" applyProtection="0"/>
    <xf numFmtId="0" fontId="25" fillId="10" borderId="1965" applyNumberFormat="0" applyProtection="0">
      <alignment horizontal="left" vertical="top"/>
    </xf>
    <xf numFmtId="0" fontId="25" fillId="10" borderId="1964" applyNumberFormat="0" applyProtection="0">
      <alignment horizontal="left" vertical="top"/>
    </xf>
    <xf numFmtId="0" fontId="25" fillId="10" borderId="1963" applyNumberFormat="0" applyProtection="0">
      <alignment horizontal="left" vertical="top"/>
    </xf>
    <xf numFmtId="0" fontId="25" fillId="10" borderId="1962" applyNumberFormat="0" applyProtection="0">
      <alignment horizontal="left" vertical="top"/>
    </xf>
    <xf numFmtId="186" fontId="140" fillId="3" borderId="1959">
      <alignment horizontal="center" vertical="center"/>
    </xf>
    <xf numFmtId="246" fontId="249" fillId="0" borderId="1943" applyFill="0" applyProtection="0">
      <alignment horizontal="center"/>
    </xf>
    <xf numFmtId="0" fontId="210" fillId="0" borderId="1943" applyNumberFormat="0" applyFill="0" applyBorder="0" applyAlignment="0">
      <protection locked="0"/>
    </xf>
    <xf numFmtId="264" fontId="12" fillId="14" borderId="1943" applyFont="0" applyFill="0" applyBorder="0" applyAlignment="0" applyProtection="0">
      <alignment horizontal="right"/>
    </xf>
    <xf numFmtId="192" fontId="9" fillId="3" borderId="1943">
      <alignment horizontal="right" vertical="center"/>
    </xf>
    <xf numFmtId="0" fontId="113" fillId="0" borderId="1943" applyNumberFormat="0" applyFill="0" applyAlignment="0" applyProtection="0"/>
    <xf numFmtId="222" fontId="79" fillId="0" borderId="1942" applyBorder="0"/>
    <xf numFmtId="0" fontId="75" fillId="0" borderId="1932" applyNumberFormat="0" applyFont="0" applyFill="0" applyAlignment="0" applyProtection="0"/>
    <xf numFmtId="186" fontId="146" fillId="3" borderId="1934">
      <alignment horizontal="left"/>
    </xf>
    <xf numFmtId="0" fontId="25" fillId="10" borderId="1939" applyNumberFormat="0" applyProtection="0">
      <alignment horizontal="left" vertical="top"/>
    </xf>
    <xf numFmtId="0" fontId="25" fillId="10" borderId="1940" applyNumberFormat="0" applyProtection="0">
      <alignment horizontal="left" vertical="top"/>
    </xf>
    <xf numFmtId="0" fontId="25" fillId="10" borderId="1941" applyNumberFormat="0" applyProtection="0">
      <alignment horizontal="left" vertical="top"/>
    </xf>
    <xf numFmtId="246" fontId="250" fillId="0" borderId="1919" applyFill="0" applyProtection="0">
      <alignment horizontal="center"/>
    </xf>
    <xf numFmtId="246" fontId="249" fillId="0" borderId="1919" applyFill="0" applyProtection="0">
      <alignment horizontal="center"/>
    </xf>
    <xf numFmtId="0" fontId="241" fillId="94" borderId="1919" applyBorder="0" applyProtection="0">
      <alignment horizontal="centerContinuous" vertical="center"/>
    </xf>
    <xf numFmtId="0" fontId="210" fillId="0" borderId="1919" applyNumberFormat="0" applyFill="0" applyBorder="0" applyAlignment="0">
      <protection locked="0"/>
    </xf>
    <xf numFmtId="0" fontId="165" fillId="0" borderId="1919" applyFill="0" applyProtection="0">
      <alignment horizontal="center"/>
    </xf>
    <xf numFmtId="192" fontId="9" fillId="3" borderId="1919">
      <alignment horizontal="right" vertical="center"/>
    </xf>
    <xf numFmtId="0" fontId="113" fillId="0" borderId="1919" applyNumberFormat="0" applyFill="0" applyAlignment="0" applyProtection="0"/>
    <xf numFmtId="222" fontId="79" fillId="0" borderId="1918" applyBorder="0"/>
    <xf numFmtId="186" fontId="140" fillId="3" borderId="1911">
      <alignment horizontal="center" vertical="center"/>
    </xf>
    <xf numFmtId="0" fontId="25" fillId="10" borderId="1914" applyNumberFormat="0" applyProtection="0">
      <alignment horizontal="left" vertical="top"/>
    </xf>
    <xf numFmtId="0" fontId="25" fillId="10" borderId="1917" applyNumberFormat="0" applyProtection="0">
      <alignment horizontal="left" vertical="top"/>
    </xf>
    <xf numFmtId="0" fontId="78" fillId="14" borderId="1885" applyFont="0" applyFill="0" applyBorder="0" applyAlignment="0" applyProtection="0"/>
    <xf numFmtId="186" fontId="140" fillId="3" borderId="1899">
      <alignment horizontal="center" vertical="center"/>
    </xf>
    <xf numFmtId="0" fontId="241" fillId="94" borderId="1895" applyBorder="0" applyProtection="0">
      <alignment horizontal="centerContinuous" vertical="center"/>
    </xf>
    <xf numFmtId="254" fontId="240" fillId="0" borderId="1895" applyBorder="0" applyProtection="0">
      <alignment horizontal="right" vertical="center"/>
    </xf>
    <xf numFmtId="0" fontId="210" fillId="0" borderId="1895" applyNumberFormat="0" applyFill="0" applyBorder="0" applyAlignment="0">
      <protection locked="0"/>
    </xf>
    <xf numFmtId="264" fontId="12" fillId="14" borderId="1895" applyFont="0" applyFill="0" applyBorder="0" applyAlignment="0" applyProtection="0">
      <alignment horizontal="right"/>
    </xf>
    <xf numFmtId="186" fontId="140" fillId="3" borderId="1887">
      <alignment horizontal="center" vertical="center"/>
    </xf>
    <xf numFmtId="186" fontId="146" fillId="3" borderId="1886">
      <alignment horizontal="left"/>
    </xf>
    <xf numFmtId="222" fontId="79" fillId="0" borderId="1894" applyBorder="0"/>
    <xf numFmtId="180" fontId="9" fillId="3" borderId="1883">
      <alignment horizontal="right" vertical="center"/>
    </xf>
    <xf numFmtId="192" fontId="9" fillId="3" borderId="1883">
      <alignment horizontal="right" vertical="center"/>
    </xf>
    <xf numFmtId="248" fontId="46" fillId="0" borderId="1883"/>
    <xf numFmtId="0" fontId="12" fillId="0" borderId="1883" applyNumberFormat="0" applyFill="0" applyBorder="0" applyAlignment="0" applyProtection="0">
      <alignment horizontal="center"/>
    </xf>
    <xf numFmtId="0" fontId="101" fillId="0" borderId="1883" applyBorder="0"/>
    <xf numFmtId="222" fontId="79" fillId="0" borderId="1773" applyBorder="0"/>
    <xf numFmtId="0" fontId="78" fillId="14" borderId="1764" applyFont="0" applyFill="0" applyBorder="0" applyAlignment="0" applyProtection="0"/>
    <xf numFmtId="222" fontId="79" fillId="0" borderId="1773" applyBorder="0"/>
    <xf numFmtId="0" fontId="25" fillId="10" borderId="1892" applyNumberFormat="0" applyProtection="0">
      <alignment horizontal="left" vertical="top"/>
    </xf>
    <xf numFmtId="0" fontId="214" fillId="0" borderId="1889" applyNumberFormat="0" applyFont="0" applyFill="0" applyAlignment="0" applyProtection="0"/>
    <xf numFmtId="186" fontId="146" fillId="3" borderId="1886">
      <alignment horizontal="left"/>
    </xf>
    <xf numFmtId="0" fontId="75" fillId="0" borderId="1884" applyNumberFormat="0" applyFont="0" applyFill="0" applyAlignment="0" applyProtection="0"/>
    <xf numFmtId="222" fontId="79" fillId="0" borderId="1894" applyBorder="0"/>
    <xf numFmtId="248" fontId="46" fillId="0" borderId="1895"/>
    <xf numFmtId="192" fontId="9" fillId="3" borderId="1895">
      <alignment horizontal="right" vertical="center"/>
    </xf>
    <xf numFmtId="180" fontId="9" fillId="3" borderId="1895">
      <alignment horizontal="right" vertical="center"/>
    </xf>
    <xf numFmtId="186" fontId="146" fillId="3" borderId="1895" applyBorder="0">
      <alignment horizontal="left" vertical="center"/>
    </xf>
    <xf numFmtId="0" fontId="165" fillId="0" borderId="1895" applyFill="0" applyProtection="0">
      <alignment horizontal="center"/>
    </xf>
    <xf numFmtId="0" fontId="166" fillId="0" borderId="1895">
      <alignment horizontal="center"/>
    </xf>
    <xf numFmtId="264" fontId="12" fillId="14" borderId="1895" applyFont="0" applyFill="0" applyBorder="0" applyAlignment="0" applyProtection="0">
      <alignment horizontal="right"/>
    </xf>
    <xf numFmtId="0" fontId="210" fillId="0" borderId="1895" applyNumberFormat="0" applyFill="0" applyBorder="0" applyAlignment="0">
      <protection locked="0"/>
    </xf>
    <xf numFmtId="254" fontId="240" fillId="0" borderId="1895" applyBorder="0" applyProtection="0">
      <alignment horizontal="right" vertical="center"/>
    </xf>
    <xf numFmtId="0" fontId="241" fillId="94" borderId="1895" applyBorder="0" applyProtection="0">
      <alignment horizontal="centerContinuous" vertical="center"/>
    </xf>
    <xf numFmtId="0" fontId="2" fillId="0" borderId="1948" applyNumberFormat="0" applyAlignment="0" applyProtection="0"/>
    <xf numFmtId="0" fontId="74" fillId="0" borderId="1716" applyFont="0" applyFill="0" applyBorder="0" applyAlignment="0" applyProtection="0">
      <alignment horizontal="center"/>
    </xf>
    <xf numFmtId="0" fontId="48" fillId="0" borderId="1716" applyFont="0" applyFill="0" applyBorder="0" applyAlignment="0" applyProtection="0">
      <alignment horizontal="center"/>
    </xf>
    <xf numFmtId="0" fontId="25" fillId="10" borderId="1950" applyNumberFormat="0" applyProtection="0">
      <alignment horizontal="left" vertical="top"/>
    </xf>
    <xf numFmtId="222" fontId="79" fillId="0" borderId="1773" applyBorder="0"/>
    <xf numFmtId="186" fontId="146" fillId="3" borderId="1946">
      <alignment horizontal="left"/>
    </xf>
    <xf numFmtId="186" fontId="140" fillId="3" borderId="1947">
      <alignment horizontal="center" vertical="center"/>
    </xf>
    <xf numFmtId="0" fontId="25" fillId="10" borderId="1712" applyNumberFormat="0" applyProtection="0">
      <alignment horizontal="left" vertical="top"/>
    </xf>
    <xf numFmtId="0" fontId="25" fillId="10" borderId="1715" applyNumberFormat="0" applyProtection="0">
      <alignment horizontal="left" vertical="top"/>
    </xf>
    <xf numFmtId="0" fontId="78" fillId="14" borderId="1764" applyFont="0" applyFill="0" applyBorder="0" applyAlignment="0" applyProtection="0"/>
    <xf numFmtId="0" fontId="78" fillId="14" borderId="1921" applyFont="0" applyFill="0" applyBorder="0" applyAlignment="0" applyProtection="0"/>
    <xf numFmtId="0" fontId="214" fillId="0" borderId="1925" applyNumberFormat="0" applyFont="0" applyFill="0" applyAlignment="0" applyProtection="0"/>
    <xf numFmtId="186" fontId="146" fillId="3" borderId="1931" applyBorder="0">
      <alignment horizontal="left" vertical="center"/>
    </xf>
    <xf numFmtId="0" fontId="166" fillId="0" borderId="1931">
      <alignment horizontal="center"/>
    </xf>
    <xf numFmtId="0" fontId="241" fillId="94" borderId="1931" applyBorder="0" applyProtection="0">
      <alignment horizontal="centerContinuous" vertical="center"/>
    </xf>
    <xf numFmtId="0" fontId="241" fillId="94" borderId="1907" applyBorder="0" applyProtection="0">
      <alignment horizontal="centerContinuous" vertical="center"/>
    </xf>
    <xf numFmtId="254" fontId="240" fillId="0" borderId="1907" applyBorder="0" applyProtection="0">
      <alignment horizontal="right" vertical="center"/>
    </xf>
    <xf numFmtId="0" fontId="165" fillId="0" borderId="1907" applyFill="0" applyProtection="0">
      <alignment horizontal="center"/>
    </xf>
    <xf numFmtId="0" fontId="25" fillId="10" borderId="1893" applyNumberFormat="0" applyProtection="0">
      <alignment horizontal="left" vertical="top"/>
    </xf>
    <xf numFmtId="0" fontId="25" fillId="10" borderId="1892" applyNumberFormat="0" applyProtection="0">
      <alignment horizontal="left" vertical="top"/>
    </xf>
    <xf numFmtId="0" fontId="75" fillId="0" borderId="1884" applyNumberFormat="0" applyFont="0" applyFill="0" applyAlignment="0" applyProtection="0"/>
    <xf numFmtId="0" fontId="214" fillId="0" borderId="1949" applyNumberFormat="0" applyFont="0" applyFill="0" applyAlignment="0" applyProtection="0"/>
    <xf numFmtId="222" fontId="79" fillId="0" borderId="1894" applyBorder="0"/>
    <xf numFmtId="0" fontId="25" fillId="10" borderId="1953" applyNumberFormat="0" applyProtection="0">
      <alignment horizontal="left" vertical="top"/>
    </xf>
    <xf numFmtId="254" fontId="240" fillId="0" borderId="1774" applyBorder="0" applyProtection="0">
      <alignment horizontal="right" vertical="center"/>
    </xf>
    <xf numFmtId="0" fontId="210" fillId="0" borderId="1774" applyNumberFormat="0" applyFill="0" applyBorder="0" applyAlignment="0">
      <protection locked="0"/>
    </xf>
    <xf numFmtId="264" fontId="12" fillId="14" borderId="1774" applyFont="0" applyFill="0" applyBorder="0" applyAlignment="0" applyProtection="0">
      <alignment horizontal="right"/>
    </xf>
    <xf numFmtId="0" fontId="166" fillId="0" borderId="1774">
      <alignment horizontal="center"/>
    </xf>
    <xf numFmtId="0" fontId="165" fillId="0" borderId="1774" applyFill="0" applyProtection="0">
      <alignment horizontal="center"/>
    </xf>
    <xf numFmtId="186" fontId="146" fillId="3" borderId="1774" applyBorder="0">
      <alignment horizontal="left" vertical="center"/>
    </xf>
    <xf numFmtId="182" fontId="145" fillId="3" borderId="1716">
      <alignment horizontal="right" vertical="center"/>
    </xf>
    <xf numFmtId="180" fontId="9" fillId="3" borderId="1774">
      <alignment horizontal="right" vertical="center"/>
    </xf>
    <xf numFmtId="186" fontId="146" fillId="3" borderId="1898">
      <alignment horizontal="left"/>
    </xf>
    <xf numFmtId="0" fontId="214" fillId="0" borderId="1901" applyNumberFormat="0" applyFont="0" applyFill="0" applyAlignment="0" applyProtection="0"/>
    <xf numFmtId="186" fontId="48" fillId="3" borderId="1716">
      <alignment vertical="center"/>
    </xf>
    <xf numFmtId="0" fontId="25" fillId="10" borderId="1902" applyNumberFormat="0" applyProtection="0">
      <alignment horizontal="left" vertical="top"/>
    </xf>
    <xf numFmtId="0" fontId="25" fillId="10" borderId="1904" applyNumberFormat="0" applyProtection="0">
      <alignment horizontal="left" vertical="top"/>
    </xf>
    <xf numFmtId="222" fontId="79" fillId="0" borderId="1918" applyBorder="0"/>
    <xf numFmtId="0" fontId="135" fillId="0" borderId="1718"/>
    <xf numFmtId="0" fontId="135" fillId="0" borderId="1718"/>
    <xf numFmtId="0" fontId="25" fillId="10" borderId="1929" applyNumberFormat="0" applyProtection="0">
      <alignment horizontal="left" vertical="top"/>
    </xf>
    <xf numFmtId="0" fontId="25" fillId="10" borderId="1926" applyNumberFormat="0" applyProtection="0">
      <alignment horizontal="left" vertical="top"/>
    </xf>
    <xf numFmtId="222" fontId="79" fillId="0" borderId="1930" applyBorder="0"/>
    <xf numFmtId="180" fontId="9" fillId="3" borderId="1931">
      <alignment horizontal="right" vertical="center"/>
    </xf>
    <xf numFmtId="254" fontId="240" fillId="0" borderId="1931" applyBorder="0" applyProtection="0">
      <alignment horizontal="right" vertical="center"/>
    </xf>
    <xf numFmtId="246" fontId="249" fillId="0" borderId="1931" applyFill="0" applyProtection="0">
      <alignment horizontal="center"/>
    </xf>
    <xf numFmtId="246" fontId="250" fillId="0" borderId="1931" applyFill="0" applyProtection="0">
      <alignment horizontal="center"/>
    </xf>
    <xf numFmtId="264" fontId="12" fillId="14" borderId="1907" applyFont="0" applyFill="0" applyBorder="0" applyAlignment="0" applyProtection="0">
      <alignment horizontal="right"/>
    </xf>
    <xf numFmtId="186" fontId="146" fillId="3" borderId="1907" applyBorder="0">
      <alignment horizontal="left" vertical="center"/>
    </xf>
    <xf numFmtId="180" fontId="9" fillId="3" borderId="1907">
      <alignment horizontal="right" vertical="center"/>
    </xf>
    <xf numFmtId="192" fontId="9" fillId="3" borderId="1907">
      <alignment horizontal="right" vertical="center"/>
    </xf>
    <xf numFmtId="248" fontId="46" fillId="0" borderId="1907"/>
    <xf numFmtId="0" fontId="12" fillId="0" borderId="1907" applyNumberFormat="0" applyFill="0" applyBorder="0" applyAlignment="0" applyProtection="0">
      <alignment horizontal="center"/>
    </xf>
    <xf numFmtId="0" fontId="113" fillId="0" borderId="1907" applyNumberFormat="0" applyFill="0" applyAlignment="0" applyProtection="0"/>
    <xf numFmtId="0" fontId="210" fillId="0" borderId="1955" applyNumberFormat="0" applyFill="0" applyBorder="0" applyAlignment="0">
      <protection locked="0"/>
    </xf>
    <xf numFmtId="0" fontId="165" fillId="0" borderId="1955" applyFill="0" applyProtection="0">
      <alignment horizontal="center"/>
    </xf>
    <xf numFmtId="192" fontId="9" fillId="3" borderId="1955">
      <alignment horizontal="right" vertical="center"/>
    </xf>
    <xf numFmtId="248" fontId="46" fillId="0" borderId="1955"/>
    <xf numFmtId="222" fontId="79" fillId="0" borderId="1954" applyBorder="0"/>
    <xf numFmtId="0" fontId="78" fillId="14" borderId="1945" applyFont="0" applyFill="0" applyBorder="0" applyAlignment="0" applyProtection="0"/>
    <xf numFmtId="0" fontId="25" fillId="10" borderId="1952" applyNumberFormat="0" applyProtection="0">
      <alignment horizontal="left" vertical="top"/>
    </xf>
    <xf numFmtId="186" fontId="140" fillId="3" borderId="1887">
      <alignment horizontal="center" vertical="center"/>
    </xf>
    <xf numFmtId="0" fontId="2" fillId="0" borderId="1888" applyNumberFormat="0" applyAlignment="0" applyProtection="0"/>
    <xf numFmtId="0" fontId="25" fillId="10" borderId="1891" applyNumberFormat="0" applyProtection="0">
      <alignment horizontal="left" vertical="top"/>
    </xf>
    <xf numFmtId="0" fontId="25" fillId="10" borderId="1890" applyNumberFormat="0" applyProtection="0">
      <alignment horizontal="left" vertical="top"/>
    </xf>
    <xf numFmtId="0" fontId="25" fillId="10" borderId="1893" applyNumberFormat="0" applyProtection="0">
      <alignment horizontal="left" vertical="top"/>
    </xf>
    <xf numFmtId="0" fontId="159" fillId="0" borderId="1718"/>
    <xf numFmtId="0" fontId="159" fillId="67" borderId="1718"/>
    <xf numFmtId="0" fontId="75" fillId="0" borderId="1884" applyNumberFormat="0" applyFont="0" applyFill="0" applyAlignment="0" applyProtection="0"/>
    <xf numFmtId="186" fontId="146" fillId="3" borderId="1886">
      <alignment horizontal="left"/>
    </xf>
    <xf numFmtId="246" fontId="250" fillId="0" borderId="1883" applyFill="0" applyProtection="0">
      <alignment horizontal="center"/>
    </xf>
    <xf numFmtId="0" fontId="210" fillId="0" borderId="1883" applyNumberFormat="0" applyFill="0" applyBorder="0" applyAlignment="0">
      <protection locked="0"/>
    </xf>
    <xf numFmtId="264" fontId="12" fillId="14" borderId="1883" applyFont="0" applyFill="0" applyBorder="0" applyAlignment="0" applyProtection="0">
      <alignment horizontal="right"/>
    </xf>
    <xf numFmtId="180" fontId="9" fillId="3" borderId="1883">
      <alignment horizontal="right" vertical="center"/>
    </xf>
    <xf numFmtId="248" fontId="46" fillId="0" borderId="1883"/>
    <xf numFmtId="0" fontId="75" fillId="0" borderId="2064" applyNumberFormat="0" applyFont="0" applyFill="0" applyAlignment="0" applyProtection="0"/>
    <xf numFmtId="180" fontId="9" fillId="3" borderId="2144">
      <alignment horizontal="right" vertical="center"/>
    </xf>
    <xf numFmtId="0" fontId="25" fillId="69" borderId="1718">
      <alignment horizontal="left" vertical="center" wrapText="1"/>
    </xf>
    <xf numFmtId="1" fontId="154" fillId="65" borderId="1785" applyNumberFormat="0" applyBorder="0" applyAlignment="0">
      <alignment horizontal="centerContinuous" vertical="center"/>
      <protection locked="0"/>
    </xf>
    <xf numFmtId="0" fontId="46" fillId="0" borderId="4729" applyNumberFormat="0" applyFill="0" applyBorder="0" applyAlignment="0" applyProtection="0"/>
    <xf numFmtId="0" fontId="184" fillId="0" borderId="1719" applyAlignment="0">
      <alignment horizontal="left" wrapText="1"/>
    </xf>
    <xf numFmtId="246" fontId="250" fillId="0" borderId="2063" applyFill="0" applyProtection="0">
      <alignment horizontal="center"/>
    </xf>
    <xf numFmtId="246" fontId="249" fillId="0" borderId="1883" applyFill="0" applyProtection="0">
      <alignment horizontal="center"/>
    </xf>
    <xf numFmtId="0" fontId="241" fillId="94" borderId="1883" applyBorder="0" applyProtection="0">
      <alignment horizontal="centerContinuous" vertical="center"/>
    </xf>
    <xf numFmtId="254" fontId="240" fillId="0" borderId="1883" applyBorder="0" applyProtection="0">
      <alignment horizontal="right" vertical="center"/>
    </xf>
    <xf numFmtId="0" fontId="25" fillId="10" borderId="2081" applyNumberFormat="0" applyProtection="0">
      <alignment horizontal="left"/>
    </xf>
    <xf numFmtId="4" fontId="223" fillId="53" borderId="1720" applyNumberFormat="0" applyProtection="0">
      <alignment vertical="center"/>
    </xf>
    <xf numFmtId="4" fontId="224" fillId="53" borderId="1720" applyNumberFormat="0" applyProtection="0">
      <alignment vertical="center"/>
    </xf>
    <xf numFmtId="4" fontId="184" fillId="53" borderId="1720" applyNumberFormat="0" applyProtection="0">
      <alignment horizontal="left" vertical="center" indent="1"/>
    </xf>
    <xf numFmtId="0" fontId="225" fillId="53" borderId="1720" applyNumberFormat="0" applyProtection="0">
      <alignment horizontal="left" vertical="top" indent="1"/>
    </xf>
    <xf numFmtId="4" fontId="226" fillId="76" borderId="1720" applyNumberFormat="0" applyProtection="0">
      <alignment horizontal="right" vertical="center"/>
    </xf>
    <xf numFmtId="4" fontId="226" fillId="77" borderId="1720" applyNumberFormat="0" applyProtection="0">
      <alignment horizontal="right" vertical="center"/>
    </xf>
    <xf numFmtId="4" fontId="226" fillId="78" borderId="1720" applyNumberFormat="0" applyProtection="0">
      <alignment horizontal="right" vertical="center"/>
    </xf>
    <xf numFmtId="4" fontId="226" fillId="10" borderId="1720" applyNumberFormat="0" applyProtection="0">
      <alignment horizontal="right" vertical="center"/>
    </xf>
    <xf numFmtId="4" fontId="226" fillId="79" borderId="1720" applyNumberFormat="0" applyProtection="0">
      <alignment horizontal="right" vertical="center"/>
    </xf>
    <xf numFmtId="4" fontId="226" fillId="71" borderId="1720" applyNumberFormat="0" applyProtection="0">
      <alignment horizontal="right" vertical="center"/>
    </xf>
    <xf numFmtId="4" fontId="226" fillId="80" borderId="1720" applyNumberFormat="0" applyProtection="0">
      <alignment horizontal="right" vertical="center"/>
    </xf>
    <xf numFmtId="4" fontId="226" fillId="81" borderId="1720" applyNumberFormat="0" applyProtection="0">
      <alignment horizontal="right" vertical="center"/>
    </xf>
    <xf numFmtId="4" fontId="226" fillId="82" borderId="1720" applyNumberFormat="0" applyProtection="0">
      <alignment horizontal="right" vertical="center"/>
    </xf>
    <xf numFmtId="4" fontId="184" fillId="52" borderId="1720" applyNumberFormat="0" applyProtection="0">
      <alignment horizontal="right" vertical="center"/>
    </xf>
    <xf numFmtId="0" fontId="12" fillId="75" borderId="1720" applyNumberFormat="0" applyProtection="0">
      <alignment horizontal="left" vertical="center" indent="1"/>
    </xf>
    <xf numFmtId="0" fontId="12" fillId="75" borderId="1720" applyNumberFormat="0" applyProtection="0">
      <alignment horizontal="left" vertical="top" indent="1"/>
    </xf>
    <xf numFmtId="0" fontId="12" fillId="84" borderId="1720" applyNumberFormat="0" applyProtection="0">
      <alignment horizontal="left" vertical="center" indent="1"/>
    </xf>
    <xf numFmtId="0" fontId="12" fillId="84" borderId="1720" applyNumberFormat="0" applyProtection="0">
      <alignment horizontal="left" vertical="top" indent="1"/>
    </xf>
    <xf numFmtId="0" fontId="12" fillId="52" borderId="1720" applyNumberFormat="0" applyProtection="0">
      <alignment horizontal="left" vertical="center" indent="1"/>
    </xf>
    <xf numFmtId="0" fontId="12" fillId="52" borderId="1720" applyNumberFormat="0" applyProtection="0">
      <alignment horizontal="left" vertical="top" indent="1"/>
    </xf>
    <xf numFmtId="0" fontId="12" fillId="11" borderId="1720" applyNumberFormat="0" applyProtection="0">
      <alignment horizontal="left" vertical="center" indent="1"/>
    </xf>
    <xf numFmtId="0" fontId="12" fillId="11" borderId="1720" applyNumberFormat="0" applyProtection="0">
      <alignment horizontal="left" vertical="top" indent="1"/>
    </xf>
    <xf numFmtId="4" fontId="226" fillId="11" borderId="1720" applyNumberFormat="0" applyProtection="0">
      <alignment vertical="center"/>
    </xf>
    <xf numFmtId="4" fontId="228" fillId="11" borderId="1720" applyNumberFormat="0" applyProtection="0">
      <alignment vertical="center"/>
    </xf>
    <xf numFmtId="4" fontId="227" fillId="52" borderId="1721" applyNumberFormat="0" applyProtection="0">
      <alignment horizontal="left" vertical="center" indent="1"/>
    </xf>
    <xf numFmtId="0" fontId="136" fillId="14" borderId="1720" applyNumberFormat="0" applyProtection="0">
      <alignment horizontal="left" vertical="top" indent="1"/>
    </xf>
    <xf numFmtId="4" fontId="184" fillId="11" borderId="1720" applyNumberFormat="0" applyProtection="0">
      <alignment horizontal="right" vertical="center"/>
    </xf>
    <xf numFmtId="4" fontId="228" fillId="11" borderId="1720" applyNumberFormat="0" applyProtection="0">
      <alignment horizontal="right" vertical="center"/>
    </xf>
    <xf numFmtId="4" fontId="223" fillId="52" borderId="1720" applyNumberFormat="0" applyProtection="0">
      <alignment horizontal="left" vertical="center" indent="1"/>
    </xf>
    <xf numFmtId="0" fontId="136" fillId="84" borderId="1720" applyNumberFormat="0" applyProtection="0">
      <alignment horizontal="left" vertical="top" indent="1"/>
    </xf>
    <xf numFmtId="4" fontId="229" fillId="84" borderId="1721" applyNumberFormat="0" applyProtection="0">
      <alignment horizontal="left" vertical="center" indent="1"/>
    </xf>
    <xf numFmtId="4" fontId="230" fillId="11" borderId="1720" applyNumberFormat="0" applyProtection="0">
      <alignment horizontal="right" vertical="center"/>
    </xf>
    <xf numFmtId="3" fontId="12" fillId="60" borderId="1722" applyFont="0" applyFill="0" applyBorder="0" applyAlignment="0" applyProtection="0"/>
    <xf numFmtId="4" fontId="12" fillId="60" borderId="1722" applyFont="0" applyFill="0" applyBorder="0" applyAlignment="0" applyProtection="0"/>
    <xf numFmtId="183" fontId="12" fillId="60" borderId="1722" applyFont="0" applyFill="0" applyBorder="0" applyAlignment="0" applyProtection="0"/>
    <xf numFmtId="10" fontId="12" fillId="60" borderId="1722" applyFont="0" applyFill="0" applyBorder="0" applyAlignment="0" applyProtection="0"/>
    <xf numFmtId="9" fontId="12" fillId="60" borderId="1722" applyFont="0" applyFill="0" applyBorder="0" applyAlignment="0" applyProtection="0"/>
    <xf numFmtId="2" fontId="12" fillId="60" borderId="1722" applyFont="0" applyFill="0" applyBorder="0" applyAlignment="0" applyProtection="0"/>
    <xf numFmtId="0" fontId="25" fillId="10" borderId="1718" applyNumberFormat="0" applyProtection="0">
      <alignment horizontal="center" vertical="top"/>
    </xf>
    <xf numFmtId="0" fontId="25" fillId="10" borderId="1718" applyNumberFormat="0" applyProtection="0">
      <alignment horizontal="center" vertical="top"/>
    </xf>
    <xf numFmtId="169" fontId="234" fillId="3" borderId="1718" applyFont="0" applyProtection="0"/>
    <xf numFmtId="169" fontId="234" fillId="10" borderId="1718" applyFont="0" applyProtection="0"/>
    <xf numFmtId="293" fontId="234" fillId="3" borderId="1718" applyFont="0" applyProtection="0"/>
    <xf numFmtId="293" fontId="234" fillId="10" borderId="1718" applyFont="0" applyProtection="0"/>
    <xf numFmtId="293" fontId="234" fillId="10" borderId="1718" applyFont="0" applyProtection="0"/>
    <xf numFmtId="0" fontId="12" fillId="3" borderId="1718" applyNumberFormat="0" applyFont="0" applyAlignment="0" applyProtection="0"/>
    <xf numFmtId="0" fontId="12" fillId="10" borderId="1718" applyNumberFormat="0" applyFont="0" applyAlignment="0" applyProtection="0"/>
    <xf numFmtId="0" fontId="12" fillId="10" borderId="1718" applyNumberFormat="0" applyFont="0" applyProtection="0"/>
    <xf numFmtId="0" fontId="25" fillId="10" borderId="1723" applyNumberFormat="0" applyProtection="0">
      <alignment horizontal="left"/>
    </xf>
    <xf numFmtId="0" fontId="25" fillId="10" borderId="1724" applyNumberFormat="0" applyProtection="0">
      <alignment horizontal="left" vertical="top"/>
    </xf>
    <xf numFmtId="0" fontId="25" fillId="10" borderId="1725" applyNumberFormat="0" applyProtection="0">
      <alignment horizontal="left" vertical="top"/>
    </xf>
    <xf numFmtId="0" fontId="25" fillId="10" borderId="1726" applyNumberFormat="0" applyProtection="0">
      <alignment horizontal="left" vertical="top"/>
    </xf>
    <xf numFmtId="0" fontId="25" fillId="10" borderId="1727" applyNumberFormat="0" applyProtection="0">
      <alignment horizontal="left" vertical="top"/>
    </xf>
    <xf numFmtId="0" fontId="25" fillId="10" borderId="1728" applyNumberFormat="0" applyProtection="0">
      <alignment horizontal="left" vertical="top"/>
    </xf>
    <xf numFmtId="0" fontId="25" fillId="10" borderId="1729" applyNumberFormat="0" applyProtection="0">
      <alignment horizontal="left" vertical="top"/>
    </xf>
    <xf numFmtId="0" fontId="12" fillId="0" borderId="1717" applyNumberFormat="0" applyFill="0" applyBorder="0" applyAlignment="0" applyProtection="0"/>
    <xf numFmtId="10" fontId="12" fillId="3" borderId="1730" applyNumberFormat="0" applyFont="0" applyFill="0" applyBorder="0" applyAlignment="0">
      <protection locked="0"/>
    </xf>
    <xf numFmtId="0" fontId="12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0" fontId="12" fillId="0" borderId="1883" applyNumberFormat="0" applyFill="0" applyBorder="0" applyAlignment="0" applyProtection="0">
      <alignment horizontal="center"/>
    </xf>
    <xf numFmtId="0" fontId="241" fillId="94" borderId="2144" applyBorder="0" applyProtection="0">
      <alignment horizontal="centerContinuous" vertical="center"/>
    </xf>
    <xf numFmtId="254" fontId="240" fillId="0" borderId="1895" applyBorder="0" applyProtection="0">
      <alignment horizontal="right" vertical="center"/>
    </xf>
    <xf numFmtId="264" fontId="12" fillId="14" borderId="1955" applyFont="0" applyFill="0" applyBorder="0" applyAlignment="0" applyProtection="0">
      <alignment horizontal="right"/>
    </xf>
    <xf numFmtId="0" fontId="214" fillId="0" borderId="4816" applyNumberFormat="0" applyFont="0" applyFill="0" applyAlignment="0" applyProtection="0"/>
    <xf numFmtId="0" fontId="25" fillId="10" borderId="1714" applyNumberFormat="0" applyProtection="0">
      <alignment horizontal="left" vertical="top"/>
    </xf>
    <xf numFmtId="254" fontId="240" fillId="0" borderId="1955" applyBorder="0" applyProtection="0">
      <alignment horizontal="right" vertical="center"/>
    </xf>
    <xf numFmtId="0" fontId="166" fillId="0" borderId="1895">
      <alignment horizontal="center"/>
    </xf>
    <xf numFmtId="186" fontId="146" fillId="3" borderId="1886">
      <alignment horizontal="left"/>
    </xf>
    <xf numFmtId="0" fontId="78" fillId="14" borderId="1764" applyFont="0" applyFill="0" applyBorder="0" applyAlignment="0" applyProtection="0"/>
    <xf numFmtId="246" fontId="249" fillId="0" borderId="1883" applyFill="0" applyProtection="0">
      <alignment horizontal="center"/>
    </xf>
    <xf numFmtId="0" fontId="78" fillId="14" borderId="1695" applyFont="0" applyFill="0" applyBorder="0" applyAlignment="0" applyProtection="0"/>
    <xf numFmtId="192" fontId="9" fillId="3" borderId="1883">
      <alignment horizontal="right" vertical="center"/>
    </xf>
    <xf numFmtId="222" fontId="79" fillId="0" borderId="1731" applyBorder="0"/>
    <xf numFmtId="0" fontId="101" fillId="0" borderId="1734" applyBorder="0"/>
    <xf numFmtId="222" fontId="79" fillId="0" borderId="1731" applyBorder="0"/>
    <xf numFmtId="0" fontId="113" fillId="0" borderId="1734" applyNumberFormat="0" applyFill="0" applyAlignment="0" applyProtection="0"/>
    <xf numFmtId="0" fontId="12" fillId="0" borderId="1734" applyNumberFormat="0" applyFill="0" applyBorder="0" applyAlignment="0" applyProtection="0">
      <alignment horizontal="center"/>
    </xf>
    <xf numFmtId="0" fontId="75" fillId="0" borderId="1884" applyNumberFormat="0" applyFont="0" applyFill="0" applyAlignment="0" applyProtection="0"/>
    <xf numFmtId="248" fontId="46" fillId="0" borderId="1734"/>
    <xf numFmtId="0" fontId="25" fillId="10" borderId="1927" applyNumberFormat="0" applyProtection="0">
      <alignment horizontal="left" vertical="top"/>
    </xf>
    <xf numFmtId="192" fontId="9" fillId="3" borderId="1774">
      <alignment horizontal="right" vertical="center"/>
    </xf>
    <xf numFmtId="192" fontId="9" fillId="3" borderId="1734">
      <alignment horizontal="right" vertical="center"/>
    </xf>
    <xf numFmtId="180" fontId="9" fillId="3" borderId="1734">
      <alignment horizontal="right" vertical="center"/>
    </xf>
    <xf numFmtId="186" fontId="146" fillId="3" borderId="1734" applyBorder="0">
      <alignment horizontal="left" vertical="center"/>
    </xf>
    <xf numFmtId="222" fontId="79" fillId="0" borderId="1906" applyBorder="0"/>
    <xf numFmtId="186" fontId="140" fillId="3" borderId="1673">
      <alignment horizontal="center" vertical="center"/>
    </xf>
    <xf numFmtId="188" fontId="25" fillId="0" borderId="1733" applyFont="0" applyFill="0" applyBorder="0" applyAlignment="0" applyProtection="0">
      <alignment horizontal="center"/>
    </xf>
    <xf numFmtId="2" fontId="12" fillId="14" borderId="1732" applyFill="0" applyBorder="0" applyProtection="0">
      <alignment horizontal="center"/>
    </xf>
    <xf numFmtId="0" fontId="5" fillId="0" borderId="1733">
      <alignment horizontal="left" vertical="center"/>
    </xf>
    <xf numFmtId="0" fontId="165" fillId="0" borderId="1734" applyFill="0" applyProtection="0">
      <alignment horizontal="center"/>
    </xf>
    <xf numFmtId="0" fontId="166" fillId="0" borderId="1734">
      <alignment horizontal="center"/>
    </xf>
    <xf numFmtId="188" fontId="25" fillId="0" borderId="1733" applyFont="0" applyFill="0" applyBorder="0" applyAlignment="0" applyProtection="0">
      <alignment horizontal="center"/>
    </xf>
    <xf numFmtId="264" fontId="12" fillId="14" borderId="1734" applyFont="0" applyFill="0" applyBorder="0" applyAlignment="0" applyProtection="0">
      <alignment horizontal="right"/>
    </xf>
    <xf numFmtId="188" fontId="25" fillId="0" borderId="1733" applyFont="0" applyFill="0" applyBorder="0" applyAlignment="0" applyProtection="0">
      <alignment horizontal="center"/>
    </xf>
    <xf numFmtId="0" fontId="12" fillId="0" borderId="1774" applyNumberFormat="0" applyFill="0" applyBorder="0" applyAlignment="0" applyProtection="0">
      <alignment horizontal="center"/>
    </xf>
    <xf numFmtId="192" fontId="9" fillId="3" borderId="1931">
      <alignment horizontal="right" vertical="center"/>
    </xf>
    <xf numFmtId="0" fontId="210" fillId="0" borderId="1734" applyNumberFormat="0" applyFill="0" applyBorder="0" applyAlignment="0">
      <protection locked="0"/>
    </xf>
    <xf numFmtId="0" fontId="214" fillId="0" borderId="1699" applyNumberFormat="0" applyFont="0" applyFill="0" applyAlignment="0" applyProtection="0"/>
    <xf numFmtId="0" fontId="25" fillId="10" borderId="1700" applyNumberFormat="0" applyProtection="0">
      <alignment horizontal="left" vertical="top"/>
    </xf>
    <xf numFmtId="0" fontId="25" fillId="10" borderId="1701" applyNumberFormat="0" applyProtection="0">
      <alignment horizontal="left" vertical="top"/>
    </xf>
    <xf numFmtId="0" fontId="25" fillId="10" borderId="1702" applyNumberFormat="0" applyProtection="0">
      <alignment horizontal="left" vertical="top"/>
    </xf>
    <xf numFmtId="0" fontId="25" fillId="10" borderId="1703" applyNumberFormat="0" applyProtection="0">
      <alignment horizontal="left" vertical="top"/>
    </xf>
    <xf numFmtId="0" fontId="25" fillId="10" borderId="1700" applyNumberFormat="0" applyProtection="0">
      <alignment horizontal="left" vertical="top"/>
    </xf>
    <xf numFmtId="0" fontId="25" fillId="10" borderId="1701" applyNumberFormat="0" applyProtection="0">
      <alignment horizontal="left" vertical="top"/>
    </xf>
    <xf numFmtId="0" fontId="25" fillId="10" borderId="1702" applyNumberFormat="0" applyProtection="0">
      <alignment horizontal="left" vertical="top"/>
    </xf>
    <xf numFmtId="0" fontId="25" fillId="10" borderId="1703" applyNumberFormat="0" applyProtection="0">
      <alignment horizontal="left" vertical="top"/>
    </xf>
    <xf numFmtId="254" fontId="240" fillId="0" borderId="1734" applyBorder="0" applyProtection="0">
      <alignment horizontal="right" vertical="center"/>
    </xf>
    <xf numFmtId="0" fontId="241" fillId="94" borderId="1734" applyBorder="0" applyProtection="0">
      <alignment horizontal="centerContinuous" vertical="center"/>
    </xf>
    <xf numFmtId="1" fontId="74" fillId="0" borderId="1733" applyFill="0" applyBorder="0" applyProtection="0">
      <alignment horizontal="right"/>
    </xf>
    <xf numFmtId="246" fontId="249" fillId="0" borderId="1734" applyFill="0" applyProtection="0">
      <alignment horizontal="center"/>
    </xf>
    <xf numFmtId="246" fontId="250" fillId="0" borderId="1734" applyFill="0" applyProtection="0">
      <alignment horizontal="center"/>
    </xf>
    <xf numFmtId="264" fontId="12" fillId="14" borderId="1883" applyFont="0" applyFill="0" applyBorder="0" applyAlignment="0" applyProtection="0">
      <alignment horizontal="right"/>
    </xf>
    <xf numFmtId="248" fontId="46" fillId="0" borderId="1883"/>
    <xf numFmtId="188" fontId="25" fillId="0" borderId="1733" applyFont="0" applyFill="0" applyBorder="0" applyAlignment="0" applyProtection="0">
      <alignment horizontal="center"/>
    </xf>
    <xf numFmtId="264" fontId="12" fillId="14" borderId="1883" applyFont="0" applyFill="0" applyBorder="0" applyAlignment="0" applyProtection="0">
      <alignment horizontal="right"/>
    </xf>
    <xf numFmtId="246" fontId="250" fillId="0" borderId="1895" applyFill="0" applyProtection="0">
      <alignment horizontal="center"/>
    </xf>
    <xf numFmtId="0" fontId="101" fillId="0" borderId="1883" applyBorder="0"/>
    <xf numFmtId="0" fontId="166" fillId="0" borderId="1883">
      <alignment horizontal="center"/>
    </xf>
    <xf numFmtId="0" fontId="12" fillId="0" borderId="1717" applyNumberFormat="0" applyFill="0" applyBorder="0" applyAlignment="0" applyProtection="0"/>
    <xf numFmtId="0" fontId="46" fillId="0" borderId="1717" applyNumberFormat="0" applyFill="0" applyBorder="0" applyAlignment="0" applyProtection="0"/>
    <xf numFmtId="0" fontId="105" fillId="0" borderId="1717" applyNumberFormat="0" applyFill="0" applyBorder="0" applyAlignment="0" applyProtection="0"/>
    <xf numFmtId="0" fontId="48" fillId="0" borderId="1717" applyNumberFormat="0" applyFill="0" applyAlignment="0" applyProtection="0"/>
    <xf numFmtId="5" fontId="114" fillId="0" borderId="1716" applyAlignment="0" applyProtection="0"/>
    <xf numFmtId="0" fontId="74" fillId="0" borderId="1716" applyFont="0" applyFill="0" applyBorder="0" applyAlignment="0" applyProtection="0">
      <alignment horizontal="center"/>
    </xf>
    <xf numFmtId="0" fontId="48" fillId="0" borderId="1716" applyFont="0" applyFill="0" applyBorder="0" applyAlignment="0" applyProtection="0">
      <alignment horizontal="center"/>
    </xf>
    <xf numFmtId="182" fontId="145" fillId="3" borderId="1716">
      <alignment horizontal="right" vertical="center"/>
    </xf>
    <xf numFmtId="186" fontId="48" fillId="3" borderId="1716">
      <alignment vertical="center"/>
    </xf>
    <xf numFmtId="0" fontId="135" fillId="0" borderId="1718"/>
    <xf numFmtId="0" fontId="135" fillId="0" borderId="1718"/>
    <xf numFmtId="1" fontId="154" fillId="65" borderId="384" applyNumberFormat="0" applyBorder="0" applyAlignment="0">
      <alignment horizontal="centerContinuous" vertical="center"/>
      <protection locked="0"/>
    </xf>
    <xf numFmtId="0" fontId="159" fillId="0" borderId="1718"/>
    <xf numFmtId="0" fontId="159" fillId="67" borderId="1718"/>
    <xf numFmtId="0" fontId="25" fillId="69" borderId="1718">
      <alignment horizontal="left" vertical="center" wrapText="1"/>
    </xf>
    <xf numFmtId="0" fontId="184" fillId="0" borderId="1719" applyAlignment="0">
      <alignment horizontal="left" wrapText="1"/>
    </xf>
    <xf numFmtId="188" fontId="25" fillId="0" borderId="1733" applyFont="0" applyFill="0" applyBorder="0" applyAlignment="0" applyProtection="0">
      <alignment horizontal="center"/>
    </xf>
    <xf numFmtId="4" fontId="223" fillId="53" borderId="1720" applyNumberFormat="0" applyProtection="0">
      <alignment vertical="center"/>
    </xf>
    <xf numFmtId="4" fontId="224" fillId="53" borderId="1720" applyNumberFormat="0" applyProtection="0">
      <alignment vertical="center"/>
    </xf>
    <xf numFmtId="4" fontId="184" fillId="53" borderId="1720" applyNumberFormat="0" applyProtection="0">
      <alignment horizontal="left" vertical="center" indent="1"/>
    </xf>
    <xf numFmtId="0" fontId="225" fillId="53" borderId="1720" applyNumberFormat="0" applyProtection="0">
      <alignment horizontal="left" vertical="top" indent="1"/>
    </xf>
    <xf numFmtId="4" fontId="226" fillId="76" borderId="1720" applyNumberFormat="0" applyProtection="0">
      <alignment horizontal="right" vertical="center"/>
    </xf>
    <xf numFmtId="4" fontId="226" fillId="77" borderId="1720" applyNumberFormat="0" applyProtection="0">
      <alignment horizontal="right" vertical="center"/>
    </xf>
    <xf numFmtId="4" fontId="226" fillId="78" borderId="1720" applyNumberFormat="0" applyProtection="0">
      <alignment horizontal="right" vertical="center"/>
    </xf>
    <xf numFmtId="4" fontId="226" fillId="10" borderId="1720" applyNumberFormat="0" applyProtection="0">
      <alignment horizontal="right" vertical="center"/>
    </xf>
    <xf numFmtId="4" fontId="226" fillId="79" borderId="1720" applyNumberFormat="0" applyProtection="0">
      <alignment horizontal="right" vertical="center"/>
    </xf>
    <xf numFmtId="4" fontId="226" fillId="71" borderId="1720" applyNumberFormat="0" applyProtection="0">
      <alignment horizontal="right" vertical="center"/>
    </xf>
    <xf numFmtId="4" fontId="226" fillId="80" borderId="1720" applyNumberFormat="0" applyProtection="0">
      <alignment horizontal="right" vertical="center"/>
    </xf>
    <xf numFmtId="4" fontId="226" fillId="81" borderId="1720" applyNumberFormat="0" applyProtection="0">
      <alignment horizontal="right" vertical="center"/>
    </xf>
    <xf numFmtId="4" fontId="226" fillId="82" borderId="1720" applyNumberFormat="0" applyProtection="0">
      <alignment horizontal="right" vertical="center"/>
    </xf>
    <xf numFmtId="4" fontId="184" fillId="52" borderId="1720" applyNumberFormat="0" applyProtection="0">
      <alignment horizontal="right" vertical="center"/>
    </xf>
    <xf numFmtId="0" fontId="12" fillId="75" borderId="1720" applyNumberFormat="0" applyProtection="0">
      <alignment horizontal="left" vertical="center" indent="1"/>
    </xf>
    <xf numFmtId="0" fontId="12" fillId="75" borderId="1720" applyNumberFormat="0" applyProtection="0">
      <alignment horizontal="left" vertical="top" indent="1"/>
    </xf>
    <xf numFmtId="0" fontId="12" fillId="84" borderId="1720" applyNumberFormat="0" applyProtection="0">
      <alignment horizontal="left" vertical="center" indent="1"/>
    </xf>
    <xf numFmtId="0" fontId="12" fillId="84" borderId="1720" applyNumberFormat="0" applyProtection="0">
      <alignment horizontal="left" vertical="top" indent="1"/>
    </xf>
    <xf numFmtId="0" fontId="12" fillId="52" borderId="1720" applyNumberFormat="0" applyProtection="0">
      <alignment horizontal="left" vertical="center" indent="1"/>
    </xf>
    <xf numFmtId="0" fontId="12" fillId="52" borderId="1720" applyNumberFormat="0" applyProtection="0">
      <alignment horizontal="left" vertical="top" indent="1"/>
    </xf>
    <xf numFmtId="0" fontId="12" fillId="11" borderId="1720" applyNumberFormat="0" applyProtection="0">
      <alignment horizontal="left" vertical="center" indent="1"/>
    </xf>
    <xf numFmtId="0" fontId="12" fillId="11" borderId="1720" applyNumberFormat="0" applyProtection="0">
      <alignment horizontal="left" vertical="top" indent="1"/>
    </xf>
    <xf numFmtId="4" fontId="226" fillId="11" borderId="1720" applyNumberFormat="0" applyProtection="0">
      <alignment vertical="center"/>
    </xf>
    <xf numFmtId="4" fontId="228" fillId="11" borderId="1720" applyNumberFormat="0" applyProtection="0">
      <alignment vertical="center"/>
    </xf>
    <xf numFmtId="4" fontId="227" fillId="52" borderId="1721" applyNumberFormat="0" applyProtection="0">
      <alignment horizontal="left" vertical="center" indent="1"/>
    </xf>
    <xf numFmtId="0" fontId="136" fillId="14" borderId="1720" applyNumberFormat="0" applyProtection="0">
      <alignment horizontal="left" vertical="top" indent="1"/>
    </xf>
    <xf numFmtId="4" fontId="184" fillId="11" borderId="1720" applyNumberFormat="0" applyProtection="0">
      <alignment horizontal="right" vertical="center"/>
    </xf>
    <xf numFmtId="4" fontId="228" fillId="11" borderId="1720" applyNumberFormat="0" applyProtection="0">
      <alignment horizontal="right" vertical="center"/>
    </xf>
    <xf numFmtId="4" fontId="223" fillId="52" borderId="1720" applyNumberFormat="0" applyProtection="0">
      <alignment horizontal="left" vertical="center" indent="1"/>
    </xf>
    <xf numFmtId="0" fontId="136" fillId="84" borderId="1720" applyNumberFormat="0" applyProtection="0">
      <alignment horizontal="left" vertical="top" indent="1"/>
    </xf>
    <xf numFmtId="4" fontId="229" fillId="84" borderId="1721" applyNumberFormat="0" applyProtection="0">
      <alignment horizontal="left" vertical="center" indent="1"/>
    </xf>
    <xf numFmtId="4" fontId="230" fillId="11" borderId="1720" applyNumberFormat="0" applyProtection="0">
      <alignment horizontal="right" vertical="center"/>
    </xf>
    <xf numFmtId="3" fontId="12" fillId="60" borderId="1722" applyFont="0" applyFill="0" applyBorder="0" applyAlignment="0" applyProtection="0"/>
    <xf numFmtId="4" fontId="12" fillId="60" borderId="1722" applyFont="0" applyFill="0" applyBorder="0" applyAlignment="0" applyProtection="0"/>
    <xf numFmtId="183" fontId="12" fillId="60" borderId="1722" applyFont="0" applyFill="0" applyBorder="0" applyAlignment="0" applyProtection="0"/>
    <xf numFmtId="10" fontId="12" fillId="60" borderId="1722" applyFont="0" applyFill="0" applyBorder="0" applyAlignment="0" applyProtection="0"/>
    <xf numFmtId="9" fontId="12" fillId="60" borderId="1722" applyFont="0" applyFill="0" applyBorder="0" applyAlignment="0" applyProtection="0"/>
    <xf numFmtId="2" fontId="12" fillId="60" borderId="1722" applyFont="0" applyFill="0" applyBorder="0" applyAlignment="0" applyProtection="0"/>
    <xf numFmtId="0" fontId="25" fillId="10" borderId="1718" applyNumberFormat="0" applyProtection="0">
      <alignment horizontal="center" vertical="top"/>
    </xf>
    <xf numFmtId="0" fontId="25" fillId="10" borderId="1718" applyNumberFormat="0" applyProtection="0">
      <alignment horizontal="center" vertical="top"/>
    </xf>
    <xf numFmtId="169" fontId="234" fillId="3" borderId="1718" applyFont="0" applyProtection="0"/>
    <xf numFmtId="169" fontId="234" fillId="10" borderId="1718" applyFont="0" applyProtection="0"/>
    <xf numFmtId="293" fontId="234" fillId="3" borderId="1718" applyFont="0" applyProtection="0"/>
    <xf numFmtId="293" fontId="234" fillId="10" borderId="1718" applyFont="0" applyProtection="0"/>
    <xf numFmtId="293" fontId="234" fillId="10" borderId="1718" applyFont="0" applyProtection="0"/>
    <xf numFmtId="0" fontId="12" fillId="3" borderId="1718" applyNumberFormat="0" applyFont="0" applyAlignment="0" applyProtection="0"/>
    <xf numFmtId="0" fontId="12" fillId="10" borderId="1718" applyNumberFormat="0" applyFont="0" applyAlignment="0" applyProtection="0"/>
    <xf numFmtId="0" fontId="12" fillId="10" borderId="1718" applyNumberFormat="0" applyFont="0" applyProtection="0"/>
    <xf numFmtId="0" fontId="25" fillId="10" borderId="1723" applyNumberFormat="0" applyProtection="0">
      <alignment horizontal="left"/>
    </xf>
    <xf numFmtId="0" fontId="25" fillId="10" borderId="1724" applyNumberFormat="0" applyProtection="0">
      <alignment horizontal="left" vertical="top"/>
    </xf>
    <xf numFmtId="0" fontId="25" fillId="10" borderId="1725" applyNumberFormat="0" applyProtection="0">
      <alignment horizontal="left" vertical="top"/>
    </xf>
    <xf numFmtId="0" fontId="25" fillId="10" borderId="1726" applyNumberFormat="0" applyProtection="0">
      <alignment horizontal="left" vertical="top"/>
    </xf>
    <xf numFmtId="0" fontId="25" fillId="10" borderId="1727" applyNumberFormat="0" applyProtection="0">
      <alignment horizontal="left" vertical="top"/>
    </xf>
    <xf numFmtId="0" fontId="25" fillId="10" borderId="1728" applyNumberFormat="0" applyProtection="0">
      <alignment horizontal="left" vertical="top"/>
    </xf>
    <xf numFmtId="0" fontId="25" fillId="10" borderId="1729" applyNumberFormat="0" applyProtection="0">
      <alignment horizontal="left" vertical="top"/>
    </xf>
    <xf numFmtId="0" fontId="12" fillId="0" borderId="1717" applyNumberFormat="0" applyFill="0" applyBorder="0" applyAlignment="0" applyProtection="0"/>
    <xf numFmtId="10" fontId="12" fillId="3" borderId="1730" applyNumberFormat="0" applyFont="0" applyFill="0" applyBorder="0" applyAlignment="0">
      <protection locked="0"/>
    </xf>
    <xf numFmtId="0" fontId="12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186" fontId="146" fillId="3" borderId="1883" applyBorder="0">
      <alignment horizontal="left" vertical="center"/>
    </xf>
    <xf numFmtId="0" fontId="101" fillId="0" borderId="1895" applyBorder="0"/>
    <xf numFmtId="10" fontId="12" fillId="3" borderId="1730" applyNumberFormat="0" applyFont="0" applyFill="0" applyBorder="0" applyAlignment="0">
      <protection locked="0"/>
    </xf>
    <xf numFmtId="188" fontId="25" fillId="0" borderId="1733" applyFont="0" applyFill="0" applyBorder="0" applyAlignment="0" applyProtection="0">
      <alignment horizontal="center"/>
    </xf>
    <xf numFmtId="0" fontId="286" fillId="54" borderId="2095" applyNumberFormat="0" applyAlignment="0" applyProtection="0"/>
    <xf numFmtId="186" fontId="146" fillId="3" borderId="1600">
      <alignment horizontal="left"/>
    </xf>
    <xf numFmtId="0" fontId="113" fillId="0" borderId="1774" applyNumberFormat="0" applyFill="0" applyAlignment="0" applyProtection="0"/>
    <xf numFmtId="0" fontId="25" fillId="10" borderId="1928" applyNumberFormat="0" applyProtection="0">
      <alignment horizontal="left" vertical="top"/>
    </xf>
    <xf numFmtId="246" fontId="250" fillId="0" borderId="1774" applyFill="0" applyProtection="0">
      <alignment horizontal="center"/>
    </xf>
    <xf numFmtId="0" fontId="75" fillId="0" borderId="1598" applyNumberFormat="0" applyFont="0" applyFill="0" applyAlignment="0" applyProtection="0"/>
    <xf numFmtId="10" fontId="12" fillId="3" borderId="1730" applyNumberFormat="0" applyFont="0" applyFill="0" applyBorder="0" applyAlignment="0">
      <protection locked="0"/>
    </xf>
    <xf numFmtId="186" fontId="146" fillId="3" borderId="1895" applyBorder="0">
      <alignment horizontal="left" vertical="center"/>
    </xf>
    <xf numFmtId="0" fontId="12" fillId="0" borderId="4729" applyNumberFormat="0" applyFill="0" applyBorder="0" applyAlignment="0" applyProtection="0"/>
    <xf numFmtId="180" fontId="9" fillId="3" borderId="1895">
      <alignment horizontal="right" vertical="center"/>
    </xf>
    <xf numFmtId="10" fontId="12" fillId="3" borderId="1730" applyNumberFormat="0" applyFont="0" applyFill="0" applyBorder="0" applyAlignment="0">
      <protection locked="0"/>
    </xf>
    <xf numFmtId="222" fontId="79" fillId="0" borderId="1731" applyBorder="0"/>
    <xf numFmtId="10" fontId="12" fillId="3" borderId="1730" applyNumberFormat="0" applyFont="0" applyFill="0" applyBorder="0" applyAlignment="0">
      <protection locked="0"/>
    </xf>
    <xf numFmtId="190" fontId="113" fillId="0" borderId="1955" applyNumberFormat="0" applyFill="0" applyAlignment="0" applyProtection="0"/>
    <xf numFmtId="0" fontId="101" fillId="0" borderId="1734" applyBorder="0"/>
    <xf numFmtId="222" fontId="79" fillId="0" borderId="1731" applyBorder="0"/>
    <xf numFmtId="0" fontId="113" fillId="0" borderId="1734" applyNumberFormat="0" applyFill="0" applyAlignment="0" applyProtection="0"/>
    <xf numFmtId="0" fontId="12" fillId="0" borderId="1734" applyNumberFormat="0" applyFill="0" applyBorder="0" applyAlignment="0" applyProtection="0">
      <alignment horizontal="center"/>
    </xf>
    <xf numFmtId="248" fontId="46" fillId="0" borderId="1734"/>
    <xf numFmtId="0" fontId="25" fillId="10" borderId="1951" applyNumberFormat="0" applyProtection="0">
      <alignment horizontal="left" vertical="top"/>
    </xf>
    <xf numFmtId="186" fontId="146" fillId="3" borderId="1922">
      <alignment horizontal="left"/>
    </xf>
    <xf numFmtId="248" fontId="46" fillId="0" borderId="1774"/>
    <xf numFmtId="192" fontId="9" fillId="3" borderId="1734">
      <alignment horizontal="right" vertical="center"/>
    </xf>
    <xf numFmtId="180" fontId="9" fillId="3" borderId="1734">
      <alignment horizontal="right" vertical="center"/>
    </xf>
    <xf numFmtId="186" fontId="146" fillId="3" borderId="1734" applyBorder="0">
      <alignment horizontal="left" vertical="center"/>
    </xf>
    <xf numFmtId="0" fontId="165" fillId="0" borderId="1734" applyFill="0" applyProtection="0">
      <alignment horizontal="center"/>
    </xf>
    <xf numFmtId="0" fontId="166" fillId="0" borderId="1734">
      <alignment horizontal="center"/>
    </xf>
    <xf numFmtId="264" fontId="12" fillId="14" borderId="1734" applyFont="0" applyFill="0" applyBorder="0" applyAlignment="0" applyProtection="0">
      <alignment horizontal="right"/>
    </xf>
    <xf numFmtId="0" fontId="210" fillId="0" borderId="1734" applyNumberFormat="0" applyFill="0" applyBorder="0" applyAlignment="0">
      <protection locked="0"/>
    </xf>
    <xf numFmtId="254" fontId="240" fillId="0" borderId="1734" applyBorder="0" applyProtection="0">
      <alignment horizontal="right" vertical="center"/>
    </xf>
    <xf numFmtId="0" fontId="241" fillId="94" borderId="1734" applyBorder="0" applyProtection="0">
      <alignment horizontal="centerContinuous" vertical="center"/>
    </xf>
    <xf numFmtId="246" fontId="249" fillId="0" borderId="1734" applyFill="0" applyProtection="0">
      <alignment horizontal="center"/>
    </xf>
    <xf numFmtId="246" fontId="250" fillId="0" borderId="1734" applyFill="0" applyProtection="0">
      <alignment horizontal="center"/>
    </xf>
    <xf numFmtId="248" fontId="46" fillId="0" borderId="1895"/>
    <xf numFmtId="0" fontId="12" fillId="0" borderId="1895" applyNumberFormat="0" applyFill="0" applyBorder="0" applyAlignment="0" applyProtection="0">
      <alignment horizontal="center"/>
    </xf>
    <xf numFmtId="192" fontId="9" fillId="3" borderId="1895">
      <alignment horizontal="right" vertical="center"/>
    </xf>
    <xf numFmtId="0" fontId="78" fillId="14" borderId="1764" applyFont="0" applyFill="0" applyBorder="0" applyAlignment="0" applyProtection="0"/>
    <xf numFmtId="190" fontId="241" fillId="94" borderId="2156" applyBorder="0" applyProtection="0">
      <alignment horizontal="centerContinuous" vertical="center"/>
    </xf>
    <xf numFmtId="0" fontId="113" fillId="0" borderId="2144" applyNumberFormat="0" applyFill="0" applyAlignment="0" applyProtection="0"/>
    <xf numFmtId="0" fontId="2" fillId="0" borderId="1888" applyNumberFormat="0" applyAlignment="0" applyProtection="0"/>
    <xf numFmtId="222" fontId="79" fillId="0" borderId="1894" applyBorder="0"/>
    <xf numFmtId="10" fontId="12" fillId="3" borderId="1730" applyNumberFormat="0" applyFont="0" applyFill="0" applyBorder="0" applyAlignment="0">
      <protection locked="0"/>
    </xf>
    <xf numFmtId="0" fontId="101" fillId="0" borderId="1895" applyBorder="0"/>
    <xf numFmtId="10" fontId="12" fillId="3" borderId="1730" applyNumberFormat="0" applyFont="0" applyFill="0" applyBorder="0" applyAlignment="0">
      <protection locked="0"/>
    </xf>
    <xf numFmtId="222" fontId="79" fillId="0" borderId="1894" applyBorder="0"/>
    <xf numFmtId="0" fontId="25" fillId="10" borderId="1891" applyNumberFormat="0" applyProtection="0">
      <alignment horizontal="left" vertical="top"/>
    </xf>
    <xf numFmtId="0" fontId="25" fillId="10" borderId="1892" applyNumberFormat="0" applyProtection="0">
      <alignment horizontal="left" vertical="top"/>
    </xf>
    <xf numFmtId="0" fontId="25" fillId="10" borderId="1893" applyNumberFormat="0" applyProtection="0">
      <alignment horizontal="left" vertical="top"/>
    </xf>
    <xf numFmtId="0" fontId="75" fillId="0" borderId="1896" applyNumberFormat="0" applyFont="0" applyFill="0" applyAlignment="0" applyProtection="0"/>
    <xf numFmtId="222" fontId="79" fillId="0" borderId="1894" applyBorder="0"/>
    <xf numFmtId="310" fontId="267" fillId="0" borderId="1735">
      <alignment horizontal="left"/>
    </xf>
    <xf numFmtId="0" fontId="25" fillId="10" borderId="1891" applyNumberFormat="0" applyProtection="0">
      <alignment horizontal="left" vertical="top"/>
    </xf>
    <xf numFmtId="307" fontId="268" fillId="0" borderId="1735">
      <alignment horizontal="right" wrapText="1"/>
    </xf>
    <xf numFmtId="0" fontId="25" fillId="10" borderId="1890" applyNumberFormat="0" applyProtection="0">
      <alignment horizontal="left" vertical="top"/>
    </xf>
    <xf numFmtId="0" fontId="25" fillId="10" borderId="1891" applyNumberFormat="0" applyProtection="0">
      <alignment horizontal="left" vertical="top"/>
    </xf>
    <xf numFmtId="186" fontId="146" fillId="3" borderId="1708">
      <alignment horizontal="left"/>
    </xf>
    <xf numFmtId="0" fontId="75" fillId="0" borderId="1706" applyNumberFormat="0" applyFont="0" applyFill="0" applyAlignment="0" applyProtection="0"/>
    <xf numFmtId="0" fontId="214" fillId="0" borderId="1889" applyNumberFormat="0" applyFont="0" applyFill="0" applyAlignment="0" applyProtection="0"/>
    <xf numFmtId="0" fontId="78" fillId="14" borderId="1885" applyFont="0" applyFill="0" applyBorder="0" applyAlignment="0" applyProtection="0"/>
    <xf numFmtId="186" fontId="140" fillId="3" borderId="1959">
      <alignment horizontal="center" vertical="center"/>
    </xf>
    <xf numFmtId="180" fontId="9" fillId="3" borderId="1955">
      <alignment horizontal="right" vertical="center"/>
    </xf>
    <xf numFmtId="0" fontId="12" fillId="0" borderId="1955" applyNumberFormat="0" applyFill="0" applyBorder="0" applyAlignment="0" applyProtection="0">
      <alignment horizontal="center"/>
    </xf>
    <xf numFmtId="222" fontId="79" fillId="0" borderId="1954" applyBorder="0"/>
    <xf numFmtId="0" fontId="159" fillId="0" borderId="2076"/>
    <xf numFmtId="10" fontId="12" fillId="3" borderId="4742" applyNumberFormat="0" applyFont="0" applyFill="0" applyBorder="0" applyAlignment="0">
      <protection locked="0"/>
    </xf>
    <xf numFmtId="222" fontId="79" fillId="0" borderId="2119" applyBorder="0"/>
    <xf numFmtId="0" fontId="113" fillId="0" borderId="1774" applyNumberFormat="0" applyFill="0" applyAlignment="0" applyProtection="0"/>
    <xf numFmtId="264" fontId="12" fillId="14" borderId="1774" applyFont="0" applyFill="0" applyBorder="0" applyAlignment="0" applyProtection="0">
      <alignment horizontal="right"/>
    </xf>
    <xf numFmtId="246" fontId="249" fillId="0" borderId="1774" applyFill="0" applyProtection="0">
      <alignment horizontal="center"/>
    </xf>
    <xf numFmtId="0" fontId="25" fillId="10" borderId="1715" applyNumberFormat="0" applyProtection="0">
      <alignment horizontal="left" vertical="top"/>
    </xf>
    <xf numFmtId="0" fontId="25" fillId="10" borderId="1713" applyNumberFormat="0" applyProtection="0">
      <alignment horizontal="left" vertical="top"/>
    </xf>
    <xf numFmtId="0" fontId="25" fillId="10" borderId="1714" applyNumberFormat="0" applyProtection="0">
      <alignment horizontal="left" vertical="top"/>
    </xf>
    <xf numFmtId="0" fontId="25" fillId="10" borderId="1712" applyNumberFormat="0" applyProtection="0">
      <alignment horizontal="left" vertical="top"/>
    </xf>
    <xf numFmtId="0" fontId="25" fillId="10" borderId="1715" applyNumberFormat="0" applyProtection="0">
      <alignment horizontal="left" vertical="top"/>
    </xf>
    <xf numFmtId="0" fontId="25" fillId="10" borderId="1714" applyNumberFormat="0" applyProtection="0">
      <alignment horizontal="left" vertical="top"/>
    </xf>
    <xf numFmtId="0" fontId="25" fillId="10" borderId="1713" applyNumberFormat="0" applyProtection="0">
      <alignment horizontal="left" vertical="top"/>
    </xf>
    <xf numFmtId="0" fontId="25" fillId="10" borderId="1712" applyNumberFormat="0" applyProtection="0">
      <alignment horizontal="left" vertical="top"/>
    </xf>
    <xf numFmtId="0" fontId="214" fillId="0" borderId="1711" applyNumberFormat="0" applyFont="0" applyFill="0" applyAlignment="0" applyProtection="0"/>
    <xf numFmtId="0" fontId="2" fillId="0" borderId="1710" applyNumberFormat="0" applyAlignment="0" applyProtection="0"/>
    <xf numFmtId="186" fontId="140" fillId="3" borderId="1709">
      <alignment horizontal="center" vertical="center"/>
    </xf>
    <xf numFmtId="186" fontId="140" fillId="3" borderId="1673">
      <alignment horizontal="center" vertical="center"/>
    </xf>
    <xf numFmtId="0" fontId="25" fillId="10" borderId="1700" applyNumberFormat="0" applyProtection="0">
      <alignment horizontal="left" vertical="top"/>
    </xf>
    <xf numFmtId="0" fontId="12" fillId="0" borderId="1774" applyNumberFormat="0" applyFill="0" applyBorder="0" applyAlignment="0" applyProtection="0">
      <alignment horizontal="center"/>
    </xf>
    <xf numFmtId="0" fontId="25" fillId="10" borderId="1771" applyNumberFormat="0" applyProtection="0">
      <alignment horizontal="left" vertical="top"/>
    </xf>
    <xf numFmtId="0" fontId="78" fillId="14" borderId="1885" applyFont="0" applyFill="0" applyBorder="0" applyAlignment="0" applyProtection="0"/>
    <xf numFmtId="222" fontId="79" fillId="0" borderId="1761" applyBorder="0"/>
    <xf numFmtId="0" fontId="78" fillId="14" borderId="1764" applyFont="0" applyFill="0" applyBorder="0" applyAlignment="0" applyProtection="0"/>
    <xf numFmtId="222" fontId="79" fillId="0" borderId="1773" applyBorder="0"/>
    <xf numFmtId="0" fontId="101" fillId="0" borderId="1774" applyBorder="0"/>
    <xf numFmtId="222" fontId="79" fillId="0" borderId="1773" applyBorder="0"/>
    <xf numFmtId="248" fontId="46" fillId="0" borderId="1774"/>
    <xf numFmtId="192" fontId="9" fillId="3" borderId="1774">
      <alignment horizontal="right" vertical="center"/>
    </xf>
    <xf numFmtId="180" fontId="9" fillId="3" borderId="1774">
      <alignment horizontal="right" vertical="center"/>
    </xf>
    <xf numFmtId="186" fontId="146" fillId="3" borderId="1774" applyBorder="0">
      <alignment horizontal="left" vertical="center"/>
    </xf>
    <xf numFmtId="0" fontId="165" fillId="0" borderId="1774" applyFill="0" applyProtection="0">
      <alignment horizontal="center"/>
    </xf>
    <xf numFmtId="0" fontId="210" fillId="0" borderId="1774" applyNumberFormat="0" applyFill="0" applyBorder="0" applyAlignment="0">
      <protection locked="0"/>
    </xf>
    <xf numFmtId="254" fontId="240" fillId="0" borderId="1774" applyBorder="0" applyProtection="0">
      <alignment horizontal="right" vertical="center"/>
    </xf>
    <xf numFmtId="246" fontId="250" fillId="0" borderId="1774" applyFill="0" applyProtection="0">
      <alignment horizontal="center"/>
    </xf>
    <xf numFmtId="10" fontId="12" fillId="3" borderId="1730" applyNumberFormat="0" applyFont="0" applyFill="0" applyBorder="0" applyAlignment="0">
      <protection locked="0"/>
    </xf>
    <xf numFmtId="222" fontId="79" fillId="0" borderId="1731" applyBorder="0"/>
    <xf numFmtId="0" fontId="25" fillId="10" borderId="1701" applyNumberFormat="0" applyProtection="0">
      <alignment horizontal="left" vertical="top"/>
    </xf>
    <xf numFmtId="0" fontId="25" fillId="10" borderId="1703" applyNumberFormat="0" applyProtection="0">
      <alignment horizontal="left" vertical="top"/>
    </xf>
    <xf numFmtId="0" fontId="25" fillId="10" borderId="1700" applyNumberFormat="0" applyProtection="0">
      <alignment horizontal="left" vertical="top"/>
    </xf>
    <xf numFmtId="0" fontId="25" fillId="10" borderId="1701" applyNumberFormat="0" applyProtection="0">
      <alignment horizontal="left" vertical="top"/>
    </xf>
    <xf numFmtId="0" fontId="25" fillId="10" borderId="1702" applyNumberFormat="0" applyProtection="0">
      <alignment horizontal="left" vertical="top"/>
    </xf>
    <xf numFmtId="0" fontId="75" fillId="0" borderId="1706" applyNumberFormat="0" applyFont="0" applyFill="0" applyAlignment="0" applyProtection="0"/>
    <xf numFmtId="0" fontId="101" fillId="0" borderId="1734" applyBorder="0"/>
    <xf numFmtId="222" fontId="79" fillId="0" borderId="1731" applyBorder="0"/>
    <xf numFmtId="0" fontId="113" fillId="0" borderId="1734" applyNumberFormat="0" applyFill="0" applyAlignment="0" applyProtection="0"/>
    <xf numFmtId="0" fontId="12" fillId="0" borderId="1734" applyNumberFormat="0" applyFill="0" applyBorder="0" applyAlignment="0" applyProtection="0">
      <alignment horizontal="center"/>
    </xf>
    <xf numFmtId="248" fontId="46" fillId="0" borderId="1734"/>
    <xf numFmtId="192" fontId="9" fillId="3" borderId="1734">
      <alignment horizontal="right" vertical="center"/>
    </xf>
    <xf numFmtId="180" fontId="9" fillId="3" borderId="1734">
      <alignment horizontal="right" vertical="center"/>
    </xf>
    <xf numFmtId="186" fontId="146" fillId="3" borderId="1734" applyBorder="0">
      <alignment horizontal="left" vertical="center"/>
    </xf>
    <xf numFmtId="0" fontId="166" fillId="0" borderId="1734">
      <alignment horizontal="center"/>
    </xf>
    <xf numFmtId="0" fontId="210" fillId="0" borderId="1734" applyNumberFormat="0" applyFill="0" applyBorder="0" applyAlignment="0">
      <protection locked="0"/>
    </xf>
    <xf numFmtId="264" fontId="12" fillId="14" borderId="1734" applyFont="0" applyFill="0" applyBorder="0" applyAlignment="0" applyProtection="0">
      <alignment horizontal="right"/>
    </xf>
    <xf numFmtId="246" fontId="249" fillId="0" borderId="1734" applyFill="0" applyProtection="0">
      <alignment horizontal="center"/>
    </xf>
    <xf numFmtId="246" fontId="250" fillId="0" borderId="1734" applyFill="0" applyProtection="0">
      <alignment horizontal="center"/>
    </xf>
    <xf numFmtId="246" fontId="250" fillId="0" borderId="1750" applyFill="0" applyProtection="0">
      <alignment horizontal="center"/>
    </xf>
    <xf numFmtId="246" fontId="249" fillId="0" borderId="1750" applyFill="0" applyProtection="0">
      <alignment horizontal="center"/>
    </xf>
    <xf numFmtId="254" fontId="240" fillId="0" borderId="1750" applyBorder="0" applyProtection="0">
      <alignment horizontal="right" vertical="center"/>
    </xf>
    <xf numFmtId="264" fontId="12" fillId="14" borderId="1750" applyFont="0" applyFill="0" applyBorder="0" applyAlignment="0" applyProtection="0">
      <alignment horizontal="right"/>
    </xf>
    <xf numFmtId="0" fontId="165" fillId="0" borderId="1750" applyFill="0" applyProtection="0">
      <alignment horizontal="center"/>
    </xf>
    <xf numFmtId="180" fontId="9" fillId="3" borderId="1750">
      <alignment horizontal="right" vertical="center"/>
    </xf>
    <xf numFmtId="0" fontId="12" fillId="0" borderId="1750" applyNumberFormat="0" applyFill="0" applyBorder="0" applyAlignment="0" applyProtection="0">
      <alignment horizontal="center"/>
    </xf>
    <xf numFmtId="0" fontId="101" fillId="0" borderId="1750" applyBorder="0"/>
    <xf numFmtId="222" fontId="79" fillId="0" borderId="1749" applyBorder="0"/>
    <xf numFmtId="0" fontId="75" fillId="0" borderId="1739" applyNumberFormat="0" applyFont="0" applyFill="0" applyAlignment="0" applyProtection="0"/>
    <xf numFmtId="0" fontId="2" fillId="0" borderId="1743" applyNumberFormat="0" applyAlignment="0" applyProtection="0"/>
    <xf numFmtId="0" fontId="25" fillId="10" borderId="1745" applyNumberFormat="0" applyProtection="0">
      <alignment horizontal="left" vertical="top"/>
    </xf>
    <xf numFmtId="0" fontId="25" fillId="10" borderId="1748" applyNumberFormat="0" applyProtection="0">
      <alignment horizontal="left" vertical="top"/>
    </xf>
    <xf numFmtId="222" fontId="79" fillId="0" borderId="1731" applyBorder="0"/>
    <xf numFmtId="0" fontId="25" fillId="10" borderId="1714" applyNumberFormat="0" applyProtection="0">
      <alignment horizontal="left" vertical="top"/>
    </xf>
    <xf numFmtId="10" fontId="12" fillId="3" borderId="1730" applyNumberFormat="0" applyFont="0" applyFill="0" applyBorder="0" applyAlignment="0">
      <protection locked="0"/>
    </xf>
    <xf numFmtId="0" fontId="25" fillId="10" borderId="1712" applyNumberFormat="0" applyProtection="0">
      <alignment horizontal="left" vertical="top"/>
    </xf>
    <xf numFmtId="0" fontId="214" fillId="0" borderId="1711" applyNumberFormat="0" applyFont="0" applyFill="0" applyAlignment="0" applyProtection="0"/>
    <xf numFmtId="186" fontId="146" fillId="3" borderId="1708">
      <alignment horizontal="left"/>
    </xf>
    <xf numFmtId="222" fontId="79" fillId="0" borderId="1731" applyBorder="0"/>
    <xf numFmtId="254" fontId="240" fillId="0" borderId="4798" applyBorder="0" applyProtection="0">
      <alignment horizontal="right" vertical="center"/>
    </xf>
    <xf numFmtId="186" fontId="146" fillId="3" borderId="1883" applyBorder="0">
      <alignment horizontal="left" vertical="center"/>
    </xf>
    <xf numFmtId="10" fontId="12" fillId="3" borderId="1730" applyNumberFormat="0" applyFont="0" applyFill="0" applyBorder="0" applyAlignment="0">
      <protection locked="0"/>
    </xf>
    <xf numFmtId="0" fontId="101" fillId="0" borderId="1705" applyBorder="0"/>
    <xf numFmtId="0" fontId="113" fillId="0" borderId="1705" applyNumberFormat="0" applyFill="0" applyAlignment="0" applyProtection="0"/>
    <xf numFmtId="0" fontId="12" fillId="0" borderId="1705" applyNumberFormat="0" applyFill="0" applyBorder="0" applyAlignment="0" applyProtection="0">
      <alignment horizontal="center"/>
    </xf>
    <xf numFmtId="248" fontId="46" fillId="0" borderId="1705"/>
    <xf numFmtId="192" fontId="9" fillId="3" borderId="1705">
      <alignment horizontal="right" vertical="center"/>
    </xf>
    <xf numFmtId="180" fontId="9" fillId="3" borderId="1705">
      <alignment horizontal="right" vertical="center"/>
    </xf>
    <xf numFmtId="186" fontId="146" fillId="3" borderId="1705" applyBorder="0">
      <alignment horizontal="left" vertical="center"/>
    </xf>
    <xf numFmtId="0" fontId="165" fillId="0" borderId="1705" applyFill="0" applyProtection="0">
      <alignment horizontal="center"/>
    </xf>
    <xf numFmtId="0" fontId="166" fillId="0" borderId="1705">
      <alignment horizontal="center"/>
    </xf>
    <xf numFmtId="264" fontId="12" fillId="14" borderId="1705" applyFont="0" applyFill="0" applyBorder="0" applyAlignment="0" applyProtection="0">
      <alignment horizontal="right"/>
    </xf>
    <xf numFmtId="0" fontId="210" fillId="0" borderId="1705" applyNumberFormat="0" applyFill="0" applyBorder="0" applyAlignment="0">
      <protection locked="0"/>
    </xf>
    <xf numFmtId="0" fontId="25" fillId="10" borderId="4819" applyNumberFormat="0" applyProtection="0">
      <alignment horizontal="left" vertical="top"/>
    </xf>
    <xf numFmtId="248" fontId="46" fillId="0" borderId="1750"/>
    <xf numFmtId="222" fontId="79" fillId="0" borderId="1749" applyBorder="0"/>
    <xf numFmtId="186" fontId="140" fillId="3" borderId="1742">
      <alignment horizontal="center" vertical="center"/>
    </xf>
    <xf numFmtId="0" fontId="25" fillId="10" borderId="1747" applyNumberFormat="0" applyProtection="0">
      <alignment horizontal="left" vertical="top"/>
    </xf>
    <xf numFmtId="0" fontId="210" fillId="0" borderId="1750" applyNumberFormat="0" applyFill="0" applyBorder="0" applyAlignment="0">
      <protection locked="0"/>
    </xf>
    <xf numFmtId="192" fontId="9" fillId="3" borderId="1750">
      <alignment horizontal="right" vertical="center"/>
    </xf>
    <xf numFmtId="0" fontId="113" fillId="0" borderId="1750" applyNumberFormat="0" applyFill="0" applyAlignment="0" applyProtection="0"/>
    <xf numFmtId="186" fontId="146" fillId="3" borderId="1741">
      <alignment horizontal="left"/>
    </xf>
    <xf numFmtId="0" fontId="25" fillId="10" borderId="1746" applyNumberFormat="0" applyProtection="0">
      <alignment horizontal="left" vertical="top"/>
    </xf>
    <xf numFmtId="254" fontId="240" fillId="0" borderId="1705" applyBorder="0" applyProtection="0">
      <alignment horizontal="right" vertical="center"/>
    </xf>
    <xf numFmtId="0" fontId="241" fillId="94" borderId="1705" applyBorder="0" applyProtection="0">
      <alignment horizontal="centerContinuous" vertical="center"/>
    </xf>
    <xf numFmtId="246" fontId="249" fillId="0" borderId="1705" applyFill="0" applyProtection="0">
      <alignment horizontal="center"/>
    </xf>
    <xf numFmtId="246" fontId="250" fillId="0" borderId="1705" applyFill="0" applyProtection="0">
      <alignment horizontal="center"/>
    </xf>
    <xf numFmtId="0" fontId="25" fillId="10" borderId="1770" applyNumberFormat="0" applyProtection="0">
      <alignment horizontal="left" vertical="top"/>
    </xf>
    <xf numFmtId="10" fontId="12" fillId="3" borderId="1730" applyNumberFormat="0" applyFont="0" applyFill="0" applyBorder="0" applyAlignment="0">
      <protection locked="0"/>
    </xf>
    <xf numFmtId="0" fontId="25" fillId="10" borderId="1772" applyNumberFormat="0" applyProtection="0">
      <alignment horizontal="left" vertical="top"/>
    </xf>
    <xf numFmtId="222" fontId="79" fillId="0" borderId="1731" applyBorder="0"/>
    <xf numFmtId="0" fontId="214" fillId="0" borderId="1768" applyNumberFormat="0" applyFont="0" applyFill="0" applyAlignment="0" applyProtection="0"/>
    <xf numFmtId="0" fontId="75" fillId="0" borderId="1598" applyNumberFormat="0" applyFont="0" applyFill="0" applyAlignment="0" applyProtection="0"/>
    <xf numFmtId="0" fontId="25" fillId="10" borderId="1702" applyNumberFormat="0" applyProtection="0">
      <alignment horizontal="left" vertical="top"/>
    </xf>
    <xf numFmtId="0" fontId="25" fillId="10" borderId="1703" applyNumberFormat="0" applyProtection="0">
      <alignment horizontal="left" vertical="top"/>
    </xf>
    <xf numFmtId="0" fontId="165" fillId="0" borderId="1734" applyFill="0" applyProtection="0">
      <alignment horizontal="center"/>
    </xf>
    <xf numFmtId="254" fontId="240" fillId="0" borderId="1734" applyBorder="0" applyProtection="0">
      <alignment horizontal="right" vertical="center"/>
    </xf>
    <xf numFmtId="0" fontId="241" fillId="94" borderId="1734" applyBorder="0" applyProtection="0">
      <alignment horizontal="centerContinuous" vertical="center"/>
    </xf>
    <xf numFmtId="0" fontId="241" fillId="94" borderId="1750" applyBorder="0" applyProtection="0">
      <alignment horizontal="centerContinuous" vertical="center"/>
    </xf>
    <xf numFmtId="0" fontId="166" fillId="0" borderId="1750">
      <alignment horizontal="center"/>
    </xf>
    <xf numFmtId="186" fontId="146" fillId="3" borderId="1750" applyBorder="0">
      <alignment horizontal="left" vertical="center"/>
    </xf>
    <xf numFmtId="0" fontId="214" fillId="0" borderId="1744" applyNumberFormat="0" applyFont="0" applyFill="0" applyAlignment="0" applyProtection="0"/>
    <xf numFmtId="0" fontId="78" fillId="14" borderId="1740" applyFont="0" applyFill="0" applyBorder="0" applyAlignment="0" applyProtection="0"/>
    <xf numFmtId="0" fontId="78" fillId="14" borderId="1695" applyFont="0" applyFill="0" applyBorder="0" applyAlignment="0" applyProtection="0"/>
    <xf numFmtId="0" fontId="25" fillId="10" borderId="1703" applyNumberFormat="0" applyProtection="0">
      <alignment horizontal="left" vertical="top"/>
    </xf>
    <xf numFmtId="0" fontId="25" fillId="10" borderId="1702" applyNumberFormat="0" applyProtection="0">
      <alignment horizontal="left" vertical="top"/>
    </xf>
    <xf numFmtId="0" fontId="25" fillId="10" borderId="1701" applyNumberFormat="0" applyProtection="0">
      <alignment horizontal="left" vertical="top"/>
    </xf>
    <xf numFmtId="0" fontId="25" fillId="10" borderId="1700" applyNumberFormat="0" applyProtection="0">
      <alignment horizontal="left" vertical="top"/>
    </xf>
    <xf numFmtId="186" fontId="140" fillId="3" borderId="1766">
      <alignment horizontal="center" vertical="center"/>
    </xf>
    <xf numFmtId="0" fontId="214" fillId="0" borderId="1699" applyNumberFormat="0" applyFont="0" applyFill="0" applyAlignment="0" applyProtection="0"/>
    <xf numFmtId="186" fontId="140" fillId="3" borderId="1673">
      <alignment horizontal="center" vertical="center"/>
    </xf>
    <xf numFmtId="186" fontId="146" fillId="3" borderId="1600">
      <alignment horizontal="left"/>
    </xf>
    <xf numFmtId="186" fontId="146" fillId="3" borderId="1765">
      <alignment horizontal="left"/>
    </xf>
    <xf numFmtId="0" fontId="75" fillId="0" borderId="1598" applyNumberFormat="0" applyFont="0" applyFill="0" applyAlignment="0" applyProtection="0"/>
    <xf numFmtId="0" fontId="75" fillId="0" borderId="1763" applyNumberFormat="0" applyFont="0" applyFill="0" applyAlignment="0" applyProtection="0"/>
    <xf numFmtId="264" fontId="12" fillId="14" borderId="4746" applyFont="0" applyFill="0" applyBorder="0" applyAlignment="0" applyProtection="0">
      <alignment horizontal="right"/>
    </xf>
    <xf numFmtId="222" fontId="79" fillId="0" borderId="1731" applyBorder="0"/>
    <xf numFmtId="222" fontId="79" fillId="0" borderId="1731" applyBorder="0"/>
    <xf numFmtId="0" fontId="25" fillId="10" borderId="1769" applyNumberFormat="0" applyProtection="0">
      <alignment horizontal="left" vertical="top"/>
    </xf>
    <xf numFmtId="0" fontId="2" fillId="0" borderId="1767" applyNumberFormat="0" applyAlignment="0" applyProtection="0"/>
    <xf numFmtId="246" fontId="250" fillId="0" borderId="1734" applyFill="0" applyProtection="0">
      <alignment horizontal="center"/>
    </xf>
    <xf numFmtId="246" fontId="249" fillId="0" borderId="1734" applyFill="0" applyProtection="0">
      <alignment horizontal="center"/>
    </xf>
    <xf numFmtId="0" fontId="241" fillId="94" borderId="1734" applyBorder="0" applyProtection="0">
      <alignment horizontal="centerContinuous" vertical="center"/>
    </xf>
    <xf numFmtId="254" fontId="240" fillId="0" borderId="1734" applyBorder="0" applyProtection="0">
      <alignment horizontal="right" vertical="center"/>
    </xf>
    <xf numFmtId="0" fontId="210" fillId="0" borderId="1734" applyNumberFormat="0" applyFill="0" applyBorder="0" applyAlignment="0">
      <protection locked="0"/>
    </xf>
    <xf numFmtId="264" fontId="12" fillId="14" borderId="1734" applyFont="0" applyFill="0" applyBorder="0" applyAlignment="0" applyProtection="0">
      <alignment horizontal="right"/>
    </xf>
    <xf numFmtId="0" fontId="166" fillId="0" borderId="1734">
      <alignment horizontal="center"/>
    </xf>
    <xf numFmtId="0" fontId="165" fillId="0" borderId="1734" applyFill="0" applyProtection="0">
      <alignment horizontal="center"/>
    </xf>
    <xf numFmtId="186" fontId="146" fillId="3" borderId="1734" applyBorder="0">
      <alignment horizontal="left" vertical="center"/>
    </xf>
    <xf numFmtId="180" fontId="9" fillId="3" borderId="1734">
      <alignment horizontal="right" vertical="center"/>
    </xf>
    <xf numFmtId="192" fontId="9" fillId="3" borderId="1734">
      <alignment horizontal="right" vertical="center"/>
    </xf>
    <xf numFmtId="248" fontId="46" fillId="0" borderId="1734"/>
    <xf numFmtId="0" fontId="12" fillId="0" borderId="1734" applyNumberFormat="0" applyFill="0" applyBorder="0" applyAlignment="0" applyProtection="0">
      <alignment horizontal="center"/>
    </xf>
    <xf numFmtId="0" fontId="113" fillId="0" borderId="1734" applyNumberFormat="0" applyFill="0" applyAlignment="0" applyProtection="0"/>
    <xf numFmtId="222" fontId="79" fillId="0" borderId="1731" applyBorder="0"/>
    <xf numFmtId="0" fontId="101" fillId="0" borderId="1734" applyBorder="0"/>
    <xf numFmtId="222" fontId="79" fillId="0" borderId="1731" applyBorder="0"/>
    <xf numFmtId="0" fontId="75" fillId="0" borderId="1706" applyNumberFormat="0" applyFont="0" applyFill="0" applyAlignment="0" applyProtection="0"/>
    <xf numFmtId="186" fontId="146" fillId="3" borderId="1708">
      <alignment horizontal="left"/>
    </xf>
    <xf numFmtId="186" fontId="140" fillId="3" borderId="1709">
      <alignment horizontal="center" vertical="center"/>
    </xf>
    <xf numFmtId="0" fontId="2" fillId="0" borderId="1710" applyNumberFormat="0" applyAlignment="0" applyProtection="0"/>
    <xf numFmtId="0" fontId="214" fillId="0" borderId="1711" applyNumberFormat="0" applyFont="0" applyFill="0" applyAlignment="0" applyProtection="0"/>
    <xf numFmtId="0" fontId="25" fillId="10" borderId="1712" applyNumberFormat="0" applyProtection="0">
      <alignment horizontal="left" vertical="top"/>
    </xf>
    <xf numFmtId="0" fontId="25" fillId="10" borderId="1713" applyNumberFormat="0" applyProtection="0">
      <alignment horizontal="left" vertical="top"/>
    </xf>
    <xf numFmtId="0" fontId="25" fillId="10" borderId="1714" applyNumberFormat="0" applyProtection="0">
      <alignment horizontal="left" vertical="top"/>
    </xf>
    <xf numFmtId="0" fontId="25" fillId="10" borderId="1715" applyNumberFormat="0" applyProtection="0">
      <alignment horizontal="left" vertical="top"/>
    </xf>
    <xf numFmtId="0" fontId="78" fillId="14" borderId="1707" applyFont="0" applyFill="0" applyBorder="0" applyAlignment="0" applyProtection="0"/>
    <xf numFmtId="246" fontId="250" fillId="0" borderId="1955" applyFill="0" applyProtection="0">
      <alignment horizontal="center"/>
    </xf>
    <xf numFmtId="0" fontId="25" fillId="10" borderId="1965" applyNumberFormat="0" applyProtection="0">
      <alignment horizontal="left" vertical="top"/>
    </xf>
    <xf numFmtId="222" fontId="79" fillId="0" borderId="1731" applyBorder="0"/>
    <xf numFmtId="0" fontId="75" fillId="0" borderId="1956" applyNumberFormat="0" applyFont="0" applyFill="0" applyAlignment="0" applyProtection="0"/>
    <xf numFmtId="0" fontId="276" fillId="54" borderId="1736" applyNumberFormat="0" applyAlignment="0" applyProtection="0"/>
    <xf numFmtId="222" fontId="79" fillId="0" borderId="1942" applyBorder="0"/>
    <xf numFmtId="0" fontId="101" fillId="0" borderId="1907" applyBorder="0"/>
    <xf numFmtId="0" fontId="283" fillId="103" borderId="1736" applyNumberFormat="0" applyAlignment="0" applyProtection="0"/>
    <xf numFmtId="0" fontId="50" fillId="117" borderId="1719" applyNumberFormat="0" applyFont="0" applyAlignment="0" applyProtection="0"/>
    <xf numFmtId="0" fontId="78" fillId="14" borderId="1897" applyFont="0" applyFill="0" applyBorder="0" applyAlignment="0" applyProtection="0"/>
    <xf numFmtId="0" fontId="286" fillId="54" borderId="1737" applyNumberFormat="0" applyAlignment="0" applyProtection="0"/>
    <xf numFmtId="0" fontId="283" fillId="103" borderId="1736" applyNumberFormat="0" applyAlignment="0" applyProtection="0"/>
    <xf numFmtId="222" fontId="79" fillId="0" borderId="1894" applyBorder="0"/>
    <xf numFmtId="0" fontId="288" fillId="0" borderId="1738" applyNumberFormat="0" applyFill="0" applyAlignment="0" applyProtection="0"/>
    <xf numFmtId="0" fontId="276" fillId="54" borderId="1736" applyNumberFormat="0" applyAlignment="0" applyProtection="0"/>
    <xf numFmtId="0" fontId="2" fillId="0" borderId="1888" applyNumberFormat="0" applyAlignment="0" applyProtection="0"/>
    <xf numFmtId="0" fontId="214" fillId="0" borderId="1889" applyNumberFormat="0" applyFont="0" applyFill="0" applyAlignment="0" applyProtection="0"/>
    <xf numFmtId="0" fontId="78" fillId="14" borderId="1885" applyFont="0" applyFill="0" applyBorder="0" applyAlignment="0" applyProtection="0"/>
    <xf numFmtId="0" fontId="101" fillId="0" borderId="1955" applyBorder="0"/>
    <xf numFmtId="0" fontId="78" fillId="14" borderId="1695" applyFont="0" applyFill="0" applyBorder="0" applyAlignment="0" applyProtection="0"/>
    <xf numFmtId="222" fontId="79" fillId="0" borderId="1731" applyBorder="0"/>
    <xf numFmtId="186" fontId="146" fillId="3" borderId="1886">
      <alignment horizontal="left"/>
    </xf>
    <xf numFmtId="0" fontId="25" fillId="10" borderId="1963" applyNumberFormat="0" applyProtection="0">
      <alignment horizontal="left" vertical="top"/>
    </xf>
    <xf numFmtId="0" fontId="214" fillId="0" borderId="1961" applyNumberFormat="0" applyFont="0" applyFill="0" applyAlignment="0" applyProtection="0"/>
    <xf numFmtId="0" fontId="25" fillId="10" borderId="1905" applyNumberFormat="0" applyProtection="0">
      <alignment horizontal="left" vertical="top"/>
    </xf>
    <xf numFmtId="0" fontId="78" fillId="14" borderId="1695" applyFont="0" applyFill="0" applyBorder="0" applyAlignment="0" applyProtection="0"/>
    <xf numFmtId="0" fontId="25" fillId="10" borderId="1703" applyNumberFormat="0" applyProtection="0">
      <alignment horizontal="left" vertical="top"/>
    </xf>
    <xf numFmtId="0" fontId="25" fillId="10" borderId="1702" applyNumberFormat="0" applyProtection="0">
      <alignment horizontal="left" vertical="top"/>
    </xf>
    <xf numFmtId="0" fontId="25" fillId="10" borderId="1701" applyNumberFormat="0" applyProtection="0">
      <alignment horizontal="left" vertical="top"/>
    </xf>
    <xf numFmtId="0" fontId="25" fillId="10" borderId="1700" applyNumberFormat="0" applyProtection="0">
      <alignment horizontal="left" vertical="top"/>
    </xf>
    <xf numFmtId="0" fontId="166" fillId="0" borderId="1955">
      <alignment horizontal="center"/>
    </xf>
    <xf numFmtId="0" fontId="214" fillId="0" borderId="1699" applyNumberFormat="0" applyFont="0" applyFill="0" applyAlignment="0" applyProtection="0"/>
    <xf numFmtId="186" fontId="140" fillId="3" borderId="1673">
      <alignment horizontal="center" vertical="center"/>
    </xf>
    <xf numFmtId="186" fontId="146" fillId="3" borderId="1600">
      <alignment horizontal="left"/>
    </xf>
    <xf numFmtId="186" fontId="146" fillId="3" borderId="1958">
      <alignment horizontal="left"/>
    </xf>
    <xf numFmtId="0" fontId="75" fillId="0" borderId="1598" applyNumberFormat="0" applyFont="0" applyFill="0" applyAlignment="0" applyProtection="0"/>
    <xf numFmtId="192" fontId="9" fillId="3" borderId="1955">
      <alignment horizontal="right" vertical="center"/>
    </xf>
    <xf numFmtId="222" fontId="79" fillId="0" borderId="1731" applyBorder="0"/>
    <xf numFmtId="0" fontId="101" fillId="0" borderId="1734" applyBorder="0"/>
    <xf numFmtId="222" fontId="79" fillId="0" borderId="1731" applyBorder="0"/>
    <xf numFmtId="0" fontId="113" fillId="0" borderId="1734" applyNumberFormat="0" applyFill="0" applyAlignment="0" applyProtection="0"/>
    <xf numFmtId="0" fontId="12" fillId="0" borderId="1734" applyNumberFormat="0" applyFill="0" applyBorder="0" applyAlignment="0" applyProtection="0">
      <alignment horizontal="center"/>
    </xf>
    <xf numFmtId="248" fontId="46" fillId="0" borderId="1734"/>
    <xf numFmtId="192" fontId="9" fillId="3" borderId="1734">
      <alignment horizontal="right" vertical="center"/>
    </xf>
    <xf numFmtId="180" fontId="9" fillId="3" borderId="1734">
      <alignment horizontal="right" vertical="center"/>
    </xf>
    <xf numFmtId="186" fontId="146" fillId="3" borderId="1734" applyBorder="0">
      <alignment horizontal="left" vertical="center"/>
    </xf>
    <xf numFmtId="0" fontId="165" fillId="0" borderId="1734" applyFill="0" applyProtection="0">
      <alignment horizontal="center"/>
    </xf>
    <xf numFmtId="0" fontId="166" fillId="0" borderId="1734">
      <alignment horizontal="center"/>
    </xf>
    <xf numFmtId="264" fontId="12" fillId="14" borderId="1734" applyFont="0" applyFill="0" applyBorder="0" applyAlignment="0" applyProtection="0">
      <alignment horizontal="right"/>
    </xf>
    <xf numFmtId="0" fontId="210" fillId="0" borderId="1734" applyNumberFormat="0" applyFill="0" applyBorder="0" applyAlignment="0">
      <protection locked="0"/>
    </xf>
    <xf numFmtId="254" fontId="240" fillId="0" borderId="1734" applyBorder="0" applyProtection="0">
      <alignment horizontal="right" vertical="center"/>
    </xf>
    <xf numFmtId="0" fontId="241" fillId="94" borderId="1734" applyBorder="0" applyProtection="0">
      <alignment horizontal="centerContinuous" vertical="center"/>
    </xf>
    <xf numFmtId="246" fontId="249" fillId="0" borderId="1734" applyFill="0" applyProtection="0">
      <alignment horizontal="center"/>
    </xf>
    <xf numFmtId="246" fontId="250" fillId="0" borderId="1734" applyFill="0" applyProtection="0">
      <alignment horizontal="center"/>
    </xf>
    <xf numFmtId="0" fontId="25" fillId="10" borderId="1963" applyNumberFormat="0" applyProtection="0">
      <alignment horizontal="left" vertical="top"/>
    </xf>
    <xf numFmtId="0" fontId="286" fillId="54" borderId="1737" applyNumberFormat="0" applyAlignment="0" applyProtection="0"/>
    <xf numFmtId="246" fontId="250" fillId="0" borderId="4810" applyFill="0" applyProtection="0">
      <alignment horizontal="center"/>
    </xf>
    <xf numFmtId="0" fontId="75" fillId="0" borderId="1884" applyNumberFormat="0" applyFont="0" applyFill="0" applyAlignment="0" applyProtection="0"/>
    <xf numFmtId="0" fontId="210" fillId="0" borderId="1955" applyNumberFormat="0" applyFill="0" applyBorder="0" applyAlignment="0">
      <protection locked="0"/>
    </xf>
    <xf numFmtId="0" fontId="288" fillId="0" borderId="1738" applyNumberFormat="0" applyFill="0" applyAlignment="0" applyProtection="0"/>
    <xf numFmtId="0" fontId="25" fillId="10" borderId="1893" applyNumberFormat="0" applyProtection="0">
      <alignment horizontal="left" vertical="top"/>
    </xf>
    <xf numFmtId="0" fontId="25" fillId="10" borderId="1891" applyNumberFormat="0" applyProtection="0">
      <alignment horizontal="left" vertical="top"/>
    </xf>
    <xf numFmtId="0" fontId="25" fillId="10" borderId="1892" applyNumberFormat="0" applyProtection="0">
      <alignment horizontal="left" vertical="top"/>
    </xf>
    <xf numFmtId="0" fontId="25" fillId="10" borderId="1890" applyNumberFormat="0" applyProtection="0">
      <alignment horizontal="left" vertical="top"/>
    </xf>
    <xf numFmtId="186" fontId="140" fillId="3" borderId="1887">
      <alignment horizontal="center" vertical="center"/>
    </xf>
    <xf numFmtId="0" fontId="241" fillId="94" borderId="1774" applyBorder="0" applyProtection="0">
      <alignment horizontal="centerContinuous" vertical="center"/>
    </xf>
    <xf numFmtId="0" fontId="166" fillId="0" borderId="1774">
      <alignment horizontal="center"/>
    </xf>
    <xf numFmtId="0" fontId="214" fillId="0" borderId="1699" applyNumberFormat="0" applyFont="0" applyFill="0" applyAlignment="0" applyProtection="0"/>
    <xf numFmtId="246" fontId="250" fillId="0" borderId="1734" applyFill="0" applyProtection="0">
      <alignment horizontal="center"/>
    </xf>
    <xf numFmtId="246" fontId="249" fillId="0" borderId="1734" applyFill="0" applyProtection="0">
      <alignment horizontal="center"/>
    </xf>
    <xf numFmtId="0" fontId="241" fillId="94" borderId="1734" applyBorder="0" applyProtection="0">
      <alignment horizontal="centerContinuous" vertical="center"/>
    </xf>
    <xf numFmtId="254" fontId="240" fillId="0" borderId="1734" applyBorder="0" applyProtection="0">
      <alignment horizontal="right" vertical="center"/>
    </xf>
    <xf numFmtId="0" fontId="210" fillId="0" borderId="1734" applyNumberFormat="0" applyFill="0" applyBorder="0" applyAlignment="0">
      <protection locked="0"/>
    </xf>
    <xf numFmtId="264" fontId="12" fillId="14" borderId="1734" applyFont="0" applyFill="0" applyBorder="0" applyAlignment="0" applyProtection="0">
      <alignment horizontal="right"/>
    </xf>
    <xf numFmtId="0" fontId="166" fillId="0" borderId="1734">
      <alignment horizontal="center"/>
    </xf>
    <xf numFmtId="0" fontId="165" fillId="0" borderId="1734" applyFill="0" applyProtection="0">
      <alignment horizontal="center"/>
    </xf>
    <xf numFmtId="186" fontId="146" fillId="3" borderId="1734" applyBorder="0">
      <alignment horizontal="left" vertical="center"/>
    </xf>
    <xf numFmtId="180" fontId="9" fillId="3" borderId="1734">
      <alignment horizontal="right" vertical="center"/>
    </xf>
    <xf numFmtId="192" fontId="9" fillId="3" borderId="1734">
      <alignment horizontal="right" vertical="center"/>
    </xf>
    <xf numFmtId="248" fontId="46" fillId="0" borderId="1734"/>
    <xf numFmtId="0" fontId="12" fillId="0" borderId="1734" applyNumberFormat="0" applyFill="0" applyBorder="0" applyAlignment="0" applyProtection="0">
      <alignment horizontal="center"/>
    </xf>
    <xf numFmtId="0" fontId="113" fillId="0" borderId="1734" applyNumberFormat="0" applyFill="0" applyAlignment="0" applyProtection="0"/>
    <xf numFmtId="222" fontId="79" fillId="0" borderId="1731" applyBorder="0"/>
    <xf numFmtId="0" fontId="101" fillId="0" borderId="1734" applyBorder="0"/>
    <xf numFmtId="222" fontId="79" fillId="0" borderId="1731" applyBorder="0"/>
    <xf numFmtId="0" fontId="75" fillId="0" borderId="1598" applyNumberFormat="0" applyFont="0" applyFill="0" applyAlignment="0" applyProtection="0"/>
    <xf numFmtId="186" fontId="146" fillId="3" borderId="1600">
      <alignment horizontal="left"/>
    </xf>
    <xf numFmtId="186" fontId="140" fillId="3" borderId="1673">
      <alignment horizontal="center" vertical="center"/>
    </xf>
    <xf numFmtId="0" fontId="214" fillId="0" borderId="1699" applyNumberFormat="0" applyFont="0" applyFill="0" applyAlignment="0" applyProtection="0"/>
    <xf numFmtId="0" fontId="25" fillId="10" borderId="1700" applyNumberFormat="0" applyProtection="0">
      <alignment horizontal="left" vertical="top"/>
    </xf>
    <xf numFmtId="0" fontId="25" fillId="10" borderId="1701" applyNumberFormat="0" applyProtection="0">
      <alignment horizontal="left" vertical="top"/>
    </xf>
    <xf numFmtId="0" fontId="25" fillId="10" borderId="1702" applyNumberFormat="0" applyProtection="0">
      <alignment horizontal="left" vertical="top"/>
    </xf>
    <xf numFmtId="0" fontId="25" fillId="10" borderId="1703" applyNumberFormat="0" applyProtection="0">
      <alignment horizontal="left" vertical="top"/>
    </xf>
    <xf numFmtId="0" fontId="78" fillId="14" borderId="1707" applyFont="0" applyFill="0" applyBorder="0" applyAlignment="0" applyProtection="0"/>
    <xf numFmtId="222" fontId="79" fillId="0" borderId="1731" applyBorder="0"/>
    <xf numFmtId="0" fontId="78" fillId="14" borderId="1707" applyFont="0" applyFill="0" applyBorder="0" applyAlignment="0" applyProtection="0"/>
    <xf numFmtId="186" fontId="146" fillId="3" borderId="1600">
      <alignment horizontal="left"/>
    </xf>
    <xf numFmtId="0" fontId="78" fillId="14" borderId="1707" applyFont="0" applyFill="0" applyBorder="0" applyAlignment="0" applyProtection="0"/>
    <xf numFmtId="222" fontId="79" fillId="0" borderId="1731" applyBorder="0"/>
    <xf numFmtId="0" fontId="2" fillId="0" borderId="1710" applyNumberFormat="0" applyAlignment="0" applyProtection="0"/>
    <xf numFmtId="0" fontId="78" fillId="14" borderId="1707" applyFont="0" applyFill="0" applyBorder="0" applyAlignment="0" applyProtection="0"/>
    <xf numFmtId="0" fontId="25" fillId="10" borderId="1715" applyNumberFormat="0" applyProtection="0">
      <alignment horizontal="left" vertical="top"/>
    </xf>
    <xf numFmtId="0" fontId="25" fillId="10" borderId="1714" applyNumberFormat="0" applyProtection="0">
      <alignment horizontal="left" vertical="top"/>
    </xf>
    <xf numFmtId="0" fontId="25" fillId="10" borderId="1713" applyNumberFormat="0" applyProtection="0">
      <alignment horizontal="left" vertical="top"/>
    </xf>
    <xf numFmtId="0" fontId="25" fillId="10" borderId="1712" applyNumberFormat="0" applyProtection="0">
      <alignment horizontal="left" vertical="top"/>
    </xf>
    <xf numFmtId="0" fontId="25" fillId="10" borderId="1713" applyNumberFormat="0" applyProtection="0">
      <alignment horizontal="left" vertical="top"/>
    </xf>
    <xf numFmtId="0" fontId="214" fillId="0" borderId="1711" applyNumberFormat="0" applyFont="0" applyFill="0" applyAlignment="0" applyProtection="0"/>
    <xf numFmtId="0" fontId="2" fillId="0" borderId="1710" applyNumberFormat="0" applyAlignment="0" applyProtection="0"/>
    <xf numFmtId="186" fontId="140" fillId="3" borderId="1709">
      <alignment horizontal="center" vertical="center"/>
    </xf>
    <xf numFmtId="186" fontId="146" fillId="3" borderId="1708">
      <alignment horizontal="left"/>
    </xf>
    <xf numFmtId="0" fontId="25" fillId="10" borderId="1715" applyNumberFormat="0" applyProtection="0">
      <alignment horizontal="left" vertical="top"/>
    </xf>
    <xf numFmtId="0" fontId="75" fillId="0" borderId="1706" applyNumberFormat="0" applyFont="0" applyFill="0" applyAlignment="0" applyProtection="0"/>
    <xf numFmtId="222" fontId="79" fillId="0" borderId="1731" applyBorder="0"/>
    <xf numFmtId="0" fontId="101" fillId="0" borderId="1734" applyBorder="0"/>
    <xf numFmtId="222" fontId="79" fillId="0" borderId="1731" applyBorder="0"/>
    <xf numFmtId="0" fontId="113" fillId="0" borderId="1734" applyNumberFormat="0" applyFill="0" applyAlignment="0" applyProtection="0"/>
    <xf numFmtId="0" fontId="12" fillId="0" borderId="1734" applyNumberFormat="0" applyFill="0" applyBorder="0" applyAlignment="0" applyProtection="0">
      <alignment horizontal="center"/>
    </xf>
    <xf numFmtId="248" fontId="46" fillId="0" borderId="1734"/>
    <xf numFmtId="192" fontId="9" fillId="3" borderId="1734">
      <alignment horizontal="right" vertical="center"/>
    </xf>
    <xf numFmtId="180" fontId="9" fillId="3" borderId="1734">
      <alignment horizontal="right" vertical="center"/>
    </xf>
    <xf numFmtId="186" fontId="146" fillId="3" borderId="1734" applyBorder="0">
      <alignment horizontal="left" vertical="center"/>
    </xf>
    <xf numFmtId="0" fontId="165" fillId="0" borderId="1734" applyFill="0" applyProtection="0">
      <alignment horizontal="center"/>
    </xf>
    <xf numFmtId="0" fontId="166" fillId="0" borderId="1734">
      <alignment horizontal="center"/>
    </xf>
    <xf numFmtId="264" fontId="12" fillId="14" borderId="1734" applyFont="0" applyFill="0" applyBorder="0" applyAlignment="0" applyProtection="0">
      <alignment horizontal="right"/>
    </xf>
    <xf numFmtId="0" fontId="210" fillId="0" borderId="1734" applyNumberFormat="0" applyFill="0" applyBorder="0" applyAlignment="0">
      <protection locked="0"/>
    </xf>
    <xf numFmtId="254" fontId="240" fillId="0" borderId="1734" applyBorder="0" applyProtection="0">
      <alignment horizontal="right" vertical="center"/>
    </xf>
    <xf numFmtId="0" fontId="241" fillId="94" borderId="1734" applyBorder="0" applyProtection="0">
      <alignment horizontal="centerContinuous" vertical="center"/>
    </xf>
    <xf numFmtId="246" fontId="249" fillId="0" borderId="1734" applyFill="0" applyProtection="0">
      <alignment horizontal="center"/>
    </xf>
    <xf numFmtId="246" fontId="250" fillId="0" borderId="1734" applyFill="0" applyProtection="0">
      <alignment horizontal="center"/>
    </xf>
    <xf numFmtId="186" fontId="140" fillId="3" borderId="1709">
      <alignment horizontal="center" vertical="center"/>
    </xf>
    <xf numFmtId="0" fontId="78" fillId="14" borderId="1707" applyFont="0" applyFill="0" applyBorder="0" applyAlignment="0" applyProtection="0"/>
    <xf numFmtId="222" fontId="79" fillId="0" borderId="1731" applyBorder="0"/>
    <xf numFmtId="0" fontId="78" fillId="14" borderId="1707" applyFont="0" applyFill="0" applyBorder="0" applyAlignment="0" applyProtection="0"/>
    <xf numFmtId="0" fontId="25" fillId="10" borderId="1715" applyNumberFormat="0" applyProtection="0">
      <alignment horizontal="left" vertical="top"/>
    </xf>
    <xf numFmtId="0" fontId="25" fillId="10" borderId="1714" applyNumberFormat="0" applyProtection="0">
      <alignment horizontal="left" vertical="top"/>
    </xf>
    <xf numFmtId="0" fontId="25" fillId="10" borderId="1713" applyNumberFormat="0" applyProtection="0">
      <alignment horizontal="left" vertical="top"/>
    </xf>
    <xf numFmtId="0" fontId="25" fillId="10" borderId="1712" applyNumberFormat="0" applyProtection="0">
      <alignment horizontal="left" vertical="top"/>
    </xf>
    <xf numFmtId="0" fontId="214" fillId="0" borderId="1711" applyNumberFormat="0" applyFont="0" applyFill="0" applyAlignment="0" applyProtection="0"/>
    <xf numFmtId="0" fontId="2" fillId="0" borderId="1710" applyNumberFormat="0" applyAlignment="0" applyProtection="0"/>
    <xf numFmtId="186" fontId="140" fillId="3" borderId="1709">
      <alignment horizontal="center" vertical="center"/>
    </xf>
    <xf numFmtId="186" fontId="146" fillId="3" borderId="1708">
      <alignment horizontal="left"/>
    </xf>
    <xf numFmtId="0" fontId="75" fillId="0" borderId="1706" applyNumberFormat="0" applyFont="0" applyFill="0" applyAlignment="0" applyProtection="0"/>
    <xf numFmtId="222" fontId="79" fillId="0" borderId="1731" applyBorder="0"/>
    <xf numFmtId="0" fontId="101" fillId="0" borderId="1734" applyBorder="0"/>
    <xf numFmtId="222" fontId="79" fillId="0" borderId="1731" applyBorder="0"/>
    <xf numFmtId="0" fontId="113" fillId="0" borderId="1734" applyNumberFormat="0" applyFill="0" applyAlignment="0" applyProtection="0"/>
    <xf numFmtId="0" fontId="12" fillId="0" borderId="1734" applyNumberFormat="0" applyFill="0" applyBorder="0" applyAlignment="0" applyProtection="0">
      <alignment horizontal="center"/>
    </xf>
    <xf numFmtId="248" fontId="46" fillId="0" borderId="1734"/>
    <xf numFmtId="192" fontId="9" fillId="3" borderId="1734">
      <alignment horizontal="right" vertical="center"/>
    </xf>
    <xf numFmtId="180" fontId="9" fillId="3" borderId="1734">
      <alignment horizontal="right" vertical="center"/>
    </xf>
    <xf numFmtId="186" fontId="146" fillId="3" borderId="1734" applyBorder="0">
      <alignment horizontal="left" vertical="center"/>
    </xf>
    <xf numFmtId="0" fontId="165" fillId="0" borderId="1734" applyFill="0" applyProtection="0">
      <alignment horizontal="center"/>
    </xf>
    <xf numFmtId="0" fontId="166" fillId="0" borderId="1734">
      <alignment horizontal="center"/>
    </xf>
    <xf numFmtId="264" fontId="12" fillId="14" borderId="1734" applyFont="0" applyFill="0" applyBorder="0" applyAlignment="0" applyProtection="0">
      <alignment horizontal="right"/>
    </xf>
    <xf numFmtId="0" fontId="210" fillId="0" borderId="1734" applyNumberFormat="0" applyFill="0" applyBorder="0" applyAlignment="0">
      <protection locked="0"/>
    </xf>
    <xf numFmtId="254" fontId="240" fillId="0" borderId="1734" applyBorder="0" applyProtection="0">
      <alignment horizontal="right" vertical="center"/>
    </xf>
    <xf numFmtId="0" fontId="241" fillId="94" borderId="1734" applyBorder="0" applyProtection="0">
      <alignment horizontal="centerContinuous" vertical="center"/>
    </xf>
    <xf numFmtId="246" fontId="249" fillId="0" borderId="1734" applyFill="0" applyProtection="0">
      <alignment horizontal="center"/>
    </xf>
    <xf numFmtId="246" fontId="250" fillId="0" borderId="1734" applyFill="0" applyProtection="0">
      <alignment horizontal="center"/>
    </xf>
    <xf numFmtId="222" fontId="79" fillId="0" borderId="1749" applyBorder="0"/>
    <xf numFmtId="0" fontId="78" fillId="14" borderId="1752" applyFont="0" applyFill="0" applyBorder="0" applyAlignment="0" applyProtection="0"/>
    <xf numFmtId="0" fontId="25" fillId="10" borderId="1760" applyNumberFormat="0" applyProtection="0">
      <alignment horizontal="left" vertical="top"/>
    </xf>
    <xf numFmtId="0" fontId="25" fillId="10" borderId="1759" applyNumberFormat="0" applyProtection="0">
      <alignment horizontal="left" vertical="top"/>
    </xf>
    <xf numFmtId="0" fontId="25" fillId="10" borderId="1758" applyNumberFormat="0" applyProtection="0">
      <alignment horizontal="left" vertical="top"/>
    </xf>
    <xf numFmtId="0" fontId="25" fillId="10" borderId="1757" applyNumberFormat="0" applyProtection="0">
      <alignment horizontal="left" vertical="top"/>
    </xf>
    <xf numFmtId="0" fontId="214" fillId="0" borderId="1756" applyNumberFormat="0" applyFont="0" applyFill="0" applyAlignment="0" applyProtection="0"/>
    <xf numFmtId="0" fontId="2" fillId="0" borderId="1755" applyNumberFormat="0" applyAlignment="0" applyProtection="0"/>
    <xf numFmtId="186" fontId="140" fillId="3" borderId="1754">
      <alignment horizontal="center" vertical="center"/>
    </xf>
    <xf numFmtId="186" fontId="146" fillId="3" borderId="1753">
      <alignment horizontal="left"/>
    </xf>
    <xf numFmtId="0" fontId="75" fillId="0" borderId="1751" applyNumberFormat="0" applyFont="0" applyFill="0" applyAlignment="0" applyProtection="0"/>
    <xf numFmtId="222" fontId="79" fillId="0" borderId="1761" applyBorder="0"/>
    <xf numFmtId="0" fontId="101" fillId="0" borderId="1762" applyBorder="0"/>
    <xf numFmtId="222" fontId="79" fillId="0" borderId="1761" applyBorder="0"/>
    <xf numFmtId="0" fontId="113" fillId="0" borderId="1762" applyNumberFormat="0" applyFill="0" applyAlignment="0" applyProtection="0"/>
    <xf numFmtId="0" fontId="12" fillId="0" borderId="1762" applyNumberFormat="0" applyFill="0" applyBorder="0" applyAlignment="0" applyProtection="0">
      <alignment horizontal="center"/>
    </xf>
    <xf numFmtId="248" fontId="46" fillId="0" borderId="1762"/>
    <xf numFmtId="192" fontId="9" fillId="3" borderId="1762">
      <alignment horizontal="right" vertical="center"/>
    </xf>
    <xf numFmtId="180" fontId="9" fillId="3" borderId="1762">
      <alignment horizontal="right" vertical="center"/>
    </xf>
    <xf numFmtId="186" fontId="146" fillId="3" borderId="1762" applyBorder="0">
      <alignment horizontal="left" vertical="center"/>
    </xf>
    <xf numFmtId="0" fontId="165" fillId="0" borderId="1762" applyFill="0" applyProtection="0">
      <alignment horizontal="center"/>
    </xf>
    <xf numFmtId="0" fontId="166" fillId="0" borderId="1762">
      <alignment horizontal="center"/>
    </xf>
    <xf numFmtId="264" fontId="12" fillId="14" borderId="1762" applyFont="0" applyFill="0" applyBorder="0" applyAlignment="0" applyProtection="0">
      <alignment horizontal="right"/>
    </xf>
    <xf numFmtId="0" fontId="210" fillId="0" borderId="1762" applyNumberFormat="0" applyFill="0" applyBorder="0" applyAlignment="0">
      <protection locked="0"/>
    </xf>
    <xf numFmtId="254" fontId="240" fillId="0" borderId="1762" applyBorder="0" applyProtection="0">
      <alignment horizontal="right" vertical="center"/>
    </xf>
    <xf numFmtId="0" fontId="241" fillId="94" borderId="1762" applyBorder="0" applyProtection="0">
      <alignment horizontal="centerContinuous" vertical="center"/>
    </xf>
    <xf numFmtId="246" fontId="249" fillId="0" borderId="1762" applyFill="0" applyProtection="0">
      <alignment horizontal="center"/>
    </xf>
    <xf numFmtId="246" fontId="250" fillId="0" borderId="1762" applyFill="0" applyProtection="0">
      <alignment horizontal="center"/>
    </xf>
    <xf numFmtId="0" fontId="113" fillId="0" borderId="1895" applyNumberFormat="0" applyFill="0" applyAlignment="0" applyProtection="0"/>
    <xf numFmtId="0" fontId="75" fillId="0" borderId="1775" applyNumberFormat="0" applyFont="0" applyFill="0" applyAlignment="0" applyProtection="0"/>
    <xf numFmtId="0" fontId="78" fillId="14" borderId="1776" applyFont="0" applyFill="0" applyBorder="0" applyAlignment="0" applyProtection="0"/>
    <xf numFmtId="186" fontId="146" fillId="3" borderId="1777">
      <alignment horizontal="left"/>
    </xf>
    <xf numFmtId="186" fontId="140" fillId="3" borderId="1778">
      <alignment horizontal="center" vertical="center"/>
    </xf>
    <xf numFmtId="0" fontId="2" fillId="0" borderId="1779" applyNumberFormat="0" applyAlignment="0" applyProtection="0"/>
    <xf numFmtId="0" fontId="214" fillId="0" borderId="1780" applyNumberFormat="0" applyFont="0" applyFill="0" applyAlignment="0" applyProtection="0"/>
    <xf numFmtId="0" fontId="25" fillId="10" borderId="1781" applyNumberFormat="0" applyProtection="0">
      <alignment horizontal="left" vertical="top"/>
    </xf>
    <xf numFmtId="0" fontId="25" fillId="10" borderId="1782" applyNumberFormat="0" applyProtection="0">
      <alignment horizontal="left" vertical="top"/>
    </xf>
    <xf numFmtId="0" fontId="25" fillId="10" borderId="1783" applyNumberFormat="0" applyProtection="0">
      <alignment horizontal="left" vertical="top"/>
    </xf>
    <xf numFmtId="0" fontId="25" fillId="10" borderId="1784" applyNumberFormat="0" applyProtection="0">
      <alignment horizontal="left" vertical="top"/>
    </xf>
    <xf numFmtId="10" fontId="12" fillId="3" borderId="1730" applyNumberFormat="0" applyFont="0" applyFill="0" applyBorder="0" applyAlignment="0">
      <protection locked="0"/>
    </xf>
    <xf numFmtId="0" fontId="12" fillId="0" borderId="1895" applyNumberFormat="0" applyFill="0" applyBorder="0" applyAlignment="0" applyProtection="0">
      <alignment horizontal="center"/>
    </xf>
    <xf numFmtId="10" fontId="12" fillId="3" borderId="1730" applyNumberFormat="0" applyFont="0" applyFill="0" applyBorder="0" applyAlignment="0">
      <protection locked="0"/>
    </xf>
    <xf numFmtId="0" fontId="101" fillId="0" borderId="1895" applyBorder="0"/>
    <xf numFmtId="248" fontId="46" fillId="0" borderId="1895"/>
    <xf numFmtId="1" fontId="154" fillId="65" borderId="1785" applyNumberFormat="0" applyBorder="0" applyAlignment="0">
      <alignment horizontal="centerContinuous" vertical="center"/>
      <protection locked="0"/>
    </xf>
    <xf numFmtId="0" fontId="12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10" fontId="12" fillId="3" borderId="1730" applyNumberFormat="0" applyFont="0" applyFill="0" applyBorder="0" applyAlignment="0">
      <protection locked="0"/>
    </xf>
    <xf numFmtId="246" fontId="250" fillId="0" borderId="1774" applyFill="0" applyProtection="0">
      <alignment horizontal="center"/>
    </xf>
    <xf numFmtId="246" fontId="249" fillId="0" borderId="1774" applyFill="0" applyProtection="0">
      <alignment horizontal="center"/>
    </xf>
    <xf numFmtId="0" fontId="241" fillId="94" borderId="1774" applyBorder="0" applyProtection="0">
      <alignment horizontal="centerContinuous" vertical="center"/>
    </xf>
    <xf numFmtId="254" fontId="240" fillId="0" borderId="1774" applyBorder="0" applyProtection="0">
      <alignment horizontal="right" vertical="center"/>
    </xf>
    <xf numFmtId="0" fontId="12" fillId="0" borderId="1717" applyNumberFormat="0" applyFill="0" applyBorder="0" applyAlignment="0" applyProtection="0"/>
    <xf numFmtId="0" fontId="25" fillId="10" borderId="1729" applyNumberFormat="0" applyProtection="0">
      <alignment horizontal="left" vertical="top"/>
    </xf>
    <xf numFmtId="0" fontId="25" fillId="10" borderId="1728" applyNumberFormat="0" applyProtection="0">
      <alignment horizontal="left" vertical="top"/>
    </xf>
    <xf numFmtId="0" fontId="25" fillId="10" borderId="1727" applyNumberFormat="0" applyProtection="0">
      <alignment horizontal="left" vertical="top"/>
    </xf>
    <xf numFmtId="0" fontId="25" fillId="10" borderId="1726" applyNumberFormat="0" applyProtection="0">
      <alignment horizontal="left" vertical="top"/>
    </xf>
    <xf numFmtId="0" fontId="25" fillId="10" borderId="1725" applyNumberFormat="0" applyProtection="0">
      <alignment horizontal="left" vertical="top"/>
    </xf>
    <xf numFmtId="0" fontId="25" fillId="10" borderId="1724" applyNumberFormat="0" applyProtection="0">
      <alignment horizontal="left" vertical="top"/>
    </xf>
    <xf numFmtId="0" fontId="25" fillId="10" borderId="1723" applyNumberFormat="0" applyProtection="0">
      <alignment horizontal="left"/>
    </xf>
    <xf numFmtId="0" fontId="12" fillId="10" borderId="1718" applyNumberFormat="0" applyFont="0" applyProtection="0"/>
    <xf numFmtId="0" fontId="12" fillId="10" borderId="1718" applyNumberFormat="0" applyFont="0" applyAlignment="0" applyProtection="0"/>
    <xf numFmtId="0" fontId="12" fillId="3" borderId="1718" applyNumberFormat="0" applyFont="0" applyAlignment="0" applyProtection="0"/>
    <xf numFmtId="293" fontId="234" fillId="10" borderId="1718" applyFont="0" applyProtection="0"/>
    <xf numFmtId="169" fontId="234" fillId="10" borderId="1718" applyFont="0" applyProtection="0"/>
    <xf numFmtId="293" fontId="234" fillId="10" borderId="1718" applyFont="0" applyProtection="0"/>
    <xf numFmtId="293" fontId="234" fillId="3" borderId="1718" applyFont="0" applyProtection="0"/>
    <xf numFmtId="169" fontId="234" fillId="3" borderId="1718" applyFont="0" applyProtection="0"/>
    <xf numFmtId="0" fontId="25" fillId="10" borderId="1718" applyNumberFormat="0" applyProtection="0">
      <alignment horizontal="center" vertical="top"/>
    </xf>
    <xf numFmtId="0" fontId="25" fillId="10" borderId="1718" applyNumberFormat="0" applyProtection="0">
      <alignment horizontal="center" vertical="top"/>
    </xf>
    <xf numFmtId="0" fontId="210" fillId="0" borderId="1774" applyNumberFormat="0" applyFill="0" applyBorder="0" applyAlignment="0">
      <protection locked="0"/>
    </xf>
    <xf numFmtId="188" fontId="25" fillId="0" borderId="1733" applyFont="0" applyFill="0" applyBorder="0" applyAlignment="0" applyProtection="0">
      <alignment horizontal="center"/>
    </xf>
    <xf numFmtId="264" fontId="12" fillId="14" borderId="1774" applyFont="0" applyFill="0" applyBorder="0" applyAlignment="0" applyProtection="0">
      <alignment horizontal="right"/>
    </xf>
    <xf numFmtId="0" fontId="25" fillId="69" borderId="1718">
      <alignment horizontal="left" vertical="center" wrapText="1"/>
    </xf>
    <xf numFmtId="0" fontId="166" fillId="0" borderId="1774">
      <alignment horizontal="center"/>
    </xf>
    <xf numFmtId="0" fontId="165" fillId="0" borderId="1774" applyFill="0" applyProtection="0">
      <alignment horizontal="center"/>
    </xf>
    <xf numFmtId="0" fontId="159" fillId="67" borderId="1718"/>
    <xf numFmtId="0" fontId="159" fillId="0" borderId="1718"/>
    <xf numFmtId="0" fontId="135" fillId="0" borderId="1718"/>
    <xf numFmtId="0" fontId="135" fillId="0" borderId="1718"/>
    <xf numFmtId="186" fontId="48" fillId="3" borderId="1716">
      <alignment vertical="center"/>
    </xf>
    <xf numFmtId="186" fontId="146" fillId="3" borderId="1774" applyBorder="0">
      <alignment horizontal="left" vertical="center"/>
    </xf>
    <xf numFmtId="180" fontId="9" fillId="3" borderId="1774">
      <alignment horizontal="right" vertical="center"/>
    </xf>
    <xf numFmtId="192" fontId="9" fillId="3" borderId="1774">
      <alignment horizontal="right" vertical="center"/>
    </xf>
    <xf numFmtId="182" fontId="145" fillId="3" borderId="1716">
      <alignment horizontal="right" vertical="center"/>
    </xf>
    <xf numFmtId="0" fontId="48" fillId="0" borderId="1716" applyFont="0" applyFill="0" applyBorder="0" applyAlignment="0" applyProtection="0">
      <alignment horizontal="center"/>
    </xf>
    <xf numFmtId="0" fontId="74" fillId="0" borderId="1716" applyFont="0" applyFill="0" applyBorder="0" applyAlignment="0" applyProtection="0">
      <alignment horizontal="center"/>
    </xf>
    <xf numFmtId="0" fontId="12" fillId="0" borderId="1774" applyNumberFormat="0" applyFill="0" applyBorder="0" applyAlignment="0" applyProtection="0">
      <alignment horizontal="center"/>
    </xf>
    <xf numFmtId="5" fontId="114" fillId="0" borderId="1716" applyAlignment="0" applyProtection="0"/>
    <xf numFmtId="0" fontId="113" fillId="0" borderId="1774" applyNumberFormat="0" applyFill="0" applyAlignment="0" applyProtection="0"/>
    <xf numFmtId="0" fontId="48" fillId="0" borderId="1717" applyNumberFormat="0" applyFill="0" applyAlignment="0" applyProtection="0"/>
    <xf numFmtId="0" fontId="105" fillId="0" borderId="1717" applyNumberFormat="0" applyFill="0" applyBorder="0" applyAlignment="0" applyProtection="0"/>
    <xf numFmtId="0" fontId="46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222" fontId="79" fillId="0" borderId="1773" applyBorder="0"/>
    <xf numFmtId="0" fontId="101" fillId="0" borderId="1774" applyBorder="0"/>
    <xf numFmtId="10" fontId="12" fillId="3" borderId="1730" applyNumberFormat="0" applyFont="0" applyFill="0" applyBorder="0" applyAlignment="0">
      <protection locked="0"/>
    </xf>
    <xf numFmtId="192" fontId="9" fillId="3" borderId="1895">
      <alignment horizontal="right" vertical="center"/>
    </xf>
    <xf numFmtId="248" fontId="46" fillId="0" borderId="1774"/>
    <xf numFmtId="180" fontId="9" fillId="3" borderId="1895">
      <alignment horizontal="right" vertical="center"/>
    </xf>
    <xf numFmtId="10" fontId="12" fillId="3" borderId="1730" applyNumberFormat="0" applyFont="0" applyFill="0" applyBorder="0" applyAlignment="0">
      <protection locked="0"/>
    </xf>
    <xf numFmtId="0" fontId="166" fillId="0" borderId="1883">
      <alignment horizontal="center"/>
    </xf>
    <xf numFmtId="186" fontId="146" fillId="3" borderId="1895" applyBorder="0">
      <alignment horizontal="left" vertical="center"/>
    </xf>
    <xf numFmtId="10" fontId="12" fillId="3" borderId="1730" applyNumberFormat="0" applyFont="0" applyFill="0" applyBorder="0" applyAlignment="0">
      <protection locked="0"/>
    </xf>
    <xf numFmtId="254" fontId="240" fillId="0" borderId="1883" applyBorder="0" applyProtection="0">
      <alignment horizontal="right" vertical="center"/>
    </xf>
    <xf numFmtId="10" fontId="12" fillId="3" borderId="1730" applyNumberFormat="0" applyFont="0" applyFill="0" applyBorder="0" applyAlignment="0">
      <protection locked="0"/>
    </xf>
    <xf numFmtId="0" fontId="101" fillId="0" borderId="1774" applyBorder="0"/>
    <xf numFmtId="222" fontId="79" fillId="0" borderId="1773" applyBorder="0"/>
    <xf numFmtId="0" fontId="113" fillId="0" borderId="1774" applyNumberFormat="0" applyFill="0" applyAlignment="0" applyProtection="0"/>
    <xf numFmtId="0" fontId="75" fillId="0" borderId="1775" applyNumberFormat="0" applyFont="0" applyFill="0" applyAlignment="0" applyProtection="0"/>
    <xf numFmtId="0" fontId="12" fillId="0" borderId="1774" applyNumberFormat="0" applyFill="0" applyBorder="0" applyAlignment="0" applyProtection="0">
      <alignment horizontal="center"/>
    </xf>
    <xf numFmtId="248" fontId="46" fillId="0" borderId="1774"/>
    <xf numFmtId="192" fontId="9" fillId="3" borderId="1774">
      <alignment horizontal="right" vertical="center"/>
    </xf>
    <xf numFmtId="180" fontId="9" fillId="3" borderId="1774">
      <alignment horizontal="right" vertical="center"/>
    </xf>
    <xf numFmtId="186" fontId="146" fillId="3" borderId="1774" applyBorder="0">
      <alignment horizontal="left" vertical="center"/>
    </xf>
    <xf numFmtId="186" fontId="146" fillId="3" borderId="1777">
      <alignment horizontal="left"/>
    </xf>
    <xf numFmtId="186" fontId="140" fillId="3" borderId="1778">
      <alignment horizontal="center" vertical="center"/>
    </xf>
    <xf numFmtId="0" fontId="165" fillId="0" borderId="1774" applyFill="0" applyProtection="0">
      <alignment horizontal="center"/>
    </xf>
    <xf numFmtId="0" fontId="166" fillId="0" borderId="1774">
      <alignment horizontal="center"/>
    </xf>
    <xf numFmtId="264" fontId="12" fillId="14" borderId="1774" applyFont="0" applyFill="0" applyBorder="0" applyAlignment="0" applyProtection="0">
      <alignment horizontal="right"/>
    </xf>
    <xf numFmtId="0" fontId="210" fillId="0" borderId="1774" applyNumberFormat="0" applyFill="0" applyBorder="0" applyAlignment="0">
      <protection locked="0"/>
    </xf>
    <xf numFmtId="0" fontId="2" fillId="0" borderId="1779" applyNumberFormat="0" applyAlignment="0" applyProtection="0"/>
    <xf numFmtId="0" fontId="214" fillId="0" borderId="1780" applyNumberFormat="0" applyFont="0" applyFill="0" applyAlignment="0" applyProtection="0"/>
    <xf numFmtId="0" fontId="25" fillId="10" borderId="1781" applyNumberFormat="0" applyProtection="0">
      <alignment horizontal="left" vertical="top"/>
    </xf>
    <xf numFmtId="0" fontId="25" fillId="10" borderId="1782" applyNumberFormat="0" applyProtection="0">
      <alignment horizontal="left" vertical="top"/>
    </xf>
    <xf numFmtId="0" fontId="25" fillId="10" borderId="1783" applyNumberFormat="0" applyProtection="0">
      <alignment horizontal="left" vertical="top"/>
    </xf>
    <xf numFmtId="0" fontId="25" fillId="10" borderId="1784" applyNumberFormat="0" applyProtection="0">
      <alignment horizontal="left" vertical="top"/>
    </xf>
    <xf numFmtId="0" fontId="25" fillId="10" borderId="1781" applyNumberFormat="0" applyProtection="0">
      <alignment horizontal="left" vertical="top"/>
    </xf>
    <xf numFmtId="0" fontId="25" fillId="10" borderId="1782" applyNumberFormat="0" applyProtection="0">
      <alignment horizontal="left" vertical="top"/>
    </xf>
    <xf numFmtId="0" fontId="25" fillId="10" borderId="1783" applyNumberFormat="0" applyProtection="0">
      <alignment horizontal="left" vertical="top"/>
    </xf>
    <xf numFmtId="0" fontId="25" fillId="10" borderId="1784" applyNumberFormat="0" applyProtection="0">
      <alignment horizontal="left" vertical="top"/>
    </xf>
    <xf numFmtId="254" fontId="240" fillId="0" borderId="1774" applyBorder="0" applyProtection="0">
      <alignment horizontal="right" vertical="center"/>
    </xf>
    <xf numFmtId="0" fontId="241" fillId="94" borderId="1774" applyBorder="0" applyProtection="0">
      <alignment horizontal="centerContinuous" vertical="center"/>
    </xf>
    <xf numFmtId="246" fontId="249" fillId="0" borderId="1774" applyFill="0" applyProtection="0">
      <alignment horizontal="center"/>
    </xf>
    <xf numFmtId="246" fontId="250" fillId="0" borderId="1774" applyFill="0" applyProtection="0">
      <alignment horizontal="center"/>
    </xf>
    <xf numFmtId="0" fontId="165" fillId="0" borderId="1895" applyFill="0" applyProtection="0">
      <alignment horizontal="center"/>
    </xf>
    <xf numFmtId="10" fontId="12" fillId="3" borderId="1730" applyNumberFormat="0" applyFont="0" applyFill="0" applyBorder="0" applyAlignment="0">
      <protection locked="0"/>
    </xf>
    <xf numFmtId="0" fontId="166" fillId="0" borderId="1895">
      <alignment horizontal="center"/>
    </xf>
    <xf numFmtId="222" fontId="79" fillId="0" borderId="4743" applyBorder="0"/>
    <xf numFmtId="0" fontId="241" fillId="94" borderId="1955" applyBorder="0" applyProtection="0">
      <alignment horizontal="centerContinuous" vertical="center"/>
    </xf>
    <xf numFmtId="190" fontId="101" fillId="0" borderId="1774" applyBorder="0"/>
    <xf numFmtId="186" fontId="146" fillId="3" borderId="1955" applyBorder="0">
      <alignment horizontal="left" vertical="center"/>
    </xf>
    <xf numFmtId="192" fontId="9" fillId="3" borderId="1955">
      <alignment horizontal="right" vertical="center"/>
    </xf>
    <xf numFmtId="190" fontId="12" fillId="0" borderId="1717" applyNumberFormat="0" applyFill="0" applyBorder="0" applyAlignment="0" applyProtection="0"/>
    <xf numFmtId="190" fontId="46" fillId="0" borderId="1717" applyNumberFormat="0" applyFill="0" applyBorder="0" applyAlignment="0" applyProtection="0"/>
    <xf numFmtId="190" fontId="105" fillId="0" borderId="1717" applyNumberFormat="0" applyFill="0" applyBorder="0" applyAlignment="0" applyProtection="0"/>
    <xf numFmtId="190" fontId="48" fillId="0" borderId="1717" applyNumberFormat="0" applyFill="0" applyAlignment="0" applyProtection="0"/>
    <xf numFmtId="0" fontId="210" fillId="0" borderId="1955" applyNumberFormat="0" applyFill="0" applyBorder="0" applyAlignment="0">
      <protection locked="0"/>
    </xf>
    <xf numFmtId="246" fontId="249" fillId="0" borderId="1955" applyFill="0" applyProtection="0">
      <alignment horizontal="center"/>
    </xf>
    <xf numFmtId="190" fontId="113" fillId="0" borderId="1774" applyNumberFormat="0" applyFill="0" applyAlignment="0" applyProtection="0"/>
    <xf numFmtId="312" fontId="2" fillId="0" borderId="2137" applyNumberFormat="0" applyAlignment="0" applyProtection="0"/>
    <xf numFmtId="190" fontId="75" fillId="0" borderId="1751" applyNumberFormat="0" applyFont="0" applyFill="0" applyAlignment="0" applyProtection="0"/>
    <xf numFmtId="0" fontId="214" fillId="0" borderId="1961" applyNumberFormat="0" applyFont="0" applyFill="0" applyAlignment="0" applyProtection="0"/>
    <xf numFmtId="186" fontId="146" fillId="3" borderId="1958">
      <alignment horizontal="left"/>
    </xf>
    <xf numFmtId="0" fontId="241" fillId="94" borderId="1943" applyBorder="0" applyProtection="0">
      <alignment horizontal="centerContinuous" vertical="center"/>
    </xf>
    <xf numFmtId="0" fontId="166" fillId="0" borderId="1943">
      <alignment horizontal="center"/>
    </xf>
    <xf numFmtId="248" fontId="46" fillId="0" borderId="1943"/>
    <xf numFmtId="0" fontId="214" fillId="0" borderId="1937" applyNumberFormat="0" applyFont="0" applyFill="0" applyAlignment="0" applyProtection="0"/>
    <xf numFmtId="186" fontId="140" fillId="3" borderId="1935">
      <alignment horizontal="center" vertical="center"/>
    </xf>
    <xf numFmtId="190" fontId="12" fillId="0" borderId="1774" applyNumberFormat="0" applyFill="0" applyBorder="0" applyAlignment="0" applyProtection="0">
      <alignment horizontal="center"/>
    </xf>
    <xf numFmtId="0" fontId="78" fillId="14" borderId="1933" applyFont="0" applyFill="0" applyBorder="0" applyAlignment="0" applyProtection="0"/>
    <xf numFmtId="264" fontId="12" fillId="14" borderId="1919" applyFont="0" applyFill="0" applyBorder="0" applyAlignment="0" applyProtection="0">
      <alignment horizontal="right"/>
    </xf>
    <xf numFmtId="186" fontId="146" fillId="3" borderId="1919" applyBorder="0">
      <alignment horizontal="left" vertical="center"/>
    </xf>
    <xf numFmtId="248" fontId="46" fillId="0" borderId="1919"/>
    <xf numFmtId="222" fontId="79" fillId="0" borderId="1918" applyBorder="0"/>
    <xf numFmtId="0" fontId="75" fillId="0" borderId="1908" applyNumberFormat="0" applyFont="0" applyFill="0" applyAlignment="0" applyProtection="0"/>
    <xf numFmtId="0" fontId="2" fillId="0" borderId="1912" applyNumberFormat="0" applyAlignment="0" applyProtection="0"/>
    <xf numFmtId="0" fontId="25" fillId="10" borderId="1915" applyNumberFormat="0" applyProtection="0">
      <alignment horizontal="left" vertical="top"/>
    </xf>
    <xf numFmtId="0" fontId="78" fillId="14" borderId="1909" applyFont="0" applyFill="0" applyBorder="0" applyAlignment="0" applyProtection="0"/>
    <xf numFmtId="246" fontId="250" fillId="0" borderId="1895" applyFill="0" applyProtection="0">
      <alignment horizontal="center"/>
    </xf>
    <xf numFmtId="0" fontId="113" fillId="0" borderId="1883" applyNumberFormat="0" applyFill="0" applyAlignment="0" applyProtection="0"/>
    <xf numFmtId="0" fontId="25" fillId="10" borderId="1891" applyNumberFormat="0" applyProtection="0">
      <alignment horizontal="left" vertical="top"/>
    </xf>
    <xf numFmtId="0" fontId="2" fillId="0" borderId="1888" applyNumberFormat="0" applyAlignment="0" applyProtection="0"/>
    <xf numFmtId="190" fontId="78" fillId="14" borderId="1764" applyFont="0" applyFill="0" applyBorder="0" applyAlignment="0" applyProtection="0"/>
    <xf numFmtId="0" fontId="113" fillId="0" borderId="1895" applyNumberFormat="0" applyFill="0" applyAlignment="0" applyProtection="0"/>
    <xf numFmtId="246" fontId="249" fillId="0" borderId="1895" applyFill="0" applyProtection="0">
      <alignment horizontal="center"/>
    </xf>
    <xf numFmtId="190" fontId="74" fillId="0" borderId="1716" applyFont="0" applyFill="0" applyBorder="0" applyAlignment="0" applyProtection="0">
      <alignment horizontal="center"/>
    </xf>
    <xf numFmtId="190" fontId="48" fillId="0" borderId="1716" applyFont="0" applyFill="0" applyBorder="0" applyAlignment="0" applyProtection="0">
      <alignment horizontal="center"/>
    </xf>
    <xf numFmtId="0" fontId="25" fillId="10" borderId="1713" applyNumberFormat="0" applyProtection="0">
      <alignment horizontal="left" vertical="top"/>
    </xf>
    <xf numFmtId="186" fontId="140" fillId="3" borderId="1923">
      <alignment horizontal="center" vertical="center"/>
    </xf>
    <xf numFmtId="190" fontId="135" fillId="0" borderId="1718"/>
    <xf numFmtId="190" fontId="135" fillId="0" borderId="1718"/>
    <xf numFmtId="0" fontId="2" fillId="0" borderId="1924" applyNumberFormat="0" applyAlignment="0" applyProtection="0"/>
    <xf numFmtId="0" fontId="101" fillId="0" borderId="1931" applyBorder="0"/>
    <xf numFmtId="0" fontId="165" fillId="0" borderId="1931" applyFill="0" applyProtection="0">
      <alignment horizontal="center"/>
    </xf>
    <xf numFmtId="246" fontId="250" fillId="0" borderId="1907" applyFill="0" applyProtection="0">
      <alignment horizontal="center"/>
    </xf>
    <xf numFmtId="0" fontId="210" fillId="0" borderId="1907" applyNumberFormat="0" applyFill="0" applyBorder="0" applyAlignment="0">
      <protection locked="0"/>
    </xf>
    <xf numFmtId="246" fontId="250" fillId="0" borderId="1955" applyFill="0" applyProtection="0">
      <alignment horizontal="center"/>
    </xf>
    <xf numFmtId="186" fontId="146" fillId="3" borderId="1955" applyBorder="0">
      <alignment horizontal="left" vertical="center"/>
    </xf>
    <xf numFmtId="0" fontId="101" fillId="0" borderId="1955" applyBorder="0"/>
    <xf numFmtId="222" fontId="79" fillId="0" borderId="1942" applyBorder="0"/>
    <xf numFmtId="0" fontId="12" fillId="0" borderId="1955" applyNumberFormat="0" applyFill="0" applyBorder="0" applyAlignment="0" applyProtection="0">
      <alignment horizontal="center"/>
    </xf>
    <xf numFmtId="0" fontId="214" fillId="0" borderId="1889" applyNumberFormat="0" applyFont="0" applyFill="0" applyAlignment="0" applyProtection="0"/>
    <xf numFmtId="0" fontId="25" fillId="10" borderId="1892" applyNumberFormat="0" applyProtection="0">
      <alignment horizontal="left" vertical="top"/>
    </xf>
    <xf numFmtId="0" fontId="25" fillId="10" borderId="1892" applyNumberFormat="0" applyProtection="0">
      <alignment horizontal="left" vertical="top"/>
    </xf>
    <xf numFmtId="246" fontId="249" fillId="0" borderId="1955" applyFill="0" applyProtection="0">
      <alignment horizontal="center"/>
    </xf>
    <xf numFmtId="0" fontId="113" fillId="0" borderId="1955" applyNumberFormat="0" applyFill="0" applyAlignment="0" applyProtection="0"/>
    <xf numFmtId="190" fontId="159" fillId="0" borderId="1718"/>
    <xf numFmtId="190" fontId="159" fillId="67" borderId="1718"/>
    <xf numFmtId="190" fontId="165" fillId="0" borderId="1774" applyFill="0" applyProtection="0">
      <alignment horizontal="center"/>
    </xf>
    <xf numFmtId="190" fontId="166" fillId="0" borderId="1774">
      <alignment horizontal="center"/>
    </xf>
    <xf numFmtId="246" fontId="249" fillId="0" borderId="1883" applyFill="0" applyProtection="0">
      <alignment horizontal="center"/>
    </xf>
    <xf numFmtId="0" fontId="166" fillId="0" borderId="1883">
      <alignment horizontal="center"/>
    </xf>
    <xf numFmtId="0" fontId="12" fillId="0" borderId="1883" applyNumberFormat="0" applyFill="0" applyBorder="0" applyAlignment="0" applyProtection="0">
      <alignment horizontal="center"/>
    </xf>
    <xf numFmtId="0" fontId="101" fillId="0" borderId="1883" applyBorder="0"/>
    <xf numFmtId="254" fontId="240" fillId="0" borderId="2093" applyBorder="0" applyProtection="0">
      <alignment horizontal="right" vertical="center"/>
    </xf>
    <xf numFmtId="190" fontId="25" fillId="69" borderId="1718">
      <alignment horizontal="left" vertical="center" wrapText="1"/>
    </xf>
    <xf numFmtId="190" fontId="184" fillId="0" borderId="1719" applyAlignment="0">
      <alignment horizontal="left" wrapText="1"/>
    </xf>
    <xf numFmtId="0" fontId="25" fillId="10" borderId="2118" applyNumberFormat="0" applyProtection="0">
      <alignment horizontal="left" vertical="top"/>
    </xf>
    <xf numFmtId="190" fontId="210" fillId="0" borderId="1774" applyNumberFormat="0" applyFill="0" applyBorder="0" applyAlignment="0">
      <protection locked="0"/>
    </xf>
    <xf numFmtId="190" fontId="2" fillId="0" borderId="1755" applyNumberFormat="0" applyAlignment="0" applyProtection="0"/>
    <xf numFmtId="190" fontId="214" fillId="0" borderId="1756" applyNumberFormat="0" applyFont="0" applyFill="0" applyAlignment="0" applyProtection="0"/>
    <xf numFmtId="190" fontId="225" fillId="53" borderId="1720" applyNumberFormat="0" applyProtection="0">
      <alignment horizontal="left" vertical="top" indent="1"/>
    </xf>
    <xf numFmtId="190" fontId="12" fillId="75" borderId="1720" applyNumberFormat="0" applyProtection="0">
      <alignment horizontal="left" vertical="center" indent="1"/>
    </xf>
    <xf numFmtId="190" fontId="12" fillId="75" borderId="1720" applyNumberFormat="0" applyProtection="0">
      <alignment horizontal="left" vertical="top" indent="1"/>
    </xf>
    <xf numFmtId="190" fontId="12" fillId="84" borderId="1720" applyNumberFormat="0" applyProtection="0">
      <alignment horizontal="left" vertical="center" indent="1"/>
    </xf>
    <xf numFmtId="190" fontId="12" fillId="84" borderId="1720" applyNumberFormat="0" applyProtection="0">
      <alignment horizontal="left" vertical="top" indent="1"/>
    </xf>
    <xf numFmtId="190" fontId="12" fillId="52" borderId="1720" applyNumberFormat="0" applyProtection="0">
      <alignment horizontal="left" vertical="center" indent="1"/>
    </xf>
    <xf numFmtId="190" fontId="12" fillId="52" borderId="1720" applyNumberFormat="0" applyProtection="0">
      <alignment horizontal="left" vertical="top" indent="1"/>
    </xf>
    <xf numFmtId="190" fontId="12" fillId="11" borderId="1720" applyNumberFormat="0" applyProtection="0">
      <alignment horizontal="left" vertical="center" indent="1"/>
    </xf>
    <xf numFmtId="190" fontId="12" fillId="11" borderId="1720" applyNumberFormat="0" applyProtection="0">
      <alignment horizontal="left" vertical="top" indent="1"/>
    </xf>
    <xf numFmtId="190" fontId="136" fillId="14" borderId="1720" applyNumberFormat="0" applyProtection="0">
      <alignment horizontal="left" vertical="top" indent="1"/>
    </xf>
    <xf numFmtId="190" fontId="136" fillId="84" borderId="1720" applyNumberFormat="0" applyProtection="0">
      <alignment horizontal="left" vertical="top" indent="1"/>
    </xf>
    <xf numFmtId="190" fontId="25" fillId="10" borderId="1718" applyNumberFormat="0" applyProtection="0">
      <alignment horizontal="center" vertical="top"/>
    </xf>
    <xf numFmtId="190" fontId="25" fillId="10" borderId="1718" applyNumberFormat="0" applyProtection="0">
      <alignment horizontal="center" vertical="top"/>
    </xf>
    <xf numFmtId="190" fontId="12" fillId="3" borderId="1718" applyNumberFormat="0" applyFont="0" applyAlignment="0" applyProtection="0"/>
    <xf numFmtId="190" fontId="12" fillId="10" borderId="1718" applyNumberFormat="0" applyFont="0" applyAlignment="0" applyProtection="0"/>
    <xf numFmtId="190" fontId="12" fillId="10" borderId="1718" applyNumberFormat="0" applyFont="0" applyProtection="0"/>
    <xf numFmtId="190" fontId="25" fillId="10" borderId="1723" applyNumberFormat="0" applyProtection="0">
      <alignment horizontal="left"/>
    </xf>
    <xf numFmtId="190" fontId="25" fillId="10" borderId="1724" applyNumberFormat="0" applyProtection="0">
      <alignment horizontal="left" vertical="top"/>
    </xf>
    <xf numFmtId="190" fontId="25" fillId="10" borderId="1725" applyNumberFormat="0" applyProtection="0">
      <alignment horizontal="left" vertical="top"/>
    </xf>
    <xf numFmtId="190" fontId="25" fillId="10" borderId="1757" applyNumberFormat="0" applyProtection="0">
      <alignment horizontal="left" vertical="top"/>
    </xf>
    <xf numFmtId="190" fontId="25" fillId="10" borderId="1758" applyNumberFormat="0" applyProtection="0">
      <alignment horizontal="left" vertical="top"/>
    </xf>
    <xf numFmtId="190" fontId="25" fillId="10" borderId="1726" applyNumberFormat="0" applyProtection="0">
      <alignment horizontal="left" vertical="top"/>
    </xf>
    <xf numFmtId="190" fontId="25" fillId="10" borderId="1759" applyNumberFormat="0" applyProtection="0">
      <alignment horizontal="left" vertical="top"/>
    </xf>
    <xf numFmtId="190" fontId="25" fillId="10" borderId="1727" applyNumberFormat="0" applyProtection="0">
      <alignment horizontal="left" vertical="top"/>
    </xf>
    <xf numFmtId="190" fontId="25" fillId="10" borderId="1760" applyNumberFormat="0" applyProtection="0">
      <alignment horizontal="left" vertical="top"/>
    </xf>
    <xf numFmtId="190" fontId="25" fillId="10" borderId="1728" applyNumberFormat="0" applyProtection="0">
      <alignment horizontal="left" vertical="top"/>
    </xf>
    <xf numFmtId="190" fontId="25" fillId="10" borderId="1729" applyNumberFormat="0" applyProtection="0">
      <alignment horizontal="left" vertical="top"/>
    </xf>
    <xf numFmtId="190" fontId="12" fillId="0" borderId="1717" applyNumberFormat="0" applyFill="0" applyBorder="0" applyAlignment="0" applyProtection="0"/>
    <xf numFmtId="190" fontId="241" fillId="94" borderId="1774" applyBorder="0" applyProtection="0">
      <alignment horizontal="centerContinuous" vertical="center"/>
    </xf>
    <xf numFmtId="10" fontId="12" fillId="3" borderId="1730" applyNumberFormat="0" applyFont="0" applyFill="0" applyBorder="0" applyAlignment="0">
      <protection locked="0"/>
    </xf>
    <xf numFmtId="190" fontId="12" fillId="0" borderId="1717" applyNumberFormat="0" applyFill="0" applyBorder="0" applyAlignment="0" applyProtection="0"/>
    <xf numFmtId="190" fontId="12" fillId="0" borderId="1717" applyNumberFormat="0" applyFill="0" applyBorder="0" applyAlignment="0" applyProtection="0"/>
    <xf numFmtId="190" fontId="12" fillId="0" borderId="1717" applyNumberFormat="0" applyFill="0" applyBorder="0" applyAlignment="0" applyProtection="0"/>
    <xf numFmtId="0" fontId="165" fillId="0" borderId="1883" applyFill="0" applyProtection="0">
      <alignment horizontal="center"/>
    </xf>
    <xf numFmtId="222" fontId="79" fillId="0" borderId="1773" applyBorder="0"/>
    <xf numFmtId="10" fontId="12" fillId="3" borderId="1730" applyNumberFormat="0" applyFont="0" applyFill="0" applyBorder="0" applyAlignment="0">
      <protection locked="0"/>
    </xf>
    <xf numFmtId="0" fontId="101" fillId="0" borderId="1774" applyBorder="0"/>
    <xf numFmtId="222" fontId="79" fillId="0" borderId="1773" applyBorder="0"/>
    <xf numFmtId="0" fontId="113" fillId="0" borderId="1774" applyNumberFormat="0" applyFill="0" applyAlignment="0" applyProtection="0"/>
    <xf numFmtId="0" fontId="75" fillId="0" borderId="1751" applyNumberFormat="0" applyFont="0" applyFill="0" applyAlignment="0" applyProtection="0"/>
    <xf numFmtId="0" fontId="12" fillId="0" borderId="1774" applyNumberFormat="0" applyFill="0" applyBorder="0" applyAlignment="0" applyProtection="0">
      <alignment horizontal="center"/>
    </xf>
    <xf numFmtId="248" fontId="46" fillId="0" borderId="1774"/>
    <xf numFmtId="192" fontId="9" fillId="3" borderId="1774">
      <alignment horizontal="right" vertical="center"/>
    </xf>
    <xf numFmtId="180" fontId="9" fillId="3" borderId="1774">
      <alignment horizontal="right" vertical="center"/>
    </xf>
    <xf numFmtId="186" fontId="146" fillId="3" borderId="1774" applyBorder="0">
      <alignment horizontal="left" vertical="center"/>
    </xf>
    <xf numFmtId="186" fontId="146" fillId="3" borderId="1753">
      <alignment horizontal="left"/>
    </xf>
    <xf numFmtId="186" fontId="140" fillId="3" borderId="1754">
      <alignment horizontal="center" vertical="center"/>
    </xf>
    <xf numFmtId="0" fontId="165" fillId="0" borderId="1774" applyFill="0" applyProtection="0">
      <alignment horizontal="center"/>
    </xf>
    <xf numFmtId="0" fontId="166" fillId="0" borderId="1774">
      <alignment horizontal="center"/>
    </xf>
    <xf numFmtId="264" fontId="12" fillId="14" borderId="1774" applyFont="0" applyFill="0" applyBorder="0" applyAlignment="0" applyProtection="0">
      <alignment horizontal="right"/>
    </xf>
    <xf numFmtId="0" fontId="210" fillId="0" borderId="1774" applyNumberFormat="0" applyFill="0" applyBorder="0" applyAlignment="0">
      <protection locked="0"/>
    </xf>
    <xf numFmtId="0" fontId="2" fillId="0" borderId="1755" applyNumberFormat="0" applyAlignment="0" applyProtection="0"/>
    <xf numFmtId="0" fontId="214" fillId="0" borderId="1756" applyNumberFormat="0" applyFont="0" applyFill="0" applyAlignment="0" applyProtection="0"/>
    <xf numFmtId="0" fontId="25" fillId="10" borderId="1757" applyNumberFormat="0" applyProtection="0">
      <alignment horizontal="left" vertical="top"/>
    </xf>
    <xf numFmtId="0" fontId="25" fillId="10" borderId="1758" applyNumberFormat="0" applyProtection="0">
      <alignment horizontal="left" vertical="top"/>
    </xf>
    <xf numFmtId="0" fontId="25" fillId="10" borderId="1759" applyNumberFormat="0" applyProtection="0">
      <alignment horizontal="left" vertical="top"/>
    </xf>
    <xf numFmtId="0" fontId="25" fillId="10" borderId="1760" applyNumberFormat="0" applyProtection="0">
      <alignment horizontal="left" vertical="top"/>
    </xf>
    <xf numFmtId="0" fontId="25" fillId="10" borderId="1757" applyNumberFormat="0" applyProtection="0">
      <alignment horizontal="left" vertical="top"/>
    </xf>
    <xf numFmtId="0" fontId="25" fillId="10" borderId="1758" applyNumberFormat="0" applyProtection="0">
      <alignment horizontal="left" vertical="top"/>
    </xf>
    <xf numFmtId="0" fontId="25" fillId="10" borderId="1759" applyNumberFormat="0" applyProtection="0">
      <alignment horizontal="left" vertical="top"/>
    </xf>
    <xf numFmtId="0" fontId="25" fillId="10" borderId="1760" applyNumberFormat="0" applyProtection="0">
      <alignment horizontal="left" vertical="top"/>
    </xf>
    <xf numFmtId="254" fontId="240" fillId="0" borderId="1774" applyBorder="0" applyProtection="0">
      <alignment horizontal="right" vertical="center"/>
    </xf>
    <xf numFmtId="0" fontId="241" fillId="94" borderId="1774" applyBorder="0" applyProtection="0">
      <alignment horizontal="centerContinuous" vertical="center"/>
    </xf>
    <xf numFmtId="246" fontId="249" fillId="0" borderId="1774" applyFill="0" applyProtection="0">
      <alignment horizontal="center"/>
    </xf>
    <xf numFmtId="246" fontId="250" fillId="0" borderId="1774" applyFill="0" applyProtection="0">
      <alignment horizontal="center"/>
    </xf>
    <xf numFmtId="264" fontId="12" fillId="14" borderId="1895" applyFont="0" applyFill="0" applyBorder="0" applyAlignment="0" applyProtection="0">
      <alignment horizontal="right"/>
    </xf>
    <xf numFmtId="0" fontId="241" fillId="94" borderId="1774" applyBorder="0" applyProtection="0">
      <alignment horizontal="centerContinuous" vertical="center"/>
    </xf>
    <xf numFmtId="246" fontId="250" fillId="0" borderId="2093" applyFill="0" applyProtection="0">
      <alignment horizontal="center"/>
    </xf>
    <xf numFmtId="0" fontId="210" fillId="0" borderId="1895" applyNumberFormat="0" applyFill="0" applyBorder="0" applyAlignment="0">
      <protection locked="0"/>
    </xf>
    <xf numFmtId="10" fontId="12" fillId="3" borderId="1730" applyNumberFormat="0" applyFont="0" applyFill="0" applyBorder="0" applyAlignment="0">
      <protection locked="0"/>
    </xf>
    <xf numFmtId="0" fontId="166" fillId="0" borderId="1955">
      <alignment horizontal="center"/>
    </xf>
    <xf numFmtId="10" fontId="12" fillId="3" borderId="1730" applyNumberFormat="0" applyFont="0" applyFill="0" applyBorder="0" applyAlignment="0">
      <protection locked="0"/>
    </xf>
    <xf numFmtId="190" fontId="214" fillId="0" borderId="1937" applyNumberFormat="0" applyFont="0" applyFill="0" applyAlignment="0" applyProtection="0"/>
    <xf numFmtId="190" fontId="78" fillId="14" borderId="1945" applyFont="0" applyFill="0" applyBorder="0" applyAlignment="0" applyProtection="0"/>
    <xf numFmtId="190" fontId="101" fillId="0" borderId="1955" applyBorder="0"/>
    <xf numFmtId="254" fontId="240" fillId="0" borderId="1955" applyBorder="0" applyProtection="0">
      <alignment horizontal="right" vertical="center"/>
    </xf>
    <xf numFmtId="312" fontId="101" fillId="0" borderId="1774" applyBorder="0"/>
    <xf numFmtId="0" fontId="113" fillId="0" borderId="1955" applyNumberFormat="0" applyFill="0" applyAlignment="0" applyProtection="0"/>
    <xf numFmtId="180" fontId="9" fillId="3" borderId="1955">
      <alignment horizontal="right" vertical="center"/>
    </xf>
    <xf numFmtId="312" fontId="12" fillId="0" borderId="1717" applyNumberFormat="0" applyFill="0" applyBorder="0" applyAlignment="0" applyProtection="0"/>
    <xf numFmtId="312" fontId="46" fillId="0" borderId="1717" applyNumberFormat="0" applyFill="0" applyBorder="0" applyAlignment="0" applyProtection="0"/>
    <xf numFmtId="312" fontId="105" fillId="0" borderId="1717" applyNumberFormat="0" applyFill="0" applyBorder="0" applyAlignment="0" applyProtection="0"/>
    <xf numFmtId="312" fontId="48" fillId="0" borderId="1717" applyNumberFormat="0" applyFill="0" applyAlignment="0" applyProtection="0"/>
    <xf numFmtId="0" fontId="165" fillId="0" borderId="1955" applyFill="0" applyProtection="0">
      <alignment horizontal="center"/>
    </xf>
    <xf numFmtId="246" fontId="250" fillId="0" borderId="1955" applyFill="0" applyProtection="0">
      <alignment horizontal="center"/>
    </xf>
    <xf numFmtId="312" fontId="113" fillId="0" borderId="1774" applyNumberFormat="0" applyFill="0" applyAlignment="0" applyProtection="0"/>
    <xf numFmtId="312" fontId="75" fillId="0" borderId="1751" applyNumberFormat="0" applyFont="0" applyFill="0" applyAlignment="0" applyProtection="0"/>
    <xf numFmtId="0" fontId="2" fillId="0" borderId="1960" applyNumberFormat="0" applyAlignment="0" applyProtection="0"/>
    <xf numFmtId="0" fontId="78" fillId="14" borderId="1957" applyFont="0" applyFill="0" applyBorder="0" applyAlignment="0" applyProtection="0"/>
    <xf numFmtId="246" fontId="250" fillId="0" borderId="1943" applyFill="0" applyProtection="0">
      <alignment horizontal="center"/>
    </xf>
    <xf numFmtId="254" fontId="240" fillId="0" borderId="1943" applyBorder="0" applyProtection="0">
      <alignment horizontal="right" vertical="center"/>
    </xf>
    <xf numFmtId="0" fontId="165" fillId="0" borderId="1943" applyFill="0" applyProtection="0">
      <alignment horizontal="center"/>
    </xf>
    <xf numFmtId="0" fontId="12" fillId="0" borderId="1943" applyNumberFormat="0" applyFill="0" applyBorder="0" applyAlignment="0" applyProtection="0">
      <alignment horizontal="center"/>
    </xf>
    <xf numFmtId="0" fontId="25" fillId="10" borderId="1938" applyNumberFormat="0" applyProtection="0">
      <alignment horizontal="left" vertical="top"/>
    </xf>
    <xf numFmtId="0" fontId="2" fillId="0" borderId="1936" applyNumberFormat="0" applyAlignment="0" applyProtection="0"/>
    <xf numFmtId="312" fontId="12" fillId="0" borderId="1774" applyNumberFormat="0" applyFill="0" applyBorder="0" applyAlignment="0" applyProtection="0">
      <alignment horizontal="center"/>
    </xf>
    <xf numFmtId="222" fontId="79" fillId="0" borderId="1930" applyBorder="0"/>
    <xf numFmtId="0" fontId="166" fillId="0" borderId="1919">
      <alignment horizontal="center"/>
    </xf>
    <xf numFmtId="180" fontId="9" fillId="3" borderId="1919">
      <alignment horizontal="right" vertical="center"/>
    </xf>
    <xf numFmtId="0" fontId="12" fillId="0" borderId="1919" applyNumberFormat="0" applyFill="0" applyBorder="0" applyAlignment="0" applyProtection="0">
      <alignment horizontal="center"/>
    </xf>
    <xf numFmtId="0" fontId="101" fillId="0" borderId="1919" applyBorder="0"/>
    <xf numFmtId="186" fontId="146" fillId="3" borderId="1910">
      <alignment horizontal="left"/>
    </xf>
    <xf numFmtId="0" fontId="214" fillId="0" borderId="1913" applyNumberFormat="0" applyFont="0" applyFill="0" applyAlignment="0" applyProtection="0"/>
    <xf numFmtId="0" fontId="25" fillId="10" borderId="1916" applyNumberFormat="0" applyProtection="0">
      <alignment horizontal="left" vertical="top"/>
    </xf>
    <xf numFmtId="222" fontId="79" fillId="0" borderId="1906" applyBorder="0"/>
    <xf numFmtId="246" fontId="249" fillId="0" borderId="1895" applyFill="0" applyProtection="0">
      <alignment horizontal="center"/>
    </xf>
    <xf numFmtId="222" fontId="79" fillId="0" borderId="1773" applyBorder="0"/>
    <xf numFmtId="0" fontId="78" fillId="14" borderId="1885" applyFont="0" applyFill="0" applyBorder="0" applyAlignment="0" applyProtection="0"/>
    <xf numFmtId="0" fontId="25" fillId="10" borderId="1893" applyNumberFormat="0" applyProtection="0">
      <alignment horizontal="left" vertical="top"/>
    </xf>
    <xf numFmtId="0" fontId="25" fillId="10" borderId="1890" applyNumberFormat="0" applyProtection="0">
      <alignment horizontal="left" vertical="top"/>
    </xf>
    <xf numFmtId="186" fontId="140" fillId="3" borderId="1887">
      <alignment horizontal="center" vertical="center"/>
    </xf>
    <xf numFmtId="222" fontId="79" fillId="0" borderId="1894" applyBorder="0"/>
    <xf numFmtId="312" fontId="78" fillId="14" borderId="1695" applyFont="0" applyFill="0" applyBorder="0" applyAlignment="0" applyProtection="0"/>
    <xf numFmtId="0" fontId="12" fillId="0" borderId="1895" applyNumberFormat="0" applyFill="0" applyBorder="0" applyAlignment="0" applyProtection="0">
      <alignment horizontal="center"/>
    </xf>
    <xf numFmtId="246" fontId="250" fillId="0" borderId="1895" applyFill="0" applyProtection="0">
      <alignment horizontal="center"/>
    </xf>
    <xf numFmtId="312" fontId="74" fillId="0" borderId="1716" applyFont="0" applyFill="0" applyBorder="0" applyAlignment="0" applyProtection="0">
      <alignment horizontal="center"/>
    </xf>
    <xf numFmtId="312" fontId="48" fillId="0" borderId="1716" applyFont="0" applyFill="0" applyBorder="0" applyAlignment="0" applyProtection="0">
      <alignment horizontal="center"/>
    </xf>
    <xf numFmtId="222" fontId="79" fillId="0" borderId="1773" applyBorder="0"/>
    <xf numFmtId="0" fontId="75" fillId="0" borderId="1944" applyNumberFormat="0" applyFont="0" applyFill="0" applyAlignment="0" applyProtection="0"/>
    <xf numFmtId="0" fontId="25" fillId="10" borderId="1714" applyNumberFormat="0" applyProtection="0">
      <alignment horizontal="left" vertical="top"/>
    </xf>
    <xf numFmtId="192" fontId="9" fillId="3" borderId="2144">
      <alignment horizontal="right" vertical="center"/>
    </xf>
    <xf numFmtId="222" fontId="79" fillId="0" borderId="1930" applyBorder="0"/>
    <xf numFmtId="312" fontId="135" fillId="0" borderId="1718"/>
    <xf numFmtId="312" fontId="135" fillId="0" borderId="1718"/>
    <xf numFmtId="0" fontId="75" fillId="0" borderId="1920" applyNumberFormat="0" applyFont="0" applyFill="0" applyAlignment="0" applyProtection="0"/>
    <xf numFmtId="0" fontId="12" fillId="0" borderId="1931" applyNumberFormat="0" applyFill="0" applyBorder="0" applyAlignment="0" applyProtection="0">
      <alignment horizontal="center"/>
    </xf>
    <xf numFmtId="264" fontId="12" fillId="14" borderId="1931" applyFont="0" applyFill="0" applyBorder="0" applyAlignment="0" applyProtection="0">
      <alignment horizontal="right"/>
    </xf>
    <xf numFmtId="246" fontId="249" fillId="0" borderId="1907" applyFill="0" applyProtection="0">
      <alignment horizontal="center"/>
    </xf>
    <xf numFmtId="0" fontId="166" fillId="0" borderId="1907">
      <alignment horizontal="center"/>
    </xf>
    <xf numFmtId="254" fontId="240" fillId="0" borderId="1955" applyBorder="0" applyProtection="0">
      <alignment horizontal="right" vertical="center"/>
    </xf>
    <xf numFmtId="180" fontId="9" fillId="3" borderId="1955">
      <alignment horizontal="right" vertical="center"/>
    </xf>
    <xf numFmtId="222" fontId="79" fillId="0" borderId="1954" applyBorder="0"/>
    <xf numFmtId="0" fontId="25" fillId="10" borderId="1890" applyNumberFormat="0" applyProtection="0">
      <alignment horizontal="left" vertical="top"/>
    </xf>
    <xf numFmtId="186" fontId="140" fillId="3" borderId="1887">
      <alignment horizontal="center" vertical="center"/>
    </xf>
    <xf numFmtId="0" fontId="25" fillId="10" borderId="1890" applyNumberFormat="0" applyProtection="0">
      <alignment horizontal="left" vertical="top"/>
    </xf>
    <xf numFmtId="0" fontId="25" fillId="10" borderId="1893" applyNumberFormat="0" applyProtection="0">
      <alignment horizontal="left" vertical="top"/>
    </xf>
    <xf numFmtId="0" fontId="25" fillId="10" borderId="1891" applyNumberFormat="0" applyProtection="0">
      <alignment horizontal="left" vertical="top"/>
    </xf>
    <xf numFmtId="264" fontId="12" fillId="14" borderId="1955" applyFont="0" applyFill="0" applyBorder="0" applyAlignment="0" applyProtection="0">
      <alignment horizontal="right"/>
    </xf>
    <xf numFmtId="312" fontId="159" fillId="0" borderId="1718"/>
    <xf numFmtId="312" fontId="159" fillId="67" borderId="1718"/>
    <xf numFmtId="312" fontId="165" fillId="0" borderId="1774" applyFill="0" applyProtection="0">
      <alignment horizontal="center"/>
    </xf>
    <xf numFmtId="312" fontId="242" fillId="0" borderId="1774">
      <alignment horizontal="center"/>
    </xf>
    <xf numFmtId="0" fontId="241" fillId="94" borderId="1883" applyBorder="0" applyProtection="0">
      <alignment horizontal="centerContinuous" vertical="center"/>
    </xf>
    <xf numFmtId="0" fontId="165" fillId="0" borderId="1883" applyFill="0" applyProtection="0">
      <alignment horizontal="center"/>
    </xf>
    <xf numFmtId="0" fontId="113" fillId="0" borderId="1883" applyNumberFormat="0" applyFill="0" applyAlignment="0" applyProtection="0"/>
    <xf numFmtId="0" fontId="101" fillId="0" borderId="4810" applyBorder="0"/>
    <xf numFmtId="312" fontId="25" fillId="69" borderId="1718">
      <alignment horizontal="left" vertical="center" wrapText="1"/>
    </xf>
    <xf numFmtId="312" fontId="184" fillId="0" borderId="1719" applyAlignment="0">
      <alignment horizontal="left" wrapText="1"/>
    </xf>
    <xf numFmtId="0" fontId="25" fillId="10" borderId="1714" applyNumberFormat="0" applyProtection="0">
      <alignment horizontal="left" vertical="top"/>
    </xf>
    <xf numFmtId="246" fontId="250" fillId="0" borderId="4746" applyFill="0" applyProtection="0">
      <alignment horizontal="center"/>
    </xf>
    <xf numFmtId="312" fontId="210" fillId="0" borderId="1774" applyNumberFormat="0" applyFill="0" applyBorder="0" applyAlignment="0">
      <protection locked="0"/>
    </xf>
    <xf numFmtId="312" fontId="2" fillId="0" borderId="1755" applyNumberFormat="0" applyAlignment="0" applyProtection="0"/>
    <xf numFmtId="312" fontId="214" fillId="0" borderId="1756" applyNumberFormat="0" applyFont="0" applyFill="0" applyAlignment="0" applyProtection="0"/>
    <xf numFmtId="312" fontId="225" fillId="53" borderId="1720" applyNumberFormat="0" applyProtection="0">
      <alignment horizontal="left" vertical="top" indent="1"/>
    </xf>
    <xf numFmtId="312" fontId="12" fillId="75" borderId="1720" applyNumberFormat="0" applyProtection="0">
      <alignment horizontal="left" vertical="center" indent="1"/>
    </xf>
    <xf numFmtId="312" fontId="12" fillId="75" borderId="1720" applyNumberFormat="0" applyProtection="0">
      <alignment horizontal="left" vertical="top" indent="1"/>
    </xf>
    <xf numFmtId="312" fontId="12" fillId="84" borderId="1720" applyNumberFormat="0" applyProtection="0">
      <alignment horizontal="left" vertical="center" indent="1"/>
    </xf>
    <xf numFmtId="312" fontId="12" fillId="84" borderId="1720" applyNumberFormat="0" applyProtection="0">
      <alignment horizontal="left" vertical="top" indent="1"/>
    </xf>
    <xf numFmtId="312" fontId="12" fillId="52" borderId="1720" applyNumberFormat="0" applyProtection="0">
      <alignment horizontal="left" vertical="center" indent="1"/>
    </xf>
    <xf numFmtId="312" fontId="12" fillId="52" borderId="1720" applyNumberFormat="0" applyProtection="0">
      <alignment horizontal="left" vertical="top" indent="1"/>
    </xf>
    <xf numFmtId="312" fontId="12" fillId="11" borderId="1720" applyNumberFormat="0" applyProtection="0">
      <alignment horizontal="left" vertical="center" indent="1"/>
    </xf>
    <xf numFmtId="312" fontId="12" fillId="11" borderId="1720" applyNumberFormat="0" applyProtection="0">
      <alignment horizontal="left" vertical="top" indent="1"/>
    </xf>
    <xf numFmtId="312" fontId="136" fillId="14" borderId="1720" applyNumberFormat="0" applyProtection="0">
      <alignment horizontal="left" vertical="top" indent="1"/>
    </xf>
    <xf numFmtId="312" fontId="136" fillId="84" borderId="1720" applyNumberFormat="0" applyProtection="0">
      <alignment horizontal="left" vertical="top" indent="1"/>
    </xf>
    <xf numFmtId="312" fontId="25" fillId="10" borderId="1718" applyNumberFormat="0" applyProtection="0">
      <alignment horizontal="center" vertical="top"/>
    </xf>
    <xf numFmtId="312" fontId="25" fillId="10" borderId="1718" applyNumberFormat="0" applyProtection="0">
      <alignment horizontal="center" vertical="top"/>
    </xf>
    <xf numFmtId="312" fontId="12" fillId="3" borderId="1718" applyNumberFormat="0" applyFont="0" applyAlignment="0" applyProtection="0"/>
    <xf numFmtId="312" fontId="12" fillId="10" borderId="1718" applyNumberFormat="0" applyFont="0" applyAlignment="0" applyProtection="0"/>
    <xf numFmtId="312" fontId="12" fillId="10" borderId="1718" applyNumberFormat="0" applyFont="0" applyProtection="0"/>
    <xf numFmtId="312" fontId="25" fillId="10" borderId="1723" applyNumberFormat="0" applyProtection="0">
      <alignment horizontal="left"/>
    </xf>
    <xf numFmtId="312" fontId="25" fillId="10" borderId="1724" applyNumberFormat="0" applyProtection="0">
      <alignment horizontal="left" vertical="top"/>
    </xf>
    <xf numFmtId="312" fontId="25" fillId="10" borderId="1725" applyNumberFormat="0" applyProtection="0">
      <alignment horizontal="left" vertical="top"/>
    </xf>
    <xf numFmtId="312" fontId="25" fillId="10" borderId="1757" applyNumberFormat="0" applyProtection="0">
      <alignment horizontal="left" vertical="top"/>
    </xf>
    <xf numFmtId="312" fontId="25" fillId="10" borderId="1758" applyNumberFormat="0" applyProtection="0">
      <alignment horizontal="left" vertical="top"/>
    </xf>
    <xf numFmtId="312" fontId="25" fillId="10" borderId="1726" applyNumberFormat="0" applyProtection="0">
      <alignment horizontal="left" vertical="top"/>
    </xf>
    <xf numFmtId="312" fontId="25" fillId="10" borderId="1759" applyNumberFormat="0" applyProtection="0">
      <alignment horizontal="left" vertical="top"/>
    </xf>
    <xf numFmtId="312" fontId="25" fillId="10" borderId="1727" applyNumberFormat="0" applyProtection="0">
      <alignment horizontal="left" vertical="top"/>
    </xf>
    <xf numFmtId="312" fontId="25" fillId="10" borderId="1760" applyNumberFormat="0" applyProtection="0">
      <alignment horizontal="left" vertical="top"/>
    </xf>
    <xf numFmtId="312" fontId="25" fillId="10" borderId="1728" applyNumberFormat="0" applyProtection="0">
      <alignment horizontal="left" vertical="top"/>
    </xf>
    <xf numFmtId="312" fontId="25" fillId="10" borderId="1729" applyNumberFormat="0" applyProtection="0">
      <alignment horizontal="left" vertical="top"/>
    </xf>
    <xf numFmtId="312" fontId="12" fillId="0" borderId="1717" applyNumberFormat="0" applyFill="0" applyBorder="0" applyAlignment="0" applyProtection="0"/>
    <xf numFmtId="312" fontId="241" fillId="94" borderId="1774" applyBorder="0" applyProtection="0">
      <alignment horizontal="centerContinuous" vertical="center"/>
    </xf>
    <xf numFmtId="246" fontId="296" fillId="0" borderId="1774" applyFill="0" applyProtection="0">
      <alignment horizontal="center"/>
    </xf>
    <xf numFmtId="10" fontId="12" fillId="3" borderId="1730" applyNumberFormat="0" applyFont="0" applyFill="0" applyBorder="0" applyAlignment="0">
      <protection locked="0"/>
    </xf>
    <xf numFmtId="312" fontId="12" fillId="0" borderId="1717" applyNumberFormat="0" applyFill="0" applyBorder="0" applyAlignment="0" applyProtection="0"/>
    <xf numFmtId="312" fontId="12" fillId="0" borderId="1717" applyNumberFormat="0" applyFill="0" applyBorder="0" applyAlignment="0" applyProtection="0"/>
    <xf numFmtId="312" fontId="12" fillId="0" borderId="1717" applyNumberFormat="0" applyFill="0" applyBorder="0" applyAlignment="0" applyProtection="0"/>
    <xf numFmtId="246" fontId="249" fillId="0" borderId="2144" applyFill="0" applyProtection="0">
      <alignment horizontal="center"/>
    </xf>
    <xf numFmtId="312" fontId="101" fillId="0" borderId="1774" applyBorder="0"/>
    <xf numFmtId="312" fontId="113" fillId="0" borderId="1774" applyNumberFormat="0" applyFill="0" applyAlignment="0" applyProtection="0"/>
    <xf numFmtId="312" fontId="75" fillId="0" borderId="1751" applyNumberFormat="0" applyFont="0" applyFill="0" applyAlignment="0" applyProtection="0"/>
    <xf numFmtId="312" fontId="12" fillId="0" borderId="1774" applyNumberFormat="0" applyFill="0" applyBorder="0" applyAlignment="0" applyProtection="0">
      <alignment horizontal="center"/>
    </xf>
    <xf numFmtId="312" fontId="78" fillId="14" borderId="1695" applyFont="0" applyFill="0" applyBorder="0" applyAlignment="0" applyProtection="0"/>
    <xf numFmtId="0" fontId="113" fillId="0" borderId="1931" applyNumberFormat="0" applyFill="0" applyAlignment="0" applyProtection="0"/>
    <xf numFmtId="312" fontId="5" fillId="0" borderId="1733">
      <alignment horizontal="left" vertical="center"/>
    </xf>
    <xf numFmtId="312" fontId="165" fillId="0" borderId="1774" applyFill="0" applyProtection="0">
      <alignment horizontal="center"/>
    </xf>
    <xf numFmtId="312" fontId="242" fillId="0" borderId="1774">
      <alignment horizontal="center"/>
    </xf>
    <xf numFmtId="0" fontId="210" fillId="0" borderId="1931" applyNumberFormat="0" applyFill="0" applyBorder="0" applyAlignment="0">
      <protection locked="0"/>
    </xf>
    <xf numFmtId="312" fontId="210" fillId="0" borderId="1774" applyNumberFormat="0" applyFill="0" applyBorder="0" applyAlignment="0">
      <protection locked="0"/>
    </xf>
    <xf numFmtId="312" fontId="2" fillId="0" borderId="1755" applyNumberFormat="0" applyAlignment="0" applyProtection="0"/>
    <xf numFmtId="312" fontId="214" fillId="0" borderId="1756" applyNumberFormat="0" applyFont="0" applyFill="0" applyAlignment="0" applyProtection="0"/>
    <xf numFmtId="312" fontId="25" fillId="10" borderId="1757" applyNumberFormat="0" applyProtection="0">
      <alignment horizontal="left" vertical="top"/>
    </xf>
    <xf numFmtId="312" fontId="25" fillId="10" borderId="1758" applyNumberFormat="0" applyProtection="0">
      <alignment horizontal="left" vertical="top"/>
    </xf>
    <xf numFmtId="312" fontId="25" fillId="10" borderId="1759" applyNumberFormat="0" applyProtection="0">
      <alignment horizontal="left" vertical="top"/>
    </xf>
    <xf numFmtId="312" fontId="25" fillId="10" borderId="1760" applyNumberFormat="0" applyProtection="0">
      <alignment horizontal="left" vertical="top"/>
    </xf>
    <xf numFmtId="312" fontId="25" fillId="10" borderId="1757" applyNumberFormat="0" applyProtection="0">
      <alignment horizontal="left" vertical="top"/>
    </xf>
    <xf numFmtId="312" fontId="25" fillId="10" borderId="1758" applyNumberFormat="0" applyProtection="0">
      <alignment horizontal="left" vertical="top"/>
    </xf>
    <xf numFmtId="312" fontId="25" fillId="10" borderId="1759" applyNumberFormat="0" applyProtection="0">
      <alignment horizontal="left" vertical="top"/>
    </xf>
    <xf numFmtId="312" fontId="25" fillId="10" borderId="1760" applyNumberFormat="0" applyProtection="0">
      <alignment horizontal="left" vertical="top"/>
    </xf>
    <xf numFmtId="312" fontId="241" fillId="94" borderId="1774" applyBorder="0" applyProtection="0">
      <alignment horizontal="centerContinuous" vertical="center"/>
    </xf>
    <xf numFmtId="246" fontId="296" fillId="0" borderId="1774" applyFill="0" applyProtection="0">
      <alignment horizontal="center"/>
    </xf>
    <xf numFmtId="0" fontId="241" fillId="94" borderId="1955" applyBorder="0" applyProtection="0">
      <alignment horizontal="centerContinuous" vertical="center"/>
    </xf>
    <xf numFmtId="10" fontId="12" fillId="3" borderId="1730" applyNumberFormat="0" applyFont="0" applyFill="0" applyBorder="0" applyAlignment="0">
      <protection locked="0"/>
    </xf>
    <xf numFmtId="0" fontId="241" fillId="94" borderId="1883" applyBorder="0" applyProtection="0">
      <alignment horizontal="centerContinuous" vertical="center"/>
    </xf>
    <xf numFmtId="0" fontId="12" fillId="75" borderId="4732" applyNumberFormat="0" applyProtection="0">
      <alignment horizontal="left" vertical="top" indent="1"/>
    </xf>
    <xf numFmtId="0" fontId="210" fillId="0" borderId="1883" applyNumberFormat="0" applyFill="0" applyBorder="0" applyAlignment="0">
      <protection locked="0"/>
    </xf>
    <xf numFmtId="0" fontId="75" fillId="0" borderId="4718" applyNumberFormat="0" applyFont="0" applyFill="0" applyAlignment="0" applyProtection="0"/>
    <xf numFmtId="312" fontId="12" fillId="84" borderId="2078" applyNumberFormat="0" applyProtection="0">
      <alignment horizontal="left" vertical="center" indent="1"/>
    </xf>
    <xf numFmtId="246" fontId="249" fillId="0" borderId="1895" applyFill="0" applyProtection="0">
      <alignment horizontal="center"/>
    </xf>
    <xf numFmtId="312" fontId="136" fillId="84" borderId="2078" applyNumberFormat="0" applyProtection="0">
      <alignment horizontal="left" vertical="top" indent="1"/>
    </xf>
    <xf numFmtId="312" fontId="12" fillId="52" borderId="2078" applyNumberFormat="0" applyProtection="0">
      <alignment horizontal="left" vertical="top" indent="1"/>
    </xf>
    <xf numFmtId="312" fontId="12" fillId="11" borderId="2078" applyNumberFormat="0" applyProtection="0">
      <alignment horizontal="left" vertical="center" indent="1"/>
    </xf>
    <xf numFmtId="264" fontId="12" fillId="14" borderId="2144" applyFont="0" applyFill="0" applyBorder="0" applyAlignment="0" applyProtection="0">
      <alignment horizontal="right"/>
    </xf>
    <xf numFmtId="0" fontId="2" fillId="0" borderId="1900" applyNumberFormat="0" applyAlignment="0" applyProtection="0"/>
    <xf numFmtId="312" fontId="12" fillId="75" borderId="2078" applyNumberFormat="0" applyProtection="0">
      <alignment horizontal="left" vertical="top" indent="1"/>
    </xf>
    <xf numFmtId="0" fontId="214" fillId="0" borderId="1889" applyNumberFormat="0" applyFont="0" applyFill="0" applyAlignment="0" applyProtection="0"/>
    <xf numFmtId="0" fontId="166" fillId="0" borderId="2144">
      <alignment horizontal="center"/>
    </xf>
    <xf numFmtId="0" fontId="25" fillId="10" borderId="1892" applyNumberFormat="0" applyProtection="0">
      <alignment horizontal="left" vertical="top"/>
    </xf>
    <xf numFmtId="222" fontId="79" fillId="0" borderId="2143" applyBorder="0"/>
    <xf numFmtId="180" fontId="9" fillId="3" borderId="1883">
      <alignment horizontal="right" vertical="center"/>
    </xf>
    <xf numFmtId="0" fontId="165" fillId="0" borderId="1883" applyFill="0" applyProtection="0">
      <alignment horizontal="center"/>
    </xf>
    <xf numFmtId="1" fontId="154" fillId="65" borderId="384" applyNumberFormat="0" applyBorder="0" applyAlignment="0">
      <alignment horizontal="centerContinuous" vertical="center"/>
      <protection locked="0"/>
    </xf>
    <xf numFmtId="0" fontId="12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10" fontId="12" fillId="3" borderId="1730" applyNumberFormat="0" applyFont="0" applyFill="0" applyBorder="0" applyAlignment="0">
      <protection locked="0"/>
    </xf>
    <xf numFmtId="246" fontId="250" fillId="0" borderId="1774" applyFill="0" applyProtection="0">
      <alignment horizontal="center"/>
    </xf>
    <xf numFmtId="246" fontId="249" fillId="0" borderId="1774" applyFill="0" applyProtection="0">
      <alignment horizontal="center"/>
    </xf>
    <xf numFmtId="0" fontId="241" fillId="94" borderId="1774" applyBorder="0" applyProtection="0">
      <alignment horizontal="centerContinuous" vertical="center"/>
    </xf>
    <xf numFmtId="254" fontId="240" fillId="0" borderId="1774" applyBorder="0" applyProtection="0">
      <alignment horizontal="right" vertical="center"/>
    </xf>
    <xf numFmtId="0" fontId="12" fillId="0" borderId="1717" applyNumberFormat="0" applyFill="0" applyBorder="0" applyAlignment="0" applyProtection="0"/>
    <xf numFmtId="0" fontId="25" fillId="10" borderId="1729" applyNumberFormat="0" applyProtection="0">
      <alignment horizontal="left" vertical="top"/>
    </xf>
    <xf numFmtId="0" fontId="25" fillId="10" borderId="1728" applyNumberFormat="0" applyProtection="0">
      <alignment horizontal="left" vertical="top"/>
    </xf>
    <xf numFmtId="0" fontId="25" fillId="10" borderId="1727" applyNumberFormat="0" applyProtection="0">
      <alignment horizontal="left" vertical="top"/>
    </xf>
    <xf numFmtId="0" fontId="25" fillId="10" borderId="1726" applyNumberFormat="0" applyProtection="0">
      <alignment horizontal="left" vertical="top"/>
    </xf>
    <xf numFmtId="0" fontId="25" fillId="10" borderId="1725" applyNumberFormat="0" applyProtection="0">
      <alignment horizontal="left" vertical="top"/>
    </xf>
    <xf numFmtId="0" fontId="25" fillId="10" borderId="1724" applyNumberFormat="0" applyProtection="0">
      <alignment horizontal="left" vertical="top"/>
    </xf>
    <xf numFmtId="0" fontId="25" fillId="10" borderId="1723" applyNumberFormat="0" applyProtection="0">
      <alignment horizontal="left"/>
    </xf>
    <xf numFmtId="0" fontId="12" fillId="10" borderId="1718" applyNumberFormat="0" applyFont="0" applyProtection="0"/>
    <xf numFmtId="0" fontId="12" fillId="10" borderId="1718" applyNumberFormat="0" applyFont="0" applyAlignment="0" applyProtection="0"/>
    <xf numFmtId="0" fontId="12" fillId="3" borderId="1718" applyNumberFormat="0" applyFont="0" applyAlignment="0" applyProtection="0"/>
    <xf numFmtId="293" fontId="234" fillId="10" borderId="1718" applyFont="0" applyProtection="0"/>
    <xf numFmtId="293" fontId="234" fillId="10" borderId="1718" applyFont="0" applyProtection="0"/>
    <xf numFmtId="169" fontId="234" fillId="3" borderId="1718" applyFont="0" applyProtection="0"/>
    <xf numFmtId="293" fontId="234" fillId="3" borderId="1718" applyFont="0" applyProtection="0"/>
    <xf numFmtId="169" fontId="234" fillId="10" borderId="1718" applyFont="0" applyProtection="0"/>
    <xf numFmtId="0" fontId="25" fillId="10" borderId="1718" applyNumberFormat="0" applyProtection="0">
      <alignment horizontal="center" vertical="top"/>
    </xf>
    <xf numFmtId="0" fontId="25" fillId="10" borderId="1718" applyNumberFormat="0" applyProtection="0">
      <alignment horizontal="center" vertical="top"/>
    </xf>
    <xf numFmtId="2" fontId="12" fillId="60" borderId="1722" applyFont="0" applyFill="0" applyBorder="0" applyAlignment="0" applyProtection="0"/>
    <xf numFmtId="9" fontId="12" fillId="60" borderId="1722" applyFont="0" applyFill="0" applyBorder="0" applyAlignment="0" applyProtection="0"/>
    <xf numFmtId="10" fontId="12" fillId="60" borderId="1722" applyFont="0" applyFill="0" applyBorder="0" applyAlignment="0" applyProtection="0"/>
    <xf numFmtId="183" fontId="12" fillId="60" borderId="1722" applyFont="0" applyFill="0" applyBorder="0" applyAlignment="0" applyProtection="0"/>
    <xf numFmtId="4" fontId="12" fillId="60" borderId="1722" applyFont="0" applyFill="0" applyBorder="0" applyAlignment="0" applyProtection="0"/>
    <xf numFmtId="3" fontId="12" fillId="60" borderId="1722" applyFont="0" applyFill="0" applyBorder="0" applyAlignment="0" applyProtection="0"/>
    <xf numFmtId="4" fontId="230" fillId="11" borderId="1720" applyNumberFormat="0" applyProtection="0">
      <alignment horizontal="right" vertical="center"/>
    </xf>
    <xf numFmtId="4" fontId="229" fillId="84" borderId="1721" applyNumberFormat="0" applyProtection="0">
      <alignment horizontal="left" vertical="center" indent="1"/>
    </xf>
    <xf numFmtId="0" fontId="136" fillId="84" borderId="1720" applyNumberFormat="0" applyProtection="0">
      <alignment horizontal="left" vertical="top" indent="1"/>
    </xf>
    <xf numFmtId="4" fontId="223" fillId="52" borderId="1720" applyNumberFormat="0" applyProtection="0">
      <alignment horizontal="left" vertical="center" indent="1"/>
    </xf>
    <xf numFmtId="4" fontId="228" fillId="11" borderId="1720" applyNumberFormat="0" applyProtection="0">
      <alignment horizontal="right" vertical="center"/>
    </xf>
    <xf numFmtId="4" fontId="184" fillId="11" borderId="1720" applyNumberFormat="0" applyProtection="0">
      <alignment horizontal="right" vertical="center"/>
    </xf>
    <xf numFmtId="0" fontId="136" fillId="14" borderId="1720" applyNumberFormat="0" applyProtection="0">
      <alignment horizontal="left" vertical="top" indent="1"/>
    </xf>
    <xf numFmtId="4" fontId="227" fillId="52" borderId="1721" applyNumberFormat="0" applyProtection="0">
      <alignment horizontal="left" vertical="center" indent="1"/>
    </xf>
    <xf numFmtId="4" fontId="228" fillId="11" borderId="1720" applyNumberFormat="0" applyProtection="0">
      <alignment vertical="center"/>
    </xf>
    <xf numFmtId="4" fontId="226" fillId="11" borderId="1720" applyNumberFormat="0" applyProtection="0">
      <alignment vertical="center"/>
    </xf>
    <xf numFmtId="0" fontId="12" fillId="11" borderId="1720" applyNumberFormat="0" applyProtection="0">
      <alignment horizontal="left" vertical="top" indent="1"/>
    </xf>
    <xf numFmtId="0" fontId="12" fillId="11" borderId="1720" applyNumberFormat="0" applyProtection="0">
      <alignment horizontal="left" vertical="center" indent="1"/>
    </xf>
    <xf numFmtId="0" fontId="12" fillId="52" borderId="1720" applyNumberFormat="0" applyProtection="0">
      <alignment horizontal="left" vertical="top" indent="1"/>
    </xf>
    <xf numFmtId="0" fontId="12" fillId="52" borderId="1720" applyNumberFormat="0" applyProtection="0">
      <alignment horizontal="left" vertical="center" indent="1"/>
    </xf>
    <xf numFmtId="0" fontId="12" fillId="84" borderId="1720" applyNumberFormat="0" applyProtection="0">
      <alignment horizontal="left" vertical="top" indent="1"/>
    </xf>
    <xf numFmtId="0" fontId="12" fillId="84" borderId="1720" applyNumberFormat="0" applyProtection="0">
      <alignment horizontal="left" vertical="center" indent="1"/>
    </xf>
    <xf numFmtId="0" fontId="12" fillId="75" borderId="1720" applyNumberFormat="0" applyProtection="0">
      <alignment horizontal="left" vertical="top" indent="1"/>
    </xf>
    <xf numFmtId="0" fontId="12" fillId="75" borderId="1720" applyNumberFormat="0" applyProtection="0">
      <alignment horizontal="left" vertical="center" indent="1"/>
    </xf>
    <xf numFmtId="4" fontId="184" fillId="52" borderId="1720" applyNumberFormat="0" applyProtection="0">
      <alignment horizontal="right" vertical="center"/>
    </xf>
    <xf numFmtId="4" fontId="226" fillId="82" borderId="1720" applyNumberFormat="0" applyProtection="0">
      <alignment horizontal="right" vertical="center"/>
    </xf>
    <xf numFmtId="4" fontId="226" fillId="81" borderId="1720" applyNumberFormat="0" applyProtection="0">
      <alignment horizontal="right" vertical="center"/>
    </xf>
    <xf numFmtId="4" fontId="226" fillId="80" borderId="1720" applyNumberFormat="0" applyProtection="0">
      <alignment horizontal="right" vertical="center"/>
    </xf>
    <xf numFmtId="4" fontId="226" fillId="71" borderId="1720" applyNumberFormat="0" applyProtection="0">
      <alignment horizontal="right" vertical="center"/>
    </xf>
    <xf numFmtId="4" fontId="226" fillId="79" borderId="1720" applyNumberFormat="0" applyProtection="0">
      <alignment horizontal="right" vertical="center"/>
    </xf>
    <xf numFmtId="4" fontId="226" fillId="10" borderId="1720" applyNumberFormat="0" applyProtection="0">
      <alignment horizontal="right" vertical="center"/>
    </xf>
    <xf numFmtId="4" fontId="226" fillId="78" borderId="1720" applyNumberFormat="0" applyProtection="0">
      <alignment horizontal="right" vertical="center"/>
    </xf>
    <xf numFmtId="4" fontId="226" fillId="77" borderId="1720" applyNumberFormat="0" applyProtection="0">
      <alignment horizontal="right" vertical="center"/>
    </xf>
    <xf numFmtId="4" fontId="226" fillId="76" borderId="1720" applyNumberFormat="0" applyProtection="0">
      <alignment horizontal="right" vertical="center"/>
    </xf>
    <xf numFmtId="0" fontId="225" fillId="53" borderId="1720" applyNumberFormat="0" applyProtection="0">
      <alignment horizontal="left" vertical="top" indent="1"/>
    </xf>
    <xf numFmtId="4" fontId="184" fillId="53" borderId="1720" applyNumberFormat="0" applyProtection="0">
      <alignment horizontal="left" vertical="center" indent="1"/>
    </xf>
    <xf numFmtId="4" fontId="224" fillId="53" borderId="1720" applyNumberFormat="0" applyProtection="0">
      <alignment vertical="center"/>
    </xf>
    <xf numFmtId="4" fontId="223" fillId="53" borderId="1720" applyNumberFormat="0" applyProtection="0">
      <alignment vertical="center"/>
    </xf>
    <xf numFmtId="0" fontId="12" fillId="0" borderId="1717" applyNumberFormat="0" applyFill="0" applyBorder="0" applyAlignment="0" applyProtection="0"/>
    <xf numFmtId="0" fontId="46" fillId="0" borderId="1717" applyNumberFormat="0" applyFill="0" applyBorder="0" applyAlignment="0" applyProtection="0"/>
    <xf numFmtId="0" fontId="105" fillId="0" borderId="1717" applyNumberFormat="0" applyFill="0" applyBorder="0" applyAlignment="0" applyProtection="0"/>
    <xf numFmtId="0" fontId="48" fillId="0" borderId="1717" applyNumberFormat="0" applyFill="0" applyAlignment="0" applyProtection="0"/>
    <xf numFmtId="5" fontId="114" fillId="0" borderId="1716" applyAlignment="0" applyProtection="0"/>
    <xf numFmtId="0" fontId="210" fillId="0" borderId="1774" applyNumberFormat="0" applyFill="0" applyBorder="0" applyAlignment="0">
      <protection locked="0"/>
    </xf>
    <xf numFmtId="182" fontId="145" fillId="3" borderId="1716">
      <alignment horizontal="right" vertical="center"/>
    </xf>
    <xf numFmtId="186" fontId="48" fillId="3" borderId="1716">
      <alignment vertical="center"/>
    </xf>
    <xf numFmtId="0" fontId="135" fillId="0" borderId="1718"/>
    <xf numFmtId="0" fontId="135" fillId="0" borderId="1718"/>
    <xf numFmtId="188" fontId="25" fillId="0" borderId="1733" applyFont="0" applyFill="0" applyBorder="0" applyAlignment="0" applyProtection="0">
      <alignment horizontal="center"/>
    </xf>
    <xf numFmtId="0" fontId="184" fillId="0" borderId="1719" applyAlignment="0">
      <alignment horizontal="left" wrapText="1"/>
    </xf>
    <xf numFmtId="264" fontId="12" fillId="14" borderId="1774" applyFont="0" applyFill="0" applyBorder="0" applyAlignment="0" applyProtection="0">
      <alignment horizontal="right"/>
    </xf>
    <xf numFmtId="0" fontId="25" fillId="69" borderId="1718">
      <alignment horizontal="left" vertical="center" wrapText="1"/>
    </xf>
    <xf numFmtId="0" fontId="159" fillId="0" borderId="1718"/>
    <xf numFmtId="0" fontId="159" fillId="67" borderId="1718"/>
    <xf numFmtId="192" fontId="9" fillId="3" borderId="1883">
      <alignment horizontal="right" vertical="center"/>
    </xf>
    <xf numFmtId="0" fontId="166" fillId="0" borderId="1774">
      <alignment horizontal="center"/>
    </xf>
    <xf numFmtId="0" fontId="165" fillId="0" borderId="1774" applyFill="0" applyProtection="0">
      <alignment horizontal="center"/>
    </xf>
    <xf numFmtId="0" fontId="159" fillId="67" borderId="1718"/>
    <xf numFmtId="0" fontId="159" fillId="0" borderId="1718"/>
    <xf numFmtId="0" fontId="25" fillId="69" borderId="1718">
      <alignment horizontal="left" vertical="center" wrapText="1"/>
    </xf>
    <xf numFmtId="0" fontId="184" fillId="0" borderId="1719" applyAlignment="0">
      <alignment horizontal="left" wrapText="1"/>
    </xf>
    <xf numFmtId="0" fontId="135" fillId="0" borderId="1718"/>
    <xf numFmtId="0" fontId="135" fillId="0" borderId="1718"/>
    <xf numFmtId="186" fontId="140" fillId="3" borderId="1673">
      <alignment horizontal="center" vertical="center"/>
    </xf>
    <xf numFmtId="186" fontId="48" fillId="3" borderId="1716">
      <alignment vertical="center"/>
    </xf>
    <xf numFmtId="186" fontId="146" fillId="3" borderId="1600">
      <alignment horizontal="left"/>
    </xf>
    <xf numFmtId="186" fontId="146" fillId="3" borderId="1774" applyBorder="0">
      <alignment horizontal="left" vertical="center"/>
    </xf>
    <xf numFmtId="180" fontId="9" fillId="3" borderId="1774">
      <alignment horizontal="right" vertical="center"/>
    </xf>
    <xf numFmtId="192" fontId="9" fillId="3" borderId="1774">
      <alignment horizontal="right" vertical="center"/>
    </xf>
    <xf numFmtId="0" fontId="101" fillId="0" borderId="1774" applyBorder="0"/>
    <xf numFmtId="182" fontId="145" fillId="3" borderId="1716">
      <alignment horizontal="right" vertical="center"/>
    </xf>
    <xf numFmtId="188" fontId="25" fillId="0" borderId="1733" applyFont="0" applyFill="0" applyBorder="0" applyAlignment="0" applyProtection="0">
      <alignment horizontal="center"/>
    </xf>
    <xf numFmtId="248" fontId="46" fillId="0" borderId="1931"/>
    <xf numFmtId="246" fontId="249" fillId="0" borderId="1774" applyFill="0" applyProtection="0">
      <alignment horizontal="center"/>
    </xf>
    <xf numFmtId="0" fontId="48" fillId="0" borderId="1716" applyFont="0" applyFill="0" applyBorder="0" applyAlignment="0" applyProtection="0">
      <alignment horizontal="center"/>
    </xf>
    <xf numFmtId="0" fontId="74" fillId="0" borderId="1716" applyFont="0" applyFill="0" applyBorder="0" applyAlignment="0" applyProtection="0">
      <alignment horizontal="center"/>
    </xf>
    <xf numFmtId="248" fontId="46" fillId="0" borderId="1774"/>
    <xf numFmtId="0" fontId="78" fillId="14" borderId="1707" applyFont="0" applyFill="0" applyBorder="0" applyAlignment="0" applyProtection="0"/>
    <xf numFmtId="0" fontId="12" fillId="0" borderId="1774" applyNumberFormat="0" applyFill="0" applyBorder="0" applyAlignment="0" applyProtection="0">
      <alignment horizontal="center"/>
    </xf>
    <xf numFmtId="186" fontId="146" fillId="3" borderId="1943" applyBorder="0">
      <alignment horizontal="left" vertical="center"/>
    </xf>
    <xf numFmtId="0" fontId="75" fillId="0" borderId="1598" applyNumberFormat="0" applyFont="0" applyFill="0" applyAlignment="0" applyProtection="0"/>
    <xf numFmtId="5" fontId="114" fillId="0" borderId="1716" applyAlignment="0" applyProtection="0"/>
    <xf numFmtId="0" fontId="113" fillId="0" borderId="1774" applyNumberFormat="0" applyFill="0" applyAlignment="0" applyProtection="0"/>
    <xf numFmtId="0" fontId="48" fillId="0" borderId="1717" applyNumberFormat="0" applyFill="0" applyAlignment="0" applyProtection="0"/>
    <xf numFmtId="0" fontId="105" fillId="0" borderId="1717" applyNumberFormat="0" applyFill="0" applyBorder="0" applyAlignment="0" applyProtection="0"/>
    <xf numFmtId="0" fontId="46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222" fontId="79" fillId="0" borderId="1773" applyBorder="0"/>
    <xf numFmtId="0" fontId="101" fillId="0" borderId="1774" applyBorder="0"/>
    <xf numFmtId="4" fontId="223" fillId="53" borderId="1720" applyNumberFormat="0" applyProtection="0">
      <alignment vertical="center"/>
    </xf>
    <xf numFmtId="4" fontId="224" fillId="53" borderId="1720" applyNumberFormat="0" applyProtection="0">
      <alignment vertical="center"/>
    </xf>
    <xf numFmtId="4" fontId="184" fillId="53" borderId="1720" applyNumberFormat="0" applyProtection="0">
      <alignment horizontal="left" vertical="center" indent="1"/>
    </xf>
    <xf numFmtId="0" fontId="225" fillId="53" borderId="1720" applyNumberFormat="0" applyProtection="0">
      <alignment horizontal="left" vertical="top" indent="1"/>
    </xf>
    <xf numFmtId="4" fontId="226" fillId="76" borderId="1720" applyNumberFormat="0" applyProtection="0">
      <alignment horizontal="right" vertical="center"/>
    </xf>
    <xf numFmtId="4" fontId="226" fillId="77" borderId="1720" applyNumberFormat="0" applyProtection="0">
      <alignment horizontal="right" vertical="center"/>
    </xf>
    <xf numFmtId="4" fontId="226" fillId="78" borderId="1720" applyNumberFormat="0" applyProtection="0">
      <alignment horizontal="right" vertical="center"/>
    </xf>
    <xf numFmtId="4" fontId="226" fillId="10" borderId="1720" applyNumberFormat="0" applyProtection="0">
      <alignment horizontal="right" vertical="center"/>
    </xf>
    <xf numFmtId="4" fontId="226" fillId="79" borderId="1720" applyNumberFormat="0" applyProtection="0">
      <alignment horizontal="right" vertical="center"/>
    </xf>
    <xf numFmtId="4" fontId="226" fillId="71" borderId="1720" applyNumberFormat="0" applyProtection="0">
      <alignment horizontal="right" vertical="center"/>
    </xf>
    <xf numFmtId="4" fontId="226" fillId="81" borderId="1720" applyNumberFormat="0" applyProtection="0">
      <alignment horizontal="right" vertical="center"/>
    </xf>
    <xf numFmtId="4" fontId="226" fillId="80" borderId="1720" applyNumberFormat="0" applyProtection="0">
      <alignment horizontal="right" vertical="center"/>
    </xf>
    <xf numFmtId="4" fontId="226" fillId="82" borderId="1720" applyNumberFormat="0" applyProtection="0">
      <alignment horizontal="right" vertical="center"/>
    </xf>
    <xf numFmtId="4" fontId="184" fillId="52" borderId="1720" applyNumberFormat="0" applyProtection="0">
      <alignment horizontal="right" vertical="center"/>
    </xf>
    <xf numFmtId="0" fontId="12" fillId="75" borderId="1720" applyNumberFormat="0" applyProtection="0">
      <alignment horizontal="left" vertical="center" indent="1"/>
    </xf>
    <xf numFmtId="0" fontId="12" fillId="75" borderId="1720" applyNumberFormat="0" applyProtection="0">
      <alignment horizontal="left" vertical="top" indent="1"/>
    </xf>
    <xf numFmtId="0" fontId="12" fillId="84" borderId="1720" applyNumberFormat="0" applyProtection="0">
      <alignment horizontal="left" vertical="center" indent="1"/>
    </xf>
    <xf numFmtId="0" fontId="12" fillId="84" borderId="1720" applyNumberFormat="0" applyProtection="0">
      <alignment horizontal="left" vertical="top" indent="1"/>
    </xf>
    <xf numFmtId="0" fontId="12" fillId="52" borderId="1720" applyNumberFormat="0" applyProtection="0">
      <alignment horizontal="left" vertical="center" indent="1"/>
    </xf>
    <xf numFmtId="0" fontId="12" fillId="52" borderId="1720" applyNumberFormat="0" applyProtection="0">
      <alignment horizontal="left" vertical="top" indent="1"/>
    </xf>
    <xf numFmtId="0" fontId="12" fillId="11" borderId="1720" applyNumberFormat="0" applyProtection="0">
      <alignment horizontal="left" vertical="center" indent="1"/>
    </xf>
    <xf numFmtId="0" fontId="12" fillId="11" borderId="1720" applyNumberFormat="0" applyProtection="0">
      <alignment horizontal="left" vertical="top" indent="1"/>
    </xf>
    <xf numFmtId="4" fontId="226" fillId="11" borderId="1720" applyNumberFormat="0" applyProtection="0">
      <alignment vertical="center"/>
    </xf>
    <xf numFmtId="4" fontId="228" fillId="11" borderId="1720" applyNumberFormat="0" applyProtection="0">
      <alignment vertical="center"/>
    </xf>
    <xf numFmtId="4" fontId="227" fillId="52" borderId="1721" applyNumberFormat="0" applyProtection="0">
      <alignment horizontal="left" vertical="center" indent="1"/>
    </xf>
    <xf numFmtId="0" fontId="136" fillId="14" borderId="1720" applyNumberFormat="0" applyProtection="0">
      <alignment horizontal="left" vertical="top" indent="1"/>
    </xf>
    <xf numFmtId="4" fontId="184" fillId="11" borderId="1720" applyNumberFormat="0" applyProtection="0">
      <alignment horizontal="right" vertical="center"/>
    </xf>
    <xf numFmtId="4" fontId="228" fillId="11" borderId="1720" applyNumberFormat="0" applyProtection="0">
      <alignment horizontal="right" vertical="center"/>
    </xf>
    <xf numFmtId="4" fontId="223" fillId="52" borderId="1720" applyNumberFormat="0" applyProtection="0">
      <alignment horizontal="left" vertical="center" indent="1"/>
    </xf>
    <xf numFmtId="0" fontId="136" fillId="84" borderId="1720" applyNumberFormat="0" applyProtection="0">
      <alignment horizontal="left" vertical="top" indent="1"/>
    </xf>
    <xf numFmtId="4" fontId="229" fillId="84" borderId="1721" applyNumberFormat="0" applyProtection="0">
      <alignment horizontal="left" vertical="center" indent="1"/>
    </xf>
    <xf numFmtId="4" fontId="230" fillId="11" borderId="1720" applyNumberFormat="0" applyProtection="0">
      <alignment horizontal="right" vertical="center"/>
    </xf>
    <xf numFmtId="0" fontId="25" fillId="10" borderId="1781" applyNumberFormat="0" applyProtection="0">
      <alignment horizontal="left" vertical="top"/>
    </xf>
    <xf numFmtId="0" fontId="25" fillId="10" borderId="1782" applyNumberFormat="0" applyProtection="0">
      <alignment horizontal="left" vertical="top"/>
    </xf>
    <xf numFmtId="0" fontId="25" fillId="10" borderId="1783" applyNumberFormat="0" applyProtection="0">
      <alignment horizontal="left" vertical="top"/>
    </xf>
    <xf numFmtId="0" fontId="25" fillId="10" borderId="1784" applyNumberFormat="0" applyProtection="0">
      <alignment horizontal="left" vertical="top"/>
    </xf>
    <xf numFmtId="3" fontId="12" fillId="60" borderId="1722" applyFont="0" applyFill="0" applyBorder="0" applyAlignment="0" applyProtection="0"/>
    <xf numFmtId="4" fontId="12" fillId="60" borderId="1722" applyFont="0" applyFill="0" applyBorder="0" applyAlignment="0" applyProtection="0"/>
    <xf numFmtId="183" fontId="12" fillId="60" borderId="1722" applyFont="0" applyFill="0" applyBorder="0" applyAlignment="0" applyProtection="0"/>
    <xf numFmtId="10" fontId="12" fillId="60" borderId="1722" applyFont="0" applyFill="0" applyBorder="0" applyAlignment="0" applyProtection="0"/>
    <xf numFmtId="9" fontId="12" fillId="60" borderId="1722" applyFont="0" applyFill="0" applyBorder="0" applyAlignment="0" applyProtection="0"/>
    <xf numFmtId="2" fontId="12" fillId="60" borderId="1722" applyFont="0" applyFill="0" applyBorder="0" applyAlignment="0" applyProtection="0"/>
    <xf numFmtId="0" fontId="25" fillId="10" borderId="1718" applyNumberFormat="0" applyProtection="0">
      <alignment horizontal="center" vertical="top"/>
    </xf>
    <xf numFmtId="169" fontId="234" fillId="3" borderId="1718" applyFont="0" applyProtection="0"/>
    <xf numFmtId="169" fontId="234" fillId="10" borderId="1718" applyFont="0" applyProtection="0"/>
    <xf numFmtId="293" fontId="234" fillId="3" borderId="1718" applyFont="0" applyProtection="0"/>
    <xf numFmtId="293" fontId="234" fillId="10" borderId="1718" applyFont="0" applyProtection="0"/>
    <xf numFmtId="293" fontId="234" fillId="10" borderId="1718" applyFont="0" applyProtection="0"/>
    <xf numFmtId="0" fontId="12" fillId="3" borderId="1718" applyNumberFormat="0" applyFont="0" applyAlignment="0" applyProtection="0"/>
    <xf numFmtId="0" fontId="12" fillId="10" borderId="1718" applyNumberFormat="0" applyFont="0" applyAlignment="0" applyProtection="0"/>
    <xf numFmtId="0" fontId="12" fillId="10" borderId="1718" applyNumberFormat="0" applyFont="0" applyProtection="0"/>
    <xf numFmtId="0" fontId="25" fillId="10" borderId="1723" applyNumberFormat="0" applyProtection="0">
      <alignment horizontal="left"/>
    </xf>
    <xf numFmtId="0" fontId="25" fillId="10" borderId="1724" applyNumberFormat="0" applyProtection="0">
      <alignment horizontal="left" vertical="top"/>
    </xf>
    <xf numFmtId="0" fontId="25" fillId="10" borderId="1725" applyNumberFormat="0" applyProtection="0">
      <alignment horizontal="left" vertical="top"/>
    </xf>
    <xf numFmtId="0" fontId="25" fillId="10" borderId="1726" applyNumberFormat="0" applyProtection="0">
      <alignment horizontal="left" vertical="top"/>
    </xf>
    <xf numFmtId="0" fontId="25" fillId="10" borderId="1727" applyNumberFormat="0" applyProtection="0">
      <alignment horizontal="left" vertical="top"/>
    </xf>
    <xf numFmtId="0" fontId="25" fillId="10" borderId="1728" applyNumberFormat="0" applyProtection="0">
      <alignment horizontal="left" vertical="top"/>
    </xf>
    <xf numFmtId="0" fontId="25" fillId="10" borderId="1729" applyNumberFormat="0" applyProtection="0">
      <alignment horizontal="left" vertical="top"/>
    </xf>
    <xf numFmtId="10" fontId="12" fillId="3" borderId="1730" applyNumberFormat="0" applyFont="0" applyFill="0" applyBorder="0" applyAlignment="0">
      <protection locked="0"/>
    </xf>
    <xf numFmtId="0" fontId="12" fillId="0" borderId="1717" applyNumberFormat="0" applyFill="0" applyBorder="0" applyAlignment="0" applyProtection="0"/>
    <xf numFmtId="0" fontId="25" fillId="10" borderId="1718" applyNumberFormat="0" applyProtection="0">
      <alignment horizontal="center" vertical="top"/>
    </xf>
    <xf numFmtId="0" fontId="113" fillId="0" borderId="1883" applyNumberFormat="0" applyFill="0" applyAlignment="0" applyProtection="0"/>
    <xf numFmtId="222" fontId="79" fillId="0" borderId="1894" applyBorder="0"/>
    <xf numFmtId="0" fontId="25" fillId="10" borderId="1890" applyNumberFormat="0" applyProtection="0">
      <alignment horizontal="left" vertical="top"/>
    </xf>
    <xf numFmtId="0" fontId="165" fillId="0" borderId="1895" applyFill="0" applyProtection="0">
      <alignment horizontal="center"/>
    </xf>
    <xf numFmtId="0" fontId="25" fillId="10" borderId="1903" applyNumberFormat="0" applyProtection="0">
      <alignment horizontal="left" vertical="top"/>
    </xf>
    <xf numFmtId="222" fontId="79" fillId="0" borderId="1894" applyBorder="0"/>
    <xf numFmtId="0" fontId="2" fillId="0" borderId="1888" applyNumberFormat="0" applyAlignment="0" applyProtection="0"/>
    <xf numFmtId="0" fontId="78" fillId="14" borderId="2110" applyFont="0" applyFill="0" applyBorder="0" applyAlignment="0" applyProtection="0"/>
    <xf numFmtId="0" fontId="25" fillId="10" borderId="1893" applyNumberFormat="0" applyProtection="0">
      <alignment horizontal="left" vertical="top"/>
    </xf>
    <xf numFmtId="0" fontId="48" fillId="0" borderId="1716" applyFont="0" applyFill="0" applyBorder="0" applyAlignment="0" applyProtection="0">
      <alignment horizontal="center"/>
    </xf>
    <xf numFmtId="0" fontId="74" fillId="0" borderId="1716" applyFont="0" applyFill="0" applyBorder="0" applyAlignment="0" applyProtection="0">
      <alignment horizontal="center"/>
    </xf>
    <xf numFmtId="10" fontId="12" fillId="3" borderId="1730" applyNumberFormat="0" applyFont="0" applyFill="0" applyBorder="0" applyAlignment="0">
      <protection locked="0"/>
    </xf>
    <xf numFmtId="0" fontId="12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190" fontId="12" fillId="10" borderId="4730" applyNumberFormat="0" applyFont="0" applyAlignment="0" applyProtection="0"/>
    <xf numFmtId="10" fontId="12" fillId="3" borderId="1730" applyNumberFormat="0" applyFont="0" applyFill="0" applyBorder="0" applyAlignment="0">
      <protection locked="0"/>
    </xf>
    <xf numFmtId="246" fontId="250" fillId="0" borderId="1734" applyFill="0" applyProtection="0">
      <alignment horizontal="center"/>
    </xf>
    <xf numFmtId="246" fontId="249" fillId="0" borderId="1734" applyFill="0" applyProtection="0">
      <alignment horizontal="center"/>
    </xf>
    <xf numFmtId="0" fontId="241" fillId="94" borderId="1734" applyBorder="0" applyProtection="0">
      <alignment horizontal="centerContinuous" vertical="center"/>
    </xf>
    <xf numFmtId="254" fontId="240" fillId="0" borderId="1734" applyBorder="0" applyProtection="0">
      <alignment horizontal="right" vertical="center"/>
    </xf>
    <xf numFmtId="0" fontId="210" fillId="0" borderId="1734" applyNumberFormat="0" applyFill="0" applyBorder="0" applyAlignment="0">
      <protection locked="0"/>
    </xf>
    <xf numFmtId="188" fontId="25" fillId="0" borderId="1733" applyFont="0" applyFill="0" applyBorder="0" applyAlignment="0" applyProtection="0">
      <alignment horizontal="center"/>
    </xf>
    <xf numFmtId="264" fontId="12" fillId="14" borderId="1734" applyFont="0" applyFill="0" applyBorder="0" applyAlignment="0" applyProtection="0">
      <alignment horizontal="right"/>
    </xf>
    <xf numFmtId="0" fontId="166" fillId="0" borderId="1734">
      <alignment horizontal="center"/>
    </xf>
    <xf numFmtId="0" fontId="165" fillId="0" borderId="1734" applyFill="0" applyProtection="0">
      <alignment horizontal="center"/>
    </xf>
    <xf numFmtId="186" fontId="146" fillId="3" borderId="1734" applyBorder="0">
      <alignment horizontal="left" vertical="center"/>
    </xf>
    <xf numFmtId="180" fontId="9" fillId="3" borderId="1734">
      <alignment horizontal="right" vertical="center"/>
    </xf>
    <xf numFmtId="192" fontId="9" fillId="3" borderId="1734">
      <alignment horizontal="right" vertical="center"/>
    </xf>
    <xf numFmtId="248" fontId="46" fillId="0" borderId="1734"/>
    <xf numFmtId="0" fontId="12" fillId="0" borderId="1734" applyNumberFormat="0" applyFill="0" applyBorder="0" applyAlignment="0" applyProtection="0">
      <alignment horizontal="center"/>
    </xf>
    <xf numFmtId="0" fontId="113" fillId="0" borderId="1734" applyNumberFormat="0" applyFill="0" applyAlignment="0" applyProtection="0"/>
    <xf numFmtId="222" fontId="79" fillId="0" borderId="1704" applyBorder="0"/>
    <xf numFmtId="0" fontId="101" fillId="0" borderId="1734" applyBorder="0"/>
    <xf numFmtId="10" fontId="12" fillId="3" borderId="1730" applyNumberFormat="0" applyFont="0" applyFill="0" applyBorder="0" applyAlignment="0">
      <protection locked="0"/>
    </xf>
    <xf numFmtId="1" fontId="154" fillId="65" borderId="384" applyNumberFormat="0" applyBorder="0" applyAlignment="0">
      <alignment horizontal="centerContinuous" vertical="center"/>
      <protection locked="0"/>
    </xf>
    <xf numFmtId="0" fontId="12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10" fontId="12" fillId="3" borderId="1730" applyNumberFormat="0" applyFont="0" applyFill="0" applyBorder="0" applyAlignment="0">
      <protection locked="0"/>
    </xf>
    <xf numFmtId="246" fontId="250" fillId="0" borderId="1734" applyFill="0" applyProtection="0">
      <alignment horizontal="center"/>
    </xf>
    <xf numFmtId="246" fontId="249" fillId="0" borderId="1734" applyFill="0" applyProtection="0">
      <alignment horizontal="center"/>
    </xf>
    <xf numFmtId="0" fontId="241" fillId="94" borderId="1734" applyBorder="0" applyProtection="0">
      <alignment horizontal="centerContinuous" vertical="center"/>
    </xf>
    <xf numFmtId="254" fontId="240" fillId="0" borderId="1734" applyBorder="0" applyProtection="0">
      <alignment horizontal="right" vertical="center"/>
    </xf>
    <xf numFmtId="0" fontId="12" fillId="0" borderId="1717" applyNumberFormat="0" applyFill="0" applyBorder="0" applyAlignment="0" applyProtection="0"/>
    <xf numFmtId="0" fontId="25" fillId="10" borderId="1729" applyNumberFormat="0" applyProtection="0">
      <alignment horizontal="left" vertical="top"/>
    </xf>
    <xf numFmtId="0" fontId="25" fillId="10" borderId="1728" applyNumberFormat="0" applyProtection="0">
      <alignment horizontal="left" vertical="top"/>
    </xf>
    <xf numFmtId="0" fontId="25" fillId="10" borderId="1727" applyNumberFormat="0" applyProtection="0">
      <alignment horizontal="left" vertical="top"/>
    </xf>
    <xf numFmtId="0" fontId="25" fillId="10" borderId="1726" applyNumberFormat="0" applyProtection="0">
      <alignment horizontal="left" vertical="top"/>
    </xf>
    <xf numFmtId="0" fontId="25" fillId="10" borderId="1725" applyNumberFormat="0" applyProtection="0">
      <alignment horizontal="left" vertical="top"/>
    </xf>
    <xf numFmtId="0" fontId="25" fillId="10" borderId="1724" applyNumberFormat="0" applyProtection="0">
      <alignment horizontal="left" vertical="top"/>
    </xf>
    <xf numFmtId="0" fontId="25" fillId="10" borderId="1723" applyNumberFormat="0" applyProtection="0">
      <alignment horizontal="left"/>
    </xf>
    <xf numFmtId="0" fontId="12" fillId="10" borderId="1718" applyNumberFormat="0" applyFont="0" applyProtection="0"/>
    <xf numFmtId="0" fontId="12" fillId="10" borderId="1718" applyNumberFormat="0" applyFont="0" applyAlignment="0" applyProtection="0"/>
    <xf numFmtId="0" fontId="12" fillId="3" borderId="1718" applyNumberFormat="0" applyFont="0" applyAlignment="0" applyProtection="0"/>
    <xf numFmtId="293" fontId="234" fillId="10" borderId="1718" applyFont="0" applyProtection="0"/>
    <xf numFmtId="293" fontId="234" fillId="3" borderId="1718" applyFont="0" applyProtection="0"/>
    <xf numFmtId="293" fontId="234" fillId="10" borderId="1718" applyFont="0" applyProtection="0"/>
    <xf numFmtId="169" fontId="234" fillId="10" borderId="1718" applyFont="0" applyProtection="0"/>
    <xf numFmtId="169" fontId="234" fillId="3" borderId="1718" applyFont="0" applyProtection="0"/>
    <xf numFmtId="0" fontId="25" fillId="10" borderId="1718" applyNumberFormat="0" applyProtection="0">
      <alignment horizontal="center" vertical="top"/>
    </xf>
    <xf numFmtId="0" fontId="25" fillId="10" borderId="1718" applyNumberFormat="0" applyProtection="0">
      <alignment horizontal="center" vertical="top"/>
    </xf>
    <xf numFmtId="2" fontId="12" fillId="60" borderId="1722" applyFont="0" applyFill="0" applyBorder="0" applyAlignment="0" applyProtection="0"/>
    <xf numFmtId="9" fontId="12" fillId="60" borderId="1722" applyFont="0" applyFill="0" applyBorder="0" applyAlignment="0" applyProtection="0"/>
    <xf numFmtId="10" fontId="12" fillId="60" borderId="1722" applyFont="0" applyFill="0" applyBorder="0" applyAlignment="0" applyProtection="0"/>
    <xf numFmtId="183" fontId="12" fillId="60" borderId="1722" applyFont="0" applyFill="0" applyBorder="0" applyAlignment="0" applyProtection="0"/>
    <xf numFmtId="4" fontId="12" fillId="60" borderId="1722" applyFont="0" applyFill="0" applyBorder="0" applyAlignment="0" applyProtection="0"/>
    <xf numFmtId="3" fontId="12" fillId="60" borderId="1722" applyFont="0" applyFill="0" applyBorder="0" applyAlignment="0" applyProtection="0"/>
    <xf numFmtId="4" fontId="230" fillId="11" borderId="1720" applyNumberFormat="0" applyProtection="0">
      <alignment horizontal="right" vertical="center"/>
    </xf>
    <xf numFmtId="4" fontId="229" fillId="84" borderId="1721" applyNumberFormat="0" applyProtection="0">
      <alignment horizontal="left" vertical="center" indent="1"/>
    </xf>
    <xf numFmtId="0" fontId="136" fillId="84" borderId="1720" applyNumberFormat="0" applyProtection="0">
      <alignment horizontal="left" vertical="top" indent="1"/>
    </xf>
    <xf numFmtId="4" fontId="223" fillId="52" borderId="1720" applyNumberFormat="0" applyProtection="0">
      <alignment horizontal="left" vertical="center" indent="1"/>
    </xf>
    <xf numFmtId="4" fontId="228" fillId="11" borderId="1720" applyNumberFormat="0" applyProtection="0">
      <alignment horizontal="right" vertical="center"/>
    </xf>
    <xf numFmtId="4" fontId="184" fillId="11" borderId="1720" applyNumberFormat="0" applyProtection="0">
      <alignment horizontal="right" vertical="center"/>
    </xf>
    <xf numFmtId="0" fontId="136" fillId="14" borderId="1720" applyNumberFormat="0" applyProtection="0">
      <alignment horizontal="left" vertical="top" indent="1"/>
    </xf>
    <xf numFmtId="4" fontId="227" fillId="52" borderId="1721" applyNumberFormat="0" applyProtection="0">
      <alignment horizontal="left" vertical="center" indent="1"/>
    </xf>
    <xf numFmtId="4" fontId="228" fillId="11" borderId="1720" applyNumberFormat="0" applyProtection="0">
      <alignment vertical="center"/>
    </xf>
    <xf numFmtId="4" fontId="226" fillId="11" borderId="1720" applyNumberFormat="0" applyProtection="0">
      <alignment vertical="center"/>
    </xf>
    <xf numFmtId="0" fontId="12" fillId="11" borderId="1720" applyNumberFormat="0" applyProtection="0">
      <alignment horizontal="left" vertical="top" indent="1"/>
    </xf>
    <xf numFmtId="0" fontId="12" fillId="11" borderId="1720" applyNumberFormat="0" applyProtection="0">
      <alignment horizontal="left" vertical="center" indent="1"/>
    </xf>
    <xf numFmtId="0" fontId="12" fillId="52" borderId="1720" applyNumberFormat="0" applyProtection="0">
      <alignment horizontal="left" vertical="top" indent="1"/>
    </xf>
    <xf numFmtId="0" fontId="12" fillId="52" borderId="1720" applyNumberFormat="0" applyProtection="0">
      <alignment horizontal="left" vertical="center" indent="1"/>
    </xf>
    <xf numFmtId="0" fontId="12" fillId="84" borderId="1720" applyNumberFormat="0" applyProtection="0">
      <alignment horizontal="left" vertical="top" indent="1"/>
    </xf>
    <xf numFmtId="0" fontId="12" fillId="84" borderId="1720" applyNumberFormat="0" applyProtection="0">
      <alignment horizontal="left" vertical="center" indent="1"/>
    </xf>
    <xf numFmtId="0" fontId="12" fillId="75" borderId="1720" applyNumberFormat="0" applyProtection="0">
      <alignment horizontal="left" vertical="top" indent="1"/>
    </xf>
    <xf numFmtId="0" fontId="12" fillId="75" borderId="1720" applyNumberFormat="0" applyProtection="0">
      <alignment horizontal="left" vertical="center" indent="1"/>
    </xf>
    <xf numFmtId="4" fontId="184" fillId="52" borderId="1720" applyNumberFormat="0" applyProtection="0">
      <alignment horizontal="right" vertical="center"/>
    </xf>
    <xf numFmtId="4" fontId="226" fillId="82" borderId="1720" applyNumberFormat="0" applyProtection="0">
      <alignment horizontal="right" vertical="center"/>
    </xf>
    <xf numFmtId="4" fontId="226" fillId="81" borderId="1720" applyNumberFormat="0" applyProtection="0">
      <alignment horizontal="right" vertical="center"/>
    </xf>
    <xf numFmtId="4" fontId="226" fillId="80" borderId="1720" applyNumberFormat="0" applyProtection="0">
      <alignment horizontal="right" vertical="center"/>
    </xf>
    <xf numFmtId="4" fontId="226" fillId="71" borderId="1720" applyNumberFormat="0" applyProtection="0">
      <alignment horizontal="right" vertical="center"/>
    </xf>
    <xf numFmtId="4" fontId="226" fillId="79" borderId="1720" applyNumberFormat="0" applyProtection="0">
      <alignment horizontal="right" vertical="center"/>
    </xf>
    <xf numFmtId="4" fontId="226" fillId="10" borderId="1720" applyNumberFormat="0" applyProtection="0">
      <alignment horizontal="right" vertical="center"/>
    </xf>
    <xf numFmtId="4" fontId="226" fillId="78" borderId="1720" applyNumberFormat="0" applyProtection="0">
      <alignment horizontal="right" vertical="center"/>
    </xf>
    <xf numFmtId="4" fontId="226" fillId="77" borderId="1720" applyNumberFormat="0" applyProtection="0">
      <alignment horizontal="right" vertical="center"/>
    </xf>
    <xf numFmtId="4" fontId="226" fillId="76" borderId="1720" applyNumberFormat="0" applyProtection="0">
      <alignment horizontal="right" vertical="center"/>
    </xf>
    <xf numFmtId="0" fontId="225" fillId="53" borderId="1720" applyNumberFormat="0" applyProtection="0">
      <alignment horizontal="left" vertical="top" indent="1"/>
    </xf>
    <xf numFmtId="4" fontId="184" fillId="53" borderId="1720" applyNumberFormat="0" applyProtection="0">
      <alignment horizontal="left" vertical="center" indent="1"/>
    </xf>
    <xf numFmtId="4" fontId="224" fillId="53" borderId="1720" applyNumberFormat="0" applyProtection="0">
      <alignment vertical="center"/>
    </xf>
    <xf numFmtId="4" fontId="223" fillId="53" borderId="1720" applyNumberFormat="0" applyProtection="0">
      <alignment vertical="center"/>
    </xf>
    <xf numFmtId="0" fontId="210" fillId="0" borderId="1734" applyNumberFormat="0" applyFill="0" applyBorder="0" applyAlignment="0">
      <protection locked="0"/>
    </xf>
    <xf numFmtId="188" fontId="25" fillId="0" borderId="1733" applyFont="0" applyFill="0" applyBorder="0" applyAlignment="0" applyProtection="0">
      <alignment horizontal="center"/>
    </xf>
    <xf numFmtId="0" fontId="184" fillId="0" borderId="1719" applyAlignment="0">
      <alignment horizontal="left" wrapText="1"/>
    </xf>
    <xf numFmtId="264" fontId="12" fillId="14" borderId="1734" applyFont="0" applyFill="0" applyBorder="0" applyAlignment="0" applyProtection="0">
      <alignment horizontal="right"/>
    </xf>
    <xf numFmtId="0" fontId="25" fillId="69" borderId="1718">
      <alignment horizontal="left" vertical="center" wrapText="1"/>
    </xf>
    <xf numFmtId="0" fontId="166" fillId="0" borderId="1734">
      <alignment horizontal="center"/>
    </xf>
    <xf numFmtId="0" fontId="165" fillId="0" borderId="1734" applyFill="0" applyProtection="0">
      <alignment horizontal="center"/>
    </xf>
    <xf numFmtId="0" fontId="159" fillId="67" borderId="1718"/>
    <xf numFmtId="0" fontId="159" fillId="0" borderId="1718"/>
    <xf numFmtId="0" fontId="135" fillId="0" borderId="1718"/>
    <xf numFmtId="0" fontId="135" fillId="0" borderId="1718"/>
    <xf numFmtId="186" fontId="48" fillId="3" borderId="1716">
      <alignment vertical="center"/>
    </xf>
    <xf numFmtId="186" fontId="146" fillId="3" borderId="1734" applyBorder="0">
      <alignment horizontal="left" vertical="center"/>
    </xf>
    <xf numFmtId="180" fontId="9" fillId="3" borderId="1734">
      <alignment horizontal="right" vertical="center"/>
    </xf>
    <xf numFmtId="192" fontId="9" fillId="3" borderId="1734">
      <alignment horizontal="right" vertical="center"/>
    </xf>
    <xf numFmtId="182" fontId="145" fillId="3" borderId="1716">
      <alignment horizontal="right" vertical="center"/>
    </xf>
    <xf numFmtId="0" fontId="48" fillId="0" borderId="1716" applyFont="0" applyFill="0" applyBorder="0" applyAlignment="0" applyProtection="0">
      <alignment horizontal="center"/>
    </xf>
    <xf numFmtId="0" fontId="74" fillId="0" borderId="1716" applyFont="0" applyFill="0" applyBorder="0" applyAlignment="0" applyProtection="0">
      <alignment horizontal="center"/>
    </xf>
    <xf numFmtId="0" fontId="12" fillId="0" borderId="1734" applyNumberFormat="0" applyFill="0" applyBorder="0" applyAlignment="0" applyProtection="0">
      <alignment horizontal="center"/>
    </xf>
    <xf numFmtId="180" fontId="9" fillId="3" borderId="1943">
      <alignment horizontal="right" vertical="center"/>
    </xf>
    <xf numFmtId="5" fontId="114" fillId="0" borderId="1716" applyAlignment="0" applyProtection="0"/>
    <xf numFmtId="0" fontId="113" fillId="0" borderId="1734" applyNumberFormat="0" applyFill="0" applyAlignment="0" applyProtection="0"/>
    <xf numFmtId="0" fontId="48" fillId="0" borderId="1717" applyNumberFormat="0" applyFill="0" applyAlignment="0" applyProtection="0"/>
    <xf numFmtId="0" fontId="105" fillId="0" borderId="1717" applyNumberFormat="0" applyFill="0" applyBorder="0" applyAlignment="0" applyProtection="0"/>
    <xf numFmtId="0" fontId="46" fillId="0" borderId="1717" applyNumberFormat="0" applyFill="0" applyBorder="0" applyAlignment="0" applyProtection="0"/>
    <xf numFmtId="0" fontId="12" fillId="0" borderId="1717" applyNumberFormat="0" applyFill="0" applyBorder="0" applyAlignment="0" applyProtection="0"/>
    <xf numFmtId="222" fontId="79" fillId="0" borderId="1704" applyBorder="0"/>
    <xf numFmtId="0" fontId="101" fillId="0" borderId="1734" applyBorder="0"/>
    <xf numFmtId="10" fontId="12" fillId="3" borderId="1730" applyNumberFormat="0" applyFont="0" applyFill="0" applyBorder="0" applyAlignment="0">
      <protection locked="0"/>
    </xf>
    <xf numFmtId="248" fontId="46" fillId="0" borderId="1734"/>
    <xf numFmtId="10" fontId="12" fillId="3" borderId="1730" applyNumberFormat="0" applyFont="0" applyFill="0" applyBorder="0" applyAlignment="0">
      <protection locked="0"/>
    </xf>
    <xf numFmtId="10" fontId="12" fillId="3" borderId="1730" applyNumberFormat="0" applyFont="0" applyFill="0" applyBorder="0" applyAlignment="0">
      <protection locked="0"/>
    </xf>
    <xf numFmtId="246" fontId="250" fillId="0" borderId="1734" applyFill="0" applyProtection="0">
      <alignment horizontal="center"/>
    </xf>
    <xf numFmtId="246" fontId="249" fillId="0" borderId="1734" applyFill="0" applyProtection="0">
      <alignment horizontal="center"/>
    </xf>
    <xf numFmtId="0" fontId="241" fillId="94" borderId="1734" applyBorder="0" applyProtection="0">
      <alignment horizontal="centerContinuous" vertical="center"/>
    </xf>
    <xf numFmtId="254" fontId="240" fillId="0" borderId="1734" applyBorder="0" applyProtection="0">
      <alignment horizontal="right" vertical="center"/>
    </xf>
    <xf numFmtId="0" fontId="210" fillId="0" borderId="1734" applyNumberFormat="0" applyFill="0" applyBorder="0" applyAlignment="0">
      <protection locked="0"/>
    </xf>
    <xf numFmtId="188" fontId="25" fillId="0" borderId="1733" applyFont="0" applyFill="0" applyBorder="0" applyAlignment="0" applyProtection="0">
      <alignment horizontal="center"/>
    </xf>
    <xf numFmtId="264" fontId="12" fillId="14" borderId="1734" applyFont="0" applyFill="0" applyBorder="0" applyAlignment="0" applyProtection="0">
      <alignment horizontal="right"/>
    </xf>
    <xf numFmtId="0" fontId="166" fillId="0" borderId="1734">
      <alignment horizontal="center"/>
    </xf>
    <xf numFmtId="0" fontId="165" fillId="0" borderId="1734" applyFill="0" applyProtection="0">
      <alignment horizontal="center"/>
    </xf>
    <xf numFmtId="186" fontId="146" fillId="3" borderId="1734" applyBorder="0">
      <alignment horizontal="left" vertical="center"/>
    </xf>
    <xf numFmtId="180" fontId="9" fillId="3" borderId="1734">
      <alignment horizontal="right" vertical="center"/>
    </xf>
    <xf numFmtId="192" fontId="9" fillId="3" borderId="1734">
      <alignment horizontal="right" vertical="center"/>
    </xf>
    <xf numFmtId="248" fontId="46" fillId="0" borderId="1734"/>
    <xf numFmtId="0" fontId="12" fillId="0" borderId="1734" applyNumberFormat="0" applyFill="0" applyBorder="0" applyAlignment="0" applyProtection="0">
      <alignment horizontal="center"/>
    </xf>
    <xf numFmtId="0" fontId="113" fillId="0" borderId="1734" applyNumberFormat="0" applyFill="0" applyAlignment="0" applyProtection="0"/>
    <xf numFmtId="222" fontId="79" fillId="0" borderId="1704" applyBorder="0"/>
    <xf numFmtId="0" fontId="101" fillId="0" borderId="1734" applyBorder="0"/>
    <xf numFmtId="10" fontId="12" fillId="3" borderId="1730" applyNumberFormat="0" applyFont="0" applyFill="0" applyBorder="0" applyAlignment="0">
      <protection locked="0"/>
    </xf>
    <xf numFmtId="246" fontId="250" fillId="0" borderId="1883" applyFill="0" applyProtection="0">
      <alignment horizontal="center"/>
    </xf>
    <xf numFmtId="0" fontId="166" fillId="0" borderId="1955">
      <alignment horizontal="center"/>
    </xf>
    <xf numFmtId="222" fontId="79" fillId="0" borderId="1773" applyBorder="0"/>
    <xf numFmtId="222" fontId="79" fillId="0" borderId="1786" applyBorder="0"/>
    <xf numFmtId="0" fontId="101" fillId="0" borderId="1787" applyBorder="0"/>
    <xf numFmtId="222" fontId="79" fillId="0" borderId="1786" applyBorder="0"/>
    <xf numFmtId="0" fontId="113" fillId="0" borderId="1787" applyNumberFormat="0" applyFill="0" applyAlignment="0" applyProtection="0"/>
    <xf numFmtId="0" fontId="12" fillId="0" borderId="1787" applyNumberFormat="0" applyFill="0" applyBorder="0" applyAlignment="0" applyProtection="0">
      <alignment horizontal="center"/>
    </xf>
    <xf numFmtId="248" fontId="46" fillId="0" borderId="1787"/>
    <xf numFmtId="192" fontId="9" fillId="3" borderId="1787">
      <alignment horizontal="right" vertical="center"/>
    </xf>
    <xf numFmtId="180" fontId="9" fillId="3" borderId="1787">
      <alignment horizontal="right" vertical="center"/>
    </xf>
    <xf numFmtId="186" fontId="146" fillId="3" borderId="1787" applyBorder="0">
      <alignment horizontal="left" vertical="center"/>
    </xf>
    <xf numFmtId="0" fontId="165" fillId="0" borderId="1787" applyFill="0" applyProtection="0">
      <alignment horizontal="center"/>
    </xf>
    <xf numFmtId="0" fontId="166" fillId="0" borderId="1787">
      <alignment horizontal="center"/>
    </xf>
    <xf numFmtId="264" fontId="12" fillId="14" borderId="1787" applyFont="0" applyFill="0" applyBorder="0" applyAlignment="0" applyProtection="0">
      <alignment horizontal="right"/>
    </xf>
    <xf numFmtId="0" fontId="210" fillId="0" borderId="1787" applyNumberFormat="0" applyFill="0" applyBorder="0" applyAlignment="0">
      <protection locked="0"/>
    </xf>
    <xf numFmtId="254" fontId="240" fillId="0" borderId="1787" applyBorder="0" applyProtection="0">
      <alignment horizontal="right" vertical="center"/>
    </xf>
    <xf numFmtId="0" fontId="241" fillId="94" borderId="1787" applyBorder="0" applyProtection="0">
      <alignment horizontal="centerContinuous" vertical="center"/>
    </xf>
    <xf numFmtId="246" fontId="249" fillId="0" borderId="1787" applyFill="0" applyProtection="0">
      <alignment horizontal="center"/>
    </xf>
    <xf numFmtId="246" fontId="250" fillId="0" borderId="1787" applyFill="0" applyProtection="0">
      <alignment horizontal="center"/>
    </xf>
    <xf numFmtId="0" fontId="78" fillId="14" borderId="1789" applyFont="0" applyFill="0" applyBorder="0" applyAlignment="0" applyProtection="0"/>
    <xf numFmtId="0" fontId="25" fillId="10" borderId="1797" applyNumberFormat="0" applyProtection="0">
      <alignment horizontal="left" vertical="top"/>
    </xf>
    <xf numFmtId="0" fontId="25" fillId="10" borderId="1796" applyNumberFormat="0" applyProtection="0">
      <alignment horizontal="left" vertical="top"/>
    </xf>
    <xf numFmtId="0" fontId="25" fillId="10" borderId="1795" applyNumberFormat="0" applyProtection="0">
      <alignment horizontal="left" vertical="top"/>
    </xf>
    <xf numFmtId="0" fontId="25" fillId="10" borderId="1794" applyNumberFormat="0" applyProtection="0">
      <alignment horizontal="left" vertical="top"/>
    </xf>
    <xf numFmtId="0" fontId="214" fillId="0" borderId="1793" applyNumberFormat="0" applyFont="0" applyFill="0" applyAlignment="0" applyProtection="0"/>
    <xf numFmtId="0" fontId="2" fillId="0" borderId="1792" applyNumberFormat="0" applyAlignment="0" applyProtection="0"/>
    <xf numFmtId="186" fontId="140" fillId="3" borderId="1791">
      <alignment horizontal="center" vertical="center"/>
    </xf>
    <xf numFmtId="186" fontId="146" fillId="3" borderId="1790">
      <alignment horizontal="left"/>
    </xf>
    <xf numFmtId="0" fontId="75" fillId="0" borderId="1788" applyNumberFormat="0" applyFont="0" applyFill="0" applyAlignment="0" applyProtection="0"/>
    <xf numFmtId="222" fontId="79" fillId="0" borderId="1798" applyBorder="0"/>
    <xf numFmtId="0" fontId="101" fillId="0" borderId="1799" applyBorder="0"/>
    <xf numFmtId="222" fontId="79" fillId="0" borderId="1798" applyBorder="0"/>
    <xf numFmtId="0" fontId="113" fillId="0" borderId="1799" applyNumberFormat="0" applyFill="0" applyAlignment="0" applyProtection="0"/>
    <xf numFmtId="0" fontId="12" fillId="0" borderId="1799" applyNumberFormat="0" applyFill="0" applyBorder="0" applyAlignment="0" applyProtection="0">
      <alignment horizontal="center"/>
    </xf>
    <xf numFmtId="248" fontId="46" fillId="0" borderId="1799"/>
    <xf numFmtId="192" fontId="9" fillId="3" borderId="1799">
      <alignment horizontal="right" vertical="center"/>
    </xf>
    <xf numFmtId="180" fontId="9" fillId="3" borderId="1799">
      <alignment horizontal="right" vertical="center"/>
    </xf>
    <xf numFmtId="186" fontId="146" fillId="3" borderId="1799" applyBorder="0">
      <alignment horizontal="left" vertical="center"/>
    </xf>
    <xf numFmtId="0" fontId="165" fillId="0" borderId="1799" applyFill="0" applyProtection="0">
      <alignment horizontal="center"/>
    </xf>
    <xf numFmtId="0" fontId="166" fillId="0" borderId="1799">
      <alignment horizontal="center"/>
    </xf>
    <xf numFmtId="264" fontId="12" fillId="14" borderId="1799" applyFont="0" applyFill="0" applyBorder="0" applyAlignment="0" applyProtection="0">
      <alignment horizontal="right"/>
    </xf>
    <xf numFmtId="0" fontId="210" fillId="0" borderId="1799" applyNumberFormat="0" applyFill="0" applyBorder="0" applyAlignment="0">
      <protection locked="0"/>
    </xf>
    <xf numFmtId="254" fontId="240" fillId="0" borderId="1799" applyBorder="0" applyProtection="0">
      <alignment horizontal="right" vertical="center"/>
    </xf>
    <xf numFmtId="0" fontId="241" fillId="94" borderId="1799" applyBorder="0" applyProtection="0">
      <alignment horizontal="centerContinuous" vertical="center"/>
    </xf>
    <xf numFmtId="246" fontId="249" fillId="0" borderId="1799" applyFill="0" applyProtection="0">
      <alignment horizontal="center"/>
    </xf>
    <xf numFmtId="246" fontId="250" fillId="0" borderId="1799" applyFill="0" applyProtection="0">
      <alignment horizontal="center"/>
    </xf>
    <xf numFmtId="186" fontId="146" fillId="3" borderId="1802">
      <alignment horizontal="left"/>
    </xf>
    <xf numFmtId="0" fontId="75" fillId="0" borderId="1800" applyNumberFormat="0" applyFont="0" applyFill="0" applyAlignment="0" applyProtection="0"/>
    <xf numFmtId="0" fontId="113" fillId="0" borderId="1883" applyNumberFormat="0" applyFill="0" applyAlignment="0" applyProtection="0"/>
    <xf numFmtId="264" fontId="12" fillId="14" borderId="1883" applyFont="0" applyFill="0" applyBorder="0" applyAlignment="0" applyProtection="0">
      <alignment horizontal="right"/>
    </xf>
    <xf numFmtId="246" fontId="249" fillId="0" borderId="1883" applyFill="0" applyProtection="0">
      <alignment horizontal="center"/>
    </xf>
    <xf numFmtId="0" fontId="25" fillId="10" borderId="1809" applyNumberFormat="0" applyProtection="0">
      <alignment horizontal="left" vertical="top"/>
    </xf>
    <xf numFmtId="0" fontId="25" fillId="10" borderId="1807" applyNumberFormat="0" applyProtection="0">
      <alignment horizontal="left" vertical="top"/>
    </xf>
    <xf numFmtId="0" fontId="25" fillId="10" borderId="1808" applyNumberFormat="0" applyProtection="0">
      <alignment horizontal="left" vertical="top"/>
    </xf>
    <xf numFmtId="0" fontId="25" fillId="10" borderId="1806" applyNumberFormat="0" applyProtection="0">
      <alignment horizontal="left" vertical="top"/>
    </xf>
    <xf numFmtId="0" fontId="25" fillId="10" borderId="1809" applyNumberFormat="0" applyProtection="0">
      <alignment horizontal="left" vertical="top"/>
    </xf>
    <xf numFmtId="0" fontId="25" fillId="10" borderId="1808" applyNumberFormat="0" applyProtection="0">
      <alignment horizontal="left" vertical="top"/>
    </xf>
    <xf numFmtId="0" fontId="25" fillId="10" borderId="1807" applyNumberFormat="0" applyProtection="0">
      <alignment horizontal="left" vertical="top"/>
    </xf>
    <xf numFmtId="0" fontId="25" fillId="10" borderId="1806" applyNumberFormat="0" applyProtection="0">
      <alignment horizontal="left" vertical="top"/>
    </xf>
    <xf numFmtId="0" fontId="214" fillId="0" borderId="1805" applyNumberFormat="0" applyFont="0" applyFill="0" applyAlignment="0" applyProtection="0"/>
    <xf numFmtId="0" fontId="2" fillId="0" borderId="1804" applyNumberFormat="0" applyAlignment="0" applyProtection="0"/>
    <xf numFmtId="186" fontId="140" fillId="3" borderId="1803">
      <alignment horizontal="center" vertical="center"/>
    </xf>
    <xf numFmtId="186" fontId="140" fillId="3" borderId="1815">
      <alignment horizontal="center" vertical="center"/>
    </xf>
    <xf numFmtId="0" fontId="25" fillId="10" borderId="1818" applyNumberFormat="0" applyProtection="0">
      <alignment horizontal="left" vertical="top"/>
    </xf>
    <xf numFmtId="0" fontId="12" fillId="0" borderId="1883" applyNumberFormat="0" applyFill="0" applyBorder="0" applyAlignment="0" applyProtection="0">
      <alignment horizontal="center"/>
    </xf>
    <xf numFmtId="0" fontId="25" fillId="10" borderId="1880" applyNumberFormat="0" applyProtection="0">
      <alignment horizontal="left" vertical="top"/>
    </xf>
    <xf numFmtId="222" fontId="79" fillId="0" borderId="1870" applyBorder="0"/>
    <xf numFmtId="0" fontId="78" fillId="14" borderId="1873" applyFont="0" applyFill="0" applyBorder="0" applyAlignment="0" applyProtection="0"/>
    <xf numFmtId="222" fontId="79" fillId="0" borderId="1882" applyBorder="0"/>
    <xf numFmtId="0" fontId="101" fillId="0" borderId="1883" applyBorder="0"/>
    <xf numFmtId="222" fontId="79" fillId="0" borderId="1882" applyBorder="0"/>
    <xf numFmtId="248" fontId="46" fillId="0" borderId="1883"/>
    <xf numFmtId="192" fontId="9" fillId="3" borderId="1883">
      <alignment horizontal="right" vertical="center"/>
    </xf>
    <xf numFmtId="180" fontId="9" fillId="3" borderId="1883">
      <alignment horizontal="right" vertical="center"/>
    </xf>
    <xf numFmtId="186" fontId="146" fillId="3" borderId="1883" applyBorder="0">
      <alignment horizontal="left" vertical="center"/>
    </xf>
    <xf numFmtId="0" fontId="165" fillId="0" borderId="1883" applyFill="0" applyProtection="0">
      <alignment horizontal="center"/>
    </xf>
    <xf numFmtId="0" fontId="210" fillId="0" borderId="1883" applyNumberFormat="0" applyFill="0" applyBorder="0" applyAlignment="0">
      <protection locked="0"/>
    </xf>
    <xf numFmtId="254" fontId="240" fillId="0" borderId="1883" applyBorder="0" applyProtection="0">
      <alignment horizontal="right" vertical="center"/>
    </xf>
    <xf numFmtId="246" fontId="250" fillId="0" borderId="1883" applyFill="0" applyProtection="0">
      <alignment horizontal="center"/>
    </xf>
    <xf numFmtId="222" fontId="79" fillId="0" borderId="1822" applyBorder="0"/>
    <xf numFmtId="0" fontId="25" fillId="10" borderId="1819" applyNumberFormat="0" applyProtection="0">
      <alignment horizontal="left" vertical="top"/>
    </xf>
    <xf numFmtId="0" fontId="25" fillId="10" borderId="1821" applyNumberFormat="0" applyProtection="0">
      <alignment horizontal="left" vertical="top"/>
    </xf>
    <xf numFmtId="0" fontId="25" fillId="10" borderId="1818" applyNumberFormat="0" applyProtection="0">
      <alignment horizontal="left" vertical="top"/>
    </xf>
    <xf numFmtId="0" fontId="25" fillId="10" borderId="1819" applyNumberFormat="0" applyProtection="0">
      <alignment horizontal="left" vertical="top"/>
    </xf>
    <xf numFmtId="0" fontId="25" fillId="10" borderId="1820" applyNumberFormat="0" applyProtection="0">
      <alignment horizontal="left" vertical="top"/>
    </xf>
    <xf numFmtId="0" fontId="75" fillId="0" borderId="1824" applyNumberFormat="0" applyFont="0" applyFill="0" applyAlignment="0" applyProtection="0"/>
    <xf numFmtId="0" fontId="101" fillId="0" borderId="1835" applyBorder="0"/>
    <xf numFmtId="222" fontId="79" fillId="0" borderId="1834" applyBorder="0"/>
    <xf numFmtId="0" fontId="113" fillId="0" borderId="1835" applyNumberFormat="0" applyFill="0" applyAlignment="0" applyProtection="0"/>
    <xf numFmtId="0" fontId="12" fillId="0" borderId="1835" applyNumberFormat="0" applyFill="0" applyBorder="0" applyAlignment="0" applyProtection="0">
      <alignment horizontal="center"/>
    </xf>
    <xf numFmtId="248" fontId="46" fillId="0" borderId="1835"/>
    <xf numFmtId="192" fontId="9" fillId="3" borderId="1835">
      <alignment horizontal="right" vertical="center"/>
    </xf>
    <xf numFmtId="180" fontId="9" fillId="3" borderId="1835">
      <alignment horizontal="right" vertical="center"/>
    </xf>
    <xf numFmtId="186" fontId="146" fillId="3" borderId="1835" applyBorder="0">
      <alignment horizontal="left" vertical="center"/>
    </xf>
    <xf numFmtId="0" fontId="166" fillId="0" borderId="1835">
      <alignment horizontal="center"/>
    </xf>
    <xf numFmtId="0" fontId="210" fillId="0" borderId="1835" applyNumberFormat="0" applyFill="0" applyBorder="0" applyAlignment="0">
      <protection locked="0"/>
    </xf>
    <xf numFmtId="264" fontId="12" fillId="14" borderId="1835" applyFont="0" applyFill="0" applyBorder="0" applyAlignment="0" applyProtection="0">
      <alignment horizontal="right"/>
    </xf>
    <xf numFmtId="246" fontId="249" fillId="0" borderId="1835" applyFill="0" applyProtection="0">
      <alignment horizontal="center"/>
    </xf>
    <xf numFmtId="246" fontId="250" fillId="0" borderId="1835" applyFill="0" applyProtection="0">
      <alignment horizontal="center"/>
    </xf>
    <xf numFmtId="246" fontId="250" fillId="0" borderId="1859" applyFill="0" applyProtection="0">
      <alignment horizontal="center"/>
    </xf>
    <xf numFmtId="246" fontId="249" fillId="0" borderId="1859" applyFill="0" applyProtection="0">
      <alignment horizontal="center"/>
    </xf>
    <xf numFmtId="254" fontId="240" fillId="0" borderId="1859" applyBorder="0" applyProtection="0">
      <alignment horizontal="right" vertical="center"/>
    </xf>
    <xf numFmtId="264" fontId="12" fillId="14" borderId="1859" applyFont="0" applyFill="0" applyBorder="0" applyAlignment="0" applyProtection="0">
      <alignment horizontal="right"/>
    </xf>
    <xf numFmtId="0" fontId="165" fillId="0" borderId="1859" applyFill="0" applyProtection="0">
      <alignment horizontal="center"/>
    </xf>
    <xf numFmtId="180" fontId="9" fillId="3" borderId="1859">
      <alignment horizontal="right" vertical="center"/>
    </xf>
    <xf numFmtId="0" fontId="12" fillId="0" borderId="1859" applyNumberFormat="0" applyFill="0" applyBorder="0" applyAlignment="0" applyProtection="0">
      <alignment horizontal="center"/>
    </xf>
    <xf numFmtId="0" fontId="101" fillId="0" borderId="1859" applyBorder="0"/>
    <xf numFmtId="222" fontId="79" fillId="0" borderId="1858" applyBorder="0"/>
    <xf numFmtId="0" fontId="75" fillId="0" borderId="1848" applyNumberFormat="0" applyFont="0" applyFill="0" applyAlignment="0" applyProtection="0"/>
    <xf numFmtId="0" fontId="2" fillId="0" borderId="1852" applyNumberFormat="0" applyAlignment="0" applyProtection="0"/>
    <xf numFmtId="0" fontId="25" fillId="10" borderId="1854" applyNumberFormat="0" applyProtection="0">
      <alignment horizontal="left" vertical="top"/>
    </xf>
    <xf numFmtId="0" fontId="25" fillId="10" borderId="1857" applyNumberFormat="0" applyProtection="0">
      <alignment horizontal="left" vertical="top"/>
    </xf>
    <xf numFmtId="222" fontId="79" fillId="0" borderId="1846" applyBorder="0"/>
    <xf numFmtId="0" fontId="25" fillId="10" borderId="1832" applyNumberFormat="0" applyProtection="0">
      <alignment horizontal="left" vertical="top"/>
    </xf>
    <xf numFmtId="0" fontId="25" fillId="10" borderId="1830" applyNumberFormat="0" applyProtection="0">
      <alignment horizontal="left" vertical="top"/>
    </xf>
    <xf numFmtId="0" fontId="214" fillId="0" borderId="1829" applyNumberFormat="0" applyFont="0" applyFill="0" applyAlignment="0" applyProtection="0"/>
    <xf numFmtId="186" fontId="146" fillId="3" borderId="1826">
      <alignment horizontal="left"/>
    </xf>
    <xf numFmtId="222" fontId="79" fillId="0" borderId="1834" applyBorder="0"/>
    <xf numFmtId="0" fontId="101" fillId="0" borderId="1734" applyBorder="0"/>
    <xf numFmtId="0" fontId="113" fillId="0" borderId="1734" applyNumberFormat="0" applyFill="0" applyAlignment="0" applyProtection="0"/>
    <xf numFmtId="0" fontId="12" fillId="0" borderId="1734" applyNumberFormat="0" applyFill="0" applyBorder="0" applyAlignment="0" applyProtection="0">
      <alignment horizontal="center"/>
    </xf>
    <xf numFmtId="248" fontId="46" fillId="0" borderId="1734"/>
    <xf numFmtId="192" fontId="9" fillId="3" borderId="1734">
      <alignment horizontal="right" vertical="center"/>
    </xf>
    <xf numFmtId="180" fontId="9" fillId="3" borderId="1734">
      <alignment horizontal="right" vertical="center"/>
    </xf>
    <xf numFmtId="186" fontId="146" fillId="3" borderId="1734" applyBorder="0">
      <alignment horizontal="left" vertical="center"/>
    </xf>
    <xf numFmtId="0" fontId="165" fillId="0" borderId="1734" applyFill="0" applyProtection="0">
      <alignment horizontal="center"/>
    </xf>
    <xf numFmtId="0" fontId="166" fillId="0" borderId="1734">
      <alignment horizontal="center"/>
    </xf>
    <xf numFmtId="264" fontId="12" fillId="14" borderId="1734" applyFont="0" applyFill="0" applyBorder="0" applyAlignment="0" applyProtection="0">
      <alignment horizontal="right"/>
    </xf>
    <xf numFmtId="0" fontId="210" fillId="0" borderId="1734" applyNumberFormat="0" applyFill="0" applyBorder="0" applyAlignment="0">
      <protection locked="0"/>
    </xf>
    <xf numFmtId="248" fontId="46" fillId="0" borderId="1859"/>
    <xf numFmtId="222" fontId="79" fillId="0" borderId="1858" applyBorder="0"/>
    <xf numFmtId="186" fontId="140" fillId="3" borderId="1851">
      <alignment horizontal="center" vertical="center"/>
    </xf>
    <xf numFmtId="0" fontId="25" fillId="10" borderId="1856" applyNumberFormat="0" applyProtection="0">
      <alignment horizontal="left" vertical="top"/>
    </xf>
    <xf numFmtId="0" fontId="210" fillId="0" borderId="1859" applyNumberFormat="0" applyFill="0" applyBorder="0" applyAlignment="0">
      <protection locked="0"/>
    </xf>
    <xf numFmtId="192" fontId="9" fillId="3" borderId="1859">
      <alignment horizontal="right" vertical="center"/>
    </xf>
    <xf numFmtId="0" fontId="113" fillId="0" borderId="1859" applyNumberFormat="0" applyFill="0" applyAlignment="0" applyProtection="0"/>
    <xf numFmtId="186" fontId="146" fillId="3" borderId="1850">
      <alignment horizontal="left"/>
    </xf>
    <xf numFmtId="0" fontId="25" fillId="10" borderId="1855" applyNumberFormat="0" applyProtection="0">
      <alignment horizontal="left" vertical="top"/>
    </xf>
    <xf numFmtId="254" fontId="240" fillId="0" borderId="1734" applyBorder="0" applyProtection="0">
      <alignment horizontal="right" vertical="center"/>
    </xf>
    <xf numFmtId="0" fontId="241" fillId="94" borderId="1734" applyBorder="0" applyProtection="0">
      <alignment horizontal="centerContinuous" vertical="center"/>
    </xf>
    <xf numFmtId="246" fontId="249" fillId="0" borderId="1734" applyFill="0" applyProtection="0">
      <alignment horizontal="center"/>
    </xf>
    <xf numFmtId="246" fontId="250" fillId="0" borderId="1734" applyFill="0" applyProtection="0">
      <alignment horizontal="center"/>
    </xf>
    <xf numFmtId="0" fontId="25" fillId="10" borderId="1879" applyNumberFormat="0" applyProtection="0">
      <alignment horizontal="left" vertical="top"/>
    </xf>
    <xf numFmtId="0" fontId="25" fillId="10" borderId="1881" applyNumberFormat="0" applyProtection="0">
      <alignment horizontal="left" vertical="top"/>
    </xf>
    <xf numFmtId="222" fontId="79" fillId="0" borderId="1810" applyBorder="0"/>
    <xf numFmtId="0" fontId="214" fillId="0" borderId="1877" applyNumberFormat="0" applyFont="0" applyFill="0" applyAlignment="0" applyProtection="0"/>
    <xf numFmtId="0" fontId="75" fillId="0" borderId="1812" applyNumberFormat="0" applyFont="0" applyFill="0" applyAlignment="0" applyProtection="0"/>
    <xf numFmtId="0" fontId="25" fillId="10" borderId="1820" applyNumberFormat="0" applyProtection="0">
      <alignment horizontal="left" vertical="top"/>
    </xf>
    <xf numFmtId="0" fontId="25" fillId="10" borderId="1821" applyNumberFormat="0" applyProtection="0">
      <alignment horizontal="left" vertical="top"/>
    </xf>
    <xf numFmtId="0" fontId="165" fillId="0" borderId="1835" applyFill="0" applyProtection="0">
      <alignment horizontal="center"/>
    </xf>
    <xf numFmtId="254" fontId="240" fillId="0" borderId="1835" applyBorder="0" applyProtection="0">
      <alignment horizontal="right" vertical="center"/>
    </xf>
    <xf numFmtId="0" fontId="241" fillId="94" borderId="1835" applyBorder="0" applyProtection="0">
      <alignment horizontal="centerContinuous" vertical="center"/>
    </xf>
    <xf numFmtId="0" fontId="241" fillId="94" borderId="1859" applyBorder="0" applyProtection="0">
      <alignment horizontal="centerContinuous" vertical="center"/>
    </xf>
    <xf numFmtId="0" fontId="166" fillId="0" borderId="1859">
      <alignment horizontal="center"/>
    </xf>
    <xf numFmtId="186" fontId="146" fillId="3" borderId="1859" applyBorder="0">
      <alignment horizontal="left" vertical="center"/>
    </xf>
    <xf numFmtId="0" fontId="214" fillId="0" borderId="1853" applyNumberFormat="0" applyFont="0" applyFill="0" applyAlignment="0" applyProtection="0"/>
    <xf numFmtId="0" fontId="78" fillId="14" borderId="1849" applyFont="0" applyFill="0" applyBorder="0" applyAlignment="0" applyProtection="0"/>
    <xf numFmtId="0" fontId="78" fillId="14" borderId="1776" applyFont="0" applyFill="0" applyBorder="0" applyAlignment="0" applyProtection="0"/>
    <xf numFmtId="0" fontId="25" fillId="10" borderId="1703" applyNumberFormat="0" applyProtection="0">
      <alignment horizontal="left" vertical="top"/>
    </xf>
    <xf numFmtId="0" fontId="25" fillId="10" borderId="1702" applyNumberFormat="0" applyProtection="0">
      <alignment horizontal="left" vertical="top"/>
    </xf>
    <xf numFmtId="0" fontId="25" fillId="10" borderId="1701" applyNumberFormat="0" applyProtection="0">
      <alignment horizontal="left" vertical="top"/>
    </xf>
    <xf numFmtId="0" fontId="25" fillId="10" borderId="1700" applyNumberFormat="0" applyProtection="0">
      <alignment horizontal="left" vertical="top"/>
    </xf>
    <xf numFmtId="186" fontId="140" fillId="3" borderId="1875">
      <alignment horizontal="center" vertical="center"/>
    </xf>
    <xf numFmtId="0" fontId="214" fillId="0" borderId="1699" applyNumberFormat="0" applyFont="0" applyFill="0" applyAlignment="0" applyProtection="0"/>
    <xf numFmtId="186" fontId="140" fillId="3" borderId="1673">
      <alignment horizontal="center" vertical="center"/>
    </xf>
    <xf numFmtId="186" fontId="146" fillId="3" borderId="1600">
      <alignment horizontal="left"/>
    </xf>
    <xf numFmtId="186" fontId="146" fillId="3" borderId="1874">
      <alignment horizontal="left"/>
    </xf>
    <xf numFmtId="0" fontId="75" fillId="0" borderId="1598" applyNumberFormat="0" applyFont="0" applyFill="0" applyAlignment="0" applyProtection="0"/>
    <xf numFmtId="0" fontId="75" fillId="0" borderId="1872" applyNumberFormat="0" applyFont="0" applyFill="0" applyAlignment="0" applyProtection="0"/>
    <xf numFmtId="222" fontId="79" fillId="0" borderId="1786" applyBorder="0"/>
    <xf numFmtId="222" fontId="79" fillId="0" borderId="1786" applyBorder="0"/>
    <xf numFmtId="0" fontId="25" fillId="10" borderId="1878" applyNumberFormat="0" applyProtection="0">
      <alignment horizontal="left" vertical="top"/>
    </xf>
    <xf numFmtId="0" fontId="2" fillId="0" borderId="1876" applyNumberFormat="0" applyAlignment="0" applyProtection="0"/>
    <xf numFmtId="246" fontId="250" fillId="0" borderId="1811" applyFill="0" applyProtection="0">
      <alignment horizontal="center"/>
    </xf>
    <xf numFmtId="246" fontId="249" fillId="0" borderId="1811" applyFill="0" applyProtection="0">
      <alignment horizontal="center"/>
    </xf>
    <xf numFmtId="0" fontId="241" fillId="94" borderId="1811" applyBorder="0" applyProtection="0">
      <alignment horizontal="centerContinuous" vertical="center"/>
    </xf>
    <xf numFmtId="254" fontId="240" fillId="0" borderId="1811" applyBorder="0" applyProtection="0">
      <alignment horizontal="right" vertical="center"/>
    </xf>
    <xf numFmtId="0" fontId="210" fillId="0" borderId="1811" applyNumberFormat="0" applyFill="0" applyBorder="0" applyAlignment="0">
      <protection locked="0"/>
    </xf>
    <xf numFmtId="264" fontId="12" fillId="14" borderId="1811" applyFont="0" applyFill="0" applyBorder="0" applyAlignment="0" applyProtection="0">
      <alignment horizontal="right"/>
    </xf>
    <xf numFmtId="0" fontId="166" fillId="0" borderId="1811">
      <alignment horizontal="center"/>
    </xf>
    <xf numFmtId="0" fontId="165" fillId="0" borderId="1811" applyFill="0" applyProtection="0">
      <alignment horizontal="center"/>
    </xf>
    <xf numFmtId="186" fontId="146" fillId="3" borderId="1811" applyBorder="0">
      <alignment horizontal="left" vertical="center"/>
    </xf>
    <xf numFmtId="180" fontId="9" fillId="3" borderId="1811">
      <alignment horizontal="right" vertical="center"/>
    </xf>
    <xf numFmtId="192" fontId="9" fillId="3" borderId="1811">
      <alignment horizontal="right" vertical="center"/>
    </xf>
    <xf numFmtId="248" fontId="46" fillId="0" borderId="1811"/>
    <xf numFmtId="0" fontId="12" fillId="0" borderId="1811" applyNumberFormat="0" applyFill="0" applyBorder="0" applyAlignment="0" applyProtection="0">
      <alignment horizontal="center"/>
    </xf>
    <xf numFmtId="0" fontId="113" fillId="0" borderId="1811" applyNumberFormat="0" applyFill="0" applyAlignment="0" applyProtection="0"/>
    <xf numFmtId="222" fontId="79" fillId="0" borderId="1810" applyBorder="0"/>
    <xf numFmtId="0" fontId="101" fillId="0" borderId="1811" applyBorder="0"/>
    <xf numFmtId="222" fontId="79" fillId="0" borderId="1810" applyBorder="0"/>
    <xf numFmtId="0" fontId="75" fillId="0" borderId="1800" applyNumberFormat="0" applyFont="0" applyFill="0" applyAlignment="0" applyProtection="0"/>
    <xf numFmtId="186" fontId="146" fillId="3" borderId="1802">
      <alignment horizontal="left"/>
    </xf>
    <xf numFmtId="186" fontId="140" fillId="3" borderId="1803">
      <alignment horizontal="center" vertical="center"/>
    </xf>
    <xf numFmtId="0" fontId="2" fillId="0" borderId="1804" applyNumberFormat="0" applyAlignment="0" applyProtection="0"/>
    <xf numFmtId="0" fontId="214" fillId="0" borderId="1805" applyNumberFormat="0" applyFont="0" applyFill="0" applyAlignment="0" applyProtection="0"/>
    <xf numFmtId="0" fontId="25" fillId="10" borderId="1806" applyNumberFormat="0" applyProtection="0">
      <alignment horizontal="left" vertical="top"/>
    </xf>
    <xf numFmtId="0" fontId="25" fillId="10" borderId="1807" applyNumberFormat="0" applyProtection="0">
      <alignment horizontal="left" vertical="top"/>
    </xf>
    <xf numFmtId="0" fontId="25" fillId="10" borderId="1808" applyNumberFormat="0" applyProtection="0">
      <alignment horizontal="left" vertical="top"/>
    </xf>
    <xf numFmtId="0" fontId="25" fillId="10" borderId="1809" applyNumberFormat="0" applyProtection="0">
      <alignment horizontal="left" vertical="top"/>
    </xf>
    <xf numFmtId="0" fontId="78" fillId="14" borderId="1801" applyFont="0" applyFill="0" applyBorder="0" applyAlignment="0" applyProtection="0"/>
    <xf numFmtId="222" fontId="79" fillId="0" borderId="1798" applyBorder="0"/>
    <xf numFmtId="0" fontId="78" fillId="14" borderId="1776" applyFont="0" applyFill="0" applyBorder="0" applyAlignment="0" applyProtection="0"/>
    <xf numFmtId="222" fontId="79" fillId="0" borderId="1786" applyBorder="0"/>
    <xf numFmtId="0" fontId="78" fillId="14" borderId="1789" applyFont="0" applyFill="0" applyBorder="0" applyAlignment="0" applyProtection="0"/>
    <xf numFmtId="0" fontId="25" fillId="10" borderId="1797" applyNumberFormat="0" applyProtection="0">
      <alignment horizontal="left" vertical="top"/>
    </xf>
    <xf numFmtId="0" fontId="25" fillId="10" borderId="1796" applyNumberFormat="0" applyProtection="0">
      <alignment horizontal="left" vertical="top"/>
    </xf>
    <xf numFmtId="0" fontId="25" fillId="10" borderId="1795" applyNumberFormat="0" applyProtection="0">
      <alignment horizontal="left" vertical="top"/>
    </xf>
    <xf numFmtId="0" fontId="25" fillId="10" borderId="1794" applyNumberFormat="0" applyProtection="0">
      <alignment horizontal="left" vertical="top"/>
    </xf>
    <xf numFmtId="0" fontId="214" fillId="0" borderId="1793" applyNumberFormat="0" applyFont="0" applyFill="0" applyAlignment="0" applyProtection="0"/>
    <xf numFmtId="186" fontId="140" fillId="3" borderId="1791">
      <alignment horizontal="center" vertical="center"/>
    </xf>
    <xf numFmtId="186" fontId="146" fillId="3" borderId="1790">
      <alignment horizontal="left"/>
    </xf>
    <xf numFmtId="0" fontId="75" fillId="0" borderId="1788" applyNumberFormat="0" applyFont="0" applyFill="0" applyAlignment="0" applyProtection="0"/>
    <xf numFmtId="222" fontId="79" fillId="0" borderId="1798" applyBorder="0"/>
    <xf numFmtId="0" fontId="101" fillId="0" borderId="1799" applyBorder="0"/>
    <xf numFmtId="222" fontId="79" fillId="0" borderId="1798" applyBorder="0"/>
    <xf numFmtId="0" fontId="113" fillId="0" borderId="1799" applyNumberFormat="0" applyFill="0" applyAlignment="0" applyProtection="0"/>
    <xf numFmtId="0" fontId="12" fillId="0" borderId="1799" applyNumberFormat="0" applyFill="0" applyBorder="0" applyAlignment="0" applyProtection="0">
      <alignment horizontal="center"/>
    </xf>
    <xf numFmtId="248" fontId="46" fillId="0" borderId="1799"/>
    <xf numFmtId="192" fontId="9" fillId="3" borderId="1799">
      <alignment horizontal="right" vertical="center"/>
    </xf>
    <xf numFmtId="180" fontId="9" fillId="3" borderId="1799">
      <alignment horizontal="right" vertical="center"/>
    </xf>
    <xf numFmtId="186" fontId="146" fillId="3" borderId="1799" applyBorder="0">
      <alignment horizontal="left" vertical="center"/>
    </xf>
    <xf numFmtId="0" fontId="165" fillId="0" borderId="1799" applyFill="0" applyProtection="0">
      <alignment horizontal="center"/>
    </xf>
    <xf numFmtId="0" fontId="166" fillId="0" borderId="1799">
      <alignment horizontal="center"/>
    </xf>
    <xf numFmtId="264" fontId="12" fillId="14" borderId="1799" applyFont="0" applyFill="0" applyBorder="0" applyAlignment="0" applyProtection="0">
      <alignment horizontal="right"/>
    </xf>
    <xf numFmtId="0" fontId="210" fillId="0" borderId="1799" applyNumberFormat="0" applyFill="0" applyBorder="0" applyAlignment="0">
      <protection locked="0"/>
    </xf>
    <xf numFmtId="254" fontId="240" fillId="0" borderId="1799" applyBorder="0" applyProtection="0">
      <alignment horizontal="right" vertical="center"/>
    </xf>
    <xf numFmtId="0" fontId="241" fillId="94" borderId="1799" applyBorder="0" applyProtection="0">
      <alignment horizontal="centerContinuous" vertical="center"/>
    </xf>
    <xf numFmtId="246" fontId="249" fillId="0" borderId="1799" applyFill="0" applyProtection="0">
      <alignment horizontal="center"/>
    </xf>
    <xf numFmtId="246" fontId="250" fillId="0" borderId="1799" applyFill="0" applyProtection="0">
      <alignment horizontal="center"/>
    </xf>
    <xf numFmtId="0" fontId="241" fillId="94" borderId="1883" applyBorder="0" applyProtection="0">
      <alignment horizontal="centerContinuous" vertical="center"/>
    </xf>
    <xf numFmtId="0" fontId="166" fillId="0" borderId="1883">
      <alignment horizontal="center"/>
    </xf>
    <xf numFmtId="0" fontId="2" fillId="0" borderId="1816" applyNumberFormat="0" applyAlignment="0" applyProtection="0"/>
    <xf numFmtId="0" fontId="214" fillId="0" borderId="1817" applyNumberFormat="0" applyFont="0" applyFill="0" applyAlignment="0" applyProtection="0"/>
    <xf numFmtId="246" fontId="250" fillId="0" borderId="1823" applyFill="0" applyProtection="0">
      <alignment horizontal="center"/>
    </xf>
    <xf numFmtId="246" fontId="249" fillId="0" borderId="1823" applyFill="0" applyProtection="0">
      <alignment horizontal="center"/>
    </xf>
    <xf numFmtId="0" fontId="241" fillId="94" borderId="1823" applyBorder="0" applyProtection="0">
      <alignment horizontal="centerContinuous" vertical="center"/>
    </xf>
    <xf numFmtId="254" fontId="240" fillId="0" borderId="1823" applyBorder="0" applyProtection="0">
      <alignment horizontal="right" vertical="center"/>
    </xf>
    <xf numFmtId="0" fontId="210" fillId="0" borderId="1823" applyNumberFormat="0" applyFill="0" applyBorder="0" applyAlignment="0">
      <protection locked="0"/>
    </xf>
    <xf numFmtId="264" fontId="12" fillId="14" borderId="1823" applyFont="0" applyFill="0" applyBorder="0" applyAlignment="0" applyProtection="0">
      <alignment horizontal="right"/>
    </xf>
    <xf numFmtId="0" fontId="166" fillId="0" borderId="1823">
      <alignment horizontal="center"/>
    </xf>
    <xf numFmtId="0" fontId="165" fillId="0" borderId="1823" applyFill="0" applyProtection="0">
      <alignment horizontal="center"/>
    </xf>
    <xf numFmtId="186" fontId="146" fillId="3" borderId="1823" applyBorder="0">
      <alignment horizontal="left" vertical="center"/>
    </xf>
    <xf numFmtId="180" fontId="9" fillId="3" borderId="1823">
      <alignment horizontal="right" vertical="center"/>
    </xf>
    <xf numFmtId="192" fontId="9" fillId="3" borderId="1823">
      <alignment horizontal="right" vertical="center"/>
    </xf>
    <xf numFmtId="248" fontId="46" fillId="0" borderId="1823"/>
    <xf numFmtId="0" fontId="12" fillId="0" borderId="1823" applyNumberFormat="0" applyFill="0" applyBorder="0" applyAlignment="0" applyProtection="0">
      <alignment horizontal="center"/>
    </xf>
    <xf numFmtId="0" fontId="113" fillId="0" borderId="1823" applyNumberFormat="0" applyFill="0" applyAlignment="0" applyProtection="0"/>
    <xf numFmtId="222" fontId="79" fillId="0" borderId="1822" applyBorder="0"/>
    <xf numFmtId="0" fontId="101" fillId="0" borderId="1823" applyBorder="0"/>
    <xf numFmtId="222" fontId="79" fillId="0" borderId="1822" applyBorder="0"/>
    <xf numFmtId="0" fontId="75" fillId="0" borderId="1812" applyNumberFormat="0" applyFont="0" applyFill="0" applyAlignment="0" applyProtection="0"/>
    <xf numFmtId="186" fontId="146" fillId="3" borderId="1814">
      <alignment horizontal="left"/>
    </xf>
    <xf numFmtId="186" fontId="140" fillId="3" borderId="1815">
      <alignment horizontal="center" vertical="center"/>
    </xf>
    <xf numFmtId="0" fontId="2" fillId="0" borderId="1816" applyNumberFormat="0" applyAlignment="0" applyProtection="0"/>
    <xf numFmtId="0" fontId="214" fillId="0" borderId="1817" applyNumberFormat="0" applyFont="0" applyFill="0" applyAlignment="0" applyProtection="0"/>
    <xf numFmtId="0" fontId="25" fillId="10" borderId="1818" applyNumberFormat="0" applyProtection="0">
      <alignment horizontal="left" vertical="top"/>
    </xf>
    <xf numFmtId="0" fontId="25" fillId="10" borderId="1819" applyNumberFormat="0" applyProtection="0">
      <alignment horizontal="left" vertical="top"/>
    </xf>
    <xf numFmtId="0" fontId="25" fillId="10" borderId="1820" applyNumberFormat="0" applyProtection="0">
      <alignment horizontal="left" vertical="top"/>
    </xf>
    <xf numFmtId="0" fontId="25" fillId="10" borderId="1821" applyNumberFormat="0" applyProtection="0">
      <alignment horizontal="left" vertical="top"/>
    </xf>
    <xf numFmtId="0" fontId="78" fillId="14" borderId="1813" applyFont="0" applyFill="0" applyBorder="0" applyAlignment="0" applyProtection="0"/>
    <xf numFmtId="222" fontId="79" fillId="0" borderId="1810" applyBorder="0"/>
    <xf numFmtId="0" fontId="78" fillId="14" borderId="1825" applyFont="0" applyFill="0" applyBorder="0" applyAlignment="0" applyProtection="0"/>
    <xf numFmtId="186" fontId="146" fillId="3" borderId="1814">
      <alignment horizontal="left"/>
    </xf>
    <xf numFmtId="0" fontId="78" fillId="14" borderId="1801" applyFont="0" applyFill="0" applyBorder="0" applyAlignment="0" applyProtection="0"/>
    <xf numFmtId="222" fontId="79" fillId="0" borderId="1810" applyBorder="0"/>
    <xf numFmtId="0" fontId="2" fillId="0" borderId="1828" applyNumberFormat="0" applyAlignment="0" applyProtection="0"/>
    <xf numFmtId="0" fontId="78" fillId="14" borderId="1801" applyFont="0" applyFill="0" applyBorder="0" applyAlignment="0" applyProtection="0"/>
    <xf numFmtId="0" fontId="25" fillId="10" borderId="1809" applyNumberFormat="0" applyProtection="0">
      <alignment horizontal="left" vertical="top"/>
    </xf>
    <xf numFmtId="0" fontId="25" fillId="10" borderId="1808" applyNumberFormat="0" applyProtection="0">
      <alignment horizontal="left" vertical="top"/>
    </xf>
    <xf numFmtId="0" fontId="25" fillId="10" borderId="1807" applyNumberFormat="0" applyProtection="0">
      <alignment horizontal="left" vertical="top"/>
    </xf>
    <xf numFmtId="0" fontId="25" fillId="10" borderId="1806" applyNumberFormat="0" applyProtection="0">
      <alignment horizontal="left" vertical="top"/>
    </xf>
    <xf numFmtId="0" fontId="25" fillId="10" borderId="1831" applyNumberFormat="0" applyProtection="0">
      <alignment horizontal="left" vertical="top"/>
    </xf>
    <xf numFmtId="0" fontId="214" fillId="0" borderId="1805" applyNumberFormat="0" applyFont="0" applyFill="0" applyAlignment="0" applyProtection="0"/>
    <xf numFmtId="0" fontId="2" fillId="0" borderId="1804" applyNumberFormat="0" applyAlignment="0" applyProtection="0"/>
    <xf numFmtId="186" fontId="140" fillId="3" borderId="1803">
      <alignment horizontal="center" vertical="center"/>
    </xf>
    <xf numFmtId="186" fontId="146" fillId="3" borderId="1802">
      <alignment horizontal="left"/>
    </xf>
    <xf numFmtId="0" fontId="25" fillId="10" borderId="1833" applyNumberFormat="0" applyProtection="0">
      <alignment horizontal="left" vertical="top"/>
    </xf>
    <xf numFmtId="0" fontId="75" fillId="0" borderId="1800" applyNumberFormat="0" applyFont="0" applyFill="0" applyAlignment="0" applyProtection="0"/>
    <xf numFmtId="222" fontId="79" fillId="0" borderId="1810" applyBorder="0"/>
    <xf numFmtId="0" fontId="101" fillId="0" borderId="1811" applyBorder="0"/>
    <xf numFmtId="222" fontId="79" fillId="0" borderId="1810" applyBorder="0"/>
    <xf numFmtId="0" fontId="113" fillId="0" borderId="1811" applyNumberFormat="0" applyFill="0" applyAlignment="0" applyProtection="0"/>
    <xf numFmtId="0" fontId="12" fillId="0" borderId="1811" applyNumberFormat="0" applyFill="0" applyBorder="0" applyAlignment="0" applyProtection="0">
      <alignment horizontal="center"/>
    </xf>
    <xf numFmtId="248" fontId="46" fillId="0" borderId="1811"/>
    <xf numFmtId="192" fontId="9" fillId="3" borderId="1811">
      <alignment horizontal="right" vertical="center"/>
    </xf>
    <xf numFmtId="180" fontId="9" fillId="3" borderId="1811">
      <alignment horizontal="right" vertical="center"/>
    </xf>
    <xf numFmtId="186" fontId="146" fillId="3" borderId="1811" applyBorder="0">
      <alignment horizontal="left" vertical="center"/>
    </xf>
    <xf numFmtId="0" fontId="165" fillId="0" borderId="1811" applyFill="0" applyProtection="0">
      <alignment horizontal="center"/>
    </xf>
    <xf numFmtId="0" fontId="166" fillId="0" borderId="1811">
      <alignment horizontal="center"/>
    </xf>
    <xf numFmtId="264" fontId="12" fillId="14" borderId="1811" applyFont="0" applyFill="0" applyBorder="0" applyAlignment="0" applyProtection="0">
      <alignment horizontal="right"/>
    </xf>
    <xf numFmtId="0" fontId="210" fillId="0" borderId="1811" applyNumberFormat="0" applyFill="0" applyBorder="0" applyAlignment="0">
      <protection locked="0"/>
    </xf>
    <xf numFmtId="254" fontId="240" fillId="0" borderId="1811" applyBorder="0" applyProtection="0">
      <alignment horizontal="right" vertical="center"/>
    </xf>
    <xf numFmtId="0" fontId="241" fillId="94" borderId="1811" applyBorder="0" applyProtection="0">
      <alignment horizontal="centerContinuous" vertical="center"/>
    </xf>
    <xf numFmtId="246" fontId="249" fillId="0" borderId="1811" applyFill="0" applyProtection="0">
      <alignment horizontal="center"/>
    </xf>
    <xf numFmtId="246" fontId="250" fillId="0" borderId="1811" applyFill="0" applyProtection="0">
      <alignment horizontal="center"/>
    </xf>
    <xf numFmtId="186" fontId="140" fillId="3" borderId="1827">
      <alignment horizontal="center" vertical="center"/>
    </xf>
    <xf numFmtId="0" fontId="78" fillId="14" borderId="1813" applyFont="0" applyFill="0" applyBorder="0" applyAlignment="0" applyProtection="0"/>
    <xf numFmtId="222" fontId="79" fillId="0" borderId="1834" applyBorder="0"/>
    <xf numFmtId="0" fontId="78" fillId="14" borderId="1837" applyFont="0" applyFill="0" applyBorder="0" applyAlignment="0" applyProtection="0"/>
    <xf numFmtId="0" fontId="25" fillId="10" borderId="1845" applyNumberFormat="0" applyProtection="0">
      <alignment horizontal="left" vertical="top"/>
    </xf>
    <xf numFmtId="0" fontId="25" fillId="10" borderId="1844" applyNumberFormat="0" applyProtection="0">
      <alignment horizontal="left" vertical="top"/>
    </xf>
    <xf numFmtId="0" fontId="25" fillId="10" borderId="1843" applyNumberFormat="0" applyProtection="0">
      <alignment horizontal="left" vertical="top"/>
    </xf>
    <xf numFmtId="0" fontId="25" fillId="10" borderId="1842" applyNumberFormat="0" applyProtection="0">
      <alignment horizontal="left" vertical="top"/>
    </xf>
    <xf numFmtId="0" fontId="214" fillId="0" borderId="1841" applyNumberFormat="0" applyFont="0" applyFill="0" applyAlignment="0" applyProtection="0"/>
    <xf numFmtId="0" fontId="2" fillId="0" borderId="1840" applyNumberFormat="0" applyAlignment="0" applyProtection="0"/>
    <xf numFmtId="186" fontId="140" fillId="3" borderId="1839">
      <alignment horizontal="center" vertical="center"/>
    </xf>
    <xf numFmtId="186" fontId="146" fillId="3" borderId="1838">
      <alignment horizontal="left"/>
    </xf>
    <xf numFmtId="0" fontId="75" fillId="0" borderId="1836" applyNumberFormat="0" applyFont="0" applyFill="0" applyAlignment="0" applyProtection="0"/>
    <xf numFmtId="222" fontId="79" fillId="0" borderId="1846" applyBorder="0"/>
    <xf numFmtId="0" fontId="101" fillId="0" borderId="1847" applyBorder="0"/>
    <xf numFmtId="222" fontId="79" fillId="0" borderId="1846" applyBorder="0"/>
    <xf numFmtId="0" fontId="113" fillId="0" borderId="1847" applyNumberFormat="0" applyFill="0" applyAlignment="0" applyProtection="0"/>
    <xf numFmtId="0" fontId="12" fillId="0" borderId="1847" applyNumberFormat="0" applyFill="0" applyBorder="0" applyAlignment="0" applyProtection="0">
      <alignment horizontal="center"/>
    </xf>
    <xf numFmtId="248" fontId="46" fillId="0" borderId="1847"/>
    <xf numFmtId="192" fontId="9" fillId="3" borderId="1847">
      <alignment horizontal="right" vertical="center"/>
    </xf>
    <xf numFmtId="180" fontId="9" fillId="3" borderId="1847">
      <alignment horizontal="right" vertical="center"/>
    </xf>
    <xf numFmtId="186" fontId="146" fillId="3" borderId="1847" applyBorder="0">
      <alignment horizontal="left" vertical="center"/>
    </xf>
    <xf numFmtId="0" fontId="165" fillId="0" borderId="1847" applyFill="0" applyProtection="0">
      <alignment horizontal="center"/>
    </xf>
    <xf numFmtId="0" fontId="166" fillId="0" borderId="1847">
      <alignment horizontal="center"/>
    </xf>
    <xf numFmtId="264" fontId="12" fillId="14" borderId="1847" applyFont="0" applyFill="0" applyBorder="0" applyAlignment="0" applyProtection="0">
      <alignment horizontal="right"/>
    </xf>
    <xf numFmtId="0" fontId="210" fillId="0" borderId="1847" applyNumberFormat="0" applyFill="0" applyBorder="0" applyAlignment="0">
      <protection locked="0"/>
    </xf>
    <xf numFmtId="254" fontId="240" fillId="0" borderId="1847" applyBorder="0" applyProtection="0">
      <alignment horizontal="right" vertical="center"/>
    </xf>
    <xf numFmtId="0" fontId="241" fillId="94" borderId="1847" applyBorder="0" applyProtection="0">
      <alignment horizontal="centerContinuous" vertical="center"/>
    </xf>
    <xf numFmtId="246" fontId="249" fillId="0" borderId="1847" applyFill="0" applyProtection="0">
      <alignment horizontal="center"/>
    </xf>
    <xf numFmtId="246" fontId="250" fillId="0" borderId="1847" applyFill="0" applyProtection="0">
      <alignment horizontal="center"/>
    </xf>
    <xf numFmtId="222" fontId="79" fillId="0" borderId="1858" applyBorder="0"/>
    <xf numFmtId="0" fontId="78" fillId="14" borderId="1861" applyFont="0" applyFill="0" applyBorder="0" applyAlignment="0" applyProtection="0"/>
    <xf numFmtId="0" fontId="25" fillId="10" borderId="1869" applyNumberFormat="0" applyProtection="0">
      <alignment horizontal="left" vertical="top"/>
    </xf>
    <xf numFmtId="0" fontId="25" fillId="10" borderId="1868" applyNumberFormat="0" applyProtection="0">
      <alignment horizontal="left" vertical="top"/>
    </xf>
    <xf numFmtId="0" fontId="25" fillId="10" borderId="1867" applyNumberFormat="0" applyProtection="0">
      <alignment horizontal="left" vertical="top"/>
    </xf>
    <xf numFmtId="0" fontId="25" fillId="10" borderId="1866" applyNumberFormat="0" applyProtection="0">
      <alignment horizontal="left" vertical="top"/>
    </xf>
    <xf numFmtId="0" fontId="214" fillId="0" borderId="1865" applyNumberFormat="0" applyFont="0" applyFill="0" applyAlignment="0" applyProtection="0"/>
    <xf numFmtId="0" fontId="2" fillId="0" borderId="1864" applyNumberFormat="0" applyAlignment="0" applyProtection="0"/>
    <xf numFmtId="186" fontId="140" fillId="3" borderId="1863">
      <alignment horizontal="center" vertical="center"/>
    </xf>
    <xf numFmtId="186" fontId="146" fillId="3" borderId="1862">
      <alignment horizontal="left"/>
    </xf>
    <xf numFmtId="0" fontId="75" fillId="0" borderId="1860" applyNumberFormat="0" applyFont="0" applyFill="0" applyAlignment="0" applyProtection="0"/>
    <xf numFmtId="222" fontId="79" fillId="0" borderId="1870" applyBorder="0"/>
    <xf numFmtId="0" fontId="101" fillId="0" borderId="1871" applyBorder="0"/>
    <xf numFmtId="222" fontId="79" fillId="0" borderId="1870" applyBorder="0"/>
    <xf numFmtId="0" fontId="113" fillId="0" borderId="1871" applyNumberFormat="0" applyFill="0" applyAlignment="0" applyProtection="0"/>
    <xf numFmtId="0" fontId="12" fillId="0" borderId="1871" applyNumberFormat="0" applyFill="0" applyBorder="0" applyAlignment="0" applyProtection="0">
      <alignment horizontal="center"/>
    </xf>
    <xf numFmtId="248" fontId="46" fillId="0" borderId="1871"/>
    <xf numFmtId="192" fontId="9" fillId="3" borderId="1871">
      <alignment horizontal="right" vertical="center"/>
    </xf>
    <xf numFmtId="180" fontId="9" fillId="3" borderId="1871">
      <alignment horizontal="right" vertical="center"/>
    </xf>
    <xf numFmtId="186" fontId="146" fillId="3" borderId="1871" applyBorder="0">
      <alignment horizontal="left" vertical="center"/>
    </xf>
    <xf numFmtId="0" fontId="165" fillId="0" borderId="1871" applyFill="0" applyProtection="0">
      <alignment horizontal="center"/>
    </xf>
    <xf numFmtId="0" fontId="166" fillId="0" borderId="1871">
      <alignment horizontal="center"/>
    </xf>
    <xf numFmtId="264" fontId="12" fillId="14" borderId="1871" applyFont="0" applyFill="0" applyBorder="0" applyAlignment="0" applyProtection="0">
      <alignment horizontal="right"/>
    </xf>
    <xf numFmtId="0" fontId="210" fillId="0" borderId="1871" applyNumberFormat="0" applyFill="0" applyBorder="0" applyAlignment="0">
      <protection locked="0"/>
    </xf>
    <xf numFmtId="254" fontId="240" fillId="0" borderId="1871" applyBorder="0" applyProtection="0">
      <alignment horizontal="right" vertical="center"/>
    </xf>
    <xf numFmtId="0" fontId="241" fillId="94" borderId="1871" applyBorder="0" applyProtection="0">
      <alignment horizontal="centerContinuous" vertical="center"/>
    </xf>
    <xf numFmtId="246" fontId="249" fillId="0" borderId="1871" applyFill="0" applyProtection="0">
      <alignment horizontal="center"/>
    </xf>
    <xf numFmtId="246" fontId="250" fillId="0" borderId="1871" applyFill="0" applyProtection="0">
      <alignment horizontal="center"/>
    </xf>
    <xf numFmtId="0" fontId="75" fillId="0" borderId="1884" applyNumberFormat="0" applyFont="0" applyFill="0" applyAlignment="0" applyProtection="0"/>
    <xf numFmtId="0" fontId="78" fillId="14" borderId="1885" applyFont="0" applyFill="0" applyBorder="0" applyAlignment="0" applyProtection="0"/>
    <xf numFmtId="186" fontId="146" fillId="3" borderId="1886">
      <alignment horizontal="left"/>
    </xf>
    <xf numFmtId="186" fontId="140" fillId="3" borderId="1887">
      <alignment horizontal="center" vertical="center"/>
    </xf>
    <xf numFmtId="0" fontId="2" fillId="0" borderId="1888" applyNumberFormat="0" applyAlignment="0" applyProtection="0"/>
    <xf numFmtId="0" fontId="214" fillId="0" borderId="1889" applyNumberFormat="0" applyFont="0" applyFill="0" applyAlignment="0" applyProtection="0"/>
    <xf numFmtId="0" fontId="25" fillId="10" borderId="1890" applyNumberFormat="0" applyProtection="0">
      <alignment horizontal="left" vertical="top"/>
    </xf>
    <xf numFmtId="0" fontId="25" fillId="10" borderId="1891" applyNumberFormat="0" applyProtection="0">
      <alignment horizontal="left" vertical="top"/>
    </xf>
    <xf numFmtId="0" fontId="25" fillId="10" borderId="1892" applyNumberFormat="0" applyProtection="0">
      <alignment horizontal="left" vertical="top"/>
    </xf>
    <xf numFmtId="0" fontId="25" fillId="10" borderId="1893" applyNumberFormat="0" applyProtection="0">
      <alignment horizontal="left" vertical="top"/>
    </xf>
    <xf numFmtId="246" fontId="250" fillId="0" borderId="1883" applyFill="0" applyProtection="0">
      <alignment horizontal="center"/>
    </xf>
    <xf numFmtId="246" fontId="249" fillId="0" borderId="1883" applyFill="0" applyProtection="0">
      <alignment horizontal="center"/>
    </xf>
    <xf numFmtId="0" fontId="241" fillId="94" borderId="1883" applyBorder="0" applyProtection="0">
      <alignment horizontal="centerContinuous" vertical="center"/>
    </xf>
    <xf numFmtId="254" fontId="240" fillId="0" borderId="1883" applyBorder="0" applyProtection="0">
      <alignment horizontal="right" vertical="center"/>
    </xf>
    <xf numFmtId="0" fontId="210" fillId="0" borderId="1883" applyNumberFormat="0" applyFill="0" applyBorder="0" applyAlignment="0">
      <protection locked="0"/>
    </xf>
    <xf numFmtId="264" fontId="12" fillId="14" borderId="1883" applyFont="0" applyFill="0" applyBorder="0" applyAlignment="0" applyProtection="0">
      <alignment horizontal="right"/>
    </xf>
    <xf numFmtId="0" fontId="166" fillId="0" borderId="1883">
      <alignment horizontal="center"/>
    </xf>
    <xf numFmtId="0" fontId="165" fillId="0" borderId="1883" applyFill="0" applyProtection="0">
      <alignment horizontal="center"/>
    </xf>
    <xf numFmtId="186" fontId="146" fillId="3" borderId="1883" applyBorder="0">
      <alignment horizontal="left" vertical="center"/>
    </xf>
    <xf numFmtId="180" fontId="9" fillId="3" borderId="1883">
      <alignment horizontal="right" vertical="center"/>
    </xf>
    <xf numFmtId="192" fontId="9" fillId="3" borderId="1883">
      <alignment horizontal="right" vertical="center"/>
    </xf>
    <xf numFmtId="0" fontId="12" fillId="0" borderId="1883" applyNumberFormat="0" applyFill="0" applyBorder="0" applyAlignment="0" applyProtection="0">
      <alignment horizontal="center"/>
    </xf>
    <xf numFmtId="0" fontId="113" fillId="0" borderId="1883" applyNumberFormat="0" applyFill="0" applyAlignment="0" applyProtection="0"/>
    <xf numFmtId="222" fontId="79" fillId="0" borderId="1882" applyBorder="0"/>
    <xf numFmtId="0" fontId="101" fillId="0" borderId="1883" applyBorder="0"/>
    <xf numFmtId="248" fontId="46" fillId="0" borderId="1883"/>
    <xf numFmtId="0" fontId="101" fillId="0" borderId="1883" applyBorder="0"/>
    <xf numFmtId="222" fontId="79" fillId="0" borderId="1882" applyBorder="0"/>
    <xf numFmtId="0" fontId="113" fillId="0" borderId="1883" applyNumberFormat="0" applyFill="0" applyAlignment="0" applyProtection="0"/>
    <xf numFmtId="0" fontId="75" fillId="0" borderId="1884" applyNumberFormat="0" applyFont="0" applyFill="0" applyAlignment="0" applyProtection="0"/>
    <xf numFmtId="0" fontId="12" fillId="0" borderId="1883" applyNumberFormat="0" applyFill="0" applyBorder="0" applyAlignment="0" applyProtection="0">
      <alignment horizontal="center"/>
    </xf>
    <xf numFmtId="248" fontId="46" fillId="0" borderId="1883"/>
    <xf numFmtId="192" fontId="9" fillId="3" borderId="1883">
      <alignment horizontal="right" vertical="center"/>
    </xf>
    <xf numFmtId="180" fontId="9" fillId="3" borderId="1883">
      <alignment horizontal="right" vertical="center"/>
    </xf>
    <xf numFmtId="186" fontId="146" fillId="3" borderId="1883" applyBorder="0">
      <alignment horizontal="left" vertical="center"/>
    </xf>
    <xf numFmtId="186" fontId="146" fillId="3" borderId="1886">
      <alignment horizontal="left"/>
    </xf>
    <xf numFmtId="186" fontId="140" fillId="3" borderId="1887">
      <alignment horizontal="center" vertical="center"/>
    </xf>
    <xf numFmtId="0" fontId="165" fillId="0" borderId="1883" applyFill="0" applyProtection="0">
      <alignment horizontal="center"/>
    </xf>
    <xf numFmtId="0" fontId="166" fillId="0" borderId="1883">
      <alignment horizontal="center"/>
    </xf>
    <xf numFmtId="264" fontId="12" fillId="14" borderId="1883" applyFont="0" applyFill="0" applyBorder="0" applyAlignment="0" applyProtection="0">
      <alignment horizontal="right"/>
    </xf>
    <xf numFmtId="0" fontId="210" fillId="0" borderId="1883" applyNumberFormat="0" applyFill="0" applyBorder="0" applyAlignment="0">
      <protection locked="0"/>
    </xf>
    <xf numFmtId="0" fontId="2" fillId="0" borderId="1888" applyNumberFormat="0" applyAlignment="0" applyProtection="0"/>
    <xf numFmtId="0" fontId="214" fillId="0" borderId="1889" applyNumberFormat="0" applyFont="0" applyFill="0" applyAlignment="0" applyProtection="0"/>
    <xf numFmtId="0" fontId="25" fillId="10" borderId="1890" applyNumberFormat="0" applyProtection="0">
      <alignment horizontal="left" vertical="top"/>
    </xf>
    <xf numFmtId="0" fontId="25" fillId="10" borderId="1891" applyNumberFormat="0" applyProtection="0">
      <alignment horizontal="left" vertical="top"/>
    </xf>
    <xf numFmtId="0" fontId="25" fillId="10" borderId="1892" applyNumberFormat="0" applyProtection="0">
      <alignment horizontal="left" vertical="top"/>
    </xf>
    <xf numFmtId="0" fontId="25" fillId="10" borderId="1893" applyNumberFormat="0" applyProtection="0">
      <alignment horizontal="left" vertical="top"/>
    </xf>
    <xf numFmtId="0" fontId="25" fillId="10" borderId="1890" applyNumberFormat="0" applyProtection="0">
      <alignment horizontal="left" vertical="top"/>
    </xf>
    <xf numFmtId="0" fontId="25" fillId="10" borderId="1891" applyNumberFormat="0" applyProtection="0">
      <alignment horizontal="left" vertical="top"/>
    </xf>
    <xf numFmtId="0" fontId="25" fillId="10" borderId="1892" applyNumberFormat="0" applyProtection="0">
      <alignment horizontal="left" vertical="top"/>
    </xf>
    <xf numFmtId="0" fontId="25" fillId="10" borderId="1893" applyNumberFormat="0" applyProtection="0">
      <alignment horizontal="left" vertical="top"/>
    </xf>
    <xf numFmtId="254" fontId="240" fillId="0" borderId="1883" applyBorder="0" applyProtection="0">
      <alignment horizontal="right" vertical="center"/>
    </xf>
    <xf numFmtId="0" fontId="241" fillId="94" borderId="1883" applyBorder="0" applyProtection="0">
      <alignment horizontal="centerContinuous" vertical="center"/>
    </xf>
    <xf numFmtId="246" fontId="249" fillId="0" borderId="1883" applyFill="0" applyProtection="0">
      <alignment horizontal="center"/>
    </xf>
    <xf numFmtId="246" fontId="250" fillId="0" borderId="1883" applyFill="0" applyProtection="0">
      <alignment horizontal="center"/>
    </xf>
    <xf numFmtId="190" fontId="101" fillId="0" borderId="1883" applyBorder="0"/>
    <xf numFmtId="190" fontId="113" fillId="0" borderId="1883" applyNumberFormat="0" applyFill="0" applyAlignment="0" applyProtection="0"/>
    <xf numFmtId="190" fontId="75" fillId="0" borderId="1860" applyNumberFormat="0" applyFont="0" applyFill="0" applyAlignment="0" applyProtection="0"/>
    <xf numFmtId="190" fontId="12" fillId="0" borderId="1883" applyNumberFormat="0" applyFill="0" applyBorder="0" applyAlignment="0" applyProtection="0">
      <alignment horizontal="center"/>
    </xf>
    <xf numFmtId="190" fontId="78" fillId="14" borderId="1873" applyFont="0" applyFill="0" applyBorder="0" applyAlignment="0" applyProtection="0"/>
    <xf numFmtId="190" fontId="165" fillId="0" borderId="1883" applyFill="0" applyProtection="0">
      <alignment horizontal="center"/>
    </xf>
    <xf numFmtId="190" fontId="166" fillId="0" borderId="1883">
      <alignment horizontal="center"/>
    </xf>
    <xf numFmtId="190" fontId="210" fillId="0" borderId="1883" applyNumberFormat="0" applyFill="0" applyBorder="0" applyAlignment="0">
      <protection locked="0"/>
    </xf>
    <xf numFmtId="190" fontId="2" fillId="0" borderId="1864" applyNumberFormat="0" applyAlignment="0" applyProtection="0"/>
    <xf numFmtId="190" fontId="214" fillId="0" borderId="1865" applyNumberFormat="0" applyFont="0" applyFill="0" applyAlignment="0" applyProtection="0"/>
    <xf numFmtId="190" fontId="25" fillId="10" borderId="1866" applyNumberFormat="0" applyProtection="0">
      <alignment horizontal="left" vertical="top"/>
    </xf>
    <xf numFmtId="190" fontId="25" fillId="10" borderId="1867" applyNumberFormat="0" applyProtection="0">
      <alignment horizontal="left" vertical="top"/>
    </xf>
    <xf numFmtId="190" fontId="25" fillId="10" borderId="1868" applyNumberFormat="0" applyProtection="0">
      <alignment horizontal="left" vertical="top"/>
    </xf>
    <xf numFmtId="190" fontId="25" fillId="10" borderId="1869" applyNumberFormat="0" applyProtection="0">
      <alignment horizontal="left" vertical="top"/>
    </xf>
    <xf numFmtId="190" fontId="241" fillId="94" borderId="1883" applyBorder="0" applyProtection="0">
      <alignment horizontal="centerContinuous" vertical="center"/>
    </xf>
    <xf numFmtId="222" fontId="79" fillId="0" borderId="1882" applyBorder="0"/>
    <xf numFmtId="0" fontId="101" fillId="0" borderId="1883" applyBorder="0"/>
    <xf numFmtId="222" fontId="79" fillId="0" borderId="1882" applyBorder="0"/>
    <xf numFmtId="0" fontId="113" fillId="0" borderId="1883" applyNumberFormat="0" applyFill="0" applyAlignment="0" applyProtection="0"/>
    <xf numFmtId="0" fontId="75" fillId="0" borderId="1860" applyNumberFormat="0" applyFont="0" applyFill="0" applyAlignment="0" applyProtection="0"/>
    <xf numFmtId="0" fontId="12" fillId="0" borderId="1883" applyNumberFormat="0" applyFill="0" applyBorder="0" applyAlignment="0" applyProtection="0">
      <alignment horizontal="center"/>
    </xf>
    <xf numFmtId="248" fontId="46" fillId="0" borderId="1883"/>
    <xf numFmtId="192" fontId="9" fillId="3" borderId="1883">
      <alignment horizontal="right" vertical="center"/>
    </xf>
    <xf numFmtId="180" fontId="9" fillId="3" borderId="1883">
      <alignment horizontal="right" vertical="center"/>
    </xf>
    <xf numFmtId="186" fontId="146" fillId="3" borderId="1883" applyBorder="0">
      <alignment horizontal="left" vertical="center"/>
    </xf>
    <xf numFmtId="186" fontId="146" fillId="3" borderId="1862">
      <alignment horizontal="left"/>
    </xf>
    <xf numFmtId="186" fontId="140" fillId="3" borderId="1863">
      <alignment horizontal="center" vertical="center"/>
    </xf>
    <xf numFmtId="0" fontId="165" fillId="0" borderId="1883" applyFill="0" applyProtection="0">
      <alignment horizontal="center"/>
    </xf>
    <xf numFmtId="0" fontId="166" fillId="0" borderId="1883">
      <alignment horizontal="center"/>
    </xf>
    <xf numFmtId="264" fontId="12" fillId="14" borderId="1883" applyFont="0" applyFill="0" applyBorder="0" applyAlignment="0" applyProtection="0">
      <alignment horizontal="right"/>
    </xf>
    <xf numFmtId="0" fontId="210" fillId="0" borderId="1883" applyNumberFormat="0" applyFill="0" applyBorder="0" applyAlignment="0">
      <protection locked="0"/>
    </xf>
    <xf numFmtId="0" fontId="2" fillId="0" borderId="1864" applyNumberFormat="0" applyAlignment="0" applyProtection="0"/>
    <xf numFmtId="0" fontId="214" fillId="0" borderId="1865" applyNumberFormat="0" applyFont="0" applyFill="0" applyAlignment="0" applyProtection="0"/>
    <xf numFmtId="0" fontId="25" fillId="10" borderId="1866" applyNumberFormat="0" applyProtection="0">
      <alignment horizontal="left" vertical="top"/>
    </xf>
    <xf numFmtId="0" fontId="25" fillId="10" borderId="1867" applyNumberFormat="0" applyProtection="0">
      <alignment horizontal="left" vertical="top"/>
    </xf>
    <xf numFmtId="0" fontId="25" fillId="10" borderId="1868" applyNumberFormat="0" applyProtection="0">
      <alignment horizontal="left" vertical="top"/>
    </xf>
    <xf numFmtId="0" fontId="25" fillId="10" borderId="1869" applyNumberFormat="0" applyProtection="0">
      <alignment horizontal="left" vertical="top"/>
    </xf>
    <xf numFmtId="0" fontId="25" fillId="10" borderId="1866" applyNumberFormat="0" applyProtection="0">
      <alignment horizontal="left" vertical="top"/>
    </xf>
    <xf numFmtId="0" fontId="25" fillId="10" borderId="1867" applyNumberFormat="0" applyProtection="0">
      <alignment horizontal="left" vertical="top"/>
    </xf>
    <xf numFmtId="0" fontId="25" fillId="10" borderId="1868" applyNumberFormat="0" applyProtection="0">
      <alignment horizontal="left" vertical="top"/>
    </xf>
    <xf numFmtId="0" fontId="25" fillId="10" borderId="1869" applyNumberFormat="0" applyProtection="0">
      <alignment horizontal="left" vertical="top"/>
    </xf>
    <xf numFmtId="254" fontId="240" fillId="0" borderId="1883" applyBorder="0" applyProtection="0">
      <alignment horizontal="right" vertical="center"/>
    </xf>
    <xf numFmtId="0" fontId="241" fillId="94" borderId="1883" applyBorder="0" applyProtection="0">
      <alignment horizontal="centerContinuous" vertical="center"/>
    </xf>
    <xf numFmtId="246" fontId="249" fillId="0" borderId="1883" applyFill="0" applyProtection="0">
      <alignment horizontal="center"/>
    </xf>
    <xf numFmtId="246" fontId="250" fillId="0" borderId="1883" applyFill="0" applyProtection="0">
      <alignment horizontal="center"/>
    </xf>
    <xf numFmtId="312" fontId="101" fillId="0" borderId="1883" applyBorder="0"/>
    <xf numFmtId="312" fontId="113" fillId="0" borderId="1883" applyNumberFormat="0" applyFill="0" applyAlignment="0" applyProtection="0"/>
    <xf numFmtId="312" fontId="75" fillId="0" borderId="1860" applyNumberFormat="0" applyFont="0" applyFill="0" applyAlignment="0" applyProtection="0"/>
    <xf numFmtId="312" fontId="12" fillId="0" borderId="1883" applyNumberFormat="0" applyFill="0" applyBorder="0" applyAlignment="0" applyProtection="0">
      <alignment horizontal="center"/>
    </xf>
    <xf numFmtId="312" fontId="165" fillId="0" borderId="1883" applyFill="0" applyProtection="0">
      <alignment horizontal="center"/>
    </xf>
    <xf numFmtId="312" fontId="242" fillId="0" borderId="1883">
      <alignment horizontal="center"/>
    </xf>
    <xf numFmtId="312" fontId="210" fillId="0" borderId="1883" applyNumberFormat="0" applyFill="0" applyBorder="0" applyAlignment="0">
      <protection locked="0"/>
    </xf>
    <xf numFmtId="312" fontId="2" fillId="0" borderId="1864" applyNumberFormat="0" applyAlignment="0" applyProtection="0"/>
    <xf numFmtId="312" fontId="214" fillId="0" borderId="1865" applyNumberFormat="0" applyFont="0" applyFill="0" applyAlignment="0" applyProtection="0"/>
    <xf numFmtId="312" fontId="25" fillId="10" borderId="1866" applyNumberFormat="0" applyProtection="0">
      <alignment horizontal="left" vertical="top"/>
    </xf>
    <xf numFmtId="312" fontId="25" fillId="10" borderId="1867" applyNumberFormat="0" applyProtection="0">
      <alignment horizontal="left" vertical="top"/>
    </xf>
    <xf numFmtId="312" fontId="25" fillId="10" borderId="1868" applyNumberFormat="0" applyProtection="0">
      <alignment horizontal="left" vertical="top"/>
    </xf>
    <xf numFmtId="312" fontId="25" fillId="10" borderId="1869" applyNumberFormat="0" applyProtection="0">
      <alignment horizontal="left" vertical="top"/>
    </xf>
    <xf numFmtId="312" fontId="241" fillId="94" borderId="1883" applyBorder="0" applyProtection="0">
      <alignment horizontal="centerContinuous" vertical="center"/>
    </xf>
    <xf numFmtId="246" fontId="296" fillId="0" borderId="1883" applyFill="0" applyProtection="0">
      <alignment horizontal="center"/>
    </xf>
    <xf numFmtId="312" fontId="101" fillId="0" borderId="1883" applyBorder="0"/>
    <xf numFmtId="312" fontId="113" fillId="0" borderId="1883" applyNumberFormat="0" applyFill="0" applyAlignment="0" applyProtection="0"/>
    <xf numFmtId="312" fontId="75" fillId="0" borderId="1860" applyNumberFormat="0" applyFont="0" applyFill="0" applyAlignment="0" applyProtection="0"/>
    <xf numFmtId="312" fontId="12" fillId="0" borderId="1883" applyNumberFormat="0" applyFill="0" applyBorder="0" applyAlignment="0" applyProtection="0">
      <alignment horizontal="center"/>
    </xf>
    <xf numFmtId="312" fontId="165" fillId="0" borderId="1883" applyFill="0" applyProtection="0">
      <alignment horizontal="center"/>
    </xf>
    <xf numFmtId="312" fontId="242" fillId="0" borderId="1883">
      <alignment horizontal="center"/>
    </xf>
    <xf numFmtId="312" fontId="210" fillId="0" borderId="1883" applyNumberFormat="0" applyFill="0" applyBorder="0" applyAlignment="0">
      <protection locked="0"/>
    </xf>
    <xf numFmtId="312" fontId="2" fillId="0" borderId="1864" applyNumberFormat="0" applyAlignment="0" applyProtection="0"/>
    <xf numFmtId="312" fontId="214" fillId="0" borderId="1865" applyNumberFormat="0" applyFont="0" applyFill="0" applyAlignment="0" applyProtection="0"/>
    <xf numFmtId="312" fontId="25" fillId="10" borderId="1866" applyNumberFormat="0" applyProtection="0">
      <alignment horizontal="left" vertical="top"/>
    </xf>
    <xf numFmtId="312" fontId="25" fillId="10" borderId="1867" applyNumberFormat="0" applyProtection="0">
      <alignment horizontal="left" vertical="top"/>
    </xf>
    <xf numFmtId="312" fontId="25" fillId="10" borderId="1868" applyNumberFormat="0" applyProtection="0">
      <alignment horizontal="left" vertical="top"/>
    </xf>
    <xf numFmtId="312" fontId="25" fillId="10" borderId="1869" applyNumberFormat="0" applyProtection="0">
      <alignment horizontal="left" vertical="top"/>
    </xf>
    <xf numFmtId="312" fontId="25" fillId="10" borderId="1866" applyNumberFormat="0" applyProtection="0">
      <alignment horizontal="left" vertical="top"/>
    </xf>
    <xf numFmtId="312" fontId="25" fillId="10" borderId="1867" applyNumberFormat="0" applyProtection="0">
      <alignment horizontal="left" vertical="top"/>
    </xf>
    <xf numFmtId="312" fontId="25" fillId="10" borderId="1868" applyNumberFormat="0" applyProtection="0">
      <alignment horizontal="left" vertical="top"/>
    </xf>
    <xf numFmtId="312" fontId="25" fillId="10" borderId="1869" applyNumberFormat="0" applyProtection="0">
      <alignment horizontal="left" vertical="top"/>
    </xf>
    <xf numFmtId="312" fontId="241" fillId="94" borderId="1883" applyBorder="0" applyProtection="0">
      <alignment horizontal="centerContinuous" vertical="center"/>
    </xf>
    <xf numFmtId="246" fontId="296" fillId="0" borderId="1883" applyFill="0" applyProtection="0">
      <alignment horizontal="center"/>
    </xf>
    <xf numFmtId="246" fontId="250" fillId="0" borderId="1883" applyFill="0" applyProtection="0">
      <alignment horizontal="center"/>
    </xf>
    <xf numFmtId="246" fontId="249" fillId="0" borderId="1883" applyFill="0" applyProtection="0">
      <alignment horizontal="center"/>
    </xf>
    <xf numFmtId="0" fontId="241" fillId="94" borderId="1883" applyBorder="0" applyProtection="0">
      <alignment horizontal="centerContinuous" vertical="center"/>
    </xf>
    <xf numFmtId="254" fontId="240" fillId="0" borderId="1883" applyBorder="0" applyProtection="0">
      <alignment horizontal="right" vertical="center"/>
    </xf>
    <xf numFmtId="0" fontId="25" fillId="10" borderId="1881" applyNumberFormat="0" applyProtection="0">
      <alignment horizontal="left" vertical="top"/>
    </xf>
    <xf numFmtId="0" fontId="25" fillId="10" borderId="1880" applyNumberFormat="0" applyProtection="0">
      <alignment horizontal="left" vertical="top"/>
    </xf>
    <xf numFmtId="0" fontId="25" fillId="10" borderId="1879" applyNumberFormat="0" applyProtection="0">
      <alignment horizontal="left" vertical="top"/>
    </xf>
    <xf numFmtId="0" fontId="25" fillId="10" borderId="1878" applyNumberFormat="0" applyProtection="0">
      <alignment horizontal="left" vertical="top"/>
    </xf>
    <xf numFmtId="0" fontId="214" fillId="0" borderId="1877" applyNumberFormat="0" applyFont="0" applyFill="0" applyAlignment="0" applyProtection="0"/>
    <xf numFmtId="0" fontId="2" fillId="0" borderId="1876" applyNumberFormat="0" applyAlignment="0" applyProtection="0"/>
    <xf numFmtId="0" fontId="210" fillId="0" borderId="1883" applyNumberFormat="0" applyFill="0" applyBorder="0" applyAlignment="0">
      <protection locked="0"/>
    </xf>
    <xf numFmtId="264" fontId="12" fillId="14" borderId="1883" applyFont="0" applyFill="0" applyBorder="0" applyAlignment="0" applyProtection="0">
      <alignment horizontal="right"/>
    </xf>
    <xf numFmtId="0" fontId="166" fillId="0" borderId="1883">
      <alignment horizontal="center"/>
    </xf>
    <xf numFmtId="0" fontId="165" fillId="0" borderId="1883" applyFill="0" applyProtection="0">
      <alignment horizontal="center"/>
    </xf>
    <xf numFmtId="186" fontId="140" fillId="3" borderId="1875">
      <alignment horizontal="center" vertical="center"/>
    </xf>
    <xf numFmtId="186" fontId="146" fillId="3" borderId="1874">
      <alignment horizontal="left"/>
    </xf>
    <xf numFmtId="186" fontId="146" fillId="3" borderId="1883" applyBorder="0">
      <alignment horizontal="left" vertical="center"/>
    </xf>
    <xf numFmtId="180" fontId="9" fillId="3" borderId="1883">
      <alignment horizontal="right" vertical="center"/>
    </xf>
    <xf numFmtId="192" fontId="9" fillId="3" borderId="1883">
      <alignment horizontal="right" vertical="center"/>
    </xf>
    <xf numFmtId="248" fontId="46" fillId="0" borderId="1883"/>
    <xf numFmtId="0" fontId="78" fillId="14" borderId="1873" applyFont="0" applyFill="0" applyBorder="0" applyAlignment="0" applyProtection="0"/>
    <xf numFmtId="0" fontId="12" fillId="0" borderId="1883" applyNumberFormat="0" applyFill="0" applyBorder="0" applyAlignment="0" applyProtection="0">
      <alignment horizontal="center"/>
    </xf>
    <xf numFmtId="0" fontId="75" fillId="0" borderId="1872" applyNumberFormat="0" applyFont="0" applyFill="0" applyAlignment="0" applyProtection="0"/>
    <xf numFmtId="0" fontId="113" fillId="0" borderId="1883" applyNumberFormat="0" applyFill="0" applyAlignment="0" applyProtection="0"/>
    <xf numFmtId="222" fontId="79" fillId="0" borderId="1882" applyBorder="0"/>
    <xf numFmtId="0" fontId="101" fillId="0" borderId="1883" applyBorder="0"/>
    <xf numFmtId="0" fontId="25" fillId="10" borderId="1890" applyNumberFormat="0" applyProtection="0">
      <alignment horizontal="left" vertical="top"/>
    </xf>
    <xf numFmtId="0" fontId="25" fillId="10" borderId="1891" applyNumberFormat="0" applyProtection="0">
      <alignment horizontal="left" vertical="top"/>
    </xf>
    <xf numFmtId="0" fontId="25" fillId="10" borderId="1892" applyNumberFormat="0" applyProtection="0">
      <alignment horizontal="left" vertical="top"/>
    </xf>
    <xf numFmtId="0" fontId="25" fillId="10" borderId="1893" applyNumberFormat="0" applyProtection="0">
      <alignment horizontal="left" vertical="top"/>
    </xf>
    <xf numFmtId="246" fontId="250" fillId="0" borderId="1871" applyFill="0" applyProtection="0">
      <alignment horizontal="center"/>
    </xf>
    <xf numFmtId="246" fontId="249" fillId="0" borderId="1871" applyFill="0" applyProtection="0">
      <alignment horizontal="center"/>
    </xf>
    <xf numFmtId="0" fontId="241" fillId="94" borderId="1871" applyBorder="0" applyProtection="0">
      <alignment horizontal="centerContinuous" vertical="center"/>
    </xf>
    <xf numFmtId="254" fontId="240" fillId="0" borderId="1871" applyBorder="0" applyProtection="0">
      <alignment horizontal="right" vertical="center"/>
    </xf>
    <xf numFmtId="0" fontId="210" fillId="0" borderId="1871" applyNumberFormat="0" applyFill="0" applyBorder="0" applyAlignment="0">
      <protection locked="0"/>
    </xf>
    <xf numFmtId="264" fontId="12" fillId="14" borderId="1871" applyFont="0" applyFill="0" applyBorder="0" applyAlignment="0" applyProtection="0">
      <alignment horizontal="right"/>
    </xf>
    <xf numFmtId="0" fontId="166" fillId="0" borderId="1871">
      <alignment horizontal="center"/>
    </xf>
    <xf numFmtId="0" fontId="165" fillId="0" borderId="1871" applyFill="0" applyProtection="0">
      <alignment horizontal="center"/>
    </xf>
    <xf numFmtId="186" fontId="146" fillId="3" borderId="1871" applyBorder="0">
      <alignment horizontal="left" vertical="center"/>
    </xf>
    <xf numFmtId="180" fontId="9" fillId="3" borderId="1871">
      <alignment horizontal="right" vertical="center"/>
    </xf>
    <xf numFmtId="192" fontId="9" fillId="3" borderId="1871">
      <alignment horizontal="right" vertical="center"/>
    </xf>
    <xf numFmtId="248" fontId="46" fillId="0" borderId="1871"/>
    <xf numFmtId="0" fontId="12" fillId="0" borderId="1871" applyNumberFormat="0" applyFill="0" applyBorder="0" applyAlignment="0" applyProtection="0">
      <alignment horizontal="center"/>
    </xf>
    <xf numFmtId="0" fontId="113" fillId="0" borderId="1871" applyNumberFormat="0" applyFill="0" applyAlignment="0" applyProtection="0"/>
    <xf numFmtId="222" fontId="79" fillId="0" borderId="1870" applyBorder="0"/>
    <xf numFmtId="0" fontId="101" fillId="0" borderId="1871" applyBorder="0"/>
    <xf numFmtId="246" fontId="250" fillId="0" borderId="1871" applyFill="0" applyProtection="0">
      <alignment horizontal="center"/>
    </xf>
    <xf numFmtId="246" fontId="249" fillId="0" borderId="1871" applyFill="0" applyProtection="0">
      <alignment horizontal="center"/>
    </xf>
    <xf numFmtId="0" fontId="241" fillId="94" borderId="1871" applyBorder="0" applyProtection="0">
      <alignment horizontal="centerContinuous" vertical="center"/>
    </xf>
    <xf numFmtId="254" fontId="240" fillId="0" borderId="1871" applyBorder="0" applyProtection="0">
      <alignment horizontal="right" vertical="center"/>
    </xf>
    <xf numFmtId="0" fontId="210" fillId="0" borderId="1871" applyNumberFormat="0" applyFill="0" applyBorder="0" applyAlignment="0">
      <protection locked="0"/>
    </xf>
    <xf numFmtId="264" fontId="12" fillId="14" borderId="1871" applyFont="0" applyFill="0" applyBorder="0" applyAlignment="0" applyProtection="0">
      <alignment horizontal="right"/>
    </xf>
    <xf numFmtId="0" fontId="166" fillId="0" borderId="1871">
      <alignment horizontal="center"/>
    </xf>
    <xf numFmtId="0" fontId="165" fillId="0" borderId="1871" applyFill="0" applyProtection="0">
      <alignment horizontal="center"/>
    </xf>
    <xf numFmtId="186" fontId="146" fillId="3" borderId="1871" applyBorder="0">
      <alignment horizontal="left" vertical="center"/>
    </xf>
    <xf numFmtId="180" fontId="9" fillId="3" borderId="1871">
      <alignment horizontal="right" vertical="center"/>
    </xf>
    <xf numFmtId="192" fontId="9" fillId="3" borderId="1871">
      <alignment horizontal="right" vertical="center"/>
    </xf>
    <xf numFmtId="0" fontId="12" fillId="0" borderId="1871" applyNumberFormat="0" applyFill="0" applyBorder="0" applyAlignment="0" applyProtection="0">
      <alignment horizontal="center"/>
    </xf>
    <xf numFmtId="0" fontId="113" fillId="0" borderId="1871" applyNumberFormat="0" applyFill="0" applyAlignment="0" applyProtection="0"/>
    <xf numFmtId="222" fontId="79" fillId="0" borderId="1870" applyBorder="0"/>
    <xf numFmtId="0" fontId="101" fillId="0" borderId="1871" applyBorder="0"/>
    <xf numFmtId="248" fontId="46" fillId="0" borderId="1871"/>
    <xf numFmtId="246" fontId="250" fillId="0" borderId="1871" applyFill="0" applyProtection="0">
      <alignment horizontal="center"/>
    </xf>
    <xf numFmtId="246" fontId="249" fillId="0" borderId="1871" applyFill="0" applyProtection="0">
      <alignment horizontal="center"/>
    </xf>
    <xf numFmtId="0" fontId="241" fillId="94" borderId="1871" applyBorder="0" applyProtection="0">
      <alignment horizontal="centerContinuous" vertical="center"/>
    </xf>
    <xf numFmtId="254" fontId="240" fillId="0" borderId="1871" applyBorder="0" applyProtection="0">
      <alignment horizontal="right" vertical="center"/>
    </xf>
    <xf numFmtId="0" fontId="210" fillId="0" borderId="1871" applyNumberFormat="0" applyFill="0" applyBorder="0" applyAlignment="0">
      <protection locked="0"/>
    </xf>
    <xf numFmtId="264" fontId="12" fillId="14" borderId="1871" applyFont="0" applyFill="0" applyBorder="0" applyAlignment="0" applyProtection="0">
      <alignment horizontal="right"/>
    </xf>
    <xf numFmtId="0" fontId="166" fillId="0" borderId="1871">
      <alignment horizontal="center"/>
    </xf>
    <xf numFmtId="0" fontId="165" fillId="0" borderId="1871" applyFill="0" applyProtection="0">
      <alignment horizontal="center"/>
    </xf>
    <xf numFmtId="186" fontId="146" fillId="3" borderId="1871" applyBorder="0">
      <alignment horizontal="left" vertical="center"/>
    </xf>
    <xf numFmtId="180" fontId="9" fillId="3" borderId="1871">
      <alignment horizontal="right" vertical="center"/>
    </xf>
    <xf numFmtId="192" fontId="9" fillId="3" borderId="1871">
      <alignment horizontal="right" vertical="center"/>
    </xf>
    <xf numFmtId="248" fontId="46" fillId="0" borderId="1871"/>
    <xf numFmtId="0" fontId="12" fillId="0" borderId="1871" applyNumberFormat="0" applyFill="0" applyBorder="0" applyAlignment="0" applyProtection="0">
      <alignment horizontal="center"/>
    </xf>
    <xf numFmtId="0" fontId="113" fillId="0" borderId="1871" applyNumberFormat="0" applyFill="0" applyAlignment="0" applyProtection="0"/>
    <xf numFmtId="222" fontId="79" fillId="0" borderId="1870" applyBorder="0"/>
    <xf numFmtId="0" fontId="101" fillId="0" borderId="1871" applyBorder="0"/>
    <xf numFmtId="190" fontId="25" fillId="10" borderId="1938" applyNumberFormat="0" applyProtection="0">
      <alignment horizontal="left" vertical="top"/>
    </xf>
    <xf numFmtId="190" fontId="25" fillId="10" borderId="1939" applyNumberFormat="0" applyProtection="0">
      <alignment horizontal="left" vertical="top"/>
    </xf>
    <xf numFmtId="190" fontId="25" fillId="10" borderId="1940" applyNumberFormat="0" applyProtection="0">
      <alignment horizontal="left" vertical="top"/>
    </xf>
    <xf numFmtId="190" fontId="25" fillId="10" borderId="1941" applyNumberFormat="0" applyProtection="0">
      <alignment horizontal="left" vertical="top"/>
    </xf>
    <xf numFmtId="190" fontId="241" fillId="94" borderId="1955" applyBorder="0" applyProtection="0">
      <alignment horizontal="centerContinuous" vertical="center"/>
    </xf>
    <xf numFmtId="9" fontId="12" fillId="60" borderId="2080" applyFont="0" applyFill="0" applyBorder="0" applyAlignment="0" applyProtection="0"/>
    <xf numFmtId="254" fontId="240" fillId="0" borderId="4746" applyBorder="0" applyProtection="0">
      <alignment horizontal="right" vertical="center"/>
    </xf>
    <xf numFmtId="222" fontId="79" fillId="0" borderId="1954" applyBorder="0"/>
    <xf numFmtId="0" fontId="25" fillId="10" borderId="2076" applyNumberFormat="0" applyProtection="0">
      <alignment horizontal="center" vertical="top"/>
    </xf>
    <xf numFmtId="0" fontId="101" fillId="0" borderId="1955" applyBorder="0"/>
    <xf numFmtId="222" fontId="79" fillId="0" borderId="1954" applyBorder="0"/>
    <xf numFmtId="0" fontId="113" fillId="0" borderId="1955" applyNumberFormat="0" applyFill="0" applyAlignment="0" applyProtection="0"/>
    <xf numFmtId="0" fontId="75" fillId="0" borderId="1932" applyNumberFormat="0" applyFont="0" applyFill="0" applyAlignment="0" applyProtection="0"/>
    <xf numFmtId="0" fontId="12" fillId="0" borderId="1955" applyNumberFormat="0" applyFill="0" applyBorder="0" applyAlignment="0" applyProtection="0">
      <alignment horizontal="center"/>
    </xf>
    <xf numFmtId="248" fontId="46" fillId="0" borderId="1955"/>
    <xf numFmtId="192" fontId="9" fillId="3" borderId="1955">
      <alignment horizontal="right" vertical="center"/>
    </xf>
    <xf numFmtId="180" fontId="9" fillId="3" borderId="1955">
      <alignment horizontal="right" vertical="center"/>
    </xf>
    <xf numFmtId="186" fontId="146" fillId="3" borderId="1955" applyBorder="0">
      <alignment horizontal="left" vertical="center"/>
    </xf>
    <xf numFmtId="186" fontId="146" fillId="3" borderId="1934">
      <alignment horizontal="left"/>
    </xf>
    <xf numFmtId="186" fontId="140" fillId="3" borderId="1935">
      <alignment horizontal="center" vertical="center"/>
    </xf>
    <xf numFmtId="0" fontId="165" fillId="0" borderId="1955" applyFill="0" applyProtection="0">
      <alignment horizontal="center"/>
    </xf>
    <xf numFmtId="0" fontId="166" fillId="0" borderId="1955">
      <alignment horizontal="center"/>
    </xf>
    <xf numFmtId="264" fontId="12" fillId="14" borderId="1955" applyFont="0" applyFill="0" applyBorder="0" applyAlignment="0" applyProtection="0">
      <alignment horizontal="right"/>
    </xf>
    <xf numFmtId="0" fontId="210" fillId="0" borderId="1955" applyNumberFormat="0" applyFill="0" applyBorder="0" applyAlignment="0">
      <protection locked="0"/>
    </xf>
    <xf numFmtId="0" fontId="2" fillId="0" borderId="1936" applyNumberFormat="0" applyAlignment="0" applyProtection="0"/>
    <xf numFmtId="0" fontId="214" fillId="0" borderId="1937" applyNumberFormat="0" applyFont="0" applyFill="0" applyAlignment="0" applyProtection="0"/>
    <xf numFmtId="0" fontId="25" fillId="10" borderId="1938" applyNumberFormat="0" applyProtection="0">
      <alignment horizontal="left" vertical="top"/>
    </xf>
    <xf numFmtId="0" fontId="25" fillId="10" borderId="1939" applyNumberFormat="0" applyProtection="0">
      <alignment horizontal="left" vertical="top"/>
    </xf>
    <xf numFmtId="0" fontId="25" fillId="10" borderId="1940" applyNumberFormat="0" applyProtection="0">
      <alignment horizontal="left" vertical="top"/>
    </xf>
    <xf numFmtId="0" fontId="25" fillId="10" borderId="1941" applyNumberFormat="0" applyProtection="0">
      <alignment horizontal="left" vertical="top"/>
    </xf>
    <xf numFmtId="0" fontId="25" fillId="10" borderId="1938" applyNumberFormat="0" applyProtection="0">
      <alignment horizontal="left" vertical="top"/>
    </xf>
    <xf numFmtId="0" fontId="25" fillId="10" borderId="1939" applyNumberFormat="0" applyProtection="0">
      <alignment horizontal="left" vertical="top"/>
    </xf>
    <xf numFmtId="0" fontId="25" fillId="10" borderId="1940" applyNumberFormat="0" applyProtection="0">
      <alignment horizontal="left" vertical="top"/>
    </xf>
    <xf numFmtId="0" fontId="25" fillId="10" borderId="1941" applyNumberFormat="0" applyProtection="0">
      <alignment horizontal="left" vertical="top"/>
    </xf>
    <xf numFmtId="254" fontId="240" fillId="0" borderId="1955" applyBorder="0" applyProtection="0">
      <alignment horizontal="right" vertical="center"/>
    </xf>
    <xf numFmtId="0" fontId="241" fillId="94" borderId="1955" applyBorder="0" applyProtection="0">
      <alignment horizontal="centerContinuous" vertical="center"/>
    </xf>
    <xf numFmtId="246" fontId="249" fillId="0" borderId="1955" applyFill="0" applyProtection="0">
      <alignment horizontal="center"/>
    </xf>
    <xf numFmtId="246" fontId="250" fillId="0" borderId="1955" applyFill="0" applyProtection="0">
      <alignment horizontal="center"/>
    </xf>
    <xf numFmtId="0" fontId="25" fillId="10" borderId="2076" applyNumberFormat="0" applyProtection="0">
      <alignment horizontal="center" vertical="top"/>
    </xf>
    <xf numFmtId="169" fontId="234" fillId="3" borderId="2076" applyFont="0" applyProtection="0"/>
    <xf numFmtId="312" fontId="101" fillId="0" borderId="1955" applyBorder="0"/>
    <xf numFmtId="312" fontId="113" fillId="0" borderId="1955" applyNumberFormat="0" applyFill="0" applyAlignment="0" applyProtection="0"/>
    <xf numFmtId="312" fontId="75" fillId="0" borderId="1932" applyNumberFormat="0" applyFont="0" applyFill="0" applyAlignment="0" applyProtection="0"/>
    <xf numFmtId="312" fontId="12" fillId="0" borderId="1955" applyNumberFormat="0" applyFill="0" applyBorder="0" applyAlignment="0" applyProtection="0">
      <alignment horizontal="center"/>
    </xf>
    <xf numFmtId="312" fontId="78" fillId="14" borderId="1764" applyFont="0" applyFill="0" applyBorder="0" applyAlignment="0" applyProtection="0"/>
    <xf numFmtId="312" fontId="165" fillId="0" borderId="1955" applyFill="0" applyProtection="0">
      <alignment horizontal="center"/>
    </xf>
    <xf numFmtId="312" fontId="242" fillId="0" borderId="1955">
      <alignment horizontal="center"/>
    </xf>
    <xf numFmtId="312" fontId="210" fillId="0" borderId="1955" applyNumberFormat="0" applyFill="0" applyBorder="0" applyAlignment="0">
      <protection locked="0"/>
    </xf>
    <xf numFmtId="312" fontId="2" fillId="0" borderId="1936" applyNumberFormat="0" applyAlignment="0" applyProtection="0"/>
    <xf numFmtId="312" fontId="214" fillId="0" borderId="1937" applyNumberFormat="0" applyFont="0" applyFill="0" applyAlignment="0" applyProtection="0"/>
    <xf numFmtId="183" fontId="12" fillId="60" borderId="2820" applyFont="0" applyFill="0" applyBorder="0" applyAlignment="0" applyProtection="0"/>
    <xf numFmtId="254" fontId="240" fillId="0" borderId="2063" applyBorder="0" applyProtection="0">
      <alignment horizontal="right" vertical="center"/>
    </xf>
    <xf numFmtId="312" fontId="25" fillId="10" borderId="1938" applyNumberFormat="0" applyProtection="0">
      <alignment horizontal="left" vertical="top"/>
    </xf>
    <xf numFmtId="312" fontId="25" fillId="10" borderId="1939" applyNumberFormat="0" applyProtection="0">
      <alignment horizontal="left" vertical="top"/>
    </xf>
    <xf numFmtId="312" fontId="25" fillId="10" borderId="1940" applyNumberFormat="0" applyProtection="0">
      <alignment horizontal="left" vertical="top"/>
    </xf>
    <xf numFmtId="312" fontId="25" fillId="10" borderId="1941" applyNumberFormat="0" applyProtection="0">
      <alignment horizontal="left" vertical="top"/>
    </xf>
    <xf numFmtId="312" fontId="241" fillId="94" borderId="1955" applyBorder="0" applyProtection="0">
      <alignment horizontal="centerContinuous" vertical="center"/>
    </xf>
    <xf numFmtId="246" fontId="296" fillId="0" borderId="1955" applyFill="0" applyProtection="0">
      <alignment horizontal="center"/>
    </xf>
    <xf numFmtId="2" fontId="12" fillId="60" borderId="2080" applyFont="0" applyFill="0" applyBorder="0" applyAlignment="0" applyProtection="0"/>
    <xf numFmtId="0" fontId="25" fillId="10" borderId="2142" applyNumberFormat="0" applyProtection="0">
      <alignment horizontal="left" vertical="top"/>
    </xf>
    <xf numFmtId="186" fontId="146" fillId="3" borderId="4746" applyBorder="0">
      <alignment horizontal="left" vertical="center"/>
    </xf>
    <xf numFmtId="0" fontId="101" fillId="0" borderId="4746" applyBorder="0"/>
    <xf numFmtId="0" fontId="135" fillId="0" borderId="4730"/>
    <xf numFmtId="312" fontId="101" fillId="0" borderId="1955" applyBorder="0"/>
    <xf numFmtId="312" fontId="113" fillId="0" borderId="1955" applyNumberFormat="0" applyFill="0" applyAlignment="0" applyProtection="0"/>
    <xf numFmtId="312" fontId="75" fillId="0" borderId="1932" applyNumberFormat="0" applyFont="0" applyFill="0" applyAlignment="0" applyProtection="0"/>
    <xf numFmtId="312" fontId="12" fillId="0" borderId="1955" applyNumberFormat="0" applyFill="0" applyBorder="0" applyAlignment="0" applyProtection="0">
      <alignment horizontal="center"/>
    </xf>
    <xf numFmtId="312" fontId="78" fillId="14" borderId="1764" applyFont="0" applyFill="0" applyBorder="0" applyAlignment="0" applyProtection="0"/>
    <xf numFmtId="312" fontId="165" fillId="0" borderId="1955" applyFill="0" applyProtection="0">
      <alignment horizontal="center"/>
    </xf>
    <xf numFmtId="312" fontId="242" fillId="0" borderId="1955">
      <alignment horizontal="center"/>
    </xf>
    <xf numFmtId="312" fontId="210" fillId="0" borderId="1955" applyNumberFormat="0" applyFill="0" applyBorder="0" applyAlignment="0">
      <protection locked="0"/>
    </xf>
    <xf numFmtId="312" fontId="2" fillId="0" borderId="1936" applyNumberFormat="0" applyAlignment="0" applyProtection="0"/>
    <xf numFmtId="312" fontId="214" fillId="0" borderId="1937" applyNumberFormat="0" applyFont="0" applyFill="0" applyAlignment="0" applyProtection="0"/>
    <xf numFmtId="312" fontId="25" fillId="10" borderId="1938" applyNumberFormat="0" applyProtection="0">
      <alignment horizontal="left" vertical="top"/>
    </xf>
    <xf numFmtId="312" fontId="25" fillId="10" borderId="1939" applyNumberFormat="0" applyProtection="0">
      <alignment horizontal="left" vertical="top"/>
    </xf>
    <xf numFmtId="312" fontId="25" fillId="10" borderId="1940" applyNumberFormat="0" applyProtection="0">
      <alignment horizontal="left" vertical="top"/>
    </xf>
    <xf numFmtId="312" fontId="25" fillId="10" borderId="1941" applyNumberFormat="0" applyProtection="0">
      <alignment horizontal="left" vertical="top"/>
    </xf>
    <xf numFmtId="312" fontId="25" fillId="10" borderId="1938" applyNumberFormat="0" applyProtection="0">
      <alignment horizontal="left" vertical="top"/>
    </xf>
    <xf numFmtId="312" fontId="25" fillId="10" borderId="1939" applyNumberFormat="0" applyProtection="0">
      <alignment horizontal="left" vertical="top"/>
    </xf>
    <xf numFmtId="312" fontId="25" fillId="10" borderId="1940" applyNumberFormat="0" applyProtection="0">
      <alignment horizontal="left" vertical="top"/>
    </xf>
    <xf numFmtId="312" fontId="25" fillId="10" borderId="1941" applyNumberFormat="0" applyProtection="0">
      <alignment horizontal="left" vertical="top"/>
    </xf>
    <xf numFmtId="312" fontId="241" fillId="94" borderId="1955" applyBorder="0" applyProtection="0">
      <alignment horizontal="centerContinuous" vertical="center"/>
    </xf>
    <xf numFmtId="246" fontId="296" fillId="0" borderId="1955" applyFill="0" applyProtection="0">
      <alignment horizontal="center"/>
    </xf>
    <xf numFmtId="0" fontId="12" fillId="52" borderId="4732" applyNumberFormat="0" applyProtection="0">
      <alignment horizontal="left" vertical="center" indent="1"/>
    </xf>
    <xf numFmtId="246" fontId="250" fillId="0" borderId="1955" applyFill="0" applyProtection="0">
      <alignment horizontal="center"/>
    </xf>
    <xf numFmtId="246" fontId="249" fillId="0" borderId="1955" applyFill="0" applyProtection="0">
      <alignment horizontal="center"/>
    </xf>
    <xf numFmtId="0" fontId="241" fillId="94" borderId="1955" applyBorder="0" applyProtection="0">
      <alignment horizontal="centerContinuous" vertical="center"/>
    </xf>
    <xf numFmtId="254" fontId="240" fillId="0" borderId="1955" applyBorder="0" applyProtection="0">
      <alignment horizontal="right" vertical="center"/>
    </xf>
    <xf numFmtId="0" fontId="25" fillId="10" borderId="1893" applyNumberFormat="0" applyProtection="0">
      <alignment horizontal="left" vertical="top"/>
    </xf>
    <xf numFmtId="0" fontId="25" fillId="10" borderId="1892" applyNumberFormat="0" applyProtection="0">
      <alignment horizontal="left" vertical="top"/>
    </xf>
    <xf numFmtId="0" fontId="25" fillId="10" borderId="1891" applyNumberFormat="0" applyProtection="0">
      <alignment horizontal="left" vertical="top"/>
    </xf>
    <xf numFmtId="0" fontId="25" fillId="10" borderId="1890" applyNumberFormat="0" applyProtection="0">
      <alignment horizontal="left" vertical="top"/>
    </xf>
    <xf numFmtId="186" fontId="140" fillId="3" borderId="2100">
      <alignment horizontal="center" vertical="center"/>
    </xf>
    <xf numFmtId="190" fontId="25" fillId="10" borderId="4737" applyNumberFormat="0" applyProtection="0">
      <alignment horizontal="left" vertical="top"/>
    </xf>
    <xf numFmtId="0" fontId="214" fillId="0" borderId="1889" applyNumberFormat="0" applyFont="0" applyFill="0" applyAlignment="0" applyProtection="0"/>
    <xf numFmtId="0" fontId="2" fillId="0" borderId="1888" applyNumberFormat="0" applyAlignment="0" applyProtection="0"/>
    <xf numFmtId="0" fontId="210" fillId="0" borderId="1955" applyNumberFormat="0" applyFill="0" applyBorder="0" applyAlignment="0">
      <protection locked="0"/>
    </xf>
    <xf numFmtId="264" fontId="12" fillId="14" borderId="1955" applyFont="0" applyFill="0" applyBorder="0" applyAlignment="0" applyProtection="0">
      <alignment horizontal="right"/>
    </xf>
    <xf numFmtId="0" fontId="166" fillId="0" borderId="1955">
      <alignment horizontal="center"/>
    </xf>
    <xf numFmtId="0" fontId="165" fillId="0" borderId="1955" applyFill="0" applyProtection="0">
      <alignment horizontal="center"/>
    </xf>
    <xf numFmtId="186" fontId="140" fillId="3" borderId="1887">
      <alignment horizontal="center" vertical="center"/>
    </xf>
    <xf numFmtId="186" fontId="146" fillId="3" borderId="1886">
      <alignment horizontal="left"/>
    </xf>
    <xf numFmtId="186" fontId="146" fillId="3" borderId="1955" applyBorder="0">
      <alignment horizontal="left" vertical="center"/>
    </xf>
    <xf numFmtId="180" fontId="9" fillId="3" borderId="1955">
      <alignment horizontal="right" vertical="center"/>
    </xf>
    <xf numFmtId="192" fontId="9" fillId="3" borderId="1955">
      <alignment horizontal="right" vertical="center"/>
    </xf>
    <xf numFmtId="248" fontId="46" fillId="0" borderId="1955"/>
    <xf numFmtId="0" fontId="78" fillId="14" borderId="1885" applyFont="0" applyFill="0" applyBorder="0" applyAlignment="0" applyProtection="0"/>
    <xf numFmtId="0" fontId="12" fillId="0" borderId="1955" applyNumberFormat="0" applyFill="0" applyBorder="0" applyAlignment="0" applyProtection="0">
      <alignment horizontal="center"/>
    </xf>
    <xf numFmtId="0" fontId="75" fillId="0" borderId="1884" applyNumberFormat="0" applyFont="0" applyFill="0" applyAlignment="0" applyProtection="0"/>
    <xf numFmtId="0" fontId="113" fillId="0" borderId="1955" applyNumberFormat="0" applyFill="0" applyAlignment="0" applyProtection="0"/>
    <xf numFmtId="222" fontId="79" fillId="0" borderId="1954" applyBorder="0"/>
    <xf numFmtId="0" fontId="101" fillId="0" borderId="1955" applyBorder="0"/>
    <xf numFmtId="0" fontId="210" fillId="0" borderId="2063" applyNumberFormat="0" applyFill="0" applyBorder="0" applyAlignment="0">
      <protection locked="0"/>
    </xf>
    <xf numFmtId="222" fontId="79" fillId="0" borderId="2107" applyBorder="0"/>
    <xf numFmtId="0" fontId="25" fillId="10" borderId="1962" applyNumberFormat="0" applyProtection="0">
      <alignment horizontal="left" vertical="top"/>
    </xf>
    <xf numFmtId="0" fontId="25" fillId="10" borderId="1963" applyNumberFormat="0" applyProtection="0">
      <alignment horizontal="left" vertical="top"/>
    </xf>
    <xf numFmtId="0" fontId="25" fillId="10" borderId="1964" applyNumberFormat="0" applyProtection="0">
      <alignment horizontal="left" vertical="top"/>
    </xf>
    <xf numFmtId="0" fontId="25" fillId="10" borderId="1965" applyNumberFormat="0" applyProtection="0">
      <alignment horizontal="left" vertical="top"/>
    </xf>
    <xf numFmtId="246" fontId="250" fillId="0" borderId="1895" applyFill="0" applyProtection="0">
      <alignment horizontal="center"/>
    </xf>
    <xf numFmtId="246" fontId="249" fillId="0" borderId="1895" applyFill="0" applyProtection="0">
      <alignment horizontal="center"/>
    </xf>
    <xf numFmtId="0" fontId="241" fillId="94" borderId="1895" applyBorder="0" applyProtection="0">
      <alignment horizontal="centerContinuous" vertical="center"/>
    </xf>
    <xf numFmtId="254" fontId="240" fillId="0" borderId="1895" applyBorder="0" applyProtection="0">
      <alignment horizontal="right" vertical="center"/>
    </xf>
    <xf numFmtId="0" fontId="210" fillId="0" borderId="1895" applyNumberFormat="0" applyFill="0" applyBorder="0" applyAlignment="0">
      <protection locked="0"/>
    </xf>
    <xf numFmtId="264" fontId="12" fillId="14" borderId="1895" applyFont="0" applyFill="0" applyBorder="0" applyAlignment="0" applyProtection="0">
      <alignment horizontal="right"/>
    </xf>
    <xf numFmtId="0" fontId="166" fillId="0" borderId="1895">
      <alignment horizontal="center"/>
    </xf>
    <xf numFmtId="0" fontId="165" fillId="0" borderId="1895" applyFill="0" applyProtection="0">
      <alignment horizontal="center"/>
    </xf>
    <xf numFmtId="186" fontId="146" fillId="3" borderId="1895" applyBorder="0">
      <alignment horizontal="left" vertical="center"/>
    </xf>
    <xf numFmtId="180" fontId="9" fillId="3" borderId="1895">
      <alignment horizontal="right" vertical="center"/>
    </xf>
    <xf numFmtId="192" fontId="9" fillId="3" borderId="1895">
      <alignment horizontal="right" vertical="center"/>
    </xf>
    <xf numFmtId="248" fontId="46" fillId="0" borderId="1895"/>
    <xf numFmtId="0" fontId="12" fillId="0" borderId="1895" applyNumberFormat="0" applyFill="0" applyBorder="0" applyAlignment="0" applyProtection="0">
      <alignment horizontal="center"/>
    </xf>
    <xf numFmtId="0" fontId="113" fillId="0" borderId="1895" applyNumberFormat="0" applyFill="0" applyAlignment="0" applyProtection="0"/>
    <xf numFmtId="222" fontId="79" fillId="0" borderId="1773" applyBorder="0"/>
    <xf numFmtId="0" fontId="101" fillId="0" borderId="1895" applyBorder="0"/>
    <xf numFmtId="312" fontId="25" fillId="10" borderId="2139" applyNumberFormat="0" applyProtection="0">
      <alignment horizontal="left" vertical="top"/>
    </xf>
    <xf numFmtId="4" fontId="184" fillId="53" borderId="4732" applyNumberFormat="0" applyProtection="0">
      <alignment horizontal="left" vertical="center" indent="1"/>
    </xf>
    <xf numFmtId="246" fontId="250" fillId="0" borderId="1895" applyFill="0" applyProtection="0">
      <alignment horizontal="center"/>
    </xf>
    <xf numFmtId="246" fontId="249" fillId="0" borderId="1895" applyFill="0" applyProtection="0">
      <alignment horizontal="center"/>
    </xf>
    <xf numFmtId="0" fontId="241" fillId="94" borderId="1895" applyBorder="0" applyProtection="0">
      <alignment horizontal="centerContinuous" vertical="center"/>
    </xf>
    <xf numFmtId="254" fontId="240" fillId="0" borderId="1895" applyBorder="0" applyProtection="0">
      <alignment horizontal="right" vertical="center"/>
    </xf>
    <xf numFmtId="0" fontId="78" fillId="14" borderId="2065" applyFont="0" applyFill="0" applyBorder="0" applyAlignment="0" applyProtection="0"/>
    <xf numFmtId="246" fontId="249" fillId="0" borderId="2093" applyFill="0" applyProtection="0">
      <alignment horizontal="center"/>
    </xf>
    <xf numFmtId="0" fontId="241" fillId="94" borderId="2063" applyBorder="0" applyProtection="0">
      <alignment horizontal="centerContinuous" vertical="center"/>
    </xf>
    <xf numFmtId="0" fontId="210" fillId="0" borderId="1895" applyNumberFormat="0" applyFill="0" applyBorder="0" applyAlignment="0">
      <protection locked="0"/>
    </xf>
    <xf numFmtId="264" fontId="12" fillId="14" borderId="1895" applyFont="0" applyFill="0" applyBorder="0" applyAlignment="0" applyProtection="0">
      <alignment horizontal="right"/>
    </xf>
    <xf numFmtId="0" fontId="166" fillId="0" borderId="1895">
      <alignment horizontal="center"/>
    </xf>
    <xf numFmtId="0" fontId="165" fillId="0" borderId="1895" applyFill="0" applyProtection="0">
      <alignment horizontal="center"/>
    </xf>
    <xf numFmtId="186" fontId="146" fillId="3" borderId="1895" applyBorder="0">
      <alignment horizontal="left" vertical="center"/>
    </xf>
    <xf numFmtId="180" fontId="9" fillId="3" borderId="1895">
      <alignment horizontal="right" vertical="center"/>
    </xf>
    <xf numFmtId="192" fontId="9" fillId="3" borderId="1895">
      <alignment horizontal="right" vertical="center"/>
    </xf>
    <xf numFmtId="0" fontId="12" fillId="0" borderId="1895" applyNumberFormat="0" applyFill="0" applyBorder="0" applyAlignment="0" applyProtection="0">
      <alignment horizontal="center"/>
    </xf>
    <xf numFmtId="0" fontId="113" fillId="0" borderId="1895" applyNumberFormat="0" applyFill="0" applyAlignment="0" applyProtection="0"/>
    <xf numFmtId="222" fontId="79" fillId="0" borderId="1773" applyBorder="0"/>
    <xf numFmtId="0" fontId="101" fillId="0" borderId="1895" applyBorder="0"/>
    <xf numFmtId="0" fontId="25" fillId="69" borderId="4730">
      <alignment horizontal="left" vertical="center" wrapText="1"/>
    </xf>
    <xf numFmtId="248" fontId="46" fillId="0" borderId="1895"/>
    <xf numFmtId="246" fontId="250" fillId="0" borderId="1895" applyFill="0" applyProtection="0">
      <alignment horizontal="center"/>
    </xf>
    <xf numFmtId="246" fontId="249" fillId="0" borderId="1895" applyFill="0" applyProtection="0">
      <alignment horizontal="center"/>
    </xf>
    <xf numFmtId="0" fontId="241" fillId="94" borderId="1895" applyBorder="0" applyProtection="0">
      <alignment horizontal="centerContinuous" vertical="center"/>
    </xf>
    <xf numFmtId="254" fontId="240" fillId="0" borderId="1895" applyBorder="0" applyProtection="0">
      <alignment horizontal="right" vertical="center"/>
    </xf>
    <xf numFmtId="0" fontId="210" fillId="0" borderId="1895" applyNumberFormat="0" applyFill="0" applyBorder="0" applyAlignment="0">
      <protection locked="0"/>
    </xf>
    <xf numFmtId="264" fontId="12" fillId="14" borderId="1895" applyFont="0" applyFill="0" applyBorder="0" applyAlignment="0" applyProtection="0">
      <alignment horizontal="right"/>
    </xf>
    <xf numFmtId="0" fontId="166" fillId="0" borderId="1895">
      <alignment horizontal="center"/>
    </xf>
    <xf numFmtId="0" fontId="165" fillId="0" borderId="1895" applyFill="0" applyProtection="0">
      <alignment horizontal="center"/>
    </xf>
    <xf numFmtId="186" fontId="146" fillId="3" borderId="1895" applyBorder="0">
      <alignment horizontal="left" vertical="center"/>
    </xf>
    <xf numFmtId="180" fontId="9" fillId="3" borderId="1895">
      <alignment horizontal="right" vertical="center"/>
    </xf>
    <xf numFmtId="192" fontId="9" fillId="3" borderId="1895">
      <alignment horizontal="right" vertical="center"/>
    </xf>
    <xf numFmtId="248" fontId="46" fillId="0" borderId="1895"/>
    <xf numFmtId="0" fontId="12" fillId="0" borderId="1895" applyNumberFormat="0" applyFill="0" applyBorder="0" applyAlignment="0" applyProtection="0">
      <alignment horizontal="center"/>
    </xf>
    <xf numFmtId="0" fontId="113" fillId="0" borderId="1895" applyNumberFormat="0" applyFill="0" applyAlignment="0" applyProtection="0"/>
    <xf numFmtId="222" fontId="79" fillId="0" borderId="1773" applyBorder="0"/>
    <xf numFmtId="0" fontId="101" fillId="0" borderId="1895" applyBorder="0"/>
    <xf numFmtId="0" fontId="25" fillId="10" borderId="2153" applyNumberFormat="0" applyProtection="0">
      <alignment horizontal="left" vertical="top"/>
    </xf>
    <xf numFmtId="222" fontId="79" fillId="0" borderId="1966" applyBorder="0"/>
    <xf numFmtId="0" fontId="101" fillId="0" borderId="1967" applyBorder="0"/>
    <xf numFmtId="222" fontId="79" fillId="0" borderId="1966" applyBorder="0"/>
    <xf numFmtId="0" fontId="113" fillId="0" borderId="1967" applyNumberFormat="0" applyFill="0" applyAlignment="0" applyProtection="0"/>
    <xf numFmtId="0" fontId="12" fillId="0" borderId="1967" applyNumberFormat="0" applyFill="0" applyBorder="0" applyAlignment="0" applyProtection="0">
      <alignment horizontal="center"/>
    </xf>
    <xf numFmtId="248" fontId="46" fillId="0" borderId="1967"/>
    <xf numFmtId="192" fontId="9" fillId="3" borderId="1967">
      <alignment horizontal="right" vertical="center"/>
    </xf>
    <xf numFmtId="180" fontId="9" fillId="3" borderId="1967">
      <alignment horizontal="right" vertical="center"/>
    </xf>
    <xf numFmtId="186" fontId="146" fillId="3" borderId="1967" applyBorder="0">
      <alignment horizontal="left" vertical="center"/>
    </xf>
    <xf numFmtId="0" fontId="165" fillId="0" borderId="1967" applyFill="0" applyProtection="0">
      <alignment horizontal="center"/>
    </xf>
    <xf numFmtId="0" fontId="166" fillId="0" borderId="1967">
      <alignment horizontal="center"/>
    </xf>
    <xf numFmtId="264" fontId="12" fillId="14" borderId="1967" applyFont="0" applyFill="0" applyBorder="0" applyAlignment="0" applyProtection="0">
      <alignment horizontal="right"/>
    </xf>
    <xf numFmtId="0" fontId="210" fillId="0" borderId="1967" applyNumberFormat="0" applyFill="0" applyBorder="0" applyAlignment="0">
      <protection locked="0"/>
    </xf>
    <xf numFmtId="254" fontId="240" fillId="0" borderId="1967" applyBorder="0" applyProtection="0">
      <alignment horizontal="right" vertical="center"/>
    </xf>
    <xf numFmtId="0" fontId="241" fillId="94" borderId="1967" applyBorder="0" applyProtection="0">
      <alignment horizontal="centerContinuous" vertical="center"/>
    </xf>
    <xf numFmtId="246" fontId="249" fillId="0" borderId="1967" applyFill="0" applyProtection="0">
      <alignment horizontal="center"/>
    </xf>
    <xf numFmtId="246" fontId="250" fillId="0" borderId="1967" applyFill="0" applyProtection="0">
      <alignment horizontal="center"/>
    </xf>
    <xf numFmtId="0" fontId="78" fillId="14" borderId="1969" applyFont="0" applyFill="0" applyBorder="0" applyAlignment="0" applyProtection="0"/>
    <xf numFmtId="0" fontId="25" fillId="10" borderId="1977" applyNumberFormat="0" applyProtection="0">
      <alignment horizontal="left" vertical="top"/>
    </xf>
    <xf numFmtId="0" fontId="25" fillId="10" borderId="1976" applyNumberFormat="0" applyProtection="0">
      <alignment horizontal="left" vertical="top"/>
    </xf>
    <xf numFmtId="0" fontId="25" fillId="10" borderId="1975" applyNumberFormat="0" applyProtection="0">
      <alignment horizontal="left" vertical="top"/>
    </xf>
    <xf numFmtId="0" fontId="25" fillId="10" borderId="1974" applyNumberFormat="0" applyProtection="0">
      <alignment horizontal="left" vertical="top"/>
    </xf>
    <xf numFmtId="0" fontId="214" fillId="0" borderId="1973" applyNumberFormat="0" applyFont="0" applyFill="0" applyAlignment="0" applyProtection="0"/>
    <xf numFmtId="0" fontId="2" fillId="0" borderId="1972" applyNumberFormat="0" applyAlignment="0" applyProtection="0"/>
    <xf numFmtId="186" fontId="140" fillId="3" borderId="1971">
      <alignment horizontal="center" vertical="center"/>
    </xf>
    <xf numFmtId="186" fontId="146" fillId="3" borderId="1970">
      <alignment horizontal="left"/>
    </xf>
    <xf numFmtId="0" fontId="75" fillId="0" borderId="1968" applyNumberFormat="0" applyFont="0" applyFill="0" applyAlignment="0" applyProtection="0"/>
    <xf numFmtId="222" fontId="79" fillId="0" borderId="1978" applyBorder="0"/>
    <xf numFmtId="0" fontId="101" fillId="0" borderId="1979" applyBorder="0"/>
    <xf numFmtId="222" fontId="79" fillId="0" borderId="1978" applyBorder="0"/>
    <xf numFmtId="0" fontId="113" fillId="0" borderId="1979" applyNumberFormat="0" applyFill="0" applyAlignment="0" applyProtection="0"/>
    <xf numFmtId="0" fontId="12" fillId="0" borderId="1979" applyNumberFormat="0" applyFill="0" applyBorder="0" applyAlignment="0" applyProtection="0">
      <alignment horizontal="center"/>
    </xf>
    <xf numFmtId="248" fontId="46" fillId="0" borderId="1979"/>
    <xf numFmtId="192" fontId="9" fillId="3" borderId="1979">
      <alignment horizontal="right" vertical="center"/>
    </xf>
    <xf numFmtId="180" fontId="9" fillId="3" borderId="1979">
      <alignment horizontal="right" vertical="center"/>
    </xf>
    <xf numFmtId="186" fontId="146" fillId="3" borderId="1979" applyBorder="0">
      <alignment horizontal="left" vertical="center"/>
    </xf>
    <xf numFmtId="0" fontId="165" fillId="0" borderId="1979" applyFill="0" applyProtection="0">
      <alignment horizontal="center"/>
    </xf>
    <xf numFmtId="0" fontId="166" fillId="0" borderId="1979">
      <alignment horizontal="center"/>
    </xf>
    <xf numFmtId="264" fontId="12" fillId="14" borderId="1979" applyFont="0" applyFill="0" applyBorder="0" applyAlignment="0" applyProtection="0">
      <alignment horizontal="right"/>
    </xf>
    <xf numFmtId="0" fontId="210" fillId="0" borderId="1979" applyNumberFormat="0" applyFill="0" applyBorder="0" applyAlignment="0">
      <protection locked="0"/>
    </xf>
    <xf numFmtId="254" fontId="240" fillId="0" borderId="1979" applyBorder="0" applyProtection="0">
      <alignment horizontal="right" vertical="center"/>
    </xf>
    <xf numFmtId="0" fontId="241" fillId="94" borderId="1979" applyBorder="0" applyProtection="0">
      <alignment horizontal="centerContinuous" vertical="center"/>
    </xf>
    <xf numFmtId="246" fontId="249" fillId="0" borderId="1979" applyFill="0" applyProtection="0">
      <alignment horizontal="center"/>
    </xf>
    <xf numFmtId="246" fontId="250" fillId="0" borderId="1979" applyFill="0" applyProtection="0">
      <alignment horizontal="center"/>
    </xf>
    <xf numFmtId="186" fontId="146" fillId="3" borderId="1982">
      <alignment horizontal="left"/>
    </xf>
    <xf numFmtId="0" fontId="75" fillId="0" borderId="1980" applyNumberFormat="0" applyFont="0" applyFill="0" applyAlignment="0" applyProtection="0"/>
    <xf numFmtId="0" fontId="113" fillId="0" borderId="2063" applyNumberFormat="0" applyFill="0" applyAlignment="0" applyProtection="0"/>
    <xf numFmtId="264" fontId="12" fillId="14" borderId="2063" applyFont="0" applyFill="0" applyBorder="0" applyAlignment="0" applyProtection="0">
      <alignment horizontal="right"/>
    </xf>
    <xf numFmtId="246" fontId="249" fillId="0" borderId="2063" applyFill="0" applyProtection="0">
      <alignment horizontal="center"/>
    </xf>
    <xf numFmtId="0" fontId="25" fillId="10" borderId="1989" applyNumberFormat="0" applyProtection="0">
      <alignment horizontal="left" vertical="top"/>
    </xf>
    <xf numFmtId="0" fontId="25" fillId="10" borderId="1987" applyNumberFormat="0" applyProtection="0">
      <alignment horizontal="left" vertical="top"/>
    </xf>
    <xf numFmtId="0" fontId="25" fillId="10" borderId="1988" applyNumberFormat="0" applyProtection="0">
      <alignment horizontal="left" vertical="top"/>
    </xf>
    <xf numFmtId="0" fontId="25" fillId="10" borderId="1986" applyNumberFormat="0" applyProtection="0">
      <alignment horizontal="left" vertical="top"/>
    </xf>
    <xf numFmtId="0" fontId="25" fillId="10" borderId="1989" applyNumberFormat="0" applyProtection="0">
      <alignment horizontal="left" vertical="top"/>
    </xf>
    <xf numFmtId="0" fontId="25" fillId="10" borderId="1988" applyNumberFormat="0" applyProtection="0">
      <alignment horizontal="left" vertical="top"/>
    </xf>
    <xf numFmtId="0" fontId="25" fillId="10" borderId="1987" applyNumberFormat="0" applyProtection="0">
      <alignment horizontal="left" vertical="top"/>
    </xf>
    <xf numFmtId="0" fontId="25" fillId="10" borderId="1986" applyNumberFormat="0" applyProtection="0">
      <alignment horizontal="left" vertical="top"/>
    </xf>
    <xf numFmtId="0" fontId="214" fillId="0" borderId="1985" applyNumberFormat="0" applyFont="0" applyFill="0" applyAlignment="0" applyProtection="0"/>
    <xf numFmtId="0" fontId="2" fillId="0" borderId="1984" applyNumberFormat="0" applyAlignment="0" applyProtection="0"/>
    <xf numFmtId="186" fontId="140" fillId="3" borderId="1983">
      <alignment horizontal="center" vertical="center"/>
    </xf>
    <xf numFmtId="186" fontId="140" fillId="3" borderId="1995">
      <alignment horizontal="center" vertical="center"/>
    </xf>
    <xf numFmtId="0" fontId="25" fillId="10" borderId="1998" applyNumberFormat="0" applyProtection="0">
      <alignment horizontal="left" vertical="top"/>
    </xf>
    <xf numFmtId="0" fontId="12" fillId="0" borderId="2063" applyNumberFormat="0" applyFill="0" applyBorder="0" applyAlignment="0" applyProtection="0">
      <alignment horizontal="center"/>
    </xf>
    <xf numFmtId="0" fontId="25" fillId="10" borderId="2060" applyNumberFormat="0" applyProtection="0">
      <alignment horizontal="left" vertical="top"/>
    </xf>
    <xf numFmtId="222" fontId="79" fillId="0" borderId="2050" applyBorder="0"/>
    <xf numFmtId="0" fontId="78" fillId="14" borderId="2053" applyFont="0" applyFill="0" applyBorder="0" applyAlignment="0" applyProtection="0"/>
    <xf numFmtId="222" fontId="79" fillId="0" borderId="2062" applyBorder="0"/>
    <xf numFmtId="0" fontId="101" fillId="0" borderId="2063" applyBorder="0"/>
    <xf numFmtId="222" fontId="79" fillId="0" borderId="2062" applyBorder="0"/>
    <xf numFmtId="248" fontId="46" fillId="0" borderId="2063"/>
    <xf numFmtId="192" fontId="9" fillId="3" borderId="2063">
      <alignment horizontal="right" vertical="center"/>
    </xf>
    <xf numFmtId="180" fontId="9" fillId="3" borderId="2063">
      <alignment horizontal="right" vertical="center"/>
    </xf>
    <xf numFmtId="186" fontId="146" fillId="3" borderId="2063" applyBorder="0">
      <alignment horizontal="left" vertical="center"/>
    </xf>
    <xf numFmtId="0" fontId="165" fillId="0" borderId="2063" applyFill="0" applyProtection="0">
      <alignment horizontal="center"/>
    </xf>
    <xf numFmtId="0" fontId="210" fillId="0" borderId="2063" applyNumberFormat="0" applyFill="0" applyBorder="0" applyAlignment="0">
      <protection locked="0"/>
    </xf>
    <xf numFmtId="254" fontId="240" fillId="0" borderId="2063" applyBorder="0" applyProtection="0">
      <alignment horizontal="right" vertical="center"/>
    </xf>
    <xf numFmtId="246" fontId="250" fillId="0" borderId="2063" applyFill="0" applyProtection="0">
      <alignment horizontal="center"/>
    </xf>
    <xf numFmtId="222" fontId="79" fillId="0" borderId="2002" applyBorder="0"/>
    <xf numFmtId="0" fontId="25" fillId="10" borderId="1999" applyNumberFormat="0" applyProtection="0">
      <alignment horizontal="left" vertical="top"/>
    </xf>
    <xf numFmtId="0" fontId="25" fillId="10" borderId="2001" applyNumberFormat="0" applyProtection="0">
      <alignment horizontal="left" vertical="top"/>
    </xf>
    <xf numFmtId="0" fontId="25" fillId="10" borderId="1998" applyNumberFormat="0" applyProtection="0">
      <alignment horizontal="left" vertical="top"/>
    </xf>
    <xf numFmtId="0" fontId="25" fillId="10" borderId="1999" applyNumberFormat="0" applyProtection="0">
      <alignment horizontal="left" vertical="top"/>
    </xf>
    <xf numFmtId="0" fontId="25" fillId="10" borderId="2000" applyNumberFormat="0" applyProtection="0">
      <alignment horizontal="left" vertical="top"/>
    </xf>
    <xf numFmtId="0" fontId="75" fillId="0" borderId="2004" applyNumberFormat="0" applyFont="0" applyFill="0" applyAlignment="0" applyProtection="0"/>
    <xf numFmtId="0" fontId="101" fillId="0" borderId="2015" applyBorder="0"/>
    <xf numFmtId="222" fontId="79" fillId="0" borderId="2014" applyBorder="0"/>
    <xf numFmtId="0" fontId="113" fillId="0" borderId="2015" applyNumberFormat="0" applyFill="0" applyAlignment="0" applyProtection="0"/>
    <xf numFmtId="0" fontId="12" fillId="0" borderId="2015" applyNumberFormat="0" applyFill="0" applyBorder="0" applyAlignment="0" applyProtection="0">
      <alignment horizontal="center"/>
    </xf>
    <xf numFmtId="248" fontId="46" fillId="0" borderId="2015"/>
    <xf numFmtId="192" fontId="9" fillId="3" borderId="2015">
      <alignment horizontal="right" vertical="center"/>
    </xf>
    <xf numFmtId="180" fontId="9" fillId="3" borderId="2015">
      <alignment horizontal="right" vertical="center"/>
    </xf>
    <xf numFmtId="186" fontId="146" fillId="3" borderId="2015" applyBorder="0">
      <alignment horizontal="left" vertical="center"/>
    </xf>
    <xf numFmtId="0" fontId="166" fillId="0" borderId="2015">
      <alignment horizontal="center"/>
    </xf>
    <xf numFmtId="0" fontId="210" fillId="0" borderId="2015" applyNumberFormat="0" applyFill="0" applyBorder="0" applyAlignment="0">
      <protection locked="0"/>
    </xf>
    <xf numFmtId="264" fontId="12" fillId="14" borderId="2015" applyFont="0" applyFill="0" applyBorder="0" applyAlignment="0" applyProtection="0">
      <alignment horizontal="right"/>
    </xf>
    <xf numFmtId="246" fontId="249" fillId="0" borderId="2015" applyFill="0" applyProtection="0">
      <alignment horizontal="center"/>
    </xf>
    <xf numFmtId="246" fontId="250" fillId="0" borderId="2015" applyFill="0" applyProtection="0">
      <alignment horizontal="center"/>
    </xf>
    <xf numFmtId="246" fontId="250" fillId="0" borderId="2039" applyFill="0" applyProtection="0">
      <alignment horizontal="center"/>
    </xf>
    <xf numFmtId="246" fontId="249" fillId="0" borderId="2039" applyFill="0" applyProtection="0">
      <alignment horizontal="center"/>
    </xf>
    <xf numFmtId="254" fontId="240" fillId="0" borderId="2039" applyBorder="0" applyProtection="0">
      <alignment horizontal="right" vertical="center"/>
    </xf>
    <xf numFmtId="264" fontId="12" fillId="14" borderId="2039" applyFont="0" applyFill="0" applyBorder="0" applyAlignment="0" applyProtection="0">
      <alignment horizontal="right"/>
    </xf>
    <xf numFmtId="0" fontId="165" fillId="0" borderId="2039" applyFill="0" applyProtection="0">
      <alignment horizontal="center"/>
    </xf>
    <xf numFmtId="180" fontId="9" fillId="3" borderId="2039">
      <alignment horizontal="right" vertical="center"/>
    </xf>
    <xf numFmtId="0" fontId="12" fillId="0" borderId="2039" applyNumberFormat="0" applyFill="0" applyBorder="0" applyAlignment="0" applyProtection="0">
      <alignment horizontal="center"/>
    </xf>
    <xf numFmtId="0" fontId="101" fillId="0" borderId="2039" applyBorder="0"/>
    <xf numFmtId="222" fontId="79" fillId="0" borderId="2038" applyBorder="0"/>
    <xf numFmtId="0" fontId="75" fillId="0" borderId="2028" applyNumberFormat="0" applyFont="0" applyFill="0" applyAlignment="0" applyProtection="0"/>
    <xf numFmtId="0" fontId="2" fillId="0" borderId="2032" applyNumberFormat="0" applyAlignment="0" applyProtection="0"/>
    <xf numFmtId="0" fontId="25" fillId="10" borderId="2034" applyNumberFormat="0" applyProtection="0">
      <alignment horizontal="left" vertical="top"/>
    </xf>
    <xf numFmtId="0" fontId="25" fillId="10" borderId="2037" applyNumberFormat="0" applyProtection="0">
      <alignment horizontal="left" vertical="top"/>
    </xf>
    <xf numFmtId="222" fontId="79" fillId="0" borderId="2026" applyBorder="0"/>
    <xf numFmtId="0" fontId="25" fillId="10" borderId="2012" applyNumberFormat="0" applyProtection="0">
      <alignment horizontal="left" vertical="top"/>
    </xf>
    <xf numFmtId="0" fontId="25" fillId="10" borderId="2010" applyNumberFormat="0" applyProtection="0">
      <alignment horizontal="left" vertical="top"/>
    </xf>
    <xf numFmtId="0" fontId="214" fillId="0" borderId="2009" applyNumberFormat="0" applyFont="0" applyFill="0" applyAlignment="0" applyProtection="0"/>
    <xf numFmtId="186" fontId="146" fillId="3" borderId="2006">
      <alignment horizontal="left"/>
    </xf>
    <xf numFmtId="222" fontId="79" fillId="0" borderId="2014" applyBorder="0"/>
    <xf numFmtId="0" fontId="101" fillId="0" borderId="1895" applyBorder="0"/>
    <xf numFmtId="0" fontId="113" fillId="0" borderId="1895" applyNumberFormat="0" applyFill="0" applyAlignment="0" applyProtection="0"/>
    <xf numFmtId="0" fontId="12" fillId="0" borderId="1895" applyNumberFormat="0" applyFill="0" applyBorder="0" applyAlignment="0" applyProtection="0">
      <alignment horizontal="center"/>
    </xf>
    <xf numFmtId="248" fontId="46" fillId="0" borderId="1895"/>
    <xf numFmtId="192" fontId="9" fillId="3" borderId="1895">
      <alignment horizontal="right" vertical="center"/>
    </xf>
    <xf numFmtId="180" fontId="9" fillId="3" borderId="1895">
      <alignment horizontal="right" vertical="center"/>
    </xf>
    <xf numFmtId="186" fontId="146" fillId="3" borderId="1895" applyBorder="0">
      <alignment horizontal="left" vertical="center"/>
    </xf>
    <xf numFmtId="0" fontId="165" fillId="0" borderId="1895" applyFill="0" applyProtection="0">
      <alignment horizontal="center"/>
    </xf>
    <xf numFmtId="0" fontId="166" fillId="0" borderId="1895">
      <alignment horizontal="center"/>
    </xf>
    <xf numFmtId="264" fontId="12" fillId="14" borderId="1895" applyFont="0" applyFill="0" applyBorder="0" applyAlignment="0" applyProtection="0">
      <alignment horizontal="right"/>
    </xf>
    <xf numFmtId="0" fontId="210" fillId="0" borderId="1895" applyNumberFormat="0" applyFill="0" applyBorder="0" applyAlignment="0">
      <protection locked="0"/>
    </xf>
    <xf numFmtId="248" fontId="46" fillId="0" borderId="2039"/>
    <xf numFmtId="222" fontId="79" fillId="0" borderId="2038" applyBorder="0"/>
    <xf numFmtId="186" fontId="140" fillId="3" borderId="2031">
      <alignment horizontal="center" vertical="center"/>
    </xf>
    <xf numFmtId="0" fontId="25" fillId="10" borderId="2036" applyNumberFormat="0" applyProtection="0">
      <alignment horizontal="left" vertical="top"/>
    </xf>
    <xf numFmtId="0" fontId="210" fillId="0" borderId="2039" applyNumberFormat="0" applyFill="0" applyBorder="0" applyAlignment="0">
      <protection locked="0"/>
    </xf>
    <xf numFmtId="192" fontId="9" fillId="3" borderId="2039">
      <alignment horizontal="right" vertical="center"/>
    </xf>
    <xf numFmtId="0" fontId="113" fillId="0" borderId="2039" applyNumberFormat="0" applyFill="0" applyAlignment="0" applyProtection="0"/>
    <xf numFmtId="186" fontId="146" fillId="3" borderId="2030">
      <alignment horizontal="left"/>
    </xf>
    <xf numFmtId="0" fontId="25" fillId="10" borderId="2035" applyNumberFormat="0" applyProtection="0">
      <alignment horizontal="left" vertical="top"/>
    </xf>
    <xf numFmtId="254" fontId="240" fillId="0" borderId="1895" applyBorder="0" applyProtection="0">
      <alignment horizontal="right" vertical="center"/>
    </xf>
    <xf numFmtId="0" fontId="241" fillId="94" borderId="1895" applyBorder="0" applyProtection="0">
      <alignment horizontal="centerContinuous" vertical="center"/>
    </xf>
    <xf numFmtId="246" fontId="249" fillId="0" borderId="1895" applyFill="0" applyProtection="0">
      <alignment horizontal="center"/>
    </xf>
    <xf numFmtId="246" fontId="250" fillId="0" borderId="1895" applyFill="0" applyProtection="0">
      <alignment horizontal="center"/>
    </xf>
    <xf numFmtId="0" fontId="25" fillId="10" borderId="2059" applyNumberFormat="0" applyProtection="0">
      <alignment horizontal="left" vertical="top"/>
    </xf>
    <xf numFmtId="0" fontId="25" fillId="10" borderId="2061" applyNumberFormat="0" applyProtection="0">
      <alignment horizontal="left" vertical="top"/>
    </xf>
    <xf numFmtId="222" fontId="79" fillId="0" borderId="1990" applyBorder="0"/>
    <xf numFmtId="0" fontId="214" fillId="0" borderId="2057" applyNumberFormat="0" applyFont="0" applyFill="0" applyAlignment="0" applyProtection="0"/>
    <xf numFmtId="0" fontId="75" fillId="0" borderId="1992" applyNumberFormat="0" applyFont="0" applyFill="0" applyAlignment="0" applyProtection="0"/>
    <xf numFmtId="0" fontId="25" fillId="10" borderId="2000" applyNumberFormat="0" applyProtection="0">
      <alignment horizontal="left" vertical="top"/>
    </xf>
    <xf numFmtId="0" fontId="25" fillId="10" borderId="2001" applyNumberFormat="0" applyProtection="0">
      <alignment horizontal="left" vertical="top"/>
    </xf>
    <xf numFmtId="0" fontId="165" fillId="0" borderId="2015" applyFill="0" applyProtection="0">
      <alignment horizontal="center"/>
    </xf>
    <xf numFmtId="254" fontId="240" fillId="0" borderId="2015" applyBorder="0" applyProtection="0">
      <alignment horizontal="right" vertical="center"/>
    </xf>
    <xf numFmtId="0" fontId="241" fillId="94" borderId="2015" applyBorder="0" applyProtection="0">
      <alignment horizontal="centerContinuous" vertical="center"/>
    </xf>
    <xf numFmtId="0" fontId="241" fillId="94" borderId="2039" applyBorder="0" applyProtection="0">
      <alignment horizontal="centerContinuous" vertical="center"/>
    </xf>
    <xf numFmtId="0" fontId="166" fillId="0" borderId="2039">
      <alignment horizontal="center"/>
    </xf>
    <xf numFmtId="186" fontId="146" fillId="3" borderId="2039" applyBorder="0">
      <alignment horizontal="left" vertical="center"/>
    </xf>
    <xf numFmtId="0" fontId="214" fillId="0" borderId="2033" applyNumberFormat="0" applyFont="0" applyFill="0" applyAlignment="0" applyProtection="0"/>
    <xf numFmtId="0" fontId="78" fillId="14" borderId="2029" applyFont="0" applyFill="0" applyBorder="0" applyAlignment="0" applyProtection="0"/>
    <xf numFmtId="0" fontId="78" fillId="14" borderId="1957" applyFont="0" applyFill="0" applyBorder="0" applyAlignment="0" applyProtection="0"/>
    <xf numFmtId="0" fontId="25" fillId="10" borderId="1893" applyNumberFormat="0" applyProtection="0">
      <alignment horizontal="left" vertical="top"/>
    </xf>
    <xf numFmtId="0" fontId="25" fillId="10" borderId="1892" applyNumberFormat="0" applyProtection="0">
      <alignment horizontal="left" vertical="top"/>
    </xf>
    <xf numFmtId="0" fontId="25" fillId="10" borderId="1891" applyNumberFormat="0" applyProtection="0">
      <alignment horizontal="left" vertical="top"/>
    </xf>
    <xf numFmtId="0" fontId="25" fillId="10" borderId="1890" applyNumberFormat="0" applyProtection="0">
      <alignment horizontal="left" vertical="top"/>
    </xf>
    <xf numFmtId="186" fontId="140" fillId="3" borderId="2055">
      <alignment horizontal="center" vertical="center"/>
    </xf>
    <xf numFmtId="0" fontId="214" fillId="0" borderId="1889" applyNumberFormat="0" applyFont="0" applyFill="0" applyAlignment="0" applyProtection="0"/>
    <xf numFmtId="0" fontId="2" fillId="0" borderId="1888" applyNumberFormat="0" applyAlignment="0" applyProtection="0"/>
    <xf numFmtId="186" fontId="140" fillId="3" borderId="1887">
      <alignment horizontal="center" vertical="center"/>
    </xf>
    <xf numFmtId="186" fontId="146" fillId="3" borderId="1886">
      <alignment horizontal="left"/>
    </xf>
    <xf numFmtId="186" fontId="146" fillId="3" borderId="2054">
      <alignment horizontal="left"/>
    </xf>
    <xf numFmtId="0" fontId="75" fillId="0" borderId="1884" applyNumberFormat="0" applyFont="0" applyFill="0" applyAlignment="0" applyProtection="0"/>
    <xf numFmtId="0" fontId="75" fillId="0" borderId="2052" applyNumberFormat="0" applyFont="0" applyFill="0" applyAlignment="0" applyProtection="0"/>
    <xf numFmtId="222" fontId="79" fillId="0" borderId="1966" applyBorder="0"/>
    <xf numFmtId="222" fontId="79" fillId="0" borderId="1966" applyBorder="0"/>
    <xf numFmtId="0" fontId="25" fillId="10" borderId="2058" applyNumberFormat="0" applyProtection="0">
      <alignment horizontal="left" vertical="top"/>
    </xf>
    <xf numFmtId="0" fontId="2" fillId="0" borderId="2056" applyNumberFormat="0" applyAlignment="0" applyProtection="0"/>
    <xf numFmtId="246" fontId="250" fillId="0" borderId="1991" applyFill="0" applyProtection="0">
      <alignment horizontal="center"/>
    </xf>
    <xf numFmtId="246" fontId="249" fillId="0" borderId="1991" applyFill="0" applyProtection="0">
      <alignment horizontal="center"/>
    </xf>
    <xf numFmtId="0" fontId="241" fillId="94" borderId="1991" applyBorder="0" applyProtection="0">
      <alignment horizontal="centerContinuous" vertical="center"/>
    </xf>
    <xf numFmtId="254" fontId="240" fillId="0" borderId="1991" applyBorder="0" applyProtection="0">
      <alignment horizontal="right" vertical="center"/>
    </xf>
    <xf numFmtId="0" fontId="210" fillId="0" borderId="1991" applyNumberFormat="0" applyFill="0" applyBorder="0" applyAlignment="0">
      <protection locked="0"/>
    </xf>
    <xf numFmtId="264" fontId="12" fillId="14" borderId="1991" applyFont="0" applyFill="0" applyBorder="0" applyAlignment="0" applyProtection="0">
      <alignment horizontal="right"/>
    </xf>
    <xf numFmtId="0" fontId="166" fillId="0" borderId="1991">
      <alignment horizontal="center"/>
    </xf>
    <xf numFmtId="0" fontId="165" fillId="0" borderId="1991" applyFill="0" applyProtection="0">
      <alignment horizontal="center"/>
    </xf>
    <xf numFmtId="186" fontId="146" fillId="3" borderId="1991" applyBorder="0">
      <alignment horizontal="left" vertical="center"/>
    </xf>
    <xf numFmtId="180" fontId="9" fillId="3" borderId="1991">
      <alignment horizontal="right" vertical="center"/>
    </xf>
    <xf numFmtId="192" fontId="9" fillId="3" borderId="1991">
      <alignment horizontal="right" vertical="center"/>
    </xf>
    <xf numFmtId="248" fontId="46" fillId="0" borderId="1991"/>
    <xf numFmtId="0" fontId="12" fillId="0" borderId="1991" applyNumberFormat="0" applyFill="0" applyBorder="0" applyAlignment="0" applyProtection="0">
      <alignment horizontal="center"/>
    </xf>
    <xf numFmtId="0" fontId="113" fillId="0" borderId="1991" applyNumberFormat="0" applyFill="0" applyAlignment="0" applyProtection="0"/>
    <xf numFmtId="222" fontId="79" fillId="0" borderId="1990" applyBorder="0"/>
    <xf numFmtId="0" fontId="101" fillId="0" borderId="1991" applyBorder="0"/>
    <xf numFmtId="222" fontId="79" fillId="0" borderId="1990" applyBorder="0"/>
    <xf numFmtId="0" fontId="75" fillId="0" borderId="1980" applyNumberFormat="0" applyFont="0" applyFill="0" applyAlignment="0" applyProtection="0"/>
    <xf numFmtId="186" fontId="146" fillId="3" borderId="1982">
      <alignment horizontal="left"/>
    </xf>
    <xf numFmtId="186" fontId="140" fillId="3" borderId="1983">
      <alignment horizontal="center" vertical="center"/>
    </xf>
    <xf numFmtId="0" fontId="2" fillId="0" borderId="1984" applyNumberFormat="0" applyAlignment="0" applyProtection="0"/>
    <xf numFmtId="0" fontId="214" fillId="0" borderId="1985" applyNumberFormat="0" applyFont="0" applyFill="0" applyAlignment="0" applyProtection="0"/>
    <xf numFmtId="0" fontId="25" fillId="10" borderId="1986" applyNumberFormat="0" applyProtection="0">
      <alignment horizontal="left" vertical="top"/>
    </xf>
    <xf numFmtId="0" fontId="25" fillId="10" borderId="1987" applyNumberFormat="0" applyProtection="0">
      <alignment horizontal="left" vertical="top"/>
    </xf>
    <xf numFmtId="0" fontId="25" fillId="10" borderId="1988" applyNumberFormat="0" applyProtection="0">
      <alignment horizontal="left" vertical="top"/>
    </xf>
    <xf numFmtId="0" fontId="25" fillId="10" borderId="1989" applyNumberFormat="0" applyProtection="0">
      <alignment horizontal="left" vertical="top"/>
    </xf>
    <xf numFmtId="0" fontId="78" fillId="14" borderId="1981" applyFont="0" applyFill="0" applyBorder="0" applyAlignment="0" applyProtection="0"/>
    <xf numFmtId="222" fontId="79" fillId="0" borderId="1978" applyBorder="0"/>
    <xf numFmtId="0" fontId="78" fillId="14" borderId="1957" applyFont="0" applyFill="0" applyBorder="0" applyAlignment="0" applyProtection="0"/>
    <xf numFmtId="222" fontId="79" fillId="0" borderId="1966" applyBorder="0"/>
    <xf numFmtId="0" fontId="78" fillId="14" borderId="1969" applyFont="0" applyFill="0" applyBorder="0" applyAlignment="0" applyProtection="0"/>
    <xf numFmtId="0" fontId="25" fillId="10" borderId="1977" applyNumberFormat="0" applyProtection="0">
      <alignment horizontal="left" vertical="top"/>
    </xf>
    <xf numFmtId="0" fontId="25" fillId="10" borderId="1976" applyNumberFormat="0" applyProtection="0">
      <alignment horizontal="left" vertical="top"/>
    </xf>
    <xf numFmtId="0" fontId="25" fillId="10" borderId="1975" applyNumberFormat="0" applyProtection="0">
      <alignment horizontal="left" vertical="top"/>
    </xf>
    <xf numFmtId="0" fontId="25" fillId="10" borderId="1974" applyNumberFormat="0" applyProtection="0">
      <alignment horizontal="left" vertical="top"/>
    </xf>
    <xf numFmtId="0" fontId="214" fillId="0" borderId="1973" applyNumberFormat="0" applyFont="0" applyFill="0" applyAlignment="0" applyProtection="0"/>
    <xf numFmtId="0" fontId="2" fillId="0" borderId="1888" applyNumberFormat="0" applyAlignment="0" applyProtection="0"/>
    <xf numFmtId="186" fontId="140" fillId="3" borderId="1971">
      <alignment horizontal="center" vertical="center"/>
    </xf>
    <xf numFmtId="186" fontId="146" fillId="3" borderId="1970">
      <alignment horizontal="left"/>
    </xf>
    <xf numFmtId="0" fontId="75" fillId="0" borderId="1968" applyNumberFormat="0" applyFont="0" applyFill="0" applyAlignment="0" applyProtection="0"/>
    <xf numFmtId="222" fontId="79" fillId="0" borderId="1978" applyBorder="0"/>
    <xf numFmtId="0" fontId="101" fillId="0" borderId="1979" applyBorder="0"/>
    <xf numFmtId="222" fontId="79" fillId="0" borderId="1978" applyBorder="0"/>
    <xf numFmtId="0" fontId="113" fillId="0" borderId="1979" applyNumberFormat="0" applyFill="0" applyAlignment="0" applyProtection="0"/>
    <xf numFmtId="0" fontId="12" fillId="0" borderId="1979" applyNumberFormat="0" applyFill="0" applyBorder="0" applyAlignment="0" applyProtection="0">
      <alignment horizontal="center"/>
    </xf>
    <xf numFmtId="248" fontId="46" fillId="0" borderId="1979"/>
    <xf numFmtId="192" fontId="9" fillId="3" borderId="1979">
      <alignment horizontal="right" vertical="center"/>
    </xf>
    <xf numFmtId="180" fontId="9" fillId="3" borderId="1979">
      <alignment horizontal="right" vertical="center"/>
    </xf>
    <xf numFmtId="186" fontId="146" fillId="3" borderId="1979" applyBorder="0">
      <alignment horizontal="left" vertical="center"/>
    </xf>
    <xf numFmtId="0" fontId="165" fillId="0" borderId="1979" applyFill="0" applyProtection="0">
      <alignment horizontal="center"/>
    </xf>
    <xf numFmtId="0" fontId="166" fillId="0" borderId="1979">
      <alignment horizontal="center"/>
    </xf>
    <xf numFmtId="264" fontId="12" fillId="14" borderId="1979" applyFont="0" applyFill="0" applyBorder="0" applyAlignment="0" applyProtection="0">
      <alignment horizontal="right"/>
    </xf>
    <xf numFmtId="0" fontId="210" fillId="0" borderId="1979" applyNumberFormat="0" applyFill="0" applyBorder="0" applyAlignment="0">
      <protection locked="0"/>
    </xf>
    <xf numFmtId="254" fontId="240" fillId="0" borderId="1979" applyBorder="0" applyProtection="0">
      <alignment horizontal="right" vertical="center"/>
    </xf>
    <xf numFmtId="0" fontId="241" fillId="94" borderId="1979" applyBorder="0" applyProtection="0">
      <alignment horizontal="centerContinuous" vertical="center"/>
    </xf>
    <xf numFmtId="246" fontId="249" fillId="0" borderId="1979" applyFill="0" applyProtection="0">
      <alignment horizontal="center"/>
    </xf>
    <xf numFmtId="246" fontId="250" fillId="0" borderId="1979" applyFill="0" applyProtection="0">
      <alignment horizontal="center"/>
    </xf>
    <xf numFmtId="0" fontId="241" fillId="94" borderId="2063" applyBorder="0" applyProtection="0">
      <alignment horizontal="centerContinuous" vertical="center"/>
    </xf>
    <xf numFmtId="0" fontId="166" fillId="0" borderId="2063">
      <alignment horizontal="center"/>
    </xf>
    <xf numFmtId="0" fontId="2" fillId="0" borderId="1996" applyNumberFormat="0" applyAlignment="0" applyProtection="0"/>
    <xf numFmtId="0" fontId="214" fillId="0" borderId="1997" applyNumberFormat="0" applyFont="0" applyFill="0" applyAlignment="0" applyProtection="0"/>
    <xf numFmtId="246" fontId="250" fillId="0" borderId="2003" applyFill="0" applyProtection="0">
      <alignment horizontal="center"/>
    </xf>
    <xf numFmtId="246" fontId="249" fillId="0" borderId="2003" applyFill="0" applyProtection="0">
      <alignment horizontal="center"/>
    </xf>
    <xf numFmtId="0" fontId="241" fillId="94" borderId="2003" applyBorder="0" applyProtection="0">
      <alignment horizontal="centerContinuous" vertical="center"/>
    </xf>
    <xf numFmtId="254" fontId="240" fillId="0" borderId="2003" applyBorder="0" applyProtection="0">
      <alignment horizontal="right" vertical="center"/>
    </xf>
    <xf numFmtId="0" fontId="210" fillId="0" borderId="2003" applyNumberFormat="0" applyFill="0" applyBorder="0" applyAlignment="0">
      <protection locked="0"/>
    </xf>
    <xf numFmtId="264" fontId="12" fillId="14" borderId="2003" applyFont="0" applyFill="0" applyBorder="0" applyAlignment="0" applyProtection="0">
      <alignment horizontal="right"/>
    </xf>
    <xf numFmtId="0" fontId="166" fillId="0" borderId="2003">
      <alignment horizontal="center"/>
    </xf>
    <xf numFmtId="0" fontId="165" fillId="0" borderId="2003" applyFill="0" applyProtection="0">
      <alignment horizontal="center"/>
    </xf>
    <xf numFmtId="186" fontId="146" fillId="3" borderId="2003" applyBorder="0">
      <alignment horizontal="left" vertical="center"/>
    </xf>
    <xf numFmtId="180" fontId="9" fillId="3" borderId="2003">
      <alignment horizontal="right" vertical="center"/>
    </xf>
    <xf numFmtId="192" fontId="9" fillId="3" borderId="2003">
      <alignment horizontal="right" vertical="center"/>
    </xf>
    <xf numFmtId="248" fontId="46" fillId="0" borderId="2003"/>
    <xf numFmtId="0" fontId="12" fillId="0" borderId="2003" applyNumberFormat="0" applyFill="0" applyBorder="0" applyAlignment="0" applyProtection="0">
      <alignment horizontal="center"/>
    </xf>
    <xf numFmtId="0" fontId="113" fillId="0" borderId="2003" applyNumberFormat="0" applyFill="0" applyAlignment="0" applyProtection="0"/>
    <xf numFmtId="222" fontId="79" fillId="0" borderId="2002" applyBorder="0"/>
    <xf numFmtId="0" fontId="101" fillId="0" borderId="2003" applyBorder="0"/>
    <xf numFmtId="222" fontId="79" fillId="0" borderId="2002" applyBorder="0"/>
    <xf numFmtId="0" fontId="75" fillId="0" borderId="1992" applyNumberFormat="0" applyFont="0" applyFill="0" applyAlignment="0" applyProtection="0"/>
    <xf numFmtId="186" fontId="146" fillId="3" borderId="1994">
      <alignment horizontal="left"/>
    </xf>
    <xf numFmtId="186" fontId="140" fillId="3" borderId="1995">
      <alignment horizontal="center" vertical="center"/>
    </xf>
    <xf numFmtId="0" fontId="2" fillId="0" borderId="1996" applyNumberFormat="0" applyAlignment="0" applyProtection="0"/>
    <xf numFmtId="0" fontId="214" fillId="0" borderId="1997" applyNumberFormat="0" applyFont="0" applyFill="0" applyAlignment="0" applyProtection="0"/>
    <xf numFmtId="0" fontId="25" fillId="10" borderId="1998" applyNumberFormat="0" applyProtection="0">
      <alignment horizontal="left" vertical="top"/>
    </xf>
    <xf numFmtId="0" fontId="25" fillId="10" borderId="1999" applyNumberFormat="0" applyProtection="0">
      <alignment horizontal="left" vertical="top"/>
    </xf>
    <xf numFmtId="0" fontId="25" fillId="10" borderId="2000" applyNumberFormat="0" applyProtection="0">
      <alignment horizontal="left" vertical="top"/>
    </xf>
    <xf numFmtId="0" fontId="25" fillId="10" borderId="2001" applyNumberFormat="0" applyProtection="0">
      <alignment horizontal="left" vertical="top"/>
    </xf>
    <xf numFmtId="0" fontId="78" fillId="14" borderId="1993" applyFont="0" applyFill="0" applyBorder="0" applyAlignment="0" applyProtection="0"/>
    <xf numFmtId="222" fontId="79" fillId="0" borderId="1990" applyBorder="0"/>
    <xf numFmtId="0" fontId="78" fillId="14" borderId="2005" applyFont="0" applyFill="0" applyBorder="0" applyAlignment="0" applyProtection="0"/>
    <xf numFmtId="186" fontId="146" fillId="3" borderId="1994">
      <alignment horizontal="left"/>
    </xf>
    <xf numFmtId="0" fontId="78" fillId="14" borderId="1981" applyFont="0" applyFill="0" applyBorder="0" applyAlignment="0" applyProtection="0"/>
    <xf numFmtId="222" fontId="79" fillId="0" borderId="1990" applyBorder="0"/>
    <xf numFmtId="0" fontId="2" fillId="0" borderId="2008" applyNumberFormat="0" applyAlignment="0" applyProtection="0"/>
    <xf numFmtId="0" fontId="78" fillId="14" borderId="1981" applyFont="0" applyFill="0" applyBorder="0" applyAlignment="0" applyProtection="0"/>
    <xf numFmtId="0" fontId="25" fillId="10" borderId="1989" applyNumberFormat="0" applyProtection="0">
      <alignment horizontal="left" vertical="top"/>
    </xf>
    <xf numFmtId="0" fontId="25" fillId="10" borderId="1988" applyNumberFormat="0" applyProtection="0">
      <alignment horizontal="left" vertical="top"/>
    </xf>
    <xf numFmtId="0" fontId="25" fillId="10" borderId="1987" applyNumberFormat="0" applyProtection="0">
      <alignment horizontal="left" vertical="top"/>
    </xf>
    <xf numFmtId="0" fontId="25" fillId="10" borderId="1986" applyNumberFormat="0" applyProtection="0">
      <alignment horizontal="left" vertical="top"/>
    </xf>
    <xf numFmtId="0" fontId="25" fillId="10" borderId="2011" applyNumberFormat="0" applyProtection="0">
      <alignment horizontal="left" vertical="top"/>
    </xf>
    <xf numFmtId="0" fontId="214" fillId="0" borderId="1985" applyNumberFormat="0" applyFont="0" applyFill="0" applyAlignment="0" applyProtection="0"/>
    <xf numFmtId="0" fontId="2" fillId="0" borderId="1984" applyNumberFormat="0" applyAlignment="0" applyProtection="0"/>
    <xf numFmtId="186" fontId="140" fillId="3" borderId="1983">
      <alignment horizontal="center" vertical="center"/>
    </xf>
    <xf numFmtId="186" fontId="146" fillId="3" borderId="1982">
      <alignment horizontal="left"/>
    </xf>
    <xf numFmtId="0" fontId="25" fillId="10" borderId="2013" applyNumberFormat="0" applyProtection="0">
      <alignment horizontal="left" vertical="top"/>
    </xf>
    <xf numFmtId="0" fontId="75" fillId="0" borderId="1980" applyNumberFormat="0" applyFont="0" applyFill="0" applyAlignment="0" applyProtection="0"/>
    <xf numFmtId="222" fontId="79" fillId="0" borderId="1990" applyBorder="0"/>
    <xf numFmtId="0" fontId="101" fillId="0" borderId="1991" applyBorder="0"/>
    <xf numFmtId="222" fontId="79" fillId="0" borderId="1990" applyBorder="0"/>
    <xf numFmtId="0" fontId="113" fillId="0" borderId="1991" applyNumberFormat="0" applyFill="0" applyAlignment="0" applyProtection="0"/>
    <xf numFmtId="0" fontId="12" fillId="0" borderId="1991" applyNumberFormat="0" applyFill="0" applyBorder="0" applyAlignment="0" applyProtection="0">
      <alignment horizontal="center"/>
    </xf>
    <xf numFmtId="248" fontId="46" fillId="0" borderId="1991"/>
    <xf numFmtId="192" fontId="9" fillId="3" borderId="1991">
      <alignment horizontal="right" vertical="center"/>
    </xf>
    <xf numFmtId="180" fontId="9" fillId="3" borderId="1991">
      <alignment horizontal="right" vertical="center"/>
    </xf>
    <xf numFmtId="186" fontId="146" fillId="3" borderId="1991" applyBorder="0">
      <alignment horizontal="left" vertical="center"/>
    </xf>
    <xf numFmtId="0" fontId="165" fillId="0" borderId="1991" applyFill="0" applyProtection="0">
      <alignment horizontal="center"/>
    </xf>
    <xf numFmtId="0" fontId="166" fillId="0" borderId="1991">
      <alignment horizontal="center"/>
    </xf>
    <xf numFmtId="264" fontId="12" fillId="14" borderId="1991" applyFont="0" applyFill="0" applyBorder="0" applyAlignment="0" applyProtection="0">
      <alignment horizontal="right"/>
    </xf>
    <xf numFmtId="0" fontId="210" fillId="0" borderId="1991" applyNumberFormat="0" applyFill="0" applyBorder="0" applyAlignment="0">
      <protection locked="0"/>
    </xf>
    <xf numFmtId="254" fontId="240" fillId="0" borderId="1991" applyBorder="0" applyProtection="0">
      <alignment horizontal="right" vertical="center"/>
    </xf>
    <xf numFmtId="0" fontId="241" fillId="94" borderId="1991" applyBorder="0" applyProtection="0">
      <alignment horizontal="centerContinuous" vertical="center"/>
    </xf>
    <xf numFmtId="246" fontId="249" fillId="0" borderId="1991" applyFill="0" applyProtection="0">
      <alignment horizontal="center"/>
    </xf>
    <xf numFmtId="246" fontId="250" fillId="0" borderId="1991" applyFill="0" applyProtection="0">
      <alignment horizontal="center"/>
    </xf>
    <xf numFmtId="186" fontId="140" fillId="3" borderId="2007">
      <alignment horizontal="center" vertical="center"/>
    </xf>
    <xf numFmtId="0" fontId="78" fillId="14" borderId="1993" applyFont="0" applyFill="0" applyBorder="0" applyAlignment="0" applyProtection="0"/>
    <xf numFmtId="222" fontId="79" fillId="0" borderId="2014" applyBorder="0"/>
    <xf numFmtId="0" fontId="78" fillId="14" borderId="2017" applyFont="0" applyFill="0" applyBorder="0" applyAlignment="0" applyProtection="0"/>
    <xf numFmtId="0" fontId="25" fillId="10" borderId="2025" applyNumberFormat="0" applyProtection="0">
      <alignment horizontal="left" vertical="top"/>
    </xf>
    <xf numFmtId="0" fontId="25" fillId="10" borderId="2024" applyNumberFormat="0" applyProtection="0">
      <alignment horizontal="left" vertical="top"/>
    </xf>
    <xf numFmtId="0" fontId="25" fillId="10" borderId="2023" applyNumberFormat="0" applyProtection="0">
      <alignment horizontal="left" vertical="top"/>
    </xf>
    <xf numFmtId="0" fontId="25" fillId="10" borderId="2022" applyNumberFormat="0" applyProtection="0">
      <alignment horizontal="left" vertical="top"/>
    </xf>
    <xf numFmtId="0" fontId="214" fillId="0" borderId="2021" applyNumberFormat="0" applyFont="0" applyFill="0" applyAlignment="0" applyProtection="0"/>
    <xf numFmtId="0" fontId="2" fillId="0" borderId="2020" applyNumberFormat="0" applyAlignment="0" applyProtection="0"/>
    <xf numFmtId="186" fontId="140" fillId="3" borderId="2019">
      <alignment horizontal="center" vertical="center"/>
    </xf>
    <xf numFmtId="186" fontId="146" fillId="3" borderId="2018">
      <alignment horizontal="left"/>
    </xf>
    <xf numFmtId="0" fontId="75" fillId="0" borderId="2016" applyNumberFormat="0" applyFont="0" applyFill="0" applyAlignment="0" applyProtection="0"/>
    <xf numFmtId="222" fontId="79" fillId="0" borderId="2026" applyBorder="0"/>
    <xf numFmtId="0" fontId="101" fillId="0" borderId="2027" applyBorder="0"/>
    <xf numFmtId="222" fontId="79" fillId="0" borderId="2026" applyBorder="0"/>
    <xf numFmtId="0" fontId="113" fillId="0" borderId="2027" applyNumberFormat="0" applyFill="0" applyAlignment="0" applyProtection="0"/>
    <xf numFmtId="0" fontId="12" fillId="0" borderId="2027" applyNumberFormat="0" applyFill="0" applyBorder="0" applyAlignment="0" applyProtection="0">
      <alignment horizontal="center"/>
    </xf>
    <xf numFmtId="248" fontId="46" fillId="0" borderId="2027"/>
    <xf numFmtId="192" fontId="9" fillId="3" borderId="2027">
      <alignment horizontal="right" vertical="center"/>
    </xf>
    <xf numFmtId="180" fontId="9" fillId="3" borderId="2027">
      <alignment horizontal="right" vertical="center"/>
    </xf>
    <xf numFmtId="186" fontId="146" fillId="3" borderId="2027" applyBorder="0">
      <alignment horizontal="left" vertical="center"/>
    </xf>
    <xf numFmtId="0" fontId="165" fillId="0" borderId="2027" applyFill="0" applyProtection="0">
      <alignment horizontal="center"/>
    </xf>
    <xf numFmtId="0" fontId="166" fillId="0" borderId="2027">
      <alignment horizontal="center"/>
    </xf>
    <xf numFmtId="264" fontId="12" fillId="14" borderId="2027" applyFont="0" applyFill="0" applyBorder="0" applyAlignment="0" applyProtection="0">
      <alignment horizontal="right"/>
    </xf>
    <xf numFmtId="0" fontId="210" fillId="0" borderId="2027" applyNumberFormat="0" applyFill="0" applyBorder="0" applyAlignment="0">
      <protection locked="0"/>
    </xf>
    <xf numFmtId="254" fontId="240" fillId="0" borderId="2027" applyBorder="0" applyProtection="0">
      <alignment horizontal="right" vertical="center"/>
    </xf>
    <xf numFmtId="0" fontId="241" fillId="94" borderId="2027" applyBorder="0" applyProtection="0">
      <alignment horizontal="centerContinuous" vertical="center"/>
    </xf>
    <xf numFmtId="246" fontId="249" fillId="0" borderId="2027" applyFill="0" applyProtection="0">
      <alignment horizontal="center"/>
    </xf>
    <xf numFmtId="246" fontId="250" fillId="0" borderId="2027" applyFill="0" applyProtection="0">
      <alignment horizontal="center"/>
    </xf>
    <xf numFmtId="222" fontId="79" fillId="0" borderId="2038" applyBorder="0"/>
    <xf numFmtId="0" fontId="78" fillId="14" borderId="2041" applyFont="0" applyFill="0" applyBorder="0" applyAlignment="0" applyProtection="0"/>
    <xf numFmtId="0" fontId="25" fillId="10" borderId="2049" applyNumberFormat="0" applyProtection="0">
      <alignment horizontal="left" vertical="top"/>
    </xf>
    <xf numFmtId="0" fontId="25" fillId="10" borderId="2048" applyNumberFormat="0" applyProtection="0">
      <alignment horizontal="left" vertical="top"/>
    </xf>
    <xf numFmtId="0" fontId="25" fillId="10" borderId="2047" applyNumberFormat="0" applyProtection="0">
      <alignment horizontal="left" vertical="top"/>
    </xf>
    <xf numFmtId="0" fontId="25" fillId="10" borderId="2046" applyNumberFormat="0" applyProtection="0">
      <alignment horizontal="left" vertical="top"/>
    </xf>
    <xf numFmtId="0" fontId="214" fillId="0" borderId="2045" applyNumberFormat="0" applyFont="0" applyFill="0" applyAlignment="0" applyProtection="0"/>
    <xf numFmtId="0" fontId="2" fillId="0" borderId="2044" applyNumberFormat="0" applyAlignment="0" applyProtection="0"/>
    <xf numFmtId="186" fontId="140" fillId="3" borderId="2043">
      <alignment horizontal="center" vertical="center"/>
    </xf>
    <xf numFmtId="186" fontId="146" fillId="3" borderId="2042">
      <alignment horizontal="left"/>
    </xf>
    <xf numFmtId="0" fontId="75" fillId="0" borderId="2040" applyNumberFormat="0" applyFont="0" applyFill="0" applyAlignment="0" applyProtection="0"/>
    <xf numFmtId="222" fontId="79" fillId="0" borderId="2050" applyBorder="0"/>
    <xf numFmtId="0" fontId="101" fillId="0" borderId="2051" applyBorder="0"/>
    <xf numFmtId="222" fontId="79" fillId="0" borderId="2050" applyBorder="0"/>
    <xf numFmtId="0" fontId="113" fillId="0" borderId="2051" applyNumberFormat="0" applyFill="0" applyAlignment="0" applyProtection="0"/>
    <xf numFmtId="0" fontId="12" fillId="0" borderId="2051" applyNumberFormat="0" applyFill="0" applyBorder="0" applyAlignment="0" applyProtection="0">
      <alignment horizontal="center"/>
    </xf>
    <xf numFmtId="248" fontId="46" fillId="0" borderId="2051"/>
    <xf numFmtId="192" fontId="9" fillId="3" borderId="2051">
      <alignment horizontal="right" vertical="center"/>
    </xf>
    <xf numFmtId="180" fontId="9" fillId="3" borderId="2051">
      <alignment horizontal="right" vertical="center"/>
    </xf>
    <xf numFmtId="186" fontId="146" fillId="3" borderId="2051" applyBorder="0">
      <alignment horizontal="left" vertical="center"/>
    </xf>
    <xf numFmtId="0" fontId="165" fillId="0" borderId="2051" applyFill="0" applyProtection="0">
      <alignment horizontal="center"/>
    </xf>
    <xf numFmtId="0" fontId="166" fillId="0" borderId="2051">
      <alignment horizontal="center"/>
    </xf>
    <xf numFmtId="264" fontId="12" fillId="14" borderId="2051" applyFont="0" applyFill="0" applyBorder="0" applyAlignment="0" applyProtection="0">
      <alignment horizontal="right"/>
    </xf>
    <xf numFmtId="0" fontId="210" fillId="0" borderId="2051" applyNumberFormat="0" applyFill="0" applyBorder="0" applyAlignment="0">
      <protection locked="0"/>
    </xf>
    <xf numFmtId="254" fontId="240" fillId="0" borderId="2051" applyBorder="0" applyProtection="0">
      <alignment horizontal="right" vertical="center"/>
    </xf>
    <xf numFmtId="0" fontId="241" fillId="94" borderId="2051" applyBorder="0" applyProtection="0">
      <alignment horizontal="centerContinuous" vertical="center"/>
    </xf>
    <xf numFmtId="246" fontId="249" fillId="0" borderId="2051" applyFill="0" applyProtection="0">
      <alignment horizontal="center"/>
    </xf>
    <xf numFmtId="246" fontId="250" fillId="0" borderId="2051" applyFill="0" applyProtection="0">
      <alignment horizontal="center"/>
    </xf>
    <xf numFmtId="0" fontId="75" fillId="0" borderId="2064" applyNumberFormat="0" applyFont="0" applyFill="0" applyAlignment="0" applyProtection="0"/>
    <xf numFmtId="0" fontId="78" fillId="14" borderId="2065" applyFont="0" applyFill="0" applyBorder="0" applyAlignment="0" applyProtection="0"/>
    <xf numFmtId="186" fontId="146" fillId="3" borderId="2066">
      <alignment horizontal="left"/>
    </xf>
    <xf numFmtId="186" fontId="140" fillId="3" borderId="2067">
      <alignment horizontal="center" vertical="center"/>
    </xf>
    <xf numFmtId="0" fontId="2" fillId="0" borderId="2068" applyNumberFormat="0" applyAlignment="0" applyProtection="0"/>
    <xf numFmtId="0" fontId="214" fillId="0" borderId="2069" applyNumberFormat="0" applyFont="0" applyFill="0" applyAlignment="0" applyProtection="0"/>
    <xf numFmtId="0" fontId="25" fillId="10" borderId="2070" applyNumberFormat="0" applyProtection="0">
      <alignment horizontal="left" vertical="top"/>
    </xf>
    <xf numFmtId="0" fontId="25" fillId="10" borderId="2071" applyNumberFormat="0" applyProtection="0">
      <alignment horizontal="left" vertical="top"/>
    </xf>
    <xf numFmtId="0" fontId="25" fillId="10" borderId="2072" applyNumberFormat="0" applyProtection="0">
      <alignment horizontal="left" vertical="top"/>
    </xf>
    <xf numFmtId="0" fontId="25" fillId="10" borderId="2073" applyNumberFormat="0" applyProtection="0">
      <alignment horizontal="left" vertical="top"/>
    </xf>
    <xf numFmtId="246" fontId="250" fillId="0" borderId="2063" applyFill="0" applyProtection="0">
      <alignment horizontal="center"/>
    </xf>
    <xf numFmtId="246" fontId="249" fillId="0" borderId="2063" applyFill="0" applyProtection="0">
      <alignment horizontal="center"/>
    </xf>
    <xf numFmtId="0" fontId="241" fillId="94" borderId="2063" applyBorder="0" applyProtection="0">
      <alignment horizontal="centerContinuous" vertical="center"/>
    </xf>
    <xf numFmtId="254" fontId="240" fillId="0" borderId="2063" applyBorder="0" applyProtection="0">
      <alignment horizontal="right" vertical="center"/>
    </xf>
    <xf numFmtId="0" fontId="210" fillId="0" borderId="2063" applyNumberFormat="0" applyFill="0" applyBorder="0" applyAlignment="0">
      <protection locked="0"/>
    </xf>
    <xf numFmtId="264" fontId="12" fillId="14" borderId="2063" applyFont="0" applyFill="0" applyBorder="0" applyAlignment="0" applyProtection="0">
      <alignment horizontal="right"/>
    </xf>
    <xf numFmtId="0" fontId="166" fillId="0" borderId="2063">
      <alignment horizontal="center"/>
    </xf>
    <xf numFmtId="0" fontId="165" fillId="0" borderId="2063" applyFill="0" applyProtection="0">
      <alignment horizontal="center"/>
    </xf>
    <xf numFmtId="186" fontId="146" fillId="3" borderId="2063" applyBorder="0">
      <alignment horizontal="left" vertical="center"/>
    </xf>
    <xf numFmtId="180" fontId="9" fillId="3" borderId="2063">
      <alignment horizontal="right" vertical="center"/>
    </xf>
    <xf numFmtId="192" fontId="9" fillId="3" borderId="2063">
      <alignment horizontal="right" vertical="center"/>
    </xf>
    <xf numFmtId="0" fontId="12" fillId="0" borderId="2063" applyNumberFormat="0" applyFill="0" applyBorder="0" applyAlignment="0" applyProtection="0">
      <alignment horizontal="center"/>
    </xf>
    <xf numFmtId="0" fontId="113" fillId="0" borderId="2063" applyNumberFormat="0" applyFill="0" applyAlignment="0" applyProtection="0"/>
    <xf numFmtId="222" fontId="79" fillId="0" borderId="2062" applyBorder="0"/>
    <xf numFmtId="0" fontId="101" fillId="0" borderId="2063" applyBorder="0"/>
    <xf numFmtId="248" fontId="46" fillId="0" borderId="2063"/>
    <xf numFmtId="0" fontId="101" fillId="0" borderId="2063" applyBorder="0"/>
    <xf numFmtId="222" fontId="79" fillId="0" borderId="2062" applyBorder="0"/>
    <xf numFmtId="0" fontId="113" fillId="0" borderId="2063" applyNumberFormat="0" applyFill="0" applyAlignment="0" applyProtection="0"/>
    <xf numFmtId="0" fontId="75" fillId="0" borderId="2064" applyNumberFormat="0" applyFont="0" applyFill="0" applyAlignment="0" applyProtection="0"/>
    <xf numFmtId="0" fontId="12" fillId="0" borderId="2063" applyNumberFormat="0" applyFill="0" applyBorder="0" applyAlignment="0" applyProtection="0">
      <alignment horizontal="center"/>
    </xf>
    <xf numFmtId="248" fontId="46" fillId="0" borderId="2063"/>
    <xf numFmtId="192" fontId="9" fillId="3" borderId="2063">
      <alignment horizontal="right" vertical="center"/>
    </xf>
    <xf numFmtId="180" fontId="9" fillId="3" borderId="2063">
      <alignment horizontal="right" vertical="center"/>
    </xf>
    <xf numFmtId="186" fontId="146" fillId="3" borderId="2063" applyBorder="0">
      <alignment horizontal="left" vertical="center"/>
    </xf>
    <xf numFmtId="186" fontId="146" fillId="3" borderId="2066">
      <alignment horizontal="left"/>
    </xf>
    <xf numFmtId="186" fontId="140" fillId="3" borderId="2067">
      <alignment horizontal="center" vertical="center"/>
    </xf>
    <xf numFmtId="0" fontId="165" fillId="0" borderId="2063" applyFill="0" applyProtection="0">
      <alignment horizontal="center"/>
    </xf>
    <xf numFmtId="0" fontId="166" fillId="0" borderId="2063">
      <alignment horizontal="center"/>
    </xf>
    <xf numFmtId="264" fontId="12" fillId="14" borderId="2063" applyFont="0" applyFill="0" applyBorder="0" applyAlignment="0" applyProtection="0">
      <alignment horizontal="right"/>
    </xf>
    <xf numFmtId="0" fontId="210" fillId="0" borderId="2063" applyNumberFormat="0" applyFill="0" applyBorder="0" applyAlignment="0">
      <protection locked="0"/>
    </xf>
    <xf numFmtId="0" fontId="2" fillId="0" borderId="2068" applyNumberFormat="0" applyAlignment="0" applyProtection="0"/>
    <xf numFmtId="0" fontId="214" fillId="0" borderId="2069" applyNumberFormat="0" applyFont="0" applyFill="0" applyAlignment="0" applyProtection="0"/>
    <xf numFmtId="0" fontId="25" fillId="10" borderId="2070" applyNumberFormat="0" applyProtection="0">
      <alignment horizontal="left" vertical="top"/>
    </xf>
    <xf numFmtId="0" fontId="25" fillId="10" borderId="2071" applyNumberFormat="0" applyProtection="0">
      <alignment horizontal="left" vertical="top"/>
    </xf>
    <xf numFmtId="0" fontId="25" fillId="10" borderId="2072" applyNumberFormat="0" applyProtection="0">
      <alignment horizontal="left" vertical="top"/>
    </xf>
    <xf numFmtId="0" fontId="25" fillId="10" borderId="2073" applyNumberFormat="0" applyProtection="0">
      <alignment horizontal="left" vertical="top"/>
    </xf>
    <xf numFmtId="0" fontId="25" fillId="10" borderId="2070" applyNumberFormat="0" applyProtection="0">
      <alignment horizontal="left" vertical="top"/>
    </xf>
    <xf numFmtId="0" fontId="25" fillId="10" borderId="2071" applyNumberFormat="0" applyProtection="0">
      <alignment horizontal="left" vertical="top"/>
    </xf>
    <xf numFmtId="0" fontId="25" fillId="10" borderId="2072" applyNumberFormat="0" applyProtection="0">
      <alignment horizontal="left" vertical="top"/>
    </xf>
    <xf numFmtId="0" fontId="25" fillId="10" borderId="2073" applyNumberFormat="0" applyProtection="0">
      <alignment horizontal="left" vertical="top"/>
    </xf>
    <xf numFmtId="254" fontId="240" fillId="0" borderId="2063" applyBorder="0" applyProtection="0">
      <alignment horizontal="right" vertical="center"/>
    </xf>
    <xf numFmtId="0" fontId="241" fillId="94" borderId="2063" applyBorder="0" applyProtection="0">
      <alignment horizontal="centerContinuous" vertical="center"/>
    </xf>
    <xf numFmtId="246" fontId="249" fillId="0" borderId="2063" applyFill="0" applyProtection="0">
      <alignment horizontal="center"/>
    </xf>
    <xf numFmtId="246" fontId="250" fillId="0" borderId="2063" applyFill="0" applyProtection="0">
      <alignment horizontal="center"/>
    </xf>
    <xf numFmtId="190" fontId="101" fillId="0" borderId="2063" applyBorder="0"/>
    <xf numFmtId="190" fontId="113" fillId="0" borderId="2063" applyNumberFormat="0" applyFill="0" applyAlignment="0" applyProtection="0"/>
    <xf numFmtId="190" fontId="75" fillId="0" borderId="2040" applyNumberFormat="0" applyFont="0" applyFill="0" applyAlignment="0" applyProtection="0"/>
    <xf numFmtId="190" fontId="12" fillId="0" borderId="2063" applyNumberFormat="0" applyFill="0" applyBorder="0" applyAlignment="0" applyProtection="0">
      <alignment horizontal="center"/>
    </xf>
    <xf numFmtId="190" fontId="78" fillId="14" borderId="2053" applyFont="0" applyFill="0" applyBorder="0" applyAlignment="0" applyProtection="0"/>
    <xf numFmtId="190" fontId="165" fillId="0" borderId="2063" applyFill="0" applyProtection="0">
      <alignment horizontal="center"/>
    </xf>
    <xf numFmtId="190" fontId="166" fillId="0" borderId="2063">
      <alignment horizontal="center"/>
    </xf>
    <xf numFmtId="190" fontId="210" fillId="0" borderId="2063" applyNumberFormat="0" applyFill="0" applyBorder="0" applyAlignment="0">
      <protection locked="0"/>
    </xf>
    <xf numFmtId="190" fontId="2" fillId="0" borderId="2044" applyNumberFormat="0" applyAlignment="0" applyProtection="0"/>
    <xf numFmtId="190" fontId="214" fillId="0" borderId="2045" applyNumberFormat="0" applyFont="0" applyFill="0" applyAlignment="0" applyProtection="0"/>
    <xf numFmtId="190" fontId="25" fillId="10" borderId="2046" applyNumberFormat="0" applyProtection="0">
      <alignment horizontal="left" vertical="top"/>
    </xf>
    <xf numFmtId="190" fontId="25" fillId="10" borderId="2047" applyNumberFormat="0" applyProtection="0">
      <alignment horizontal="left" vertical="top"/>
    </xf>
    <xf numFmtId="190" fontId="25" fillId="10" borderId="2048" applyNumberFormat="0" applyProtection="0">
      <alignment horizontal="left" vertical="top"/>
    </xf>
    <xf numFmtId="190" fontId="25" fillId="10" borderId="2049" applyNumberFormat="0" applyProtection="0">
      <alignment horizontal="left" vertical="top"/>
    </xf>
    <xf numFmtId="190" fontId="241" fillId="94" borderId="2063" applyBorder="0" applyProtection="0">
      <alignment horizontal="centerContinuous" vertical="center"/>
    </xf>
    <xf numFmtId="222" fontId="79" fillId="0" borderId="2062" applyBorder="0"/>
    <xf numFmtId="0" fontId="101" fillId="0" borderId="2063" applyBorder="0"/>
    <xf numFmtId="222" fontId="79" fillId="0" borderId="2062" applyBorder="0"/>
    <xf numFmtId="0" fontId="113" fillId="0" borderId="2063" applyNumberFormat="0" applyFill="0" applyAlignment="0" applyProtection="0"/>
    <xf numFmtId="0" fontId="75" fillId="0" borderId="2040" applyNumberFormat="0" applyFont="0" applyFill="0" applyAlignment="0" applyProtection="0"/>
    <xf numFmtId="0" fontId="12" fillId="0" borderId="2063" applyNumberFormat="0" applyFill="0" applyBorder="0" applyAlignment="0" applyProtection="0">
      <alignment horizontal="center"/>
    </xf>
    <xf numFmtId="248" fontId="46" fillId="0" borderId="2063"/>
    <xf numFmtId="192" fontId="9" fillId="3" borderId="2063">
      <alignment horizontal="right" vertical="center"/>
    </xf>
    <xf numFmtId="180" fontId="9" fillId="3" borderId="2063">
      <alignment horizontal="right" vertical="center"/>
    </xf>
    <xf numFmtId="186" fontId="146" fillId="3" borderId="2063" applyBorder="0">
      <alignment horizontal="left" vertical="center"/>
    </xf>
    <xf numFmtId="186" fontId="146" fillId="3" borderId="2042">
      <alignment horizontal="left"/>
    </xf>
    <xf numFmtId="186" fontId="140" fillId="3" borderId="2043">
      <alignment horizontal="center" vertical="center"/>
    </xf>
    <xf numFmtId="0" fontId="165" fillId="0" borderId="2063" applyFill="0" applyProtection="0">
      <alignment horizontal="center"/>
    </xf>
    <xf numFmtId="0" fontId="166" fillId="0" borderId="2063">
      <alignment horizontal="center"/>
    </xf>
    <xf numFmtId="264" fontId="12" fillId="14" borderId="2063" applyFont="0" applyFill="0" applyBorder="0" applyAlignment="0" applyProtection="0">
      <alignment horizontal="right"/>
    </xf>
    <xf numFmtId="0" fontId="210" fillId="0" borderId="2063" applyNumberFormat="0" applyFill="0" applyBorder="0" applyAlignment="0">
      <protection locked="0"/>
    </xf>
    <xf numFmtId="0" fontId="2" fillId="0" borderId="2044" applyNumberFormat="0" applyAlignment="0" applyProtection="0"/>
    <xf numFmtId="0" fontId="214" fillId="0" borderId="2045" applyNumberFormat="0" applyFont="0" applyFill="0" applyAlignment="0" applyProtection="0"/>
    <xf numFmtId="0" fontId="25" fillId="10" borderId="2046" applyNumberFormat="0" applyProtection="0">
      <alignment horizontal="left" vertical="top"/>
    </xf>
    <xf numFmtId="0" fontId="25" fillId="10" borderId="2047" applyNumberFormat="0" applyProtection="0">
      <alignment horizontal="left" vertical="top"/>
    </xf>
    <xf numFmtId="0" fontId="25" fillId="10" borderId="2048" applyNumberFormat="0" applyProtection="0">
      <alignment horizontal="left" vertical="top"/>
    </xf>
    <xf numFmtId="0" fontId="25" fillId="10" borderId="2049" applyNumberFormat="0" applyProtection="0">
      <alignment horizontal="left" vertical="top"/>
    </xf>
    <xf numFmtId="0" fontId="25" fillId="10" borderId="2046" applyNumberFormat="0" applyProtection="0">
      <alignment horizontal="left" vertical="top"/>
    </xf>
    <xf numFmtId="0" fontId="25" fillId="10" borderId="2047" applyNumberFormat="0" applyProtection="0">
      <alignment horizontal="left" vertical="top"/>
    </xf>
    <xf numFmtId="0" fontId="25" fillId="10" borderId="2048" applyNumberFormat="0" applyProtection="0">
      <alignment horizontal="left" vertical="top"/>
    </xf>
    <xf numFmtId="0" fontId="25" fillId="10" borderId="2049" applyNumberFormat="0" applyProtection="0">
      <alignment horizontal="left" vertical="top"/>
    </xf>
    <xf numFmtId="254" fontId="240" fillId="0" borderId="2063" applyBorder="0" applyProtection="0">
      <alignment horizontal="right" vertical="center"/>
    </xf>
    <xf numFmtId="0" fontId="241" fillId="94" borderId="2063" applyBorder="0" applyProtection="0">
      <alignment horizontal="centerContinuous" vertical="center"/>
    </xf>
    <xf numFmtId="246" fontId="249" fillId="0" borderId="2063" applyFill="0" applyProtection="0">
      <alignment horizontal="center"/>
    </xf>
    <xf numFmtId="246" fontId="250" fillId="0" borderId="2063" applyFill="0" applyProtection="0">
      <alignment horizontal="center"/>
    </xf>
    <xf numFmtId="312" fontId="101" fillId="0" borderId="2063" applyBorder="0"/>
    <xf numFmtId="312" fontId="113" fillId="0" borderId="2063" applyNumberFormat="0" applyFill="0" applyAlignment="0" applyProtection="0"/>
    <xf numFmtId="312" fontId="75" fillId="0" borderId="2040" applyNumberFormat="0" applyFont="0" applyFill="0" applyAlignment="0" applyProtection="0"/>
    <xf numFmtId="312" fontId="12" fillId="0" borderId="2063" applyNumberFormat="0" applyFill="0" applyBorder="0" applyAlignment="0" applyProtection="0">
      <alignment horizontal="center"/>
    </xf>
    <xf numFmtId="312" fontId="165" fillId="0" borderId="2063" applyFill="0" applyProtection="0">
      <alignment horizontal="center"/>
    </xf>
    <xf numFmtId="312" fontId="242" fillId="0" borderId="2063">
      <alignment horizontal="center"/>
    </xf>
    <xf numFmtId="312" fontId="210" fillId="0" borderId="2063" applyNumberFormat="0" applyFill="0" applyBorder="0" applyAlignment="0">
      <protection locked="0"/>
    </xf>
    <xf numFmtId="312" fontId="2" fillId="0" borderId="2044" applyNumberFormat="0" applyAlignment="0" applyProtection="0"/>
    <xf numFmtId="312" fontId="214" fillId="0" borderId="2045" applyNumberFormat="0" applyFont="0" applyFill="0" applyAlignment="0" applyProtection="0"/>
    <xf numFmtId="312" fontId="25" fillId="10" borderId="2046" applyNumberFormat="0" applyProtection="0">
      <alignment horizontal="left" vertical="top"/>
    </xf>
    <xf numFmtId="312" fontId="25" fillId="10" borderId="2047" applyNumberFormat="0" applyProtection="0">
      <alignment horizontal="left" vertical="top"/>
    </xf>
    <xf numFmtId="312" fontId="25" fillId="10" borderId="2048" applyNumberFormat="0" applyProtection="0">
      <alignment horizontal="left" vertical="top"/>
    </xf>
    <xf numFmtId="312" fontId="25" fillId="10" borderId="2049" applyNumberFormat="0" applyProtection="0">
      <alignment horizontal="left" vertical="top"/>
    </xf>
    <xf numFmtId="312" fontId="241" fillId="94" borderId="2063" applyBorder="0" applyProtection="0">
      <alignment horizontal="centerContinuous" vertical="center"/>
    </xf>
    <xf numFmtId="246" fontId="296" fillId="0" borderId="2063" applyFill="0" applyProtection="0">
      <alignment horizontal="center"/>
    </xf>
    <xf numFmtId="312" fontId="101" fillId="0" borderId="2063" applyBorder="0"/>
    <xf numFmtId="312" fontId="113" fillId="0" borderId="2063" applyNumberFormat="0" applyFill="0" applyAlignment="0" applyProtection="0"/>
    <xf numFmtId="312" fontId="75" fillId="0" borderId="2040" applyNumberFormat="0" applyFont="0" applyFill="0" applyAlignment="0" applyProtection="0"/>
    <xf numFmtId="312" fontId="12" fillId="0" borderId="2063" applyNumberFormat="0" applyFill="0" applyBorder="0" applyAlignment="0" applyProtection="0">
      <alignment horizontal="center"/>
    </xf>
    <xf numFmtId="312" fontId="165" fillId="0" borderId="2063" applyFill="0" applyProtection="0">
      <alignment horizontal="center"/>
    </xf>
    <xf numFmtId="312" fontId="242" fillId="0" borderId="2063">
      <alignment horizontal="center"/>
    </xf>
    <xf numFmtId="312" fontId="210" fillId="0" borderId="2063" applyNumberFormat="0" applyFill="0" applyBorder="0" applyAlignment="0">
      <protection locked="0"/>
    </xf>
    <xf numFmtId="312" fontId="2" fillId="0" borderId="2044" applyNumberFormat="0" applyAlignment="0" applyProtection="0"/>
    <xf numFmtId="312" fontId="214" fillId="0" borderId="2045" applyNumberFormat="0" applyFont="0" applyFill="0" applyAlignment="0" applyProtection="0"/>
    <xf numFmtId="312" fontId="25" fillId="10" borderId="2046" applyNumberFormat="0" applyProtection="0">
      <alignment horizontal="left" vertical="top"/>
    </xf>
    <xf numFmtId="312" fontId="25" fillId="10" borderId="2047" applyNumberFormat="0" applyProtection="0">
      <alignment horizontal="left" vertical="top"/>
    </xf>
    <xf numFmtId="312" fontId="25" fillId="10" borderId="2048" applyNumberFormat="0" applyProtection="0">
      <alignment horizontal="left" vertical="top"/>
    </xf>
    <xf numFmtId="312" fontId="25" fillId="10" borderId="2049" applyNumberFormat="0" applyProtection="0">
      <alignment horizontal="left" vertical="top"/>
    </xf>
    <xf numFmtId="312" fontId="25" fillId="10" borderId="2046" applyNumberFormat="0" applyProtection="0">
      <alignment horizontal="left" vertical="top"/>
    </xf>
    <xf numFmtId="312" fontId="25" fillId="10" borderId="2047" applyNumberFormat="0" applyProtection="0">
      <alignment horizontal="left" vertical="top"/>
    </xf>
    <xf numFmtId="312" fontId="25" fillId="10" borderId="2048" applyNumberFormat="0" applyProtection="0">
      <alignment horizontal="left" vertical="top"/>
    </xf>
    <xf numFmtId="312" fontId="25" fillId="10" borderId="2049" applyNumberFormat="0" applyProtection="0">
      <alignment horizontal="left" vertical="top"/>
    </xf>
    <xf numFmtId="312" fontId="241" fillId="94" borderId="2063" applyBorder="0" applyProtection="0">
      <alignment horizontal="centerContinuous" vertical="center"/>
    </xf>
    <xf numFmtId="246" fontId="296" fillId="0" borderId="2063" applyFill="0" applyProtection="0">
      <alignment horizontal="center"/>
    </xf>
    <xf numFmtId="246" fontId="250" fillId="0" borderId="2063" applyFill="0" applyProtection="0">
      <alignment horizontal="center"/>
    </xf>
    <xf numFmtId="246" fontId="249" fillId="0" borderId="2063" applyFill="0" applyProtection="0">
      <alignment horizontal="center"/>
    </xf>
    <xf numFmtId="0" fontId="241" fillId="94" borderId="2063" applyBorder="0" applyProtection="0">
      <alignment horizontal="centerContinuous" vertical="center"/>
    </xf>
    <xf numFmtId="254" fontId="240" fillId="0" borderId="2063" applyBorder="0" applyProtection="0">
      <alignment horizontal="right" vertical="center"/>
    </xf>
    <xf numFmtId="0" fontId="25" fillId="10" borderId="2061" applyNumberFormat="0" applyProtection="0">
      <alignment horizontal="left" vertical="top"/>
    </xf>
    <xf numFmtId="0" fontId="25" fillId="10" borderId="2060" applyNumberFormat="0" applyProtection="0">
      <alignment horizontal="left" vertical="top"/>
    </xf>
    <xf numFmtId="0" fontId="25" fillId="10" borderId="2059" applyNumberFormat="0" applyProtection="0">
      <alignment horizontal="left" vertical="top"/>
    </xf>
    <xf numFmtId="0" fontId="25" fillId="10" borderId="2058" applyNumberFormat="0" applyProtection="0">
      <alignment horizontal="left" vertical="top"/>
    </xf>
    <xf numFmtId="0" fontId="214" fillId="0" borderId="2057" applyNumberFormat="0" applyFont="0" applyFill="0" applyAlignment="0" applyProtection="0"/>
    <xf numFmtId="0" fontId="2" fillId="0" borderId="2056" applyNumberFormat="0" applyAlignment="0" applyProtection="0"/>
    <xf numFmtId="0" fontId="210" fillId="0" borderId="2063" applyNumberFormat="0" applyFill="0" applyBorder="0" applyAlignment="0">
      <protection locked="0"/>
    </xf>
    <xf numFmtId="264" fontId="12" fillId="14" borderId="2063" applyFont="0" applyFill="0" applyBorder="0" applyAlignment="0" applyProtection="0">
      <alignment horizontal="right"/>
    </xf>
    <xf numFmtId="0" fontId="166" fillId="0" borderId="2063">
      <alignment horizontal="center"/>
    </xf>
    <xf numFmtId="0" fontId="165" fillId="0" borderId="2063" applyFill="0" applyProtection="0">
      <alignment horizontal="center"/>
    </xf>
    <xf numFmtId="186" fontId="140" fillId="3" borderId="2055">
      <alignment horizontal="center" vertical="center"/>
    </xf>
    <xf numFmtId="186" fontId="146" fillId="3" borderId="2054">
      <alignment horizontal="left"/>
    </xf>
    <xf numFmtId="186" fontId="146" fillId="3" borderId="2063" applyBorder="0">
      <alignment horizontal="left" vertical="center"/>
    </xf>
    <xf numFmtId="180" fontId="9" fillId="3" borderId="2063">
      <alignment horizontal="right" vertical="center"/>
    </xf>
    <xf numFmtId="192" fontId="9" fillId="3" borderId="2063">
      <alignment horizontal="right" vertical="center"/>
    </xf>
    <xf numFmtId="248" fontId="46" fillId="0" borderId="2063"/>
    <xf numFmtId="0" fontId="78" fillId="14" borderId="2053" applyFont="0" applyFill="0" applyBorder="0" applyAlignment="0" applyProtection="0"/>
    <xf numFmtId="0" fontId="12" fillId="0" borderId="2063" applyNumberFormat="0" applyFill="0" applyBorder="0" applyAlignment="0" applyProtection="0">
      <alignment horizontal="center"/>
    </xf>
    <xf numFmtId="0" fontId="75" fillId="0" borderId="2052" applyNumberFormat="0" applyFont="0" applyFill="0" applyAlignment="0" applyProtection="0"/>
    <xf numFmtId="0" fontId="113" fillId="0" borderId="2063" applyNumberFormat="0" applyFill="0" applyAlignment="0" applyProtection="0"/>
    <xf numFmtId="222" fontId="79" fillId="0" borderId="2062" applyBorder="0"/>
    <xf numFmtId="0" fontId="101" fillId="0" borderId="2063" applyBorder="0"/>
    <xf numFmtId="0" fontId="25" fillId="10" borderId="2070" applyNumberFormat="0" applyProtection="0">
      <alignment horizontal="left" vertical="top"/>
    </xf>
    <xf numFmtId="0" fontId="25" fillId="10" borderId="2071" applyNumberFormat="0" applyProtection="0">
      <alignment horizontal="left" vertical="top"/>
    </xf>
    <xf numFmtId="0" fontId="25" fillId="10" borderId="2072" applyNumberFormat="0" applyProtection="0">
      <alignment horizontal="left" vertical="top"/>
    </xf>
    <xf numFmtId="0" fontId="25" fillId="10" borderId="2073" applyNumberFormat="0" applyProtection="0">
      <alignment horizontal="left" vertical="top"/>
    </xf>
    <xf numFmtId="246" fontId="250" fillId="0" borderId="2051" applyFill="0" applyProtection="0">
      <alignment horizontal="center"/>
    </xf>
    <xf numFmtId="246" fontId="249" fillId="0" borderId="2051" applyFill="0" applyProtection="0">
      <alignment horizontal="center"/>
    </xf>
    <xf numFmtId="0" fontId="241" fillId="94" borderId="2051" applyBorder="0" applyProtection="0">
      <alignment horizontal="centerContinuous" vertical="center"/>
    </xf>
    <xf numFmtId="254" fontId="240" fillId="0" borderId="2051" applyBorder="0" applyProtection="0">
      <alignment horizontal="right" vertical="center"/>
    </xf>
    <xf numFmtId="0" fontId="210" fillId="0" borderId="2051" applyNumberFormat="0" applyFill="0" applyBorder="0" applyAlignment="0">
      <protection locked="0"/>
    </xf>
    <xf numFmtId="264" fontId="12" fillId="14" borderId="2051" applyFont="0" applyFill="0" applyBorder="0" applyAlignment="0" applyProtection="0">
      <alignment horizontal="right"/>
    </xf>
    <xf numFmtId="0" fontId="166" fillId="0" borderId="2051">
      <alignment horizontal="center"/>
    </xf>
    <xf numFmtId="0" fontId="165" fillId="0" borderId="2051" applyFill="0" applyProtection="0">
      <alignment horizontal="center"/>
    </xf>
    <xf numFmtId="186" fontId="146" fillId="3" borderId="2051" applyBorder="0">
      <alignment horizontal="left" vertical="center"/>
    </xf>
    <xf numFmtId="180" fontId="9" fillId="3" borderId="2051">
      <alignment horizontal="right" vertical="center"/>
    </xf>
    <xf numFmtId="192" fontId="9" fillId="3" borderId="2051">
      <alignment horizontal="right" vertical="center"/>
    </xf>
    <xf numFmtId="248" fontId="46" fillId="0" borderId="2051"/>
    <xf numFmtId="0" fontId="12" fillId="0" borderId="2051" applyNumberFormat="0" applyFill="0" applyBorder="0" applyAlignment="0" applyProtection="0">
      <alignment horizontal="center"/>
    </xf>
    <xf numFmtId="0" fontId="113" fillId="0" borderId="2051" applyNumberFormat="0" applyFill="0" applyAlignment="0" applyProtection="0"/>
    <xf numFmtId="222" fontId="79" fillId="0" borderId="2050" applyBorder="0"/>
    <xf numFmtId="0" fontId="101" fillId="0" borderId="2051" applyBorder="0"/>
    <xf numFmtId="246" fontId="250" fillId="0" borderId="2051" applyFill="0" applyProtection="0">
      <alignment horizontal="center"/>
    </xf>
    <xf numFmtId="246" fontId="249" fillId="0" borderId="2051" applyFill="0" applyProtection="0">
      <alignment horizontal="center"/>
    </xf>
    <xf numFmtId="0" fontId="241" fillId="94" borderId="2051" applyBorder="0" applyProtection="0">
      <alignment horizontal="centerContinuous" vertical="center"/>
    </xf>
    <xf numFmtId="254" fontId="240" fillId="0" borderId="2051" applyBorder="0" applyProtection="0">
      <alignment horizontal="right" vertical="center"/>
    </xf>
    <xf numFmtId="0" fontId="210" fillId="0" borderId="2051" applyNumberFormat="0" applyFill="0" applyBorder="0" applyAlignment="0">
      <protection locked="0"/>
    </xf>
    <xf numFmtId="264" fontId="12" fillId="14" borderId="2051" applyFont="0" applyFill="0" applyBorder="0" applyAlignment="0" applyProtection="0">
      <alignment horizontal="right"/>
    </xf>
    <xf numFmtId="0" fontId="166" fillId="0" borderId="2051">
      <alignment horizontal="center"/>
    </xf>
    <xf numFmtId="0" fontId="165" fillId="0" borderId="2051" applyFill="0" applyProtection="0">
      <alignment horizontal="center"/>
    </xf>
    <xf numFmtId="186" fontId="146" fillId="3" borderId="2051" applyBorder="0">
      <alignment horizontal="left" vertical="center"/>
    </xf>
    <xf numFmtId="180" fontId="9" fillId="3" borderId="2051">
      <alignment horizontal="right" vertical="center"/>
    </xf>
    <xf numFmtId="192" fontId="9" fillId="3" borderId="2051">
      <alignment horizontal="right" vertical="center"/>
    </xf>
    <xf numFmtId="0" fontId="12" fillId="0" borderId="2051" applyNumberFormat="0" applyFill="0" applyBorder="0" applyAlignment="0" applyProtection="0">
      <alignment horizontal="center"/>
    </xf>
    <xf numFmtId="0" fontId="113" fillId="0" borderId="2051" applyNumberFormat="0" applyFill="0" applyAlignment="0" applyProtection="0"/>
    <xf numFmtId="222" fontId="79" fillId="0" borderId="2050" applyBorder="0"/>
    <xf numFmtId="0" fontId="101" fillId="0" borderId="2051" applyBorder="0"/>
    <xf numFmtId="248" fontId="46" fillId="0" borderId="2051"/>
    <xf numFmtId="246" fontId="250" fillId="0" borderId="2051" applyFill="0" applyProtection="0">
      <alignment horizontal="center"/>
    </xf>
    <xf numFmtId="246" fontId="249" fillId="0" borderId="2051" applyFill="0" applyProtection="0">
      <alignment horizontal="center"/>
    </xf>
    <xf numFmtId="0" fontId="241" fillId="94" borderId="2051" applyBorder="0" applyProtection="0">
      <alignment horizontal="centerContinuous" vertical="center"/>
    </xf>
    <xf numFmtId="254" fontId="240" fillId="0" borderId="2051" applyBorder="0" applyProtection="0">
      <alignment horizontal="right" vertical="center"/>
    </xf>
    <xf numFmtId="0" fontId="210" fillId="0" borderId="2051" applyNumberFormat="0" applyFill="0" applyBorder="0" applyAlignment="0">
      <protection locked="0"/>
    </xf>
    <xf numFmtId="264" fontId="12" fillId="14" borderId="2051" applyFont="0" applyFill="0" applyBorder="0" applyAlignment="0" applyProtection="0">
      <alignment horizontal="right"/>
    </xf>
    <xf numFmtId="0" fontId="166" fillId="0" borderId="2051">
      <alignment horizontal="center"/>
    </xf>
    <xf numFmtId="0" fontId="165" fillId="0" borderId="2051" applyFill="0" applyProtection="0">
      <alignment horizontal="center"/>
    </xf>
    <xf numFmtId="186" fontId="146" fillId="3" borderId="2051" applyBorder="0">
      <alignment horizontal="left" vertical="center"/>
    </xf>
    <xf numFmtId="180" fontId="9" fillId="3" borderId="2051">
      <alignment horizontal="right" vertical="center"/>
    </xf>
    <xf numFmtId="192" fontId="9" fillId="3" borderId="2051">
      <alignment horizontal="right" vertical="center"/>
    </xf>
    <xf numFmtId="248" fontId="46" fillId="0" borderId="2051"/>
    <xf numFmtId="0" fontId="12" fillId="0" borderId="2051" applyNumberFormat="0" applyFill="0" applyBorder="0" applyAlignment="0" applyProtection="0">
      <alignment horizontal="center"/>
    </xf>
    <xf numFmtId="0" fontId="113" fillId="0" borderId="2051" applyNumberFormat="0" applyFill="0" applyAlignment="0" applyProtection="0"/>
    <xf numFmtId="222" fontId="79" fillId="0" borderId="2050" applyBorder="0"/>
    <xf numFmtId="0" fontId="101" fillId="0" borderId="2051" applyBorder="0"/>
    <xf numFmtId="0" fontId="25" fillId="10" borderId="1449" applyNumberFormat="0" applyProtection="0">
      <alignment horizontal="left" vertical="top"/>
    </xf>
    <xf numFmtId="0" fontId="25" fillId="10" borderId="1448" applyNumberFormat="0" applyProtection="0">
      <alignment horizontal="left" vertical="top"/>
    </xf>
    <xf numFmtId="0" fontId="25" fillId="10" borderId="2083" applyNumberFormat="0" applyProtection="0">
      <alignment horizontal="left" vertical="top"/>
    </xf>
    <xf numFmtId="0" fontId="25" fillId="10" borderId="2082" applyNumberFormat="0" applyProtection="0">
      <alignment horizontal="left" vertical="top"/>
    </xf>
    <xf numFmtId="0" fontId="25" fillId="10" borderId="2081" applyNumberFormat="0" applyProtection="0">
      <alignment horizontal="left"/>
    </xf>
    <xf numFmtId="0" fontId="12" fillId="10" borderId="2076" applyNumberFormat="0" applyFont="0" applyProtection="0"/>
    <xf numFmtId="0" fontId="12" fillId="10" borderId="2076" applyNumberFormat="0" applyFont="0" applyAlignment="0" applyProtection="0"/>
    <xf numFmtId="0" fontId="12" fillId="3" borderId="2076" applyNumberFormat="0" applyFont="0" applyAlignment="0" applyProtection="0"/>
    <xf numFmtId="293" fontId="234" fillId="10" borderId="2076" applyFont="0" applyProtection="0"/>
    <xf numFmtId="293" fontId="234" fillId="10" borderId="2076" applyFont="0" applyProtection="0"/>
    <xf numFmtId="169" fontId="234" fillId="3" borderId="2076" applyFont="0" applyProtection="0"/>
    <xf numFmtId="293" fontId="234" fillId="3" borderId="2076" applyFont="0" applyProtection="0"/>
    <xf numFmtId="169" fontId="234" fillId="10" borderId="2076" applyFont="0" applyProtection="0"/>
    <xf numFmtId="0" fontId="25" fillId="10" borderId="2076" applyNumberFormat="0" applyProtection="0">
      <alignment horizontal="center" vertical="top"/>
    </xf>
    <xf numFmtId="0" fontId="25" fillId="10" borderId="2076" applyNumberFormat="0" applyProtection="0">
      <alignment horizontal="center" vertical="top"/>
    </xf>
    <xf numFmtId="2" fontId="12" fillId="60" borderId="2080" applyFont="0" applyFill="0" applyBorder="0" applyAlignment="0" applyProtection="0"/>
    <xf numFmtId="9" fontId="12" fillId="60" borderId="2080" applyFont="0" applyFill="0" applyBorder="0" applyAlignment="0" applyProtection="0"/>
    <xf numFmtId="10" fontId="12" fillId="60" borderId="2080" applyFont="0" applyFill="0" applyBorder="0" applyAlignment="0" applyProtection="0"/>
    <xf numFmtId="183" fontId="12" fillId="60" borderId="2080" applyFont="0" applyFill="0" applyBorder="0" applyAlignment="0" applyProtection="0"/>
    <xf numFmtId="4" fontId="12" fillId="60" borderId="2080" applyFont="0" applyFill="0" applyBorder="0" applyAlignment="0" applyProtection="0"/>
    <xf numFmtId="3" fontId="12" fillId="60" borderId="2080" applyFont="0" applyFill="0" applyBorder="0" applyAlignment="0" applyProtection="0"/>
    <xf numFmtId="4" fontId="230" fillId="11" borderId="2078" applyNumberFormat="0" applyProtection="0">
      <alignment horizontal="right" vertical="center"/>
    </xf>
    <xf numFmtId="4" fontId="229" fillId="84" borderId="2079" applyNumberFormat="0" applyProtection="0">
      <alignment horizontal="left" vertical="center" indent="1"/>
    </xf>
    <xf numFmtId="0" fontId="136" fillId="84" borderId="2078" applyNumberFormat="0" applyProtection="0">
      <alignment horizontal="left" vertical="top" indent="1"/>
    </xf>
    <xf numFmtId="4" fontId="223" fillId="52" borderId="2078" applyNumberFormat="0" applyProtection="0">
      <alignment horizontal="left" vertical="center" indent="1"/>
    </xf>
    <xf numFmtId="4" fontId="228" fillId="11" borderId="2078" applyNumberFormat="0" applyProtection="0">
      <alignment horizontal="right" vertical="center"/>
    </xf>
    <xf numFmtId="4" fontId="184" fillId="11" borderId="2078" applyNumberFormat="0" applyProtection="0">
      <alignment horizontal="right" vertical="center"/>
    </xf>
    <xf numFmtId="0" fontId="136" fillId="14" borderId="2078" applyNumberFormat="0" applyProtection="0">
      <alignment horizontal="left" vertical="top" indent="1"/>
    </xf>
    <xf numFmtId="4" fontId="227" fillId="52" borderId="2079" applyNumberFormat="0" applyProtection="0">
      <alignment horizontal="left" vertical="center" indent="1"/>
    </xf>
    <xf numFmtId="4" fontId="228" fillId="11" borderId="2078" applyNumberFormat="0" applyProtection="0">
      <alignment vertical="center"/>
    </xf>
    <xf numFmtId="4" fontId="226" fillId="11" borderId="2078" applyNumberFormat="0" applyProtection="0">
      <alignment vertical="center"/>
    </xf>
    <xf numFmtId="0" fontId="12" fillId="11" borderId="2078" applyNumberFormat="0" applyProtection="0">
      <alignment horizontal="left" vertical="top" indent="1"/>
    </xf>
    <xf numFmtId="0" fontId="12" fillId="11" borderId="2078" applyNumberFormat="0" applyProtection="0">
      <alignment horizontal="left" vertical="center" indent="1"/>
    </xf>
    <xf numFmtId="0" fontId="12" fillId="52" borderId="2078" applyNumberFormat="0" applyProtection="0">
      <alignment horizontal="left" vertical="top" indent="1"/>
    </xf>
    <xf numFmtId="0" fontId="12" fillId="52" borderId="2078" applyNumberFormat="0" applyProtection="0">
      <alignment horizontal="left" vertical="center" indent="1"/>
    </xf>
    <xf numFmtId="0" fontId="12" fillId="84" borderId="2078" applyNumberFormat="0" applyProtection="0">
      <alignment horizontal="left" vertical="top" indent="1"/>
    </xf>
    <xf numFmtId="0" fontId="12" fillId="84" borderId="2078" applyNumberFormat="0" applyProtection="0">
      <alignment horizontal="left" vertical="center" indent="1"/>
    </xf>
    <xf numFmtId="0" fontId="12" fillId="75" borderId="2078" applyNumberFormat="0" applyProtection="0">
      <alignment horizontal="left" vertical="top" indent="1"/>
    </xf>
    <xf numFmtId="0" fontId="12" fillId="75" borderId="2078" applyNumberFormat="0" applyProtection="0">
      <alignment horizontal="left" vertical="center" indent="1"/>
    </xf>
    <xf numFmtId="4" fontId="184" fillId="52" borderId="2078" applyNumberFormat="0" applyProtection="0">
      <alignment horizontal="right" vertical="center"/>
    </xf>
    <xf numFmtId="4" fontId="226" fillId="82" borderId="2078" applyNumberFormat="0" applyProtection="0">
      <alignment horizontal="right" vertical="center"/>
    </xf>
    <xf numFmtId="4" fontId="226" fillId="81" borderId="2078" applyNumberFormat="0" applyProtection="0">
      <alignment horizontal="right" vertical="center"/>
    </xf>
    <xf numFmtId="4" fontId="226" fillId="80" borderId="2078" applyNumberFormat="0" applyProtection="0">
      <alignment horizontal="right" vertical="center"/>
    </xf>
    <xf numFmtId="4" fontId="226" fillId="71" borderId="2078" applyNumberFormat="0" applyProtection="0">
      <alignment horizontal="right" vertical="center"/>
    </xf>
    <xf numFmtId="4" fontId="226" fillId="79" borderId="2078" applyNumberFormat="0" applyProtection="0">
      <alignment horizontal="right" vertical="center"/>
    </xf>
    <xf numFmtId="4" fontId="226" fillId="10" borderId="2078" applyNumberFormat="0" applyProtection="0">
      <alignment horizontal="right" vertical="center"/>
    </xf>
    <xf numFmtId="4" fontId="226" fillId="78" borderId="2078" applyNumberFormat="0" applyProtection="0">
      <alignment horizontal="right" vertical="center"/>
    </xf>
    <xf numFmtId="4" fontId="226" fillId="77" borderId="2078" applyNumberFormat="0" applyProtection="0">
      <alignment horizontal="right" vertical="center"/>
    </xf>
    <xf numFmtId="4" fontId="226" fillId="76" borderId="2078" applyNumberFormat="0" applyProtection="0">
      <alignment horizontal="right" vertical="center"/>
    </xf>
    <xf numFmtId="0" fontId="225" fillId="53" borderId="2078" applyNumberFormat="0" applyProtection="0">
      <alignment horizontal="left" vertical="top" indent="1"/>
    </xf>
    <xf numFmtId="4" fontId="184" fillId="53" borderId="2078" applyNumberFormat="0" applyProtection="0">
      <alignment horizontal="left" vertical="center" indent="1"/>
    </xf>
    <xf numFmtId="4" fontId="224" fillId="53" borderId="2078" applyNumberFormat="0" applyProtection="0">
      <alignment vertical="center"/>
    </xf>
    <xf numFmtId="4" fontId="223" fillId="53" borderId="2078" applyNumberFormat="0" applyProtection="0">
      <alignment vertical="center"/>
    </xf>
    <xf numFmtId="0" fontId="12" fillId="0" borderId="2075" applyNumberFormat="0" applyFill="0" applyBorder="0" applyAlignment="0" applyProtection="0"/>
    <xf numFmtId="0" fontId="25" fillId="10" borderId="4726" applyNumberFormat="0" applyProtection="0">
      <alignment horizontal="left" vertical="top"/>
    </xf>
    <xf numFmtId="0" fontId="46" fillId="0" borderId="2075" applyNumberFormat="0" applyFill="0" applyBorder="0" applyAlignment="0" applyProtection="0"/>
    <xf numFmtId="0" fontId="105" fillId="0" borderId="2075" applyNumberFormat="0" applyFill="0" applyBorder="0" applyAlignment="0" applyProtection="0"/>
    <xf numFmtId="0" fontId="48" fillId="0" borderId="2075" applyNumberFormat="0" applyFill="0" applyAlignment="0" applyProtection="0"/>
    <xf numFmtId="5" fontId="114" fillId="0" borderId="2074" applyAlignment="0" applyProtection="0"/>
    <xf numFmtId="0" fontId="210" fillId="0" borderId="2156" applyNumberFormat="0" applyFill="0" applyBorder="0" applyAlignment="0">
      <protection locked="0"/>
    </xf>
    <xf numFmtId="0" fontId="12" fillId="84" borderId="4732" applyNumberFormat="0" applyProtection="0">
      <alignment horizontal="left" vertical="top" indent="1"/>
    </xf>
    <xf numFmtId="0" fontId="78" fillId="14" borderId="4719" applyFont="0" applyFill="0" applyBorder="0" applyAlignment="0" applyProtection="0"/>
    <xf numFmtId="182" fontId="145" fillId="3" borderId="2074">
      <alignment horizontal="right" vertical="center"/>
    </xf>
    <xf numFmtId="186" fontId="48" fillId="3" borderId="2074">
      <alignment vertical="center"/>
    </xf>
    <xf numFmtId="0" fontId="135" fillId="0" borderId="2076"/>
    <xf numFmtId="0" fontId="135" fillId="0" borderId="2076"/>
    <xf numFmtId="188" fontId="25" fillId="0" borderId="2090" applyFont="0" applyFill="0" applyBorder="0" applyAlignment="0" applyProtection="0">
      <alignment horizontal="center"/>
    </xf>
    <xf numFmtId="0" fontId="184" fillId="0" borderId="2077" applyAlignment="0">
      <alignment horizontal="left" wrapText="1"/>
    </xf>
    <xf numFmtId="264" fontId="12" fillId="14" borderId="2156" applyFont="0" applyFill="0" applyBorder="0" applyAlignment="0" applyProtection="0">
      <alignment horizontal="right"/>
    </xf>
    <xf numFmtId="0" fontId="25" fillId="69" borderId="2076">
      <alignment horizontal="left" vertical="center" wrapText="1"/>
    </xf>
    <xf numFmtId="0" fontId="159" fillId="0" borderId="2076"/>
    <xf numFmtId="0" fontId="159" fillId="67" borderId="2076"/>
    <xf numFmtId="0" fontId="166" fillId="0" borderId="2156">
      <alignment horizontal="center"/>
    </xf>
    <xf numFmtId="0" fontId="165" fillId="0" borderId="2156" applyFill="0" applyProtection="0">
      <alignment horizontal="center"/>
    </xf>
    <xf numFmtId="246" fontId="249" fillId="0" borderId="4762" applyFill="0" applyProtection="0">
      <alignment horizontal="center"/>
    </xf>
    <xf numFmtId="246" fontId="249" fillId="0" borderId="4786" applyFill="0" applyProtection="0">
      <alignment horizontal="center"/>
    </xf>
    <xf numFmtId="0" fontId="159" fillId="67" borderId="2076"/>
    <xf numFmtId="0" fontId="159" fillId="0" borderId="2076"/>
    <xf numFmtId="0" fontId="25" fillId="69" borderId="2076">
      <alignment horizontal="left" vertical="center" wrapText="1"/>
    </xf>
    <xf numFmtId="0" fontId="184" fillId="0" borderId="2077" applyAlignment="0">
      <alignment horizontal="left" wrapText="1"/>
    </xf>
    <xf numFmtId="0" fontId="135" fillId="0" borderId="2076"/>
    <xf numFmtId="0" fontId="135" fillId="0" borderId="2076"/>
    <xf numFmtId="186" fontId="48" fillId="3" borderId="2074">
      <alignment vertical="center"/>
    </xf>
    <xf numFmtId="0" fontId="25" fillId="10" borderId="4726" applyNumberFormat="0" applyProtection="0">
      <alignment horizontal="left" vertical="top"/>
    </xf>
    <xf numFmtId="186" fontId="146" fillId="3" borderId="2156" applyBorder="0">
      <alignment horizontal="left" vertical="center"/>
    </xf>
    <xf numFmtId="180" fontId="9" fillId="3" borderId="2156">
      <alignment horizontal="right" vertical="center"/>
    </xf>
    <xf numFmtId="192" fontId="9" fillId="3" borderId="2156">
      <alignment horizontal="right" vertical="center"/>
    </xf>
    <xf numFmtId="182" fontId="145" fillId="3" borderId="2074">
      <alignment horizontal="right" vertical="center"/>
    </xf>
    <xf numFmtId="188" fontId="25" fillId="0" borderId="2090" applyFont="0" applyFill="0" applyBorder="0" applyAlignment="0" applyProtection="0">
      <alignment horizontal="center"/>
    </xf>
    <xf numFmtId="0" fontId="48" fillId="0" borderId="2074" applyFont="0" applyFill="0" applyBorder="0" applyAlignment="0" applyProtection="0">
      <alignment horizontal="center"/>
    </xf>
    <xf numFmtId="0" fontId="74" fillId="0" borderId="2074" applyFont="0" applyFill="0" applyBorder="0" applyAlignment="0" applyProtection="0">
      <alignment horizontal="center"/>
    </xf>
    <xf numFmtId="248" fontId="46" fillId="0" borderId="2156"/>
    <xf numFmtId="0" fontId="78" fillId="14" borderId="2065" applyFont="0" applyFill="0" applyBorder="0" applyAlignment="0" applyProtection="0"/>
    <xf numFmtId="0" fontId="25" fillId="10" borderId="4727" applyNumberFormat="0" applyProtection="0">
      <alignment horizontal="left" vertical="top"/>
    </xf>
    <xf numFmtId="0" fontId="12" fillId="0" borderId="2156" applyNumberFormat="0" applyFill="0" applyBorder="0" applyAlignment="0" applyProtection="0">
      <alignment horizontal="center"/>
    </xf>
    <xf numFmtId="5" fontId="114" fillId="0" borderId="2074" applyAlignment="0" applyProtection="0"/>
    <xf numFmtId="0" fontId="113" fillId="0" borderId="2156" applyNumberFormat="0" applyFill="0" applyAlignment="0" applyProtection="0"/>
    <xf numFmtId="0" fontId="48" fillId="0" borderId="2075" applyNumberFormat="0" applyFill="0" applyAlignment="0" applyProtection="0"/>
    <xf numFmtId="0" fontId="105" fillId="0" borderId="2075" applyNumberFormat="0" applyFill="0" applyBorder="0" applyAlignment="0" applyProtection="0"/>
    <xf numFmtId="0" fontId="46" fillId="0" borderId="2075" applyNumberFormat="0" applyFill="0" applyBorder="0" applyAlignment="0" applyProtection="0"/>
    <xf numFmtId="0" fontId="12" fillId="0" borderId="2075" applyNumberFormat="0" applyFill="0" applyBorder="0" applyAlignment="0" applyProtection="0"/>
    <xf numFmtId="222" fontId="79" fillId="0" borderId="2155" applyBorder="0"/>
    <xf numFmtId="0" fontId="101" fillId="0" borderId="2156" applyBorder="0"/>
    <xf numFmtId="4" fontId="223" fillId="53" borderId="2078" applyNumberFormat="0" applyProtection="0">
      <alignment vertical="center"/>
    </xf>
    <xf numFmtId="4" fontId="224" fillId="53" borderId="2078" applyNumberFormat="0" applyProtection="0">
      <alignment vertical="center"/>
    </xf>
    <xf numFmtId="4" fontId="184" fillId="53" borderId="2078" applyNumberFormat="0" applyProtection="0">
      <alignment horizontal="left" vertical="center" indent="1"/>
    </xf>
    <xf numFmtId="0" fontId="225" fillId="53" borderId="2078" applyNumberFormat="0" applyProtection="0">
      <alignment horizontal="left" vertical="top" indent="1"/>
    </xf>
    <xf numFmtId="4" fontId="226" fillId="76" borderId="2078" applyNumberFormat="0" applyProtection="0">
      <alignment horizontal="right" vertical="center"/>
    </xf>
    <xf numFmtId="4" fontId="226" fillId="77" borderId="2078" applyNumberFormat="0" applyProtection="0">
      <alignment horizontal="right" vertical="center"/>
    </xf>
    <xf numFmtId="4" fontId="226" fillId="78" borderId="2078" applyNumberFormat="0" applyProtection="0">
      <alignment horizontal="right" vertical="center"/>
    </xf>
    <xf numFmtId="4" fontId="226" fillId="10" borderId="2078" applyNumberFormat="0" applyProtection="0">
      <alignment horizontal="right" vertical="center"/>
    </xf>
    <xf numFmtId="4" fontId="226" fillId="79" borderId="2078" applyNumberFormat="0" applyProtection="0">
      <alignment horizontal="right" vertical="center"/>
    </xf>
    <xf numFmtId="4" fontId="226" fillId="71" borderId="2078" applyNumberFormat="0" applyProtection="0">
      <alignment horizontal="right" vertical="center"/>
    </xf>
    <xf numFmtId="4" fontId="226" fillId="81" borderId="2078" applyNumberFormat="0" applyProtection="0">
      <alignment horizontal="right" vertical="center"/>
    </xf>
    <xf numFmtId="4" fontId="226" fillId="80" borderId="2078" applyNumberFormat="0" applyProtection="0">
      <alignment horizontal="right" vertical="center"/>
    </xf>
    <xf numFmtId="4" fontId="226" fillId="82" borderId="2078" applyNumberFormat="0" applyProtection="0">
      <alignment horizontal="right" vertical="center"/>
    </xf>
    <xf numFmtId="4" fontId="184" fillId="52" borderId="2078" applyNumberFormat="0" applyProtection="0">
      <alignment horizontal="right" vertical="center"/>
    </xf>
    <xf numFmtId="0" fontId="12" fillId="75" borderId="2078" applyNumberFormat="0" applyProtection="0">
      <alignment horizontal="left" vertical="center" indent="1"/>
    </xf>
    <xf numFmtId="0" fontId="12" fillId="75" borderId="2078" applyNumberFormat="0" applyProtection="0">
      <alignment horizontal="left" vertical="top" indent="1"/>
    </xf>
    <xf numFmtId="0" fontId="12" fillId="84" borderId="2078" applyNumberFormat="0" applyProtection="0">
      <alignment horizontal="left" vertical="center" indent="1"/>
    </xf>
    <xf numFmtId="0" fontId="12" fillId="84" borderId="2078" applyNumberFormat="0" applyProtection="0">
      <alignment horizontal="left" vertical="top" indent="1"/>
    </xf>
    <xf numFmtId="0" fontId="12" fillId="52" borderId="2078" applyNumberFormat="0" applyProtection="0">
      <alignment horizontal="left" vertical="center" indent="1"/>
    </xf>
    <xf numFmtId="0" fontId="12" fillId="52" borderId="2078" applyNumberFormat="0" applyProtection="0">
      <alignment horizontal="left" vertical="top" indent="1"/>
    </xf>
    <xf numFmtId="0" fontId="12" fillId="11" borderId="2078" applyNumberFormat="0" applyProtection="0">
      <alignment horizontal="left" vertical="center" indent="1"/>
    </xf>
    <xf numFmtId="0" fontId="12" fillId="11" borderId="2078" applyNumberFormat="0" applyProtection="0">
      <alignment horizontal="left" vertical="top" indent="1"/>
    </xf>
    <xf numFmtId="4" fontId="226" fillId="11" borderId="2078" applyNumberFormat="0" applyProtection="0">
      <alignment vertical="center"/>
    </xf>
    <xf numFmtId="4" fontId="228" fillId="11" borderId="2078" applyNumberFormat="0" applyProtection="0">
      <alignment vertical="center"/>
    </xf>
    <xf numFmtId="4" fontId="227" fillId="52" borderId="2079" applyNumberFormat="0" applyProtection="0">
      <alignment horizontal="left" vertical="center" indent="1"/>
    </xf>
    <xf numFmtId="0" fontId="136" fillId="14" borderId="2078" applyNumberFormat="0" applyProtection="0">
      <alignment horizontal="left" vertical="top" indent="1"/>
    </xf>
    <xf numFmtId="4" fontId="184" fillId="11" borderId="2078" applyNumberFormat="0" applyProtection="0">
      <alignment horizontal="right" vertical="center"/>
    </xf>
    <xf numFmtId="4" fontId="228" fillId="11" borderId="2078" applyNumberFormat="0" applyProtection="0">
      <alignment horizontal="right" vertical="center"/>
    </xf>
    <xf numFmtId="4" fontId="223" fillId="52" borderId="2078" applyNumberFormat="0" applyProtection="0">
      <alignment horizontal="left" vertical="center" indent="1"/>
    </xf>
    <xf numFmtId="0" fontId="136" fillId="84" borderId="2078" applyNumberFormat="0" applyProtection="0">
      <alignment horizontal="left" vertical="top" indent="1"/>
    </xf>
    <xf numFmtId="4" fontId="229" fillId="84" borderId="2079" applyNumberFormat="0" applyProtection="0">
      <alignment horizontal="left" vertical="center" indent="1"/>
    </xf>
    <xf numFmtId="4" fontId="230" fillId="11" borderId="2078" applyNumberFormat="0" applyProtection="0">
      <alignment horizontal="right" vertical="center"/>
    </xf>
    <xf numFmtId="0" fontId="25" fillId="10" borderId="2163" applyNumberFormat="0" applyProtection="0">
      <alignment horizontal="left" vertical="top"/>
    </xf>
    <xf numFmtId="0" fontId="25" fillId="10" borderId="2164" applyNumberFormat="0" applyProtection="0">
      <alignment horizontal="left" vertical="top"/>
    </xf>
    <xf numFmtId="0" fontId="25" fillId="10" borderId="2165" applyNumberFormat="0" applyProtection="0">
      <alignment horizontal="left" vertical="top"/>
    </xf>
    <xf numFmtId="0" fontId="25" fillId="10" borderId="2166" applyNumberFormat="0" applyProtection="0">
      <alignment horizontal="left" vertical="top"/>
    </xf>
    <xf numFmtId="3" fontId="12" fillId="60" borderId="2080" applyFont="0" applyFill="0" applyBorder="0" applyAlignment="0" applyProtection="0"/>
    <xf numFmtId="4" fontId="12" fillId="60" borderId="2080" applyFont="0" applyFill="0" applyBorder="0" applyAlignment="0" applyProtection="0"/>
    <xf numFmtId="183" fontId="12" fillId="60" borderId="2080" applyFont="0" applyFill="0" applyBorder="0" applyAlignment="0" applyProtection="0"/>
    <xf numFmtId="10" fontId="12" fillId="60" borderId="2080" applyFont="0" applyFill="0" applyBorder="0" applyAlignment="0" applyProtection="0"/>
    <xf numFmtId="9" fontId="12" fillId="60" borderId="2080" applyFont="0" applyFill="0" applyBorder="0" applyAlignment="0" applyProtection="0"/>
    <xf numFmtId="2" fontId="12" fillId="60" borderId="2080" applyFont="0" applyFill="0" applyBorder="0" applyAlignment="0" applyProtection="0"/>
    <xf numFmtId="0" fontId="25" fillId="10" borderId="2076" applyNumberFormat="0" applyProtection="0">
      <alignment horizontal="center" vertical="top"/>
    </xf>
    <xf numFmtId="169" fontId="234" fillId="3" borderId="2076" applyFont="0" applyProtection="0"/>
    <xf numFmtId="169" fontId="234" fillId="10" borderId="2076" applyFont="0" applyProtection="0"/>
    <xf numFmtId="293" fontId="234" fillId="3" borderId="2076" applyFont="0" applyProtection="0"/>
    <xf numFmtId="293" fontId="234" fillId="10" borderId="2076" applyFont="0" applyProtection="0"/>
    <xf numFmtId="293" fontId="234" fillId="10" borderId="2076" applyFont="0" applyProtection="0"/>
    <xf numFmtId="0" fontId="12" fillId="3" borderId="2076" applyNumberFormat="0" applyFont="0" applyAlignment="0" applyProtection="0"/>
    <xf numFmtId="0" fontId="12" fillId="10" borderId="2076" applyNumberFormat="0" applyFont="0" applyAlignment="0" applyProtection="0"/>
    <xf numFmtId="0" fontId="12" fillId="10" borderId="2076" applyNumberFormat="0" applyFont="0" applyProtection="0"/>
    <xf numFmtId="0" fontId="25" fillId="10" borderId="2081" applyNumberFormat="0" applyProtection="0">
      <alignment horizontal="left"/>
    </xf>
    <xf numFmtId="0" fontId="25" fillId="10" borderId="2082" applyNumberFormat="0" applyProtection="0">
      <alignment horizontal="left" vertical="top"/>
    </xf>
    <xf numFmtId="0" fontId="25" fillId="10" borderId="2083" applyNumberFormat="0" applyProtection="0">
      <alignment horizontal="left" vertical="top"/>
    </xf>
    <xf numFmtId="0" fontId="25" fillId="10" borderId="2084" applyNumberFormat="0" applyProtection="0">
      <alignment horizontal="left" vertical="top"/>
    </xf>
    <xf numFmtId="0" fontId="25" fillId="10" borderId="2085" applyNumberFormat="0" applyProtection="0">
      <alignment horizontal="left" vertical="top"/>
    </xf>
    <xf numFmtId="0" fontId="25" fillId="10" borderId="2086" applyNumberFormat="0" applyProtection="0">
      <alignment horizontal="left" vertical="top"/>
    </xf>
    <xf numFmtId="0" fontId="25" fillId="10" borderId="2087" applyNumberFormat="0" applyProtection="0">
      <alignment horizontal="left" vertical="top"/>
    </xf>
    <xf numFmtId="10" fontId="12" fillId="3" borderId="2088" applyNumberFormat="0" applyFont="0" applyFill="0" applyBorder="0" applyAlignment="0">
      <protection locked="0"/>
    </xf>
    <xf numFmtId="0" fontId="12" fillId="0" borderId="2075" applyNumberFormat="0" applyFill="0" applyBorder="0" applyAlignment="0" applyProtection="0"/>
    <xf numFmtId="0" fontId="25" fillId="10" borderId="2076" applyNumberFormat="0" applyProtection="0">
      <alignment horizontal="center" vertical="top"/>
    </xf>
    <xf numFmtId="180" fontId="9" fillId="3" borderId="4746">
      <alignment horizontal="right" vertical="center"/>
    </xf>
    <xf numFmtId="0" fontId="166" fillId="0" borderId="4810">
      <alignment horizontal="center"/>
    </xf>
    <xf numFmtId="186" fontId="48" fillId="3" borderId="4728">
      <alignment vertical="center"/>
    </xf>
    <xf numFmtId="0" fontId="25" fillId="10" borderId="4741" applyNumberFormat="0" applyProtection="0">
      <alignment horizontal="left" vertical="top"/>
    </xf>
    <xf numFmtId="10" fontId="12" fillId="3" borderId="4742" applyNumberFormat="0" applyFont="0" applyFill="0" applyBorder="0" applyAlignment="0">
      <protection locked="0"/>
    </xf>
    <xf numFmtId="186" fontId="146" fillId="3" borderId="4810" applyBorder="0">
      <alignment horizontal="left" vertical="center"/>
    </xf>
    <xf numFmtId="0" fontId="25" fillId="10" borderId="4737" applyNumberFormat="0" applyProtection="0">
      <alignment horizontal="left" vertical="top"/>
    </xf>
    <xf numFmtId="0" fontId="214" fillId="0" borderId="4816" applyNumberFormat="0" applyFont="0" applyFill="0" applyAlignment="0" applyProtection="0"/>
    <xf numFmtId="186" fontId="146" fillId="3" borderId="4774" applyBorder="0">
      <alignment horizontal="left" vertical="center"/>
    </xf>
    <xf numFmtId="222" fontId="79" fillId="0" borderId="4773" applyBorder="0"/>
    <xf numFmtId="246" fontId="249" fillId="0" borderId="4746" applyFill="0" applyProtection="0">
      <alignment horizontal="center"/>
    </xf>
    <xf numFmtId="0" fontId="166" fillId="0" borderId="4762">
      <alignment horizontal="center"/>
    </xf>
    <xf numFmtId="0" fontId="105" fillId="0" borderId="4729" applyNumberFormat="0" applyFill="0" applyBorder="0" applyAlignment="0" applyProtection="0"/>
    <xf numFmtId="0" fontId="159" fillId="0" borderId="4730"/>
    <xf numFmtId="188" fontId="25" fillId="0" borderId="4745" applyFont="0" applyFill="0" applyBorder="0" applyAlignment="0" applyProtection="0">
      <alignment horizontal="center"/>
    </xf>
    <xf numFmtId="10" fontId="12" fillId="3" borderId="4742" applyNumberFormat="0" applyFont="0" applyFill="0" applyBorder="0" applyAlignment="0">
      <protection locked="0"/>
    </xf>
    <xf numFmtId="0" fontId="48" fillId="0" borderId="2074" applyFont="0" applyFill="0" applyBorder="0" applyAlignment="0" applyProtection="0">
      <alignment horizontal="center"/>
    </xf>
    <xf numFmtId="0" fontId="101" fillId="0" borderId="4774" applyBorder="0"/>
    <xf numFmtId="0" fontId="74" fillId="0" borderId="2074" applyFont="0" applyFill="0" applyBorder="0" applyAlignment="0" applyProtection="0">
      <alignment horizontal="center"/>
    </xf>
    <xf numFmtId="10" fontId="12" fillId="3" borderId="2088" applyNumberFormat="0" applyFont="0" applyFill="0" applyBorder="0" applyAlignment="0">
      <protection locked="0"/>
    </xf>
    <xf numFmtId="0" fontId="12" fillId="0" borderId="2075" applyNumberFormat="0" applyFill="0" applyBorder="0" applyAlignment="0" applyProtection="0"/>
    <xf numFmtId="0" fontId="12" fillId="0" borderId="2075" applyNumberFormat="0" applyFill="0" applyBorder="0" applyAlignment="0" applyProtection="0"/>
    <xf numFmtId="0" fontId="12" fillId="0" borderId="2075" applyNumberFormat="0" applyFill="0" applyBorder="0" applyAlignment="0" applyProtection="0"/>
    <xf numFmtId="0" fontId="75" fillId="0" borderId="4763" applyNumberFormat="0" applyFont="0" applyFill="0" applyAlignment="0" applyProtection="0"/>
    <xf numFmtId="10" fontId="12" fillId="3" borderId="2088" applyNumberFormat="0" applyFont="0" applyFill="0" applyBorder="0" applyAlignment="0">
      <protection locked="0"/>
    </xf>
    <xf numFmtId="246" fontId="250" fillId="0" borderId="2093" applyFill="0" applyProtection="0">
      <alignment horizontal="center"/>
    </xf>
    <xf numFmtId="246" fontId="249" fillId="0" borderId="2093" applyFill="0" applyProtection="0">
      <alignment horizontal="center"/>
    </xf>
    <xf numFmtId="0" fontId="241" fillId="94" borderId="2093" applyBorder="0" applyProtection="0">
      <alignment horizontal="centerContinuous" vertical="center"/>
    </xf>
    <xf numFmtId="254" fontId="240" fillId="0" borderId="2093" applyBorder="0" applyProtection="0">
      <alignment horizontal="right" vertical="center"/>
    </xf>
    <xf numFmtId="0" fontId="2" fillId="0" borderId="4755" applyNumberFormat="0" applyAlignment="0" applyProtection="0"/>
    <xf numFmtId="0" fontId="210" fillId="0" borderId="2093" applyNumberFormat="0" applyFill="0" applyBorder="0" applyAlignment="0">
      <protection locked="0"/>
    </xf>
    <xf numFmtId="188" fontId="25" fillId="0" borderId="2090" applyFont="0" applyFill="0" applyBorder="0" applyAlignment="0" applyProtection="0">
      <alignment horizontal="center"/>
    </xf>
    <xf numFmtId="264" fontId="12" fillId="14" borderId="2093" applyFont="0" applyFill="0" applyBorder="0" applyAlignment="0" applyProtection="0">
      <alignment horizontal="right"/>
    </xf>
    <xf numFmtId="0" fontId="166" fillId="0" borderId="2093">
      <alignment horizontal="center"/>
    </xf>
    <xf numFmtId="0" fontId="165" fillId="0" borderId="2093" applyFill="0" applyProtection="0">
      <alignment horizontal="center"/>
    </xf>
    <xf numFmtId="186" fontId="146" fillId="3" borderId="2093" applyBorder="0">
      <alignment horizontal="left" vertical="center"/>
    </xf>
    <xf numFmtId="180" fontId="9" fillId="3" borderId="2093">
      <alignment horizontal="right" vertical="center"/>
    </xf>
    <xf numFmtId="192" fontId="9" fillId="3" borderId="2093">
      <alignment horizontal="right" vertical="center"/>
    </xf>
    <xf numFmtId="248" fontId="46" fillId="0" borderId="2093"/>
    <xf numFmtId="222" fontId="79" fillId="0" borderId="4743" applyBorder="0"/>
    <xf numFmtId="0" fontId="12" fillId="0" borderId="2093" applyNumberFormat="0" applyFill="0" applyBorder="0" applyAlignment="0" applyProtection="0">
      <alignment horizontal="center"/>
    </xf>
    <xf numFmtId="0" fontId="113" fillId="0" borderId="2093" applyNumberFormat="0" applyFill="0" applyAlignment="0" applyProtection="0"/>
    <xf numFmtId="222" fontId="79" fillId="0" borderId="2062" applyBorder="0"/>
    <xf numFmtId="0" fontId="101" fillId="0" borderId="2093" applyBorder="0"/>
    <xf numFmtId="10" fontId="12" fillId="3" borderId="2088" applyNumberFormat="0" applyFont="0" applyFill="0" applyBorder="0" applyAlignment="0">
      <protection locked="0"/>
    </xf>
    <xf numFmtId="0" fontId="25" fillId="10" borderId="4820" applyNumberFormat="0" applyProtection="0">
      <alignment horizontal="left" vertical="top"/>
    </xf>
    <xf numFmtId="1" fontId="154" fillId="65" borderId="1785" applyNumberFormat="0" applyBorder="0" applyAlignment="0">
      <alignment horizontal="centerContinuous" vertical="center"/>
      <protection locked="0"/>
    </xf>
    <xf numFmtId="0" fontId="12" fillId="0" borderId="2075" applyNumberFormat="0" applyFill="0" applyBorder="0" applyAlignment="0" applyProtection="0"/>
    <xf numFmtId="0" fontId="12" fillId="0" borderId="2075" applyNumberFormat="0" applyFill="0" applyBorder="0" applyAlignment="0" applyProtection="0"/>
    <xf numFmtId="0" fontId="12" fillId="0" borderId="2075" applyNumberFormat="0" applyFill="0" applyBorder="0" applyAlignment="0" applyProtection="0"/>
    <xf numFmtId="10" fontId="12" fillId="3" borderId="2088" applyNumberFormat="0" applyFont="0" applyFill="0" applyBorder="0" applyAlignment="0">
      <protection locked="0"/>
    </xf>
    <xf numFmtId="246" fontId="250" fillId="0" borderId="2093" applyFill="0" applyProtection="0">
      <alignment horizontal="center"/>
    </xf>
    <xf numFmtId="246" fontId="249" fillId="0" borderId="2093" applyFill="0" applyProtection="0">
      <alignment horizontal="center"/>
    </xf>
    <xf numFmtId="0" fontId="241" fillId="94" borderId="2093" applyBorder="0" applyProtection="0">
      <alignment horizontal="centerContinuous" vertical="center"/>
    </xf>
    <xf numFmtId="254" fontId="240" fillId="0" borderId="2093" applyBorder="0" applyProtection="0">
      <alignment horizontal="right" vertical="center"/>
    </xf>
    <xf numFmtId="0" fontId="12" fillId="0" borderId="2075" applyNumberFormat="0" applyFill="0" applyBorder="0" applyAlignment="0" applyProtection="0"/>
    <xf numFmtId="0" fontId="25" fillId="10" borderId="2087" applyNumberFormat="0" applyProtection="0">
      <alignment horizontal="left" vertical="top"/>
    </xf>
    <xf numFmtId="0" fontId="25" fillId="10" borderId="2086" applyNumberFormat="0" applyProtection="0">
      <alignment horizontal="left" vertical="top"/>
    </xf>
    <xf numFmtId="0" fontId="25" fillId="10" borderId="2085" applyNumberFormat="0" applyProtection="0">
      <alignment horizontal="left" vertical="top"/>
    </xf>
    <xf numFmtId="0" fontId="25" fillId="10" borderId="2084" applyNumberFormat="0" applyProtection="0">
      <alignment horizontal="left" vertical="top"/>
    </xf>
    <xf numFmtId="0" fontId="25" fillId="10" borderId="2083" applyNumberFormat="0" applyProtection="0">
      <alignment horizontal="left" vertical="top"/>
    </xf>
    <xf numFmtId="0" fontId="25" fillId="10" borderId="2082" applyNumberFormat="0" applyProtection="0">
      <alignment horizontal="left" vertical="top"/>
    </xf>
    <xf numFmtId="0" fontId="25" fillId="10" borderId="2081" applyNumberFormat="0" applyProtection="0">
      <alignment horizontal="left"/>
    </xf>
    <xf numFmtId="0" fontId="12" fillId="10" borderId="2076" applyNumberFormat="0" applyFont="0" applyProtection="0"/>
    <xf numFmtId="0" fontId="12" fillId="10" borderId="2076" applyNumberFormat="0" applyFont="0" applyAlignment="0" applyProtection="0"/>
    <xf numFmtId="0" fontId="12" fillId="3" borderId="2076" applyNumberFormat="0" applyFont="0" applyAlignment="0" applyProtection="0"/>
    <xf numFmtId="293" fontId="234" fillId="10" borderId="2076" applyFont="0" applyProtection="0"/>
    <xf numFmtId="293" fontId="234" fillId="3" borderId="2076" applyFont="0" applyProtection="0"/>
    <xf numFmtId="293" fontId="234" fillId="10" borderId="2076" applyFont="0" applyProtection="0"/>
    <xf numFmtId="169" fontId="234" fillId="10" borderId="2076" applyFont="0" applyProtection="0"/>
    <xf numFmtId="169" fontId="234" fillId="3" borderId="2076" applyFont="0" applyProtection="0"/>
    <xf numFmtId="0" fontId="25" fillId="10" borderId="2076" applyNumberFormat="0" applyProtection="0">
      <alignment horizontal="center" vertical="top"/>
    </xf>
    <xf numFmtId="0" fontId="25" fillId="10" borderId="2076" applyNumberFormat="0" applyProtection="0">
      <alignment horizontal="center" vertical="top"/>
    </xf>
    <xf numFmtId="2" fontId="12" fillId="60" borderId="2080" applyFont="0" applyFill="0" applyBorder="0" applyAlignment="0" applyProtection="0"/>
    <xf numFmtId="9" fontId="12" fillId="60" borderId="2080" applyFont="0" applyFill="0" applyBorder="0" applyAlignment="0" applyProtection="0"/>
    <xf numFmtId="10" fontId="12" fillId="60" borderId="2080" applyFont="0" applyFill="0" applyBorder="0" applyAlignment="0" applyProtection="0"/>
    <xf numFmtId="183" fontId="12" fillId="60" borderId="2080" applyFont="0" applyFill="0" applyBorder="0" applyAlignment="0" applyProtection="0"/>
    <xf numFmtId="4" fontId="12" fillId="60" borderId="2080" applyFont="0" applyFill="0" applyBorder="0" applyAlignment="0" applyProtection="0"/>
    <xf numFmtId="3" fontId="12" fillId="60" borderId="2080" applyFont="0" applyFill="0" applyBorder="0" applyAlignment="0" applyProtection="0"/>
    <xf numFmtId="186" fontId="48" fillId="3" borderId="4728">
      <alignment vertical="center"/>
    </xf>
    <xf numFmtId="4" fontId="230" fillId="11" borderId="2078" applyNumberFormat="0" applyProtection="0">
      <alignment horizontal="right" vertical="center"/>
    </xf>
    <xf numFmtId="4" fontId="229" fillId="84" borderId="2079" applyNumberFormat="0" applyProtection="0">
      <alignment horizontal="left" vertical="center" indent="1"/>
    </xf>
    <xf numFmtId="0" fontId="136" fillId="84" borderId="2078" applyNumberFormat="0" applyProtection="0">
      <alignment horizontal="left" vertical="top" indent="1"/>
    </xf>
    <xf numFmtId="4" fontId="223" fillId="52" borderId="2078" applyNumberFormat="0" applyProtection="0">
      <alignment horizontal="left" vertical="center" indent="1"/>
    </xf>
    <xf numFmtId="4" fontId="228" fillId="11" borderId="2078" applyNumberFormat="0" applyProtection="0">
      <alignment horizontal="right" vertical="center"/>
    </xf>
    <xf numFmtId="4" fontId="184" fillId="11" borderId="2078" applyNumberFormat="0" applyProtection="0">
      <alignment horizontal="right" vertical="center"/>
    </xf>
    <xf numFmtId="0" fontId="136" fillId="14" borderId="2078" applyNumberFormat="0" applyProtection="0">
      <alignment horizontal="left" vertical="top" indent="1"/>
    </xf>
    <xf numFmtId="4" fontId="227" fillId="52" borderId="2079" applyNumberFormat="0" applyProtection="0">
      <alignment horizontal="left" vertical="center" indent="1"/>
    </xf>
    <xf numFmtId="4" fontId="228" fillId="11" borderId="2078" applyNumberFormat="0" applyProtection="0">
      <alignment vertical="center"/>
    </xf>
    <xf numFmtId="4" fontId="226" fillId="11" borderId="2078" applyNumberFormat="0" applyProtection="0">
      <alignment vertical="center"/>
    </xf>
    <xf numFmtId="0" fontId="12" fillId="11" borderId="2078" applyNumberFormat="0" applyProtection="0">
      <alignment horizontal="left" vertical="top" indent="1"/>
    </xf>
    <xf numFmtId="0" fontId="12" fillId="11" borderId="2078" applyNumberFormat="0" applyProtection="0">
      <alignment horizontal="left" vertical="center" indent="1"/>
    </xf>
    <xf numFmtId="0" fontId="12" fillId="52" borderId="2078" applyNumberFormat="0" applyProtection="0">
      <alignment horizontal="left" vertical="top" indent="1"/>
    </xf>
    <xf numFmtId="0" fontId="12" fillId="52" borderId="2078" applyNumberFormat="0" applyProtection="0">
      <alignment horizontal="left" vertical="center" indent="1"/>
    </xf>
    <xf numFmtId="0" fontId="12" fillId="84" borderId="2078" applyNumberFormat="0" applyProtection="0">
      <alignment horizontal="left" vertical="top" indent="1"/>
    </xf>
    <xf numFmtId="0" fontId="12" fillId="84" borderId="2078" applyNumberFormat="0" applyProtection="0">
      <alignment horizontal="left" vertical="center" indent="1"/>
    </xf>
    <xf numFmtId="0" fontId="12" fillId="75" borderId="2078" applyNumberFormat="0" applyProtection="0">
      <alignment horizontal="left" vertical="top" indent="1"/>
    </xf>
    <xf numFmtId="0" fontId="12" fillId="75" borderId="2078" applyNumberFormat="0" applyProtection="0">
      <alignment horizontal="left" vertical="center" indent="1"/>
    </xf>
    <xf numFmtId="4" fontId="184" fillId="52" borderId="2078" applyNumberFormat="0" applyProtection="0">
      <alignment horizontal="right" vertical="center"/>
    </xf>
    <xf numFmtId="4" fontId="226" fillId="82" borderId="2078" applyNumberFormat="0" applyProtection="0">
      <alignment horizontal="right" vertical="center"/>
    </xf>
    <xf numFmtId="4" fontId="226" fillId="81" borderId="2078" applyNumberFormat="0" applyProtection="0">
      <alignment horizontal="right" vertical="center"/>
    </xf>
    <xf numFmtId="4" fontId="226" fillId="80" borderId="2078" applyNumberFormat="0" applyProtection="0">
      <alignment horizontal="right" vertical="center"/>
    </xf>
    <xf numFmtId="4" fontId="226" fillId="71" borderId="2078" applyNumberFormat="0" applyProtection="0">
      <alignment horizontal="right" vertical="center"/>
    </xf>
    <xf numFmtId="4" fontId="226" fillId="79" borderId="2078" applyNumberFormat="0" applyProtection="0">
      <alignment horizontal="right" vertical="center"/>
    </xf>
    <xf numFmtId="4" fontId="226" fillId="10" borderId="2078" applyNumberFormat="0" applyProtection="0">
      <alignment horizontal="right" vertical="center"/>
    </xf>
    <xf numFmtId="4" fontId="226" fillId="78" borderId="2078" applyNumberFormat="0" applyProtection="0">
      <alignment horizontal="right" vertical="center"/>
    </xf>
    <xf numFmtId="4" fontId="226" fillId="77" borderId="2078" applyNumberFormat="0" applyProtection="0">
      <alignment horizontal="right" vertical="center"/>
    </xf>
    <xf numFmtId="4" fontId="226" fillId="76" borderId="2078" applyNumberFormat="0" applyProtection="0">
      <alignment horizontal="right" vertical="center"/>
    </xf>
    <xf numFmtId="0" fontId="225" fillId="53" borderId="2078" applyNumberFormat="0" applyProtection="0">
      <alignment horizontal="left" vertical="top" indent="1"/>
    </xf>
    <xf numFmtId="4" fontId="184" fillId="53" borderId="2078" applyNumberFormat="0" applyProtection="0">
      <alignment horizontal="left" vertical="center" indent="1"/>
    </xf>
    <xf numFmtId="4" fontId="224" fillId="53" borderId="2078" applyNumberFormat="0" applyProtection="0">
      <alignment vertical="center"/>
    </xf>
    <xf numFmtId="4" fontId="223" fillId="53" borderId="2078" applyNumberFormat="0" applyProtection="0">
      <alignment vertical="center"/>
    </xf>
    <xf numFmtId="0" fontId="78" fillId="14" borderId="4719" applyFont="0" applyFill="0" applyBorder="0" applyAlignment="0" applyProtection="0"/>
    <xf numFmtId="0" fontId="210" fillId="0" borderId="2093" applyNumberFormat="0" applyFill="0" applyBorder="0" applyAlignment="0">
      <protection locked="0"/>
    </xf>
    <xf numFmtId="0" fontId="12" fillId="84" borderId="4732" applyNumberFormat="0" applyProtection="0">
      <alignment horizontal="left" vertical="center" indent="1"/>
    </xf>
    <xf numFmtId="188" fontId="25" fillId="0" borderId="2090" applyFont="0" applyFill="0" applyBorder="0" applyAlignment="0" applyProtection="0">
      <alignment horizontal="center"/>
    </xf>
    <xf numFmtId="0" fontId="184" fillId="0" borderId="2077" applyAlignment="0">
      <alignment horizontal="left" wrapText="1"/>
    </xf>
    <xf numFmtId="264" fontId="12" fillId="14" borderId="2093" applyFont="0" applyFill="0" applyBorder="0" applyAlignment="0" applyProtection="0">
      <alignment horizontal="right"/>
    </xf>
    <xf numFmtId="0" fontId="25" fillId="69" borderId="2076">
      <alignment horizontal="left" vertical="center" wrapText="1"/>
    </xf>
    <xf numFmtId="0" fontId="166" fillId="0" borderId="2093">
      <alignment horizontal="center"/>
    </xf>
    <xf numFmtId="0" fontId="165" fillId="0" borderId="2093" applyFill="0" applyProtection="0">
      <alignment horizontal="center"/>
    </xf>
    <xf numFmtId="264" fontId="12" fillId="14" borderId="4762" applyFont="0" applyFill="0" applyBorder="0" applyAlignment="0" applyProtection="0">
      <alignment horizontal="right"/>
    </xf>
    <xf numFmtId="246" fontId="250" fillId="0" borderId="4786" applyFill="0" applyProtection="0">
      <alignment horizontal="center"/>
    </xf>
    <xf numFmtId="0" fontId="159" fillId="67" borderId="2076"/>
    <xf numFmtId="0" fontId="159" fillId="0" borderId="2076"/>
    <xf numFmtId="0" fontId="135" fillId="0" borderId="2076"/>
    <xf numFmtId="0" fontId="135" fillId="0" borderId="2076"/>
    <xf numFmtId="186" fontId="48" fillId="3" borderId="2074">
      <alignment vertical="center"/>
    </xf>
    <xf numFmtId="186" fontId="146" fillId="3" borderId="2093" applyBorder="0">
      <alignment horizontal="left" vertical="center"/>
    </xf>
    <xf numFmtId="180" fontId="9" fillId="3" borderId="2093">
      <alignment horizontal="right" vertical="center"/>
    </xf>
    <xf numFmtId="192" fontId="9" fillId="3" borderId="2093">
      <alignment horizontal="right" vertical="center"/>
    </xf>
    <xf numFmtId="182" fontId="145" fillId="3" borderId="2074">
      <alignment horizontal="right" vertical="center"/>
    </xf>
    <xf numFmtId="0" fontId="48" fillId="0" borderId="2074" applyFont="0" applyFill="0" applyBorder="0" applyAlignment="0" applyProtection="0">
      <alignment horizontal="center"/>
    </xf>
    <xf numFmtId="0" fontId="74" fillId="0" borderId="2074" applyFont="0" applyFill="0" applyBorder="0" applyAlignment="0" applyProtection="0">
      <alignment horizontal="center"/>
    </xf>
    <xf numFmtId="0" fontId="12" fillId="0" borderId="2093" applyNumberFormat="0" applyFill="0" applyBorder="0" applyAlignment="0" applyProtection="0">
      <alignment horizontal="center"/>
    </xf>
    <xf numFmtId="5" fontId="114" fillId="0" borderId="2074" applyAlignment="0" applyProtection="0"/>
    <xf numFmtId="0" fontId="113" fillId="0" borderId="2093" applyNumberFormat="0" applyFill="0" applyAlignment="0" applyProtection="0"/>
    <xf numFmtId="0" fontId="48" fillId="0" borderId="2075" applyNumberFormat="0" applyFill="0" applyAlignment="0" applyProtection="0"/>
    <xf numFmtId="0" fontId="105" fillId="0" borderId="2075" applyNumberFormat="0" applyFill="0" applyBorder="0" applyAlignment="0" applyProtection="0"/>
    <xf numFmtId="0" fontId="46" fillId="0" borderId="2075" applyNumberFormat="0" applyFill="0" applyBorder="0" applyAlignment="0" applyProtection="0"/>
    <xf numFmtId="0" fontId="12" fillId="0" borderId="2075" applyNumberFormat="0" applyFill="0" applyBorder="0" applyAlignment="0" applyProtection="0"/>
    <xf numFmtId="222" fontId="79" fillId="0" borderId="2062" applyBorder="0"/>
    <xf numFmtId="0" fontId="101" fillId="0" borderId="2093" applyBorder="0"/>
    <xf numFmtId="10" fontId="12" fillId="3" borderId="2088" applyNumberFormat="0" applyFont="0" applyFill="0" applyBorder="0" applyAlignment="0">
      <protection locked="0"/>
    </xf>
    <xf numFmtId="0" fontId="2" fillId="0" borderId="4815" applyNumberFormat="0" applyAlignment="0" applyProtection="0"/>
    <xf numFmtId="248" fontId="46" fillId="0" borderId="2093"/>
    <xf numFmtId="186" fontId="140" fillId="3" borderId="4814">
      <alignment horizontal="center" vertical="center"/>
    </xf>
    <xf numFmtId="10" fontId="12" fillId="3" borderId="2088" applyNumberFormat="0" applyFont="0" applyFill="0" applyBorder="0" applyAlignment="0">
      <protection locked="0"/>
    </xf>
    <xf numFmtId="246" fontId="250" fillId="0" borderId="2093" applyFill="0" applyProtection="0">
      <alignment horizontal="center"/>
    </xf>
    <xf numFmtId="246" fontId="249" fillId="0" borderId="2093" applyFill="0" applyProtection="0">
      <alignment horizontal="center"/>
    </xf>
    <xf numFmtId="0" fontId="241" fillId="94" borderId="2093" applyBorder="0" applyProtection="0">
      <alignment horizontal="centerContinuous" vertical="center"/>
    </xf>
    <xf numFmtId="254" fontId="240" fillId="0" borderId="2093" applyBorder="0" applyProtection="0">
      <alignment horizontal="right" vertical="center"/>
    </xf>
    <xf numFmtId="186" fontId="146" fillId="3" borderId="4720">
      <alignment horizontal="left"/>
    </xf>
    <xf numFmtId="0" fontId="210" fillId="0" borderId="2093" applyNumberFormat="0" applyFill="0" applyBorder="0" applyAlignment="0">
      <protection locked="0"/>
    </xf>
    <xf numFmtId="188" fontId="25" fillId="0" borderId="2090" applyFont="0" applyFill="0" applyBorder="0" applyAlignment="0" applyProtection="0">
      <alignment horizontal="center"/>
    </xf>
    <xf numFmtId="264" fontId="12" fillId="14" borderId="2093" applyFont="0" applyFill="0" applyBorder="0" applyAlignment="0" applyProtection="0">
      <alignment horizontal="right"/>
    </xf>
    <xf numFmtId="0" fontId="166" fillId="0" borderId="2093">
      <alignment horizontal="center"/>
    </xf>
    <xf numFmtId="0" fontId="165" fillId="0" borderId="2093" applyFill="0" applyProtection="0">
      <alignment horizontal="center"/>
    </xf>
    <xf numFmtId="186" fontId="146" fillId="3" borderId="2093" applyBorder="0">
      <alignment horizontal="left" vertical="center"/>
    </xf>
    <xf numFmtId="180" fontId="9" fillId="3" borderId="2093">
      <alignment horizontal="right" vertical="center"/>
    </xf>
    <xf numFmtId="192" fontId="9" fillId="3" borderId="2093">
      <alignment horizontal="right" vertical="center"/>
    </xf>
    <xf numFmtId="248" fontId="46" fillId="0" borderId="2093"/>
    <xf numFmtId="0" fontId="78" fillId="14" borderId="4752" applyFont="0" applyFill="0" applyBorder="0" applyAlignment="0" applyProtection="0"/>
    <xf numFmtId="0" fontId="12" fillId="0" borderId="2093" applyNumberFormat="0" applyFill="0" applyBorder="0" applyAlignment="0" applyProtection="0">
      <alignment horizontal="center"/>
    </xf>
    <xf numFmtId="0" fontId="113" fillId="0" borderId="2093" applyNumberFormat="0" applyFill="0" applyAlignment="0" applyProtection="0"/>
    <xf numFmtId="222" fontId="79" fillId="0" borderId="2062" applyBorder="0"/>
    <xf numFmtId="0" fontId="101" fillId="0" borderId="2093" applyBorder="0"/>
    <xf numFmtId="10" fontId="12" fillId="3" borderId="2088" applyNumberFormat="0" applyFont="0" applyFill="0" applyBorder="0" applyAlignment="0">
      <protection locked="0"/>
    </xf>
    <xf numFmtId="186" fontId="146" fillId="3" borderId="4813">
      <alignment horizontal="left"/>
    </xf>
    <xf numFmtId="4" fontId="226" fillId="78" borderId="4732" applyNumberFormat="0" applyProtection="0">
      <alignment horizontal="right" vertical="center"/>
    </xf>
    <xf numFmtId="169" fontId="234" fillId="10" borderId="2816" applyFont="0" applyProtection="0"/>
    <xf numFmtId="0" fontId="12" fillId="3" borderId="2816" applyNumberFormat="0" applyFont="0" applyAlignment="0" applyProtection="0"/>
    <xf numFmtId="0" fontId="25" fillId="10" borderId="2821" applyNumberFormat="0" applyProtection="0">
      <alignment horizontal="left"/>
    </xf>
    <xf numFmtId="0" fontId="25" fillId="10" borderId="2826" applyNumberFormat="0" applyProtection="0">
      <alignment horizontal="left" vertical="top"/>
    </xf>
    <xf numFmtId="312" fontId="214" fillId="0" borderId="2295" applyNumberFormat="0" applyFont="0" applyFill="0" applyAlignment="0" applyProtection="0"/>
    <xf numFmtId="312" fontId="2" fillId="0" borderId="2294" applyNumberFormat="0" applyAlignment="0" applyProtection="0"/>
    <xf numFmtId="188" fontId="25" fillId="0" borderId="2830" applyFont="0" applyFill="0" applyBorder="0" applyAlignment="0" applyProtection="0">
      <alignment horizontal="center"/>
    </xf>
    <xf numFmtId="312" fontId="210" fillId="0" borderId="2313" applyNumberFormat="0" applyFill="0" applyBorder="0" applyAlignment="0">
      <protection locked="0"/>
    </xf>
    <xf numFmtId="0" fontId="48" fillId="0" borderId="2815" applyNumberFormat="0" applyFill="0" applyAlignment="0" applyProtection="0"/>
    <xf numFmtId="182" fontId="145" fillId="3" borderId="2814">
      <alignment horizontal="right" vertical="center"/>
    </xf>
    <xf numFmtId="4" fontId="184" fillId="53" borderId="2818" applyNumberFormat="0" applyProtection="0">
      <alignment horizontal="left" vertical="center" indent="1"/>
    </xf>
    <xf numFmtId="4" fontId="226" fillId="77" borderId="2818" applyNumberFormat="0" applyProtection="0">
      <alignment horizontal="right" vertical="center"/>
    </xf>
    <xf numFmtId="4" fontId="226" fillId="81" borderId="2818" applyNumberFormat="0" applyProtection="0">
      <alignment horizontal="right" vertical="center"/>
    </xf>
    <xf numFmtId="0" fontId="12" fillId="75" borderId="2818" applyNumberFormat="0" applyProtection="0">
      <alignment horizontal="left" vertical="top" indent="1"/>
    </xf>
    <xf numFmtId="0" fontId="12" fillId="52" borderId="2818" applyNumberFormat="0" applyProtection="0">
      <alignment horizontal="left" vertical="center" indent="1"/>
    </xf>
    <xf numFmtId="0" fontId="12" fillId="11" borderId="2818" applyNumberFormat="0" applyProtection="0">
      <alignment horizontal="left" vertical="top" indent="1"/>
    </xf>
    <xf numFmtId="0" fontId="241" fillId="94" borderId="2803" applyBorder="0" applyProtection="0">
      <alignment horizontal="centerContinuous" vertical="center"/>
    </xf>
    <xf numFmtId="0" fontId="214" fillId="0" borderId="2842" applyNumberFormat="0" applyFont="0" applyFill="0" applyAlignment="0" applyProtection="0"/>
    <xf numFmtId="0" fontId="25" fillId="10" borderId="2460" applyNumberFormat="0" applyProtection="0">
      <alignment horizontal="left" vertical="top"/>
    </xf>
    <xf numFmtId="0" fontId="214" fillId="0" borderId="2457" applyNumberFormat="0" applyFont="0" applyFill="0" applyAlignment="0" applyProtection="0"/>
    <xf numFmtId="186" fontId="146" fillId="3" borderId="2454">
      <alignment horizontal="left"/>
    </xf>
    <xf numFmtId="0" fontId="25" fillId="10" borderId="2867" applyNumberFormat="0" applyProtection="0">
      <alignment horizontal="left" vertical="top"/>
    </xf>
    <xf numFmtId="0" fontId="2" fillId="0" borderId="2865" applyNumberFormat="0" applyAlignment="0" applyProtection="0"/>
    <xf numFmtId="222" fontId="79" fillId="0" borderId="2622" applyBorder="0"/>
    <xf numFmtId="0" fontId="50" fillId="117" borderId="2817" applyNumberFormat="0" applyFont="0" applyAlignment="0" applyProtection="0"/>
    <xf numFmtId="222" fontId="79" fillId="0" borderId="2622" applyBorder="0"/>
    <xf numFmtId="0" fontId="165" fillId="0" borderId="2803" applyFill="0" applyProtection="0">
      <alignment horizontal="center"/>
    </xf>
    <xf numFmtId="0" fontId="241" fillId="94" borderId="2803" applyBorder="0" applyProtection="0">
      <alignment horizontal="centerContinuous" vertical="center"/>
    </xf>
    <xf numFmtId="222" fontId="79" fillId="0" borderId="2622" applyBorder="0"/>
    <xf numFmtId="0" fontId="25" fillId="10" borderId="2459" applyNumberFormat="0" applyProtection="0">
      <alignment horizontal="left" vertical="top"/>
    </xf>
    <xf numFmtId="312" fontId="165" fillId="0" borderId="2313" applyFill="0" applyProtection="0">
      <alignment horizontal="center"/>
    </xf>
    <xf numFmtId="0" fontId="166" fillId="0" borderId="2803">
      <alignment horizontal="center"/>
    </xf>
    <xf numFmtId="0" fontId="241" fillId="94" borderId="2803" applyBorder="0" applyProtection="0">
      <alignment horizontal="centerContinuous" vertical="center"/>
    </xf>
    <xf numFmtId="222" fontId="79" fillId="0" borderId="2622" applyBorder="0"/>
    <xf numFmtId="0" fontId="25" fillId="10" borderId="2812" applyNumberFormat="0" applyProtection="0">
      <alignment horizontal="left" vertical="top"/>
    </xf>
    <xf numFmtId="192" fontId="9" fillId="3" borderId="2836">
      <alignment horizontal="right" vertical="center"/>
    </xf>
    <xf numFmtId="0" fontId="210" fillId="0" borderId="2836" applyNumberFormat="0" applyFill="0" applyBorder="0" applyAlignment="0">
      <protection locked="0"/>
    </xf>
    <xf numFmtId="0" fontId="75" fillId="0" borderId="2849" applyNumberFormat="0" applyFont="0" applyFill="0" applyAlignment="0" applyProtection="0"/>
    <xf numFmtId="248" fontId="46" fillId="0" borderId="2860"/>
    <xf numFmtId="254" fontId="240" fillId="0" borderId="2860" applyBorder="0" applyProtection="0">
      <alignment horizontal="right" vertical="center"/>
    </xf>
    <xf numFmtId="0" fontId="25" fillId="10" borderId="2879" applyNumberFormat="0" applyProtection="0">
      <alignment horizontal="left" vertical="top"/>
    </xf>
    <xf numFmtId="10" fontId="12" fillId="3" borderId="2828" applyNumberFormat="0" applyFont="0" applyFill="0" applyBorder="0" applyAlignment="0">
      <protection locked="0"/>
    </xf>
    <xf numFmtId="0" fontId="12" fillId="0" borderId="2815" applyNumberFormat="0" applyFill="0" applyBorder="0" applyAlignment="0" applyProtection="0"/>
    <xf numFmtId="0" fontId="25" fillId="10" borderId="2824" applyNumberFormat="0" applyProtection="0">
      <alignment horizontal="left" vertical="top"/>
    </xf>
    <xf numFmtId="10" fontId="12" fillId="3" borderId="2828" applyNumberFormat="0" applyFont="0" applyFill="0" applyBorder="0" applyAlignment="0">
      <protection locked="0"/>
    </xf>
    <xf numFmtId="190" fontId="159" fillId="67" borderId="2816"/>
    <xf numFmtId="186" fontId="146" fillId="3" borderId="2851">
      <alignment horizontal="left"/>
    </xf>
    <xf numFmtId="312" fontId="12" fillId="0" borderId="2313" applyNumberFormat="0" applyFill="0" applyBorder="0" applyAlignment="0" applyProtection="0">
      <alignment horizontal="center"/>
    </xf>
    <xf numFmtId="180" fontId="9" fillId="3" borderId="2872">
      <alignment horizontal="right" vertical="center"/>
    </xf>
    <xf numFmtId="0" fontId="25" fillId="10" borderId="2855" applyNumberFormat="0" applyProtection="0">
      <alignment horizontal="left" vertical="top"/>
    </xf>
    <xf numFmtId="0" fontId="25" fillId="10" borderId="2856" applyNumberFormat="0" applyProtection="0">
      <alignment horizontal="left" vertical="top"/>
    </xf>
    <xf numFmtId="312" fontId="113" fillId="0" borderId="2313" applyNumberFormat="0" applyFill="0" applyAlignment="0" applyProtection="0"/>
    <xf numFmtId="312" fontId="101" fillId="0" borderId="2872" applyBorder="0"/>
    <xf numFmtId="190" fontId="25" fillId="10" borderId="2816" applyNumberFormat="0" applyProtection="0">
      <alignment horizontal="center" vertical="top"/>
    </xf>
    <xf numFmtId="0" fontId="12" fillId="10" borderId="2816" applyNumberFormat="0" applyFont="0" applyAlignment="0" applyProtection="0"/>
    <xf numFmtId="0" fontId="25" fillId="10" borderId="2297" applyNumberFormat="0" applyProtection="0">
      <alignment horizontal="left" vertical="top"/>
    </xf>
    <xf numFmtId="248" fontId="46" fillId="0" borderId="2313"/>
    <xf numFmtId="0" fontId="113" fillId="0" borderId="2313" applyNumberFormat="0" applyFill="0" applyAlignment="0" applyProtection="0"/>
    <xf numFmtId="222" fontId="79" fillId="0" borderId="2312" applyBorder="0"/>
    <xf numFmtId="0" fontId="101" fillId="0" borderId="2313" applyBorder="0"/>
    <xf numFmtId="186" fontId="146" fillId="3" borderId="2839">
      <alignment horizontal="left"/>
    </xf>
    <xf numFmtId="0" fontId="12" fillId="0" borderId="2803" applyNumberFormat="0" applyFill="0" applyBorder="0" applyAlignment="0" applyProtection="0">
      <alignment horizontal="center"/>
    </xf>
    <xf numFmtId="190" fontId="25" fillId="10" borderId="2299" applyNumberFormat="0" applyProtection="0">
      <alignment horizontal="left" vertical="top"/>
    </xf>
    <xf numFmtId="190" fontId="2" fillId="0" borderId="2294" applyNumberFormat="0" applyAlignment="0" applyProtection="0"/>
    <xf numFmtId="188" fontId="25" fillId="0" borderId="2830" applyFont="0" applyFill="0" applyBorder="0" applyAlignment="0" applyProtection="0">
      <alignment horizontal="center"/>
    </xf>
    <xf numFmtId="0" fontId="12" fillId="0" borderId="2803" applyNumberFormat="0" applyFill="0" applyBorder="0" applyAlignment="0" applyProtection="0">
      <alignment horizontal="center"/>
    </xf>
    <xf numFmtId="254" fontId="240" fillId="0" borderId="2803" applyBorder="0" applyProtection="0">
      <alignment horizontal="right" vertical="center"/>
    </xf>
    <xf numFmtId="0" fontId="25" fillId="10" borderId="4727" applyNumberFormat="0" applyProtection="0">
      <alignment horizontal="left" vertical="top"/>
    </xf>
    <xf numFmtId="186" fontId="146" fillId="3" borderId="2803" applyBorder="0">
      <alignment horizontal="left" vertical="center"/>
    </xf>
    <xf numFmtId="248" fontId="46" fillId="0" borderId="2803"/>
    <xf numFmtId="0" fontId="101" fillId="0" borderId="2803" applyBorder="0"/>
    <xf numFmtId="0" fontId="25" fillId="10" borderId="2460" applyNumberFormat="0" applyProtection="0">
      <alignment horizontal="left" vertical="top"/>
    </xf>
    <xf numFmtId="190" fontId="166" fillId="0" borderId="2313">
      <alignment horizontal="center"/>
    </xf>
    <xf numFmtId="0" fontId="12" fillId="0" borderId="4774" applyNumberFormat="0" applyFill="0" applyBorder="0" applyAlignment="0" applyProtection="0">
      <alignment horizontal="center"/>
    </xf>
    <xf numFmtId="0" fontId="101" fillId="0" borderId="2872" applyBorder="0"/>
    <xf numFmtId="186" fontId="146" fillId="3" borderId="2872" applyBorder="0">
      <alignment horizontal="left" vertical="center"/>
    </xf>
    <xf numFmtId="0" fontId="25" fillId="10" borderId="2856" applyNumberFormat="0" applyProtection="0">
      <alignment horizontal="left" vertical="top"/>
    </xf>
    <xf numFmtId="190" fontId="113" fillId="0" borderId="2313" applyNumberFormat="0" applyFill="0" applyAlignment="0" applyProtection="0"/>
    <xf numFmtId="312" fontId="12" fillId="0" borderId="2872" applyNumberFormat="0" applyFill="0" applyBorder="0" applyAlignment="0" applyProtection="0">
      <alignment horizontal="center"/>
    </xf>
    <xf numFmtId="190" fontId="101" fillId="0" borderId="2313" applyBorder="0"/>
    <xf numFmtId="312" fontId="210" fillId="0" borderId="2872" applyNumberFormat="0" applyFill="0" applyBorder="0" applyAlignment="0">
      <protection locked="0"/>
    </xf>
    <xf numFmtId="312" fontId="12" fillId="75" borderId="2818" applyNumberFormat="0" applyProtection="0">
      <alignment horizontal="left" vertical="top" indent="1"/>
    </xf>
    <xf numFmtId="246" fontId="250" fillId="0" borderId="2848" applyFill="0" applyProtection="0">
      <alignment horizontal="center"/>
    </xf>
    <xf numFmtId="222" fontId="79" fillId="0" borderId="2835" applyBorder="0"/>
    <xf numFmtId="246" fontId="249" fillId="0" borderId="2313" applyFill="0" applyProtection="0">
      <alignment horizontal="center"/>
    </xf>
    <xf numFmtId="0" fontId="241" fillId="94" borderId="2313" applyBorder="0" applyProtection="0">
      <alignment horizontal="centerContinuous" vertical="center"/>
    </xf>
    <xf numFmtId="254" fontId="240" fillId="0" borderId="2313" applyBorder="0" applyProtection="0">
      <alignment horizontal="right" vertical="center"/>
    </xf>
    <xf numFmtId="0" fontId="25" fillId="10" borderId="2323" applyNumberFormat="0" applyProtection="0">
      <alignment horizontal="left" vertical="top"/>
    </xf>
    <xf numFmtId="0" fontId="25" fillId="10" borderId="2322" applyNumberFormat="0" applyProtection="0">
      <alignment horizontal="left" vertical="top"/>
    </xf>
    <xf numFmtId="0" fontId="25" fillId="10" borderId="2321" applyNumberFormat="0" applyProtection="0">
      <alignment horizontal="left" vertical="top"/>
    </xf>
    <xf numFmtId="0" fontId="25" fillId="10" borderId="2320" applyNumberFormat="0" applyProtection="0">
      <alignment horizontal="left" vertical="top"/>
    </xf>
    <xf numFmtId="0" fontId="25" fillId="10" borderId="2323" applyNumberFormat="0" applyProtection="0">
      <alignment horizontal="left" vertical="top"/>
    </xf>
    <xf numFmtId="0" fontId="25" fillId="10" borderId="2322" applyNumberFormat="0" applyProtection="0">
      <alignment horizontal="left" vertical="top"/>
    </xf>
    <xf numFmtId="0" fontId="25" fillId="10" borderId="2321" applyNumberFormat="0" applyProtection="0">
      <alignment horizontal="left" vertical="top"/>
    </xf>
    <xf numFmtId="0" fontId="25" fillId="10" borderId="2320" applyNumberFormat="0" applyProtection="0">
      <alignment horizontal="left" vertical="top"/>
    </xf>
    <xf numFmtId="0" fontId="214" fillId="0" borderId="2319" applyNumberFormat="0" applyFont="0" applyFill="0" applyAlignment="0" applyProtection="0"/>
    <xf numFmtId="0" fontId="2" fillId="0" borderId="2318" applyNumberFormat="0" applyAlignment="0" applyProtection="0"/>
    <xf numFmtId="0" fontId="210" fillId="0" borderId="2313" applyNumberFormat="0" applyFill="0" applyBorder="0" applyAlignment="0">
      <protection locked="0"/>
    </xf>
    <xf numFmtId="264" fontId="12" fillId="14" borderId="2313" applyFont="0" applyFill="0" applyBorder="0" applyAlignment="0" applyProtection="0">
      <alignment horizontal="right"/>
    </xf>
    <xf numFmtId="0" fontId="166" fillId="0" borderId="2313">
      <alignment horizontal="center"/>
    </xf>
    <xf numFmtId="0" fontId="165" fillId="0" borderId="2313" applyFill="0" applyProtection="0">
      <alignment horizontal="center"/>
    </xf>
    <xf numFmtId="0" fontId="12" fillId="0" borderId="2313" applyNumberFormat="0" applyFill="0" applyBorder="0" applyAlignment="0" applyProtection="0">
      <alignment horizontal="center"/>
    </xf>
    <xf numFmtId="0" fontId="25" fillId="10" borderId="2844" applyNumberFormat="0" applyProtection="0">
      <alignment horizontal="left" vertical="top"/>
    </xf>
    <xf numFmtId="248" fontId="46" fillId="0" borderId="2313"/>
    <xf numFmtId="222" fontId="79" fillId="0" borderId="2312" applyBorder="0"/>
    <xf numFmtId="0" fontId="113" fillId="0" borderId="2313" applyNumberFormat="0" applyFill="0" applyAlignment="0" applyProtection="0"/>
    <xf numFmtId="0" fontId="12" fillId="0" borderId="2313" applyNumberFormat="0" applyFill="0" applyBorder="0" applyAlignment="0" applyProtection="0">
      <alignment horizontal="center"/>
    </xf>
    <xf numFmtId="192" fontId="9" fillId="3" borderId="2313">
      <alignment horizontal="right" vertical="center"/>
    </xf>
    <xf numFmtId="180" fontId="9" fillId="3" borderId="2313">
      <alignment horizontal="right" vertical="center"/>
    </xf>
    <xf numFmtId="180" fontId="9" fillId="3" borderId="2860">
      <alignment horizontal="right" vertical="center"/>
    </xf>
    <xf numFmtId="0" fontId="166" fillId="0" borderId="2313">
      <alignment horizontal="center"/>
    </xf>
    <xf numFmtId="264" fontId="12" fillId="14" borderId="2313" applyFont="0" applyFill="0" applyBorder="0" applyAlignment="0" applyProtection="0">
      <alignment horizontal="right"/>
    </xf>
    <xf numFmtId="246" fontId="249" fillId="0" borderId="2313" applyFill="0" applyProtection="0">
      <alignment horizontal="center"/>
    </xf>
    <xf numFmtId="190" fontId="12" fillId="10" borderId="2816" applyNumberFormat="0" applyFont="0" applyAlignment="0" applyProtection="0"/>
    <xf numFmtId="190" fontId="25" fillId="10" borderId="2821" applyNumberFormat="0" applyProtection="0">
      <alignment horizontal="left"/>
    </xf>
    <xf numFmtId="0" fontId="12" fillId="0" borderId="2815" applyNumberFormat="0" applyFill="0" applyBorder="0" applyAlignment="0" applyProtection="0"/>
    <xf numFmtId="0" fontId="78" fillId="14" borderId="2315" applyFont="0" applyFill="0" applyBorder="0" applyAlignment="0" applyProtection="0"/>
    <xf numFmtId="246" fontId="250" fillId="0" borderId="2301" applyFill="0" applyProtection="0">
      <alignment horizontal="center"/>
    </xf>
    <xf numFmtId="246" fontId="249" fillId="0" borderId="2301" applyFill="0" applyProtection="0">
      <alignment horizontal="center"/>
    </xf>
    <xf numFmtId="0" fontId="166" fillId="0" borderId="2301">
      <alignment horizontal="center"/>
    </xf>
    <xf numFmtId="180" fontId="9" fillId="3" borderId="2301">
      <alignment horizontal="right" vertical="center"/>
    </xf>
    <xf numFmtId="192" fontId="9" fillId="3" borderId="2301">
      <alignment horizontal="right" vertical="center"/>
    </xf>
    <xf numFmtId="0" fontId="113" fillId="0" borderId="2301" applyNumberFormat="0" applyFill="0" applyAlignment="0" applyProtection="0"/>
    <xf numFmtId="222" fontId="79" fillId="0" borderId="2300" applyBorder="0"/>
    <xf numFmtId="0" fontId="101" fillId="0" borderId="2301" applyBorder="0"/>
    <xf numFmtId="186" fontId="146" fillId="3" borderId="2292">
      <alignment horizontal="left"/>
    </xf>
    <xf numFmtId="0" fontId="214" fillId="0" borderId="2295" applyNumberFormat="0" applyFont="0" applyFill="0" applyAlignment="0" applyProtection="0"/>
    <xf numFmtId="0" fontId="25" fillId="10" borderId="2298" applyNumberFormat="0" applyProtection="0">
      <alignment horizontal="left" vertical="top"/>
    </xf>
    <xf numFmtId="222" fontId="79" fillId="0" borderId="2288" applyBorder="0"/>
    <xf numFmtId="0" fontId="241" fillId="94" borderId="2277" applyBorder="0" applyProtection="0">
      <alignment horizontal="centerContinuous" vertical="center"/>
    </xf>
    <xf numFmtId="264" fontId="12" fillId="14" borderId="2277" applyFont="0" applyFill="0" applyBorder="0" applyAlignment="0" applyProtection="0">
      <alignment horizontal="right"/>
    </xf>
    <xf numFmtId="186" fontId="146" fillId="3" borderId="2277" applyBorder="0">
      <alignment horizontal="left" vertical="center"/>
    </xf>
    <xf numFmtId="248" fontId="46" fillId="0" borderId="2277"/>
    <xf numFmtId="222" fontId="79" fillId="0" borderId="2276" applyBorder="0"/>
    <xf numFmtId="0" fontId="75" fillId="0" borderId="2266" applyNumberFormat="0" applyFont="0" applyFill="0" applyAlignment="0" applyProtection="0"/>
    <xf numFmtId="0" fontId="2" fillId="0" borderId="2270" applyNumberFormat="0" applyAlignment="0" applyProtection="0"/>
    <xf numFmtId="0" fontId="78" fillId="14" borderId="2255" applyFont="0" applyFill="0" applyBorder="0" applyAlignment="0" applyProtection="0"/>
    <xf numFmtId="0" fontId="166" fillId="0" borderId="2253">
      <alignment horizontal="center"/>
    </xf>
    <xf numFmtId="180" fontId="9" fillId="3" borderId="2253">
      <alignment horizontal="right" vertical="center"/>
    </xf>
    <xf numFmtId="192" fontId="9" fillId="3" borderId="2253">
      <alignment horizontal="right" vertical="center"/>
    </xf>
    <xf numFmtId="248" fontId="46" fillId="0" borderId="2253"/>
    <xf numFmtId="0" fontId="12" fillId="0" borderId="2253" applyNumberFormat="0" applyFill="0" applyBorder="0" applyAlignment="0" applyProtection="0">
      <alignment horizontal="center"/>
    </xf>
    <xf numFmtId="0" fontId="113" fillId="0" borderId="2253" applyNumberFormat="0" applyFill="0" applyAlignment="0" applyProtection="0"/>
    <xf numFmtId="222" fontId="79" fillId="0" borderId="2264" applyBorder="0"/>
    <xf numFmtId="0" fontId="25" fillId="10" borderId="2263" applyNumberFormat="0" applyProtection="0">
      <alignment horizontal="left" vertical="top"/>
    </xf>
    <xf numFmtId="186" fontId="146" fillId="3" borderId="2256">
      <alignment horizontal="left"/>
    </xf>
    <xf numFmtId="186" fontId="140" fillId="3" borderId="2257">
      <alignment horizontal="center" vertical="center"/>
    </xf>
    <xf numFmtId="0" fontId="2" fillId="0" borderId="2258" applyNumberFormat="0" applyAlignment="0" applyProtection="0"/>
    <xf numFmtId="0" fontId="25" fillId="10" borderId="2260" applyNumberFormat="0" applyProtection="0">
      <alignment horizontal="left" vertical="top"/>
    </xf>
    <xf numFmtId="0" fontId="25" fillId="10" borderId="2262" applyNumberFormat="0" applyProtection="0">
      <alignment horizontal="left" vertical="top"/>
    </xf>
    <xf numFmtId="0" fontId="25" fillId="10" borderId="2263" applyNumberFormat="0" applyProtection="0">
      <alignment horizontal="left" vertical="top"/>
    </xf>
    <xf numFmtId="222" fontId="79" fillId="0" borderId="2264" applyBorder="0"/>
    <xf numFmtId="0" fontId="78" fillId="14" borderId="2255" applyFont="0" applyFill="0" applyBorder="0" applyAlignment="0" applyProtection="0"/>
    <xf numFmtId="222" fontId="79" fillId="0" borderId="2264" applyBorder="0"/>
    <xf numFmtId="0" fontId="25" fillId="10" borderId="2262" applyNumberFormat="0" applyProtection="0">
      <alignment horizontal="left" vertical="top"/>
    </xf>
    <xf numFmtId="0" fontId="25" fillId="10" borderId="2260" applyNumberFormat="0" applyProtection="0">
      <alignment horizontal="left" vertical="top"/>
    </xf>
    <xf numFmtId="0" fontId="214" fillId="0" borderId="2259" applyNumberFormat="0" applyFont="0" applyFill="0" applyAlignment="0" applyProtection="0"/>
    <xf numFmtId="186" fontId="146" fillId="3" borderId="2256">
      <alignment horizontal="left"/>
    </xf>
    <xf numFmtId="0" fontId="101" fillId="0" borderId="2253" applyBorder="0"/>
    <xf numFmtId="180" fontId="9" fillId="3" borderId="2253">
      <alignment horizontal="right" vertical="center"/>
    </xf>
    <xf numFmtId="0" fontId="166" fillId="0" borderId="2253">
      <alignment horizontal="center"/>
    </xf>
    <xf numFmtId="264" fontId="12" fillId="14" borderId="2253" applyFont="0" applyFill="0" applyBorder="0" applyAlignment="0" applyProtection="0">
      <alignment horizontal="right"/>
    </xf>
    <xf numFmtId="0" fontId="210" fillId="0" borderId="2253" applyNumberFormat="0" applyFill="0" applyBorder="0" applyAlignment="0">
      <protection locked="0"/>
    </xf>
    <xf numFmtId="190" fontId="25" fillId="10" borderId="2857" applyNumberFormat="0" applyProtection="0">
      <alignment horizontal="left" vertical="top"/>
    </xf>
    <xf numFmtId="190" fontId="25" fillId="10" borderId="2824" applyNumberFormat="0" applyProtection="0">
      <alignment horizontal="left" vertical="top"/>
    </xf>
    <xf numFmtId="190" fontId="25" fillId="10" borderId="2825" applyNumberFormat="0" applyProtection="0">
      <alignment horizontal="left" vertical="top"/>
    </xf>
    <xf numFmtId="222" fontId="79" fillId="0" borderId="2264" applyBorder="0"/>
    <xf numFmtId="0" fontId="2" fillId="0" borderId="2258" applyNumberFormat="0" applyAlignment="0" applyProtection="0"/>
    <xf numFmtId="0" fontId="214" fillId="0" borderId="2259" applyNumberFormat="0" applyFont="0" applyFill="0" applyAlignment="0" applyProtection="0"/>
    <xf numFmtId="0" fontId="25" fillId="10" borderId="2262" applyNumberFormat="0" applyProtection="0">
      <alignment horizontal="left" vertical="top"/>
    </xf>
    <xf numFmtId="222" fontId="79" fillId="0" borderId="2622" applyBorder="0"/>
    <xf numFmtId="0" fontId="78" fillId="14" borderId="2255" applyFont="0" applyFill="0" applyBorder="0" applyAlignment="0" applyProtection="0"/>
    <xf numFmtId="190" fontId="25" fillId="10" borderId="2856" applyNumberFormat="0" applyProtection="0">
      <alignment horizontal="left" vertical="top"/>
    </xf>
    <xf numFmtId="0" fontId="25" fillId="10" borderId="2461" applyNumberFormat="0" applyProtection="0">
      <alignment horizontal="left" vertical="top"/>
    </xf>
    <xf numFmtId="0" fontId="241" fillId="94" borderId="2872" applyBorder="0" applyProtection="0">
      <alignment horizontal="centerContinuous" vertical="center"/>
    </xf>
    <xf numFmtId="190" fontId="25" fillId="10" borderId="2827" applyNumberFormat="0" applyProtection="0">
      <alignment horizontal="left" vertical="top"/>
    </xf>
    <xf numFmtId="0" fontId="78" fillId="14" borderId="2850" applyFont="0" applyFill="0" applyBorder="0" applyAlignment="0" applyProtection="0"/>
    <xf numFmtId="264" fontId="12" fillId="14" borderId="2872" applyFont="0" applyFill="0" applyBorder="0" applyAlignment="0" applyProtection="0">
      <alignment horizontal="right"/>
    </xf>
    <xf numFmtId="312" fontId="48" fillId="0" borderId="2814" applyFont="0" applyFill="0" applyBorder="0" applyAlignment="0" applyProtection="0">
      <alignment horizontal="center"/>
    </xf>
    <xf numFmtId="248" fontId="46" fillId="0" borderId="2872"/>
    <xf numFmtId="0" fontId="113" fillId="0" borderId="2253" applyNumberFormat="0" applyFill="0" applyAlignment="0" applyProtection="0"/>
    <xf numFmtId="192" fontId="9" fillId="3" borderId="2253">
      <alignment horizontal="right" vertical="center"/>
    </xf>
    <xf numFmtId="180" fontId="9" fillId="3" borderId="2253">
      <alignment horizontal="right" vertical="center"/>
    </xf>
    <xf numFmtId="186" fontId="146" fillId="3" borderId="2253" applyBorder="0">
      <alignment horizontal="left" vertical="center"/>
    </xf>
    <xf numFmtId="264" fontId="12" fillId="14" borderId="2253" applyFont="0" applyFill="0" applyBorder="0" applyAlignment="0" applyProtection="0">
      <alignment horizontal="right"/>
    </xf>
    <xf numFmtId="0" fontId="210" fillId="0" borderId="2253" applyNumberFormat="0" applyFill="0" applyBorder="0" applyAlignment="0">
      <protection locked="0"/>
    </xf>
    <xf numFmtId="254" fontId="240" fillId="0" borderId="2253" applyBorder="0" applyProtection="0">
      <alignment horizontal="right" vertical="center"/>
    </xf>
    <xf numFmtId="0" fontId="241" fillId="94" borderId="2253" applyBorder="0" applyProtection="0">
      <alignment horizontal="centerContinuous" vertical="center"/>
    </xf>
    <xf numFmtId="246" fontId="249" fillId="0" borderId="2253" applyFill="0" applyProtection="0">
      <alignment horizontal="center"/>
    </xf>
    <xf numFmtId="246" fontId="250" fillId="0" borderId="2253" applyFill="0" applyProtection="0">
      <alignment horizontal="center"/>
    </xf>
    <xf numFmtId="0" fontId="75" fillId="0" borderId="2254" applyNumberFormat="0" applyFont="0" applyFill="0" applyAlignment="0" applyProtection="0"/>
    <xf numFmtId="186" fontId="146" fillId="3" borderId="2304">
      <alignment horizontal="left"/>
    </xf>
    <xf numFmtId="186" fontId="146" fillId="3" borderId="2256">
      <alignment horizontal="left"/>
    </xf>
    <xf numFmtId="186" fontId="140" fillId="3" borderId="2257">
      <alignment horizontal="center" vertical="center"/>
    </xf>
    <xf numFmtId="0" fontId="2" fillId="0" borderId="2258" applyNumberFormat="0" applyAlignment="0" applyProtection="0"/>
    <xf numFmtId="0" fontId="25" fillId="10" borderId="2260" applyNumberFormat="0" applyProtection="0">
      <alignment horizontal="left" vertical="top"/>
    </xf>
    <xf numFmtId="0" fontId="25" fillId="10" borderId="2261" applyNumberFormat="0" applyProtection="0">
      <alignment horizontal="left" vertical="top"/>
    </xf>
    <xf numFmtId="0" fontId="101" fillId="0" borderId="3243" applyBorder="0"/>
    <xf numFmtId="0" fontId="78" fillId="14" borderId="2255" applyFont="0" applyFill="0" applyBorder="0" applyAlignment="0" applyProtection="0"/>
    <xf numFmtId="0" fontId="78" fillId="14" borderId="2279" applyFont="0" applyFill="0" applyBorder="0" applyAlignment="0" applyProtection="0"/>
    <xf numFmtId="0" fontId="214" fillId="0" borderId="2283" applyNumberFormat="0" applyFont="0" applyFill="0" applyAlignment="0" applyProtection="0"/>
    <xf numFmtId="186" fontId="146" fillId="3" borderId="2289" applyBorder="0">
      <alignment horizontal="left" vertical="center"/>
    </xf>
    <xf numFmtId="0" fontId="166" fillId="0" borderId="2289">
      <alignment horizontal="center"/>
    </xf>
    <xf numFmtId="254" fontId="240" fillId="0" borderId="2265" applyBorder="0" applyProtection="0">
      <alignment horizontal="right" vertical="center"/>
    </xf>
    <xf numFmtId="222" fontId="79" fillId="0" borderId="2264" applyBorder="0"/>
    <xf numFmtId="0" fontId="25" fillId="10" borderId="2309" applyNumberFormat="0" applyProtection="0">
      <alignment horizontal="left" vertical="top"/>
    </xf>
    <xf numFmtId="246" fontId="249" fillId="0" borderId="2253" applyFill="0" applyProtection="0">
      <alignment horizontal="center"/>
    </xf>
    <xf numFmtId="0" fontId="25" fillId="10" borderId="2285" applyNumberFormat="0" applyProtection="0">
      <alignment horizontal="left" vertical="top"/>
    </xf>
    <xf numFmtId="186" fontId="146" fillId="3" borderId="2280">
      <alignment horizontal="left"/>
    </xf>
    <xf numFmtId="0" fontId="25" fillId="10" borderId="2286" applyNumberFormat="0" applyProtection="0">
      <alignment horizontal="left" vertical="top"/>
    </xf>
    <xf numFmtId="186" fontId="140" fillId="3" borderId="2281">
      <alignment horizontal="center" vertical="center"/>
    </xf>
    <xf numFmtId="222" fontId="79" fillId="0" borderId="2288" applyBorder="0"/>
    <xf numFmtId="248" fontId="46" fillId="0" borderId="2289"/>
    <xf numFmtId="264" fontId="12" fillId="14" borderId="2253" applyFont="0" applyFill="0" applyBorder="0" applyAlignment="0" applyProtection="0">
      <alignment horizontal="right"/>
    </xf>
    <xf numFmtId="0" fontId="166" fillId="0" borderId="2253">
      <alignment horizontal="center"/>
    </xf>
    <xf numFmtId="4" fontId="226" fillId="81" borderId="4732" applyNumberFormat="0" applyProtection="0">
      <alignment horizontal="right" vertical="center"/>
    </xf>
    <xf numFmtId="0" fontId="25" fillId="10" borderId="2263" applyNumberFormat="0" applyProtection="0">
      <alignment horizontal="left" vertical="top"/>
    </xf>
    <xf numFmtId="222" fontId="79" fillId="0" borderId="2622" applyBorder="0"/>
    <xf numFmtId="0" fontId="75" fillId="0" borderId="2849" applyNumberFormat="0" applyFont="0" applyFill="0" applyAlignment="0" applyProtection="0"/>
    <xf numFmtId="0" fontId="12" fillId="3" borderId="2816" applyNumberFormat="0" applyFont="0" applyAlignment="0" applyProtection="0"/>
    <xf numFmtId="0" fontId="166" fillId="0" borderId="2872">
      <alignment horizontal="center"/>
    </xf>
    <xf numFmtId="190" fontId="12" fillId="52" borderId="2818" applyNumberFormat="0" applyProtection="0">
      <alignment horizontal="left" vertical="center" indent="1"/>
    </xf>
    <xf numFmtId="10" fontId="12" fillId="3" borderId="2828" applyNumberFormat="0" applyFont="0" applyFill="0" applyBorder="0" applyAlignment="0">
      <protection locked="0"/>
    </xf>
    <xf numFmtId="0" fontId="210" fillId="0" borderId="2848" applyNumberFormat="0" applyFill="0" applyBorder="0" applyAlignment="0">
      <protection locked="0"/>
    </xf>
    <xf numFmtId="190" fontId="12" fillId="52" borderId="2818" applyNumberFormat="0" applyProtection="0">
      <alignment horizontal="left" vertical="top" indent="1"/>
    </xf>
    <xf numFmtId="0" fontId="165" fillId="0" borderId="2803" applyFill="0" applyProtection="0">
      <alignment horizontal="center"/>
    </xf>
    <xf numFmtId="0" fontId="241" fillId="94" borderId="2803" applyBorder="0" applyProtection="0">
      <alignment horizontal="centerContinuous" vertical="center"/>
    </xf>
    <xf numFmtId="0" fontId="25" fillId="10" borderId="2823" applyNumberFormat="0" applyProtection="0">
      <alignment horizontal="left" vertical="top"/>
    </xf>
    <xf numFmtId="0" fontId="25" fillId="10" borderId="2261" applyNumberFormat="0" applyProtection="0">
      <alignment horizontal="left" vertical="top"/>
    </xf>
    <xf numFmtId="0" fontId="25" fillId="10" borderId="2260" applyNumberFormat="0" applyProtection="0">
      <alignment horizontal="left" vertical="top"/>
    </xf>
    <xf numFmtId="0" fontId="25" fillId="10" borderId="2263" applyNumberFormat="0" applyProtection="0">
      <alignment horizontal="left" vertical="top"/>
    </xf>
    <xf numFmtId="0" fontId="214" fillId="0" borderId="2259" applyNumberFormat="0" applyFont="0" applyFill="0" applyAlignment="0" applyProtection="0"/>
    <xf numFmtId="0" fontId="2" fillId="0" borderId="2258" applyNumberFormat="0" applyAlignment="0" applyProtection="0"/>
    <xf numFmtId="222" fontId="79" fillId="0" borderId="2622" applyBorder="0"/>
    <xf numFmtId="0" fontId="25" fillId="10" borderId="2857" applyNumberFormat="0" applyProtection="0">
      <alignment horizontal="left" vertical="top"/>
    </xf>
    <xf numFmtId="186" fontId="146" fillId="3" borderId="2256">
      <alignment horizontal="left"/>
    </xf>
    <xf numFmtId="0" fontId="75" fillId="0" borderId="2254" applyNumberFormat="0" applyFont="0" applyFill="0" applyAlignment="0" applyProtection="0"/>
    <xf numFmtId="312" fontId="135" fillId="0" borderId="2816"/>
    <xf numFmtId="0" fontId="25" fillId="10" borderId="2868" applyNumberFormat="0" applyProtection="0">
      <alignment horizontal="left" vertical="top"/>
    </xf>
    <xf numFmtId="248" fontId="46" fillId="0" borderId="3255"/>
    <xf numFmtId="0" fontId="25" fillId="10" borderId="3264" applyNumberFormat="0" applyProtection="0">
      <alignment horizontal="left" vertical="top"/>
    </xf>
    <xf numFmtId="0" fontId="105" fillId="0" borderId="2815" applyNumberFormat="0" applyFill="0" applyBorder="0" applyAlignment="0" applyProtection="0"/>
    <xf numFmtId="0" fontId="135" fillId="0" borderId="2816"/>
    <xf numFmtId="0" fontId="25" fillId="69" borderId="2816">
      <alignment horizontal="left" vertical="center" wrapText="1"/>
    </xf>
    <xf numFmtId="4" fontId="184" fillId="53" borderId="2818" applyNumberFormat="0" applyProtection="0">
      <alignment horizontal="left" vertical="center" indent="1"/>
    </xf>
    <xf numFmtId="0" fontId="25" fillId="10" borderId="2822" applyNumberFormat="0" applyProtection="0">
      <alignment horizontal="left" vertical="top"/>
    </xf>
    <xf numFmtId="0" fontId="5" fillId="0" borderId="2830">
      <alignment horizontal="left" vertical="center"/>
    </xf>
    <xf numFmtId="0" fontId="74" fillId="0" borderId="2814" applyFont="0" applyFill="0" applyBorder="0" applyAlignment="0" applyProtection="0">
      <alignment horizontal="center"/>
    </xf>
    <xf numFmtId="4" fontId="223" fillId="53" borderId="2818" applyNumberFormat="0" applyProtection="0">
      <alignment vertical="center"/>
    </xf>
    <xf numFmtId="4" fontId="226" fillId="71" borderId="2818" applyNumberFormat="0" applyProtection="0">
      <alignment horizontal="right" vertical="center"/>
    </xf>
    <xf numFmtId="4" fontId="228" fillId="11" borderId="2818" applyNumberFormat="0" applyProtection="0">
      <alignment vertical="center"/>
    </xf>
    <xf numFmtId="186" fontId="146" fillId="3" borderId="2848" applyBorder="0">
      <alignment horizontal="left" vertical="center"/>
    </xf>
    <xf numFmtId="186" fontId="140" fillId="3" borderId="2864">
      <alignment horizontal="center" vertical="center"/>
    </xf>
    <xf numFmtId="186" fontId="140" fillId="3" borderId="2455">
      <alignment horizontal="center" vertical="center"/>
    </xf>
    <xf numFmtId="0" fontId="283" fillId="103" borderId="2832" applyNumberFormat="0" applyAlignment="0" applyProtection="0"/>
    <xf numFmtId="0" fontId="286" fillId="54" borderId="2833" applyNumberFormat="0" applyAlignment="0" applyProtection="0"/>
    <xf numFmtId="186" fontId="146" fillId="3" borderId="2803" applyBorder="0">
      <alignment horizontal="left" vertical="center"/>
    </xf>
    <xf numFmtId="246" fontId="250" fillId="0" borderId="2803" applyFill="0" applyProtection="0">
      <alignment horizontal="center"/>
    </xf>
    <xf numFmtId="0" fontId="210" fillId="0" borderId="2803" applyNumberFormat="0" applyFill="0" applyBorder="0" applyAlignment="0">
      <protection locked="0"/>
    </xf>
    <xf numFmtId="264" fontId="12" fillId="14" borderId="2803" applyFont="0" applyFill="0" applyBorder="0" applyAlignment="0" applyProtection="0">
      <alignment horizontal="right"/>
    </xf>
    <xf numFmtId="180" fontId="9" fillId="3" borderId="2803">
      <alignment horizontal="right" vertical="center"/>
    </xf>
    <xf numFmtId="0" fontId="12" fillId="0" borderId="2803" applyNumberFormat="0" applyFill="0" applyBorder="0" applyAlignment="0" applyProtection="0">
      <alignment horizontal="center"/>
    </xf>
    <xf numFmtId="0" fontId="113" fillId="0" borderId="2803" applyNumberFormat="0" applyFill="0" applyAlignment="0" applyProtection="0"/>
    <xf numFmtId="0" fontId="25" fillId="10" borderId="2458" applyNumberFormat="0" applyProtection="0">
      <alignment horizontal="left" vertical="top"/>
    </xf>
    <xf numFmtId="222" fontId="79" fillId="0" borderId="2622" applyBorder="0"/>
    <xf numFmtId="0" fontId="165" fillId="0" borderId="2803" applyFill="0" applyProtection="0">
      <alignment horizontal="center"/>
    </xf>
    <xf numFmtId="0" fontId="25" fillId="10" borderId="2813" applyNumberFormat="0" applyProtection="0">
      <alignment horizontal="left" vertical="top"/>
    </xf>
    <xf numFmtId="186" fontId="140" fillId="3" borderId="2807">
      <alignment horizontal="center" vertical="center"/>
    </xf>
    <xf numFmtId="0" fontId="12" fillId="0" borderId="2836" applyNumberFormat="0" applyFill="0" applyBorder="0" applyAlignment="0" applyProtection="0">
      <alignment horizontal="center"/>
    </xf>
    <xf numFmtId="0" fontId="165" fillId="0" borderId="2836" applyFill="0" applyProtection="0">
      <alignment horizontal="center"/>
    </xf>
    <xf numFmtId="246" fontId="249" fillId="0" borderId="2836" applyFill="0" applyProtection="0">
      <alignment horizontal="center"/>
    </xf>
    <xf numFmtId="186" fontId="146" fillId="3" borderId="2851">
      <alignment horizontal="left"/>
    </xf>
    <xf numFmtId="0" fontId="241" fillId="94" borderId="2872" applyBorder="0" applyProtection="0">
      <alignment horizontal="centerContinuous" vertical="center"/>
    </xf>
    <xf numFmtId="169" fontId="234" fillId="10" borderId="2816" applyFont="0" applyProtection="0"/>
    <xf numFmtId="182" fontId="145" fillId="3" borderId="2814">
      <alignment horizontal="right" vertical="center"/>
    </xf>
    <xf numFmtId="0" fontId="12" fillId="0" borderId="2815" applyNumberFormat="0" applyFill="0" applyBorder="0" applyAlignment="0" applyProtection="0"/>
    <xf numFmtId="0" fontId="101" fillId="0" borderId="2872" applyBorder="0"/>
    <xf numFmtId="222" fontId="79" fillId="0" borderId="2871" applyBorder="0"/>
    <xf numFmtId="0" fontId="113" fillId="0" borderId="2872" applyNumberFormat="0" applyFill="0" applyAlignment="0" applyProtection="0"/>
    <xf numFmtId="0" fontId="2" fillId="0" borderId="2877" applyNumberFormat="0" applyAlignment="0" applyProtection="0"/>
    <xf numFmtId="190" fontId="105" fillId="0" borderId="2815" applyNumberFormat="0" applyFill="0" applyBorder="0" applyAlignment="0" applyProtection="0"/>
    <xf numFmtId="190" fontId="113" fillId="0" borderId="2872" applyNumberFormat="0" applyFill="0" applyAlignment="0" applyProtection="0"/>
    <xf numFmtId="190" fontId="12" fillId="75" borderId="2818" applyNumberFormat="0" applyProtection="0">
      <alignment horizontal="left" vertical="center" indent="1"/>
    </xf>
    <xf numFmtId="0" fontId="165" fillId="0" borderId="2872" applyFill="0" applyProtection="0">
      <alignment horizontal="center"/>
    </xf>
    <xf numFmtId="0" fontId="166" fillId="0" borderId="2872">
      <alignment horizontal="center"/>
    </xf>
    <xf numFmtId="0" fontId="25" fillId="10" borderId="2857" applyNumberFormat="0" applyProtection="0">
      <alignment horizontal="left" vertical="top"/>
    </xf>
    <xf numFmtId="0" fontId="25" fillId="10" borderId="2858" applyNumberFormat="0" applyProtection="0">
      <alignment horizontal="left" vertical="top"/>
    </xf>
    <xf numFmtId="254" fontId="240" fillId="0" borderId="2872" applyBorder="0" applyProtection="0">
      <alignment horizontal="right" vertical="center"/>
    </xf>
    <xf numFmtId="246" fontId="250" fillId="0" borderId="2872" applyFill="0" applyProtection="0">
      <alignment horizontal="center"/>
    </xf>
    <xf numFmtId="312" fontId="2" fillId="0" borderId="2853" applyNumberFormat="0" applyAlignment="0" applyProtection="0"/>
    <xf numFmtId="312" fontId="12" fillId="84" borderId="2818" applyNumberFormat="0" applyProtection="0">
      <alignment horizontal="left" vertical="top" indent="1"/>
    </xf>
    <xf numFmtId="312" fontId="12" fillId="11" borderId="2818" applyNumberFormat="0" applyProtection="0">
      <alignment horizontal="left" vertical="center" indent="1"/>
    </xf>
    <xf numFmtId="312" fontId="136" fillId="84" borderId="2818" applyNumberFormat="0" applyProtection="0">
      <alignment horizontal="left" vertical="top" indent="1"/>
    </xf>
    <xf numFmtId="312" fontId="25" fillId="10" borderId="2816" applyNumberFormat="0" applyProtection="0">
      <alignment horizontal="center" vertical="top"/>
    </xf>
    <xf numFmtId="312" fontId="25" fillId="10" borderId="2822" applyNumberFormat="0" applyProtection="0">
      <alignment horizontal="left" vertical="top"/>
    </xf>
    <xf numFmtId="312" fontId="25" fillId="10" borderId="2857" applyNumberFormat="0" applyProtection="0">
      <alignment horizontal="left" vertical="top"/>
    </xf>
    <xf numFmtId="312" fontId="25" fillId="10" borderId="2826" applyNumberFormat="0" applyProtection="0">
      <alignment horizontal="left" vertical="top"/>
    </xf>
    <xf numFmtId="312" fontId="25" fillId="10" borderId="2827" applyNumberFormat="0" applyProtection="0">
      <alignment horizontal="left" vertical="top"/>
    </xf>
    <xf numFmtId="10" fontId="12" fillId="3" borderId="2828" applyNumberFormat="0" applyFont="0" applyFill="0" applyBorder="0" applyAlignment="0">
      <protection locked="0"/>
    </xf>
    <xf numFmtId="312" fontId="101" fillId="0" borderId="2872" applyBorder="0"/>
    <xf numFmtId="312" fontId="113" fillId="0" borderId="2872" applyNumberFormat="0" applyFill="0" applyAlignment="0" applyProtection="0"/>
    <xf numFmtId="312" fontId="75" fillId="0" borderId="2849" applyNumberFormat="0" applyFont="0" applyFill="0" applyAlignment="0" applyProtection="0"/>
    <xf numFmtId="312" fontId="12" fillId="0" borderId="2872" applyNumberFormat="0" applyFill="0" applyBorder="0" applyAlignment="0" applyProtection="0">
      <alignment horizontal="center"/>
    </xf>
    <xf numFmtId="312" fontId="78" fillId="14" borderId="2453" applyFont="0" applyFill="0" applyBorder="0" applyAlignment="0" applyProtection="0"/>
    <xf numFmtId="312" fontId="5" fillId="0" borderId="2830">
      <alignment horizontal="left" vertical="center"/>
    </xf>
    <xf numFmtId="312" fontId="165" fillId="0" borderId="2872" applyFill="0" applyProtection="0">
      <alignment horizontal="center"/>
    </xf>
    <xf numFmtId="0" fontId="12" fillId="3" borderId="2816" applyNumberFormat="0" applyFont="0" applyAlignment="0" applyProtection="0"/>
    <xf numFmtId="186" fontId="146" fillId="3" borderId="2695" applyBorder="0">
      <alignment horizontal="left" vertical="center"/>
    </xf>
    <xf numFmtId="0" fontId="25" fillId="10" borderId="2702" applyNumberFormat="0" applyProtection="0">
      <alignment horizontal="left" vertical="top"/>
    </xf>
    <xf numFmtId="0" fontId="25" fillId="10" borderId="2704" applyNumberFormat="0" applyProtection="0">
      <alignment horizontal="left" vertical="top"/>
    </xf>
    <xf numFmtId="0" fontId="113" fillId="0" borderId="2695" applyNumberFormat="0" applyFill="0" applyAlignment="0" applyProtection="0"/>
    <xf numFmtId="0" fontId="165" fillId="0" borderId="2695" applyFill="0" applyProtection="0">
      <alignment horizontal="center"/>
    </xf>
    <xf numFmtId="0" fontId="25" fillId="10" borderId="2704" applyNumberFormat="0" applyProtection="0">
      <alignment horizontal="left" vertical="top"/>
    </xf>
    <xf numFmtId="248" fontId="46" fillId="0" borderId="2695"/>
    <xf numFmtId="0" fontId="2" fillId="0" borderId="2700" applyNumberFormat="0" applyAlignment="0" applyProtection="0"/>
    <xf numFmtId="254" fontId="240" fillId="0" borderId="2623" applyBorder="0" applyProtection="0">
      <alignment horizontal="right" vertical="center"/>
    </xf>
    <xf numFmtId="0" fontId="25" fillId="10" borderId="2702" applyNumberFormat="0" applyProtection="0">
      <alignment horizontal="left" vertical="top"/>
    </xf>
    <xf numFmtId="254" fontId="240" fillId="0" borderId="2659" applyBorder="0" applyProtection="0">
      <alignment horizontal="right" vertical="center"/>
    </xf>
    <xf numFmtId="0" fontId="101" fillId="0" borderId="2683" applyBorder="0"/>
    <xf numFmtId="169" fontId="234" fillId="3" borderId="4730" applyFont="0" applyProtection="0"/>
    <xf numFmtId="186" fontId="146" fillId="3" borderId="2623" applyBorder="0">
      <alignment horizontal="left" vertical="center"/>
    </xf>
    <xf numFmtId="312" fontId="25" fillId="69" borderId="2816">
      <alignment horizontal="left" vertical="center" wrapText="1"/>
    </xf>
    <xf numFmtId="0" fontId="159" fillId="0" borderId="2816"/>
    <xf numFmtId="0" fontId="25" fillId="10" borderId="2858" applyNumberFormat="0" applyProtection="0">
      <alignment horizontal="left" vertical="top"/>
    </xf>
    <xf numFmtId="190" fontId="12" fillId="11" borderId="2818" applyNumberFormat="0" applyProtection="0">
      <alignment horizontal="left" vertical="top" indent="1"/>
    </xf>
    <xf numFmtId="188" fontId="25" fillId="0" borderId="2830" applyFont="0" applyFill="0" applyBorder="0" applyAlignment="0" applyProtection="0">
      <alignment horizontal="center"/>
    </xf>
    <xf numFmtId="248" fontId="46" fillId="0" borderId="2803"/>
    <xf numFmtId="312" fontId="225" fillId="53" borderId="2818" applyNumberFormat="0" applyProtection="0">
      <alignment horizontal="left" vertical="top" indent="1"/>
    </xf>
    <xf numFmtId="0" fontId="12" fillId="0" borderId="2289" applyNumberFormat="0" applyFill="0" applyBorder="0" applyAlignment="0" applyProtection="0">
      <alignment horizontal="center"/>
    </xf>
    <xf numFmtId="0" fontId="25" fillId="69" borderId="2816">
      <alignment horizontal="left" vertical="center" wrapText="1"/>
    </xf>
    <xf numFmtId="248" fontId="46" fillId="0" borderId="2253"/>
    <xf numFmtId="0" fontId="210" fillId="0" borderId="2313" applyNumberFormat="0" applyFill="0" applyBorder="0" applyAlignment="0">
      <protection locked="0"/>
    </xf>
    <xf numFmtId="186" fontId="140" fillId="3" borderId="2293">
      <alignment horizontal="center" vertical="center"/>
    </xf>
    <xf numFmtId="222" fontId="79" fillId="0" borderId="2622" applyBorder="0"/>
    <xf numFmtId="180" fontId="9" fillId="3" borderId="2253">
      <alignment horizontal="right" vertical="center"/>
    </xf>
    <xf numFmtId="0" fontId="25" fillId="10" borderId="3262" applyNumberFormat="0" applyProtection="0">
      <alignment horizontal="left" vertical="top"/>
    </xf>
    <xf numFmtId="0" fontId="159" fillId="0" borderId="2816"/>
    <xf numFmtId="0" fontId="25" fillId="10" borderId="2824" applyNumberFormat="0" applyProtection="0">
      <alignment horizontal="left" vertical="top"/>
    </xf>
    <xf numFmtId="254" fontId="240" fillId="0" borderId="2803" applyBorder="0" applyProtection="0">
      <alignment horizontal="right" vertical="center"/>
    </xf>
    <xf numFmtId="246" fontId="249" fillId="0" borderId="2803" applyFill="0" applyProtection="0">
      <alignment horizontal="center"/>
    </xf>
    <xf numFmtId="0" fontId="25" fillId="10" borderId="2261" applyNumberFormat="0" applyProtection="0">
      <alignment horizontal="left" vertical="top"/>
    </xf>
    <xf numFmtId="0" fontId="12" fillId="75" borderId="2818" applyNumberFormat="0" applyProtection="0">
      <alignment horizontal="left" vertical="center" indent="1"/>
    </xf>
    <xf numFmtId="246" fontId="249" fillId="0" borderId="2803" applyFill="0" applyProtection="0">
      <alignment horizontal="center"/>
    </xf>
    <xf numFmtId="10" fontId="12" fillId="3" borderId="2828" applyNumberFormat="0" applyFont="0" applyFill="0" applyBorder="0" applyAlignment="0">
      <protection locked="0"/>
    </xf>
    <xf numFmtId="222" fontId="79" fillId="0" borderId="2264" applyBorder="0"/>
    <xf numFmtId="0" fontId="12" fillId="0" borderId="2253" applyNumberFormat="0" applyFill="0" applyBorder="0" applyAlignment="0" applyProtection="0">
      <alignment horizontal="center"/>
    </xf>
    <xf numFmtId="0" fontId="165" fillId="0" borderId="2313" applyFill="0" applyProtection="0">
      <alignment horizontal="center"/>
    </xf>
    <xf numFmtId="0" fontId="210" fillId="0" borderId="2803" applyNumberFormat="0" applyFill="0" applyBorder="0" applyAlignment="0">
      <protection locked="0"/>
    </xf>
    <xf numFmtId="190" fontId="48" fillId="0" borderId="2815" applyNumberFormat="0" applyFill="0" applyAlignment="0" applyProtection="0"/>
    <xf numFmtId="222" fontId="79" fillId="0" borderId="2168" applyBorder="0"/>
    <xf numFmtId="190" fontId="210" fillId="0" borderId="2872" applyNumberFormat="0" applyFill="0" applyBorder="0" applyAlignment="0">
      <protection locked="0"/>
    </xf>
    <xf numFmtId="0" fontId="113" fillId="0" borderId="2872" applyNumberFormat="0" applyFill="0" applyAlignment="0" applyProtection="0"/>
    <xf numFmtId="264" fontId="12" fillId="14" borderId="3255" applyFont="0" applyFill="0" applyBorder="0" applyAlignment="0" applyProtection="0">
      <alignment horizontal="right"/>
    </xf>
    <xf numFmtId="2" fontId="12" fillId="60" borderId="2820" applyFont="0" applyFill="0" applyBorder="0" applyAlignment="0" applyProtection="0"/>
    <xf numFmtId="0" fontId="101" fillId="0" borderId="2169" applyBorder="0"/>
    <xf numFmtId="222" fontId="79" fillId="0" borderId="2168" applyBorder="0"/>
    <xf numFmtId="0" fontId="113" fillId="0" borderId="2169" applyNumberFormat="0" applyFill="0" applyAlignment="0" applyProtection="0"/>
    <xf numFmtId="0" fontId="12" fillId="0" borderId="2169" applyNumberFormat="0" applyFill="0" applyBorder="0" applyAlignment="0" applyProtection="0">
      <alignment horizontal="center"/>
    </xf>
    <xf numFmtId="248" fontId="46" fillId="0" borderId="2169"/>
    <xf numFmtId="186" fontId="140" fillId="3" borderId="2317">
      <alignment horizontal="center" vertical="center"/>
    </xf>
    <xf numFmtId="0" fontId="75" fillId="0" borderId="2314" applyNumberFormat="0" applyFont="0" applyFill="0" applyAlignment="0" applyProtection="0"/>
    <xf numFmtId="192" fontId="9" fillId="3" borderId="2169">
      <alignment horizontal="right" vertical="center"/>
    </xf>
    <xf numFmtId="180" fontId="9" fillId="3" borderId="2169">
      <alignment horizontal="right" vertical="center"/>
    </xf>
    <xf numFmtId="186" fontId="146" fillId="3" borderId="2169" applyBorder="0">
      <alignment horizontal="left" vertical="center"/>
    </xf>
    <xf numFmtId="0" fontId="165" fillId="0" borderId="2313" applyFill="0" applyProtection="0">
      <alignment horizontal="center"/>
    </xf>
    <xf numFmtId="0" fontId="101" fillId="0" borderId="2253" applyBorder="0"/>
    <xf numFmtId="222" fontId="79" fillId="0" borderId="2264" applyBorder="0"/>
    <xf numFmtId="0" fontId="165" fillId="0" borderId="2169" applyFill="0" applyProtection="0">
      <alignment horizontal="center"/>
    </xf>
    <xf numFmtId="0" fontId="166" fillId="0" borderId="2169">
      <alignment horizontal="center"/>
    </xf>
    <xf numFmtId="222" fontId="79" fillId="0" borderId="2264" applyBorder="0"/>
    <xf numFmtId="264" fontId="12" fillId="14" borderId="2169" applyFont="0" applyFill="0" applyBorder="0" applyAlignment="0" applyProtection="0">
      <alignment horizontal="right"/>
    </xf>
    <xf numFmtId="0" fontId="25" fillId="10" borderId="2308" applyNumberFormat="0" applyProtection="0">
      <alignment horizontal="left" vertical="top"/>
    </xf>
    <xf numFmtId="0" fontId="12" fillId="0" borderId="2815" applyNumberFormat="0" applyFill="0" applyBorder="0" applyAlignment="0" applyProtection="0"/>
    <xf numFmtId="0" fontId="101" fillId="0" borderId="2313" applyBorder="0"/>
    <xf numFmtId="186" fontId="146" fillId="3" borderId="2313" applyBorder="0">
      <alignment horizontal="left" vertical="center"/>
    </xf>
    <xf numFmtId="0" fontId="210" fillId="0" borderId="2169" applyNumberFormat="0" applyFill="0" applyBorder="0" applyAlignment="0">
      <protection locked="0"/>
    </xf>
    <xf numFmtId="222" fontId="79" fillId="0" borderId="2264" applyBorder="0"/>
    <xf numFmtId="190" fontId="166" fillId="0" borderId="2872">
      <alignment horizontal="center"/>
    </xf>
    <xf numFmtId="190" fontId="225" fillId="53" borderId="2818" applyNumberFormat="0" applyProtection="0">
      <alignment horizontal="left" vertical="top" indent="1"/>
    </xf>
    <xf numFmtId="190" fontId="165" fillId="0" borderId="2872" applyFill="0" applyProtection="0">
      <alignment horizontal="center"/>
    </xf>
    <xf numFmtId="254" fontId="240" fillId="0" borderId="2169" applyBorder="0" applyProtection="0">
      <alignment horizontal="right" vertical="center"/>
    </xf>
    <xf numFmtId="0" fontId="241" fillId="94" borderId="2169" applyBorder="0" applyProtection="0">
      <alignment horizontal="centerContinuous" vertical="center"/>
    </xf>
    <xf numFmtId="246" fontId="249" fillId="0" borderId="2169" applyFill="0" applyProtection="0">
      <alignment horizontal="center"/>
    </xf>
    <xf numFmtId="246" fontId="250" fillId="0" borderId="2169" applyFill="0" applyProtection="0">
      <alignment horizontal="center"/>
    </xf>
    <xf numFmtId="192" fontId="9" fillId="3" borderId="2872">
      <alignment horizontal="right" vertical="center"/>
    </xf>
    <xf numFmtId="254" fontId="240" fillId="0" borderId="3219" applyBorder="0" applyProtection="0">
      <alignment horizontal="right" vertical="center"/>
    </xf>
    <xf numFmtId="0" fontId="113" fillId="0" borderId="3255" applyNumberFormat="0" applyFill="0" applyAlignment="0" applyProtection="0"/>
    <xf numFmtId="0" fontId="12" fillId="0" borderId="2815" applyNumberFormat="0" applyFill="0" applyBorder="0" applyAlignment="0" applyProtection="0"/>
    <xf numFmtId="0" fontId="2" fillId="0" borderId="2282" applyNumberFormat="0" applyAlignment="0" applyProtection="0"/>
    <xf numFmtId="0" fontId="165" fillId="0" borderId="2803" applyFill="0" applyProtection="0">
      <alignment horizontal="center"/>
    </xf>
    <xf numFmtId="222" fontId="79" fillId="0" borderId="2264" applyBorder="0"/>
    <xf numFmtId="190" fontId="135" fillId="0" borderId="2816"/>
    <xf numFmtId="186" fontId="146" fillId="3" borderId="2256">
      <alignment horizontal="left"/>
    </xf>
    <xf numFmtId="0" fontId="225" fillId="53" borderId="2818" applyNumberFormat="0" applyProtection="0">
      <alignment horizontal="left" vertical="top" indent="1"/>
    </xf>
    <xf numFmtId="254" fontId="240" fillId="0" borderId="2289" applyBorder="0" applyProtection="0">
      <alignment horizontal="right" vertical="center"/>
    </xf>
    <xf numFmtId="190" fontId="25" fillId="10" borderId="2816" applyNumberFormat="0" applyProtection="0">
      <alignment horizontal="center" vertical="top"/>
    </xf>
    <xf numFmtId="0" fontId="25" fillId="10" borderId="2296" applyNumberFormat="0" applyProtection="0">
      <alignment horizontal="left" vertical="top"/>
    </xf>
    <xf numFmtId="186" fontId="146" fillId="3" borderId="2313" applyBorder="0">
      <alignment horizontal="left" vertical="center"/>
    </xf>
    <xf numFmtId="0" fontId="210" fillId="0" borderId="2313" applyNumberFormat="0" applyFill="0" applyBorder="0" applyAlignment="0">
      <protection locked="0"/>
    </xf>
    <xf numFmtId="0" fontId="241" fillId="94" borderId="2301" applyBorder="0" applyProtection="0">
      <alignment horizontal="centerContinuous" vertical="center"/>
    </xf>
    <xf numFmtId="0" fontId="214" fillId="0" borderId="2271" applyNumberFormat="0" applyFont="0" applyFill="0" applyAlignment="0" applyProtection="0"/>
    <xf numFmtId="186" fontId="140" fillId="3" borderId="2257">
      <alignment horizontal="center" vertical="center"/>
    </xf>
    <xf numFmtId="4" fontId="226" fillId="78" borderId="2818" applyNumberFormat="0" applyProtection="0">
      <alignment horizontal="right" vertical="center"/>
    </xf>
    <xf numFmtId="0" fontId="12" fillId="75" borderId="2818" applyNumberFormat="0" applyProtection="0">
      <alignment horizontal="left" vertical="center" indent="1"/>
    </xf>
    <xf numFmtId="183" fontId="12" fillId="60" borderId="2820" applyFont="0" applyFill="0" applyBorder="0" applyAlignment="0" applyProtection="0"/>
    <xf numFmtId="0" fontId="25" fillId="10" borderId="2816" applyNumberFormat="0" applyProtection="0">
      <alignment horizontal="center" vertical="top"/>
    </xf>
    <xf numFmtId="0" fontId="25" fillId="10" borderId="2823" applyNumberFormat="0" applyProtection="0">
      <alignment horizontal="left" vertical="top"/>
    </xf>
    <xf numFmtId="0" fontId="12" fillId="0" borderId="2815" applyNumberFormat="0" applyFill="0" applyBorder="0" applyAlignment="0" applyProtection="0"/>
    <xf numFmtId="0" fontId="48" fillId="0" borderId="2814" applyFont="0" applyFill="0" applyBorder="0" applyAlignment="0" applyProtection="0">
      <alignment horizontal="center"/>
    </xf>
    <xf numFmtId="4" fontId="224" fillId="53" borderId="2818" applyNumberFormat="0" applyProtection="0">
      <alignment vertical="center"/>
    </xf>
    <xf numFmtId="4" fontId="226" fillId="80" borderId="2818" applyNumberFormat="0" applyProtection="0">
      <alignment horizontal="right" vertical="center"/>
    </xf>
    <xf numFmtId="264" fontId="12" fillId="14" borderId="2803" applyFont="0" applyFill="0" applyBorder="0" applyAlignment="0" applyProtection="0">
      <alignment horizontal="right"/>
    </xf>
    <xf numFmtId="0" fontId="288" fillId="0" borderId="2834" applyNumberFormat="0" applyFill="0" applyAlignment="0" applyProtection="0"/>
    <xf numFmtId="246" fontId="250" fillId="0" borderId="2836" applyFill="0" applyProtection="0">
      <alignment horizontal="center"/>
    </xf>
    <xf numFmtId="0" fontId="101" fillId="0" borderId="2860" applyBorder="0"/>
    <xf numFmtId="254" fontId="240" fillId="0" borderId="2872" applyBorder="0" applyProtection="0">
      <alignment horizontal="right" vertical="center"/>
    </xf>
    <xf numFmtId="169" fontId="234" fillId="3" borderId="2816" applyFont="0" applyProtection="0"/>
    <xf numFmtId="0" fontId="48" fillId="0" borderId="2814" applyFont="0" applyFill="0" applyBorder="0" applyAlignment="0" applyProtection="0">
      <alignment horizontal="center"/>
    </xf>
    <xf numFmtId="190" fontId="101" fillId="0" borderId="2872" applyBorder="0"/>
    <xf numFmtId="190" fontId="12" fillId="75" borderId="2818" applyNumberFormat="0" applyProtection="0">
      <alignment horizontal="left" vertical="top" indent="1"/>
    </xf>
    <xf numFmtId="10" fontId="12" fillId="3" borderId="2828" applyNumberFormat="0" applyFont="0" applyFill="0" applyBorder="0" applyAlignment="0">
      <protection locked="0"/>
    </xf>
    <xf numFmtId="312" fontId="78" fillId="14" borderId="2453" applyFont="0" applyFill="0" applyBorder="0" applyAlignment="0" applyProtection="0"/>
    <xf numFmtId="312" fontId="74" fillId="0" borderId="2814" applyFont="0" applyFill="0" applyBorder="0" applyAlignment="0" applyProtection="0">
      <alignment horizontal="center"/>
    </xf>
    <xf numFmtId="264" fontId="12" fillId="14" borderId="2265" applyFont="0" applyFill="0" applyBorder="0" applyAlignment="0" applyProtection="0">
      <alignment horizontal="right"/>
    </xf>
    <xf numFmtId="0" fontId="78" fillId="14" borderId="2171" applyFont="0" applyFill="0" applyBorder="0" applyAlignment="0" applyProtection="0"/>
    <xf numFmtId="0" fontId="25" fillId="10" borderId="2179" applyNumberFormat="0" applyProtection="0">
      <alignment horizontal="left" vertical="top"/>
    </xf>
    <xf numFmtId="0" fontId="25" fillId="10" borderId="2178" applyNumberFormat="0" applyProtection="0">
      <alignment horizontal="left" vertical="top"/>
    </xf>
    <xf numFmtId="0" fontId="25" fillId="10" borderId="2177" applyNumberFormat="0" applyProtection="0">
      <alignment horizontal="left" vertical="top"/>
    </xf>
    <xf numFmtId="0" fontId="25" fillId="10" borderId="2176" applyNumberFormat="0" applyProtection="0">
      <alignment horizontal="left" vertical="top"/>
    </xf>
    <xf numFmtId="0" fontId="214" fillId="0" borderId="2175" applyNumberFormat="0" applyFont="0" applyFill="0" applyAlignment="0" applyProtection="0"/>
    <xf numFmtId="0" fontId="2" fillId="0" borderId="2174" applyNumberFormat="0" applyAlignment="0" applyProtection="0"/>
    <xf numFmtId="0" fontId="75" fillId="0" borderId="2302" applyNumberFormat="0" applyFont="0" applyFill="0" applyAlignment="0" applyProtection="0"/>
    <xf numFmtId="186" fontId="140" fillId="3" borderId="2173">
      <alignment horizontal="center" vertical="center"/>
    </xf>
    <xf numFmtId="186" fontId="146" fillId="3" borderId="2172">
      <alignment horizontal="left"/>
    </xf>
    <xf numFmtId="180" fontId="9" fillId="3" borderId="2313">
      <alignment horizontal="right" vertical="center"/>
    </xf>
    <xf numFmtId="222" fontId="79" fillId="0" borderId="2871" applyBorder="0"/>
    <xf numFmtId="0" fontId="75" fillId="0" borderId="2170" applyNumberFormat="0" applyFont="0" applyFill="0" applyAlignment="0" applyProtection="0"/>
    <xf numFmtId="186" fontId="146" fillId="3" borderId="2265" applyBorder="0">
      <alignment horizontal="left" vertical="center"/>
    </xf>
    <xf numFmtId="186" fontId="140" fillId="3" borderId="2852">
      <alignment horizontal="center" vertical="center"/>
    </xf>
    <xf numFmtId="10" fontId="12" fillId="3" borderId="2828" applyNumberFormat="0" applyFont="0" applyFill="0" applyBorder="0" applyAlignment="0">
      <protection locked="0"/>
    </xf>
    <xf numFmtId="222" fontId="79" fillId="0" borderId="2180" applyBorder="0"/>
    <xf numFmtId="180" fontId="9" fillId="3" borderId="2836">
      <alignment horizontal="right" vertical="center"/>
    </xf>
    <xf numFmtId="0" fontId="101" fillId="0" borderId="2181" applyBorder="0"/>
    <xf numFmtId="222" fontId="79" fillId="0" borderId="2180" applyBorder="0"/>
    <xf numFmtId="0" fontId="113" fillId="0" borderId="2181" applyNumberFormat="0" applyFill="0" applyAlignment="0" applyProtection="0"/>
    <xf numFmtId="0" fontId="12" fillId="0" borderId="2181" applyNumberFormat="0" applyFill="0" applyBorder="0" applyAlignment="0" applyProtection="0">
      <alignment horizontal="center"/>
    </xf>
    <xf numFmtId="248" fontId="46" fillId="0" borderId="2181"/>
    <xf numFmtId="186" fontId="146" fillId="3" borderId="2316">
      <alignment horizontal="left"/>
    </xf>
    <xf numFmtId="0" fontId="113" fillId="0" borderId="2313" applyNumberFormat="0" applyFill="0" applyAlignment="0" applyProtection="0"/>
    <xf numFmtId="190" fontId="12" fillId="3" borderId="2816" applyNumberFormat="0" applyFont="0" applyAlignment="0" applyProtection="0"/>
    <xf numFmtId="192" fontId="9" fillId="3" borderId="2181">
      <alignment horizontal="right" vertical="center"/>
    </xf>
    <xf numFmtId="180" fontId="9" fillId="3" borderId="2181">
      <alignment horizontal="right" vertical="center"/>
    </xf>
    <xf numFmtId="186" fontId="146" fillId="3" borderId="2181" applyBorder="0">
      <alignment horizontal="left" vertical="center"/>
    </xf>
    <xf numFmtId="0" fontId="165" fillId="0" borderId="2181" applyFill="0" applyProtection="0">
      <alignment horizontal="center"/>
    </xf>
    <xf numFmtId="0" fontId="166" fillId="0" borderId="2181">
      <alignment horizontal="center"/>
    </xf>
    <xf numFmtId="264" fontId="12" fillId="14" borderId="2181" applyFont="0" applyFill="0" applyBorder="0" applyAlignment="0" applyProtection="0">
      <alignment horizontal="right"/>
    </xf>
    <xf numFmtId="0" fontId="210" fillId="0" borderId="2181" applyNumberFormat="0" applyFill="0" applyBorder="0" applyAlignment="0">
      <protection locked="0"/>
    </xf>
    <xf numFmtId="254" fontId="240" fillId="0" borderId="2181" applyBorder="0" applyProtection="0">
      <alignment horizontal="right" vertical="center"/>
    </xf>
    <xf numFmtId="0" fontId="241" fillId="94" borderId="2181" applyBorder="0" applyProtection="0">
      <alignment horizontal="centerContinuous" vertical="center"/>
    </xf>
    <xf numFmtId="246" fontId="249" fillId="0" borderId="2181" applyFill="0" applyProtection="0">
      <alignment horizontal="center"/>
    </xf>
    <xf numFmtId="246" fontId="250" fillId="0" borderId="2181" applyFill="0" applyProtection="0">
      <alignment horizontal="center"/>
    </xf>
    <xf numFmtId="0" fontId="166" fillId="0" borderId="2265">
      <alignment horizontal="center"/>
    </xf>
    <xf numFmtId="192" fontId="9" fillId="3" borderId="2265">
      <alignment horizontal="right" vertical="center"/>
    </xf>
    <xf numFmtId="248" fontId="46" fillId="0" borderId="2265"/>
    <xf numFmtId="0" fontId="12" fillId="0" borderId="2265" applyNumberFormat="0" applyFill="0" applyBorder="0" applyAlignment="0" applyProtection="0">
      <alignment horizontal="center"/>
    </xf>
    <xf numFmtId="0" fontId="113" fillId="0" borderId="2265" applyNumberFormat="0" applyFill="0" applyAlignment="0" applyProtection="0"/>
    <xf numFmtId="222" fontId="79" fillId="0" borderId="2264" applyBorder="0"/>
    <xf numFmtId="0" fontId="101" fillId="0" borderId="2265" applyBorder="0"/>
    <xf numFmtId="0" fontId="210" fillId="0" borderId="2872" applyNumberFormat="0" applyFill="0" applyBorder="0" applyAlignment="0">
      <protection locked="0"/>
    </xf>
    <xf numFmtId="0" fontId="25" fillId="10" borderId="2845" applyNumberFormat="0" applyProtection="0">
      <alignment horizontal="left" vertical="top"/>
    </xf>
    <xf numFmtId="0" fontId="25" fillId="10" borderId="2827" applyNumberFormat="0" applyProtection="0">
      <alignment horizontal="left" vertical="top"/>
    </xf>
    <xf numFmtId="186" fontId="146" fillId="3" borderId="2256">
      <alignment horizontal="left"/>
    </xf>
    <xf numFmtId="222" fontId="79" fillId="0" borderId="2859" applyBorder="0"/>
    <xf numFmtId="0" fontId="75" fillId="0" borderId="2837" applyNumberFormat="0" applyFont="0" applyFill="0" applyAlignment="0" applyProtection="0"/>
    <xf numFmtId="293" fontId="234" fillId="3" borderId="2816" applyFont="0" applyProtection="0"/>
    <xf numFmtId="0" fontId="75" fillId="0" borderId="2452" applyNumberFormat="0" applyFont="0" applyFill="0" applyAlignment="0" applyProtection="0"/>
    <xf numFmtId="192" fontId="9" fillId="3" borderId="2860">
      <alignment horizontal="right" vertical="center"/>
    </xf>
    <xf numFmtId="0" fontId="113" fillId="0" borderId="2313" applyNumberFormat="0" applyFill="0" applyAlignment="0" applyProtection="0"/>
    <xf numFmtId="0" fontId="25" fillId="10" borderId="2260" applyNumberFormat="0" applyProtection="0">
      <alignment horizontal="left" vertical="top"/>
    </xf>
    <xf numFmtId="186" fontId="140" fillId="3" borderId="2317">
      <alignment horizontal="center" vertical="center"/>
    </xf>
    <xf numFmtId="0" fontId="25" fillId="10" borderId="2323" applyNumberFormat="0" applyProtection="0">
      <alignment horizontal="left" vertical="top"/>
    </xf>
    <xf numFmtId="0" fontId="2" fillId="0" borderId="2318" applyNumberFormat="0" applyAlignment="0" applyProtection="0"/>
    <xf numFmtId="0" fontId="101" fillId="0" borderId="2289" applyBorder="0"/>
    <xf numFmtId="0" fontId="214" fillId="0" borderId="2259" applyNumberFormat="0" applyFont="0" applyFill="0" applyAlignment="0" applyProtection="0"/>
    <xf numFmtId="186" fontId="146" fillId="3" borderId="2316">
      <alignment horizontal="left"/>
    </xf>
    <xf numFmtId="0" fontId="25" fillId="10" borderId="2320" applyNumberFormat="0" applyProtection="0">
      <alignment horizontal="left" vertical="top"/>
    </xf>
    <xf numFmtId="0" fontId="25" fillId="10" borderId="2322" applyNumberFormat="0" applyProtection="0">
      <alignment horizontal="left" vertical="top"/>
    </xf>
    <xf numFmtId="0" fontId="25" fillId="10" borderId="2321" applyNumberFormat="0" applyProtection="0">
      <alignment horizontal="left" vertical="top"/>
    </xf>
    <xf numFmtId="0" fontId="214" fillId="0" borderId="2319" applyNumberFormat="0" applyFont="0" applyFill="0" applyAlignment="0" applyProtection="0"/>
    <xf numFmtId="0" fontId="210" fillId="0" borderId="2313" applyNumberFormat="0" applyFill="0" applyBorder="0" applyAlignment="0">
      <protection locked="0"/>
    </xf>
    <xf numFmtId="254" fontId="240" fillId="0" borderId="2253" applyBorder="0" applyProtection="0">
      <alignment horizontal="right" vertical="center"/>
    </xf>
    <xf numFmtId="246" fontId="249" fillId="0" borderId="2253" applyFill="0" applyProtection="0">
      <alignment horizontal="center"/>
    </xf>
    <xf numFmtId="0" fontId="214" fillId="0" borderId="2259" applyNumberFormat="0" applyFont="0" applyFill="0" applyAlignment="0" applyProtection="0"/>
    <xf numFmtId="0" fontId="166" fillId="0" borderId="2313">
      <alignment horizontal="center"/>
    </xf>
    <xf numFmtId="222" fontId="79" fillId="0" borderId="2264" applyBorder="0"/>
    <xf numFmtId="0" fontId="12" fillId="0" borderId="2313" applyNumberFormat="0" applyFill="0" applyBorder="0" applyAlignment="0" applyProtection="0">
      <alignment horizontal="center"/>
    </xf>
    <xf numFmtId="0" fontId="135" fillId="0" borderId="2816"/>
    <xf numFmtId="190" fontId="25" fillId="10" borderId="2298" applyNumberFormat="0" applyProtection="0">
      <alignment horizontal="left" vertical="top"/>
    </xf>
    <xf numFmtId="246" fontId="250" fillId="0" borderId="2623" applyFill="0" applyProtection="0">
      <alignment horizontal="center"/>
    </xf>
    <xf numFmtId="0" fontId="25" fillId="10" borderId="2822" applyNumberFormat="0" applyProtection="0">
      <alignment horizontal="left" vertical="top"/>
    </xf>
    <xf numFmtId="190" fontId="12" fillId="10" borderId="2816" applyNumberFormat="0" applyFont="0" applyProtection="0"/>
    <xf numFmtId="0" fontId="25" fillId="10" borderId="2846" applyNumberFormat="0" applyProtection="0">
      <alignment horizontal="left" vertical="top"/>
    </xf>
    <xf numFmtId="312" fontId="12" fillId="75" borderId="2818" applyNumberFormat="0" applyProtection="0">
      <alignment horizontal="left" vertical="center" indent="1"/>
    </xf>
    <xf numFmtId="0" fontId="283" fillId="103" borderId="2832" applyNumberFormat="0" applyAlignment="0" applyProtection="0"/>
    <xf numFmtId="0" fontId="12" fillId="0" borderId="2815" applyNumberFormat="0" applyFill="0" applyBorder="0" applyAlignment="0" applyProtection="0"/>
    <xf numFmtId="222" fontId="79" fillId="0" borderId="2312" applyBorder="0"/>
    <xf numFmtId="192" fontId="9" fillId="3" borderId="2313">
      <alignment horizontal="right" vertical="center"/>
    </xf>
    <xf numFmtId="186" fontId="146" fillId="3" borderId="2184">
      <alignment horizontal="left"/>
    </xf>
    <xf numFmtId="0" fontId="75" fillId="0" borderId="2182" applyNumberFormat="0" applyFont="0" applyFill="0" applyAlignment="0" applyProtection="0"/>
    <xf numFmtId="4" fontId="226" fillId="78" borderId="2818" applyNumberFormat="0" applyProtection="0">
      <alignment horizontal="right" vertical="center"/>
    </xf>
    <xf numFmtId="0" fontId="25" fillId="10" borderId="2260" applyNumberFormat="0" applyProtection="0">
      <alignment horizontal="left" vertical="top"/>
    </xf>
    <xf numFmtId="0" fontId="75" fillId="0" borderId="2254" applyNumberFormat="0" applyFont="0" applyFill="0" applyAlignment="0" applyProtection="0"/>
    <xf numFmtId="312" fontId="25" fillId="10" borderId="2821" applyNumberFormat="0" applyProtection="0">
      <alignment horizontal="left"/>
    </xf>
    <xf numFmtId="312" fontId="12" fillId="0" borderId="2815" applyNumberFormat="0" applyFill="0" applyBorder="0" applyAlignment="0" applyProtection="0"/>
    <xf numFmtId="312" fontId="25" fillId="10" borderId="2857" applyNumberFormat="0" applyProtection="0">
      <alignment horizontal="left" vertical="top"/>
    </xf>
    <xf numFmtId="293" fontId="234" fillId="3" borderId="2816" applyFont="0" applyProtection="0"/>
    <xf numFmtId="0" fontId="25" fillId="10" borderId="2287" applyNumberFormat="0" applyProtection="0">
      <alignment horizontal="left" vertical="top"/>
    </xf>
    <xf numFmtId="10" fontId="12" fillId="3" borderId="2828" applyNumberFormat="0" applyFont="0" applyFill="0" applyBorder="0" applyAlignment="0">
      <protection locked="0"/>
    </xf>
    <xf numFmtId="264" fontId="12" fillId="14" borderId="2803" applyFont="0" applyFill="0" applyBorder="0" applyAlignment="0" applyProtection="0">
      <alignment horizontal="right"/>
    </xf>
    <xf numFmtId="0" fontId="113" fillId="0" borderId="2265" applyNumberFormat="0" applyFill="0" applyAlignment="0" applyProtection="0"/>
    <xf numFmtId="0" fontId="78" fillId="14" borderId="2874" applyFont="0" applyFill="0" applyBorder="0" applyAlignment="0" applyProtection="0"/>
    <xf numFmtId="264" fontId="12" fillId="14" borderId="2265" applyFont="0" applyFill="0" applyBorder="0" applyAlignment="0" applyProtection="0">
      <alignment horizontal="right"/>
    </xf>
    <xf numFmtId="246" fontId="249" fillId="0" borderId="2265" applyFill="0" applyProtection="0">
      <alignment horizontal="center"/>
    </xf>
    <xf numFmtId="0" fontId="25" fillId="10" borderId="2191" applyNumberFormat="0" applyProtection="0">
      <alignment horizontal="left" vertical="top"/>
    </xf>
    <xf numFmtId="0" fontId="25" fillId="10" borderId="2189" applyNumberFormat="0" applyProtection="0">
      <alignment horizontal="left" vertical="top"/>
    </xf>
    <xf numFmtId="0" fontId="25" fillId="10" borderId="2190" applyNumberFormat="0" applyProtection="0">
      <alignment horizontal="left" vertical="top"/>
    </xf>
    <xf numFmtId="0" fontId="25" fillId="10" borderId="2188" applyNumberFormat="0" applyProtection="0">
      <alignment horizontal="left" vertical="top"/>
    </xf>
    <xf numFmtId="0" fontId="25" fillId="10" borderId="2191" applyNumberFormat="0" applyProtection="0">
      <alignment horizontal="left" vertical="top"/>
    </xf>
    <xf numFmtId="0" fontId="25" fillId="10" borderId="2190" applyNumberFormat="0" applyProtection="0">
      <alignment horizontal="left" vertical="top"/>
    </xf>
    <xf numFmtId="0" fontId="25" fillId="10" borderId="2189" applyNumberFormat="0" applyProtection="0">
      <alignment horizontal="left" vertical="top"/>
    </xf>
    <xf numFmtId="0" fontId="25" fillId="10" borderId="2188" applyNumberFormat="0" applyProtection="0">
      <alignment horizontal="left" vertical="top"/>
    </xf>
    <xf numFmtId="0" fontId="214" fillId="0" borderId="2187" applyNumberFormat="0" applyFont="0" applyFill="0" applyAlignment="0" applyProtection="0"/>
    <xf numFmtId="0" fontId="2" fillId="0" borderId="2186" applyNumberFormat="0" applyAlignment="0" applyProtection="0"/>
    <xf numFmtId="186" fontId="140" fillId="3" borderId="2185">
      <alignment horizontal="center" vertical="center"/>
    </xf>
    <xf numFmtId="0" fontId="48" fillId="0" borderId="2815" applyNumberFormat="0" applyFill="0" applyAlignment="0" applyProtection="0"/>
    <xf numFmtId="186" fontId="140" fillId="3" borderId="2197">
      <alignment horizontal="center" vertical="center"/>
    </xf>
    <xf numFmtId="0" fontId="25" fillId="10" borderId="2200" applyNumberFormat="0" applyProtection="0">
      <alignment horizontal="left" vertical="top"/>
    </xf>
    <xf numFmtId="0" fontId="12" fillId="0" borderId="2265" applyNumberFormat="0" applyFill="0" applyBorder="0" applyAlignment="0" applyProtection="0">
      <alignment horizontal="center"/>
    </xf>
    <xf numFmtId="0" fontId="25" fillId="10" borderId="2262" applyNumberFormat="0" applyProtection="0">
      <alignment horizontal="left" vertical="top"/>
    </xf>
    <xf numFmtId="0" fontId="241" fillId="94" borderId="2860" applyBorder="0" applyProtection="0">
      <alignment horizontal="centerContinuous" vertical="center"/>
    </xf>
    <xf numFmtId="222" fontId="79" fillId="0" borderId="2252" applyBorder="0"/>
    <xf numFmtId="0" fontId="78" fillId="14" borderId="2255" applyFont="0" applyFill="0" applyBorder="0" applyAlignment="0" applyProtection="0"/>
    <xf numFmtId="222" fontId="79" fillId="0" borderId="2264" applyBorder="0"/>
    <xf numFmtId="0" fontId="101" fillId="0" borderId="2265" applyBorder="0"/>
    <xf numFmtId="222" fontId="79" fillId="0" borderId="2264" applyBorder="0"/>
    <xf numFmtId="248" fontId="46" fillId="0" borderId="2265"/>
    <xf numFmtId="192" fontId="9" fillId="3" borderId="2265">
      <alignment horizontal="right" vertical="center"/>
    </xf>
    <xf numFmtId="180" fontId="9" fillId="3" borderId="2265">
      <alignment horizontal="right" vertical="center"/>
    </xf>
    <xf numFmtId="186" fontId="146" fillId="3" borderId="2265" applyBorder="0">
      <alignment horizontal="left" vertical="center"/>
    </xf>
    <xf numFmtId="0" fontId="165" fillId="0" borderId="2265" applyFill="0" applyProtection="0">
      <alignment horizontal="center"/>
    </xf>
    <xf numFmtId="0" fontId="210" fillId="0" borderId="2265" applyNumberFormat="0" applyFill="0" applyBorder="0" applyAlignment="0">
      <protection locked="0"/>
    </xf>
    <xf numFmtId="254" fontId="240" fillId="0" borderId="2265" applyBorder="0" applyProtection="0">
      <alignment horizontal="right" vertical="center"/>
    </xf>
    <xf numFmtId="246" fontId="250" fillId="0" borderId="2265" applyFill="0" applyProtection="0">
      <alignment horizontal="center"/>
    </xf>
    <xf numFmtId="312" fontId="210" fillId="0" borderId="2872" applyNumberFormat="0" applyFill="0" applyBorder="0" applyAlignment="0">
      <protection locked="0"/>
    </xf>
    <xf numFmtId="222" fontId="79" fillId="0" borderId="2622" applyBorder="0"/>
    <xf numFmtId="254" fontId="240" fillId="0" borderId="2872" applyBorder="0" applyProtection="0">
      <alignment horizontal="right" vertical="center"/>
    </xf>
    <xf numFmtId="222" fontId="79" fillId="0" borderId="2204" applyBorder="0"/>
    <xf numFmtId="0" fontId="25" fillId="10" borderId="2201" applyNumberFormat="0" applyProtection="0">
      <alignment horizontal="left" vertical="top"/>
    </xf>
    <xf numFmtId="0" fontId="25" fillId="10" borderId="2203" applyNumberFormat="0" applyProtection="0">
      <alignment horizontal="left" vertical="top"/>
    </xf>
    <xf numFmtId="0" fontId="25" fillId="10" borderId="2200" applyNumberFormat="0" applyProtection="0">
      <alignment horizontal="left" vertical="top"/>
    </xf>
    <xf numFmtId="0" fontId="25" fillId="10" borderId="2201" applyNumberFormat="0" applyProtection="0">
      <alignment horizontal="left" vertical="top"/>
    </xf>
    <xf numFmtId="0" fontId="25" fillId="10" borderId="2202" applyNumberFormat="0" applyProtection="0">
      <alignment horizontal="left" vertical="top"/>
    </xf>
    <xf numFmtId="0" fontId="75" fillId="0" borderId="2206" applyNumberFormat="0" applyFont="0" applyFill="0" applyAlignment="0" applyProtection="0"/>
    <xf numFmtId="0" fontId="101" fillId="0" borderId="2217" applyBorder="0"/>
    <xf numFmtId="222" fontId="79" fillId="0" borderId="2216" applyBorder="0"/>
    <xf numFmtId="0" fontId="113" fillId="0" borderId="2217" applyNumberFormat="0" applyFill="0" applyAlignment="0" applyProtection="0"/>
    <xf numFmtId="0" fontId="12" fillId="0" borderId="2217" applyNumberFormat="0" applyFill="0" applyBorder="0" applyAlignment="0" applyProtection="0">
      <alignment horizontal="center"/>
    </xf>
    <xf numFmtId="248" fontId="46" fillId="0" borderId="2217"/>
    <xf numFmtId="192" fontId="9" fillId="3" borderId="2217">
      <alignment horizontal="right" vertical="center"/>
    </xf>
    <xf numFmtId="180" fontId="9" fillId="3" borderId="2217">
      <alignment horizontal="right" vertical="center"/>
    </xf>
    <xf numFmtId="186" fontId="146" fillId="3" borderId="2217" applyBorder="0">
      <alignment horizontal="left" vertical="center"/>
    </xf>
    <xf numFmtId="0" fontId="166" fillId="0" borderId="2217">
      <alignment horizontal="center"/>
    </xf>
    <xf numFmtId="0" fontId="210" fillId="0" borderId="2217" applyNumberFormat="0" applyFill="0" applyBorder="0" applyAlignment="0">
      <protection locked="0"/>
    </xf>
    <xf numFmtId="264" fontId="12" fillId="14" borderId="2217" applyFont="0" applyFill="0" applyBorder="0" applyAlignment="0" applyProtection="0">
      <alignment horizontal="right"/>
    </xf>
    <xf numFmtId="246" fontId="249" fillId="0" borderId="2217" applyFill="0" applyProtection="0">
      <alignment horizontal="center"/>
    </xf>
    <xf numFmtId="246" fontId="250" fillId="0" borderId="2217" applyFill="0" applyProtection="0">
      <alignment horizontal="center"/>
    </xf>
    <xf numFmtId="246" fontId="250" fillId="0" borderId="2241" applyFill="0" applyProtection="0">
      <alignment horizontal="center"/>
    </xf>
    <xf numFmtId="246" fontId="249" fillId="0" borderId="2241" applyFill="0" applyProtection="0">
      <alignment horizontal="center"/>
    </xf>
    <xf numFmtId="254" fontId="240" fillId="0" borderId="2241" applyBorder="0" applyProtection="0">
      <alignment horizontal="right" vertical="center"/>
    </xf>
    <xf numFmtId="264" fontId="12" fillId="14" borderId="2241" applyFont="0" applyFill="0" applyBorder="0" applyAlignment="0" applyProtection="0">
      <alignment horizontal="right"/>
    </xf>
    <xf numFmtId="0" fontId="165" fillId="0" borderId="2241" applyFill="0" applyProtection="0">
      <alignment horizontal="center"/>
    </xf>
    <xf numFmtId="180" fontId="9" fillId="3" borderId="2241">
      <alignment horizontal="right" vertical="center"/>
    </xf>
    <xf numFmtId="0" fontId="12" fillId="0" borderId="2241" applyNumberFormat="0" applyFill="0" applyBorder="0" applyAlignment="0" applyProtection="0">
      <alignment horizontal="center"/>
    </xf>
    <xf numFmtId="0" fontId="101" fillId="0" borderId="2241" applyBorder="0"/>
    <xf numFmtId="222" fontId="79" fillId="0" borderId="2240" applyBorder="0"/>
    <xf numFmtId="0" fontId="75" fillId="0" borderId="2230" applyNumberFormat="0" applyFont="0" applyFill="0" applyAlignment="0" applyProtection="0"/>
    <xf numFmtId="0" fontId="2" fillId="0" borderId="2234" applyNumberFormat="0" applyAlignment="0" applyProtection="0"/>
    <xf numFmtId="0" fontId="25" fillId="10" borderId="2236" applyNumberFormat="0" applyProtection="0">
      <alignment horizontal="left" vertical="top"/>
    </xf>
    <xf numFmtId="0" fontId="25" fillId="10" borderId="2239" applyNumberFormat="0" applyProtection="0">
      <alignment horizontal="left" vertical="top"/>
    </xf>
    <xf numFmtId="222" fontId="79" fillId="0" borderId="2228" applyBorder="0"/>
    <xf numFmtId="0" fontId="25" fillId="10" borderId="2816" applyNumberFormat="0" applyProtection="0">
      <alignment horizontal="center" vertical="top"/>
    </xf>
    <xf numFmtId="0" fontId="25" fillId="10" borderId="2214" applyNumberFormat="0" applyProtection="0">
      <alignment horizontal="left" vertical="top"/>
    </xf>
    <xf numFmtId="10" fontId="12" fillId="60" borderId="2820" applyFont="0" applyFill="0" applyBorder="0" applyAlignment="0" applyProtection="0"/>
    <xf numFmtId="0" fontId="25" fillId="10" borderId="2212" applyNumberFormat="0" applyProtection="0">
      <alignment horizontal="left" vertical="top"/>
    </xf>
    <xf numFmtId="0" fontId="214" fillId="0" borderId="2211" applyNumberFormat="0" applyFont="0" applyFill="0" applyAlignment="0" applyProtection="0"/>
    <xf numFmtId="186" fontId="146" fillId="3" borderId="2208">
      <alignment horizontal="left"/>
    </xf>
    <xf numFmtId="222" fontId="79" fillId="0" borderId="2216" applyBorder="0"/>
    <xf numFmtId="222" fontId="79" fillId="0" borderId="2312" applyBorder="0"/>
    <xf numFmtId="186" fontId="140" fillId="3" borderId="2257">
      <alignment horizontal="center" vertical="center"/>
    </xf>
    <xf numFmtId="0" fontId="165" fillId="0" borderId="3255" applyFill="0" applyProtection="0">
      <alignment horizontal="center"/>
    </xf>
    <xf numFmtId="222" fontId="79" fillId="0" borderId="2276" applyBorder="0"/>
    <xf numFmtId="0" fontId="101" fillId="0" borderId="2093" applyBorder="0"/>
    <xf numFmtId="0" fontId="113" fillId="0" borderId="2093" applyNumberFormat="0" applyFill="0" applyAlignment="0" applyProtection="0"/>
    <xf numFmtId="0" fontId="12" fillId="0" borderId="2093" applyNumberFormat="0" applyFill="0" applyBorder="0" applyAlignment="0" applyProtection="0">
      <alignment horizontal="center"/>
    </xf>
    <xf numFmtId="248" fontId="46" fillId="0" borderId="2093"/>
    <xf numFmtId="192" fontId="9" fillId="3" borderId="2093">
      <alignment horizontal="right" vertical="center"/>
    </xf>
    <xf numFmtId="180" fontId="9" fillId="3" borderId="2093">
      <alignment horizontal="right" vertical="center"/>
    </xf>
    <xf numFmtId="186" fontId="146" fillId="3" borderId="2093" applyBorder="0">
      <alignment horizontal="left" vertical="center"/>
    </xf>
    <xf numFmtId="0" fontId="165" fillId="0" borderId="2093" applyFill="0" applyProtection="0">
      <alignment horizontal="center"/>
    </xf>
    <xf numFmtId="0" fontId="166" fillId="0" borderId="2093">
      <alignment horizontal="center"/>
    </xf>
    <xf numFmtId="264" fontId="12" fillId="14" borderId="2093" applyFont="0" applyFill="0" applyBorder="0" applyAlignment="0" applyProtection="0">
      <alignment horizontal="right"/>
    </xf>
    <xf numFmtId="0" fontId="210" fillId="0" borderId="2093" applyNumberFormat="0" applyFill="0" applyBorder="0" applyAlignment="0">
      <protection locked="0"/>
    </xf>
    <xf numFmtId="222" fontId="79" fillId="0" borderId="2312" applyBorder="0"/>
    <xf numFmtId="248" fontId="46" fillId="0" borderId="2241"/>
    <xf numFmtId="222" fontId="79" fillId="0" borderId="2240" applyBorder="0"/>
    <xf numFmtId="186" fontId="140" fillId="3" borderId="2233">
      <alignment horizontal="center" vertical="center"/>
    </xf>
    <xf numFmtId="0" fontId="25" fillId="10" borderId="2238" applyNumberFormat="0" applyProtection="0">
      <alignment horizontal="left" vertical="top"/>
    </xf>
    <xf numFmtId="0" fontId="210" fillId="0" borderId="2241" applyNumberFormat="0" applyFill="0" applyBorder="0" applyAlignment="0">
      <protection locked="0"/>
    </xf>
    <xf numFmtId="192" fontId="9" fillId="3" borderId="2241">
      <alignment horizontal="right" vertical="center"/>
    </xf>
    <xf numFmtId="0" fontId="113" fillId="0" borderId="2241" applyNumberFormat="0" applyFill="0" applyAlignment="0" applyProtection="0"/>
    <xf numFmtId="186" fontId="146" fillId="3" borderId="2232">
      <alignment horizontal="left"/>
    </xf>
    <xf numFmtId="0" fontId="25" fillId="10" borderId="2237" applyNumberFormat="0" applyProtection="0">
      <alignment horizontal="left" vertical="top"/>
    </xf>
    <xf numFmtId="254" fontId="240" fillId="0" borderId="2093" applyBorder="0" applyProtection="0">
      <alignment horizontal="right" vertical="center"/>
    </xf>
    <xf numFmtId="0" fontId="241" fillId="94" borderId="2093" applyBorder="0" applyProtection="0">
      <alignment horizontal="centerContinuous" vertical="center"/>
    </xf>
    <xf numFmtId="246" fontId="249" fillId="0" borderId="2093" applyFill="0" applyProtection="0">
      <alignment horizontal="center"/>
    </xf>
    <xf numFmtId="246" fontId="250" fillId="0" borderId="2093" applyFill="0" applyProtection="0">
      <alignment horizontal="center"/>
    </xf>
    <xf numFmtId="0" fontId="75" fillId="0" borderId="2278" applyNumberFormat="0" applyFont="0" applyFill="0" applyAlignment="0" applyProtection="0"/>
    <xf numFmtId="0" fontId="25" fillId="10" borderId="2261" applyNumberFormat="0" applyProtection="0">
      <alignment horizontal="left" vertical="top"/>
    </xf>
    <xf numFmtId="312" fontId="242" fillId="0" borderId="2872">
      <alignment horizontal="center"/>
    </xf>
    <xf numFmtId="0" fontId="25" fillId="10" borderId="2263" applyNumberFormat="0" applyProtection="0">
      <alignment horizontal="left" vertical="top"/>
    </xf>
    <xf numFmtId="246" fontId="249" fillId="0" borderId="2289" applyFill="0" applyProtection="0">
      <alignment horizontal="center"/>
    </xf>
    <xf numFmtId="222" fontId="79" fillId="0" borderId="2192" applyBorder="0"/>
    <xf numFmtId="0" fontId="214" fillId="0" borderId="2259" applyNumberFormat="0" applyFont="0" applyFill="0" applyAlignment="0" applyProtection="0"/>
    <xf numFmtId="0" fontId="75" fillId="0" borderId="2194" applyNumberFormat="0" applyFont="0" applyFill="0" applyAlignment="0" applyProtection="0"/>
    <xf numFmtId="0" fontId="25" fillId="10" borderId="2202" applyNumberFormat="0" applyProtection="0">
      <alignment horizontal="left" vertical="top"/>
    </xf>
    <xf numFmtId="0" fontId="25" fillId="10" borderId="2203" applyNumberFormat="0" applyProtection="0">
      <alignment horizontal="left" vertical="top"/>
    </xf>
    <xf numFmtId="0" fontId="165" fillId="0" borderId="2217" applyFill="0" applyProtection="0">
      <alignment horizontal="center"/>
    </xf>
    <xf numFmtId="254" fontId="240" fillId="0" borderId="2217" applyBorder="0" applyProtection="0">
      <alignment horizontal="right" vertical="center"/>
    </xf>
    <xf numFmtId="0" fontId="241" fillId="94" borderId="2217" applyBorder="0" applyProtection="0">
      <alignment horizontal="centerContinuous" vertical="center"/>
    </xf>
    <xf numFmtId="0" fontId="241" fillId="94" borderId="2241" applyBorder="0" applyProtection="0">
      <alignment horizontal="centerContinuous" vertical="center"/>
    </xf>
    <xf numFmtId="0" fontId="166" fillId="0" borderId="2241">
      <alignment horizontal="center"/>
    </xf>
    <xf numFmtId="186" fontId="146" fillId="3" borderId="2241" applyBorder="0">
      <alignment horizontal="left" vertical="center"/>
    </xf>
    <xf numFmtId="0" fontId="214" fillId="0" borderId="2235" applyNumberFormat="0" applyFont="0" applyFill="0" applyAlignment="0" applyProtection="0"/>
    <xf numFmtId="0" fontId="78" fillId="14" borderId="2231" applyFont="0" applyFill="0" applyBorder="0" applyAlignment="0" applyProtection="0"/>
    <xf numFmtId="0" fontId="210" fillId="0" borderId="2265" applyNumberFormat="0" applyFill="0" applyBorder="0" applyAlignment="0">
      <protection locked="0"/>
    </xf>
    <xf numFmtId="0" fontId="78" fillId="14" borderId="2158" applyFont="0" applyFill="0" applyBorder="0" applyAlignment="0" applyProtection="0"/>
    <xf numFmtId="0" fontId="25" fillId="10" borderId="1451" applyNumberFormat="0" applyProtection="0">
      <alignment horizontal="left" vertical="top"/>
    </xf>
    <xf numFmtId="0" fontId="25" fillId="10" borderId="1450" applyNumberFormat="0" applyProtection="0">
      <alignment horizontal="left" vertical="top"/>
    </xf>
    <xf numFmtId="0" fontId="25" fillId="10" borderId="1449" applyNumberFormat="0" applyProtection="0">
      <alignment horizontal="left" vertical="top"/>
    </xf>
    <xf numFmtId="0" fontId="25" fillId="10" borderId="1448" applyNumberFormat="0" applyProtection="0">
      <alignment horizontal="left" vertical="top"/>
    </xf>
    <xf numFmtId="186" fontId="140" fillId="3" borderId="2257">
      <alignment horizontal="center" vertical="center"/>
    </xf>
    <xf numFmtId="222" fontId="79" fillId="0" borderId="4743" applyBorder="0"/>
    <xf numFmtId="0" fontId="25" fillId="10" borderId="4727" applyNumberFormat="0" applyProtection="0">
      <alignment horizontal="left" vertical="top"/>
    </xf>
    <xf numFmtId="186" fontId="146" fillId="3" borderId="2256">
      <alignment horizontal="left"/>
    </xf>
    <xf numFmtId="180" fontId="9" fillId="3" borderId="2265">
      <alignment horizontal="right" vertical="center"/>
    </xf>
    <xf numFmtId="0" fontId="75" fillId="0" borderId="2254" applyNumberFormat="0" applyFont="0" applyFill="0" applyAlignment="0" applyProtection="0"/>
    <xf numFmtId="0" fontId="75" fillId="0" borderId="2254" applyNumberFormat="0" applyFont="0" applyFill="0" applyAlignment="0" applyProtection="0"/>
    <xf numFmtId="222" fontId="79" fillId="0" borderId="2168" applyBorder="0"/>
    <xf numFmtId="222" fontId="79" fillId="0" borderId="2168" applyBorder="0"/>
    <xf numFmtId="192" fontId="9" fillId="3" borderId="2803">
      <alignment horizontal="right" vertical="center"/>
    </xf>
    <xf numFmtId="0" fontId="25" fillId="10" borderId="2260" applyNumberFormat="0" applyProtection="0">
      <alignment horizontal="left" vertical="top"/>
    </xf>
    <xf numFmtId="180" fontId="9" fillId="3" borderId="2803">
      <alignment horizontal="right" vertical="center"/>
    </xf>
    <xf numFmtId="0" fontId="113" fillId="0" borderId="2803" applyNumberFormat="0" applyFill="0" applyAlignment="0" applyProtection="0"/>
    <xf numFmtId="0" fontId="2" fillId="0" borderId="2258" applyNumberFormat="0" applyAlignment="0" applyProtection="0"/>
    <xf numFmtId="0" fontId="2" fillId="0" borderId="2877" applyNumberFormat="0" applyAlignment="0" applyProtection="0"/>
    <xf numFmtId="246" fontId="250" fillId="0" borderId="2193" applyFill="0" applyProtection="0">
      <alignment horizontal="center"/>
    </xf>
    <xf numFmtId="246" fontId="249" fillId="0" borderId="2193" applyFill="0" applyProtection="0">
      <alignment horizontal="center"/>
    </xf>
    <xf numFmtId="0" fontId="241" fillId="94" borderId="2193" applyBorder="0" applyProtection="0">
      <alignment horizontal="centerContinuous" vertical="center"/>
    </xf>
    <xf numFmtId="254" fontId="240" fillId="0" borderId="2193" applyBorder="0" applyProtection="0">
      <alignment horizontal="right" vertical="center"/>
    </xf>
    <xf numFmtId="0" fontId="210" fillId="0" borderId="2193" applyNumberFormat="0" applyFill="0" applyBorder="0" applyAlignment="0">
      <protection locked="0"/>
    </xf>
    <xf numFmtId="264" fontId="12" fillId="14" borderId="2193" applyFont="0" applyFill="0" applyBorder="0" applyAlignment="0" applyProtection="0">
      <alignment horizontal="right"/>
    </xf>
    <xf numFmtId="0" fontId="166" fillId="0" borderId="2193">
      <alignment horizontal="center"/>
    </xf>
    <xf numFmtId="0" fontId="165" fillId="0" borderId="2193" applyFill="0" applyProtection="0">
      <alignment horizontal="center"/>
    </xf>
    <xf numFmtId="186" fontId="146" fillId="3" borderId="2193" applyBorder="0">
      <alignment horizontal="left" vertical="center"/>
    </xf>
    <xf numFmtId="180" fontId="9" fillId="3" borderId="2193">
      <alignment horizontal="right" vertical="center"/>
    </xf>
    <xf numFmtId="192" fontId="9" fillId="3" borderId="2193">
      <alignment horizontal="right" vertical="center"/>
    </xf>
    <xf numFmtId="248" fontId="46" fillId="0" borderId="2193"/>
    <xf numFmtId="0" fontId="12" fillId="0" borderId="2193" applyNumberFormat="0" applyFill="0" applyBorder="0" applyAlignment="0" applyProtection="0">
      <alignment horizontal="center"/>
    </xf>
    <xf numFmtId="0" fontId="113" fillId="0" borderId="2193" applyNumberFormat="0" applyFill="0" applyAlignment="0" applyProtection="0"/>
    <xf numFmtId="222" fontId="79" fillId="0" borderId="2192" applyBorder="0"/>
    <xf numFmtId="0" fontId="101" fillId="0" borderId="2193" applyBorder="0"/>
    <xf numFmtId="222" fontId="79" fillId="0" borderId="2646" applyBorder="0"/>
    <xf numFmtId="222" fontId="79" fillId="0" borderId="2192" applyBorder="0"/>
    <xf numFmtId="0" fontId="75" fillId="0" borderId="2182" applyNumberFormat="0" applyFont="0" applyFill="0" applyAlignment="0" applyProtection="0"/>
    <xf numFmtId="186" fontId="146" fillId="3" borderId="2184">
      <alignment horizontal="left"/>
    </xf>
    <xf numFmtId="186" fontId="140" fillId="3" borderId="2185">
      <alignment horizontal="center" vertical="center"/>
    </xf>
    <xf numFmtId="0" fontId="2" fillId="0" borderId="2186" applyNumberFormat="0" applyAlignment="0" applyProtection="0"/>
    <xf numFmtId="0" fontId="214" fillId="0" borderId="2187" applyNumberFormat="0" applyFont="0" applyFill="0" applyAlignment="0" applyProtection="0"/>
    <xf numFmtId="0" fontId="25" fillId="10" borderId="2188" applyNumberFormat="0" applyProtection="0">
      <alignment horizontal="left" vertical="top"/>
    </xf>
    <xf numFmtId="0" fontId="25" fillId="10" borderId="2189" applyNumberFormat="0" applyProtection="0">
      <alignment horizontal="left" vertical="top"/>
    </xf>
    <xf numFmtId="0" fontId="25" fillId="10" borderId="2190" applyNumberFormat="0" applyProtection="0">
      <alignment horizontal="left" vertical="top"/>
    </xf>
    <xf numFmtId="0" fontId="25" fillId="10" borderId="2191" applyNumberFormat="0" applyProtection="0">
      <alignment horizontal="left" vertical="top"/>
    </xf>
    <xf numFmtId="246" fontId="250" fillId="0" borderId="2253" applyFill="0" applyProtection="0">
      <alignment horizontal="center"/>
    </xf>
    <xf numFmtId="0" fontId="78" fillId="14" borderId="2183" applyFont="0" applyFill="0" applyBorder="0" applyAlignment="0" applyProtection="0"/>
    <xf numFmtId="264" fontId="12" fillId="14" borderId="2313" applyFont="0" applyFill="0" applyBorder="0" applyAlignment="0" applyProtection="0">
      <alignment horizontal="right"/>
    </xf>
    <xf numFmtId="186" fontId="146" fillId="3" borderId="2292">
      <alignment horizontal="left"/>
    </xf>
    <xf numFmtId="222" fontId="79" fillId="0" borderId="2180" applyBorder="0"/>
    <xf numFmtId="264" fontId="12" fillId="14" borderId="2803" applyFont="0" applyFill="0" applyBorder="0" applyAlignment="0" applyProtection="0">
      <alignment horizontal="right"/>
    </xf>
    <xf numFmtId="0" fontId="25" fillId="10" borderId="2827" applyNumberFormat="0" applyProtection="0">
      <alignment horizontal="left" vertical="top"/>
    </xf>
    <xf numFmtId="312" fontId="101" fillId="0" borderId="2313" applyBorder="0"/>
    <xf numFmtId="246" fontId="296" fillId="0" borderId="2872" applyFill="0" applyProtection="0">
      <alignment horizontal="center"/>
    </xf>
    <xf numFmtId="0" fontId="75" fillId="0" borderId="2290" applyNumberFormat="0" applyFont="0" applyFill="0" applyAlignment="0" applyProtection="0"/>
    <xf numFmtId="0" fontId="75" fillId="0" borderId="2254" applyNumberFormat="0" applyFont="0" applyFill="0" applyAlignment="0" applyProtection="0"/>
    <xf numFmtId="0" fontId="241" fillId="94" borderId="2253" applyBorder="0" applyProtection="0">
      <alignment horizontal="centerContinuous" vertical="center"/>
    </xf>
    <xf numFmtId="0" fontId="241" fillId="94" borderId="2313" applyBorder="0" applyProtection="0">
      <alignment horizontal="centerContinuous" vertical="center"/>
    </xf>
    <xf numFmtId="186" fontId="146" fillId="3" borderId="2256">
      <alignment horizontal="left"/>
    </xf>
    <xf numFmtId="0" fontId="165" fillId="0" borderId="2848" applyFill="0" applyProtection="0">
      <alignment horizontal="center"/>
    </xf>
    <xf numFmtId="0" fontId="12" fillId="0" borderId="2848" applyNumberFormat="0" applyFill="0" applyBorder="0" applyAlignment="0" applyProtection="0">
      <alignment horizontal="center"/>
    </xf>
    <xf numFmtId="4" fontId="223" fillId="52" borderId="2818" applyNumberFormat="0" applyProtection="0">
      <alignment horizontal="left" vertical="center" indent="1"/>
    </xf>
    <xf numFmtId="186" fontId="140" fillId="3" borderId="2257">
      <alignment horizontal="center" vertical="center"/>
    </xf>
    <xf numFmtId="192" fontId="9" fillId="3" borderId="2253">
      <alignment horizontal="right" vertical="center"/>
    </xf>
    <xf numFmtId="0" fontId="101" fillId="0" borderId="2848" applyBorder="0"/>
    <xf numFmtId="10" fontId="12" fillId="3" borderId="2828" applyNumberFormat="0" applyFont="0" applyFill="0" applyBorder="0" applyAlignment="0">
      <protection locked="0"/>
    </xf>
    <xf numFmtId="312" fontId="241" fillId="94" borderId="2872" applyBorder="0" applyProtection="0">
      <alignment horizontal="centerContinuous" vertical="center"/>
    </xf>
    <xf numFmtId="0" fontId="25" fillId="10" borderId="2823" applyNumberFormat="0" applyProtection="0">
      <alignment horizontal="left" vertical="top"/>
    </xf>
    <xf numFmtId="0" fontId="78" fillId="14" borderId="2158" applyFont="0" applyFill="0" applyBorder="0" applyAlignment="0" applyProtection="0"/>
    <xf numFmtId="222" fontId="79" fillId="0" borderId="2168" applyBorder="0"/>
    <xf numFmtId="0" fontId="214" fillId="0" borderId="2307" applyNumberFormat="0" applyFont="0" applyFill="0" applyAlignment="0" applyProtection="0"/>
    <xf numFmtId="0" fontId="2" fillId="0" borderId="2258" applyNumberFormat="0" applyAlignment="0" applyProtection="0"/>
    <xf numFmtId="0" fontId="12" fillId="10" borderId="2816" applyNumberFormat="0" applyFont="0" applyAlignment="0" applyProtection="0"/>
    <xf numFmtId="0" fontId="78" fillId="14" borderId="2171" applyFont="0" applyFill="0" applyBorder="0" applyAlignment="0" applyProtection="0"/>
    <xf numFmtId="0" fontId="25" fillId="10" borderId="2179" applyNumberFormat="0" applyProtection="0">
      <alignment horizontal="left" vertical="top"/>
    </xf>
    <xf numFmtId="0" fontId="25" fillId="10" borderId="2178" applyNumberFormat="0" applyProtection="0">
      <alignment horizontal="left" vertical="top"/>
    </xf>
    <xf numFmtId="0" fontId="25" fillId="10" borderId="2177" applyNumberFormat="0" applyProtection="0">
      <alignment horizontal="left" vertical="top"/>
    </xf>
    <xf numFmtId="0" fontId="25" fillId="10" borderId="2176" applyNumberFormat="0" applyProtection="0">
      <alignment horizontal="left" vertical="top"/>
    </xf>
    <xf numFmtId="0" fontId="214" fillId="0" borderId="2175" applyNumberFormat="0" applyFont="0" applyFill="0" applyAlignment="0" applyProtection="0"/>
    <xf numFmtId="186" fontId="140" fillId="3" borderId="2173">
      <alignment horizontal="center" vertical="center"/>
    </xf>
    <xf numFmtId="186" fontId="146" fillId="3" borderId="2172">
      <alignment horizontal="left"/>
    </xf>
    <xf numFmtId="0" fontId="75" fillId="0" borderId="2170" applyNumberFormat="0" applyFont="0" applyFill="0" applyAlignment="0" applyProtection="0"/>
    <xf numFmtId="312" fontId="25" fillId="10" borderId="2823" applyNumberFormat="0" applyProtection="0">
      <alignment horizontal="left" vertical="top"/>
    </xf>
    <xf numFmtId="222" fontId="79" fillId="0" borderId="2180" applyBorder="0"/>
    <xf numFmtId="0" fontId="101" fillId="0" borderId="2181" applyBorder="0"/>
    <xf numFmtId="222" fontId="79" fillId="0" borderId="2180" applyBorder="0"/>
    <xf numFmtId="0" fontId="113" fillId="0" borderId="2181" applyNumberFormat="0" applyFill="0" applyAlignment="0" applyProtection="0"/>
    <xf numFmtId="0" fontId="12" fillId="0" borderId="2181" applyNumberFormat="0" applyFill="0" applyBorder="0" applyAlignment="0" applyProtection="0">
      <alignment horizontal="center"/>
    </xf>
    <xf numFmtId="248" fontId="46" fillId="0" borderId="2181"/>
    <xf numFmtId="192" fontId="9" fillId="3" borderId="2181">
      <alignment horizontal="right" vertical="center"/>
    </xf>
    <xf numFmtId="180" fontId="9" fillId="3" borderId="2181">
      <alignment horizontal="right" vertical="center"/>
    </xf>
    <xf numFmtId="186" fontId="146" fillId="3" borderId="2181" applyBorder="0">
      <alignment horizontal="left" vertical="center"/>
    </xf>
    <xf numFmtId="0" fontId="165" fillId="0" borderId="2181" applyFill="0" applyProtection="0">
      <alignment horizontal="center"/>
    </xf>
    <xf numFmtId="0" fontId="166" fillId="0" borderId="2181">
      <alignment horizontal="center"/>
    </xf>
    <xf numFmtId="264" fontId="12" fillId="14" borderId="2181" applyFont="0" applyFill="0" applyBorder="0" applyAlignment="0" applyProtection="0">
      <alignment horizontal="right"/>
    </xf>
    <xf numFmtId="0" fontId="210" fillId="0" borderId="2181" applyNumberFormat="0" applyFill="0" applyBorder="0" applyAlignment="0">
      <protection locked="0"/>
    </xf>
    <xf numFmtId="254" fontId="240" fillId="0" borderId="2181" applyBorder="0" applyProtection="0">
      <alignment horizontal="right" vertical="center"/>
    </xf>
    <xf numFmtId="0" fontId="241" fillId="94" borderId="2181" applyBorder="0" applyProtection="0">
      <alignment horizontal="centerContinuous" vertical="center"/>
    </xf>
    <xf numFmtId="246" fontId="249" fillId="0" borderId="2181" applyFill="0" applyProtection="0">
      <alignment horizontal="center"/>
    </xf>
    <xf numFmtId="246" fontId="250" fillId="0" borderId="2181" applyFill="0" applyProtection="0">
      <alignment horizontal="center"/>
    </xf>
    <xf numFmtId="312" fontId="12" fillId="0" borderId="2815" applyNumberFormat="0" applyFill="0" applyBorder="0" applyAlignment="0" applyProtection="0"/>
    <xf numFmtId="0" fontId="241" fillId="94" borderId="2265" applyBorder="0" applyProtection="0">
      <alignment horizontal="centerContinuous" vertical="center"/>
    </xf>
    <xf numFmtId="0" fontId="166" fillId="0" borderId="2265">
      <alignment horizontal="center"/>
    </xf>
    <xf numFmtId="0" fontId="2" fillId="0" borderId="2198" applyNumberFormat="0" applyAlignment="0" applyProtection="0"/>
    <xf numFmtId="0" fontId="214" fillId="0" borderId="2199" applyNumberFormat="0" applyFont="0" applyFill="0" applyAlignment="0" applyProtection="0"/>
    <xf numFmtId="246" fontId="250" fillId="0" borderId="2205" applyFill="0" applyProtection="0">
      <alignment horizontal="center"/>
    </xf>
    <xf numFmtId="246" fontId="249" fillId="0" borderId="2205" applyFill="0" applyProtection="0">
      <alignment horizontal="center"/>
    </xf>
    <xf numFmtId="0" fontId="241" fillId="94" borderId="2205" applyBorder="0" applyProtection="0">
      <alignment horizontal="centerContinuous" vertical="center"/>
    </xf>
    <xf numFmtId="254" fontId="240" fillId="0" borderId="2205" applyBorder="0" applyProtection="0">
      <alignment horizontal="right" vertical="center"/>
    </xf>
    <xf numFmtId="0" fontId="210" fillId="0" borderId="2205" applyNumberFormat="0" applyFill="0" applyBorder="0" applyAlignment="0">
      <protection locked="0"/>
    </xf>
    <xf numFmtId="264" fontId="12" fillId="14" borderId="2205" applyFont="0" applyFill="0" applyBorder="0" applyAlignment="0" applyProtection="0">
      <alignment horizontal="right"/>
    </xf>
    <xf numFmtId="0" fontId="166" fillId="0" borderId="2205">
      <alignment horizontal="center"/>
    </xf>
    <xf numFmtId="0" fontId="165" fillId="0" borderId="2205" applyFill="0" applyProtection="0">
      <alignment horizontal="center"/>
    </xf>
    <xf numFmtId="186" fontId="146" fillId="3" borderId="2205" applyBorder="0">
      <alignment horizontal="left" vertical="center"/>
    </xf>
    <xf numFmtId="180" fontId="9" fillId="3" borderId="2205">
      <alignment horizontal="right" vertical="center"/>
    </xf>
    <xf numFmtId="192" fontId="9" fillId="3" borderId="2205">
      <alignment horizontal="right" vertical="center"/>
    </xf>
    <xf numFmtId="248" fontId="46" fillId="0" borderId="2205"/>
    <xf numFmtId="0" fontId="12" fillId="0" borderId="2205" applyNumberFormat="0" applyFill="0" applyBorder="0" applyAlignment="0" applyProtection="0">
      <alignment horizontal="center"/>
    </xf>
    <xf numFmtId="0" fontId="113" fillId="0" borderId="2205" applyNumberFormat="0" applyFill="0" applyAlignment="0" applyProtection="0"/>
    <xf numFmtId="222" fontId="79" fillId="0" borderId="2204" applyBorder="0"/>
    <xf numFmtId="0" fontId="101" fillId="0" borderId="2205" applyBorder="0"/>
    <xf numFmtId="222" fontId="79" fillId="0" borderId="2204" applyBorder="0"/>
    <xf numFmtId="0" fontId="75" fillId="0" borderId="2194" applyNumberFormat="0" applyFont="0" applyFill="0" applyAlignment="0" applyProtection="0"/>
    <xf numFmtId="186" fontId="146" fillId="3" borderId="2196">
      <alignment horizontal="left"/>
    </xf>
    <xf numFmtId="186" fontId="140" fillId="3" borderId="2197">
      <alignment horizontal="center" vertical="center"/>
    </xf>
    <xf numFmtId="0" fontId="2" fillId="0" borderId="2198" applyNumberFormat="0" applyAlignment="0" applyProtection="0"/>
    <xf numFmtId="0" fontId="214" fillId="0" borderId="2199" applyNumberFormat="0" applyFont="0" applyFill="0" applyAlignment="0" applyProtection="0"/>
    <xf numFmtId="0" fontId="25" fillId="10" borderId="2200" applyNumberFormat="0" applyProtection="0">
      <alignment horizontal="left" vertical="top"/>
    </xf>
    <xf numFmtId="0" fontId="25" fillId="10" borderId="2201" applyNumberFormat="0" applyProtection="0">
      <alignment horizontal="left" vertical="top"/>
    </xf>
    <xf numFmtId="0" fontId="25" fillId="10" borderId="2202" applyNumberFormat="0" applyProtection="0">
      <alignment horizontal="left" vertical="top"/>
    </xf>
    <xf numFmtId="0" fontId="25" fillId="10" borderId="2203" applyNumberFormat="0" applyProtection="0">
      <alignment horizontal="left" vertical="top"/>
    </xf>
    <xf numFmtId="0" fontId="78" fillId="14" borderId="2195" applyFont="0" applyFill="0" applyBorder="0" applyAlignment="0" applyProtection="0"/>
    <xf numFmtId="222" fontId="79" fillId="0" borderId="2192" applyBorder="0"/>
    <xf numFmtId="0" fontId="78" fillId="14" borderId="2207" applyFont="0" applyFill="0" applyBorder="0" applyAlignment="0" applyProtection="0"/>
    <xf numFmtId="186" fontId="146" fillId="3" borderId="2196">
      <alignment horizontal="left"/>
    </xf>
    <xf numFmtId="0" fontId="12" fillId="0" borderId="2872" applyNumberFormat="0" applyFill="0" applyBorder="0" applyAlignment="0" applyProtection="0">
      <alignment horizontal="center"/>
    </xf>
    <xf numFmtId="0" fontId="78" fillId="14" borderId="2183" applyFont="0" applyFill="0" applyBorder="0" applyAlignment="0" applyProtection="0"/>
    <xf numFmtId="222" fontId="79" fillId="0" borderId="2192" applyBorder="0"/>
    <xf numFmtId="0" fontId="2" fillId="0" borderId="2210" applyNumberFormat="0" applyAlignment="0" applyProtection="0"/>
    <xf numFmtId="0" fontId="78" fillId="14" borderId="2183" applyFont="0" applyFill="0" applyBorder="0" applyAlignment="0" applyProtection="0"/>
    <xf numFmtId="0" fontId="25" fillId="10" borderId="2191" applyNumberFormat="0" applyProtection="0">
      <alignment horizontal="left" vertical="top"/>
    </xf>
    <xf numFmtId="0" fontId="25" fillId="10" borderId="2190" applyNumberFormat="0" applyProtection="0">
      <alignment horizontal="left" vertical="top"/>
    </xf>
    <xf numFmtId="0" fontId="25" fillId="10" borderId="2189" applyNumberFormat="0" applyProtection="0">
      <alignment horizontal="left" vertical="top"/>
    </xf>
    <xf numFmtId="0" fontId="25" fillId="10" borderId="2188" applyNumberFormat="0" applyProtection="0">
      <alignment horizontal="left" vertical="top"/>
    </xf>
    <xf numFmtId="0" fontId="25" fillId="10" borderId="2213" applyNumberFormat="0" applyProtection="0">
      <alignment horizontal="left" vertical="top"/>
    </xf>
    <xf numFmtId="0" fontId="214" fillId="0" borderId="2187" applyNumberFormat="0" applyFont="0" applyFill="0" applyAlignment="0" applyProtection="0"/>
    <xf numFmtId="0" fontId="2" fillId="0" borderId="2186" applyNumberFormat="0" applyAlignment="0" applyProtection="0"/>
    <xf numFmtId="186" fontId="140" fillId="3" borderId="2185">
      <alignment horizontal="center" vertical="center"/>
    </xf>
    <xf numFmtId="186" fontId="146" fillId="3" borderId="2184">
      <alignment horizontal="left"/>
    </xf>
    <xf numFmtId="0" fontId="25" fillId="10" borderId="2215" applyNumberFormat="0" applyProtection="0">
      <alignment horizontal="left" vertical="top"/>
    </xf>
    <xf numFmtId="0" fontId="75" fillId="0" borderId="2182" applyNumberFormat="0" applyFont="0" applyFill="0" applyAlignment="0" applyProtection="0"/>
    <xf numFmtId="222" fontId="79" fillId="0" borderId="2192" applyBorder="0"/>
    <xf numFmtId="0" fontId="101" fillId="0" borderId="2193" applyBorder="0"/>
    <xf numFmtId="222" fontId="79" fillId="0" borderId="2192" applyBorder="0"/>
    <xf numFmtId="0" fontId="113" fillId="0" borderId="2193" applyNumberFormat="0" applyFill="0" applyAlignment="0" applyProtection="0"/>
    <xf numFmtId="0" fontId="12" fillId="0" borderId="2193" applyNumberFormat="0" applyFill="0" applyBorder="0" applyAlignment="0" applyProtection="0">
      <alignment horizontal="center"/>
    </xf>
    <xf numFmtId="248" fontId="46" fillId="0" borderId="2193"/>
    <xf numFmtId="192" fontId="9" fillId="3" borderId="2193">
      <alignment horizontal="right" vertical="center"/>
    </xf>
    <xf numFmtId="180" fontId="9" fillId="3" borderId="2193">
      <alignment horizontal="right" vertical="center"/>
    </xf>
    <xf numFmtId="186" fontId="146" fillId="3" borderId="2193" applyBorder="0">
      <alignment horizontal="left" vertical="center"/>
    </xf>
    <xf numFmtId="0" fontId="165" fillId="0" borderId="2193" applyFill="0" applyProtection="0">
      <alignment horizontal="center"/>
    </xf>
    <xf numFmtId="0" fontId="166" fillId="0" borderId="2193">
      <alignment horizontal="center"/>
    </xf>
    <xf numFmtId="264" fontId="12" fillId="14" borderId="2193" applyFont="0" applyFill="0" applyBorder="0" applyAlignment="0" applyProtection="0">
      <alignment horizontal="right"/>
    </xf>
    <xf numFmtId="0" fontId="210" fillId="0" borderId="2193" applyNumberFormat="0" applyFill="0" applyBorder="0" applyAlignment="0">
      <protection locked="0"/>
    </xf>
    <xf numFmtId="254" fontId="240" fillId="0" borderId="2193" applyBorder="0" applyProtection="0">
      <alignment horizontal="right" vertical="center"/>
    </xf>
    <xf numFmtId="0" fontId="241" fillId="94" borderId="2193" applyBorder="0" applyProtection="0">
      <alignment horizontal="centerContinuous" vertical="center"/>
    </xf>
    <xf numFmtId="246" fontId="249" fillId="0" borderId="2193" applyFill="0" applyProtection="0">
      <alignment horizontal="center"/>
    </xf>
    <xf numFmtId="246" fontId="250" fillId="0" borderId="2193" applyFill="0" applyProtection="0">
      <alignment horizontal="center"/>
    </xf>
    <xf numFmtId="186" fontId="140" fillId="3" borderId="2209">
      <alignment horizontal="center" vertical="center"/>
    </xf>
    <xf numFmtId="0" fontId="78" fillId="14" borderId="2195" applyFont="0" applyFill="0" applyBorder="0" applyAlignment="0" applyProtection="0"/>
    <xf numFmtId="222" fontId="79" fillId="0" borderId="2216" applyBorder="0"/>
    <xf numFmtId="0" fontId="78" fillId="14" borderId="2219" applyFont="0" applyFill="0" applyBorder="0" applyAlignment="0" applyProtection="0"/>
    <xf numFmtId="0" fontId="25" fillId="10" borderId="2227" applyNumberFormat="0" applyProtection="0">
      <alignment horizontal="left" vertical="top"/>
    </xf>
    <xf numFmtId="0" fontId="25" fillId="10" borderId="2226" applyNumberFormat="0" applyProtection="0">
      <alignment horizontal="left" vertical="top"/>
    </xf>
    <xf numFmtId="0" fontId="25" fillId="10" borderId="2225" applyNumberFormat="0" applyProtection="0">
      <alignment horizontal="left" vertical="top"/>
    </xf>
    <xf numFmtId="0" fontId="25" fillId="10" borderId="2224" applyNumberFormat="0" applyProtection="0">
      <alignment horizontal="left" vertical="top"/>
    </xf>
    <xf numFmtId="0" fontId="214" fillId="0" borderId="2223" applyNumberFormat="0" applyFont="0" applyFill="0" applyAlignment="0" applyProtection="0"/>
    <xf numFmtId="0" fontId="2" fillId="0" borderId="2222" applyNumberFormat="0" applyAlignment="0" applyProtection="0"/>
    <xf numFmtId="186" fontId="140" fillId="3" borderId="2221">
      <alignment horizontal="center" vertical="center"/>
    </xf>
    <xf numFmtId="186" fontId="146" fillId="3" borderId="2220">
      <alignment horizontal="left"/>
    </xf>
    <xf numFmtId="0" fontId="75" fillId="0" borderId="2218" applyNumberFormat="0" applyFont="0" applyFill="0" applyAlignment="0" applyProtection="0"/>
    <xf numFmtId="222" fontId="79" fillId="0" borderId="2228" applyBorder="0"/>
    <xf numFmtId="0" fontId="101" fillId="0" borderId="2229" applyBorder="0"/>
    <xf numFmtId="222" fontId="79" fillId="0" borderId="2228" applyBorder="0"/>
    <xf numFmtId="0" fontId="113" fillId="0" borderId="2229" applyNumberFormat="0" applyFill="0" applyAlignment="0" applyProtection="0"/>
    <xf numFmtId="0" fontId="12" fillId="0" borderId="2229" applyNumberFormat="0" applyFill="0" applyBorder="0" applyAlignment="0" applyProtection="0">
      <alignment horizontal="center"/>
    </xf>
    <xf numFmtId="248" fontId="46" fillId="0" borderId="2229"/>
    <xf numFmtId="192" fontId="9" fillId="3" borderId="2229">
      <alignment horizontal="right" vertical="center"/>
    </xf>
    <xf numFmtId="180" fontId="9" fillId="3" borderId="2229">
      <alignment horizontal="right" vertical="center"/>
    </xf>
    <xf numFmtId="186" fontId="146" fillId="3" borderId="2229" applyBorder="0">
      <alignment horizontal="left" vertical="center"/>
    </xf>
    <xf numFmtId="0" fontId="165" fillId="0" borderId="2229" applyFill="0" applyProtection="0">
      <alignment horizontal="center"/>
    </xf>
    <xf numFmtId="0" fontId="166" fillId="0" borderId="2229">
      <alignment horizontal="center"/>
    </xf>
    <xf numFmtId="264" fontId="12" fillId="14" borderId="2229" applyFont="0" applyFill="0" applyBorder="0" applyAlignment="0" applyProtection="0">
      <alignment horizontal="right"/>
    </xf>
    <xf numFmtId="0" fontId="210" fillId="0" borderId="2229" applyNumberFormat="0" applyFill="0" applyBorder="0" applyAlignment="0">
      <protection locked="0"/>
    </xf>
    <xf numFmtId="254" fontId="240" fillId="0" borderId="2229" applyBorder="0" applyProtection="0">
      <alignment horizontal="right" vertical="center"/>
    </xf>
    <xf numFmtId="0" fontId="241" fillId="94" borderId="2229" applyBorder="0" applyProtection="0">
      <alignment horizontal="centerContinuous" vertical="center"/>
    </xf>
    <xf numFmtId="246" fontId="249" fillId="0" borderId="2229" applyFill="0" applyProtection="0">
      <alignment horizontal="center"/>
    </xf>
    <xf numFmtId="246" fontId="250" fillId="0" borderId="2229" applyFill="0" applyProtection="0">
      <alignment horizontal="center"/>
    </xf>
    <xf numFmtId="222" fontId="79" fillId="0" borderId="2240" applyBorder="0"/>
    <xf numFmtId="0" fontId="78" fillId="14" borderId="2243" applyFont="0" applyFill="0" applyBorder="0" applyAlignment="0" applyProtection="0"/>
    <xf numFmtId="0" fontId="25" fillId="10" borderId="2251" applyNumberFormat="0" applyProtection="0">
      <alignment horizontal="left" vertical="top"/>
    </xf>
    <xf numFmtId="0" fontId="25" fillId="10" borderId="2250" applyNumberFormat="0" applyProtection="0">
      <alignment horizontal="left" vertical="top"/>
    </xf>
    <xf numFmtId="0" fontId="25" fillId="10" borderId="2249" applyNumberFormat="0" applyProtection="0">
      <alignment horizontal="left" vertical="top"/>
    </xf>
    <xf numFmtId="0" fontId="25" fillId="10" borderId="2248" applyNumberFormat="0" applyProtection="0">
      <alignment horizontal="left" vertical="top"/>
    </xf>
    <xf numFmtId="0" fontId="214" fillId="0" borderId="2247" applyNumberFormat="0" applyFont="0" applyFill="0" applyAlignment="0" applyProtection="0"/>
    <xf numFmtId="0" fontId="2" fillId="0" borderId="2246" applyNumberFormat="0" applyAlignment="0" applyProtection="0"/>
    <xf numFmtId="186" fontId="140" fillId="3" borderId="2245">
      <alignment horizontal="center" vertical="center"/>
    </xf>
    <xf numFmtId="186" fontId="146" fillId="3" borderId="2244">
      <alignment horizontal="left"/>
    </xf>
    <xf numFmtId="0" fontId="75" fillId="0" borderId="2242" applyNumberFormat="0" applyFont="0" applyFill="0" applyAlignment="0" applyProtection="0"/>
    <xf numFmtId="222" fontId="79" fillId="0" borderId="2252" applyBorder="0"/>
    <xf numFmtId="0" fontId="101" fillId="0" borderId="2253" applyBorder="0"/>
    <xf numFmtId="222" fontId="79" fillId="0" borderId="2252" applyBorder="0"/>
    <xf numFmtId="0" fontId="113" fillId="0" borderId="2253" applyNumberFormat="0" applyFill="0" applyAlignment="0" applyProtection="0"/>
    <xf numFmtId="0" fontId="12" fillId="0" borderId="2253" applyNumberFormat="0" applyFill="0" applyBorder="0" applyAlignment="0" applyProtection="0">
      <alignment horizontal="center"/>
    </xf>
    <xf numFmtId="248" fontId="46" fillId="0" borderId="2253"/>
    <xf numFmtId="192" fontId="9" fillId="3" borderId="2253">
      <alignment horizontal="right" vertical="center"/>
    </xf>
    <xf numFmtId="180" fontId="9" fillId="3" borderId="2253">
      <alignment horizontal="right" vertical="center"/>
    </xf>
    <xf numFmtId="186" fontId="146" fillId="3" borderId="2253" applyBorder="0">
      <alignment horizontal="left" vertical="center"/>
    </xf>
    <xf numFmtId="0" fontId="165" fillId="0" borderId="2253" applyFill="0" applyProtection="0">
      <alignment horizontal="center"/>
    </xf>
    <xf numFmtId="0" fontId="166" fillId="0" borderId="2253">
      <alignment horizontal="center"/>
    </xf>
    <xf numFmtId="264" fontId="12" fillId="14" borderId="2253" applyFont="0" applyFill="0" applyBorder="0" applyAlignment="0" applyProtection="0">
      <alignment horizontal="right"/>
    </xf>
    <xf numFmtId="0" fontId="210" fillId="0" borderId="2253" applyNumberFormat="0" applyFill="0" applyBorder="0" applyAlignment="0">
      <protection locked="0"/>
    </xf>
    <xf numFmtId="254" fontId="240" fillId="0" borderId="2253" applyBorder="0" applyProtection="0">
      <alignment horizontal="right" vertical="center"/>
    </xf>
    <xf numFmtId="0" fontId="241" fillId="94" borderId="2253" applyBorder="0" applyProtection="0">
      <alignment horizontal="centerContinuous" vertical="center"/>
    </xf>
    <xf numFmtId="246" fontId="249" fillId="0" borderId="2253" applyFill="0" applyProtection="0">
      <alignment horizontal="center"/>
    </xf>
    <xf numFmtId="246" fontId="250" fillId="0" borderId="2253" applyFill="0" applyProtection="0">
      <alignment horizontal="center"/>
    </xf>
    <xf numFmtId="0" fontId="75" fillId="0" borderId="2266" applyNumberFormat="0" applyFont="0" applyFill="0" applyAlignment="0" applyProtection="0"/>
    <xf numFmtId="0" fontId="25" fillId="10" borderId="2880" applyNumberFormat="0" applyProtection="0">
      <alignment horizontal="left" vertical="top"/>
    </xf>
    <xf numFmtId="0" fontId="78" fillId="14" borderId="2267" applyFont="0" applyFill="0" applyBorder="0" applyAlignment="0" applyProtection="0"/>
    <xf numFmtId="186" fontId="146" fillId="3" borderId="2268">
      <alignment horizontal="left"/>
    </xf>
    <xf numFmtId="186" fontId="140" fillId="3" borderId="2269">
      <alignment horizontal="center" vertical="center"/>
    </xf>
    <xf numFmtId="0" fontId="2" fillId="0" borderId="2270" applyNumberFormat="0" applyAlignment="0" applyProtection="0"/>
    <xf numFmtId="0" fontId="214" fillId="0" borderId="2271" applyNumberFormat="0" applyFont="0" applyFill="0" applyAlignment="0" applyProtection="0"/>
    <xf numFmtId="0" fontId="25" fillId="10" borderId="2272" applyNumberFormat="0" applyProtection="0">
      <alignment horizontal="left" vertical="top"/>
    </xf>
    <xf numFmtId="0" fontId="25" fillId="10" borderId="2273" applyNumberFormat="0" applyProtection="0">
      <alignment horizontal="left" vertical="top"/>
    </xf>
    <xf numFmtId="0" fontId="25" fillId="10" borderId="2274" applyNumberFormat="0" applyProtection="0">
      <alignment horizontal="left" vertical="top"/>
    </xf>
    <xf numFmtId="0" fontId="25" fillId="10" borderId="2275" applyNumberFormat="0" applyProtection="0">
      <alignment horizontal="left" vertical="top"/>
    </xf>
    <xf numFmtId="312" fontId="2" fillId="0" borderId="2853" applyNumberFormat="0" applyAlignment="0" applyProtection="0"/>
    <xf numFmtId="10" fontId="12" fillId="3" borderId="2828" applyNumberFormat="0" applyFont="0" applyFill="0" applyBorder="0" applyAlignment="0">
      <protection locked="0"/>
    </xf>
    <xf numFmtId="312" fontId="214" fillId="0" borderId="2854" applyNumberFormat="0" applyFont="0" applyFill="0" applyAlignment="0" applyProtection="0"/>
    <xf numFmtId="188" fontId="25" fillId="0" borderId="2830" applyFont="0" applyFill="0" applyBorder="0" applyAlignment="0" applyProtection="0">
      <alignment horizontal="center"/>
    </xf>
    <xf numFmtId="186" fontId="140" fillId="3" borderId="2840">
      <alignment horizontal="center" vertical="center"/>
    </xf>
    <xf numFmtId="0" fontId="25" fillId="10" borderId="2262" applyNumberFormat="0" applyProtection="0">
      <alignment horizontal="left" vertical="top"/>
    </xf>
    <xf numFmtId="190" fontId="210" fillId="0" borderId="2313" applyNumberFormat="0" applyFill="0" applyBorder="0" applyAlignment="0">
      <protection locked="0"/>
    </xf>
    <xf numFmtId="0" fontId="75" fillId="0" borderId="3256" applyNumberFormat="0" applyFont="0" applyFill="0" applyAlignment="0" applyProtection="0"/>
    <xf numFmtId="254" fontId="240" fillId="0" borderId="2301" applyBorder="0" applyProtection="0">
      <alignment horizontal="right" vertical="center"/>
    </xf>
    <xf numFmtId="0" fontId="210" fillId="0" borderId="2872" applyNumberFormat="0" applyFill="0" applyBorder="0" applyAlignment="0">
      <protection locked="0"/>
    </xf>
    <xf numFmtId="312" fontId="25" fillId="10" borderId="2856" applyNumberFormat="0" applyProtection="0">
      <alignment horizontal="left" vertical="top"/>
    </xf>
    <xf numFmtId="246" fontId="250" fillId="0" borderId="2265" applyFill="0" applyProtection="0">
      <alignment horizontal="center"/>
    </xf>
    <xf numFmtId="246" fontId="249" fillId="0" borderId="2265" applyFill="0" applyProtection="0">
      <alignment horizontal="center"/>
    </xf>
    <xf numFmtId="0" fontId="241" fillId="94" borderId="2265" applyBorder="0" applyProtection="0">
      <alignment horizontal="centerContinuous" vertical="center"/>
    </xf>
    <xf numFmtId="254" fontId="240" fillId="0" borderId="2265" applyBorder="0" applyProtection="0">
      <alignment horizontal="right" vertical="center"/>
    </xf>
    <xf numFmtId="0" fontId="25" fillId="10" borderId="4724" applyNumberFormat="0" applyProtection="0">
      <alignment horizontal="left" vertical="top"/>
    </xf>
    <xf numFmtId="190" fontId="74" fillId="0" borderId="2814" applyFont="0" applyFill="0" applyBorder="0" applyAlignment="0" applyProtection="0">
      <alignment horizontal="center"/>
    </xf>
    <xf numFmtId="0" fontId="25" fillId="10" borderId="2826" applyNumberFormat="0" applyProtection="0">
      <alignment horizontal="left" vertical="top"/>
    </xf>
    <xf numFmtId="0" fontId="74" fillId="0" borderId="2814" applyFont="0" applyFill="0" applyBorder="0" applyAlignment="0" applyProtection="0">
      <alignment horizontal="center"/>
    </xf>
    <xf numFmtId="0" fontId="165" fillId="0" borderId="2860" applyFill="0" applyProtection="0">
      <alignment horizontal="center"/>
    </xf>
    <xf numFmtId="222" fontId="79" fillId="0" borderId="2847" applyBorder="0"/>
    <xf numFmtId="0" fontId="210" fillId="0" borderId="2265" applyNumberFormat="0" applyFill="0" applyBorder="0" applyAlignment="0">
      <protection locked="0"/>
    </xf>
    <xf numFmtId="264" fontId="12" fillId="14" borderId="2265" applyFont="0" applyFill="0" applyBorder="0" applyAlignment="0" applyProtection="0">
      <alignment horizontal="right"/>
    </xf>
    <xf numFmtId="190" fontId="25" fillId="10" borderId="2826" applyNumberFormat="0" applyProtection="0">
      <alignment horizontal="left" vertical="top"/>
    </xf>
    <xf numFmtId="0" fontId="166" fillId="0" borderId="2265">
      <alignment horizontal="center"/>
    </xf>
    <xf numFmtId="0" fontId="165" fillId="0" borderId="2265" applyFill="0" applyProtection="0">
      <alignment horizontal="center"/>
    </xf>
    <xf numFmtId="246" fontId="250" fillId="0" borderId="2253" applyFill="0" applyProtection="0">
      <alignment horizontal="center"/>
    </xf>
    <xf numFmtId="0" fontId="25" fillId="10" borderId="2272" applyNumberFormat="0" applyProtection="0">
      <alignment horizontal="left" vertical="top"/>
    </xf>
    <xf numFmtId="0" fontId="165" fillId="0" borderId="2872" applyFill="0" applyProtection="0">
      <alignment horizontal="center"/>
    </xf>
    <xf numFmtId="186" fontId="146" fillId="3" borderId="2265" applyBorder="0">
      <alignment horizontal="left" vertical="center"/>
    </xf>
    <xf numFmtId="180" fontId="9" fillId="3" borderId="2265">
      <alignment horizontal="right" vertical="center"/>
    </xf>
    <xf numFmtId="192" fontId="9" fillId="3" borderId="2265">
      <alignment horizontal="right" vertical="center"/>
    </xf>
    <xf numFmtId="312" fontId="25" fillId="10" borderId="2816" applyNumberFormat="0" applyProtection="0">
      <alignment horizontal="center" vertical="top"/>
    </xf>
    <xf numFmtId="248" fontId="46" fillId="0" borderId="2872"/>
    <xf numFmtId="0" fontId="12" fillId="0" borderId="2265" applyNumberFormat="0" applyFill="0" applyBorder="0" applyAlignment="0" applyProtection="0">
      <alignment horizontal="center"/>
    </xf>
    <xf numFmtId="0" fontId="113" fillId="0" borderId="2265" applyNumberFormat="0" applyFill="0" applyAlignment="0" applyProtection="0"/>
    <xf numFmtId="0" fontId="25" fillId="10" borderId="2299" applyNumberFormat="0" applyProtection="0">
      <alignment horizontal="left" vertical="top"/>
    </xf>
    <xf numFmtId="246" fontId="250" fillId="0" borderId="2313" applyFill="0" applyProtection="0">
      <alignment horizontal="center"/>
    </xf>
    <xf numFmtId="222" fontId="79" fillId="0" borderId="2264" applyBorder="0"/>
    <xf numFmtId="0" fontId="101" fillId="0" borderId="2265" applyBorder="0"/>
    <xf numFmtId="312" fontId="25" fillId="10" borderId="2855" applyNumberFormat="0" applyProtection="0">
      <alignment horizontal="left" vertical="top"/>
    </xf>
    <xf numFmtId="186" fontId="146" fillId="3" borderId="3183" applyBorder="0">
      <alignment horizontal="left" vertical="center"/>
    </xf>
    <xf numFmtId="248" fontId="46" fillId="0" borderId="2265"/>
    <xf numFmtId="222" fontId="79" fillId="0" borderId="3206" applyBorder="0"/>
    <xf numFmtId="312" fontId="25" fillId="10" borderId="2857" applyNumberFormat="0" applyProtection="0">
      <alignment horizontal="left" vertical="top"/>
    </xf>
    <xf numFmtId="1" fontId="74" fillId="0" borderId="2830" applyFill="0" applyBorder="0" applyProtection="0">
      <alignment horizontal="right"/>
    </xf>
    <xf numFmtId="246" fontId="250" fillId="0" borderId="3183" applyFill="0" applyProtection="0">
      <alignment horizontal="center"/>
    </xf>
    <xf numFmtId="312" fontId="25" fillId="10" borderId="2858" applyNumberFormat="0" applyProtection="0">
      <alignment horizontal="left" vertical="top"/>
    </xf>
    <xf numFmtId="0" fontId="113" fillId="0" borderId="2872" applyNumberFormat="0" applyFill="0" applyAlignment="0" applyProtection="0"/>
    <xf numFmtId="0" fontId="101" fillId="0" borderId="2265" applyBorder="0"/>
    <xf numFmtId="222" fontId="79" fillId="0" borderId="2264" applyBorder="0"/>
    <xf numFmtId="0" fontId="113" fillId="0" borderId="2265" applyNumberFormat="0" applyFill="0" applyAlignment="0" applyProtection="0"/>
    <xf numFmtId="0" fontId="75" fillId="0" borderId="2266" applyNumberFormat="0" applyFont="0" applyFill="0" applyAlignment="0" applyProtection="0"/>
    <xf numFmtId="0" fontId="12" fillId="0" borderId="2265" applyNumberFormat="0" applyFill="0" applyBorder="0" applyAlignment="0" applyProtection="0">
      <alignment horizontal="center"/>
    </xf>
    <xf numFmtId="248" fontId="46" fillId="0" borderId="2265"/>
    <xf numFmtId="192" fontId="9" fillId="3" borderId="2265">
      <alignment horizontal="right" vertical="center"/>
    </xf>
    <xf numFmtId="180" fontId="9" fillId="3" borderId="2265">
      <alignment horizontal="right" vertical="center"/>
    </xf>
    <xf numFmtId="186" fontId="146" fillId="3" borderId="2265" applyBorder="0">
      <alignment horizontal="left" vertical="center"/>
    </xf>
    <xf numFmtId="186" fontId="146" fillId="3" borderId="2268">
      <alignment horizontal="left"/>
    </xf>
    <xf numFmtId="186" fontId="140" fillId="3" borderId="2269">
      <alignment horizontal="center" vertical="center"/>
    </xf>
    <xf numFmtId="0" fontId="165" fillId="0" borderId="2265" applyFill="0" applyProtection="0">
      <alignment horizontal="center"/>
    </xf>
    <xf numFmtId="0" fontId="166" fillId="0" borderId="2265">
      <alignment horizontal="center"/>
    </xf>
    <xf numFmtId="264" fontId="12" fillId="14" borderId="2265" applyFont="0" applyFill="0" applyBorder="0" applyAlignment="0" applyProtection="0">
      <alignment horizontal="right"/>
    </xf>
    <xf numFmtId="0" fontId="210" fillId="0" borderId="2265" applyNumberFormat="0" applyFill="0" applyBorder="0" applyAlignment="0">
      <protection locked="0"/>
    </xf>
    <xf numFmtId="0" fontId="2" fillId="0" borderId="2270" applyNumberFormat="0" applyAlignment="0" applyProtection="0"/>
    <xf numFmtId="0" fontId="214" fillId="0" borderId="2271" applyNumberFormat="0" applyFont="0" applyFill="0" applyAlignment="0" applyProtection="0"/>
    <xf numFmtId="0" fontId="25" fillId="10" borderId="2272" applyNumberFormat="0" applyProtection="0">
      <alignment horizontal="left" vertical="top"/>
    </xf>
    <xf numFmtId="0" fontId="25" fillId="10" borderId="2273" applyNumberFormat="0" applyProtection="0">
      <alignment horizontal="left" vertical="top"/>
    </xf>
    <xf numFmtId="0" fontId="25" fillId="10" borderId="2274" applyNumberFormat="0" applyProtection="0">
      <alignment horizontal="left" vertical="top"/>
    </xf>
    <xf numFmtId="0" fontId="25" fillId="10" borderId="2275" applyNumberFormat="0" applyProtection="0">
      <alignment horizontal="left" vertical="top"/>
    </xf>
    <xf numFmtId="0" fontId="25" fillId="10" borderId="2272" applyNumberFormat="0" applyProtection="0">
      <alignment horizontal="left" vertical="top"/>
    </xf>
    <xf numFmtId="0" fontId="25" fillId="10" borderId="2273" applyNumberFormat="0" applyProtection="0">
      <alignment horizontal="left" vertical="top"/>
    </xf>
    <xf numFmtId="0" fontId="25" fillId="10" borderId="2274" applyNumberFormat="0" applyProtection="0">
      <alignment horizontal="left" vertical="top"/>
    </xf>
    <xf numFmtId="0" fontId="25" fillId="10" borderId="2275" applyNumberFormat="0" applyProtection="0">
      <alignment horizontal="left" vertical="top"/>
    </xf>
    <xf numFmtId="254" fontId="240" fillId="0" borderId="2265" applyBorder="0" applyProtection="0">
      <alignment horizontal="right" vertical="center"/>
    </xf>
    <xf numFmtId="0" fontId="241" fillId="94" borderId="2265" applyBorder="0" applyProtection="0">
      <alignment horizontal="centerContinuous" vertical="center"/>
    </xf>
    <xf numFmtId="246" fontId="249" fillId="0" borderId="2265" applyFill="0" applyProtection="0">
      <alignment horizontal="center"/>
    </xf>
    <xf numFmtId="246" fontId="250" fillId="0" borderId="2265" applyFill="0" applyProtection="0">
      <alignment horizontal="center"/>
    </xf>
    <xf numFmtId="0" fontId="25" fillId="10" borderId="3262" applyNumberFormat="0" applyProtection="0">
      <alignment horizontal="left" vertical="top"/>
    </xf>
    <xf numFmtId="312" fontId="241" fillId="94" borderId="2872" applyBorder="0" applyProtection="0">
      <alignment horizontal="centerContinuous" vertical="center"/>
    </xf>
    <xf numFmtId="0" fontId="25" fillId="10" borderId="2261" applyNumberFormat="0" applyProtection="0">
      <alignment horizontal="left" vertical="top"/>
    </xf>
    <xf numFmtId="312" fontId="25" fillId="10" borderId="2296" applyNumberFormat="0" applyProtection="0">
      <alignment horizontal="left" vertical="top"/>
    </xf>
    <xf numFmtId="293" fontId="234" fillId="10" borderId="2816" applyFont="0" applyProtection="0"/>
    <xf numFmtId="0" fontId="276" fillId="54" borderId="2832" applyNumberFormat="0" applyAlignment="0" applyProtection="0"/>
    <xf numFmtId="0" fontId="113" fillId="0" borderId="2803" applyNumberFormat="0" applyFill="0" applyAlignment="0" applyProtection="0"/>
    <xf numFmtId="0" fontId="210" fillId="0" borderId="2803" applyNumberFormat="0" applyFill="0" applyBorder="0" applyAlignment="0">
      <protection locked="0"/>
    </xf>
    <xf numFmtId="0" fontId="165" fillId="0" borderId="2803" applyFill="0" applyProtection="0">
      <alignment horizontal="center"/>
    </xf>
    <xf numFmtId="0" fontId="75" fillId="0" borderId="2452" applyNumberFormat="0" applyFont="0" applyFill="0" applyAlignment="0" applyProtection="0"/>
    <xf numFmtId="0" fontId="25" fillId="10" borderId="2882" applyNumberFormat="0" applyProtection="0">
      <alignment horizontal="left" vertical="top"/>
    </xf>
    <xf numFmtId="10" fontId="12" fillId="3" borderId="2828" applyNumberFormat="0" applyFont="0" applyFill="0" applyBorder="0" applyAlignment="0">
      <protection locked="0"/>
    </xf>
    <xf numFmtId="293" fontId="234" fillId="10" borderId="2816" applyFont="0" applyProtection="0"/>
    <xf numFmtId="0" fontId="113" fillId="0" borderId="2872" applyNumberFormat="0" applyFill="0" applyAlignment="0" applyProtection="0"/>
    <xf numFmtId="190" fontId="12" fillId="0" borderId="2815" applyNumberFormat="0" applyFill="0" applyBorder="0" applyAlignment="0" applyProtection="0"/>
    <xf numFmtId="0" fontId="241" fillId="94" borderId="2872" applyBorder="0" applyProtection="0">
      <alignment horizontal="centerContinuous" vertical="center"/>
    </xf>
    <xf numFmtId="312" fontId="48" fillId="0" borderId="2815" applyNumberFormat="0" applyFill="0" applyAlignment="0" applyProtection="0"/>
    <xf numFmtId="190" fontId="101" fillId="0" borderId="2265" applyBorder="0"/>
    <xf numFmtId="9" fontId="12" fillId="60" borderId="2820" applyFont="0" applyFill="0" applyBorder="0" applyAlignment="0" applyProtection="0"/>
    <xf numFmtId="246" fontId="249" fillId="0" borderId="2313" applyFill="0" applyProtection="0">
      <alignment horizontal="center"/>
    </xf>
    <xf numFmtId="0" fontId="25" fillId="10" borderId="2298" applyNumberFormat="0" applyProtection="0">
      <alignment horizontal="left" vertical="top"/>
    </xf>
    <xf numFmtId="0" fontId="166" fillId="0" borderId="2313">
      <alignment horizontal="center"/>
    </xf>
    <xf numFmtId="186" fontId="146" fillId="3" borderId="2313" applyBorder="0">
      <alignment horizontal="left" vertical="center"/>
    </xf>
    <xf numFmtId="4" fontId="12" fillId="60" borderId="2820" applyFont="0" applyFill="0" applyBorder="0" applyAlignment="0" applyProtection="0"/>
    <xf numFmtId="190" fontId="113" fillId="0" borderId="2265" applyNumberFormat="0" applyFill="0" applyAlignment="0" applyProtection="0"/>
    <xf numFmtId="190" fontId="75" fillId="0" borderId="2242" applyNumberFormat="0" applyFont="0" applyFill="0" applyAlignment="0" applyProtection="0"/>
    <xf numFmtId="190" fontId="241" fillId="94" borderId="2313" applyBorder="0" applyProtection="0">
      <alignment horizontal="centerContinuous" vertical="center"/>
    </xf>
    <xf numFmtId="190" fontId="25" fillId="10" borderId="2297" applyNumberFormat="0" applyProtection="0">
      <alignment horizontal="left" vertical="top"/>
    </xf>
    <xf numFmtId="190" fontId="12" fillId="0" borderId="2265" applyNumberFormat="0" applyFill="0" applyBorder="0" applyAlignment="0" applyProtection="0">
      <alignment horizontal="center"/>
    </xf>
    <xf numFmtId="180" fontId="9" fillId="3" borderId="2803">
      <alignment horizontal="right" vertical="center"/>
    </xf>
    <xf numFmtId="186" fontId="146" fillId="3" borderId="2454">
      <alignment horizontal="left"/>
    </xf>
    <xf numFmtId="0" fontId="25" fillId="10" borderId="2857" applyNumberFormat="0" applyProtection="0">
      <alignment horizontal="left" vertical="top"/>
    </xf>
    <xf numFmtId="190" fontId="75" fillId="0" borderId="2290" applyNumberFormat="0" applyFont="0" applyFill="0" applyAlignment="0" applyProtection="0"/>
    <xf numFmtId="190" fontId="78" fillId="14" borderId="2255" applyFont="0" applyFill="0" applyBorder="0" applyAlignment="0" applyProtection="0"/>
    <xf numFmtId="312" fontId="25" fillId="10" borderId="2856" applyNumberFormat="0" applyProtection="0">
      <alignment horizontal="left" vertical="top"/>
    </xf>
    <xf numFmtId="254" fontId="240" fillId="0" borderId="2313" applyBorder="0" applyProtection="0">
      <alignment horizontal="right" vertical="center"/>
    </xf>
    <xf numFmtId="246" fontId="250" fillId="0" borderId="2313" applyFill="0" applyProtection="0">
      <alignment horizontal="center"/>
    </xf>
    <xf numFmtId="0" fontId="12" fillId="10" borderId="2816" applyNumberFormat="0" applyFont="0" applyAlignment="0" applyProtection="0"/>
    <xf numFmtId="0" fontId="165" fillId="0" borderId="2301" applyFill="0" applyProtection="0">
      <alignment horizontal="center"/>
    </xf>
    <xf numFmtId="248" fontId="46" fillId="0" borderId="2301"/>
    <xf numFmtId="222" fontId="79" fillId="0" borderId="2300" applyBorder="0"/>
    <xf numFmtId="186" fontId="140" fillId="3" borderId="2293">
      <alignment horizontal="center" vertical="center"/>
    </xf>
    <xf numFmtId="0" fontId="25" fillId="10" borderId="2296" applyNumberFormat="0" applyProtection="0">
      <alignment horizontal="left" vertical="top"/>
    </xf>
    <xf numFmtId="0" fontId="25" fillId="10" borderId="2299" applyNumberFormat="0" applyProtection="0">
      <alignment horizontal="left" vertical="top"/>
    </xf>
    <xf numFmtId="246" fontId="250" fillId="0" borderId="2277" applyFill="0" applyProtection="0">
      <alignment horizontal="center"/>
    </xf>
    <xf numFmtId="254" fontId="240" fillId="0" borderId="2277" applyBorder="0" applyProtection="0">
      <alignment horizontal="right" vertical="center"/>
    </xf>
    <xf numFmtId="0" fontId="166" fillId="0" borderId="2277">
      <alignment horizontal="center"/>
    </xf>
    <xf numFmtId="180" fontId="9" fillId="3" borderId="2277">
      <alignment horizontal="right" vertical="center"/>
    </xf>
    <xf numFmtId="0" fontId="12" fillId="0" borderId="2277" applyNumberFormat="0" applyFill="0" applyBorder="0" applyAlignment="0" applyProtection="0">
      <alignment horizontal="center"/>
    </xf>
    <xf numFmtId="0" fontId="101" fillId="0" borderId="2277" applyBorder="0"/>
    <xf numFmtId="186" fontId="146" fillId="3" borderId="2268">
      <alignment horizontal="left"/>
    </xf>
    <xf numFmtId="0" fontId="25" fillId="10" borderId="2273" applyNumberFormat="0" applyProtection="0">
      <alignment horizontal="left" vertical="top"/>
    </xf>
    <xf numFmtId="246" fontId="249" fillId="0" borderId="2253" applyFill="0" applyProtection="0">
      <alignment horizontal="center"/>
    </xf>
    <xf numFmtId="0" fontId="165" fillId="0" borderId="2253" applyFill="0" applyProtection="0">
      <alignment horizontal="center"/>
    </xf>
    <xf numFmtId="0" fontId="214" fillId="0" borderId="2259" applyNumberFormat="0" applyFont="0" applyFill="0" applyAlignment="0" applyProtection="0"/>
    <xf numFmtId="0" fontId="78" fillId="14" borderId="2255" applyFont="0" applyFill="0" applyBorder="0" applyAlignment="0" applyProtection="0"/>
    <xf numFmtId="0" fontId="2" fillId="0" borderId="2258" applyNumberFormat="0" applyAlignment="0" applyProtection="0"/>
    <xf numFmtId="0" fontId="75" fillId="0" borderId="2254" applyNumberFormat="0" applyFont="0" applyFill="0" applyAlignment="0" applyProtection="0"/>
    <xf numFmtId="0" fontId="12" fillId="0" borderId="2253" applyNumberFormat="0" applyFill="0" applyBorder="0" applyAlignment="0" applyProtection="0">
      <alignment horizontal="center"/>
    </xf>
    <xf numFmtId="186" fontId="146" fillId="3" borderId="2253" applyBorder="0">
      <alignment horizontal="left" vertical="center"/>
    </xf>
    <xf numFmtId="190" fontId="25" fillId="10" borderId="2855" applyNumberFormat="0" applyProtection="0">
      <alignment horizontal="left" vertical="top"/>
    </xf>
    <xf numFmtId="190" fontId="165" fillId="0" borderId="2265" applyFill="0" applyProtection="0">
      <alignment horizontal="center"/>
    </xf>
    <xf numFmtId="190" fontId="166" fillId="0" borderId="2265">
      <alignment horizontal="center"/>
    </xf>
    <xf numFmtId="248" fontId="46" fillId="0" borderId="2803"/>
    <xf numFmtId="0" fontId="25" fillId="10" borderId="2260" applyNumberFormat="0" applyProtection="0">
      <alignment horizontal="left" vertical="top"/>
    </xf>
    <xf numFmtId="0" fontId="25" fillId="10" borderId="2263" applyNumberFormat="0" applyProtection="0">
      <alignment horizontal="left" vertical="top"/>
    </xf>
    <xf numFmtId="1" fontId="154" fillId="65" borderId="2525" applyNumberFormat="0" applyBorder="0" applyAlignment="0">
      <alignment horizontal="centerContinuous" vertical="center"/>
      <protection locked="0"/>
    </xf>
    <xf numFmtId="222" fontId="79" fillId="0" borderId="2264" applyBorder="0"/>
    <xf numFmtId="0" fontId="25" fillId="10" borderId="2879" applyNumberFormat="0" applyProtection="0">
      <alignment horizontal="left" vertical="top"/>
    </xf>
    <xf numFmtId="0" fontId="101" fillId="0" borderId="2253" applyBorder="0"/>
    <xf numFmtId="0" fontId="12" fillId="0" borderId="2253" applyNumberFormat="0" applyFill="0" applyBorder="0" applyAlignment="0" applyProtection="0">
      <alignment horizontal="center"/>
    </xf>
    <xf numFmtId="0" fontId="165" fillId="0" borderId="2253" applyFill="0" applyProtection="0">
      <alignment horizontal="center"/>
    </xf>
    <xf numFmtId="0" fontId="214" fillId="0" borderId="2259" applyNumberFormat="0" applyFont="0" applyFill="0" applyAlignment="0" applyProtection="0"/>
    <xf numFmtId="0" fontId="25" fillId="10" borderId="2262" applyNumberFormat="0" applyProtection="0">
      <alignment horizontal="left" vertical="top"/>
    </xf>
    <xf numFmtId="0" fontId="241" fillId="94" borderId="2289" applyBorder="0" applyProtection="0">
      <alignment horizontal="centerContinuous" vertical="center"/>
    </xf>
    <xf numFmtId="0" fontId="165" fillId="0" borderId="2265" applyFill="0" applyProtection="0">
      <alignment horizontal="center"/>
    </xf>
    <xf numFmtId="0" fontId="25" fillId="10" borderId="2311" applyNumberFormat="0" applyProtection="0">
      <alignment horizontal="left" vertical="top"/>
    </xf>
    <xf numFmtId="186" fontId="146" fillId="3" borderId="2803" applyBorder="0">
      <alignment horizontal="left" vertical="center"/>
    </xf>
    <xf numFmtId="0" fontId="241" fillId="94" borderId="2253" applyBorder="0" applyProtection="0">
      <alignment horizontal="centerContinuous" vertical="center"/>
    </xf>
    <xf numFmtId="0" fontId="113" fillId="0" borderId="2289" applyNumberFormat="0" applyFill="0" applyAlignment="0" applyProtection="0"/>
    <xf numFmtId="0" fontId="165" fillId="0" borderId="2253" applyFill="0" applyProtection="0">
      <alignment horizontal="center"/>
    </xf>
    <xf numFmtId="0" fontId="25" fillId="10" borderId="2310" applyNumberFormat="0" applyProtection="0">
      <alignment horizontal="left" vertical="top"/>
    </xf>
    <xf numFmtId="293" fontId="234" fillId="10" borderId="2816" applyFont="0" applyProtection="0"/>
    <xf numFmtId="10" fontId="12" fillId="3" borderId="2828" applyNumberFormat="0" applyFont="0" applyFill="0" applyBorder="0" applyAlignment="0">
      <protection locked="0"/>
    </xf>
    <xf numFmtId="0" fontId="25" fillId="10" borderId="2263" applyNumberFormat="0" applyProtection="0">
      <alignment horizontal="left" vertical="top"/>
    </xf>
    <xf numFmtId="0" fontId="25" fillId="10" borderId="2262" applyNumberFormat="0" applyProtection="0">
      <alignment horizontal="left" vertical="top"/>
    </xf>
    <xf numFmtId="180" fontId="9" fillId="3" borderId="2803">
      <alignment horizontal="right" vertical="center"/>
    </xf>
    <xf numFmtId="0" fontId="241" fillId="94" borderId="2872" applyBorder="0" applyProtection="0">
      <alignment horizontal="centerContinuous" vertical="center"/>
    </xf>
    <xf numFmtId="190" fontId="210" fillId="0" borderId="2265" applyNumberFormat="0" applyFill="0" applyBorder="0" applyAlignment="0">
      <protection locked="0"/>
    </xf>
    <xf numFmtId="190" fontId="25" fillId="10" borderId="2822" applyNumberFormat="0" applyProtection="0">
      <alignment horizontal="left" vertical="top"/>
    </xf>
    <xf numFmtId="190" fontId="2" fillId="0" borderId="2246" applyNumberFormat="0" applyAlignment="0" applyProtection="0"/>
    <xf numFmtId="0" fontId="210" fillId="0" borderId="2803" applyNumberFormat="0" applyFill="0" applyBorder="0" applyAlignment="0">
      <protection locked="0"/>
    </xf>
    <xf numFmtId="190" fontId="136" fillId="84" borderId="2818" applyNumberFormat="0" applyProtection="0">
      <alignment horizontal="left" vertical="top" indent="1"/>
    </xf>
    <xf numFmtId="0" fontId="166" fillId="0" borderId="2836">
      <alignment horizontal="center"/>
    </xf>
    <xf numFmtId="190" fontId="214" fillId="0" borderId="2247" applyNumberFormat="0" applyFont="0" applyFill="0" applyAlignment="0" applyProtection="0"/>
    <xf numFmtId="0" fontId="135" fillId="0" borderId="2816"/>
    <xf numFmtId="0" fontId="276" fillId="54" borderId="2832" applyNumberFormat="0" applyAlignment="0" applyProtection="0"/>
    <xf numFmtId="222" fontId="79" fillId="0" borderId="2622" applyBorder="0"/>
    <xf numFmtId="0" fontId="25" fillId="10" borderId="2461" applyNumberFormat="0" applyProtection="0">
      <alignment horizontal="left" vertical="top"/>
    </xf>
    <xf numFmtId="0" fontId="101" fillId="0" borderId="2803" applyBorder="0"/>
    <xf numFmtId="0" fontId="210" fillId="0" borderId="2803" applyNumberFormat="0" applyFill="0" applyBorder="0" applyAlignment="0">
      <protection locked="0"/>
    </xf>
    <xf numFmtId="0" fontId="25" fillId="10" borderId="2810" applyNumberFormat="0" applyProtection="0">
      <alignment horizontal="left" vertical="top"/>
    </xf>
    <xf numFmtId="222" fontId="79" fillId="0" borderId="2835" applyBorder="0"/>
    <xf numFmtId="248" fontId="46" fillId="0" borderId="2836"/>
    <xf numFmtId="264" fontId="12" fillId="14" borderId="2836" applyFont="0" applyFill="0" applyBorder="0" applyAlignment="0" applyProtection="0">
      <alignment horizontal="right"/>
    </xf>
    <xf numFmtId="0" fontId="25" fillId="10" borderId="2856" applyNumberFormat="0" applyProtection="0">
      <alignment horizontal="left" vertical="top"/>
    </xf>
    <xf numFmtId="0" fontId="75" fillId="0" borderId="2873" applyNumberFormat="0" applyFont="0" applyFill="0" applyAlignment="0" applyProtection="0"/>
    <xf numFmtId="0" fontId="25" fillId="10" borderId="2881" applyNumberFormat="0" applyProtection="0">
      <alignment horizontal="left" vertical="top"/>
    </xf>
    <xf numFmtId="190" fontId="48" fillId="0" borderId="2814" applyFont="0" applyFill="0" applyBorder="0" applyAlignment="0" applyProtection="0">
      <alignment horizontal="center"/>
    </xf>
    <xf numFmtId="190" fontId="25" fillId="10" borderId="2248" applyNumberFormat="0" applyProtection="0">
      <alignment horizontal="left" vertical="top"/>
    </xf>
    <xf numFmtId="190" fontId="25" fillId="10" borderId="2249" applyNumberFormat="0" applyProtection="0">
      <alignment horizontal="left" vertical="top"/>
    </xf>
    <xf numFmtId="190" fontId="25" fillId="10" borderId="2250" applyNumberFormat="0" applyProtection="0">
      <alignment horizontal="left" vertical="top"/>
    </xf>
    <xf numFmtId="190" fontId="25" fillId="10" borderId="2823" applyNumberFormat="0" applyProtection="0">
      <alignment horizontal="left" vertical="top"/>
    </xf>
    <xf numFmtId="190" fontId="25" fillId="10" borderId="2251" applyNumberFormat="0" applyProtection="0">
      <alignment horizontal="left" vertical="top"/>
    </xf>
    <xf numFmtId="0" fontId="2" fillId="0" borderId="2853" applyNumberFormat="0" applyAlignment="0" applyProtection="0"/>
    <xf numFmtId="190" fontId="241" fillId="94" borderId="2265" applyBorder="0" applyProtection="0">
      <alignment horizontal="centerContinuous" vertical="center"/>
    </xf>
    <xf numFmtId="312" fontId="12" fillId="52" borderId="2818" applyNumberFormat="0" applyProtection="0">
      <alignment horizontal="left" vertical="center" indent="1"/>
    </xf>
    <xf numFmtId="312" fontId="25" fillId="10" borderId="2856" applyNumberFormat="0" applyProtection="0">
      <alignment horizontal="left" vertical="top"/>
    </xf>
    <xf numFmtId="312" fontId="25" fillId="10" borderId="2825" applyNumberFormat="0" applyProtection="0">
      <alignment horizontal="left" vertical="top"/>
    </xf>
    <xf numFmtId="246" fontId="296" fillId="0" borderId="2872" applyFill="0" applyProtection="0">
      <alignment horizontal="center"/>
    </xf>
    <xf numFmtId="312" fontId="12" fillId="0" borderId="2815" applyNumberFormat="0" applyFill="0" applyBorder="0" applyAlignment="0" applyProtection="0"/>
    <xf numFmtId="264" fontId="12" fillId="14" borderId="2695" applyFont="0" applyFill="0" applyBorder="0" applyAlignment="0" applyProtection="0">
      <alignment horizontal="right"/>
    </xf>
    <xf numFmtId="0" fontId="75" fillId="0" borderId="2696" applyNumberFormat="0" applyFont="0" applyFill="0" applyAlignment="0" applyProtection="0"/>
    <xf numFmtId="312" fontId="165" fillId="0" borderId="2872" applyFill="0" applyProtection="0">
      <alignment horizontal="center"/>
    </xf>
    <xf numFmtId="0" fontId="25" fillId="10" borderId="2262" applyNumberFormat="0" applyProtection="0">
      <alignment horizontal="left" vertical="top"/>
    </xf>
    <xf numFmtId="312" fontId="12" fillId="84" borderId="2818" applyNumberFormat="0" applyProtection="0">
      <alignment horizontal="left" vertical="center" indent="1"/>
    </xf>
    <xf numFmtId="180" fontId="9" fillId="3" borderId="2289">
      <alignment horizontal="right" vertical="center"/>
    </xf>
    <xf numFmtId="222" fontId="79" fillId="0" borderId="2264" applyBorder="0"/>
    <xf numFmtId="0" fontId="101" fillId="0" borderId="2265" applyBorder="0"/>
    <xf numFmtId="222" fontId="79" fillId="0" borderId="2264" applyBorder="0"/>
    <xf numFmtId="0" fontId="113" fillId="0" borderId="2265" applyNumberFormat="0" applyFill="0" applyAlignment="0" applyProtection="0"/>
    <xf numFmtId="0" fontId="75" fillId="0" borderId="2242" applyNumberFormat="0" applyFont="0" applyFill="0" applyAlignment="0" applyProtection="0"/>
    <xf numFmtId="0" fontId="12" fillId="0" borderId="2265" applyNumberFormat="0" applyFill="0" applyBorder="0" applyAlignment="0" applyProtection="0">
      <alignment horizontal="center"/>
    </xf>
    <xf numFmtId="248" fontId="46" fillId="0" borderId="2265"/>
    <xf numFmtId="192" fontId="9" fillId="3" borderId="2265">
      <alignment horizontal="right" vertical="center"/>
    </xf>
    <xf numFmtId="180" fontId="9" fillId="3" borderId="2265">
      <alignment horizontal="right" vertical="center"/>
    </xf>
    <xf numFmtId="186" fontId="146" fillId="3" borderId="2265" applyBorder="0">
      <alignment horizontal="left" vertical="center"/>
    </xf>
    <xf numFmtId="186" fontId="146" fillId="3" borderId="2244">
      <alignment horizontal="left"/>
    </xf>
    <xf numFmtId="186" fontId="140" fillId="3" borderId="2245">
      <alignment horizontal="center" vertical="center"/>
    </xf>
    <xf numFmtId="0" fontId="165" fillId="0" borderId="2265" applyFill="0" applyProtection="0">
      <alignment horizontal="center"/>
    </xf>
    <xf numFmtId="0" fontId="166" fillId="0" borderId="2265">
      <alignment horizontal="center"/>
    </xf>
    <xf numFmtId="264" fontId="12" fillId="14" borderId="2265" applyFont="0" applyFill="0" applyBorder="0" applyAlignment="0" applyProtection="0">
      <alignment horizontal="right"/>
    </xf>
    <xf numFmtId="0" fontId="210" fillId="0" borderId="2265" applyNumberFormat="0" applyFill="0" applyBorder="0" applyAlignment="0">
      <protection locked="0"/>
    </xf>
    <xf numFmtId="0" fontId="2" fillId="0" borderId="2246" applyNumberFormat="0" applyAlignment="0" applyProtection="0"/>
    <xf numFmtId="0" fontId="214" fillId="0" borderId="2247" applyNumberFormat="0" applyFont="0" applyFill="0" applyAlignment="0" applyProtection="0"/>
    <xf numFmtId="0" fontId="25" fillId="10" borderId="2248" applyNumberFormat="0" applyProtection="0">
      <alignment horizontal="left" vertical="top"/>
    </xf>
    <xf numFmtId="0" fontId="25" fillId="10" borderId="2249" applyNumberFormat="0" applyProtection="0">
      <alignment horizontal="left" vertical="top"/>
    </xf>
    <xf numFmtId="0" fontId="25" fillId="10" borderId="2250" applyNumberFormat="0" applyProtection="0">
      <alignment horizontal="left" vertical="top"/>
    </xf>
    <xf numFmtId="0" fontId="25" fillId="10" borderId="2251" applyNumberFormat="0" applyProtection="0">
      <alignment horizontal="left" vertical="top"/>
    </xf>
    <xf numFmtId="0" fontId="25" fillId="10" borderId="2248" applyNumberFormat="0" applyProtection="0">
      <alignment horizontal="left" vertical="top"/>
    </xf>
    <xf numFmtId="0" fontId="25" fillId="10" borderId="2249" applyNumberFormat="0" applyProtection="0">
      <alignment horizontal="left" vertical="top"/>
    </xf>
    <xf numFmtId="0" fontId="25" fillId="10" borderId="2250" applyNumberFormat="0" applyProtection="0">
      <alignment horizontal="left" vertical="top"/>
    </xf>
    <xf numFmtId="0" fontId="25" fillId="10" borderId="2251" applyNumberFormat="0" applyProtection="0">
      <alignment horizontal="left" vertical="top"/>
    </xf>
    <xf numFmtId="254" fontId="240" fillId="0" borderId="2265" applyBorder="0" applyProtection="0">
      <alignment horizontal="right" vertical="center"/>
    </xf>
    <xf numFmtId="0" fontId="241" fillId="94" borderId="2265" applyBorder="0" applyProtection="0">
      <alignment horizontal="centerContinuous" vertical="center"/>
    </xf>
    <xf numFmtId="246" fontId="249" fillId="0" borderId="2265" applyFill="0" applyProtection="0">
      <alignment horizontal="center"/>
    </xf>
    <xf numFmtId="246" fontId="250" fillId="0" borderId="2265" applyFill="0" applyProtection="0">
      <alignment horizontal="center"/>
    </xf>
    <xf numFmtId="248" fontId="46" fillId="0" borderId="2313"/>
    <xf numFmtId="0" fontId="166" fillId="0" borderId="2803">
      <alignment horizontal="center"/>
    </xf>
    <xf numFmtId="0" fontId="101" fillId="0" borderId="2313" applyBorder="0"/>
    <xf numFmtId="192" fontId="9" fillId="3" borderId="2253">
      <alignment horizontal="right" vertical="center"/>
    </xf>
    <xf numFmtId="0" fontId="25" fillId="10" borderId="3264" applyNumberFormat="0" applyProtection="0">
      <alignment horizontal="left" vertical="top"/>
    </xf>
    <xf numFmtId="0" fontId="25" fillId="10" borderId="2880" applyNumberFormat="0" applyProtection="0">
      <alignment horizontal="left" vertical="top"/>
    </xf>
    <xf numFmtId="190" fontId="12" fillId="84" borderId="2818" applyNumberFormat="0" applyProtection="0">
      <alignment horizontal="left" vertical="center" indent="1"/>
    </xf>
    <xf numFmtId="190" fontId="12" fillId="0" borderId="2872" applyNumberFormat="0" applyFill="0" applyBorder="0" applyAlignment="0" applyProtection="0">
      <alignment horizontal="center"/>
    </xf>
    <xf numFmtId="0" fontId="12" fillId="84" borderId="2818" applyNumberFormat="0" applyProtection="0">
      <alignment horizontal="left" vertical="center" indent="1"/>
    </xf>
    <xf numFmtId="0" fontId="214" fillId="0" borderId="2854" applyNumberFormat="0" applyFont="0" applyFill="0" applyAlignment="0" applyProtection="0"/>
    <xf numFmtId="0" fontId="25" fillId="10" borderId="2260" applyNumberFormat="0" applyProtection="0">
      <alignment horizontal="left" vertical="top"/>
    </xf>
    <xf numFmtId="312" fontId="25" fillId="10" borderId="2298" applyNumberFormat="0" applyProtection="0">
      <alignment horizontal="left" vertical="top"/>
    </xf>
    <xf numFmtId="186" fontId="48" fillId="3" borderId="2814">
      <alignment vertical="center"/>
    </xf>
    <xf numFmtId="0" fontId="25" fillId="10" borderId="2816" applyNumberFormat="0" applyProtection="0">
      <alignment horizontal="center" vertical="top"/>
    </xf>
    <xf numFmtId="192" fontId="9" fillId="3" borderId="2803">
      <alignment horizontal="right" vertical="center"/>
    </xf>
    <xf numFmtId="246" fontId="250" fillId="0" borderId="2803" applyFill="0" applyProtection="0">
      <alignment horizontal="center"/>
    </xf>
    <xf numFmtId="192" fontId="9" fillId="3" borderId="2803">
      <alignment horizontal="right" vertical="center"/>
    </xf>
    <xf numFmtId="0" fontId="2" fillId="0" borderId="2456" applyNumberFormat="0" applyAlignment="0" applyProtection="0"/>
    <xf numFmtId="186" fontId="140" fillId="3" borderId="2876">
      <alignment horizontal="center" vertical="center"/>
    </xf>
    <xf numFmtId="0" fontId="12" fillId="0" borderId="2815" applyNumberFormat="0" applyFill="0" applyBorder="0" applyAlignment="0" applyProtection="0"/>
    <xf numFmtId="0" fontId="25" fillId="10" borderId="2816" applyNumberFormat="0" applyProtection="0">
      <alignment horizontal="center" vertical="top"/>
    </xf>
    <xf numFmtId="222" fontId="79" fillId="0" borderId="2871" applyBorder="0"/>
    <xf numFmtId="190" fontId="214" fillId="0" borderId="2854" applyNumberFormat="0" applyFont="0" applyFill="0" applyAlignment="0" applyProtection="0"/>
    <xf numFmtId="10" fontId="12" fillId="3" borderId="2828" applyNumberFormat="0" applyFont="0" applyFill="0" applyBorder="0" applyAlignment="0">
      <protection locked="0"/>
    </xf>
    <xf numFmtId="312" fontId="75" fillId="0" borderId="2290" applyNumberFormat="0" applyFont="0" applyFill="0" applyAlignment="0" applyProtection="0"/>
    <xf numFmtId="312" fontId="75" fillId="0" borderId="2849" applyNumberFormat="0" applyFont="0" applyFill="0" applyAlignment="0" applyProtection="0"/>
    <xf numFmtId="312" fontId="101" fillId="0" borderId="2265" applyBorder="0"/>
    <xf numFmtId="0" fontId="241" fillId="94" borderId="2313" applyBorder="0" applyProtection="0">
      <alignment horizontal="centerContinuous" vertical="center"/>
    </xf>
    <xf numFmtId="0" fontId="25" fillId="10" borderId="2297" applyNumberFormat="0" applyProtection="0">
      <alignment horizontal="left" vertical="top"/>
    </xf>
    <xf numFmtId="0" fontId="165" fillId="0" borderId="2313" applyFill="0" applyProtection="0">
      <alignment horizontal="center"/>
    </xf>
    <xf numFmtId="180" fontId="9" fillId="3" borderId="2313">
      <alignment horizontal="right" vertical="center"/>
    </xf>
    <xf numFmtId="169" fontId="234" fillId="10" borderId="2816" applyFont="0" applyProtection="0"/>
    <xf numFmtId="0" fontId="25" fillId="10" borderId="2827" applyNumberFormat="0" applyProtection="0">
      <alignment horizontal="left" vertical="top"/>
    </xf>
    <xf numFmtId="312" fontId="113" fillId="0" borderId="2265" applyNumberFormat="0" applyFill="0" applyAlignment="0" applyProtection="0"/>
    <xf numFmtId="312" fontId="75" fillId="0" borderId="2242" applyNumberFormat="0" applyFont="0" applyFill="0" applyAlignment="0" applyProtection="0"/>
    <xf numFmtId="0" fontId="46" fillId="0" borderId="2815" applyNumberFormat="0" applyFill="0" applyBorder="0" applyAlignment="0" applyProtection="0"/>
    <xf numFmtId="5" fontId="114" fillId="0" borderId="2814" applyAlignment="0" applyProtection="0"/>
    <xf numFmtId="190" fontId="25" fillId="10" borderId="2296" applyNumberFormat="0" applyProtection="0">
      <alignment horizontal="left" vertical="top"/>
    </xf>
    <xf numFmtId="312" fontId="12" fillId="0" borderId="2265" applyNumberFormat="0" applyFill="0" applyBorder="0" applyAlignment="0" applyProtection="0">
      <alignment horizontal="center"/>
    </xf>
    <xf numFmtId="0" fontId="288" fillId="0" borderId="2834" applyNumberFormat="0" applyFill="0" applyAlignment="0" applyProtection="0"/>
    <xf numFmtId="0" fontId="101" fillId="0" borderId="2803" applyBorder="0"/>
    <xf numFmtId="0" fontId="166" fillId="0" borderId="2803">
      <alignment horizontal="center"/>
    </xf>
    <xf numFmtId="254" fontId="240" fillId="0" borderId="2803" applyBorder="0" applyProtection="0">
      <alignment horizontal="right" vertical="center"/>
    </xf>
    <xf numFmtId="0" fontId="214" fillId="0" borderId="2457" applyNumberFormat="0" applyFont="0" applyFill="0" applyAlignment="0" applyProtection="0"/>
    <xf numFmtId="246" fontId="249" fillId="0" borderId="2872" applyFill="0" applyProtection="0">
      <alignment horizontal="center"/>
    </xf>
    <xf numFmtId="312" fontId="12" fillId="3" borderId="2816" applyNumberFormat="0" applyFont="0" applyAlignment="0" applyProtection="0"/>
    <xf numFmtId="312" fontId="25" fillId="10" borderId="2858" applyNumberFormat="0" applyProtection="0">
      <alignment horizontal="left" vertical="top"/>
    </xf>
    <xf numFmtId="246" fontId="250" fillId="0" borderId="2313" applyFill="0" applyProtection="0">
      <alignment horizontal="center"/>
    </xf>
    <xf numFmtId="0" fontId="241" fillId="94" borderId="2313" applyBorder="0" applyProtection="0">
      <alignment horizontal="centerContinuous" vertical="center"/>
    </xf>
    <xf numFmtId="0" fontId="12" fillId="0" borderId="2815" applyNumberFormat="0" applyFill="0" applyBorder="0" applyAlignment="0" applyProtection="0"/>
    <xf numFmtId="0" fontId="75" fillId="0" borderId="2314" applyNumberFormat="0" applyFont="0" applyFill="0" applyAlignment="0" applyProtection="0"/>
    <xf numFmtId="186" fontId="146" fillId="3" borderId="2301" applyBorder="0">
      <alignment horizontal="left" vertical="center"/>
    </xf>
    <xf numFmtId="0" fontId="12" fillId="0" borderId="2301" applyNumberFormat="0" applyFill="0" applyBorder="0" applyAlignment="0" applyProtection="0">
      <alignment horizontal="center"/>
    </xf>
    <xf numFmtId="0" fontId="75" fillId="0" borderId="2290" applyNumberFormat="0" applyFont="0" applyFill="0" applyAlignment="0" applyProtection="0"/>
    <xf numFmtId="0" fontId="2" fillId="0" borderId="2294" applyNumberFormat="0" applyAlignment="0" applyProtection="0"/>
    <xf numFmtId="0" fontId="25" fillId="10" borderId="2297" applyNumberFormat="0" applyProtection="0">
      <alignment horizontal="left" vertical="top"/>
    </xf>
    <xf numFmtId="0" fontId="78" fillId="14" borderId="2291" applyFont="0" applyFill="0" applyBorder="0" applyAlignment="0" applyProtection="0"/>
    <xf numFmtId="246" fontId="249" fillId="0" borderId="2277" applyFill="0" applyProtection="0">
      <alignment horizontal="center"/>
    </xf>
    <xf numFmtId="0" fontId="210" fillId="0" borderId="2277" applyNumberFormat="0" applyFill="0" applyBorder="0" applyAlignment="0">
      <protection locked="0"/>
    </xf>
    <xf numFmtId="0" fontId="165" fillId="0" borderId="2277" applyFill="0" applyProtection="0">
      <alignment horizontal="center"/>
    </xf>
    <xf numFmtId="192" fontId="9" fillId="3" borderId="2277">
      <alignment horizontal="right" vertical="center"/>
    </xf>
    <xf numFmtId="0" fontId="113" fillId="0" borderId="2277" applyNumberFormat="0" applyFill="0" applyAlignment="0" applyProtection="0"/>
    <xf numFmtId="222" fontId="79" fillId="0" borderId="2276" applyBorder="0"/>
    <xf numFmtId="186" fontId="140" fillId="3" borderId="2269">
      <alignment horizontal="center" vertical="center"/>
    </xf>
    <xf numFmtId="0" fontId="25" fillId="10" borderId="2274" applyNumberFormat="0" applyProtection="0">
      <alignment horizontal="left" vertical="top"/>
    </xf>
    <xf numFmtId="0" fontId="241" fillId="94" borderId="2253" applyBorder="0" applyProtection="0">
      <alignment horizontal="centerContinuous" vertical="center"/>
    </xf>
    <xf numFmtId="186" fontId="146" fillId="3" borderId="2253" applyBorder="0">
      <alignment horizontal="left" vertical="center"/>
    </xf>
    <xf numFmtId="0" fontId="25" fillId="10" borderId="2261" applyNumberFormat="0" applyProtection="0">
      <alignment horizontal="left" vertical="top"/>
    </xf>
    <xf numFmtId="0" fontId="2" fillId="0" borderId="2258" applyNumberFormat="0" applyAlignment="0" applyProtection="0"/>
    <xf numFmtId="186" fontId="140" fillId="3" borderId="2257">
      <alignment horizontal="center" vertical="center"/>
    </xf>
    <xf numFmtId="222" fontId="79" fillId="0" borderId="2264" applyBorder="0"/>
    <xf numFmtId="248" fontId="46" fillId="0" borderId="2253"/>
    <xf numFmtId="0" fontId="165" fillId="0" borderId="2253" applyFill="0" applyProtection="0">
      <alignment horizontal="center"/>
    </xf>
    <xf numFmtId="312" fontId="165" fillId="0" borderId="2265" applyFill="0" applyProtection="0">
      <alignment horizontal="center"/>
    </xf>
    <xf numFmtId="312" fontId="242" fillId="0" borderId="2265">
      <alignment horizontal="center"/>
    </xf>
    <xf numFmtId="0" fontId="25" fillId="10" borderId="2882" applyNumberFormat="0" applyProtection="0">
      <alignment horizontal="left" vertical="top"/>
    </xf>
    <xf numFmtId="190" fontId="135" fillId="0" borderId="2816"/>
    <xf numFmtId="222" fontId="79" fillId="0" borderId="2264" applyBorder="0"/>
    <xf numFmtId="0" fontId="25" fillId="10" borderId="2261" applyNumberFormat="0" applyProtection="0">
      <alignment horizontal="left" vertical="top"/>
    </xf>
    <xf numFmtId="0" fontId="78" fillId="14" borderId="2255" applyFont="0" applyFill="0" applyBorder="0" applyAlignment="0" applyProtection="0"/>
    <xf numFmtId="222" fontId="79" fillId="0" borderId="2264" applyBorder="0"/>
    <xf numFmtId="0" fontId="12" fillId="10" borderId="2816" applyNumberFormat="0" applyFont="0" applyProtection="0"/>
    <xf numFmtId="190" fontId="25" fillId="10" borderId="2858" applyNumberFormat="0" applyProtection="0">
      <alignment horizontal="left" vertical="top"/>
    </xf>
    <xf numFmtId="0" fontId="166" fillId="0" borderId="2872">
      <alignment horizontal="center"/>
    </xf>
    <xf numFmtId="248" fontId="46" fillId="0" borderId="2253"/>
    <xf numFmtId="0" fontId="166" fillId="0" borderId="2253">
      <alignment horizontal="center"/>
    </xf>
    <xf numFmtId="186" fontId="140" fillId="3" borderId="2305">
      <alignment horizontal="center" vertical="center"/>
    </xf>
    <xf numFmtId="0" fontId="25" fillId="10" borderId="2263" applyNumberFormat="0" applyProtection="0">
      <alignment horizontal="left" vertical="top"/>
    </xf>
    <xf numFmtId="0" fontId="241" fillId="94" borderId="2265" applyBorder="0" applyProtection="0">
      <alignment horizontal="centerContinuous" vertical="center"/>
    </xf>
    <xf numFmtId="0" fontId="25" fillId="10" borderId="2263" applyNumberFormat="0" applyProtection="0">
      <alignment horizontal="left" vertical="top"/>
    </xf>
    <xf numFmtId="246" fontId="250" fillId="0" borderId="2253" applyFill="0" applyProtection="0">
      <alignment horizontal="center"/>
    </xf>
    <xf numFmtId="254" fontId="240" fillId="0" borderId="2253" applyBorder="0" applyProtection="0">
      <alignment horizontal="right" vertical="center"/>
    </xf>
    <xf numFmtId="192" fontId="9" fillId="3" borderId="2289">
      <alignment horizontal="right" vertical="center"/>
    </xf>
    <xf numFmtId="0" fontId="210" fillId="0" borderId="2253" applyNumberFormat="0" applyFill="0" applyBorder="0" applyAlignment="0">
      <protection locked="0"/>
    </xf>
    <xf numFmtId="186" fontId="146" fillId="3" borderId="2253" applyBorder="0">
      <alignment horizontal="left" vertical="center"/>
    </xf>
    <xf numFmtId="0" fontId="25" fillId="10" borderId="2262" applyNumberFormat="0" applyProtection="0">
      <alignment horizontal="left" vertical="top"/>
    </xf>
    <xf numFmtId="0" fontId="25" fillId="10" borderId="2261" applyNumberFormat="0" applyProtection="0">
      <alignment horizontal="left" vertical="top"/>
    </xf>
    <xf numFmtId="186" fontId="140" fillId="3" borderId="2257">
      <alignment horizontal="center" vertical="center"/>
    </xf>
    <xf numFmtId="312" fontId="210" fillId="0" borderId="2265" applyNumberFormat="0" applyFill="0" applyBorder="0" applyAlignment="0">
      <protection locked="0"/>
    </xf>
    <xf numFmtId="0" fontId="12" fillId="0" borderId="2872" applyNumberFormat="0" applyFill="0" applyBorder="0" applyAlignment="0" applyProtection="0">
      <alignment horizontal="center"/>
    </xf>
    <xf numFmtId="4" fontId="229" fillId="84" borderId="2819" applyNumberFormat="0" applyProtection="0">
      <alignment horizontal="left" vertical="center" indent="1"/>
    </xf>
    <xf numFmtId="222" fontId="79" fillId="0" borderId="2847" applyBorder="0"/>
    <xf numFmtId="312" fontId="2" fillId="0" borderId="2246" applyNumberFormat="0" applyAlignment="0" applyProtection="0"/>
    <xf numFmtId="0" fontId="214" fillId="0" borderId="2866" applyNumberFormat="0" applyFont="0" applyFill="0" applyAlignment="0" applyProtection="0"/>
    <xf numFmtId="192" fontId="9" fillId="3" borderId="2848">
      <alignment horizontal="right" vertical="center"/>
    </xf>
    <xf numFmtId="0" fontId="25" fillId="10" borderId="2825" applyNumberFormat="0" applyProtection="0">
      <alignment horizontal="left" vertical="top"/>
    </xf>
    <xf numFmtId="312" fontId="214" fillId="0" borderId="2247" applyNumberFormat="0" applyFont="0" applyFill="0" applyAlignment="0" applyProtection="0"/>
    <xf numFmtId="243" fontId="48" fillId="0" borderId="100" applyFont="0" applyFill="0" applyBorder="0" applyAlignment="0" applyProtection="0"/>
    <xf numFmtId="0" fontId="159" fillId="67" borderId="2816"/>
    <xf numFmtId="0" fontId="78" fillId="14" borderId="2453" applyFont="0" applyFill="0" applyBorder="0" applyAlignment="0" applyProtection="0"/>
    <xf numFmtId="186" fontId="140" fillId="3" borderId="2455">
      <alignment horizontal="center" vertical="center"/>
    </xf>
    <xf numFmtId="0" fontId="78" fillId="14" borderId="2453" applyFont="0" applyFill="0" applyBorder="0" applyAlignment="0" applyProtection="0"/>
    <xf numFmtId="186" fontId="146" fillId="3" borderId="2454">
      <alignment horizontal="left"/>
    </xf>
    <xf numFmtId="186" fontId="146" fillId="3" borderId="2803" applyBorder="0">
      <alignment horizontal="left" vertical="center"/>
    </xf>
    <xf numFmtId="0" fontId="78" fillId="14" borderId="2453" applyFont="0" applyFill="0" applyBorder="0" applyAlignment="0" applyProtection="0"/>
    <xf numFmtId="0" fontId="214" fillId="0" borderId="2809" applyNumberFormat="0" applyFont="0" applyFill="0" applyAlignment="0" applyProtection="0"/>
    <xf numFmtId="0" fontId="113" fillId="0" borderId="2836" applyNumberFormat="0" applyFill="0" applyAlignment="0" applyProtection="0"/>
    <xf numFmtId="186" fontId="146" fillId="3" borderId="2836" applyBorder="0">
      <alignment horizontal="left" vertical="center"/>
    </xf>
    <xf numFmtId="0" fontId="25" fillId="10" borderId="2855" applyNumberFormat="0" applyProtection="0">
      <alignment horizontal="left" vertical="top"/>
    </xf>
    <xf numFmtId="0" fontId="75" fillId="0" borderId="2873" applyNumberFormat="0" applyFont="0" applyFill="0" applyAlignment="0" applyProtection="0"/>
    <xf numFmtId="180" fontId="9" fillId="3" borderId="2872">
      <alignment horizontal="right" vertical="center"/>
    </xf>
    <xf numFmtId="0" fontId="25" fillId="10" borderId="2882" applyNumberFormat="0" applyProtection="0">
      <alignment horizontal="left" vertical="top"/>
    </xf>
    <xf numFmtId="190" fontId="75" fillId="0" borderId="2849" applyNumberFormat="0" applyFont="0" applyFill="0" applyAlignment="0" applyProtection="0"/>
    <xf numFmtId="190" fontId="78" fillId="14" borderId="2862" applyFont="0" applyFill="0" applyBorder="0" applyAlignment="0" applyProtection="0"/>
    <xf numFmtId="312" fontId="25" fillId="10" borderId="2248" applyNumberFormat="0" applyProtection="0">
      <alignment horizontal="left" vertical="top"/>
    </xf>
    <xf numFmtId="312" fontId="25" fillId="10" borderId="2249" applyNumberFormat="0" applyProtection="0">
      <alignment horizontal="left" vertical="top"/>
    </xf>
    <xf numFmtId="312" fontId="25" fillId="10" borderId="2250" applyNumberFormat="0" applyProtection="0">
      <alignment horizontal="left" vertical="top"/>
    </xf>
    <xf numFmtId="312" fontId="25" fillId="10" borderId="2251" applyNumberFormat="0" applyProtection="0">
      <alignment horizontal="left" vertical="top"/>
    </xf>
    <xf numFmtId="190" fontId="12" fillId="0" borderId="2815" applyNumberFormat="0" applyFill="0" applyBorder="0" applyAlignment="0" applyProtection="0"/>
    <xf numFmtId="312" fontId="241" fillId="94" borderId="2265" applyBorder="0" applyProtection="0">
      <alignment horizontal="centerContinuous" vertical="center"/>
    </xf>
    <xf numFmtId="312" fontId="184" fillId="0" borderId="2817" applyAlignment="0">
      <alignment horizontal="left" wrapText="1"/>
    </xf>
    <xf numFmtId="312" fontId="12" fillId="52" borderId="2818" applyNumberFormat="0" applyProtection="0">
      <alignment horizontal="left" vertical="top" indent="1"/>
    </xf>
    <xf numFmtId="312" fontId="12" fillId="10" borderId="2816" applyNumberFormat="0" applyFont="0" applyAlignment="0" applyProtection="0"/>
    <xf numFmtId="312" fontId="25" fillId="10" borderId="2824" applyNumberFormat="0" applyProtection="0">
      <alignment horizontal="left" vertical="top"/>
    </xf>
    <xf numFmtId="312" fontId="25" fillId="10" borderId="2858" applyNumberFormat="0" applyProtection="0">
      <alignment horizontal="left" vertical="top"/>
    </xf>
    <xf numFmtId="246" fontId="296" fillId="0" borderId="2265" applyFill="0" applyProtection="0">
      <alignment horizontal="center"/>
    </xf>
    <xf numFmtId="312" fontId="12" fillId="0" borderId="2815" applyNumberFormat="0" applyFill="0" applyBorder="0" applyAlignment="0" applyProtection="0"/>
    <xf numFmtId="248" fontId="46" fillId="0" borderId="2695"/>
    <xf numFmtId="0" fontId="25" fillId="10" borderId="2843" applyNumberFormat="0" applyProtection="0">
      <alignment horizontal="left" vertical="top"/>
    </xf>
    <xf numFmtId="0" fontId="25" fillId="10" borderId="2260" applyNumberFormat="0" applyProtection="0">
      <alignment horizontal="left" vertical="top"/>
    </xf>
    <xf numFmtId="0" fontId="241" fillId="94" borderId="2836" applyBorder="0" applyProtection="0">
      <alignment horizontal="centerContinuous" vertical="center"/>
    </xf>
    <xf numFmtId="0" fontId="25" fillId="10" borderId="2260" applyNumberFormat="0" applyProtection="0">
      <alignment horizontal="left" vertical="top"/>
    </xf>
    <xf numFmtId="254" fontId="240" fillId="0" borderId="2313" applyBorder="0" applyProtection="0">
      <alignment horizontal="right" vertical="center"/>
    </xf>
    <xf numFmtId="312" fontId="241" fillId="94" borderId="2313" applyBorder="0" applyProtection="0">
      <alignment horizontal="centerContinuous" vertical="center"/>
    </xf>
    <xf numFmtId="0" fontId="165" fillId="0" borderId="2872" applyFill="0" applyProtection="0">
      <alignment horizontal="center"/>
    </xf>
    <xf numFmtId="0" fontId="12" fillId="52" borderId="2818" applyNumberFormat="0" applyProtection="0">
      <alignment horizontal="left" vertical="center" indent="1"/>
    </xf>
    <xf numFmtId="186" fontId="146" fillId="3" borderId="2860" applyBorder="0">
      <alignment horizontal="left" vertical="center"/>
    </xf>
    <xf numFmtId="312" fontId="101" fillId="0" borderId="2265" applyBorder="0"/>
    <xf numFmtId="312" fontId="113" fillId="0" borderId="2265" applyNumberFormat="0" applyFill="0" applyAlignment="0" applyProtection="0"/>
    <xf numFmtId="312" fontId="75" fillId="0" borderId="2242" applyNumberFormat="0" applyFont="0" applyFill="0" applyAlignment="0" applyProtection="0"/>
    <xf numFmtId="312" fontId="12" fillId="0" borderId="2265" applyNumberFormat="0" applyFill="0" applyBorder="0" applyAlignment="0" applyProtection="0">
      <alignment horizontal="center"/>
    </xf>
    <xf numFmtId="222" fontId="79" fillId="0" borderId="2312" applyBorder="0"/>
    <xf numFmtId="0" fontId="113" fillId="0" borderId="2253" applyNumberFormat="0" applyFill="0" applyAlignment="0" applyProtection="0"/>
    <xf numFmtId="312" fontId="165" fillId="0" borderId="2265" applyFill="0" applyProtection="0">
      <alignment horizontal="center"/>
    </xf>
    <xf numFmtId="312" fontId="242" fillId="0" borderId="2265">
      <alignment horizontal="center"/>
    </xf>
    <xf numFmtId="312" fontId="210" fillId="0" borderId="2265" applyNumberFormat="0" applyFill="0" applyBorder="0" applyAlignment="0">
      <protection locked="0"/>
    </xf>
    <xf numFmtId="312" fontId="2" fillId="0" borderId="2246" applyNumberFormat="0" applyAlignment="0" applyProtection="0"/>
    <xf numFmtId="312" fontId="214" fillId="0" borderId="2247" applyNumberFormat="0" applyFont="0" applyFill="0" applyAlignment="0" applyProtection="0"/>
    <xf numFmtId="312" fontId="25" fillId="10" borderId="2248" applyNumberFormat="0" applyProtection="0">
      <alignment horizontal="left" vertical="top"/>
    </xf>
    <xf numFmtId="312" fontId="25" fillId="10" borderId="2249" applyNumberFormat="0" applyProtection="0">
      <alignment horizontal="left" vertical="top"/>
    </xf>
    <xf numFmtId="312" fontId="25" fillId="10" borderId="2250" applyNumberFormat="0" applyProtection="0">
      <alignment horizontal="left" vertical="top"/>
    </xf>
    <xf numFmtId="312" fontId="25" fillId="10" borderId="2251" applyNumberFormat="0" applyProtection="0">
      <alignment horizontal="left" vertical="top"/>
    </xf>
    <xf numFmtId="312" fontId="25" fillId="10" borderId="2248" applyNumberFormat="0" applyProtection="0">
      <alignment horizontal="left" vertical="top"/>
    </xf>
    <xf numFmtId="312" fontId="25" fillId="10" borderId="2249" applyNumberFormat="0" applyProtection="0">
      <alignment horizontal="left" vertical="top"/>
    </xf>
    <xf numFmtId="312" fontId="25" fillId="10" borderId="2250" applyNumberFormat="0" applyProtection="0">
      <alignment horizontal="left" vertical="top"/>
    </xf>
    <xf numFmtId="312" fontId="25" fillId="10" borderId="2251" applyNumberFormat="0" applyProtection="0">
      <alignment horizontal="left" vertical="top"/>
    </xf>
    <xf numFmtId="312" fontId="241" fillId="94" borderId="2265" applyBorder="0" applyProtection="0">
      <alignment horizontal="centerContinuous" vertical="center"/>
    </xf>
    <xf numFmtId="246" fontId="296" fillId="0" borderId="2265" applyFill="0" applyProtection="0">
      <alignment horizontal="center"/>
    </xf>
    <xf numFmtId="0" fontId="113" fillId="0" borderId="2253" applyNumberFormat="0" applyFill="0" applyAlignment="0" applyProtection="0"/>
    <xf numFmtId="0" fontId="12" fillId="52" borderId="2818" applyNumberFormat="0" applyProtection="0">
      <alignment horizontal="left" vertical="top" indent="1"/>
    </xf>
    <xf numFmtId="4" fontId="12" fillId="60" borderId="2820" applyFont="0" applyFill="0" applyBorder="0" applyAlignment="0" applyProtection="0"/>
    <xf numFmtId="0" fontId="25" fillId="10" borderId="2262" applyNumberFormat="0" applyProtection="0">
      <alignment horizontal="left" vertical="top"/>
    </xf>
    <xf numFmtId="312" fontId="12" fillId="10" borderId="2816" applyNumberFormat="0" applyFont="0" applyProtection="0"/>
    <xf numFmtId="312" fontId="25" fillId="10" borderId="2855" applyNumberFormat="0" applyProtection="0">
      <alignment horizontal="left" vertical="top"/>
    </xf>
    <xf numFmtId="4" fontId="226" fillId="11" borderId="2818" applyNumberFormat="0" applyProtection="0">
      <alignment vertical="center"/>
    </xf>
    <xf numFmtId="192" fontId="9" fillId="3" borderId="2313">
      <alignment horizontal="right" vertical="center"/>
    </xf>
    <xf numFmtId="246" fontId="250" fillId="0" borderId="2860" applyFill="0" applyProtection="0">
      <alignment horizontal="center"/>
    </xf>
    <xf numFmtId="0" fontId="25" fillId="10" borderId="2261" applyNumberFormat="0" applyProtection="0">
      <alignment horizontal="left" vertical="top"/>
    </xf>
    <xf numFmtId="0" fontId="159" fillId="0" borderId="2816"/>
    <xf numFmtId="246" fontId="250" fillId="0" borderId="2313" applyFill="0" applyProtection="0">
      <alignment horizontal="center"/>
    </xf>
    <xf numFmtId="0" fontId="101" fillId="0" borderId="2313" applyBorder="0"/>
    <xf numFmtId="0" fontId="78" fillId="14" borderId="2303" applyFont="0" applyFill="0" applyBorder="0" applyAlignment="0" applyProtection="0"/>
    <xf numFmtId="264" fontId="12" fillId="14" borderId="2313" applyFont="0" applyFill="0" applyBorder="0" applyAlignment="0" applyProtection="0">
      <alignment horizontal="right"/>
    </xf>
    <xf numFmtId="246" fontId="250" fillId="0" borderId="2265" applyFill="0" applyProtection="0">
      <alignment horizontal="center"/>
    </xf>
    <xf numFmtId="222" fontId="79" fillId="0" borderId="2288" applyBorder="0"/>
    <xf numFmtId="4" fontId="228" fillId="11" borderId="2818" applyNumberFormat="0" applyProtection="0">
      <alignment horizontal="right" vertical="center"/>
    </xf>
    <xf numFmtId="0" fontId="2" fillId="0" borderId="2258" applyNumberFormat="0" applyAlignment="0" applyProtection="0"/>
    <xf numFmtId="264" fontId="12" fillId="14" borderId="2803" applyFont="0" applyFill="0" applyBorder="0" applyAlignment="0" applyProtection="0">
      <alignment horizontal="right"/>
    </xf>
    <xf numFmtId="0" fontId="25" fillId="10" borderId="2261" applyNumberFormat="0" applyProtection="0">
      <alignment horizontal="left" vertical="top"/>
    </xf>
    <xf numFmtId="0" fontId="25" fillId="10" borderId="2263" applyNumberFormat="0" applyProtection="0">
      <alignment horizontal="left" vertical="top"/>
    </xf>
    <xf numFmtId="246" fontId="249" fillId="0" borderId="2313" applyFill="0" applyProtection="0">
      <alignment horizontal="center"/>
    </xf>
    <xf numFmtId="186" fontId="48" fillId="3" borderId="2814">
      <alignment vertical="center"/>
    </xf>
    <xf numFmtId="186" fontId="146" fillId="3" borderId="2863">
      <alignment horizontal="left"/>
    </xf>
    <xf numFmtId="4" fontId="226" fillId="77" borderId="2818" applyNumberFormat="0" applyProtection="0">
      <alignment horizontal="right" vertical="center"/>
    </xf>
    <xf numFmtId="186" fontId="146" fillId="3" borderId="2313" applyBorder="0">
      <alignment horizontal="left" vertical="center"/>
    </xf>
    <xf numFmtId="0" fontId="2" fillId="0" borderId="2456" applyNumberFormat="0" applyAlignment="0" applyProtection="0"/>
    <xf numFmtId="0" fontId="25" fillId="10" borderId="2460" applyNumberFormat="0" applyProtection="0">
      <alignment horizontal="left" vertical="top"/>
    </xf>
    <xf numFmtId="254" fontId="240" fillId="0" borderId="2848" applyBorder="0" applyProtection="0">
      <alignment horizontal="right" vertical="center"/>
    </xf>
    <xf numFmtId="248" fontId="46" fillId="0" borderId="2872"/>
    <xf numFmtId="248" fontId="46" fillId="0" borderId="3255"/>
    <xf numFmtId="0" fontId="12" fillId="0" borderId="2815" applyNumberFormat="0" applyFill="0" applyBorder="0" applyAlignment="0" applyProtection="0"/>
    <xf numFmtId="0" fontId="135" fillId="0" borderId="2816"/>
    <xf numFmtId="4" fontId="223" fillId="52" borderId="2818" applyNumberFormat="0" applyProtection="0">
      <alignment horizontal="left" vertical="center" indent="1"/>
    </xf>
    <xf numFmtId="4" fontId="228" fillId="11" borderId="2818" applyNumberFormat="0" applyProtection="0">
      <alignment vertical="center"/>
    </xf>
    <xf numFmtId="4" fontId="184" fillId="11" borderId="2818" applyNumberFormat="0" applyProtection="0">
      <alignment horizontal="right" vertical="center"/>
    </xf>
    <xf numFmtId="0" fontId="25" fillId="10" borderId="2262" applyNumberFormat="0" applyProtection="0">
      <alignment horizontal="left" vertical="top"/>
    </xf>
    <xf numFmtId="0" fontId="25" fillId="10" borderId="2261" applyNumberFormat="0" applyProtection="0">
      <alignment horizontal="left" vertical="top"/>
    </xf>
    <xf numFmtId="0" fontId="166" fillId="0" borderId="2872">
      <alignment horizontal="center"/>
    </xf>
    <xf numFmtId="248" fontId="46" fillId="0" borderId="2313"/>
    <xf numFmtId="0" fontId="101" fillId="0" borderId="2253" applyBorder="0"/>
    <xf numFmtId="190" fontId="78" fillId="14" borderId="2303" applyFont="0" applyFill="0" applyBorder="0" applyAlignment="0" applyProtection="0"/>
    <xf numFmtId="312" fontId="159" fillId="67" borderId="2816"/>
    <xf numFmtId="0" fontId="25" fillId="10" borderId="2263" applyNumberFormat="0" applyProtection="0">
      <alignment horizontal="left" vertical="top"/>
    </xf>
    <xf numFmtId="0" fontId="159" fillId="67" borderId="2816"/>
    <xf numFmtId="222" fontId="79" fillId="0" borderId="2847" applyBorder="0"/>
    <xf numFmtId="0" fontId="25" fillId="10" borderId="2869" applyNumberFormat="0" applyProtection="0">
      <alignment horizontal="left" vertical="top"/>
    </xf>
    <xf numFmtId="0" fontId="12" fillId="0" borderId="2313" applyNumberFormat="0" applyFill="0" applyBorder="0" applyAlignment="0" applyProtection="0">
      <alignment horizontal="center"/>
    </xf>
    <xf numFmtId="222" fontId="79" fillId="0" borderId="2300" applyBorder="0"/>
    <xf numFmtId="186" fontId="140" fillId="3" borderId="2257">
      <alignment horizontal="center" vertical="center"/>
    </xf>
    <xf numFmtId="248" fontId="46" fillId="0" borderId="2803"/>
    <xf numFmtId="0" fontId="25" fillId="10" borderId="2262" applyNumberFormat="0" applyProtection="0">
      <alignment horizontal="left" vertical="top"/>
    </xf>
    <xf numFmtId="190" fontId="12" fillId="0" borderId="2815" applyNumberFormat="0" applyFill="0" applyBorder="0" applyAlignment="0" applyProtection="0"/>
    <xf numFmtId="188" fontId="25" fillId="0" borderId="2830" applyFont="0" applyFill="0" applyBorder="0" applyAlignment="0" applyProtection="0">
      <alignment horizontal="center"/>
    </xf>
    <xf numFmtId="0" fontId="210" fillId="0" borderId="2301" applyNumberFormat="0" applyFill="0" applyBorder="0" applyAlignment="0">
      <protection locked="0"/>
    </xf>
    <xf numFmtId="246" fontId="250" fillId="0" borderId="2265" applyFill="0" applyProtection="0">
      <alignment horizontal="center"/>
    </xf>
    <xf numFmtId="246" fontId="249" fillId="0" borderId="2265" applyFill="0" applyProtection="0">
      <alignment horizontal="center"/>
    </xf>
    <xf numFmtId="312" fontId="12" fillId="11" borderId="2818" applyNumberFormat="0" applyProtection="0">
      <alignment horizontal="left" vertical="top" indent="1"/>
    </xf>
    <xf numFmtId="0" fontId="241" fillId="94" borderId="2265" applyBorder="0" applyProtection="0">
      <alignment horizontal="centerContinuous" vertical="center"/>
    </xf>
    <xf numFmtId="254" fontId="240" fillId="0" borderId="2265" applyBorder="0" applyProtection="0">
      <alignment horizontal="right" vertical="center"/>
    </xf>
    <xf numFmtId="0" fontId="25" fillId="10" borderId="2263" applyNumberFormat="0" applyProtection="0">
      <alignment horizontal="left" vertical="top"/>
    </xf>
    <xf numFmtId="264" fontId="12" fillId="14" borderId="4810" applyFont="0" applyFill="0" applyBorder="0" applyAlignment="0" applyProtection="0">
      <alignment horizontal="right"/>
    </xf>
    <xf numFmtId="0" fontId="25" fillId="10" borderId="2262" applyNumberFormat="0" applyProtection="0">
      <alignment horizontal="left" vertical="top"/>
    </xf>
    <xf numFmtId="0" fontId="25" fillId="10" borderId="2261" applyNumberFormat="0" applyProtection="0">
      <alignment horizontal="left" vertical="top"/>
    </xf>
    <xf numFmtId="0" fontId="25" fillId="10" borderId="2260" applyNumberFormat="0" applyProtection="0">
      <alignment horizontal="left" vertical="top"/>
    </xf>
    <xf numFmtId="190" fontId="159" fillId="0" borderId="2816"/>
    <xf numFmtId="246" fontId="249" fillId="0" borderId="2872" applyFill="0" applyProtection="0">
      <alignment horizontal="center"/>
    </xf>
    <xf numFmtId="264" fontId="12" fillId="14" borderId="2872" applyFont="0" applyFill="0" applyBorder="0" applyAlignment="0" applyProtection="0">
      <alignment horizontal="right"/>
    </xf>
    <xf numFmtId="5" fontId="114" fillId="0" borderId="2814" applyAlignment="0" applyProtection="0"/>
    <xf numFmtId="1" fontId="154" fillId="65" borderId="2883" applyNumberFormat="0" applyBorder="0" applyAlignment="0">
      <alignment horizontal="centerContinuous" vertical="center"/>
      <protection locked="0"/>
    </xf>
    <xf numFmtId="186" fontId="146" fillId="3" borderId="2872" applyBorder="0">
      <alignment horizontal="left" vertical="center"/>
    </xf>
    <xf numFmtId="0" fontId="25" fillId="10" borderId="2825" applyNumberFormat="0" applyProtection="0">
      <alignment horizontal="left" vertical="top"/>
    </xf>
    <xf numFmtId="186" fontId="146" fillId="3" borderId="2875">
      <alignment horizontal="left"/>
    </xf>
    <xf numFmtId="0" fontId="214" fillId="0" borderId="2854" applyNumberFormat="0" applyFont="0" applyFill="0" applyAlignment="0" applyProtection="0"/>
    <xf numFmtId="0" fontId="241" fillId="94" borderId="2803" applyBorder="0" applyProtection="0">
      <alignment horizontal="centerContinuous" vertical="center"/>
    </xf>
    <xf numFmtId="0" fontId="75" fillId="0" borderId="2452" applyNumberFormat="0" applyFont="0" applyFill="0" applyAlignment="0" applyProtection="0"/>
    <xf numFmtId="254" fontId="240" fillId="0" borderId="2803" applyBorder="0" applyProtection="0">
      <alignment horizontal="right" vertical="center"/>
    </xf>
    <xf numFmtId="4" fontId="184" fillId="52" borderId="2818" applyNumberFormat="0" applyProtection="0">
      <alignment horizontal="right" vertical="center"/>
    </xf>
    <xf numFmtId="4" fontId="226" fillId="76" borderId="2818" applyNumberFormat="0" applyProtection="0">
      <alignment horizontal="right" vertical="center"/>
    </xf>
    <xf numFmtId="0" fontId="25" fillId="69" borderId="2816">
      <alignment horizontal="left" vertical="center" wrapText="1"/>
    </xf>
    <xf numFmtId="0" fontId="46" fillId="0" borderId="2815" applyNumberFormat="0" applyFill="0" applyBorder="0" applyAlignment="0" applyProtection="0"/>
    <xf numFmtId="169" fontId="234" fillId="3" borderId="2816" applyFont="0" applyProtection="0"/>
    <xf numFmtId="0" fontId="12" fillId="52" borderId="2818" applyNumberFormat="0" applyProtection="0">
      <alignment horizontal="left" vertical="top" indent="1"/>
    </xf>
    <xf numFmtId="4" fontId="226" fillId="10" borderId="2818" applyNumberFormat="0" applyProtection="0">
      <alignment horizontal="right" vertical="center"/>
    </xf>
    <xf numFmtId="0" fontId="25" fillId="10" borderId="2299" applyNumberFormat="0" applyProtection="0">
      <alignment horizontal="left" vertical="top"/>
    </xf>
    <xf numFmtId="0" fontId="214" fillId="0" borderId="2295" applyNumberFormat="0" applyFont="0" applyFill="0" applyAlignment="0" applyProtection="0"/>
    <xf numFmtId="0" fontId="214" fillId="0" borderId="2259" applyNumberFormat="0" applyFont="0" applyFill="0" applyAlignment="0" applyProtection="0"/>
    <xf numFmtId="0" fontId="2" fillId="0" borderId="2258" applyNumberFormat="0" applyAlignment="0" applyProtection="0"/>
    <xf numFmtId="0" fontId="210" fillId="0" borderId="2265" applyNumberFormat="0" applyFill="0" applyBorder="0" applyAlignment="0">
      <protection locked="0"/>
    </xf>
    <xf numFmtId="0" fontId="25" fillId="10" borderId="2260" applyNumberFormat="0" applyProtection="0">
      <alignment horizontal="left" vertical="top"/>
    </xf>
    <xf numFmtId="264" fontId="12" fillId="14" borderId="2265" applyFont="0" applyFill="0" applyBorder="0" applyAlignment="0" applyProtection="0">
      <alignment horizontal="right"/>
    </xf>
    <xf numFmtId="0" fontId="78" fillId="14" borderId="2267" applyFont="0" applyFill="0" applyBorder="0" applyAlignment="0" applyProtection="0"/>
    <xf numFmtId="0" fontId="210" fillId="0" borderId="2253" applyNumberFormat="0" applyFill="0" applyBorder="0" applyAlignment="0">
      <protection locked="0"/>
    </xf>
    <xf numFmtId="0" fontId="75" fillId="0" borderId="2254" applyNumberFormat="0" applyFont="0" applyFill="0" applyAlignment="0" applyProtection="0"/>
    <xf numFmtId="0" fontId="166" fillId="0" borderId="2265">
      <alignment horizontal="center"/>
    </xf>
    <xf numFmtId="0" fontId="165" fillId="0" borderId="2265" applyFill="0" applyProtection="0">
      <alignment horizontal="center"/>
    </xf>
    <xf numFmtId="0" fontId="78" fillId="14" borderId="2255" applyFont="0" applyFill="0" applyBorder="0" applyAlignment="0" applyProtection="0"/>
    <xf numFmtId="186" fontId="146" fillId="3" borderId="2256">
      <alignment horizontal="left"/>
    </xf>
    <xf numFmtId="254" fontId="240" fillId="0" borderId="2253" applyBorder="0" applyProtection="0">
      <alignment horizontal="right" vertical="center"/>
    </xf>
    <xf numFmtId="0" fontId="25" fillId="10" borderId="2275" applyNumberFormat="0" applyProtection="0">
      <alignment horizontal="left" vertical="top"/>
    </xf>
    <xf numFmtId="310" fontId="267" fillId="0" borderId="2831">
      <alignment horizontal="left"/>
    </xf>
    <xf numFmtId="312" fontId="242" fillId="0" borderId="2872">
      <alignment horizontal="center"/>
    </xf>
    <xf numFmtId="186" fontId="140" fillId="3" borderId="2257">
      <alignment horizontal="center" vertical="center"/>
    </xf>
    <xf numFmtId="10" fontId="12" fillId="3" borderId="2828" applyNumberFormat="0" applyFont="0" applyFill="0" applyBorder="0" applyAlignment="0">
      <protection locked="0"/>
    </xf>
    <xf numFmtId="186" fontId="146" fillId="3" borderId="2256">
      <alignment horizontal="left"/>
    </xf>
    <xf numFmtId="186" fontId="146" fillId="3" borderId="2265" applyBorder="0">
      <alignment horizontal="left" vertical="center"/>
    </xf>
    <xf numFmtId="180" fontId="9" fillId="3" borderId="2265">
      <alignment horizontal="right" vertical="center"/>
    </xf>
    <xf numFmtId="192" fontId="9" fillId="3" borderId="2265">
      <alignment horizontal="right" vertical="center"/>
    </xf>
    <xf numFmtId="192" fontId="9" fillId="3" borderId="2313">
      <alignment horizontal="right" vertical="center"/>
    </xf>
    <xf numFmtId="248" fontId="46" fillId="0" borderId="2265"/>
    <xf numFmtId="0" fontId="78" fillId="14" borderId="2255" applyFont="0" applyFill="0" applyBorder="0" applyAlignment="0" applyProtection="0"/>
    <xf numFmtId="0" fontId="12" fillId="0" borderId="2265" applyNumberFormat="0" applyFill="0" applyBorder="0" applyAlignment="0" applyProtection="0">
      <alignment horizontal="center"/>
    </xf>
    <xf numFmtId="0" fontId="75" fillId="0" borderId="2254" applyNumberFormat="0" applyFont="0" applyFill="0" applyAlignment="0" applyProtection="0"/>
    <xf numFmtId="0" fontId="113" fillId="0" borderId="2265" applyNumberFormat="0" applyFill="0" applyAlignment="0" applyProtection="0"/>
    <xf numFmtId="0" fontId="25" fillId="10" borderId="2296" applyNumberFormat="0" applyProtection="0">
      <alignment horizontal="left" vertical="top"/>
    </xf>
    <xf numFmtId="254" fontId="240" fillId="0" borderId="2313" applyBorder="0" applyProtection="0">
      <alignment horizontal="right" vertical="center"/>
    </xf>
    <xf numFmtId="254" fontId="240" fillId="0" borderId="2803" applyBorder="0" applyProtection="0">
      <alignment horizontal="right" vertical="center"/>
    </xf>
    <xf numFmtId="222" fontId="79" fillId="0" borderId="2264" applyBorder="0"/>
    <xf numFmtId="0" fontId="101" fillId="0" borderId="2265" applyBorder="0"/>
    <xf numFmtId="4" fontId="223" fillId="53" borderId="2818" applyNumberFormat="0" applyProtection="0">
      <alignment vertical="center"/>
    </xf>
    <xf numFmtId="4" fontId="226" fillId="79" borderId="2818" applyNumberFormat="0" applyProtection="0">
      <alignment horizontal="right" vertical="center"/>
    </xf>
    <xf numFmtId="4" fontId="227" fillId="52" borderId="2819" applyNumberFormat="0" applyProtection="0">
      <alignment horizontal="left" vertical="center" indent="1"/>
    </xf>
    <xf numFmtId="293" fontId="234" fillId="10" borderId="2816" applyFont="0" applyProtection="0"/>
    <xf numFmtId="222" fontId="79" fillId="0" borderId="2622" applyBorder="0"/>
    <xf numFmtId="0" fontId="105" fillId="0" borderId="2815" applyNumberFormat="0" applyFill="0" applyBorder="0" applyAlignment="0" applyProtection="0"/>
    <xf numFmtId="0" fontId="184" fillId="0" borderId="2817" applyAlignment="0">
      <alignment horizontal="left" wrapText="1"/>
    </xf>
    <xf numFmtId="4" fontId="226" fillId="10" borderId="2818" applyNumberFormat="0" applyProtection="0">
      <alignment horizontal="right" vertical="center"/>
    </xf>
    <xf numFmtId="0" fontId="12" fillId="84" borderId="2818" applyNumberFormat="0" applyProtection="0">
      <alignment horizontal="left" vertical="top" indent="1"/>
    </xf>
    <xf numFmtId="0" fontId="25" fillId="10" borderId="2272" applyNumberFormat="0" applyProtection="0">
      <alignment horizontal="left" vertical="top"/>
    </xf>
    <xf numFmtId="0" fontId="25" fillId="10" borderId="2273" applyNumberFormat="0" applyProtection="0">
      <alignment horizontal="left" vertical="top"/>
    </xf>
    <xf numFmtId="0" fontId="25" fillId="10" borderId="2274" applyNumberFormat="0" applyProtection="0">
      <alignment horizontal="left" vertical="top"/>
    </xf>
    <xf numFmtId="0" fontId="25" fillId="10" borderId="2275" applyNumberFormat="0" applyProtection="0">
      <alignment horizontal="left" vertical="top"/>
    </xf>
    <xf numFmtId="222" fontId="79" fillId="0" borderId="2622" applyBorder="0"/>
    <xf numFmtId="246" fontId="249" fillId="0" borderId="2803" applyFill="0" applyProtection="0">
      <alignment horizontal="center"/>
    </xf>
    <xf numFmtId="0" fontId="214" fillId="0" borderId="2878" applyNumberFormat="0" applyFont="0" applyFill="0" applyAlignment="0" applyProtection="0"/>
    <xf numFmtId="0" fontId="12" fillId="0" borderId="2815" applyNumberFormat="0" applyFill="0" applyBorder="0" applyAlignment="0" applyProtection="0"/>
    <xf numFmtId="0" fontId="25" fillId="10" borderId="2822" applyNumberFormat="0" applyProtection="0">
      <alignment horizontal="left" vertical="top"/>
    </xf>
    <xf numFmtId="180" fontId="9" fillId="3" borderId="2872">
      <alignment horizontal="right" vertical="center"/>
    </xf>
    <xf numFmtId="0" fontId="105" fillId="0" borderId="2815" applyNumberFormat="0" applyFill="0" applyBorder="0" applyAlignment="0" applyProtection="0"/>
    <xf numFmtId="190" fontId="12" fillId="0" borderId="2815" applyNumberFormat="0" applyFill="0" applyBorder="0" applyAlignment="0" applyProtection="0"/>
    <xf numFmtId="248" fontId="46" fillId="0" borderId="2872"/>
    <xf numFmtId="0" fontId="2" fillId="0" borderId="2853" applyNumberFormat="0" applyAlignment="0" applyProtection="0"/>
    <xf numFmtId="190" fontId="12" fillId="0" borderId="2313" applyNumberFormat="0" applyFill="0" applyBorder="0" applyAlignment="0" applyProtection="0">
      <alignment horizontal="center"/>
    </xf>
    <xf numFmtId="0" fontId="165" fillId="0" borderId="2289" applyFill="0" applyProtection="0">
      <alignment horizontal="center"/>
    </xf>
    <xf numFmtId="190" fontId="214" fillId="0" borderId="2295" applyNumberFormat="0" applyFont="0" applyFill="0" applyAlignment="0" applyProtection="0"/>
    <xf numFmtId="264" fontId="12" fillId="14" borderId="2872" applyFont="0" applyFill="0" applyBorder="0" applyAlignment="0" applyProtection="0">
      <alignment horizontal="right"/>
    </xf>
    <xf numFmtId="312" fontId="242" fillId="0" borderId="2313">
      <alignment horizontal="center"/>
    </xf>
    <xf numFmtId="4" fontId="226" fillId="82" borderId="2818" applyNumberFormat="0" applyProtection="0">
      <alignment horizontal="right" vertical="center"/>
    </xf>
    <xf numFmtId="190" fontId="165" fillId="0" borderId="2313" applyFill="0" applyProtection="0">
      <alignment horizontal="center"/>
    </xf>
    <xf numFmtId="0" fontId="78" fillId="14" borderId="2805" applyFont="0" applyFill="0" applyBorder="0" applyAlignment="0" applyProtection="0"/>
    <xf numFmtId="246" fontId="250" fillId="0" borderId="2872" applyFill="0" applyProtection="0">
      <alignment horizontal="center"/>
    </xf>
    <xf numFmtId="0" fontId="25" fillId="10" borderId="2261" applyNumberFormat="0" applyProtection="0">
      <alignment horizontal="left" vertical="top"/>
    </xf>
    <xf numFmtId="0" fontId="25" fillId="10" borderId="2284" applyNumberFormat="0" applyProtection="0">
      <alignment horizontal="left" vertical="top"/>
    </xf>
    <xf numFmtId="264" fontId="12" fillId="14" borderId="2289" applyFont="0" applyFill="0" applyBorder="0" applyAlignment="0" applyProtection="0">
      <alignment horizontal="right"/>
    </xf>
    <xf numFmtId="246" fontId="250" fillId="0" borderId="2289" applyFill="0" applyProtection="0">
      <alignment horizontal="center"/>
    </xf>
    <xf numFmtId="180" fontId="9" fillId="3" borderId="2313">
      <alignment horizontal="right" vertical="center"/>
    </xf>
    <xf numFmtId="0" fontId="214" fillId="0" borderId="2259" applyNumberFormat="0" applyFont="0" applyFill="0" applyAlignment="0" applyProtection="0"/>
    <xf numFmtId="192" fontId="9" fillId="3" borderId="2803">
      <alignment horizontal="right" vertical="center"/>
    </xf>
    <xf numFmtId="312" fontId="135" fillId="0" borderId="2816"/>
    <xf numFmtId="246" fontId="249" fillId="0" borderId="2265" applyFill="0" applyProtection="0">
      <alignment horizontal="center"/>
    </xf>
    <xf numFmtId="0" fontId="241" fillId="94" borderId="2848" applyBorder="0" applyProtection="0">
      <alignment horizontal="centerContinuous" vertical="center"/>
    </xf>
    <xf numFmtId="0" fontId="25" fillId="10" borderId="2811" applyNumberFormat="0" applyProtection="0">
      <alignment horizontal="left" vertical="top"/>
    </xf>
    <xf numFmtId="10" fontId="12" fillId="3" borderId="2828" applyNumberFormat="0" applyFont="0" applyFill="0" applyBorder="0" applyAlignment="0">
      <protection locked="0"/>
    </xf>
    <xf numFmtId="246" fontId="249" fillId="0" borderId="2803" applyFill="0" applyProtection="0">
      <alignment horizontal="center"/>
    </xf>
    <xf numFmtId="254" fontId="240" fillId="0" borderId="2836" applyBorder="0" applyProtection="0">
      <alignment horizontal="right" vertical="center"/>
    </xf>
    <xf numFmtId="246" fontId="250" fillId="0" borderId="2253" applyFill="0" applyProtection="0">
      <alignment horizontal="center"/>
    </xf>
    <xf numFmtId="246" fontId="249" fillId="0" borderId="2253" applyFill="0" applyProtection="0">
      <alignment horizontal="center"/>
    </xf>
    <xf numFmtId="0" fontId="241" fillId="94" borderId="2253" applyBorder="0" applyProtection="0">
      <alignment horizontal="centerContinuous" vertical="center"/>
    </xf>
    <xf numFmtId="254" fontId="240" fillId="0" borderId="2253" applyBorder="0" applyProtection="0">
      <alignment horizontal="right" vertical="center"/>
    </xf>
    <xf numFmtId="0" fontId="210" fillId="0" borderId="2253" applyNumberFormat="0" applyFill="0" applyBorder="0" applyAlignment="0">
      <protection locked="0"/>
    </xf>
    <xf numFmtId="0" fontId="2" fillId="0" borderId="2306" applyNumberFormat="0" applyAlignment="0" applyProtection="0"/>
    <xf numFmtId="264" fontId="12" fillId="14" borderId="2253" applyFont="0" applyFill="0" applyBorder="0" applyAlignment="0" applyProtection="0">
      <alignment horizontal="right"/>
    </xf>
    <xf numFmtId="0" fontId="166" fillId="0" borderId="2253">
      <alignment horizontal="center"/>
    </xf>
    <xf numFmtId="0" fontId="165" fillId="0" borderId="2253" applyFill="0" applyProtection="0">
      <alignment horizontal="center"/>
    </xf>
    <xf numFmtId="186" fontId="146" fillId="3" borderId="2253" applyBorder="0">
      <alignment horizontal="left" vertical="center"/>
    </xf>
    <xf numFmtId="180" fontId="9" fillId="3" borderId="2253">
      <alignment horizontal="right" vertical="center"/>
    </xf>
    <xf numFmtId="192" fontId="9" fillId="3" borderId="2253">
      <alignment horizontal="right" vertical="center"/>
    </xf>
    <xf numFmtId="248" fontId="46" fillId="0" borderId="2253"/>
    <xf numFmtId="0" fontId="12" fillId="0" borderId="2253" applyNumberFormat="0" applyFill="0" applyBorder="0" applyAlignment="0" applyProtection="0">
      <alignment horizontal="center"/>
    </xf>
    <xf numFmtId="0" fontId="113" fillId="0" borderId="2253" applyNumberFormat="0" applyFill="0" applyAlignment="0" applyProtection="0"/>
    <xf numFmtId="222" fontId="79" fillId="0" borderId="2252" applyBorder="0"/>
    <xf numFmtId="0" fontId="101" fillId="0" borderId="2253" applyBorder="0"/>
    <xf numFmtId="0" fontId="25" fillId="10" borderId="2461" applyNumberFormat="0" applyProtection="0">
      <alignment horizontal="left" vertical="top"/>
    </xf>
    <xf numFmtId="0" fontId="78" fillId="14" borderId="2838" applyFont="0" applyFill="0" applyBorder="0" applyAlignment="0" applyProtection="0"/>
    <xf numFmtId="264" fontId="12" fillId="14" borderId="2301" applyFont="0" applyFill="0" applyBorder="0" applyAlignment="0" applyProtection="0">
      <alignment horizontal="right"/>
    </xf>
    <xf numFmtId="186" fontId="48" fillId="3" borderId="2814">
      <alignment vertical="center"/>
    </xf>
    <xf numFmtId="246" fontId="250" fillId="0" borderId="2253" applyFill="0" applyProtection="0">
      <alignment horizontal="center"/>
    </xf>
    <xf numFmtId="246" fontId="249" fillId="0" borderId="2253" applyFill="0" applyProtection="0">
      <alignment horizontal="center"/>
    </xf>
    <xf numFmtId="312" fontId="136" fillId="14" borderId="2818" applyNumberFormat="0" applyProtection="0">
      <alignment horizontal="left" vertical="top" indent="1"/>
    </xf>
    <xf numFmtId="0" fontId="241" fillId="94" borderId="2253" applyBorder="0" applyProtection="0">
      <alignment horizontal="centerContinuous" vertical="center"/>
    </xf>
    <xf numFmtId="254" fontId="240" fillId="0" borderId="2253" applyBorder="0" applyProtection="0">
      <alignment horizontal="right" vertical="center"/>
    </xf>
    <xf numFmtId="192" fontId="9" fillId="3" borderId="2872">
      <alignment horizontal="right" vertical="center"/>
    </xf>
    <xf numFmtId="190" fontId="46" fillId="0" borderId="2815" applyNumberFormat="0" applyFill="0" applyBorder="0" applyAlignment="0" applyProtection="0"/>
    <xf numFmtId="246" fontId="250" fillId="0" borderId="2872" applyFill="0" applyProtection="0">
      <alignment horizontal="center"/>
    </xf>
    <xf numFmtId="0" fontId="210" fillId="0" borderId="2872" applyNumberFormat="0" applyFill="0" applyBorder="0" applyAlignment="0">
      <protection locked="0"/>
    </xf>
    <xf numFmtId="192" fontId="9" fillId="3" borderId="2872">
      <alignment horizontal="right" vertical="center"/>
    </xf>
    <xf numFmtId="0" fontId="46" fillId="0" borderId="2815" applyNumberFormat="0" applyFill="0" applyBorder="0" applyAlignment="0" applyProtection="0"/>
    <xf numFmtId="293" fontId="234" fillId="10" borderId="2816" applyFont="0" applyProtection="0"/>
    <xf numFmtId="246" fontId="249" fillId="0" borderId="2872" applyFill="0" applyProtection="0">
      <alignment horizontal="center"/>
    </xf>
    <xf numFmtId="0" fontId="25" fillId="10" borderId="2881" applyNumberFormat="0" applyProtection="0">
      <alignment horizontal="left" vertical="top"/>
    </xf>
    <xf numFmtId="186" fontId="140" fillId="3" borderId="2852">
      <alignment horizontal="center" vertical="center"/>
    </xf>
    <xf numFmtId="0" fontId="286" fillId="54" borderId="2833" applyNumberFormat="0" applyAlignment="0" applyProtection="0"/>
    <xf numFmtId="248" fontId="46" fillId="0" borderId="2803"/>
    <xf numFmtId="222" fontId="79" fillId="0" borderId="2622" applyBorder="0"/>
    <xf numFmtId="0" fontId="75" fillId="0" borderId="2861" applyNumberFormat="0" applyFont="0" applyFill="0" applyAlignment="0" applyProtection="0"/>
    <xf numFmtId="0" fontId="166" fillId="0" borderId="2848">
      <alignment horizontal="center"/>
    </xf>
    <xf numFmtId="0" fontId="12" fillId="11" borderId="2818" applyNumberFormat="0" applyProtection="0">
      <alignment horizontal="left" vertical="center" indent="1"/>
    </xf>
    <xf numFmtId="4" fontId="226" fillId="79" borderId="2818" applyNumberFormat="0" applyProtection="0">
      <alignment horizontal="right" vertical="center"/>
    </xf>
    <xf numFmtId="188" fontId="25" fillId="0" borderId="2830" applyFont="0" applyFill="0" applyBorder="0" applyAlignment="0" applyProtection="0">
      <alignment horizontal="center"/>
    </xf>
    <xf numFmtId="188" fontId="25" fillId="0" borderId="2830" applyFont="0" applyFill="0" applyBorder="0" applyAlignment="0" applyProtection="0">
      <alignment horizontal="center"/>
    </xf>
    <xf numFmtId="2" fontId="12" fillId="14" borderId="2829" applyFill="0" applyBorder="0" applyProtection="0">
      <alignment horizontal="center"/>
    </xf>
    <xf numFmtId="0" fontId="12" fillId="0" borderId="2815" applyNumberFormat="0" applyFill="0" applyBorder="0" applyAlignment="0" applyProtection="0"/>
    <xf numFmtId="0" fontId="136" fillId="84" borderId="2818" applyNumberFormat="0" applyProtection="0">
      <alignment horizontal="left" vertical="top" indent="1"/>
    </xf>
    <xf numFmtId="4" fontId="226" fillId="71" borderId="2818" applyNumberFormat="0" applyProtection="0">
      <alignment horizontal="right" vertical="center"/>
    </xf>
    <xf numFmtId="4" fontId="224" fillId="53" borderId="2818" applyNumberFormat="0" applyProtection="0">
      <alignment vertical="center"/>
    </xf>
    <xf numFmtId="0" fontId="210" fillId="0" borderId="2253" applyNumberFormat="0" applyFill="0" applyBorder="0" applyAlignment="0">
      <protection locked="0"/>
    </xf>
    <xf numFmtId="264" fontId="12" fillId="14" borderId="2253" applyFont="0" applyFill="0" applyBorder="0" applyAlignment="0" applyProtection="0">
      <alignment horizontal="right"/>
    </xf>
    <xf numFmtId="312" fontId="159" fillId="0" borderId="2816"/>
    <xf numFmtId="0" fontId="166" fillId="0" borderId="2253">
      <alignment horizontal="center"/>
    </xf>
    <xf numFmtId="0" fontId="165" fillId="0" borderId="2253" applyFill="0" applyProtection="0">
      <alignment horizontal="center"/>
    </xf>
    <xf numFmtId="0" fontId="25" fillId="10" borderId="2263" applyNumberFormat="0" applyProtection="0">
      <alignment horizontal="left" vertical="top"/>
    </xf>
    <xf numFmtId="0" fontId="78" fillId="14" borderId="2255" applyFont="0" applyFill="0" applyBorder="0" applyAlignment="0" applyProtection="0"/>
    <xf numFmtId="264" fontId="12" fillId="14" borderId="2253" applyFont="0" applyFill="0" applyBorder="0" applyAlignment="0" applyProtection="0">
      <alignment horizontal="right"/>
    </xf>
    <xf numFmtId="222" fontId="79" fillId="0" borderId="2264" applyBorder="0"/>
    <xf numFmtId="246" fontId="249" fillId="0" borderId="2860" applyFill="0" applyProtection="0">
      <alignment horizontal="center"/>
    </xf>
    <xf numFmtId="186" fontId="146" fillId="3" borderId="2253" applyBorder="0">
      <alignment horizontal="left" vertical="center"/>
    </xf>
    <xf numFmtId="180" fontId="9" fillId="3" borderId="2253">
      <alignment horizontal="right" vertical="center"/>
    </xf>
    <xf numFmtId="192" fontId="9" fillId="3" borderId="2253">
      <alignment horizontal="right" vertical="center"/>
    </xf>
    <xf numFmtId="312" fontId="25" fillId="10" borderId="2855" applyNumberFormat="0" applyProtection="0">
      <alignment horizontal="left" vertical="top"/>
    </xf>
    <xf numFmtId="0" fontId="12" fillId="0" borderId="2253" applyNumberFormat="0" applyFill="0" applyBorder="0" applyAlignment="0" applyProtection="0">
      <alignment horizontal="center"/>
    </xf>
    <xf numFmtId="0" fontId="113" fillId="0" borderId="2253" applyNumberFormat="0" applyFill="0" applyAlignment="0" applyProtection="0"/>
    <xf numFmtId="0" fontId="2" fillId="0" borderId="2294" applyNumberFormat="0" applyAlignment="0" applyProtection="0"/>
    <xf numFmtId="0" fontId="25" fillId="10" borderId="2298" applyNumberFormat="0" applyProtection="0">
      <alignment horizontal="left" vertical="top"/>
    </xf>
    <xf numFmtId="222" fontId="79" fillId="0" borderId="2252" applyBorder="0"/>
    <xf numFmtId="0" fontId="101" fillId="0" borderId="2253" applyBorder="0"/>
    <xf numFmtId="248" fontId="46" fillId="0" borderId="2253"/>
    <xf numFmtId="264" fontId="12" fillId="14" borderId="2872" applyFont="0" applyFill="0" applyBorder="0" applyAlignment="0" applyProtection="0">
      <alignment horizontal="right"/>
    </xf>
    <xf numFmtId="246" fontId="250" fillId="0" borderId="2253" applyFill="0" applyProtection="0">
      <alignment horizontal="center"/>
    </xf>
    <xf numFmtId="246" fontId="249" fillId="0" borderId="2253" applyFill="0" applyProtection="0">
      <alignment horizontal="center"/>
    </xf>
    <xf numFmtId="0" fontId="241" fillId="94" borderId="2253" applyBorder="0" applyProtection="0">
      <alignment horizontal="centerContinuous" vertical="center"/>
    </xf>
    <xf numFmtId="254" fontId="240" fillId="0" borderId="2253" applyBorder="0" applyProtection="0">
      <alignment horizontal="right" vertical="center"/>
    </xf>
    <xf numFmtId="0" fontId="210" fillId="0" borderId="2253" applyNumberFormat="0" applyFill="0" applyBorder="0" applyAlignment="0">
      <protection locked="0"/>
    </xf>
    <xf numFmtId="246" fontId="249" fillId="0" borderId="2872" applyFill="0" applyProtection="0">
      <alignment horizontal="center"/>
    </xf>
    <xf numFmtId="264" fontId="12" fillId="14" borderId="2253" applyFont="0" applyFill="0" applyBorder="0" applyAlignment="0" applyProtection="0">
      <alignment horizontal="right"/>
    </xf>
    <xf numFmtId="0" fontId="166" fillId="0" borderId="2253">
      <alignment horizontal="center"/>
    </xf>
    <xf numFmtId="0" fontId="165" fillId="0" borderId="2253" applyFill="0" applyProtection="0">
      <alignment horizontal="center"/>
    </xf>
    <xf numFmtId="186" fontId="146" fillId="3" borderId="2253" applyBorder="0">
      <alignment horizontal="left" vertical="center"/>
    </xf>
    <xf numFmtId="180" fontId="9" fillId="3" borderId="2253">
      <alignment horizontal="right" vertical="center"/>
    </xf>
    <xf numFmtId="192" fontId="9" fillId="3" borderId="2253">
      <alignment horizontal="right" vertical="center"/>
    </xf>
    <xf numFmtId="248" fontId="46" fillId="0" borderId="2253"/>
    <xf numFmtId="0" fontId="12" fillId="0" borderId="2253" applyNumberFormat="0" applyFill="0" applyBorder="0" applyAlignment="0" applyProtection="0">
      <alignment horizontal="center"/>
    </xf>
    <xf numFmtId="0" fontId="113" fillId="0" borderId="2253" applyNumberFormat="0" applyFill="0" applyAlignment="0" applyProtection="0"/>
    <xf numFmtId="222" fontId="79" fillId="0" borderId="2252" applyBorder="0"/>
    <xf numFmtId="0" fontId="101" fillId="0" borderId="2253" applyBorder="0"/>
    <xf numFmtId="246" fontId="296" fillId="0" borderId="2313" applyFill="0" applyProtection="0">
      <alignment horizontal="center"/>
    </xf>
    <xf numFmtId="222" fontId="79" fillId="0" borderId="2622" applyBorder="0"/>
    <xf numFmtId="246" fontId="250" fillId="0" borderId="2872" applyFill="0" applyProtection="0">
      <alignment horizontal="center"/>
    </xf>
    <xf numFmtId="246" fontId="249" fillId="0" borderId="2803" applyFill="0" applyProtection="0">
      <alignment horizontal="center"/>
    </xf>
    <xf numFmtId="10" fontId="12" fillId="3" borderId="2828" applyNumberFormat="0" applyFont="0" applyFill="0" applyBorder="0" applyAlignment="0">
      <protection locked="0"/>
    </xf>
    <xf numFmtId="0" fontId="25" fillId="10" borderId="2826" applyNumberFormat="0" applyProtection="0">
      <alignment horizontal="left" vertical="top"/>
    </xf>
    <xf numFmtId="0" fontId="25" fillId="10" borderId="2816" applyNumberFormat="0" applyProtection="0">
      <alignment horizontal="center" vertical="top"/>
    </xf>
    <xf numFmtId="0" fontId="136" fillId="14" borderId="2818" applyNumberFormat="0" applyProtection="0">
      <alignment horizontal="left" vertical="top" indent="1"/>
    </xf>
    <xf numFmtId="312" fontId="214" fillId="0" borderId="2854" applyNumberFormat="0" applyFont="0" applyFill="0" applyAlignment="0" applyProtection="0"/>
    <xf numFmtId="312" fontId="101" fillId="0" borderId="2313" applyBorder="0"/>
    <xf numFmtId="312" fontId="113" fillId="0" borderId="2313" applyNumberFormat="0" applyFill="0" applyAlignment="0" applyProtection="0"/>
    <xf numFmtId="312" fontId="75" fillId="0" borderId="2290" applyNumberFormat="0" applyFont="0" applyFill="0" applyAlignment="0" applyProtection="0"/>
    <xf numFmtId="312" fontId="12" fillId="0" borderId="2313" applyNumberFormat="0" applyFill="0" applyBorder="0" applyAlignment="0" applyProtection="0">
      <alignment horizontal="center"/>
    </xf>
    <xf numFmtId="246" fontId="250" fillId="0" borderId="2803" applyFill="0" applyProtection="0">
      <alignment horizontal="center"/>
    </xf>
    <xf numFmtId="312" fontId="165" fillId="0" borderId="2313" applyFill="0" applyProtection="0">
      <alignment horizontal="center"/>
    </xf>
    <xf numFmtId="312" fontId="242" fillId="0" borderId="2313">
      <alignment horizontal="center"/>
    </xf>
    <xf numFmtId="0" fontId="286" fillId="54" borderId="4749" applyNumberFormat="0" applyAlignment="0" applyProtection="0"/>
    <xf numFmtId="312" fontId="210" fillId="0" borderId="2313" applyNumberFormat="0" applyFill="0" applyBorder="0" applyAlignment="0">
      <protection locked="0"/>
    </xf>
    <xf numFmtId="312" fontId="2" fillId="0" borderId="2294" applyNumberFormat="0" applyAlignment="0" applyProtection="0"/>
    <xf numFmtId="312" fontId="214" fillId="0" borderId="2295" applyNumberFormat="0" applyFont="0" applyFill="0" applyAlignment="0" applyProtection="0"/>
    <xf numFmtId="312" fontId="25" fillId="10" borderId="2296" applyNumberFormat="0" applyProtection="0">
      <alignment horizontal="left" vertical="top"/>
    </xf>
    <xf numFmtId="312" fontId="25" fillId="10" borderId="2297" applyNumberFormat="0" applyProtection="0">
      <alignment horizontal="left" vertical="top"/>
    </xf>
    <xf numFmtId="312" fontId="25" fillId="10" borderId="2298" applyNumberFormat="0" applyProtection="0">
      <alignment horizontal="left" vertical="top"/>
    </xf>
    <xf numFmtId="312" fontId="25" fillId="10" borderId="2299" applyNumberFormat="0" applyProtection="0">
      <alignment horizontal="left" vertical="top"/>
    </xf>
    <xf numFmtId="312" fontId="25" fillId="10" borderId="2296" applyNumberFormat="0" applyProtection="0">
      <alignment horizontal="left" vertical="top"/>
    </xf>
    <xf numFmtId="312" fontId="25" fillId="10" borderId="2297" applyNumberFormat="0" applyProtection="0">
      <alignment horizontal="left" vertical="top"/>
    </xf>
    <xf numFmtId="312" fontId="25" fillId="10" borderId="2298" applyNumberFormat="0" applyProtection="0">
      <alignment horizontal="left" vertical="top"/>
    </xf>
    <xf numFmtId="312" fontId="25" fillId="10" borderId="2299" applyNumberFormat="0" applyProtection="0">
      <alignment horizontal="left" vertical="top"/>
    </xf>
    <xf numFmtId="312" fontId="241" fillId="94" borderId="2313" applyBorder="0" applyProtection="0">
      <alignment horizontal="centerContinuous" vertical="center"/>
    </xf>
    <xf numFmtId="246" fontId="296" fillId="0" borderId="2313" applyFill="0" applyProtection="0">
      <alignment horizontal="center"/>
    </xf>
    <xf numFmtId="222" fontId="79" fillId="0" borderId="2622" applyBorder="0"/>
    <xf numFmtId="10" fontId="12" fillId="3" borderId="2828" applyNumberFormat="0" applyFont="0" applyFill="0" applyBorder="0" applyAlignment="0">
      <protection locked="0"/>
    </xf>
    <xf numFmtId="0" fontId="12" fillId="10" borderId="2816" applyNumberFormat="0" applyFont="0" applyProtection="0"/>
    <xf numFmtId="4" fontId="230" fillId="11" borderId="2818" applyNumberFormat="0" applyProtection="0">
      <alignment horizontal="right" vertical="center"/>
    </xf>
    <xf numFmtId="4" fontId="227" fillId="52" borderId="2819" applyNumberFormat="0" applyProtection="0">
      <alignment horizontal="left" vertical="center" indent="1"/>
    </xf>
    <xf numFmtId="190" fontId="136" fillId="14" borderId="2818" applyNumberFormat="0" applyProtection="0">
      <alignment horizontal="left" vertical="top" indent="1"/>
    </xf>
    <xf numFmtId="0" fontId="2" fillId="0" borderId="2841" applyNumberFormat="0" applyAlignment="0" applyProtection="0"/>
    <xf numFmtId="307" fontId="268" fillId="0" borderId="2831">
      <alignment horizontal="right" wrapText="1"/>
    </xf>
    <xf numFmtId="246" fontId="250" fillId="0" borderId="2803" applyFill="0" applyProtection="0">
      <alignment horizontal="center"/>
    </xf>
    <xf numFmtId="0" fontId="12" fillId="0" borderId="2803" applyNumberFormat="0" applyFill="0" applyBorder="0" applyAlignment="0" applyProtection="0">
      <alignment horizontal="center"/>
    </xf>
    <xf numFmtId="222" fontId="79" fillId="0" borderId="2622" applyBorder="0"/>
    <xf numFmtId="180" fontId="9" fillId="3" borderId="2872">
      <alignment horizontal="right" vertical="center"/>
    </xf>
    <xf numFmtId="180" fontId="9" fillId="3" borderId="2803">
      <alignment horizontal="right" vertical="center"/>
    </xf>
    <xf numFmtId="0" fontId="135" fillId="0" borderId="2816"/>
    <xf numFmtId="190" fontId="12" fillId="11" borderId="2818" applyNumberFormat="0" applyProtection="0">
      <alignment horizontal="left" vertical="center" indent="1"/>
    </xf>
    <xf numFmtId="190" fontId="25" fillId="69" borderId="2816">
      <alignment horizontal="left" vertical="center" wrapText="1"/>
    </xf>
    <xf numFmtId="192" fontId="9" fillId="3" borderId="2872">
      <alignment horizontal="right" vertical="center"/>
    </xf>
    <xf numFmtId="222" fontId="79" fillId="0" borderId="2871" applyBorder="0"/>
    <xf numFmtId="10" fontId="12" fillId="3" borderId="2828" applyNumberFormat="0" applyFont="0" applyFill="0" applyBorder="0" applyAlignment="0">
      <protection locked="0"/>
    </xf>
    <xf numFmtId="186" fontId="146" fillId="3" borderId="2872" applyBorder="0">
      <alignment horizontal="left" vertical="center"/>
    </xf>
    <xf numFmtId="246" fontId="249" fillId="0" borderId="2848" applyFill="0" applyProtection="0">
      <alignment horizontal="center"/>
    </xf>
    <xf numFmtId="0" fontId="12" fillId="0" borderId="2872" applyNumberFormat="0" applyFill="0" applyBorder="0" applyAlignment="0" applyProtection="0">
      <alignment horizontal="center"/>
    </xf>
    <xf numFmtId="222" fontId="79" fillId="0" borderId="2871" applyBorder="0"/>
    <xf numFmtId="293" fontId="234" fillId="3" borderId="2816" applyFont="0" applyProtection="0"/>
    <xf numFmtId="10" fontId="12" fillId="3" borderId="2828" applyNumberFormat="0" applyFont="0" applyFill="0" applyBorder="0" applyAlignment="0">
      <protection locked="0"/>
    </xf>
    <xf numFmtId="0" fontId="166" fillId="0" borderId="2803">
      <alignment horizontal="center"/>
    </xf>
    <xf numFmtId="180" fontId="9" fillId="3" borderId="2848">
      <alignment horizontal="right" vertical="center"/>
    </xf>
    <xf numFmtId="0" fontId="101" fillId="0" borderId="2872" applyBorder="0"/>
    <xf numFmtId="0" fontId="25" fillId="10" borderId="2821" applyNumberFormat="0" applyProtection="0">
      <alignment horizontal="left"/>
    </xf>
    <xf numFmtId="0" fontId="136" fillId="84" borderId="2818" applyNumberFormat="0" applyProtection="0">
      <alignment horizontal="left" vertical="top" indent="1"/>
    </xf>
    <xf numFmtId="293" fontId="234" fillId="10" borderId="2816" applyFont="0" applyProtection="0"/>
    <xf numFmtId="2" fontId="12" fillId="60" borderId="2820" applyFont="0" applyFill="0" applyBorder="0" applyAlignment="0" applyProtection="0"/>
    <xf numFmtId="0" fontId="78" fillId="14" borderId="2862" applyFont="0" applyFill="0" applyBorder="0" applyAlignment="0" applyProtection="0"/>
    <xf numFmtId="169" fontId="234" fillId="3" borderId="2816" applyFont="0" applyProtection="0"/>
    <xf numFmtId="0" fontId="25" fillId="10" borderId="2816" applyNumberFormat="0" applyProtection="0">
      <alignment horizontal="center" vertical="top"/>
    </xf>
    <xf numFmtId="0" fontId="25" fillId="10" borderId="2458" applyNumberFormat="0" applyProtection="0">
      <alignment horizontal="left" vertical="top"/>
    </xf>
    <xf numFmtId="254" fontId="240" fillId="0" borderId="2872" applyBorder="0" applyProtection="0">
      <alignment horizontal="right" vertical="center"/>
    </xf>
    <xf numFmtId="3" fontId="12" fillId="60" borderId="2820" applyFont="0" applyFill="0" applyBorder="0" applyAlignment="0" applyProtection="0"/>
    <xf numFmtId="186" fontId="140" fillId="3" borderId="2455">
      <alignment horizontal="center" vertical="center"/>
    </xf>
    <xf numFmtId="0" fontId="210" fillId="0" borderId="2872" applyNumberFormat="0" applyFill="0" applyBorder="0" applyAlignment="0">
      <protection locked="0"/>
    </xf>
    <xf numFmtId="192" fontId="9" fillId="3" borderId="2803">
      <alignment horizontal="right" vertical="center"/>
    </xf>
    <xf numFmtId="190" fontId="241" fillId="94" borderId="2872" applyBorder="0" applyProtection="0">
      <alignment horizontal="centerContinuous" vertical="center"/>
    </xf>
    <xf numFmtId="0" fontId="165" fillId="0" borderId="2872" applyFill="0" applyProtection="0">
      <alignment horizontal="center"/>
    </xf>
    <xf numFmtId="0" fontId="12" fillId="0" borderId="2815" applyNumberFormat="0" applyFill="0" applyBorder="0" applyAlignment="0" applyProtection="0"/>
    <xf numFmtId="246" fontId="250" fillId="0" borderId="2803" applyFill="0" applyProtection="0">
      <alignment horizontal="center"/>
    </xf>
    <xf numFmtId="264" fontId="12" fillId="14" borderId="2848" applyFont="0" applyFill="0" applyBorder="0" applyAlignment="0" applyProtection="0">
      <alignment horizontal="right"/>
    </xf>
    <xf numFmtId="0" fontId="25" fillId="10" borderId="2458" applyNumberFormat="0" applyProtection="0">
      <alignment horizontal="left" vertical="top"/>
    </xf>
    <xf numFmtId="0" fontId="25" fillId="10" borderId="2459" applyNumberFormat="0" applyProtection="0">
      <alignment horizontal="left" vertical="top"/>
    </xf>
    <xf numFmtId="0" fontId="25" fillId="10" borderId="2459" applyNumberFormat="0" applyProtection="0">
      <alignment horizontal="left" vertical="top"/>
    </xf>
    <xf numFmtId="0" fontId="101" fillId="0" borderId="2803" applyBorder="0"/>
    <xf numFmtId="0" fontId="113" fillId="0" borderId="2848" applyNumberFormat="0" applyFill="0" applyAlignment="0" applyProtection="0"/>
    <xf numFmtId="248" fontId="46" fillId="0" borderId="2848"/>
    <xf numFmtId="190" fontId="12" fillId="84" borderId="2818" applyNumberFormat="0" applyProtection="0">
      <alignment horizontal="left" vertical="top" indent="1"/>
    </xf>
    <xf numFmtId="0" fontId="12" fillId="10" borderId="2816" applyNumberFormat="0" applyFont="0" applyProtection="0"/>
    <xf numFmtId="246" fontId="250" fillId="0" borderId="2313" applyFill="0" applyProtection="0">
      <alignment horizontal="center"/>
    </xf>
    <xf numFmtId="246" fontId="249" fillId="0" borderId="2313" applyFill="0" applyProtection="0">
      <alignment horizontal="center"/>
    </xf>
    <xf numFmtId="0" fontId="241" fillId="94" borderId="2313" applyBorder="0" applyProtection="0">
      <alignment horizontal="centerContinuous" vertical="center"/>
    </xf>
    <xf numFmtId="254" fontId="240" fillId="0" borderId="2313" applyBorder="0" applyProtection="0">
      <alignment horizontal="right" vertical="center"/>
    </xf>
    <xf numFmtId="182" fontId="145" fillId="3" borderId="2814">
      <alignment horizontal="right" vertical="center"/>
    </xf>
    <xf numFmtId="4" fontId="226" fillId="76" borderId="2818" applyNumberFormat="0" applyProtection="0">
      <alignment horizontal="right" vertical="center"/>
    </xf>
    <xf numFmtId="4" fontId="226" fillId="82" borderId="2818" applyNumberFormat="0" applyProtection="0">
      <alignment horizontal="right" vertical="center"/>
    </xf>
    <xf numFmtId="0" fontId="12" fillId="84" borderId="2818" applyNumberFormat="0" applyProtection="0">
      <alignment horizontal="left" vertical="top" indent="1"/>
    </xf>
    <xf numFmtId="4" fontId="226" fillId="11" borderId="2818" applyNumberFormat="0" applyProtection="0">
      <alignment vertical="center"/>
    </xf>
    <xf numFmtId="4" fontId="228" fillId="11" borderId="2818" applyNumberFormat="0" applyProtection="0">
      <alignment horizontal="right" vertical="center"/>
    </xf>
    <xf numFmtId="3" fontId="12" fillId="60" borderId="2820" applyFont="0" applyFill="0" applyBorder="0" applyAlignment="0" applyProtection="0"/>
    <xf numFmtId="9" fontId="12" fillId="60" borderId="2820" applyFont="0" applyFill="0" applyBorder="0" applyAlignment="0" applyProtection="0"/>
    <xf numFmtId="312" fontId="113" fillId="0" borderId="2872" applyNumberFormat="0" applyFill="0" applyAlignment="0" applyProtection="0"/>
    <xf numFmtId="312" fontId="46" fillId="0" borderId="2815" applyNumberFormat="0" applyFill="0" applyBorder="0" applyAlignment="0" applyProtection="0"/>
    <xf numFmtId="0" fontId="210" fillId="0" borderId="2313" applyNumberFormat="0" applyFill="0" applyBorder="0" applyAlignment="0">
      <protection locked="0"/>
    </xf>
    <xf numFmtId="186" fontId="146" fillId="3" borderId="2875">
      <alignment horizontal="left"/>
    </xf>
    <xf numFmtId="264" fontId="12" fillId="14" borderId="2313" applyFont="0" applyFill="0" applyBorder="0" applyAlignment="0" applyProtection="0">
      <alignment horizontal="right"/>
    </xf>
    <xf numFmtId="264" fontId="12" fillId="14" borderId="2860" applyFont="0" applyFill="0" applyBorder="0" applyAlignment="0" applyProtection="0">
      <alignment horizontal="right"/>
    </xf>
    <xf numFmtId="0" fontId="113" fillId="0" borderId="2860" applyNumberFormat="0" applyFill="0" applyAlignment="0" applyProtection="0"/>
    <xf numFmtId="0" fontId="214" fillId="0" borderId="2457" applyNumberFormat="0" applyFont="0" applyFill="0" applyAlignment="0" applyProtection="0"/>
    <xf numFmtId="0" fontId="166" fillId="0" borderId="2313">
      <alignment horizontal="center"/>
    </xf>
    <xf numFmtId="0" fontId="165" fillId="0" borderId="2313" applyFill="0" applyProtection="0">
      <alignment horizontal="center"/>
    </xf>
    <xf numFmtId="0" fontId="75" fillId="0" borderId="2804" applyNumberFormat="0" applyFont="0" applyFill="0" applyAlignment="0" applyProtection="0"/>
    <xf numFmtId="222" fontId="79" fillId="0" borderId="2835" applyBorder="0"/>
    <xf numFmtId="0" fontId="12" fillId="0" borderId="2860" applyNumberFormat="0" applyFill="0" applyBorder="0" applyAlignment="0" applyProtection="0">
      <alignment horizontal="center"/>
    </xf>
    <xf numFmtId="0" fontId="210" fillId="0" borderId="2860" applyNumberFormat="0" applyFill="0" applyBorder="0" applyAlignment="0">
      <protection locked="0"/>
    </xf>
    <xf numFmtId="10" fontId="12" fillId="3" borderId="2828" applyNumberFormat="0" applyFont="0" applyFill="0" applyBorder="0" applyAlignment="0">
      <protection locked="0"/>
    </xf>
    <xf numFmtId="0" fontId="12" fillId="0" borderId="2872" applyNumberFormat="0" applyFill="0" applyBorder="0" applyAlignment="0" applyProtection="0">
      <alignment horizontal="center"/>
    </xf>
    <xf numFmtId="186" fontId="140" fillId="3" borderId="2876">
      <alignment horizontal="center" vertical="center"/>
    </xf>
    <xf numFmtId="0" fontId="214" fillId="0" borderId="2878" applyNumberFormat="0" applyFont="0" applyFill="0" applyAlignment="0" applyProtection="0"/>
    <xf numFmtId="186" fontId="146" fillId="3" borderId="2313" applyBorder="0">
      <alignment horizontal="left" vertical="center"/>
    </xf>
    <xf numFmtId="180" fontId="9" fillId="3" borderId="2313">
      <alignment horizontal="right" vertical="center"/>
    </xf>
    <xf numFmtId="192" fontId="9" fillId="3" borderId="2313">
      <alignment horizontal="right" vertical="center"/>
    </xf>
    <xf numFmtId="248" fontId="46" fillId="0" borderId="2313"/>
    <xf numFmtId="0" fontId="12" fillId="0" borderId="2313" applyNumberFormat="0" applyFill="0" applyBorder="0" applyAlignment="0" applyProtection="0">
      <alignment horizontal="center"/>
    </xf>
    <xf numFmtId="0" fontId="25" fillId="10" borderId="2855" applyNumberFormat="0" applyProtection="0">
      <alignment horizontal="left" vertical="top"/>
    </xf>
    <xf numFmtId="0" fontId="113" fillId="0" borderId="2313" applyNumberFormat="0" applyFill="0" applyAlignment="0" applyProtection="0"/>
    <xf numFmtId="312" fontId="105" fillId="0" borderId="2815" applyNumberFormat="0" applyFill="0" applyBorder="0" applyAlignment="0" applyProtection="0"/>
    <xf numFmtId="222" fontId="79" fillId="0" borderId="2312" applyBorder="0"/>
    <xf numFmtId="0" fontId="101" fillId="0" borderId="2313" applyBorder="0"/>
    <xf numFmtId="10" fontId="12" fillId="60" borderId="2820" applyFont="0" applyFill="0" applyBorder="0" applyAlignment="0" applyProtection="0"/>
    <xf numFmtId="4" fontId="230" fillId="11" borderId="2818" applyNumberFormat="0" applyProtection="0">
      <alignment horizontal="right" vertical="center"/>
    </xf>
    <xf numFmtId="4" fontId="184" fillId="11" borderId="2818" applyNumberFormat="0" applyProtection="0">
      <alignment horizontal="right" vertical="center"/>
    </xf>
    <xf numFmtId="0" fontId="12" fillId="11" borderId="2818" applyNumberFormat="0" applyProtection="0">
      <alignment horizontal="left" vertical="top" indent="1"/>
    </xf>
    <xf numFmtId="4" fontId="184" fillId="52" borderId="2818" applyNumberFormat="0" applyProtection="0">
      <alignment horizontal="right" vertical="center"/>
    </xf>
    <xf numFmtId="0" fontId="12" fillId="84" borderId="2818" applyNumberFormat="0" applyProtection="0">
      <alignment horizontal="left" vertical="center" indent="1"/>
    </xf>
    <xf numFmtId="4" fontId="226" fillId="81" borderId="2818" applyNumberFormat="0" applyProtection="0">
      <alignment horizontal="right" vertical="center"/>
    </xf>
    <xf numFmtId="0" fontId="25" fillId="10" borderId="2320" applyNumberFormat="0" applyProtection="0">
      <alignment horizontal="left" vertical="top"/>
    </xf>
    <xf numFmtId="0" fontId="25" fillId="10" borderId="2321" applyNumberFormat="0" applyProtection="0">
      <alignment horizontal="left" vertical="top"/>
    </xf>
    <xf numFmtId="0" fontId="25" fillId="10" borderId="2322" applyNumberFormat="0" applyProtection="0">
      <alignment horizontal="left" vertical="top"/>
    </xf>
    <xf numFmtId="0" fontId="25" fillId="10" borderId="2323" applyNumberFormat="0" applyProtection="0">
      <alignment horizontal="left" vertical="top"/>
    </xf>
    <xf numFmtId="0" fontId="48" fillId="0" borderId="2814" applyFont="0" applyFill="0" applyBorder="0" applyAlignment="0" applyProtection="0">
      <alignment horizontal="center"/>
    </xf>
    <xf numFmtId="0" fontId="113" fillId="0" borderId="2803" applyNumberFormat="0" applyFill="0" applyAlignment="0" applyProtection="0"/>
    <xf numFmtId="222" fontId="79" fillId="0" borderId="2859" applyBorder="0"/>
    <xf numFmtId="0" fontId="25" fillId="10" borderId="2825" applyNumberFormat="0" applyProtection="0">
      <alignment horizontal="left" vertical="top"/>
    </xf>
    <xf numFmtId="0" fontId="12" fillId="0" borderId="2815" applyNumberFormat="0" applyFill="0" applyBorder="0" applyAlignment="0" applyProtection="0"/>
    <xf numFmtId="190" fontId="2" fillId="0" borderId="2853" applyNumberFormat="0" applyAlignment="0" applyProtection="0"/>
    <xf numFmtId="0" fontId="2" fillId="0" borderId="2808" applyNumberFormat="0" applyAlignment="0" applyProtection="0"/>
    <xf numFmtId="0" fontId="166" fillId="0" borderId="2803">
      <alignment horizontal="center"/>
    </xf>
    <xf numFmtId="0" fontId="101" fillId="0" borderId="2803" applyBorder="0"/>
    <xf numFmtId="186" fontId="146" fillId="3" borderId="2803" applyBorder="0">
      <alignment horizontal="left" vertical="center"/>
    </xf>
    <xf numFmtId="190" fontId="12" fillId="0" borderId="2815" applyNumberFormat="0" applyFill="0" applyBorder="0" applyAlignment="0" applyProtection="0"/>
    <xf numFmtId="0" fontId="12" fillId="0" borderId="2803" applyNumberFormat="0" applyFill="0" applyBorder="0" applyAlignment="0" applyProtection="0">
      <alignment horizontal="center"/>
    </xf>
    <xf numFmtId="0" fontId="25" fillId="10" borderId="2881" applyNumberFormat="0" applyProtection="0">
      <alignment horizontal="left" vertical="top"/>
    </xf>
    <xf numFmtId="10" fontId="12" fillId="3" borderId="2828" applyNumberFormat="0" applyFont="0" applyFill="0" applyBorder="0" applyAlignment="0">
      <protection locked="0"/>
    </xf>
    <xf numFmtId="222" fontId="79" fillId="0" borderId="2871" applyBorder="0"/>
    <xf numFmtId="10" fontId="12" fillId="3" borderId="2828" applyNumberFormat="0" applyFont="0" applyFill="0" applyBorder="0" applyAlignment="0">
      <protection locked="0"/>
    </xf>
    <xf numFmtId="0" fontId="25" fillId="10" borderId="2821" applyNumberFormat="0" applyProtection="0">
      <alignment horizontal="left"/>
    </xf>
    <xf numFmtId="0" fontId="74" fillId="0" borderId="2814" applyFont="0" applyFill="0" applyBorder="0" applyAlignment="0" applyProtection="0">
      <alignment horizontal="center"/>
    </xf>
    <xf numFmtId="0" fontId="135" fillId="0" borderId="2816"/>
    <xf numFmtId="0" fontId="159" fillId="67" borderId="2816"/>
    <xf numFmtId="0" fontId="184" fillId="0" borderId="2817" applyAlignment="0">
      <alignment horizontal="left" wrapText="1"/>
    </xf>
    <xf numFmtId="0" fontId="225" fillId="53" borderId="2818" applyNumberFormat="0" applyProtection="0">
      <alignment horizontal="left" vertical="top" indent="1"/>
    </xf>
    <xf numFmtId="4" fontId="226" fillId="80" borderId="2818" applyNumberFormat="0" applyProtection="0">
      <alignment horizontal="right" vertical="center"/>
    </xf>
    <xf numFmtId="0" fontId="12" fillId="75" borderId="2818" applyNumberFormat="0" applyProtection="0">
      <alignment horizontal="left" vertical="top" indent="1"/>
    </xf>
    <xf numFmtId="0" fontId="12" fillId="11" borderId="2818" applyNumberFormat="0" applyProtection="0">
      <alignment horizontal="left" vertical="center" indent="1"/>
    </xf>
    <xf numFmtId="0" fontId="136" fillId="14" borderId="2818" applyNumberFormat="0" applyProtection="0">
      <alignment horizontal="left" vertical="top" indent="1"/>
    </xf>
    <xf numFmtId="4" fontId="229" fillId="84" borderId="2819" applyNumberFormat="0" applyProtection="0">
      <alignment horizontal="left" vertical="center" indent="1"/>
    </xf>
    <xf numFmtId="190" fontId="184" fillId="0" borderId="2817" applyAlignment="0">
      <alignment horizontal="left" wrapText="1"/>
    </xf>
    <xf numFmtId="0" fontId="2" fillId="0" borderId="2456" applyNumberFormat="0" applyAlignment="0" applyProtection="0"/>
    <xf numFmtId="0" fontId="113" fillId="0" borderId="2803" applyNumberFormat="0" applyFill="0" applyAlignment="0" applyProtection="0"/>
    <xf numFmtId="186" fontId="146" fillId="3" borderId="2806">
      <alignment horizontal="left"/>
    </xf>
    <xf numFmtId="0" fontId="101" fillId="0" borderId="2836" applyBorder="0"/>
    <xf numFmtId="222" fontId="79" fillId="0" borderId="2859" applyBorder="0"/>
    <xf numFmtId="0" fontId="166" fillId="0" borderId="2860">
      <alignment horizontal="center"/>
    </xf>
    <xf numFmtId="10" fontId="12" fillId="3" borderId="2828" applyNumberFormat="0" applyFont="0" applyFill="0" applyBorder="0" applyAlignment="0">
      <protection locked="0"/>
    </xf>
    <xf numFmtId="186" fontId="146" fillId="3" borderId="2872" applyBorder="0">
      <alignment horizontal="left" vertical="center"/>
    </xf>
    <xf numFmtId="0" fontId="25" fillId="10" borderId="2880" applyNumberFormat="0" applyProtection="0">
      <alignment horizontal="left" vertical="top"/>
    </xf>
    <xf numFmtId="0" fontId="101" fillId="0" borderId="2872" applyBorder="0"/>
    <xf numFmtId="0" fontId="25" fillId="10" borderId="2858" applyNumberFormat="0" applyProtection="0">
      <alignment horizontal="left" vertical="top"/>
    </xf>
    <xf numFmtId="10" fontId="12" fillId="3" borderId="2828" applyNumberFormat="0" applyFont="0" applyFill="0" applyBorder="0" applyAlignment="0">
      <protection locked="0"/>
    </xf>
    <xf numFmtId="312" fontId="12" fillId="0" borderId="2815" applyNumberFormat="0" applyFill="0" applyBorder="0" applyAlignment="0" applyProtection="0"/>
    <xf numFmtId="186" fontId="146" fillId="3" borderId="3255" applyBorder="0">
      <alignment horizontal="left" vertical="center"/>
    </xf>
    <xf numFmtId="0" fontId="48" fillId="0" borderId="2815" applyNumberFormat="0" applyFill="0" applyAlignment="0" applyProtection="0"/>
    <xf numFmtId="222" fontId="79" fillId="0" borderId="2622" applyBorder="0"/>
    <xf numFmtId="0" fontId="25" fillId="10" borderId="2879" applyNumberFormat="0" applyProtection="0">
      <alignment horizontal="left" vertical="top"/>
    </xf>
    <xf numFmtId="10" fontId="12" fillId="3" borderId="2828" applyNumberFormat="0" applyFont="0" applyFill="0" applyBorder="0" applyAlignment="0">
      <protection locked="0"/>
    </xf>
    <xf numFmtId="10" fontId="12" fillId="3" borderId="2828" applyNumberFormat="0" applyFont="0" applyFill="0" applyBorder="0" applyAlignment="0">
      <protection locked="0"/>
    </xf>
    <xf numFmtId="0" fontId="25" fillId="10" borderId="2870" applyNumberFormat="0" applyProtection="0">
      <alignment horizontal="left" vertical="top"/>
    </xf>
    <xf numFmtId="0" fontId="25" fillId="10" borderId="2460" applyNumberFormat="0" applyProtection="0">
      <alignment horizontal="left" vertical="top"/>
    </xf>
    <xf numFmtId="0" fontId="25" fillId="10" borderId="2824" applyNumberFormat="0" applyProtection="0">
      <alignment horizontal="left" vertical="top"/>
    </xf>
    <xf numFmtId="222" fontId="79" fillId="0" borderId="2324" applyBorder="0"/>
    <xf numFmtId="0" fontId="101" fillId="0" borderId="2325" applyBorder="0"/>
    <xf numFmtId="222" fontId="79" fillId="0" borderId="2324" applyBorder="0"/>
    <xf numFmtId="0" fontId="113" fillId="0" borderId="2325" applyNumberFormat="0" applyFill="0" applyAlignment="0" applyProtection="0"/>
    <xf numFmtId="0" fontId="12" fillId="0" borderId="2325" applyNumberFormat="0" applyFill="0" applyBorder="0" applyAlignment="0" applyProtection="0">
      <alignment horizontal="center"/>
    </xf>
    <xf numFmtId="248" fontId="46" fillId="0" borderId="2325"/>
    <xf numFmtId="192" fontId="9" fillId="3" borderId="2325">
      <alignment horizontal="right" vertical="center"/>
    </xf>
    <xf numFmtId="180" fontId="9" fillId="3" borderId="2325">
      <alignment horizontal="right" vertical="center"/>
    </xf>
    <xf numFmtId="186" fontId="146" fillId="3" borderId="2325" applyBorder="0">
      <alignment horizontal="left" vertical="center"/>
    </xf>
    <xf numFmtId="0" fontId="165" fillId="0" borderId="2325" applyFill="0" applyProtection="0">
      <alignment horizontal="center"/>
    </xf>
    <xf numFmtId="0" fontId="166" fillId="0" borderId="2325">
      <alignment horizontal="center"/>
    </xf>
    <xf numFmtId="264" fontId="12" fillId="14" borderId="2325" applyFont="0" applyFill="0" applyBorder="0" applyAlignment="0" applyProtection="0">
      <alignment horizontal="right"/>
    </xf>
    <xf numFmtId="0" fontId="210" fillId="0" borderId="2325" applyNumberFormat="0" applyFill="0" applyBorder="0" applyAlignment="0">
      <protection locked="0"/>
    </xf>
    <xf numFmtId="254" fontId="240" fillId="0" borderId="2325" applyBorder="0" applyProtection="0">
      <alignment horizontal="right" vertical="center"/>
    </xf>
    <xf numFmtId="0" fontId="241" fillId="94" borderId="2325" applyBorder="0" applyProtection="0">
      <alignment horizontal="centerContinuous" vertical="center"/>
    </xf>
    <xf numFmtId="246" fontId="249" fillId="0" borderId="2325" applyFill="0" applyProtection="0">
      <alignment horizontal="center"/>
    </xf>
    <xf numFmtId="246" fontId="250" fillId="0" borderId="2325" applyFill="0" applyProtection="0">
      <alignment horizontal="center"/>
    </xf>
    <xf numFmtId="0" fontId="78" fillId="14" borderId="2327" applyFont="0" applyFill="0" applyBorder="0" applyAlignment="0" applyProtection="0"/>
    <xf numFmtId="0" fontId="25" fillId="10" borderId="2335" applyNumberFormat="0" applyProtection="0">
      <alignment horizontal="left" vertical="top"/>
    </xf>
    <xf numFmtId="0" fontId="25" fillId="10" borderId="2334" applyNumberFormat="0" applyProtection="0">
      <alignment horizontal="left" vertical="top"/>
    </xf>
    <xf numFmtId="0" fontId="25" fillId="10" borderId="2333" applyNumberFormat="0" applyProtection="0">
      <alignment horizontal="left" vertical="top"/>
    </xf>
    <xf numFmtId="0" fontId="25" fillId="10" borderId="2332" applyNumberFormat="0" applyProtection="0">
      <alignment horizontal="left" vertical="top"/>
    </xf>
    <xf numFmtId="0" fontId="214" fillId="0" borderId="2331" applyNumberFormat="0" applyFont="0" applyFill="0" applyAlignment="0" applyProtection="0"/>
    <xf numFmtId="0" fontId="2" fillId="0" borderId="2330" applyNumberFormat="0" applyAlignment="0" applyProtection="0"/>
    <xf numFmtId="186" fontId="140" fillId="3" borderId="2329">
      <alignment horizontal="center" vertical="center"/>
    </xf>
    <xf numFmtId="186" fontId="146" fillId="3" borderId="2328">
      <alignment horizontal="left"/>
    </xf>
    <xf numFmtId="0" fontId="75" fillId="0" borderId="2326" applyNumberFormat="0" applyFont="0" applyFill="0" applyAlignment="0" applyProtection="0"/>
    <xf numFmtId="222" fontId="79" fillId="0" borderId="2336" applyBorder="0"/>
    <xf numFmtId="0" fontId="101" fillId="0" borderId="2337" applyBorder="0"/>
    <xf numFmtId="222" fontId="79" fillId="0" borderId="2336" applyBorder="0"/>
    <xf numFmtId="0" fontId="113" fillId="0" borderId="2337" applyNumberFormat="0" applyFill="0" applyAlignment="0" applyProtection="0"/>
    <xf numFmtId="0" fontId="12" fillId="0" borderId="2337" applyNumberFormat="0" applyFill="0" applyBorder="0" applyAlignment="0" applyProtection="0">
      <alignment horizontal="center"/>
    </xf>
    <xf numFmtId="248" fontId="46" fillId="0" borderId="2337"/>
    <xf numFmtId="192" fontId="9" fillId="3" borderId="2337">
      <alignment horizontal="right" vertical="center"/>
    </xf>
    <xf numFmtId="180" fontId="9" fillId="3" borderId="2337">
      <alignment horizontal="right" vertical="center"/>
    </xf>
    <xf numFmtId="186" fontId="146" fillId="3" borderId="2337" applyBorder="0">
      <alignment horizontal="left" vertical="center"/>
    </xf>
    <xf numFmtId="0" fontId="165" fillId="0" borderId="2337" applyFill="0" applyProtection="0">
      <alignment horizontal="center"/>
    </xf>
    <xf numFmtId="0" fontId="166" fillId="0" borderId="2337">
      <alignment horizontal="center"/>
    </xf>
    <xf numFmtId="264" fontId="12" fillId="14" borderId="2337" applyFont="0" applyFill="0" applyBorder="0" applyAlignment="0" applyProtection="0">
      <alignment horizontal="right"/>
    </xf>
    <xf numFmtId="0" fontId="210" fillId="0" borderId="2337" applyNumberFormat="0" applyFill="0" applyBorder="0" applyAlignment="0">
      <protection locked="0"/>
    </xf>
    <xf numFmtId="254" fontId="240" fillId="0" borderId="2337" applyBorder="0" applyProtection="0">
      <alignment horizontal="right" vertical="center"/>
    </xf>
    <xf numFmtId="0" fontId="241" fillId="94" borderId="2337" applyBorder="0" applyProtection="0">
      <alignment horizontal="centerContinuous" vertical="center"/>
    </xf>
    <xf numFmtId="246" fontId="249" fillId="0" borderId="2337" applyFill="0" applyProtection="0">
      <alignment horizontal="center"/>
    </xf>
    <xf numFmtId="246" fontId="250" fillId="0" borderId="2337" applyFill="0" applyProtection="0">
      <alignment horizontal="center"/>
    </xf>
    <xf numFmtId="186" fontId="146" fillId="3" borderId="2340">
      <alignment horizontal="left"/>
    </xf>
    <xf numFmtId="0" fontId="75" fillId="0" borderId="2338" applyNumberFormat="0" applyFont="0" applyFill="0" applyAlignment="0" applyProtection="0"/>
    <xf numFmtId="0" fontId="113" fillId="0" borderId="2421" applyNumberFormat="0" applyFill="0" applyAlignment="0" applyProtection="0"/>
    <xf numFmtId="264" fontId="12" fillId="14" borderId="2421" applyFont="0" applyFill="0" applyBorder="0" applyAlignment="0" applyProtection="0">
      <alignment horizontal="right"/>
    </xf>
    <xf numFmtId="246" fontId="249" fillId="0" borderId="2421" applyFill="0" applyProtection="0">
      <alignment horizontal="center"/>
    </xf>
    <xf numFmtId="0" fontId="25" fillId="10" borderId="2347" applyNumberFormat="0" applyProtection="0">
      <alignment horizontal="left" vertical="top"/>
    </xf>
    <xf numFmtId="0" fontId="25" fillId="10" borderId="2345" applyNumberFormat="0" applyProtection="0">
      <alignment horizontal="left" vertical="top"/>
    </xf>
    <xf numFmtId="0" fontId="25" fillId="10" borderId="2346" applyNumberFormat="0" applyProtection="0">
      <alignment horizontal="left" vertical="top"/>
    </xf>
    <xf numFmtId="0" fontId="25" fillId="10" borderId="2344" applyNumberFormat="0" applyProtection="0">
      <alignment horizontal="left" vertical="top"/>
    </xf>
    <xf numFmtId="0" fontId="25" fillId="10" borderId="2347" applyNumberFormat="0" applyProtection="0">
      <alignment horizontal="left" vertical="top"/>
    </xf>
    <xf numFmtId="0" fontId="25" fillId="10" borderId="2346" applyNumberFormat="0" applyProtection="0">
      <alignment horizontal="left" vertical="top"/>
    </xf>
    <xf numFmtId="0" fontId="25" fillId="10" borderId="2345" applyNumberFormat="0" applyProtection="0">
      <alignment horizontal="left" vertical="top"/>
    </xf>
    <xf numFmtId="0" fontId="25" fillId="10" borderId="2344" applyNumberFormat="0" applyProtection="0">
      <alignment horizontal="left" vertical="top"/>
    </xf>
    <xf numFmtId="0" fontId="214" fillId="0" borderId="2343" applyNumberFormat="0" applyFont="0" applyFill="0" applyAlignment="0" applyProtection="0"/>
    <xf numFmtId="0" fontId="2" fillId="0" borderId="2342" applyNumberFormat="0" applyAlignment="0" applyProtection="0"/>
    <xf numFmtId="186" fontId="140" fillId="3" borderId="2341">
      <alignment horizontal="center" vertical="center"/>
    </xf>
    <xf numFmtId="186" fontId="140" fillId="3" borderId="2353">
      <alignment horizontal="center" vertical="center"/>
    </xf>
    <xf numFmtId="0" fontId="25" fillId="10" borderId="2356" applyNumberFormat="0" applyProtection="0">
      <alignment horizontal="left" vertical="top"/>
    </xf>
    <xf numFmtId="0" fontId="12" fillId="0" borderId="2421" applyNumberFormat="0" applyFill="0" applyBorder="0" applyAlignment="0" applyProtection="0">
      <alignment horizontal="center"/>
    </xf>
    <xf numFmtId="0" fontId="25" fillId="10" borderId="2418" applyNumberFormat="0" applyProtection="0">
      <alignment horizontal="left" vertical="top"/>
    </xf>
    <xf numFmtId="222" fontId="79" fillId="0" borderId="2408" applyBorder="0"/>
    <xf numFmtId="0" fontId="78" fillId="14" borderId="2411" applyFont="0" applyFill="0" applyBorder="0" applyAlignment="0" applyProtection="0"/>
    <xf numFmtId="222" fontId="79" fillId="0" borderId="2420" applyBorder="0"/>
    <xf numFmtId="0" fontId="101" fillId="0" borderId="2421" applyBorder="0"/>
    <xf numFmtId="222" fontId="79" fillId="0" borderId="2420" applyBorder="0"/>
    <xf numFmtId="248" fontId="46" fillId="0" borderId="2421"/>
    <xf numFmtId="192" fontId="9" fillId="3" borderId="2421">
      <alignment horizontal="right" vertical="center"/>
    </xf>
    <xf numFmtId="180" fontId="9" fillId="3" borderId="2421">
      <alignment horizontal="right" vertical="center"/>
    </xf>
    <xf numFmtId="186" fontId="146" fillId="3" borderId="2421" applyBorder="0">
      <alignment horizontal="left" vertical="center"/>
    </xf>
    <xf numFmtId="0" fontId="165" fillId="0" borderId="2421" applyFill="0" applyProtection="0">
      <alignment horizontal="center"/>
    </xf>
    <xf numFmtId="0" fontId="210" fillId="0" borderId="2421" applyNumberFormat="0" applyFill="0" applyBorder="0" applyAlignment="0">
      <protection locked="0"/>
    </xf>
    <xf numFmtId="254" fontId="240" fillId="0" borderId="2421" applyBorder="0" applyProtection="0">
      <alignment horizontal="right" vertical="center"/>
    </xf>
    <xf numFmtId="246" fontId="250" fillId="0" borderId="2421" applyFill="0" applyProtection="0">
      <alignment horizontal="center"/>
    </xf>
    <xf numFmtId="222" fontId="79" fillId="0" borderId="2360" applyBorder="0"/>
    <xf numFmtId="0" fontId="25" fillId="10" borderId="2357" applyNumberFormat="0" applyProtection="0">
      <alignment horizontal="left" vertical="top"/>
    </xf>
    <xf numFmtId="0" fontId="25" fillId="10" borderId="2359" applyNumberFormat="0" applyProtection="0">
      <alignment horizontal="left" vertical="top"/>
    </xf>
    <xf numFmtId="0" fontId="25" fillId="10" borderId="2356" applyNumberFormat="0" applyProtection="0">
      <alignment horizontal="left" vertical="top"/>
    </xf>
    <xf numFmtId="0" fontId="25" fillId="10" borderId="2357" applyNumberFormat="0" applyProtection="0">
      <alignment horizontal="left" vertical="top"/>
    </xf>
    <xf numFmtId="0" fontId="25" fillId="10" borderId="2358" applyNumberFormat="0" applyProtection="0">
      <alignment horizontal="left" vertical="top"/>
    </xf>
    <xf numFmtId="0" fontId="75" fillId="0" borderId="2362" applyNumberFormat="0" applyFont="0" applyFill="0" applyAlignment="0" applyProtection="0"/>
    <xf numFmtId="0" fontId="101" fillId="0" borderId="2373" applyBorder="0"/>
    <xf numFmtId="222" fontId="79" fillId="0" borderId="2372" applyBorder="0"/>
    <xf numFmtId="0" fontId="113" fillId="0" borderId="2373" applyNumberFormat="0" applyFill="0" applyAlignment="0" applyProtection="0"/>
    <xf numFmtId="0" fontId="12" fillId="0" borderId="2373" applyNumberFormat="0" applyFill="0" applyBorder="0" applyAlignment="0" applyProtection="0">
      <alignment horizontal="center"/>
    </xf>
    <xf numFmtId="248" fontId="46" fillId="0" borderId="2373"/>
    <xf numFmtId="192" fontId="9" fillId="3" borderId="2373">
      <alignment horizontal="right" vertical="center"/>
    </xf>
    <xf numFmtId="180" fontId="9" fillId="3" borderId="2373">
      <alignment horizontal="right" vertical="center"/>
    </xf>
    <xf numFmtId="186" fontId="146" fillId="3" borderId="2373" applyBorder="0">
      <alignment horizontal="left" vertical="center"/>
    </xf>
    <xf numFmtId="0" fontId="166" fillId="0" borderId="2373">
      <alignment horizontal="center"/>
    </xf>
    <xf numFmtId="0" fontId="210" fillId="0" borderId="2373" applyNumberFormat="0" applyFill="0" applyBorder="0" applyAlignment="0">
      <protection locked="0"/>
    </xf>
    <xf numFmtId="264" fontId="12" fillId="14" borderId="2373" applyFont="0" applyFill="0" applyBorder="0" applyAlignment="0" applyProtection="0">
      <alignment horizontal="right"/>
    </xf>
    <xf numFmtId="246" fontId="249" fillId="0" borderId="2373" applyFill="0" applyProtection="0">
      <alignment horizontal="center"/>
    </xf>
    <xf numFmtId="246" fontId="250" fillId="0" borderId="2373" applyFill="0" applyProtection="0">
      <alignment horizontal="center"/>
    </xf>
    <xf numFmtId="246" fontId="250" fillId="0" borderId="2397" applyFill="0" applyProtection="0">
      <alignment horizontal="center"/>
    </xf>
    <xf numFmtId="246" fontId="249" fillId="0" borderId="2397" applyFill="0" applyProtection="0">
      <alignment horizontal="center"/>
    </xf>
    <xf numFmtId="254" fontId="240" fillId="0" borderId="2397" applyBorder="0" applyProtection="0">
      <alignment horizontal="right" vertical="center"/>
    </xf>
    <xf numFmtId="264" fontId="12" fillId="14" borderId="2397" applyFont="0" applyFill="0" applyBorder="0" applyAlignment="0" applyProtection="0">
      <alignment horizontal="right"/>
    </xf>
    <xf numFmtId="0" fontId="165" fillId="0" borderId="2397" applyFill="0" applyProtection="0">
      <alignment horizontal="center"/>
    </xf>
    <xf numFmtId="180" fontId="9" fillId="3" borderId="2397">
      <alignment horizontal="right" vertical="center"/>
    </xf>
    <xf numFmtId="0" fontId="12" fillId="0" borderId="2397" applyNumberFormat="0" applyFill="0" applyBorder="0" applyAlignment="0" applyProtection="0">
      <alignment horizontal="center"/>
    </xf>
    <xf numFmtId="0" fontId="101" fillId="0" borderId="2397" applyBorder="0"/>
    <xf numFmtId="222" fontId="79" fillId="0" borderId="2396" applyBorder="0"/>
    <xf numFmtId="0" fontId="75" fillId="0" borderId="2386" applyNumberFormat="0" applyFont="0" applyFill="0" applyAlignment="0" applyProtection="0"/>
    <xf numFmtId="0" fontId="2" fillId="0" borderId="2390" applyNumberFormat="0" applyAlignment="0" applyProtection="0"/>
    <xf numFmtId="0" fontId="25" fillId="10" borderId="2392" applyNumberFormat="0" applyProtection="0">
      <alignment horizontal="left" vertical="top"/>
    </xf>
    <xf numFmtId="0" fontId="25" fillId="10" borderId="2395" applyNumberFormat="0" applyProtection="0">
      <alignment horizontal="left" vertical="top"/>
    </xf>
    <xf numFmtId="222" fontId="79" fillId="0" borderId="2384" applyBorder="0"/>
    <xf numFmtId="0" fontId="25" fillId="10" borderId="2370" applyNumberFormat="0" applyProtection="0">
      <alignment horizontal="left" vertical="top"/>
    </xf>
    <xf numFmtId="0" fontId="25" fillId="10" borderId="2368" applyNumberFormat="0" applyProtection="0">
      <alignment horizontal="left" vertical="top"/>
    </xf>
    <xf numFmtId="0" fontId="214" fillId="0" borderId="2367" applyNumberFormat="0" applyFont="0" applyFill="0" applyAlignment="0" applyProtection="0"/>
    <xf numFmtId="186" fontId="146" fillId="3" borderId="2364">
      <alignment horizontal="left"/>
    </xf>
    <xf numFmtId="222" fontId="79" fillId="0" borderId="2372" applyBorder="0"/>
    <xf numFmtId="0" fontId="101" fillId="0" borderId="2253" applyBorder="0"/>
    <xf numFmtId="0" fontId="113" fillId="0" borderId="2253" applyNumberFormat="0" applyFill="0" applyAlignment="0" applyProtection="0"/>
    <xf numFmtId="0" fontId="12" fillId="0" borderId="2253" applyNumberFormat="0" applyFill="0" applyBorder="0" applyAlignment="0" applyProtection="0">
      <alignment horizontal="center"/>
    </xf>
    <xf numFmtId="248" fontId="46" fillId="0" borderId="2253"/>
    <xf numFmtId="192" fontId="9" fillId="3" borderId="2253">
      <alignment horizontal="right" vertical="center"/>
    </xf>
    <xf numFmtId="180" fontId="9" fillId="3" borderId="2253">
      <alignment horizontal="right" vertical="center"/>
    </xf>
    <xf numFmtId="186" fontId="146" fillId="3" borderId="2253" applyBorder="0">
      <alignment horizontal="left" vertical="center"/>
    </xf>
    <xf numFmtId="0" fontId="165" fillId="0" borderId="2253" applyFill="0" applyProtection="0">
      <alignment horizontal="center"/>
    </xf>
    <xf numFmtId="0" fontId="166" fillId="0" borderId="2253">
      <alignment horizontal="center"/>
    </xf>
    <xf numFmtId="264" fontId="12" fillId="14" borderId="2253" applyFont="0" applyFill="0" applyBorder="0" applyAlignment="0" applyProtection="0">
      <alignment horizontal="right"/>
    </xf>
    <xf numFmtId="0" fontId="210" fillId="0" borderId="2253" applyNumberFormat="0" applyFill="0" applyBorder="0" applyAlignment="0">
      <protection locked="0"/>
    </xf>
    <xf numFmtId="248" fontId="46" fillId="0" borderId="2397"/>
    <xf numFmtId="222" fontId="79" fillId="0" borderId="2396" applyBorder="0"/>
    <xf numFmtId="186" fontId="140" fillId="3" borderId="2389">
      <alignment horizontal="center" vertical="center"/>
    </xf>
    <xf numFmtId="0" fontId="25" fillId="10" borderId="2394" applyNumberFormat="0" applyProtection="0">
      <alignment horizontal="left" vertical="top"/>
    </xf>
    <xf numFmtId="0" fontId="210" fillId="0" borderId="2397" applyNumberFormat="0" applyFill="0" applyBorder="0" applyAlignment="0">
      <protection locked="0"/>
    </xf>
    <xf numFmtId="192" fontId="9" fillId="3" borderId="2397">
      <alignment horizontal="right" vertical="center"/>
    </xf>
    <xf numFmtId="0" fontId="113" fillId="0" borderId="2397" applyNumberFormat="0" applyFill="0" applyAlignment="0" applyProtection="0"/>
    <xf numFmtId="186" fontId="146" fillId="3" borderId="2388">
      <alignment horizontal="left"/>
    </xf>
    <xf numFmtId="0" fontId="25" fillId="10" borderId="2393" applyNumberFormat="0" applyProtection="0">
      <alignment horizontal="left" vertical="top"/>
    </xf>
    <xf numFmtId="254" fontId="240" fillId="0" borderId="2253" applyBorder="0" applyProtection="0">
      <alignment horizontal="right" vertical="center"/>
    </xf>
    <xf numFmtId="0" fontId="241" fillId="94" borderId="2253" applyBorder="0" applyProtection="0">
      <alignment horizontal="centerContinuous" vertical="center"/>
    </xf>
    <xf numFmtId="246" fontId="249" fillId="0" borderId="2253" applyFill="0" applyProtection="0">
      <alignment horizontal="center"/>
    </xf>
    <xf numFmtId="246" fontId="250" fillId="0" borderId="2253" applyFill="0" applyProtection="0">
      <alignment horizontal="center"/>
    </xf>
    <xf numFmtId="0" fontId="25" fillId="10" borderId="2417" applyNumberFormat="0" applyProtection="0">
      <alignment horizontal="left" vertical="top"/>
    </xf>
    <xf numFmtId="0" fontId="25" fillId="10" borderId="2419" applyNumberFormat="0" applyProtection="0">
      <alignment horizontal="left" vertical="top"/>
    </xf>
    <xf numFmtId="222" fontId="79" fillId="0" borderId="2348" applyBorder="0"/>
    <xf numFmtId="0" fontId="214" fillId="0" borderId="2415" applyNumberFormat="0" applyFont="0" applyFill="0" applyAlignment="0" applyProtection="0"/>
    <xf numFmtId="0" fontId="75" fillId="0" borderId="2350" applyNumberFormat="0" applyFont="0" applyFill="0" applyAlignment="0" applyProtection="0"/>
    <xf numFmtId="0" fontId="25" fillId="10" borderId="2358" applyNumberFormat="0" applyProtection="0">
      <alignment horizontal="left" vertical="top"/>
    </xf>
    <xf numFmtId="0" fontId="25" fillId="10" borderId="2359" applyNumberFormat="0" applyProtection="0">
      <alignment horizontal="left" vertical="top"/>
    </xf>
    <xf numFmtId="0" fontId="165" fillId="0" borderId="2373" applyFill="0" applyProtection="0">
      <alignment horizontal="center"/>
    </xf>
    <xf numFmtId="254" fontId="240" fillId="0" borderId="2373" applyBorder="0" applyProtection="0">
      <alignment horizontal="right" vertical="center"/>
    </xf>
    <xf numFmtId="0" fontId="241" fillId="94" borderId="2373" applyBorder="0" applyProtection="0">
      <alignment horizontal="centerContinuous" vertical="center"/>
    </xf>
    <xf numFmtId="0" fontId="241" fillId="94" borderId="2397" applyBorder="0" applyProtection="0">
      <alignment horizontal="centerContinuous" vertical="center"/>
    </xf>
    <xf numFmtId="0" fontId="166" fillId="0" borderId="2397">
      <alignment horizontal="center"/>
    </xf>
    <xf numFmtId="186" fontId="146" fillId="3" borderId="2397" applyBorder="0">
      <alignment horizontal="left" vertical="center"/>
    </xf>
    <xf numFmtId="0" fontId="214" fillId="0" borderId="2391" applyNumberFormat="0" applyFont="0" applyFill="0" applyAlignment="0" applyProtection="0"/>
    <xf numFmtId="0" fontId="78" fillId="14" borderId="2387" applyFont="0" applyFill="0" applyBorder="0" applyAlignment="0" applyProtection="0"/>
    <xf numFmtId="0" fontId="78" fillId="14" borderId="2315" applyFont="0" applyFill="0" applyBorder="0" applyAlignment="0" applyProtection="0"/>
    <xf numFmtId="0" fontId="25" fillId="10" borderId="2263" applyNumberFormat="0" applyProtection="0">
      <alignment horizontal="left" vertical="top"/>
    </xf>
    <xf numFmtId="0" fontId="25" fillId="10" borderId="2262" applyNumberFormat="0" applyProtection="0">
      <alignment horizontal="left" vertical="top"/>
    </xf>
    <xf numFmtId="0" fontId="25" fillId="10" borderId="2261" applyNumberFormat="0" applyProtection="0">
      <alignment horizontal="left" vertical="top"/>
    </xf>
    <xf numFmtId="0" fontId="25" fillId="10" borderId="2260" applyNumberFormat="0" applyProtection="0">
      <alignment horizontal="left" vertical="top"/>
    </xf>
    <xf numFmtId="186" fontId="140" fillId="3" borderId="2413">
      <alignment horizontal="center" vertical="center"/>
    </xf>
    <xf numFmtId="0" fontId="214" fillId="0" borderId="2259" applyNumberFormat="0" applyFont="0" applyFill="0" applyAlignment="0" applyProtection="0"/>
    <xf numFmtId="0" fontId="2" fillId="0" borderId="2258" applyNumberFormat="0" applyAlignment="0" applyProtection="0"/>
    <xf numFmtId="186" fontId="140" fillId="3" borderId="2257">
      <alignment horizontal="center" vertical="center"/>
    </xf>
    <xf numFmtId="186" fontId="146" fillId="3" borderId="2256">
      <alignment horizontal="left"/>
    </xf>
    <xf numFmtId="186" fontId="146" fillId="3" borderId="2412">
      <alignment horizontal="left"/>
    </xf>
    <xf numFmtId="0" fontId="75" fillId="0" borderId="2254" applyNumberFormat="0" applyFont="0" applyFill="0" applyAlignment="0" applyProtection="0"/>
    <xf numFmtId="0" fontId="75" fillId="0" borderId="2410" applyNumberFormat="0" applyFont="0" applyFill="0" applyAlignment="0" applyProtection="0"/>
    <xf numFmtId="222" fontId="79" fillId="0" borderId="2324" applyBorder="0"/>
    <xf numFmtId="222" fontId="79" fillId="0" borderId="2324" applyBorder="0"/>
    <xf numFmtId="0" fontId="25" fillId="10" borderId="2416" applyNumberFormat="0" applyProtection="0">
      <alignment horizontal="left" vertical="top"/>
    </xf>
    <xf numFmtId="0" fontId="2" fillId="0" borderId="2414" applyNumberFormat="0" applyAlignment="0" applyProtection="0"/>
    <xf numFmtId="246" fontId="250" fillId="0" borderId="2349" applyFill="0" applyProtection="0">
      <alignment horizontal="center"/>
    </xf>
    <xf numFmtId="246" fontId="249" fillId="0" borderId="2349" applyFill="0" applyProtection="0">
      <alignment horizontal="center"/>
    </xf>
    <xf numFmtId="0" fontId="241" fillId="94" borderId="2349" applyBorder="0" applyProtection="0">
      <alignment horizontal="centerContinuous" vertical="center"/>
    </xf>
    <xf numFmtId="254" fontId="240" fillId="0" borderId="2349" applyBorder="0" applyProtection="0">
      <alignment horizontal="right" vertical="center"/>
    </xf>
    <xf numFmtId="0" fontId="210" fillId="0" borderId="2349" applyNumberFormat="0" applyFill="0" applyBorder="0" applyAlignment="0">
      <protection locked="0"/>
    </xf>
    <xf numFmtId="264" fontId="12" fillId="14" borderId="2349" applyFont="0" applyFill="0" applyBorder="0" applyAlignment="0" applyProtection="0">
      <alignment horizontal="right"/>
    </xf>
    <xf numFmtId="0" fontId="166" fillId="0" borderId="2349">
      <alignment horizontal="center"/>
    </xf>
    <xf numFmtId="0" fontId="165" fillId="0" borderId="2349" applyFill="0" applyProtection="0">
      <alignment horizontal="center"/>
    </xf>
    <xf numFmtId="186" fontId="146" fillId="3" borderId="2349" applyBorder="0">
      <alignment horizontal="left" vertical="center"/>
    </xf>
    <xf numFmtId="180" fontId="9" fillId="3" borderId="2349">
      <alignment horizontal="right" vertical="center"/>
    </xf>
    <xf numFmtId="192" fontId="9" fillId="3" borderId="2349">
      <alignment horizontal="right" vertical="center"/>
    </xf>
    <xf numFmtId="248" fontId="46" fillId="0" borderId="2349"/>
    <xf numFmtId="0" fontId="12" fillId="0" borderId="2349" applyNumberFormat="0" applyFill="0" applyBorder="0" applyAlignment="0" applyProtection="0">
      <alignment horizontal="center"/>
    </xf>
    <xf numFmtId="0" fontId="113" fillId="0" borderId="2349" applyNumberFormat="0" applyFill="0" applyAlignment="0" applyProtection="0"/>
    <xf numFmtId="222" fontId="79" fillId="0" borderId="2348" applyBorder="0"/>
    <xf numFmtId="0" fontId="101" fillId="0" borderId="2349" applyBorder="0"/>
    <xf numFmtId="222" fontId="79" fillId="0" borderId="2348" applyBorder="0"/>
    <xf numFmtId="0" fontId="75" fillId="0" borderId="2338" applyNumberFormat="0" applyFont="0" applyFill="0" applyAlignment="0" applyProtection="0"/>
    <xf numFmtId="186" fontId="146" fillId="3" borderId="2340">
      <alignment horizontal="left"/>
    </xf>
    <xf numFmtId="186" fontId="140" fillId="3" borderId="2341">
      <alignment horizontal="center" vertical="center"/>
    </xf>
    <xf numFmtId="0" fontId="2" fillId="0" borderId="2342" applyNumberFormat="0" applyAlignment="0" applyProtection="0"/>
    <xf numFmtId="0" fontId="214" fillId="0" borderId="2343" applyNumberFormat="0" applyFont="0" applyFill="0" applyAlignment="0" applyProtection="0"/>
    <xf numFmtId="0" fontId="25" fillId="10" borderId="2344" applyNumberFormat="0" applyProtection="0">
      <alignment horizontal="left" vertical="top"/>
    </xf>
    <xf numFmtId="0" fontId="25" fillId="10" borderId="2345" applyNumberFormat="0" applyProtection="0">
      <alignment horizontal="left" vertical="top"/>
    </xf>
    <xf numFmtId="0" fontId="25" fillId="10" borderId="2346" applyNumberFormat="0" applyProtection="0">
      <alignment horizontal="left" vertical="top"/>
    </xf>
    <xf numFmtId="0" fontId="25" fillId="10" borderId="2347" applyNumberFormat="0" applyProtection="0">
      <alignment horizontal="left" vertical="top"/>
    </xf>
    <xf numFmtId="0" fontId="78" fillId="14" borderId="2339" applyFont="0" applyFill="0" applyBorder="0" applyAlignment="0" applyProtection="0"/>
    <xf numFmtId="222" fontId="79" fillId="0" borderId="2336" applyBorder="0"/>
    <xf numFmtId="0" fontId="78" fillId="14" borderId="2315" applyFont="0" applyFill="0" applyBorder="0" applyAlignment="0" applyProtection="0"/>
    <xf numFmtId="222" fontId="79" fillId="0" borderId="2324" applyBorder="0"/>
    <xf numFmtId="0" fontId="78" fillId="14" borderId="2327" applyFont="0" applyFill="0" applyBorder="0" applyAlignment="0" applyProtection="0"/>
    <xf numFmtId="0" fontId="25" fillId="10" borderId="2335" applyNumberFormat="0" applyProtection="0">
      <alignment horizontal="left" vertical="top"/>
    </xf>
    <xf numFmtId="0" fontId="25" fillId="10" borderId="2334" applyNumberFormat="0" applyProtection="0">
      <alignment horizontal="left" vertical="top"/>
    </xf>
    <xf numFmtId="0" fontId="25" fillId="10" borderId="2333" applyNumberFormat="0" applyProtection="0">
      <alignment horizontal="left" vertical="top"/>
    </xf>
    <xf numFmtId="0" fontId="25" fillId="10" borderId="2332" applyNumberFormat="0" applyProtection="0">
      <alignment horizontal="left" vertical="top"/>
    </xf>
    <xf numFmtId="0" fontId="214" fillId="0" borderId="2331" applyNumberFormat="0" applyFont="0" applyFill="0" applyAlignment="0" applyProtection="0"/>
    <xf numFmtId="0" fontId="2" fillId="0" borderId="2258" applyNumberFormat="0" applyAlignment="0" applyProtection="0"/>
    <xf numFmtId="186" fontId="140" fillId="3" borderId="2329">
      <alignment horizontal="center" vertical="center"/>
    </xf>
    <xf numFmtId="186" fontId="146" fillId="3" borderId="2328">
      <alignment horizontal="left"/>
    </xf>
    <xf numFmtId="0" fontId="75" fillId="0" borderId="2326" applyNumberFormat="0" applyFont="0" applyFill="0" applyAlignment="0" applyProtection="0"/>
    <xf numFmtId="222" fontId="79" fillId="0" borderId="2336" applyBorder="0"/>
    <xf numFmtId="0" fontId="101" fillId="0" borderId="2337" applyBorder="0"/>
    <xf numFmtId="222" fontId="79" fillId="0" borderId="2336" applyBorder="0"/>
    <xf numFmtId="0" fontId="113" fillId="0" borderId="2337" applyNumberFormat="0" applyFill="0" applyAlignment="0" applyProtection="0"/>
    <xf numFmtId="0" fontId="12" fillId="0" borderId="2337" applyNumberFormat="0" applyFill="0" applyBorder="0" applyAlignment="0" applyProtection="0">
      <alignment horizontal="center"/>
    </xf>
    <xf numFmtId="248" fontId="46" fillId="0" borderId="2337"/>
    <xf numFmtId="192" fontId="9" fillId="3" borderId="2337">
      <alignment horizontal="right" vertical="center"/>
    </xf>
    <xf numFmtId="180" fontId="9" fillId="3" borderId="2337">
      <alignment horizontal="right" vertical="center"/>
    </xf>
    <xf numFmtId="186" fontId="146" fillId="3" borderId="2337" applyBorder="0">
      <alignment horizontal="left" vertical="center"/>
    </xf>
    <xf numFmtId="0" fontId="165" fillId="0" borderId="2337" applyFill="0" applyProtection="0">
      <alignment horizontal="center"/>
    </xf>
    <xf numFmtId="0" fontId="166" fillId="0" borderId="2337">
      <alignment horizontal="center"/>
    </xf>
    <xf numFmtId="264" fontId="12" fillId="14" borderId="2337" applyFont="0" applyFill="0" applyBorder="0" applyAlignment="0" applyProtection="0">
      <alignment horizontal="right"/>
    </xf>
    <xf numFmtId="0" fontId="210" fillId="0" borderId="2337" applyNumberFormat="0" applyFill="0" applyBorder="0" applyAlignment="0">
      <protection locked="0"/>
    </xf>
    <xf numFmtId="254" fontId="240" fillId="0" borderId="2337" applyBorder="0" applyProtection="0">
      <alignment horizontal="right" vertical="center"/>
    </xf>
    <xf numFmtId="0" fontId="241" fillId="94" borderId="2337" applyBorder="0" applyProtection="0">
      <alignment horizontal="centerContinuous" vertical="center"/>
    </xf>
    <xf numFmtId="246" fontId="249" fillId="0" borderId="2337" applyFill="0" applyProtection="0">
      <alignment horizontal="center"/>
    </xf>
    <xf numFmtId="246" fontId="250" fillId="0" borderId="2337" applyFill="0" applyProtection="0">
      <alignment horizontal="center"/>
    </xf>
    <xf numFmtId="0" fontId="241" fillId="94" borderId="2421" applyBorder="0" applyProtection="0">
      <alignment horizontal="centerContinuous" vertical="center"/>
    </xf>
    <xf numFmtId="0" fontId="166" fillId="0" borderId="2421">
      <alignment horizontal="center"/>
    </xf>
    <xf numFmtId="0" fontId="2" fillId="0" borderId="2354" applyNumberFormat="0" applyAlignment="0" applyProtection="0"/>
    <xf numFmtId="0" fontId="214" fillId="0" borderId="2355" applyNumberFormat="0" applyFont="0" applyFill="0" applyAlignment="0" applyProtection="0"/>
    <xf numFmtId="246" fontId="250" fillId="0" borderId="2361" applyFill="0" applyProtection="0">
      <alignment horizontal="center"/>
    </xf>
    <xf numFmtId="246" fontId="249" fillId="0" borderId="2361" applyFill="0" applyProtection="0">
      <alignment horizontal="center"/>
    </xf>
    <xf numFmtId="0" fontId="241" fillId="94" borderId="2361" applyBorder="0" applyProtection="0">
      <alignment horizontal="centerContinuous" vertical="center"/>
    </xf>
    <xf numFmtId="254" fontId="240" fillId="0" borderId="2361" applyBorder="0" applyProtection="0">
      <alignment horizontal="right" vertical="center"/>
    </xf>
    <xf numFmtId="0" fontId="210" fillId="0" borderId="2361" applyNumberFormat="0" applyFill="0" applyBorder="0" applyAlignment="0">
      <protection locked="0"/>
    </xf>
    <xf numFmtId="264" fontId="12" fillId="14" borderId="2361" applyFont="0" applyFill="0" applyBorder="0" applyAlignment="0" applyProtection="0">
      <alignment horizontal="right"/>
    </xf>
    <xf numFmtId="0" fontId="166" fillId="0" borderId="2361">
      <alignment horizontal="center"/>
    </xf>
    <xf numFmtId="0" fontId="165" fillId="0" borderId="2361" applyFill="0" applyProtection="0">
      <alignment horizontal="center"/>
    </xf>
    <xf numFmtId="186" fontId="146" fillId="3" borderId="2361" applyBorder="0">
      <alignment horizontal="left" vertical="center"/>
    </xf>
    <xf numFmtId="180" fontId="9" fillId="3" borderId="2361">
      <alignment horizontal="right" vertical="center"/>
    </xf>
    <xf numFmtId="192" fontId="9" fillId="3" borderId="2361">
      <alignment horizontal="right" vertical="center"/>
    </xf>
    <xf numFmtId="248" fontId="46" fillId="0" borderId="2361"/>
    <xf numFmtId="0" fontId="12" fillId="0" borderId="2361" applyNumberFormat="0" applyFill="0" applyBorder="0" applyAlignment="0" applyProtection="0">
      <alignment horizontal="center"/>
    </xf>
    <xf numFmtId="0" fontId="113" fillId="0" borderId="2361" applyNumberFormat="0" applyFill="0" applyAlignment="0" applyProtection="0"/>
    <xf numFmtId="222" fontId="79" fillId="0" borderId="2360" applyBorder="0"/>
    <xf numFmtId="0" fontId="101" fillId="0" borderId="2361" applyBorder="0"/>
    <xf numFmtId="222" fontId="79" fillId="0" borderId="2360" applyBorder="0"/>
    <xf numFmtId="0" fontId="75" fillId="0" borderId="2350" applyNumberFormat="0" applyFont="0" applyFill="0" applyAlignment="0" applyProtection="0"/>
    <xf numFmtId="186" fontId="146" fillId="3" borderId="2352">
      <alignment horizontal="left"/>
    </xf>
    <xf numFmtId="186" fontId="140" fillId="3" borderId="2353">
      <alignment horizontal="center" vertical="center"/>
    </xf>
    <xf numFmtId="0" fontId="2" fillId="0" borderId="2354" applyNumberFormat="0" applyAlignment="0" applyProtection="0"/>
    <xf numFmtId="0" fontId="214" fillId="0" borderId="2355" applyNumberFormat="0" applyFont="0" applyFill="0" applyAlignment="0" applyProtection="0"/>
    <xf numFmtId="0" fontId="25" fillId="10" borderId="2356" applyNumberFormat="0" applyProtection="0">
      <alignment horizontal="left" vertical="top"/>
    </xf>
    <xf numFmtId="0" fontId="25" fillId="10" borderId="2357" applyNumberFormat="0" applyProtection="0">
      <alignment horizontal="left" vertical="top"/>
    </xf>
    <xf numFmtId="0" fontId="25" fillId="10" borderId="2358" applyNumberFormat="0" applyProtection="0">
      <alignment horizontal="left" vertical="top"/>
    </xf>
    <xf numFmtId="0" fontId="25" fillId="10" borderId="2359" applyNumberFormat="0" applyProtection="0">
      <alignment horizontal="left" vertical="top"/>
    </xf>
    <xf numFmtId="0" fontId="78" fillId="14" borderId="2351" applyFont="0" applyFill="0" applyBorder="0" applyAlignment="0" applyProtection="0"/>
    <xf numFmtId="222" fontId="79" fillId="0" borderId="2348" applyBorder="0"/>
    <xf numFmtId="0" fontId="78" fillId="14" borderId="2363" applyFont="0" applyFill="0" applyBorder="0" applyAlignment="0" applyProtection="0"/>
    <xf numFmtId="186" fontId="146" fillId="3" borderId="2352">
      <alignment horizontal="left"/>
    </xf>
    <xf numFmtId="0" fontId="78" fillId="14" borderId="2339" applyFont="0" applyFill="0" applyBorder="0" applyAlignment="0" applyProtection="0"/>
    <xf numFmtId="222" fontId="79" fillId="0" borderId="2348" applyBorder="0"/>
    <xf numFmtId="0" fontId="2" fillId="0" borderId="2366" applyNumberFormat="0" applyAlignment="0" applyProtection="0"/>
    <xf numFmtId="0" fontId="78" fillId="14" borderId="2339" applyFont="0" applyFill="0" applyBorder="0" applyAlignment="0" applyProtection="0"/>
    <xf numFmtId="0" fontId="25" fillId="10" borderId="2347" applyNumberFormat="0" applyProtection="0">
      <alignment horizontal="left" vertical="top"/>
    </xf>
    <xf numFmtId="0" fontId="25" fillId="10" borderId="2346" applyNumberFormat="0" applyProtection="0">
      <alignment horizontal="left" vertical="top"/>
    </xf>
    <xf numFmtId="0" fontId="25" fillId="10" borderId="2345" applyNumberFormat="0" applyProtection="0">
      <alignment horizontal="left" vertical="top"/>
    </xf>
    <xf numFmtId="0" fontId="25" fillId="10" borderId="2344" applyNumberFormat="0" applyProtection="0">
      <alignment horizontal="left" vertical="top"/>
    </xf>
    <xf numFmtId="0" fontId="25" fillId="10" borderId="2369" applyNumberFormat="0" applyProtection="0">
      <alignment horizontal="left" vertical="top"/>
    </xf>
    <xf numFmtId="0" fontId="214" fillId="0" borderId="2343" applyNumberFormat="0" applyFont="0" applyFill="0" applyAlignment="0" applyProtection="0"/>
    <xf numFmtId="0" fontId="2" fillId="0" borderId="2342" applyNumberFormat="0" applyAlignment="0" applyProtection="0"/>
    <xf numFmtId="186" fontId="140" fillId="3" borderId="2341">
      <alignment horizontal="center" vertical="center"/>
    </xf>
    <xf numFmtId="186" fontId="146" fillId="3" borderId="2340">
      <alignment horizontal="left"/>
    </xf>
    <xf numFmtId="0" fontId="25" fillId="10" borderId="2371" applyNumberFormat="0" applyProtection="0">
      <alignment horizontal="left" vertical="top"/>
    </xf>
    <xf numFmtId="0" fontId="75" fillId="0" borderId="2338" applyNumberFormat="0" applyFont="0" applyFill="0" applyAlignment="0" applyProtection="0"/>
    <xf numFmtId="222" fontId="79" fillId="0" borderId="2348" applyBorder="0"/>
    <xf numFmtId="0" fontId="101" fillId="0" borderId="2349" applyBorder="0"/>
    <xf numFmtId="222" fontId="79" fillId="0" borderId="2348" applyBorder="0"/>
    <xf numFmtId="0" fontId="113" fillId="0" borderId="2349" applyNumberFormat="0" applyFill="0" applyAlignment="0" applyProtection="0"/>
    <xf numFmtId="0" fontId="12" fillId="0" borderId="2349" applyNumberFormat="0" applyFill="0" applyBorder="0" applyAlignment="0" applyProtection="0">
      <alignment horizontal="center"/>
    </xf>
    <xf numFmtId="248" fontId="46" fillId="0" borderId="2349"/>
    <xf numFmtId="192" fontId="9" fillId="3" borderId="2349">
      <alignment horizontal="right" vertical="center"/>
    </xf>
    <xf numFmtId="180" fontId="9" fillId="3" borderId="2349">
      <alignment horizontal="right" vertical="center"/>
    </xf>
    <xf numFmtId="186" fontId="146" fillId="3" borderId="2349" applyBorder="0">
      <alignment horizontal="left" vertical="center"/>
    </xf>
    <xf numFmtId="0" fontId="165" fillId="0" borderId="2349" applyFill="0" applyProtection="0">
      <alignment horizontal="center"/>
    </xf>
    <xf numFmtId="0" fontId="166" fillId="0" borderId="2349">
      <alignment horizontal="center"/>
    </xf>
    <xf numFmtId="264" fontId="12" fillId="14" borderId="2349" applyFont="0" applyFill="0" applyBorder="0" applyAlignment="0" applyProtection="0">
      <alignment horizontal="right"/>
    </xf>
    <xf numFmtId="0" fontId="210" fillId="0" borderId="2349" applyNumberFormat="0" applyFill="0" applyBorder="0" applyAlignment="0">
      <protection locked="0"/>
    </xf>
    <xf numFmtId="254" fontId="240" fillId="0" borderId="2349" applyBorder="0" applyProtection="0">
      <alignment horizontal="right" vertical="center"/>
    </xf>
    <xf numFmtId="0" fontId="241" fillId="94" borderId="2349" applyBorder="0" applyProtection="0">
      <alignment horizontal="centerContinuous" vertical="center"/>
    </xf>
    <xf numFmtId="246" fontId="249" fillId="0" borderId="2349" applyFill="0" applyProtection="0">
      <alignment horizontal="center"/>
    </xf>
    <xf numFmtId="246" fontId="250" fillId="0" borderId="2349" applyFill="0" applyProtection="0">
      <alignment horizontal="center"/>
    </xf>
    <xf numFmtId="186" fontId="140" fillId="3" borderId="2365">
      <alignment horizontal="center" vertical="center"/>
    </xf>
    <xf numFmtId="0" fontId="78" fillId="14" borderId="2351" applyFont="0" applyFill="0" applyBorder="0" applyAlignment="0" applyProtection="0"/>
    <xf numFmtId="222" fontId="79" fillId="0" borderId="2372" applyBorder="0"/>
    <xf numFmtId="0" fontId="78" fillId="14" borderId="2375" applyFont="0" applyFill="0" applyBorder="0" applyAlignment="0" applyProtection="0"/>
    <xf numFmtId="0" fontId="25" fillId="10" borderId="2383" applyNumberFormat="0" applyProtection="0">
      <alignment horizontal="left" vertical="top"/>
    </xf>
    <xf numFmtId="0" fontId="25" fillId="10" borderId="2382" applyNumberFormat="0" applyProtection="0">
      <alignment horizontal="left" vertical="top"/>
    </xf>
    <xf numFmtId="0" fontId="25" fillId="10" borderId="2381" applyNumberFormat="0" applyProtection="0">
      <alignment horizontal="left" vertical="top"/>
    </xf>
    <xf numFmtId="0" fontId="25" fillId="10" borderId="2380" applyNumberFormat="0" applyProtection="0">
      <alignment horizontal="left" vertical="top"/>
    </xf>
    <xf numFmtId="0" fontId="214" fillId="0" borderId="2379" applyNumberFormat="0" applyFont="0" applyFill="0" applyAlignment="0" applyProtection="0"/>
    <xf numFmtId="0" fontId="2" fillId="0" borderId="2378" applyNumberFormat="0" applyAlignment="0" applyProtection="0"/>
    <xf numFmtId="186" fontId="140" fillId="3" borderId="2377">
      <alignment horizontal="center" vertical="center"/>
    </xf>
    <xf numFmtId="186" fontId="146" fillId="3" borderId="2376">
      <alignment horizontal="left"/>
    </xf>
    <xf numFmtId="0" fontId="75" fillId="0" borderId="2374" applyNumberFormat="0" applyFont="0" applyFill="0" applyAlignment="0" applyProtection="0"/>
    <xf numFmtId="222" fontId="79" fillId="0" borderId="2384" applyBorder="0"/>
    <xf numFmtId="0" fontId="101" fillId="0" borderId="2385" applyBorder="0"/>
    <xf numFmtId="222" fontId="79" fillId="0" borderId="2384" applyBorder="0"/>
    <xf numFmtId="0" fontId="113" fillId="0" borderId="2385" applyNumberFormat="0" applyFill="0" applyAlignment="0" applyProtection="0"/>
    <xf numFmtId="0" fontId="12" fillId="0" borderId="2385" applyNumberFormat="0" applyFill="0" applyBorder="0" applyAlignment="0" applyProtection="0">
      <alignment horizontal="center"/>
    </xf>
    <xf numFmtId="248" fontId="46" fillId="0" borderId="2385"/>
    <xf numFmtId="192" fontId="9" fillId="3" borderId="2385">
      <alignment horizontal="right" vertical="center"/>
    </xf>
    <xf numFmtId="180" fontId="9" fillId="3" borderId="2385">
      <alignment horizontal="right" vertical="center"/>
    </xf>
    <xf numFmtId="186" fontId="146" fillId="3" borderId="2385" applyBorder="0">
      <alignment horizontal="left" vertical="center"/>
    </xf>
    <xf numFmtId="0" fontId="165" fillId="0" borderId="2385" applyFill="0" applyProtection="0">
      <alignment horizontal="center"/>
    </xf>
    <xf numFmtId="0" fontId="166" fillId="0" borderId="2385">
      <alignment horizontal="center"/>
    </xf>
    <xf numFmtId="264" fontId="12" fillId="14" borderId="2385" applyFont="0" applyFill="0" applyBorder="0" applyAlignment="0" applyProtection="0">
      <alignment horizontal="right"/>
    </xf>
    <xf numFmtId="0" fontId="210" fillId="0" borderId="2385" applyNumberFormat="0" applyFill="0" applyBorder="0" applyAlignment="0">
      <protection locked="0"/>
    </xf>
    <xf numFmtId="254" fontId="240" fillId="0" borderId="2385" applyBorder="0" applyProtection="0">
      <alignment horizontal="right" vertical="center"/>
    </xf>
    <xf numFmtId="0" fontId="241" fillId="94" borderId="2385" applyBorder="0" applyProtection="0">
      <alignment horizontal="centerContinuous" vertical="center"/>
    </xf>
    <xf numFmtId="246" fontId="249" fillId="0" borderId="2385" applyFill="0" applyProtection="0">
      <alignment horizontal="center"/>
    </xf>
    <xf numFmtId="246" fontId="250" fillId="0" borderId="2385" applyFill="0" applyProtection="0">
      <alignment horizontal="center"/>
    </xf>
    <xf numFmtId="222" fontId="79" fillId="0" borderId="2396" applyBorder="0"/>
    <xf numFmtId="0" fontId="78" fillId="14" borderId="2399" applyFont="0" applyFill="0" applyBorder="0" applyAlignment="0" applyProtection="0"/>
    <xf numFmtId="0" fontId="25" fillId="10" borderId="2407" applyNumberFormat="0" applyProtection="0">
      <alignment horizontal="left" vertical="top"/>
    </xf>
    <xf numFmtId="0" fontId="25" fillId="10" borderId="2406" applyNumberFormat="0" applyProtection="0">
      <alignment horizontal="left" vertical="top"/>
    </xf>
    <xf numFmtId="0" fontId="25" fillId="10" borderId="2405" applyNumberFormat="0" applyProtection="0">
      <alignment horizontal="left" vertical="top"/>
    </xf>
    <xf numFmtId="0" fontId="25" fillId="10" borderId="2404" applyNumberFormat="0" applyProtection="0">
      <alignment horizontal="left" vertical="top"/>
    </xf>
    <xf numFmtId="0" fontId="214" fillId="0" borderId="2403" applyNumberFormat="0" applyFont="0" applyFill="0" applyAlignment="0" applyProtection="0"/>
    <xf numFmtId="0" fontId="2" fillId="0" borderId="2402" applyNumberFormat="0" applyAlignment="0" applyProtection="0"/>
    <xf numFmtId="186" fontId="140" fillId="3" borderId="2401">
      <alignment horizontal="center" vertical="center"/>
    </xf>
    <xf numFmtId="186" fontId="146" fillId="3" borderId="2400">
      <alignment horizontal="left"/>
    </xf>
    <xf numFmtId="0" fontId="75" fillId="0" borderId="2398" applyNumberFormat="0" applyFont="0" applyFill="0" applyAlignment="0" applyProtection="0"/>
    <xf numFmtId="222" fontId="79" fillId="0" borderId="2408" applyBorder="0"/>
    <xf numFmtId="0" fontId="101" fillId="0" borderId="2409" applyBorder="0"/>
    <xf numFmtId="222" fontId="79" fillId="0" borderId="2408" applyBorder="0"/>
    <xf numFmtId="0" fontId="113" fillId="0" borderId="2409" applyNumberFormat="0" applyFill="0" applyAlignment="0" applyProtection="0"/>
    <xf numFmtId="0" fontId="12" fillId="0" borderId="2409" applyNumberFormat="0" applyFill="0" applyBorder="0" applyAlignment="0" applyProtection="0">
      <alignment horizontal="center"/>
    </xf>
    <xf numFmtId="248" fontId="46" fillId="0" borderId="2409"/>
    <xf numFmtId="192" fontId="9" fillId="3" borderId="2409">
      <alignment horizontal="right" vertical="center"/>
    </xf>
    <xf numFmtId="180" fontId="9" fillId="3" borderId="2409">
      <alignment horizontal="right" vertical="center"/>
    </xf>
    <xf numFmtId="186" fontId="146" fillId="3" borderId="2409" applyBorder="0">
      <alignment horizontal="left" vertical="center"/>
    </xf>
    <xf numFmtId="0" fontId="165" fillId="0" borderId="2409" applyFill="0" applyProtection="0">
      <alignment horizontal="center"/>
    </xf>
    <xf numFmtId="0" fontId="166" fillId="0" borderId="2409">
      <alignment horizontal="center"/>
    </xf>
    <xf numFmtId="264" fontId="12" fillId="14" borderId="2409" applyFont="0" applyFill="0" applyBorder="0" applyAlignment="0" applyProtection="0">
      <alignment horizontal="right"/>
    </xf>
    <xf numFmtId="0" fontId="210" fillId="0" borderId="2409" applyNumberFormat="0" applyFill="0" applyBorder="0" applyAlignment="0">
      <protection locked="0"/>
    </xf>
    <xf numFmtId="254" fontId="240" fillId="0" borderId="2409" applyBorder="0" applyProtection="0">
      <alignment horizontal="right" vertical="center"/>
    </xf>
    <xf numFmtId="0" fontId="241" fillId="94" borderId="2409" applyBorder="0" applyProtection="0">
      <alignment horizontal="centerContinuous" vertical="center"/>
    </xf>
    <xf numFmtId="246" fontId="249" fillId="0" borderId="2409" applyFill="0" applyProtection="0">
      <alignment horizontal="center"/>
    </xf>
    <xf numFmtId="246" fontId="250" fillId="0" borderId="2409" applyFill="0" applyProtection="0">
      <alignment horizontal="center"/>
    </xf>
    <xf numFmtId="0" fontId="75" fillId="0" borderId="2422" applyNumberFormat="0" applyFont="0" applyFill="0" applyAlignment="0" applyProtection="0"/>
    <xf numFmtId="0" fontId="78" fillId="14" borderId="2423" applyFont="0" applyFill="0" applyBorder="0" applyAlignment="0" applyProtection="0"/>
    <xf numFmtId="186" fontId="146" fillId="3" borderId="2424">
      <alignment horizontal="left"/>
    </xf>
    <xf numFmtId="186" fontId="140" fillId="3" borderId="2425">
      <alignment horizontal="center" vertical="center"/>
    </xf>
    <xf numFmtId="0" fontId="2" fillId="0" borderId="2426" applyNumberFormat="0" applyAlignment="0" applyProtection="0"/>
    <xf numFmtId="0" fontId="214" fillId="0" borderId="2427" applyNumberFormat="0" applyFont="0" applyFill="0" applyAlignment="0" applyProtection="0"/>
    <xf numFmtId="0" fontId="25" fillId="10" borderId="2428" applyNumberFormat="0" applyProtection="0">
      <alignment horizontal="left" vertical="top"/>
    </xf>
    <xf numFmtId="0" fontId="25" fillId="10" borderId="2429" applyNumberFormat="0" applyProtection="0">
      <alignment horizontal="left" vertical="top"/>
    </xf>
    <xf numFmtId="0" fontId="25" fillId="10" borderId="2430" applyNumberFormat="0" applyProtection="0">
      <alignment horizontal="left" vertical="top"/>
    </xf>
    <xf numFmtId="0" fontId="25" fillId="10" borderId="2431" applyNumberFormat="0" applyProtection="0">
      <alignment horizontal="left" vertical="top"/>
    </xf>
    <xf numFmtId="246" fontId="250" fillId="0" borderId="2421" applyFill="0" applyProtection="0">
      <alignment horizontal="center"/>
    </xf>
    <xf numFmtId="246" fontId="249" fillId="0" borderId="2421" applyFill="0" applyProtection="0">
      <alignment horizontal="center"/>
    </xf>
    <xf numFmtId="0" fontId="241" fillId="94" borderId="2421" applyBorder="0" applyProtection="0">
      <alignment horizontal="centerContinuous" vertical="center"/>
    </xf>
    <xf numFmtId="254" fontId="240" fillId="0" borderId="2421" applyBorder="0" applyProtection="0">
      <alignment horizontal="right" vertical="center"/>
    </xf>
    <xf numFmtId="0" fontId="210" fillId="0" borderId="2421" applyNumberFormat="0" applyFill="0" applyBorder="0" applyAlignment="0">
      <protection locked="0"/>
    </xf>
    <xf numFmtId="264" fontId="12" fillId="14" borderId="2421" applyFont="0" applyFill="0" applyBorder="0" applyAlignment="0" applyProtection="0">
      <alignment horizontal="right"/>
    </xf>
    <xf numFmtId="0" fontId="166" fillId="0" borderId="2421">
      <alignment horizontal="center"/>
    </xf>
    <xf numFmtId="0" fontId="165" fillId="0" borderId="2421" applyFill="0" applyProtection="0">
      <alignment horizontal="center"/>
    </xf>
    <xf numFmtId="186" fontId="146" fillId="3" borderId="2421" applyBorder="0">
      <alignment horizontal="left" vertical="center"/>
    </xf>
    <xf numFmtId="180" fontId="9" fillId="3" borderId="2421">
      <alignment horizontal="right" vertical="center"/>
    </xf>
    <xf numFmtId="192" fontId="9" fillId="3" borderId="2421">
      <alignment horizontal="right" vertical="center"/>
    </xf>
    <xf numFmtId="0" fontId="12" fillId="0" borderId="2421" applyNumberFormat="0" applyFill="0" applyBorder="0" applyAlignment="0" applyProtection="0">
      <alignment horizontal="center"/>
    </xf>
    <xf numFmtId="0" fontId="113" fillId="0" borderId="2421" applyNumberFormat="0" applyFill="0" applyAlignment="0" applyProtection="0"/>
    <xf numFmtId="222" fontId="79" fillId="0" borderId="2420" applyBorder="0"/>
    <xf numFmtId="0" fontId="101" fillId="0" borderId="2421" applyBorder="0"/>
    <xf numFmtId="248" fontId="46" fillId="0" borderId="2421"/>
    <xf numFmtId="0" fontId="101" fillId="0" borderId="2421" applyBorder="0"/>
    <xf numFmtId="222" fontId="79" fillId="0" borderId="2420" applyBorder="0"/>
    <xf numFmtId="0" fontId="113" fillId="0" borderId="2421" applyNumberFormat="0" applyFill="0" applyAlignment="0" applyProtection="0"/>
    <xf numFmtId="0" fontId="75" fillId="0" borderId="2422" applyNumberFormat="0" applyFont="0" applyFill="0" applyAlignment="0" applyProtection="0"/>
    <xf numFmtId="0" fontId="12" fillId="0" borderId="2421" applyNumberFormat="0" applyFill="0" applyBorder="0" applyAlignment="0" applyProtection="0">
      <alignment horizontal="center"/>
    </xf>
    <xf numFmtId="248" fontId="46" fillId="0" borderId="2421"/>
    <xf numFmtId="192" fontId="9" fillId="3" borderId="2421">
      <alignment horizontal="right" vertical="center"/>
    </xf>
    <xf numFmtId="180" fontId="9" fillId="3" borderId="2421">
      <alignment horizontal="right" vertical="center"/>
    </xf>
    <xf numFmtId="186" fontId="146" fillId="3" borderId="2421" applyBorder="0">
      <alignment horizontal="left" vertical="center"/>
    </xf>
    <xf numFmtId="186" fontId="146" fillId="3" borderId="2424">
      <alignment horizontal="left"/>
    </xf>
    <xf numFmtId="186" fontId="140" fillId="3" borderId="2425">
      <alignment horizontal="center" vertical="center"/>
    </xf>
    <xf numFmtId="0" fontId="165" fillId="0" borderId="2421" applyFill="0" applyProtection="0">
      <alignment horizontal="center"/>
    </xf>
    <xf numFmtId="0" fontId="166" fillId="0" borderId="2421">
      <alignment horizontal="center"/>
    </xf>
    <xf numFmtId="264" fontId="12" fillId="14" borderId="2421" applyFont="0" applyFill="0" applyBorder="0" applyAlignment="0" applyProtection="0">
      <alignment horizontal="right"/>
    </xf>
    <xf numFmtId="0" fontId="210" fillId="0" borderId="2421" applyNumberFormat="0" applyFill="0" applyBorder="0" applyAlignment="0">
      <protection locked="0"/>
    </xf>
    <xf numFmtId="0" fontId="2" fillId="0" borderId="2426" applyNumberFormat="0" applyAlignment="0" applyProtection="0"/>
    <xf numFmtId="0" fontId="214" fillId="0" borderId="2427" applyNumberFormat="0" applyFont="0" applyFill="0" applyAlignment="0" applyProtection="0"/>
    <xf numFmtId="0" fontId="25" fillId="10" borderId="2428" applyNumberFormat="0" applyProtection="0">
      <alignment horizontal="left" vertical="top"/>
    </xf>
    <xf numFmtId="0" fontId="25" fillId="10" borderId="2429" applyNumberFormat="0" applyProtection="0">
      <alignment horizontal="left" vertical="top"/>
    </xf>
    <xf numFmtId="0" fontId="25" fillId="10" borderId="2430" applyNumberFormat="0" applyProtection="0">
      <alignment horizontal="left" vertical="top"/>
    </xf>
    <xf numFmtId="0" fontId="25" fillId="10" borderId="2431" applyNumberFormat="0" applyProtection="0">
      <alignment horizontal="left" vertical="top"/>
    </xf>
    <xf numFmtId="0" fontId="25" fillId="10" borderId="2428" applyNumberFormat="0" applyProtection="0">
      <alignment horizontal="left" vertical="top"/>
    </xf>
    <xf numFmtId="0" fontId="25" fillId="10" borderId="2429" applyNumberFormat="0" applyProtection="0">
      <alignment horizontal="left" vertical="top"/>
    </xf>
    <xf numFmtId="0" fontId="25" fillId="10" borderId="2430" applyNumberFormat="0" applyProtection="0">
      <alignment horizontal="left" vertical="top"/>
    </xf>
    <xf numFmtId="0" fontId="25" fillId="10" borderId="2431" applyNumberFormat="0" applyProtection="0">
      <alignment horizontal="left" vertical="top"/>
    </xf>
    <xf numFmtId="254" fontId="240" fillId="0" borderId="2421" applyBorder="0" applyProtection="0">
      <alignment horizontal="right" vertical="center"/>
    </xf>
    <xf numFmtId="0" fontId="241" fillId="94" borderId="2421" applyBorder="0" applyProtection="0">
      <alignment horizontal="centerContinuous" vertical="center"/>
    </xf>
    <xf numFmtId="246" fontId="249" fillId="0" borderId="2421" applyFill="0" applyProtection="0">
      <alignment horizontal="center"/>
    </xf>
    <xf numFmtId="246" fontId="250" fillId="0" borderId="2421" applyFill="0" applyProtection="0">
      <alignment horizontal="center"/>
    </xf>
    <xf numFmtId="190" fontId="101" fillId="0" borderId="2421" applyBorder="0"/>
    <xf numFmtId="190" fontId="113" fillId="0" borderId="2421" applyNumberFormat="0" applyFill="0" applyAlignment="0" applyProtection="0"/>
    <xf numFmtId="190" fontId="75" fillId="0" borderId="2398" applyNumberFormat="0" applyFont="0" applyFill="0" applyAlignment="0" applyProtection="0"/>
    <xf numFmtId="190" fontId="12" fillId="0" borderId="2421" applyNumberFormat="0" applyFill="0" applyBorder="0" applyAlignment="0" applyProtection="0">
      <alignment horizontal="center"/>
    </xf>
    <xf numFmtId="190" fontId="78" fillId="14" borderId="2411" applyFont="0" applyFill="0" applyBorder="0" applyAlignment="0" applyProtection="0"/>
    <xf numFmtId="190" fontId="165" fillId="0" borderId="2421" applyFill="0" applyProtection="0">
      <alignment horizontal="center"/>
    </xf>
    <xf numFmtId="190" fontId="166" fillId="0" borderId="2421">
      <alignment horizontal="center"/>
    </xf>
    <xf numFmtId="190" fontId="210" fillId="0" borderId="2421" applyNumberFormat="0" applyFill="0" applyBorder="0" applyAlignment="0">
      <protection locked="0"/>
    </xf>
    <xf numFmtId="190" fontId="2" fillId="0" borderId="2402" applyNumberFormat="0" applyAlignment="0" applyProtection="0"/>
    <xf numFmtId="190" fontId="214" fillId="0" borderId="2403" applyNumberFormat="0" applyFont="0" applyFill="0" applyAlignment="0" applyProtection="0"/>
    <xf numFmtId="190" fontId="25" fillId="10" borderId="2404" applyNumberFormat="0" applyProtection="0">
      <alignment horizontal="left" vertical="top"/>
    </xf>
    <xf numFmtId="190" fontId="25" fillId="10" borderId="2405" applyNumberFormat="0" applyProtection="0">
      <alignment horizontal="left" vertical="top"/>
    </xf>
    <xf numFmtId="190" fontId="25" fillId="10" borderId="2406" applyNumberFormat="0" applyProtection="0">
      <alignment horizontal="left" vertical="top"/>
    </xf>
    <xf numFmtId="190" fontId="25" fillId="10" borderId="2407" applyNumberFormat="0" applyProtection="0">
      <alignment horizontal="left" vertical="top"/>
    </xf>
    <xf numFmtId="190" fontId="241" fillId="94" borderId="2421" applyBorder="0" applyProtection="0">
      <alignment horizontal="centerContinuous" vertical="center"/>
    </xf>
    <xf numFmtId="222" fontId="79" fillId="0" borderId="2420" applyBorder="0"/>
    <xf numFmtId="0" fontId="101" fillId="0" borderId="2421" applyBorder="0"/>
    <xf numFmtId="222" fontId="79" fillId="0" borderId="2420" applyBorder="0"/>
    <xf numFmtId="0" fontId="113" fillId="0" borderId="2421" applyNumberFormat="0" applyFill="0" applyAlignment="0" applyProtection="0"/>
    <xf numFmtId="0" fontId="75" fillId="0" borderId="2398" applyNumberFormat="0" applyFont="0" applyFill="0" applyAlignment="0" applyProtection="0"/>
    <xf numFmtId="0" fontId="12" fillId="0" borderId="2421" applyNumberFormat="0" applyFill="0" applyBorder="0" applyAlignment="0" applyProtection="0">
      <alignment horizontal="center"/>
    </xf>
    <xf numFmtId="248" fontId="46" fillId="0" borderId="2421"/>
    <xf numFmtId="192" fontId="9" fillId="3" borderId="2421">
      <alignment horizontal="right" vertical="center"/>
    </xf>
    <xf numFmtId="180" fontId="9" fillId="3" borderId="2421">
      <alignment horizontal="right" vertical="center"/>
    </xf>
    <xf numFmtId="186" fontId="146" fillId="3" borderId="2421" applyBorder="0">
      <alignment horizontal="left" vertical="center"/>
    </xf>
    <xf numFmtId="186" fontId="146" fillId="3" borderId="2400">
      <alignment horizontal="left"/>
    </xf>
    <xf numFmtId="186" fontId="140" fillId="3" borderId="2401">
      <alignment horizontal="center" vertical="center"/>
    </xf>
    <xf numFmtId="0" fontId="165" fillId="0" borderId="2421" applyFill="0" applyProtection="0">
      <alignment horizontal="center"/>
    </xf>
    <xf numFmtId="0" fontId="166" fillId="0" borderId="2421">
      <alignment horizontal="center"/>
    </xf>
    <xf numFmtId="264" fontId="12" fillId="14" borderId="2421" applyFont="0" applyFill="0" applyBorder="0" applyAlignment="0" applyProtection="0">
      <alignment horizontal="right"/>
    </xf>
    <xf numFmtId="0" fontId="210" fillId="0" borderId="2421" applyNumberFormat="0" applyFill="0" applyBorder="0" applyAlignment="0">
      <protection locked="0"/>
    </xf>
    <xf numFmtId="0" fontId="2" fillId="0" borderId="2402" applyNumberFormat="0" applyAlignment="0" applyProtection="0"/>
    <xf numFmtId="0" fontId="214" fillId="0" borderId="2403" applyNumberFormat="0" applyFont="0" applyFill="0" applyAlignment="0" applyProtection="0"/>
    <xf numFmtId="0" fontId="25" fillId="10" borderId="2404" applyNumberFormat="0" applyProtection="0">
      <alignment horizontal="left" vertical="top"/>
    </xf>
    <xf numFmtId="0" fontId="25" fillId="10" borderId="2405" applyNumberFormat="0" applyProtection="0">
      <alignment horizontal="left" vertical="top"/>
    </xf>
    <xf numFmtId="0" fontId="25" fillId="10" borderId="2406" applyNumberFormat="0" applyProtection="0">
      <alignment horizontal="left" vertical="top"/>
    </xf>
    <xf numFmtId="0" fontId="25" fillId="10" borderId="2407" applyNumberFormat="0" applyProtection="0">
      <alignment horizontal="left" vertical="top"/>
    </xf>
    <xf numFmtId="0" fontId="25" fillId="10" borderId="2404" applyNumberFormat="0" applyProtection="0">
      <alignment horizontal="left" vertical="top"/>
    </xf>
    <xf numFmtId="0" fontId="25" fillId="10" borderId="2405" applyNumberFormat="0" applyProtection="0">
      <alignment horizontal="left" vertical="top"/>
    </xf>
    <xf numFmtId="0" fontId="25" fillId="10" borderId="2406" applyNumberFormat="0" applyProtection="0">
      <alignment horizontal="left" vertical="top"/>
    </xf>
    <xf numFmtId="0" fontId="25" fillId="10" borderId="2407" applyNumberFormat="0" applyProtection="0">
      <alignment horizontal="left" vertical="top"/>
    </xf>
    <xf numFmtId="254" fontId="240" fillId="0" borderId="2421" applyBorder="0" applyProtection="0">
      <alignment horizontal="right" vertical="center"/>
    </xf>
    <xf numFmtId="0" fontId="241" fillId="94" borderId="2421" applyBorder="0" applyProtection="0">
      <alignment horizontal="centerContinuous" vertical="center"/>
    </xf>
    <xf numFmtId="246" fontId="249" fillId="0" borderId="2421" applyFill="0" applyProtection="0">
      <alignment horizontal="center"/>
    </xf>
    <xf numFmtId="246" fontId="250" fillId="0" borderId="2421" applyFill="0" applyProtection="0">
      <alignment horizontal="center"/>
    </xf>
    <xf numFmtId="312" fontId="101" fillId="0" borderId="2421" applyBorder="0"/>
    <xf numFmtId="312" fontId="113" fillId="0" borderId="2421" applyNumberFormat="0" applyFill="0" applyAlignment="0" applyProtection="0"/>
    <xf numFmtId="312" fontId="75" fillId="0" borderId="2398" applyNumberFormat="0" applyFont="0" applyFill="0" applyAlignment="0" applyProtection="0"/>
    <xf numFmtId="312" fontId="12" fillId="0" borderId="2421" applyNumberFormat="0" applyFill="0" applyBorder="0" applyAlignment="0" applyProtection="0">
      <alignment horizontal="center"/>
    </xf>
    <xf numFmtId="312" fontId="165" fillId="0" borderId="2421" applyFill="0" applyProtection="0">
      <alignment horizontal="center"/>
    </xf>
    <xf numFmtId="312" fontId="242" fillId="0" borderId="2421">
      <alignment horizontal="center"/>
    </xf>
    <xf numFmtId="312" fontId="210" fillId="0" borderId="2421" applyNumberFormat="0" applyFill="0" applyBorder="0" applyAlignment="0">
      <protection locked="0"/>
    </xf>
    <xf numFmtId="312" fontId="2" fillId="0" borderId="2402" applyNumberFormat="0" applyAlignment="0" applyProtection="0"/>
    <xf numFmtId="312" fontId="214" fillId="0" borderId="2403" applyNumberFormat="0" applyFont="0" applyFill="0" applyAlignment="0" applyProtection="0"/>
    <xf numFmtId="312" fontId="25" fillId="10" borderId="2404" applyNumberFormat="0" applyProtection="0">
      <alignment horizontal="left" vertical="top"/>
    </xf>
    <xf numFmtId="312" fontId="25" fillId="10" borderId="2405" applyNumberFormat="0" applyProtection="0">
      <alignment horizontal="left" vertical="top"/>
    </xf>
    <xf numFmtId="312" fontId="25" fillId="10" borderId="2406" applyNumberFormat="0" applyProtection="0">
      <alignment horizontal="left" vertical="top"/>
    </xf>
    <xf numFmtId="312" fontId="25" fillId="10" borderId="2407" applyNumberFormat="0" applyProtection="0">
      <alignment horizontal="left" vertical="top"/>
    </xf>
    <xf numFmtId="312" fontId="241" fillId="94" borderId="2421" applyBorder="0" applyProtection="0">
      <alignment horizontal="centerContinuous" vertical="center"/>
    </xf>
    <xf numFmtId="246" fontId="296" fillId="0" borderId="2421" applyFill="0" applyProtection="0">
      <alignment horizontal="center"/>
    </xf>
    <xf numFmtId="312" fontId="101" fillId="0" borderId="2421" applyBorder="0"/>
    <xf numFmtId="312" fontId="113" fillId="0" borderId="2421" applyNumberFormat="0" applyFill="0" applyAlignment="0" applyProtection="0"/>
    <xf numFmtId="312" fontId="75" fillId="0" borderId="2398" applyNumberFormat="0" applyFont="0" applyFill="0" applyAlignment="0" applyProtection="0"/>
    <xf numFmtId="312" fontId="12" fillId="0" borderId="2421" applyNumberFormat="0" applyFill="0" applyBorder="0" applyAlignment="0" applyProtection="0">
      <alignment horizontal="center"/>
    </xf>
    <xf numFmtId="312" fontId="165" fillId="0" borderId="2421" applyFill="0" applyProtection="0">
      <alignment horizontal="center"/>
    </xf>
    <xf numFmtId="312" fontId="242" fillId="0" borderId="2421">
      <alignment horizontal="center"/>
    </xf>
    <xf numFmtId="312" fontId="210" fillId="0" borderId="2421" applyNumberFormat="0" applyFill="0" applyBorder="0" applyAlignment="0">
      <protection locked="0"/>
    </xf>
    <xf numFmtId="312" fontId="2" fillId="0" borderId="2402" applyNumberFormat="0" applyAlignment="0" applyProtection="0"/>
    <xf numFmtId="312" fontId="214" fillId="0" borderId="2403" applyNumberFormat="0" applyFont="0" applyFill="0" applyAlignment="0" applyProtection="0"/>
    <xf numFmtId="312" fontId="25" fillId="10" borderId="2404" applyNumberFormat="0" applyProtection="0">
      <alignment horizontal="left" vertical="top"/>
    </xf>
    <xf numFmtId="312" fontId="25" fillId="10" borderId="2405" applyNumberFormat="0" applyProtection="0">
      <alignment horizontal="left" vertical="top"/>
    </xf>
    <xf numFmtId="312" fontId="25" fillId="10" borderId="2406" applyNumberFormat="0" applyProtection="0">
      <alignment horizontal="left" vertical="top"/>
    </xf>
    <xf numFmtId="312" fontId="25" fillId="10" borderId="2407" applyNumberFormat="0" applyProtection="0">
      <alignment horizontal="left" vertical="top"/>
    </xf>
    <xf numFmtId="312" fontId="25" fillId="10" borderId="2404" applyNumberFormat="0" applyProtection="0">
      <alignment horizontal="left" vertical="top"/>
    </xf>
    <xf numFmtId="312" fontId="25" fillId="10" borderId="2405" applyNumberFormat="0" applyProtection="0">
      <alignment horizontal="left" vertical="top"/>
    </xf>
    <xf numFmtId="312" fontId="25" fillId="10" borderId="2406" applyNumberFormat="0" applyProtection="0">
      <alignment horizontal="left" vertical="top"/>
    </xf>
    <xf numFmtId="312" fontId="25" fillId="10" borderId="2407" applyNumberFormat="0" applyProtection="0">
      <alignment horizontal="left" vertical="top"/>
    </xf>
    <xf numFmtId="312" fontId="241" fillId="94" borderId="2421" applyBorder="0" applyProtection="0">
      <alignment horizontal="centerContinuous" vertical="center"/>
    </xf>
    <xf numFmtId="246" fontId="296" fillId="0" borderId="2421" applyFill="0" applyProtection="0">
      <alignment horizontal="center"/>
    </xf>
    <xf numFmtId="246" fontId="250" fillId="0" borderId="2421" applyFill="0" applyProtection="0">
      <alignment horizontal="center"/>
    </xf>
    <xf numFmtId="246" fontId="249" fillId="0" borderId="2421" applyFill="0" applyProtection="0">
      <alignment horizontal="center"/>
    </xf>
    <xf numFmtId="0" fontId="241" fillId="94" borderId="2421" applyBorder="0" applyProtection="0">
      <alignment horizontal="centerContinuous" vertical="center"/>
    </xf>
    <xf numFmtId="254" fontId="240" fillId="0" borderId="2421" applyBorder="0" applyProtection="0">
      <alignment horizontal="right" vertical="center"/>
    </xf>
    <xf numFmtId="0" fontId="25" fillId="10" borderId="2419" applyNumberFormat="0" applyProtection="0">
      <alignment horizontal="left" vertical="top"/>
    </xf>
    <xf numFmtId="0" fontId="25" fillId="10" borderId="2418" applyNumberFormat="0" applyProtection="0">
      <alignment horizontal="left" vertical="top"/>
    </xf>
    <xf numFmtId="0" fontId="25" fillId="10" borderId="2417" applyNumberFormat="0" applyProtection="0">
      <alignment horizontal="left" vertical="top"/>
    </xf>
    <xf numFmtId="0" fontId="25" fillId="10" borderId="2416" applyNumberFormat="0" applyProtection="0">
      <alignment horizontal="left" vertical="top"/>
    </xf>
    <xf numFmtId="0" fontId="214" fillId="0" borderId="2415" applyNumberFormat="0" applyFont="0" applyFill="0" applyAlignment="0" applyProtection="0"/>
    <xf numFmtId="0" fontId="2" fillId="0" borderId="2414" applyNumberFormat="0" applyAlignment="0" applyProtection="0"/>
    <xf numFmtId="0" fontId="210" fillId="0" borderId="2421" applyNumberFormat="0" applyFill="0" applyBorder="0" applyAlignment="0">
      <protection locked="0"/>
    </xf>
    <xf numFmtId="264" fontId="12" fillId="14" borderId="2421" applyFont="0" applyFill="0" applyBorder="0" applyAlignment="0" applyProtection="0">
      <alignment horizontal="right"/>
    </xf>
    <xf numFmtId="0" fontId="166" fillId="0" borderId="2421">
      <alignment horizontal="center"/>
    </xf>
    <xf numFmtId="0" fontId="165" fillId="0" borderId="2421" applyFill="0" applyProtection="0">
      <alignment horizontal="center"/>
    </xf>
    <xf numFmtId="186" fontId="140" fillId="3" borderId="2413">
      <alignment horizontal="center" vertical="center"/>
    </xf>
    <xf numFmtId="186" fontId="146" fillId="3" borderId="2412">
      <alignment horizontal="left"/>
    </xf>
    <xf numFmtId="186" fontId="146" fillId="3" borderId="2421" applyBorder="0">
      <alignment horizontal="left" vertical="center"/>
    </xf>
    <xf numFmtId="180" fontId="9" fillId="3" borderId="2421">
      <alignment horizontal="right" vertical="center"/>
    </xf>
    <xf numFmtId="192" fontId="9" fillId="3" borderId="2421">
      <alignment horizontal="right" vertical="center"/>
    </xf>
    <xf numFmtId="248" fontId="46" fillId="0" borderId="2421"/>
    <xf numFmtId="0" fontId="78" fillId="14" borderId="2411" applyFont="0" applyFill="0" applyBorder="0" applyAlignment="0" applyProtection="0"/>
    <xf numFmtId="0" fontId="12" fillId="0" borderId="2421" applyNumberFormat="0" applyFill="0" applyBorder="0" applyAlignment="0" applyProtection="0">
      <alignment horizontal="center"/>
    </xf>
    <xf numFmtId="0" fontId="75" fillId="0" borderId="2410" applyNumberFormat="0" applyFont="0" applyFill="0" applyAlignment="0" applyProtection="0"/>
    <xf numFmtId="0" fontId="113" fillId="0" borderId="2421" applyNumberFormat="0" applyFill="0" applyAlignment="0" applyProtection="0"/>
    <xf numFmtId="222" fontId="79" fillId="0" borderId="2420" applyBorder="0"/>
    <xf numFmtId="0" fontId="101" fillId="0" borderId="2421" applyBorder="0"/>
    <xf numFmtId="0" fontId="25" fillId="10" borderId="2428" applyNumberFormat="0" applyProtection="0">
      <alignment horizontal="left" vertical="top"/>
    </xf>
    <xf numFmtId="0" fontId="25" fillId="10" borderId="2429" applyNumberFormat="0" applyProtection="0">
      <alignment horizontal="left" vertical="top"/>
    </xf>
    <xf numFmtId="0" fontId="25" fillId="10" borderId="2430" applyNumberFormat="0" applyProtection="0">
      <alignment horizontal="left" vertical="top"/>
    </xf>
    <xf numFmtId="0" fontId="25" fillId="10" borderId="2431" applyNumberFormat="0" applyProtection="0">
      <alignment horizontal="left" vertical="top"/>
    </xf>
    <xf numFmtId="246" fontId="250" fillId="0" borderId="2409" applyFill="0" applyProtection="0">
      <alignment horizontal="center"/>
    </xf>
    <xf numFmtId="246" fontId="249" fillId="0" borderId="2409" applyFill="0" applyProtection="0">
      <alignment horizontal="center"/>
    </xf>
    <xf numFmtId="0" fontId="241" fillId="94" borderId="2409" applyBorder="0" applyProtection="0">
      <alignment horizontal="centerContinuous" vertical="center"/>
    </xf>
    <xf numFmtId="254" fontId="240" fillId="0" borderId="2409" applyBorder="0" applyProtection="0">
      <alignment horizontal="right" vertical="center"/>
    </xf>
    <xf numFmtId="0" fontId="210" fillId="0" borderId="2409" applyNumberFormat="0" applyFill="0" applyBorder="0" applyAlignment="0">
      <protection locked="0"/>
    </xf>
    <xf numFmtId="264" fontId="12" fillId="14" borderId="2409" applyFont="0" applyFill="0" applyBorder="0" applyAlignment="0" applyProtection="0">
      <alignment horizontal="right"/>
    </xf>
    <xf numFmtId="0" fontId="166" fillId="0" borderId="2409">
      <alignment horizontal="center"/>
    </xf>
    <xf numFmtId="0" fontId="165" fillId="0" borderId="2409" applyFill="0" applyProtection="0">
      <alignment horizontal="center"/>
    </xf>
    <xf numFmtId="186" fontId="146" fillId="3" borderId="2409" applyBorder="0">
      <alignment horizontal="left" vertical="center"/>
    </xf>
    <xf numFmtId="180" fontId="9" fillId="3" borderId="2409">
      <alignment horizontal="right" vertical="center"/>
    </xf>
    <xf numFmtId="192" fontId="9" fillId="3" borderId="2409">
      <alignment horizontal="right" vertical="center"/>
    </xf>
    <xf numFmtId="248" fontId="46" fillId="0" borderId="2409"/>
    <xf numFmtId="0" fontId="12" fillId="0" borderId="2409" applyNumberFormat="0" applyFill="0" applyBorder="0" applyAlignment="0" applyProtection="0">
      <alignment horizontal="center"/>
    </xf>
    <xf numFmtId="0" fontId="113" fillId="0" borderId="2409" applyNumberFormat="0" applyFill="0" applyAlignment="0" applyProtection="0"/>
    <xf numFmtId="222" fontId="79" fillId="0" borderId="2408" applyBorder="0"/>
    <xf numFmtId="0" fontId="101" fillId="0" borderId="2409" applyBorder="0"/>
    <xf numFmtId="246" fontId="250" fillId="0" borderId="2409" applyFill="0" applyProtection="0">
      <alignment horizontal="center"/>
    </xf>
    <xf numFmtId="246" fontId="249" fillId="0" borderId="2409" applyFill="0" applyProtection="0">
      <alignment horizontal="center"/>
    </xf>
    <xf numFmtId="0" fontId="241" fillId="94" borderId="2409" applyBorder="0" applyProtection="0">
      <alignment horizontal="centerContinuous" vertical="center"/>
    </xf>
    <xf numFmtId="254" fontId="240" fillId="0" borderId="2409" applyBorder="0" applyProtection="0">
      <alignment horizontal="right" vertical="center"/>
    </xf>
    <xf numFmtId="0" fontId="210" fillId="0" borderId="2409" applyNumberFormat="0" applyFill="0" applyBorder="0" applyAlignment="0">
      <protection locked="0"/>
    </xf>
    <xf numFmtId="264" fontId="12" fillId="14" borderId="2409" applyFont="0" applyFill="0" applyBorder="0" applyAlignment="0" applyProtection="0">
      <alignment horizontal="right"/>
    </xf>
    <xf numFmtId="0" fontId="166" fillId="0" borderId="2409">
      <alignment horizontal="center"/>
    </xf>
    <xf numFmtId="0" fontId="165" fillId="0" borderId="2409" applyFill="0" applyProtection="0">
      <alignment horizontal="center"/>
    </xf>
    <xf numFmtId="186" fontId="146" fillId="3" borderId="2409" applyBorder="0">
      <alignment horizontal="left" vertical="center"/>
    </xf>
    <xf numFmtId="180" fontId="9" fillId="3" borderId="2409">
      <alignment horizontal="right" vertical="center"/>
    </xf>
    <xf numFmtId="192" fontId="9" fillId="3" borderId="2409">
      <alignment horizontal="right" vertical="center"/>
    </xf>
    <xf numFmtId="0" fontId="12" fillId="0" borderId="2409" applyNumberFormat="0" applyFill="0" applyBorder="0" applyAlignment="0" applyProtection="0">
      <alignment horizontal="center"/>
    </xf>
    <xf numFmtId="0" fontId="113" fillId="0" borderId="2409" applyNumberFormat="0" applyFill="0" applyAlignment="0" applyProtection="0"/>
    <xf numFmtId="222" fontId="79" fillId="0" borderId="2408" applyBorder="0"/>
    <xf numFmtId="0" fontId="101" fillId="0" borderId="2409" applyBorder="0"/>
    <xf numFmtId="248" fontId="46" fillId="0" borderId="2409"/>
    <xf numFmtId="246" fontId="250" fillId="0" borderId="2409" applyFill="0" applyProtection="0">
      <alignment horizontal="center"/>
    </xf>
    <xf numFmtId="246" fontId="249" fillId="0" borderId="2409" applyFill="0" applyProtection="0">
      <alignment horizontal="center"/>
    </xf>
    <xf numFmtId="0" fontId="241" fillId="94" borderId="2409" applyBorder="0" applyProtection="0">
      <alignment horizontal="centerContinuous" vertical="center"/>
    </xf>
    <xf numFmtId="254" fontId="240" fillId="0" borderId="2409" applyBorder="0" applyProtection="0">
      <alignment horizontal="right" vertical="center"/>
    </xf>
    <xf numFmtId="0" fontId="210" fillId="0" borderId="2409" applyNumberFormat="0" applyFill="0" applyBorder="0" applyAlignment="0">
      <protection locked="0"/>
    </xf>
    <xf numFmtId="264" fontId="12" fillId="14" borderId="2409" applyFont="0" applyFill="0" applyBorder="0" applyAlignment="0" applyProtection="0">
      <alignment horizontal="right"/>
    </xf>
    <xf numFmtId="0" fontId="166" fillId="0" borderId="2409">
      <alignment horizontal="center"/>
    </xf>
    <xf numFmtId="0" fontId="165" fillId="0" borderId="2409" applyFill="0" applyProtection="0">
      <alignment horizontal="center"/>
    </xf>
    <xf numFmtId="186" fontId="146" fillId="3" borderId="2409" applyBorder="0">
      <alignment horizontal="left" vertical="center"/>
    </xf>
    <xf numFmtId="180" fontId="9" fillId="3" borderId="2409">
      <alignment horizontal="right" vertical="center"/>
    </xf>
    <xf numFmtId="192" fontId="9" fillId="3" borderId="2409">
      <alignment horizontal="right" vertical="center"/>
    </xf>
    <xf numFmtId="248" fontId="46" fillId="0" borderId="2409"/>
    <xf numFmtId="0" fontId="12" fillId="0" borderId="2409" applyNumberFormat="0" applyFill="0" applyBorder="0" applyAlignment="0" applyProtection="0">
      <alignment horizontal="center"/>
    </xf>
    <xf numFmtId="0" fontId="113" fillId="0" borderId="2409" applyNumberFormat="0" applyFill="0" applyAlignment="0" applyProtection="0"/>
    <xf numFmtId="222" fontId="79" fillId="0" borderId="2408" applyBorder="0"/>
    <xf numFmtId="0" fontId="101" fillId="0" borderId="2409" applyBorder="0"/>
    <xf numFmtId="222" fontId="79" fillId="0" borderId="2513" applyBorder="0"/>
    <xf numFmtId="0" fontId="113" fillId="0" borderId="2635" applyNumberFormat="0" applyFill="0" applyAlignment="0" applyProtection="0"/>
    <xf numFmtId="0" fontId="210" fillId="0" borderId="2623" applyNumberFormat="0" applyFill="0" applyBorder="0" applyAlignment="0">
      <protection locked="0"/>
    </xf>
    <xf numFmtId="0" fontId="241" fillId="94" borderId="2635" applyBorder="0" applyProtection="0">
      <alignment horizontal="centerContinuous" vertical="center"/>
    </xf>
    <xf numFmtId="0" fontId="25" fillId="10" borderId="4757" applyNumberFormat="0" applyProtection="0">
      <alignment horizontal="left" vertical="top"/>
    </xf>
    <xf numFmtId="190" fontId="2" fillId="0" borderId="2676" applyNumberFormat="0" applyAlignment="0" applyProtection="0"/>
    <xf numFmtId="190" fontId="210" fillId="0" borderId="2695" applyNumberFormat="0" applyFill="0" applyBorder="0" applyAlignment="0">
      <protection locked="0"/>
    </xf>
    <xf numFmtId="190" fontId="166" fillId="0" borderId="2695">
      <alignment horizontal="center"/>
    </xf>
    <xf numFmtId="190" fontId="165" fillId="0" borderId="2695" applyFill="0" applyProtection="0">
      <alignment horizontal="center"/>
    </xf>
    <xf numFmtId="190" fontId="12" fillId="0" borderId="2695" applyNumberFormat="0" applyFill="0" applyBorder="0" applyAlignment="0" applyProtection="0">
      <alignment horizontal="center"/>
    </xf>
    <xf numFmtId="190" fontId="75" fillId="0" borderId="2672" applyNumberFormat="0" applyFont="0" applyFill="0" applyAlignment="0" applyProtection="0"/>
    <xf numFmtId="246" fontId="249" fillId="0" borderId="2695" applyFill="0" applyProtection="0">
      <alignment horizontal="center"/>
    </xf>
    <xf numFmtId="0" fontId="25" fillId="10" borderId="2705" applyNumberFormat="0" applyProtection="0">
      <alignment horizontal="left" vertical="top"/>
    </xf>
    <xf numFmtId="0" fontId="101" fillId="0" borderId="2695" applyBorder="0"/>
    <xf numFmtId="222" fontId="79" fillId="0" borderId="2694" applyBorder="0"/>
    <xf numFmtId="0" fontId="12" fillId="0" borderId="2695" applyNumberFormat="0" applyFill="0" applyBorder="0" applyAlignment="0" applyProtection="0">
      <alignment horizontal="center"/>
    </xf>
    <xf numFmtId="0" fontId="12" fillId="0" borderId="2433" applyNumberFormat="0" applyFill="0" applyBorder="0" applyAlignment="0" applyProtection="0"/>
    <xf numFmtId="0" fontId="46" fillId="0" borderId="2433" applyNumberFormat="0" applyFill="0" applyBorder="0" applyAlignment="0" applyProtection="0"/>
    <xf numFmtId="0" fontId="105" fillId="0" borderId="2433" applyNumberFormat="0" applyFill="0" applyBorder="0" applyAlignment="0" applyProtection="0"/>
    <xf numFmtId="0" fontId="48" fillId="0" borderId="2433" applyNumberFormat="0" applyFill="0" applyAlignment="0" applyProtection="0"/>
    <xf numFmtId="0" fontId="241" fillId="94" borderId="2695" applyBorder="0" applyProtection="0">
      <alignment horizontal="centerContinuous" vertical="center"/>
    </xf>
    <xf numFmtId="5" fontId="114" fillId="0" borderId="2432" applyAlignment="0" applyProtection="0"/>
    <xf numFmtId="0" fontId="25" fillId="10" borderId="2705" applyNumberFormat="0" applyProtection="0">
      <alignment horizontal="left" vertical="top"/>
    </xf>
    <xf numFmtId="0" fontId="25" fillId="10" borderId="2704" applyNumberFormat="0" applyProtection="0">
      <alignment horizontal="left" vertical="top"/>
    </xf>
    <xf numFmtId="0" fontId="25" fillId="10" borderId="2703" applyNumberFormat="0" applyProtection="0">
      <alignment horizontal="left" vertical="top"/>
    </xf>
    <xf numFmtId="0" fontId="25" fillId="10" borderId="2702" applyNumberFormat="0" applyProtection="0">
      <alignment horizontal="left" vertical="top"/>
    </xf>
    <xf numFmtId="186" fontId="140" fillId="3" borderId="2699">
      <alignment horizontal="center" vertical="center"/>
    </xf>
    <xf numFmtId="246" fontId="249" fillId="0" borderId="2683" applyFill="0" applyProtection="0">
      <alignment horizontal="center"/>
    </xf>
    <xf numFmtId="0" fontId="210" fillId="0" borderId="2683" applyNumberFormat="0" applyFill="0" applyBorder="0" applyAlignment="0">
      <protection locked="0"/>
    </xf>
    <xf numFmtId="264" fontId="12" fillId="14" borderId="2683" applyFont="0" applyFill="0" applyBorder="0" applyAlignment="0" applyProtection="0">
      <alignment horizontal="right"/>
    </xf>
    <xf numFmtId="192" fontId="9" fillId="3" borderId="2683">
      <alignment horizontal="right" vertical="center"/>
    </xf>
    <xf numFmtId="0" fontId="113" fillId="0" borderId="2683" applyNumberFormat="0" applyFill="0" applyAlignment="0" applyProtection="0"/>
    <xf numFmtId="222" fontId="79" fillId="0" borderId="2682" applyBorder="0"/>
    <xf numFmtId="0" fontId="75" fillId="0" borderId="2672" applyNumberFormat="0" applyFont="0" applyFill="0" applyAlignment="0" applyProtection="0"/>
    <xf numFmtId="186" fontId="146" fillId="3" borderId="2674">
      <alignment horizontal="left"/>
    </xf>
    <xf numFmtId="0" fontId="25" fillId="10" borderId="2679" applyNumberFormat="0" applyProtection="0">
      <alignment horizontal="left" vertical="top"/>
    </xf>
    <xf numFmtId="0" fontId="25" fillId="10" borderId="2680" applyNumberFormat="0" applyProtection="0">
      <alignment horizontal="left" vertical="top"/>
    </xf>
    <xf numFmtId="0" fontId="25" fillId="10" borderId="2681" applyNumberFormat="0" applyProtection="0">
      <alignment horizontal="left" vertical="top"/>
    </xf>
    <xf numFmtId="246" fontId="250" fillId="0" borderId="2659" applyFill="0" applyProtection="0">
      <alignment horizontal="center"/>
    </xf>
    <xf numFmtId="246" fontId="249" fillId="0" borderId="2659" applyFill="0" applyProtection="0">
      <alignment horizontal="center"/>
    </xf>
    <xf numFmtId="0" fontId="241" fillId="94" borderId="2659" applyBorder="0" applyProtection="0">
      <alignment horizontal="centerContinuous" vertical="center"/>
    </xf>
    <xf numFmtId="0" fontId="210" fillId="0" borderId="2659" applyNumberFormat="0" applyFill="0" applyBorder="0" applyAlignment="0">
      <protection locked="0"/>
    </xf>
    <xf numFmtId="0" fontId="165" fillId="0" borderId="2659" applyFill="0" applyProtection="0">
      <alignment horizontal="center"/>
    </xf>
    <xf numFmtId="192" fontId="9" fillId="3" borderId="2659">
      <alignment horizontal="right" vertical="center"/>
    </xf>
    <xf numFmtId="0" fontId="113" fillId="0" borderId="2659" applyNumberFormat="0" applyFill="0" applyAlignment="0" applyProtection="0"/>
    <xf numFmtId="222" fontId="79" fillId="0" borderId="2658" applyBorder="0"/>
    <xf numFmtId="186" fontId="140" fillId="3" borderId="2651">
      <alignment horizontal="center" vertical="center"/>
    </xf>
    <xf numFmtId="0" fontId="25" fillId="10" borderId="2654" applyNumberFormat="0" applyProtection="0">
      <alignment horizontal="left" vertical="top"/>
    </xf>
    <xf numFmtId="0" fontId="25" fillId="10" borderId="2657" applyNumberFormat="0" applyProtection="0">
      <alignment horizontal="left" vertical="top"/>
    </xf>
    <xf numFmtId="0" fontId="78" fillId="14" borderId="2625" applyFont="0" applyFill="0" applyBorder="0" applyAlignment="0" applyProtection="0"/>
    <xf numFmtId="186" fontId="140" fillId="3" borderId="2639">
      <alignment horizontal="center" vertical="center"/>
    </xf>
    <xf numFmtId="0" fontId="241" fillId="94" borderId="2635" applyBorder="0" applyProtection="0">
      <alignment horizontal="centerContinuous" vertical="center"/>
    </xf>
    <xf numFmtId="254" fontId="240" fillId="0" borderId="2635" applyBorder="0" applyProtection="0">
      <alignment horizontal="right" vertical="center"/>
    </xf>
    <xf numFmtId="0" fontId="210" fillId="0" borderId="2635" applyNumberFormat="0" applyFill="0" applyBorder="0" applyAlignment="0">
      <protection locked="0"/>
    </xf>
    <xf numFmtId="264" fontId="12" fillId="14" borderId="2635" applyFont="0" applyFill="0" applyBorder="0" applyAlignment="0" applyProtection="0">
      <alignment horizontal="right"/>
    </xf>
    <xf numFmtId="186" fontId="140" fillId="3" borderId="2627">
      <alignment horizontal="center" vertical="center"/>
    </xf>
    <xf numFmtId="186" fontId="146" fillId="3" borderId="2626">
      <alignment horizontal="left"/>
    </xf>
    <xf numFmtId="222" fontId="79" fillId="0" borderId="2634" applyBorder="0"/>
    <xf numFmtId="180" fontId="9" fillId="3" borderId="2623">
      <alignment horizontal="right" vertical="center"/>
    </xf>
    <xf numFmtId="192" fontId="9" fillId="3" borderId="2623">
      <alignment horizontal="right" vertical="center"/>
    </xf>
    <xf numFmtId="248" fontId="46" fillId="0" borderId="2623"/>
    <xf numFmtId="0" fontId="12" fillId="0" borderId="2623" applyNumberFormat="0" applyFill="0" applyBorder="0" applyAlignment="0" applyProtection="0">
      <alignment horizontal="center"/>
    </xf>
    <xf numFmtId="0" fontId="101" fillId="0" borderId="2623" applyBorder="0"/>
    <xf numFmtId="222" fontId="79" fillId="0" borderId="2513" applyBorder="0"/>
    <xf numFmtId="0" fontId="25" fillId="10" borderId="4726" applyNumberFormat="0" applyProtection="0">
      <alignment horizontal="left" vertical="top"/>
    </xf>
    <xf numFmtId="0" fontId="78" fillId="14" borderId="2504" applyFont="0" applyFill="0" applyBorder="0" applyAlignment="0" applyProtection="0"/>
    <xf numFmtId="222" fontId="79" fillId="0" borderId="2513" applyBorder="0"/>
    <xf numFmtId="0" fontId="25" fillId="10" borderId="2632" applyNumberFormat="0" applyProtection="0">
      <alignment horizontal="left" vertical="top"/>
    </xf>
    <xf numFmtId="0" fontId="214" fillId="0" borderId="2629" applyNumberFormat="0" applyFont="0" applyFill="0" applyAlignment="0" applyProtection="0"/>
    <xf numFmtId="186" fontId="146" fillId="3" borderId="2626">
      <alignment horizontal="left"/>
    </xf>
    <xf numFmtId="0" fontId="75" fillId="0" borderId="2624" applyNumberFormat="0" applyFont="0" applyFill="0" applyAlignment="0" applyProtection="0"/>
    <xf numFmtId="190" fontId="135" fillId="0" borderId="4730"/>
    <xf numFmtId="222" fontId="79" fillId="0" borderId="2634" applyBorder="0"/>
    <xf numFmtId="248" fontId="46" fillId="0" borderId="2635"/>
    <xf numFmtId="192" fontId="9" fillId="3" borderId="2635">
      <alignment horizontal="right" vertical="center"/>
    </xf>
    <xf numFmtId="180" fontId="9" fillId="3" borderId="2635">
      <alignment horizontal="right" vertical="center"/>
    </xf>
    <xf numFmtId="186" fontId="146" fillId="3" borderId="2635" applyBorder="0">
      <alignment horizontal="left" vertical="center"/>
    </xf>
    <xf numFmtId="0" fontId="165" fillId="0" borderId="2635" applyFill="0" applyProtection="0">
      <alignment horizontal="center"/>
    </xf>
    <xf numFmtId="0" fontId="166" fillId="0" borderId="2635">
      <alignment horizontal="center"/>
    </xf>
    <xf numFmtId="264" fontId="12" fillId="14" borderId="2635" applyFont="0" applyFill="0" applyBorder="0" applyAlignment="0" applyProtection="0">
      <alignment horizontal="right"/>
    </xf>
    <xf numFmtId="0" fontId="210" fillId="0" borderId="2635" applyNumberFormat="0" applyFill="0" applyBorder="0" applyAlignment="0">
      <protection locked="0"/>
    </xf>
    <xf numFmtId="254" fontId="240" fillId="0" borderId="2635" applyBorder="0" applyProtection="0">
      <alignment horizontal="right" vertical="center"/>
    </xf>
    <xf numFmtId="0" fontId="241" fillId="94" borderId="2635" applyBorder="0" applyProtection="0">
      <alignment horizontal="centerContinuous" vertical="center"/>
    </xf>
    <xf numFmtId="0" fontId="2" fillId="0" borderId="2688" applyNumberFormat="0" applyAlignment="0" applyProtection="0"/>
    <xf numFmtId="0" fontId="74" fillId="0" borderId="2432" applyFont="0" applyFill="0" applyBorder="0" applyAlignment="0" applyProtection="0">
      <alignment horizontal="center"/>
    </xf>
    <xf numFmtId="0" fontId="48" fillId="0" borderId="2432" applyFont="0" applyFill="0" applyBorder="0" applyAlignment="0" applyProtection="0">
      <alignment horizontal="center"/>
    </xf>
    <xf numFmtId="0" fontId="25" fillId="10" borderId="2690" applyNumberFormat="0" applyProtection="0">
      <alignment horizontal="left" vertical="top"/>
    </xf>
    <xf numFmtId="222" fontId="79" fillId="0" borderId="2513" applyBorder="0"/>
    <xf numFmtId="186" fontId="146" fillId="3" borderId="2686">
      <alignment horizontal="left"/>
    </xf>
    <xf numFmtId="186" fontId="140" fillId="3" borderId="2687">
      <alignment horizontal="center" vertical="center"/>
    </xf>
    <xf numFmtId="0" fontId="25" fillId="10" borderId="2458" applyNumberFormat="0" applyProtection="0">
      <alignment horizontal="left" vertical="top"/>
    </xf>
    <xf numFmtId="0" fontId="25" fillId="10" borderId="2461" applyNumberFormat="0" applyProtection="0">
      <alignment horizontal="left" vertical="top"/>
    </xf>
    <xf numFmtId="0" fontId="78" fillId="14" borderId="2504" applyFont="0" applyFill="0" applyBorder="0" applyAlignment="0" applyProtection="0"/>
    <xf numFmtId="0" fontId="78" fillId="14" borderId="2661" applyFont="0" applyFill="0" applyBorder="0" applyAlignment="0" applyProtection="0"/>
    <xf numFmtId="0" fontId="214" fillId="0" borderId="2665" applyNumberFormat="0" applyFont="0" applyFill="0" applyAlignment="0" applyProtection="0"/>
    <xf numFmtId="186" fontId="146" fillId="3" borderId="2671" applyBorder="0">
      <alignment horizontal="left" vertical="center"/>
    </xf>
    <xf numFmtId="0" fontId="166" fillId="0" borderId="2671">
      <alignment horizontal="center"/>
    </xf>
    <xf numFmtId="0" fontId="241" fillId="94" borderId="2671" applyBorder="0" applyProtection="0">
      <alignment horizontal="centerContinuous" vertical="center"/>
    </xf>
    <xf numFmtId="0" fontId="241" fillId="94" borderId="2647" applyBorder="0" applyProtection="0">
      <alignment horizontal="centerContinuous" vertical="center"/>
    </xf>
    <xf numFmtId="254" fontId="240" fillId="0" borderId="2647" applyBorder="0" applyProtection="0">
      <alignment horizontal="right" vertical="center"/>
    </xf>
    <xf numFmtId="0" fontId="165" fillId="0" borderId="2647" applyFill="0" applyProtection="0">
      <alignment horizontal="center"/>
    </xf>
    <xf numFmtId="0" fontId="25" fillId="10" borderId="2633" applyNumberFormat="0" applyProtection="0">
      <alignment horizontal="left" vertical="top"/>
    </xf>
    <xf numFmtId="0" fontId="25" fillId="10" borderId="2632" applyNumberFormat="0" applyProtection="0">
      <alignment horizontal="left" vertical="top"/>
    </xf>
    <xf numFmtId="0" fontId="75" fillId="0" borderId="2624" applyNumberFormat="0" applyFont="0" applyFill="0" applyAlignment="0" applyProtection="0"/>
    <xf numFmtId="0" fontId="214" fillId="0" borderId="2689" applyNumberFormat="0" applyFont="0" applyFill="0" applyAlignment="0" applyProtection="0"/>
    <xf numFmtId="222" fontId="79" fillId="0" borderId="2634" applyBorder="0"/>
    <xf numFmtId="0" fontId="25" fillId="10" borderId="2693" applyNumberFormat="0" applyProtection="0">
      <alignment horizontal="left" vertical="top"/>
    </xf>
    <xf numFmtId="254" fontId="240" fillId="0" borderId="2514" applyBorder="0" applyProtection="0">
      <alignment horizontal="right" vertical="center"/>
    </xf>
    <xf numFmtId="0" fontId="210" fillId="0" borderId="2514" applyNumberFormat="0" applyFill="0" applyBorder="0" applyAlignment="0">
      <protection locked="0"/>
    </xf>
    <xf numFmtId="264" fontId="12" fillId="14" borderId="2514" applyFont="0" applyFill="0" applyBorder="0" applyAlignment="0" applyProtection="0">
      <alignment horizontal="right"/>
    </xf>
    <xf numFmtId="0" fontId="166" fillId="0" borderId="2514">
      <alignment horizontal="center"/>
    </xf>
    <xf numFmtId="0" fontId="165" fillId="0" borderId="2514" applyFill="0" applyProtection="0">
      <alignment horizontal="center"/>
    </xf>
    <xf numFmtId="186" fontId="146" fillId="3" borderId="2514" applyBorder="0">
      <alignment horizontal="left" vertical="center"/>
    </xf>
    <xf numFmtId="182" fontId="145" fillId="3" borderId="2432">
      <alignment horizontal="right" vertical="center"/>
    </xf>
    <xf numFmtId="180" fontId="9" fillId="3" borderId="2514">
      <alignment horizontal="right" vertical="center"/>
    </xf>
    <xf numFmtId="186" fontId="146" fillId="3" borderId="2638">
      <alignment horizontal="left"/>
    </xf>
    <xf numFmtId="0" fontId="214" fillId="0" borderId="2641" applyNumberFormat="0" applyFont="0" applyFill="0" applyAlignment="0" applyProtection="0"/>
    <xf numFmtId="186" fontId="48" fillId="3" borderId="2432">
      <alignment vertical="center"/>
    </xf>
    <xf numFmtId="0" fontId="25" fillId="10" borderId="2642" applyNumberFormat="0" applyProtection="0">
      <alignment horizontal="left" vertical="top"/>
    </xf>
    <xf numFmtId="0" fontId="25" fillId="10" borderId="2644" applyNumberFormat="0" applyProtection="0">
      <alignment horizontal="left" vertical="top"/>
    </xf>
    <xf numFmtId="222" fontId="79" fillId="0" borderId="2658" applyBorder="0"/>
    <xf numFmtId="0" fontId="135" fillId="0" borderId="2434"/>
    <xf numFmtId="0" fontId="135" fillId="0" borderId="2434"/>
    <xf numFmtId="0" fontId="25" fillId="10" borderId="2669" applyNumberFormat="0" applyProtection="0">
      <alignment horizontal="left" vertical="top"/>
    </xf>
    <xf numFmtId="0" fontId="25" fillId="10" borderId="2666" applyNumberFormat="0" applyProtection="0">
      <alignment horizontal="left" vertical="top"/>
    </xf>
    <xf numFmtId="222" fontId="79" fillId="0" borderId="2670" applyBorder="0"/>
    <xf numFmtId="180" fontId="9" fillId="3" borderId="2671">
      <alignment horizontal="right" vertical="center"/>
    </xf>
    <xf numFmtId="254" fontId="240" fillId="0" borderId="2671" applyBorder="0" applyProtection="0">
      <alignment horizontal="right" vertical="center"/>
    </xf>
    <xf numFmtId="246" fontId="249" fillId="0" borderId="2671" applyFill="0" applyProtection="0">
      <alignment horizontal="center"/>
    </xf>
    <xf numFmtId="246" fontId="250" fillId="0" borderId="2671" applyFill="0" applyProtection="0">
      <alignment horizontal="center"/>
    </xf>
    <xf numFmtId="264" fontId="12" fillId="14" borderId="2647" applyFont="0" applyFill="0" applyBorder="0" applyAlignment="0" applyProtection="0">
      <alignment horizontal="right"/>
    </xf>
    <xf numFmtId="186" fontId="146" fillId="3" borderId="2647" applyBorder="0">
      <alignment horizontal="left" vertical="center"/>
    </xf>
    <xf numFmtId="180" fontId="9" fillId="3" borderId="2647">
      <alignment horizontal="right" vertical="center"/>
    </xf>
    <xf numFmtId="192" fontId="9" fillId="3" borderId="2647">
      <alignment horizontal="right" vertical="center"/>
    </xf>
    <xf numFmtId="248" fontId="46" fillId="0" borderId="2647"/>
    <xf numFmtId="0" fontId="12" fillId="0" borderId="2647" applyNumberFormat="0" applyFill="0" applyBorder="0" applyAlignment="0" applyProtection="0">
      <alignment horizontal="center"/>
    </xf>
    <xf numFmtId="0" fontId="113" fillId="0" borderId="2647" applyNumberFormat="0" applyFill="0" applyAlignment="0" applyProtection="0"/>
    <xf numFmtId="0" fontId="210" fillId="0" borderId="2695" applyNumberFormat="0" applyFill="0" applyBorder="0" applyAlignment="0">
      <protection locked="0"/>
    </xf>
    <xf numFmtId="0" fontId="165" fillId="0" borderId="2695" applyFill="0" applyProtection="0">
      <alignment horizontal="center"/>
    </xf>
    <xf numFmtId="192" fontId="9" fillId="3" borderId="2695">
      <alignment horizontal="right" vertical="center"/>
    </xf>
    <xf numFmtId="248" fontId="46" fillId="0" borderId="2695"/>
    <xf numFmtId="222" fontId="79" fillId="0" borderId="2694" applyBorder="0"/>
    <xf numFmtId="0" fontId="78" fillId="14" borderId="2685" applyFont="0" applyFill="0" applyBorder="0" applyAlignment="0" applyProtection="0"/>
    <xf numFmtId="0" fontId="25" fillId="10" borderId="2692" applyNumberFormat="0" applyProtection="0">
      <alignment horizontal="left" vertical="top"/>
    </xf>
    <xf numFmtId="186" fontId="140" fillId="3" borderId="2627">
      <alignment horizontal="center" vertical="center"/>
    </xf>
    <xf numFmtId="0" fontId="2" fillId="0" borderId="2628" applyNumberFormat="0" applyAlignment="0" applyProtection="0"/>
    <xf numFmtId="0" fontId="25" fillId="10" borderId="2631" applyNumberFormat="0" applyProtection="0">
      <alignment horizontal="left" vertical="top"/>
    </xf>
    <xf numFmtId="0" fontId="25" fillId="10" borderId="2630" applyNumberFormat="0" applyProtection="0">
      <alignment horizontal="left" vertical="top"/>
    </xf>
    <xf numFmtId="0" fontId="25" fillId="10" borderId="2633" applyNumberFormat="0" applyProtection="0">
      <alignment horizontal="left" vertical="top"/>
    </xf>
    <xf numFmtId="0" fontId="159" fillId="0" borderId="2434"/>
    <xf numFmtId="0" fontId="159" fillId="67" borderId="2434"/>
    <xf numFmtId="0" fontId="75" fillId="0" borderId="2624" applyNumberFormat="0" applyFont="0" applyFill="0" applyAlignment="0" applyProtection="0"/>
    <xf numFmtId="186" fontId="146" fillId="3" borderId="2626">
      <alignment horizontal="left"/>
    </xf>
    <xf numFmtId="246" fontId="250" fillId="0" borderId="2623" applyFill="0" applyProtection="0">
      <alignment horizontal="center"/>
    </xf>
    <xf numFmtId="0" fontId="210" fillId="0" borderId="2623" applyNumberFormat="0" applyFill="0" applyBorder="0" applyAlignment="0">
      <protection locked="0"/>
    </xf>
    <xf numFmtId="264" fontId="12" fillId="14" borderId="2623" applyFont="0" applyFill="0" applyBorder="0" applyAlignment="0" applyProtection="0">
      <alignment horizontal="right"/>
    </xf>
    <xf numFmtId="180" fontId="9" fillId="3" borderId="2623">
      <alignment horizontal="right" vertical="center"/>
    </xf>
    <xf numFmtId="248" fontId="46" fillId="0" borderId="2623"/>
    <xf numFmtId="4" fontId="226" fillId="77" borderId="4732" applyNumberFormat="0" applyProtection="0">
      <alignment horizontal="right" vertical="center"/>
    </xf>
    <xf numFmtId="192" fontId="9" fillId="3" borderId="4810">
      <alignment horizontal="right" vertical="center"/>
    </xf>
    <xf numFmtId="0" fontId="25" fillId="69" borderId="2434">
      <alignment horizontal="left" vertical="center" wrapText="1"/>
    </xf>
    <xf numFmtId="4" fontId="226" fillId="81" borderId="4732" applyNumberFormat="0" applyProtection="0">
      <alignment horizontal="right" vertical="center"/>
    </xf>
    <xf numFmtId="0" fontId="184" fillId="0" borderId="2435" applyAlignment="0">
      <alignment horizontal="left" wrapText="1"/>
    </xf>
    <xf numFmtId="246" fontId="249" fillId="0" borderId="2623" applyFill="0" applyProtection="0">
      <alignment horizontal="center"/>
    </xf>
    <xf numFmtId="0" fontId="241" fillId="94" borderId="2623" applyBorder="0" applyProtection="0">
      <alignment horizontal="centerContinuous" vertical="center"/>
    </xf>
    <xf numFmtId="254" fontId="240" fillId="0" borderId="2623" applyBorder="0" applyProtection="0">
      <alignment horizontal="right" vertical="center"/>
    </xf>
    <xf numFmtId="0" fontId="214" fillId="0" borderId="4756" applyNumberFormat="0" applyFont="0" applyFill="0" applyAlignment="0" applyProtection="0"/>
    <xf numFmtId="4" fontId="223" fillId="53" borderId="2436" applyNumberFormat="0" applyProtection="0">
      <alignment vertical="center"/>
    </xf>
    <xf numFmtId="4" fontId="224" fillId="53" borderId="2436" applyNumberFormat="0" applyProtection="0">
      <alignment vertical="center"/>
    </xf>
    <xf numFmtId="4" fontId="184" fillId="53" borderId="2436" applyNumberFormat="0" applyProtection="0">
      <alignment horizontal="left" vertical="center" indent="1"/>
    </xf>
    <xf numFmtId="0" fontId="225" fillId="53" borderId="2436" applyNumberFormat="0" applyProtection="0">
      <alignment horizontal="left" vertical="top" indent="1"/>
    </xf>
    <xf numFmtId="4" fontId="226" fillId="76" borderId="2436" applyNumberFormat="0" applyProtection="0">
      <alignment horizontal="right" vertical="center"/>
    </xf>
    <xf numFmtId="4" fontId="226" fillId="77" borderId="2436" applyNumberFormat="0" applyProtection="0">
      <alignment horizontal="right" vertical="center"/>
    </xf>
    <xf numFmtId="4" fontId="226" fillId="78" borderId="2436" applyNumberFormat="0" applyProtection="0">
      <alignment horizontal="right" vertical="center"/>
    </xf>
    <xf numFmtId="4" fontId="226" fillId="10" borderId="2436" applyNumberFormat="0" applyProtection="0">
      <alignment horizontal="right" vertical="center"/>
    </xf>
    <xf numFmtId="4" fontId="226" fillId="79" borderId="2436" applyNumberFormat="0" applyProtection="0">
      <alignment horizontal="right" vertical="center"/>
    </xf>
    <xf numFmtId="4" fontId="226" fillId="71" borderId="2436" applyNumberFormat="0" applyProtection="0">
      <alignment horizontal="right" vertical="center"/>
    </xf>
    <xf numFmtId="4" fontId="226" fillId="80" borderId="2436" applyNumberFormat="0" applyProtection="0">
      <alignment horizontal="right" vertical="center"/>
    </xf>
    <xf numFmtId="4" fontId="226" fillId="81" borderId="2436" applyNumberFormat="0" applyProtection="0">
      <alignment horizontal="right" vertical="center"/>
    </xf>
    <xf numFmtId="4" fontId="226" fillId="82" borderId="2436" applyNumberFormat="0" applyProtection="0">
      <alignment horizontal="right" vertical="center"/>
    </xf>
    <xf numFmtId="4" fontId="184" fillId="52" borderId="2436" applyNumberFormat="0" applyProtection="0">
      <alignment horizontal="right" vertical="center"/>
    </xf>
    <xf numFmtId="0" fontId="12" fillId="75" borderId="2436" applyNumberFormat="0" applyProtection="0">
      <alignment horizontal="left" vertical="center" indent="1"/>
    </xf>
    <xf numFmtId="0" fontId="12" fillId="75" borderId="2436" applyNumberFormat="0" applyProtection="0">
      <alignment horizontal="left" vertical="top" indent="1"/>
    </xf>
    <xf numFmtId="0" fontId="12" fillId="84" borderId="2436" applyNumberFormat="0" applyProtection="0">
      <alignment horizontal="left" vertical="center" indent="1"/>
    </xf>
    <xf numFmtId="0" fontId="12" fillId="84" borderId="2436" applyNumberFormat="0" applyProtection="0">
      <alignment horizontal="left" vertical="top" indent="1"/>
    </xf>
    <xf numFmtId="0" fontId="12" fillId="52" borderId="2436" applyNumberFormat="0" applyProtection="0">
      <alignment horizontal="left" vertical="center" indent="1"/>
    </xf>
    <xf numFmtId="0" fontId="12" fillId="52" borderId="2436" applyNumberFormat="0" applyProtection="0">
      <alignment horizontal="left" vertical="top" indent="1"/>
    </xf>
    <xf numFmtId="0" fontId="12" fillId="11" borderId="2436" applyNumberFormat="0" applyProtection="0">
      <alignment horizontal="left" vertical="center" indent="1"/>
    </xf>
    <xf numFmtId="0" fontId="12" fillId="11" borderId="2436" applyNumberFormat="0" applyProtection="0">
      <alignment horizontal="left" vertical="top" indent="1"/>
    </xf>
    <xf numFmtId="4" fontId="226" fillId="11" borderId="2436" applyNumberFormat="0" applyProtection="0">
      <alignment vertical="center"/>
    </xf>
    <xf numFmtId="4" fontId="228" fillId="11" borderId="2436" applyNumberFormat="0" applyProtection="0">
      <alignment vertical="center"/>
    </xf>
    <xf numFmtId="4" fontId="227" fillId="52" borderId="2437" applyNumberFormat="0" applyProtection="0">
      <alignment horizontal="left" vertical="center" indent="1"/>
    </xf>
    <xf numFmtId="0" fontId="136" fillId="14" borderId="2436" applyNumberFormat="0" applyProtection="0">
      <alignment horizontal="left" vertical="top" indent="1"/>
    </xf>
    <xf numFmtId="4" fontId="184" fillId="11" borderId="2436" applyNumberFormat="0" applyProtection="0">
      <alignment horizontal="right" vertical="center"/>
    </xf>
    <xf numFmtId="4" fontId="228" fillId="11" borderId="2436" applyNumberFormat="0" applyProtection="0">
      <alignment horizontal="right" vertical="center"/>
    </xf>
    <xf numFmtId="4" fontId="223" fillId="52" borderId="2436" applyNumberFormat="0" applyProtection="0">
      <alignment horizontal="left" vertical="center" indent="1"/>
    </xf>
    <xf numFmtId="0" fontId="136" fillId="84" borderId="2436" applyNumberFormat="0" applyProtection="0">
      <alignment horizontal="left" vertical="top" indent="1"/>
    </xf>
    <xf numFmtId="4" fontId="229" fillId="84" borderId="2437" applyNumberFormat="0" applyProtection="0">
      <alignment horizontal="left" vertical="center" indent="1"/>
    </xf>
    <xf numFmtId="4" fontId="230" fillId="11" borderId="2436" applyNumberFormat="0" applyProtection="0">
      <alignment horizontal="right" vertical="center"/>
    </xf>
    <xf numFmtId="3" fontId="12" fillId="60" borderId="2438" applyFont="0" applyFill="0" applyBorder="0" applyAlignment="0" applyProtection="0"/>
    <xf numFmtId="4" fontId="12" fillId="60" borderId="2438" applyFont="0" applyFill="0" applyBorder="0" applyAlignment="0" applyProtection="0"/>
    <xf numFmtId="183" fontId="12" fillId="60" borderId="2438" applyFont="0" applyFill="0" applyBorder="0" applyAlignment="0" applyProtection="0"/>
    <xf numFmtId="10" fontId="12" fillId="60" borderId="2438" applyFont="0" applyFill="0" applyBorder="0" applyAlignment="0" applyProtection="0"/>
    <xf numFmtId="9" fontId="12" fillId="60" borderId="2438" applyFont="0" applyFill="0" applyBorder="0" applyAlignment="0" applyProtection="0"/>
    <xf numFmtId="2" fontId="12" fillId="60" borderId="2438" applyFont="0" applyFill="0" applyBorder="0" applyAlignment="0" applyProtection="0"/>
    <xf numFmtId="0" fontId="25" fillId="10" borderId="2434" applyNumberFormat="0" applyProtection="0">
      <alignment horizontal="center" vertical="top"/>
    </xf>
    <xf numFmtId="0" fontId="25" fillId="10" borderId="2434" applyNumberFormat="0" applyProtection="0">
      <alignment horizontal="center" vertical="top"/>
    </xf>
    <xf numFmtId="169" fontId="234" fillId="3" borderId="2434" applyFont="0" applyProtection="0"/>
    <xf numFmtId="169" fontId="234" fillId="10" borderId="2434" applyFont="0" applyProtection="0"/>
    <xf numFmtId="293" fontId="234" fillId="3" borderId="2434" applyFont="0" applyProtection="0"/>
    <xf numFmtId="293" fontId="234" fillId="10" borderId="2434" applyFont="0" applyProtection="0"/>
    <xf numFmtId="293" fontId="234" fillId="10" borderId="2434" applyFont="0" applyProtection="0"/>
    <xf numFmtId="0" fontId="12" fillId="3" borderId="2434" applyNumberFormat="0" applyFont="0" applyAlignment="0" applyProtection="0"/>
    <xf numFmtId="0" fontId="12" fillId="10" borderId="2434" applyNumberFormat="0" applyFont="0" applyAlignment="0" applyProtection="0"/>
    <xf numFmtId="0" fontId="12" fillId="10" borderId="2434" applyNumberFormat="0" applyFont="0" applyProtection="0"/>
    <xf numFmtId="0" fontId="25" fillId="10" borderId="2439" applyNumberFormat="0" applyProtection="0">
      <alignment horizontal="left"/>
    </xf>
    <xf numFmtId="0" fontId="25" fillId="10" borderId="2440" applyNumberFormat="0" applyProtection="0">
      <alignment horizontal="left" vertical="top"/>
    </xf>
    <xf numFmtId="0" fontId="25" fillId="10" borderId="2441" applyNumberFormat="0" applyProtection="0">
      <alignment horizontal="left" vertical="top"/>
    </xf>
    <xf numFmtId="0" fontId="25" fillId="10" borderId="2442" applyNumberFormat="0" applyProtection="0">
      <alignment horizontal="left" vertical="top"/>
    </xf>
    <xf numFmtId="0" fontId="25" fillId="10" borderId="2443" applyNumberFormat="0" applyProtection="0">
      <alignment horizontal="left" vertical="top"/>
    </xf>
    <xf numFmtId="0" fontId="25" fillId="10" borderId="2444" applyNumberFormat="0" applyProtection="0">
      <alignment horizontal="left" vertical="top"/>
    </xf>
    <xf numFmtId="0" fontId="25" fillId="10" borderId="2445" applyNumberFormat="0" applyProtection="0">
      <alignment horizontal="left" vertical="top"/>
    </xf>
    <xf numFmtId="0" fontId="12" fillId="0" borderId="2433" applyNumberFormat="0" applyFill="0" applyBorder="0" applyAlignment="0" applyProtection="0"/>
    <xf numFmtId="10" fontId="12" fillId="3" borderId="2446" applyNumberFormat="0" applyFont="0" applyFill="0" applyBorder="0" applyAlignment="0">
      <protection locked="0"/>
    </xf>
    <xf numFmtId="0" fontId="12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0" fontId="12" fillId="0" borderId="2623" applyNumberFormat="0" applyFill="0" applyBorder="0" applyAlignment="0" applyProtection="0">
      <alignment horizontal="center"/>
    </xf>
    <xf numFmtId="10" fontId="12" fillId="3" borderId="4742" applyNumberFormat="0" applyFont="0" applyFill="0" applyBorder="0" applyAlignment="0">
      <protection locked="0"/>
    </xf>
    <xf numFmtId="254" fontId="240" fillId="0" borderId="2635" applyBorder="0" applyProtection="0">
      <alignment horizontal="right" vertical="center"/>
    </xf>
    <xf numFmtId="264" fontId="12" fillId="14" borderId="2695" applyFont="0" applyFill="0" applyBorder="0" applyAlignment="0" applyProtection="0">
      <alignment horizontal="right"/>
    </xf>
    <xf numFmtId="0" fontId="25" fillId="10" borderId="2475" applyNumberFormat="0" applyProtection="0">
      <alignment horizontal="left" vertical="top"/>
    </xf>
    <xf numFmtId="254" fontId="240" fillId="0" borderId="2695" applyBorder="0" applyProtection="0">
      <alignment horizontal="right" vertical="center"/>
    </xf>
    <xf numFmtId="0" fontId="166" fillId="0" borderId="2635">
      <alignment horizontal="center"/>
    </xf>
    <xf numFmtId="186" fontId="146" fillId="3" borderId="2626">
      <alignment horizontal="left"/>
    </xf>
    <xf numFmtId="0" fontId="78" fillId="14" borderId="2504" applyFont="0" applyFill="0" applyBorder="0" applyAlignment="0" applyProtection="0"/>
    <xf numFmtId="246" fontId="249" fillId="0" borderId="2623" applyFill="0" applyProtection="0">
      <alignment horizontal="center"/>
    </xf>
    <xf numFmtId="0" fontId="78" fillId="14" borderId="2411" applyFont="0" applyFill="0" applyBorder="0" applyAlignment="0" applyProtection="0"/>
    <xf numFmtId="192" fontId="9" fillId="3" borderId="2623">
      <alignment horizontal="right" vertical="center"/>
    </xf>
    <xf numFmtId="222" fontId="79" fillId="0" borderId="2447" applyBorder="0"/>
    <xf numFmtId="0" fontId="101" fillId="0" borderId="2450" applyBorder="0"/>
    <xf numFmtId="222" fontId="79" fillId="0" borderId="2447" applyBorder="0"/>
    <xf numFmtId="0" fontId="113" fillId="0" borderId="2450" applyNumberFormat="0" applyFill="0" applyAlignment="0" applyProtection="0"/>
    <xf numFmtId="0" fontId="12" fillId="0" borderId="2450" applyNumberFormat="0" applyFill="0" applyBorder="0" applyAlignment="0" applyProtection="0">
      <alignment horizontal="center"/>
    </xf>
    <xf numFmtId="0" fontId="75" fillId="0" borderId="2624" applyNumberFormat="0" applyFont="0" applyFill="0" applyAlignment="0" applyProtection="0"/>
    <xf numFmtId="248" fontId="46" fillId="0" borderId="2450"/>
    <xf numFmtId="0" fontId="25" fillId="10" borderId="2667" applyNumberFormat="0" applyProtection="0">
      <alignment horizontal="left" vertical="top"/>
    </xf>
    <xf numFmtId="192" fontId="9" fillId="3" borderId="2514">
      <alignment horizontal="right" vertical="center"/>
    </xf>
    <xf numFmtId="192" fontId="9" fillId="3" borderId="2450">
      <alignment horizontal="right" vertical="center"/>
    </xf>
    <xf numFmtId="180" fontId="9" fillId="3" borderId="2450">
      <alignment horizontal="right" vertical="center"/>
    </xf>
    <xf numFmtId="186" fontId="146" fillId="3" borderId="2450" applyBorder="0">
      <alignment horizontal="left" vertical="center"/>
    </xf>
    <xf numFmtId="222" fontId="79" fillId="0" borderId="2646" applyBorder="0"/>
    <xf numFmtId="186" fontId="140" fillId="3" borderId="2389">
      <alignment horizontal="center" vertical="center"/>
    </xf>
    <xf numFmtId="188" fontId="25" fillId="0" borderId="2449" applyFont="0" applyFill="0" applyBorder="0" applyAlignment="0" applyProtection="0">
      <alignment horizontal="center"/>
    </xf>
    <xf numFmtId="2" fontId="12" fillId="14" borderId="2448" applyFill="0" applyBorder="0" applyProtection="0">
      <alignment horizontal="center"/>
    </xf>
    <xf numFmtId="0" fontId="5" fillId="0" borderId="2449">
      <alignment horizontal="left" vertical="center"/>
    </xf>
    <xf numFmtId="0" fontId="165" fillId="0" borderId="2450" applyFill="0" applyProtection="0">
      <alignment horizontal="center"/>
    </xf>
    <xf numFmtId="0" fontId="166" fillId="0" borderId="2450">
      <alignment horizontal="center"/>
    </xf>
    <xf numFmtId="188" fontId="25" fillId="0" borderId="2449" applyFont="0" applyFill="0" applyBorder="0" applyAlignment="0" applyProtection="0">
      <alignment horizontal="center"/>
    </xf>
    <xf numFmtId="264" fontId="12" fillId="14" borderId="2450" applyFont="0" applyFill="0" applyBorder="0" applyAlignment="0" applyProtection="0">
      <alignment horizontal="right"/>
    </xf>
    <xf numFmtId="188" fontId="25" fillId="0" borderId="2449" applyFont="0" applyFill="0" applyBorder="0" applyAlignment="0" applyProtection="0">
      <alignment horizontal="center"/>
    </xf>
    <xf numFmtId="0" fontId="12" fillId="0" borderId="2514" applyNumberFormat="0" applyFill="0" applyBorder="0" applyAlignment="0" applyProtection="0">
      <alignment horizontal="center"/>
    </xf>
    <xf numFmtId="192" fontId="9" fillId="3" borderId="2671">
      <alignment horizontal="right" vertical="center"/>
    </xf>
    <xf numFmtId="0" fontId="210" fillId="0" borderId="2450" applyNumberFormat="0" applyFill="0" applyBorder="0" applyAlignment="0">
      <protection locked="0"/>
    </xf>
    <xf numFmtId="0" fontId="214" fillId="0" borderId="2415" applyNumberFormat="0" applyFont="0" applyFill="0" applyAlignment="0" applyProtection="0"/>
    <xf numFmtId="0" fontId="25" fillId="10" borderId="2416" applyNumberFormat="0" applyProtection="0">
      <alignment horizontal="left" vertical="top"/>
    </xf>
    <xf numFmtId="0" fontId="25" fillId="10" borderId="2417" applyNumberFormat="0" applyProtection="0">
      <alignment horizontal="left" vertical="top"/>
    </xf>
    <xf numFmtId="0" fontId="25" fillId="10" borderId="2418" applyNumberFormat="0" applyProtection="0">
      <alignment horizontal="left" vertical="top"/>
    </xf>
    <xf numFmtId="0" fontId="25" fillId="10" borderId="2419" applyNumberFormat="0" applyProtection="0">
      <alignment horizontal="left" vertical="top"/>
    </xf>
    <xf numFmtId="0" fontId="25" fillId="10" borderId="2416" applyNumberFormat="0" applyProtection="0">
      <alignment horizontal="left" vertical="top"/>
    </xf>
    <xf numFmtId="0" fontId="25" fillId="10" borderId="2417" applyNumberFormat="0" applyProtection="0">
      <alignment horizontal="left" vertical="top"/>
    </xf>
    <xf numFmtId="0" fontId="25" fillId="10" borderId="2418" applyNumberFormat="0" applyProtection="0">
      <alignment horizontal="left" vertical="top"/>
    </xf>
    <xf numFmtId="0" fontId="25" fillId="10" borderId="2419" applyNumberFormat="0" applyProtection="0">
      <alignment horizontal="left" vertical="top"/>
    </xf>
    <xf numFmtId="254" fontId="240" fillId="0" borderId="2450" applyBorder="0" applyProtection="0">
      <alignment horizontal="right" vertical="center"/>
    </xf>
    <xf numFmtId="0" fontId="241" fillId="94" borderId="2450" applyBorder="0" applyProtection="0">
      <alignment horizontal="centerContinuous" vertical="center"/>
    </xf>
    <xf numFmtId="1" fontId="74" fillId="0" borderId="2449" applyFill="0" applyBorder="0" applyProtection="0">
      <alignment horizontal="right"/>
    </xf>
    <xf numFmtId="246" fontId="249" fillId="0" borderId="2450" applyFill="0" applyProtection="0">
      <alignment horizontal="center"/>
    </xf>
    <xf numFmtId="246" fontId="250" fillId="0" borderId="2450" applyFill="0" applyProtection="0">
      <alignment horizontal="center"/>
    </xf>
    <xf numFmtId="264" fontId="12" fillId="14" borderId="2623" applyFont="0" applyFill="0" applyBorder="0" applyAlignment="0" applyProtection="0">
      <alignment horizontal="right"/>
    </xf>
    <xf numFmtId="248" fontId="46" fillId="0" borderId="2623"/>
    <xf numFmtId="188" fontId="25" fillId="0" borderId="2449" applyFont="0" applyFill="0" applyBorder="0" applyAlignment="0" applyProtection="0">
      <alignment horizontal="center"/>
    </xf>
    <xf numFmtId="264" fontId="12" fillId="14" borderId="2623" applyFont="0" applyFill="0" applyBorder="0" applyAlignment="0" applyProtection="0">
      <alignment horizontal="right"/>
    </xf>
    <xf numFmtId="246" fontId="250" fillId="0" borderId="2635" applyFill="0" applyProtection="0">
      <alignment horizontal="center"/>
    </xf>
    <xf numFmtId="0" fontId="101" fillId="0" borderId="2623" applyBorder="0"/>
    <xf numFmtId="0" fontId="166" fillId="0" borderId="2623">
      <alignment horizontal="center"/>
    </xf>
    <xf numFmtId="0" fontId="12" fillId="0" borderId="2433" applyNumberFormat="0" applyFill="0" applyBorder="0" applyAlignment="0" applyProtection="0"/>
    <xf numFmtId="0" fontId="46" fillId="0" borderId="2433" applyNumberFormat="0" applyFill="0" applyBorder="0" applyAlignment="0" applyProtection="0"/>
    <xf numFmtId="0" fontId="105" fillId="0" borderId="2433" applyNumberFormat="0" applyFill="0" applyBorder="0" applyAlignment="0" applyProtection="0"/>
    <xf numFmtId="0" fontId="48" fillId="0" borderId="2433" applyNumberFormat="0" applyFill="0" applyAlignment="0" applyProtection="0"/>
    <xf numFmtId="5" fontId="114" fillId="0" borderId="2432" applyAlignment="0" applyProtection="0"/>
    <xf numFmtId="0" fontId="74" fillId="0" borderId="2432" applyFont="0" applyFill="0" applyBorder="0" applyAlignment="0" applyProtection="0">
      <alignment horizontal="center"/>
    </xf>
    <xf numFmtId="0" fontId="48" fillId="0" borderId="2432" applyFont="0" applyFill="0" applyBorder="0" applyAlignment="0" applyProtection="0">
      <alignment horizontal="center"/>
    </xf>
    <xf numFmtId="182" fontId="145" fillId="3" borderId="2432">
      <alignment horizontal="right" vertical="center"/>
    </xf>
    <xf numFmtId="186" fontId="48" fillId="3" borderId="2432">
      <alignment vertical="center"/>
    </xf>
    <xf numFmtId="0" fontId="135" fillId="0" borderId="2434"/>
    <xf numFmtId="0" fontId="135" fillId="0" borderId="2434"/>
    <xf numFmtId="1" fontId="154" fillId="65" borderId="2167" applyNumberFormat="0" applyBorder="0" applyAlignment="0">
      <alignment horizontal="centerContinuous" vertical="center"/>
      <protection locked="0"/>
    </xf>
    <xf numFmtId="0" fontId="159" fillId="0" borderId="2434"/>
    <xf numFmtId="0" fontId="159" fillId="67" borderId="2434"/>
    <xf numFmtId="0" fontId="25" fillId="69" borderId="2434">
      <alignment horizontal="left" vertical="center" wrapText="1"/>
    </xf>
    <xf numFmtId="0" fontId="184" fillId="0" borderId="2435" applyAlignment="0">
      <alignment horizontal="left" wrapText="1"/>
    </xf>
    <xf numFmtId="188" fontId="25" fillId="0" borderId="2449" applyFont="0" applyFill="0" applyBorder="0" applyAlignment="0" applyProtection="0">
      <alignment horizontal="center"/>
    </xf>
    <xf numFmtId="4" fontId="223" fillId="53" borderId="2436" applyNumberFormat="0" applyProtection="0">
      <alignment vertical="center"/>
    </xf>
    <xf numFmtId="4" fontId="224" fillId="53" borderId="2436" applyNumberFormat="0" applyProtection="0">
      <alignment vertical="center"/>
    </xf>
    <xf numFmtId="4" fontId="184" fillId="53" borderId="2436" applyNumberFormat="0" applyProtection="0">
      <alignment horizontal="left" vertical="center" indent="1"/>
    </xf>
    <xf numFmtId="0" fontId="225" fillId="53" borderId="2436" applyNumberFormat="0" applyProtection="0">
      <alignment horizontal="left" vertical="top" indent="1"/>
    </xf>
    <xf numFmtId="4" fontId="226" fillId="76" borderId="2436" applyNumberFormat="0" applyProtection="0">
      <alignment horizontal="right" vertical="center"/>
    </xf>
    <xf numFmtId="4" fontId="226" fillId="77" borderId="2436" applyNumberFormat="0" applyProtection="0">
      <alignment horizontal="right" vertical="center"/>
    </xf>
    <xf numFmtId="4" fontId="226" fillId="78" borderId="2436" applyNumberFormat="0" applyProtection="0">
      <alignment horizontal="right" vertical="center"/>
    </xf>
    <xf numFmtId="4" fontId="226" fillId="10" borderId="2436" applyNumberFormat="0" applyProtection="0">
      <alignment horizontal="right" vertical="center"/>
    </xf>
    <xf numFmtId="4" fontId="226" fillId="79" borderId="2436" applyNumberFormat="0" applyProtection="0">
      <alignment horizontal="right" vertical="center"/>
    </xf>
    <xf numFmtId="4" fontId="226" fillId="71" borderId="2436" applyNumberFormat="0" applyProtection="0">
      <alignment horizontal="right" vertical="center"/>
    </xf>
    <xf numFmtId="4" fontId="226" fillId="80" borderId="2436" applyNumberFormat="0" applyProtection="0">
      <alignment horizontal="right" vertical="center"/>
    </xf>
    <xf numFmtId="4" fontId="226" fillId="81" borderId="2436" applyNumberFormat="0" applyProtection="0">
      <alignment horizontal="right" vertical="center"/>
    </xf>
    <xf numFmtId="4" fontId="226" fillId="82" borderId="2436" applyNumberFormat="0" applyProtection="0">
      <alignment horizontal="right" vertical="center"/>
    </xf>
    <xf numFmtId="4" fontId="184" fillId="52" borderId="2436" applyNumberFormat="0" applyProtection="0">
      <alignment horizontal="right" vertical="center"/>
    </xf>
    <xf numFmtId="0" fontId="12" fillId="75" borderId="2436" applyNumberFormat="0" applyProtection="0">
      <alignment horizontal="left" vertical="center" indent="1"/>
    </xf>
    <xf numFmtId="0" fontId="12" fillId="75" borderId="2436" applyNumberFormat="0" applyProtection="0">
      <alignment horizontal="left" vertical="top" indent="1"/>
    </xf>
    <xf numFmtId="0" fontId="12" fillId="84" borderId="2436" applyNumberFormat="0" applyProtection="0">
      <alignment horizontal="left" vertical="center" indent="1"/>
    </xf>
    <xf numFmtId="0" fontId="12" fillId="84" borderId="2436" applyNumberFormat="0" applyProtection="0">
      <alignment horizontal="left" vertical="top" indent="1"/>
    </xf>
    <xf numFmtId="0" fontId="12" fillId="52" borderId="2436" applyNumberFormat="0" applyProtection="0">
      <alignment horizontal="left" vertical="center" indent="1"/>
    </xf>
    <xf numFmtId="0" fontId="12" fillId="52" borderId="2436" applyNumberFormat="0" applyProtection="0">
      <alignment horizontal="left" vertical="top" indent="1"/>
    </xf>
    <xf numFmtId="0" fontId="12" fillId="11" borderId="2436" applyNumberFormat="0" applyProtection="0">
      <alignment horizontal="left" vertical="center" indent="1"/>
    </xf>
    <xf numFmtId="0" fontId="12" fillId="11" borderId="2436" applyNumberFormat="0" applyProtection="0">
      <alignment horizontal="left" vertical="top" indent="1"/>
    </xf>
    <xf numFmtId="4" fontId="226" fillId="11" borderId="2436" applyNumberFormat="0" applyProtection="0">
      <alignment vertical="center"/>
    </xf>
    <xf numFmtId="4" fontId="228" fillId="11" borderId="2436" applyNumberFormat="0" applyProtection="0">
      <alignment vertical="center"/>
    </xf>
    <xf numFmtId="4" fontId="227" fillId="52" borderId="2437" applyNumberFormat="0" applyProtection="0">
      <alignment horizontal="left" vertical="center" indent="1"/>
    </xf>
    <xf numFmtId="0" fontId="136" fillId="14" borderId="2436" applyNumberFormat="0" applyProtection="0">
      <alignment horizontal="left" vertical="top" indent="1"/>
    </xf>
    <xf numFmtId="4" fontId="184" fillId="11" borderId="2436" applyNumberFormat="0" applyProtection="0">
      <alignment horizontal="right" vertical="center"/>
    </xf>
    <xf numFmtId="4" fontId="228" fillId="11" borderId="2436" applyNumberFormat="0" applyProtection="0">
      <alignment horizontal="right" vertical="center"/>
    </xf>
    <xf numFmtId="4" fontId="223" fillId="52" borderId="2436" applyNumberFormat="0" applyProtection="0">
      <alignment horizontal="left" vertical="center" indent="1"/>
    </xf>
    <xf numFmtId="0" fontId="136" fillId="84" borderId="2436" applyNumberFormat="0" applyProtection="0">
      <alignment horizontal="left" vertical="top" indent="1"/>
    </xf>
    <xf numFmtId="4" fontId="229" fillId="84" borderId="2437" applyNumberFormat="0" applyProtection="0">
      <alignment horizontal="left" vertical="center" indent="1"/>
    </xf>
    <xf numFmtId="4" fontId="230" fillId="11" borderId="2436" applyNumberFormat="0" applyProtection="0">
      <alignment horizontal="right" vertical="center"/>
    </xf>
    <xf numFmtId="3" fontId="12" fillId="60" borderId="2438" applyFont="0" applyFill="0" applyBorder="0" applyAlignment="0" applyProtection="0"/>
    <xf numFmtId="4" fontId="12" fillId="60" borderId="2438" applyFont="0" applyFill="0" applyBorder="0" applyAlignment="0" applyProtection="0"/>
    <xf numFmtId="183" fontId="12" fillId="60" borderId="2438" applyFont="0" applyFill="0" applyBorder="0" applyAlignment="0" applyProtection="0"/>
    <xf numFmtId="10" fontId="12" fillId="60" borderId="2438" applyFont="0" applyFill="0" applyBorder="0" applyAlignment="0" applyProtection="0"/>
    <xf numFmtId="9" fontId="12" fillId="60" borderId="2438" applyFont="0" applyFill="0" applyBorder="0" applyAlignment="0" applyProtection="0"/>
    <xf numFmtId="2" fontId="12" fillId="60" borderId="2438" applyFont="0" applyFill="0" applyBorder="0" applyAlignment="0" applyProtection="0"/>
    <xf numFmtId="0" fontId="25" fillId="10" borderId="2434" applyNumberFormat="0" applyProtection="0">
      <alignment horizontal="center" vertical="top"/>
    </xf>
    <xf numFmtId="0" fontId="25" fillId="10" borderId="2434" applyNumberFormat="0" applyProtection="0">
      <alignment horizontal="center" vertical="top"/>
    </xf>
    <xf numFmtId="169" fontId="234" fillId="3" borderId="2434" applyFont="0" applyProtection="0"/>
    <xf numFmtId="169" fontId="234" fillId="10" borderId="2434" applyFont="0" applyProtection="0"/>
    <xf numFmtId="293" fontId="234" fillId="3" borderId="2434" applyFont="0" applyProtection="0"/>
    <xf numFmtId="293" fontId="234" fillId="10" borderId="2434" applyFont="0" applyProtection="0"/>
    <xf numFmtId="293" fontId="234" fillId="10" borderId="2434" applyFont="0" applyProtection="0"/>
    <xf numFmtId="0" fontId="12" fillId="3" borderId="2434" applyNumberFormat="0" applyFont="0" applyAlignment="0" applyProtection="0"/>
    <xf numFmtId="0" fontId="12" fillId="10" borderId="2434" applyNumberFormat="0" applyFont="0" applyAlignment="0" applyProtection="0"/>
    <xf numFmtId="0" fontId="12" fillId="10" borderId="2434" applyNumberFormat="0" applyFont="0" applyProtection="0"/>
    <xf numFmtId="0" fontId="25" fillId="10" borderId="2439" applyNumberFormat="0" applyProtection="0">
      <alignment horizontal="left"/>
    </xf>
    <xf numFmtId="0" fontId="25" fillId="10" borderId="2440" applyNumberFormat="0" applyProtection="0">
      <alignment horizontal="left" vertical="top"/>
    </xf>
    <xf numFmtId="0" fontId="25" fillId="10" borderId="2441" applyNumberFormat="0" applyProtection="0">
      <alignment horizontal="left" vertical="top"/>
    </xf>
    <xf numFmtId="0" fontId="25" fillId="10" borderId="2442" applyNumberFormat="0" applyProtection="0">
      <alignment horizontal="left" vertical="top"/>
    </xf>
    <xf numFmtId="0" fontId="25" fillId="10" borderId="2443" applyNumberFormat="0" applyProtection="0">
      <alignment horizontal="left" vertical="top"/>
    </xf>
    <xf numFmtId="0" fontId="25" fillId="10" borderId="2444" applyNumberFormat="0" applyProtection="0">
      <alignment horizontal="left" vertical="top"/>
    </xf>
    <xf numFmtId="0" fontId="25" fillId="10" borderId="2445" applyNumberFormat="0" applyProtection="0">
      <alignment horizontal="left" vertical="top"/>
    </xf>
    <xf numFmtId="0" fontId="12" fillId="0" borderId="2433" applyNumberFormat="0" applyFill="0" applyBorder="0" applyAlignment="0" applyProtection="0"/>
    <xf numFmtId="10" fontId="12" fillId="3" borderId="2446" applyNumberFormat="0" applyFont="0" applyFill="0" applyBorder="0" applyAlignment="0">
      <protection locked="0"/>
    </xf>
    <xf numFmtId="0" fontId="12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186" fontId="146" fillId="3" borderId="2623" applyBorder="0">
      <alignment horizontal="left" vertical="center"/>
    </xf>
    <xf numFmtId="0" fontId="101" fillId="0" borderId="2635" applyBorder="0"/>
    <xf numFmtId="10" fontId="12" fillId="3" borderId="2446" applyNumberFormat="0" applyFont="0" applyFill="0" applyBorder="0" applyAlignment="0">
      <protection locked="0"/>
    </xf>
    <xf numFmtId="188" fontId="25" fillId="0" borderId="2449" applyFont="0" applyFill="0" applyBorder="0" applyAlignment="0" applyProtection="0">
      <alignment horizontal="center"/>
    </xf>
    <xf numFmtId="186" fontId="146" fillId="3" borderId="2316">
      <alignment horizontal="left"/>
    </xf>
    <xf numFmtId="0" fontId="113" fillId="0" borderId="2514" applyNumberFormat="0" applyFill="0" applyAlignment="0" applyProtection="0"/>
    <xf numFmtId="0" fontId="25" fillId="10" borderId="2668" applyNumberFormat="0" applyProtection="0">
      <alignment horizontal="left" vertical="top"/>
    </xf>
    <xf numFmtId="246" fontId="250" fillId="0" borderId="2514" applyFill="0" applyProtection="0">
      <alignment horizontal="center"/>
    </xf>
    <xf numFmtId="0" fontId="75" fillId="0" borderId="2314" applyNumberFormat="0" applyFont="0" applyFill="0" applyAlignment="0" applyProtection="0"/>
    <xf numFmtId="10" fontId="12" fillId="3" borderId="2446" applyNumberFormat="0" applyFont="0" applyFill="0" applyBorder="0" applyAlignment="0">
      <protection locked="0"/>
    </xf>
    <xf numFmtId="186" fontId="146" fillId="3" borderId="2635" applyBorder="0">
      <alignment horizontal="left" vertical="center"/>
    </xf>
    <xf numFmtId="190" fontId="159" fillId="0" borderId="4730"/>
    <xf numFmtId="180" fontId="9" fillId="3" borderId="2635">
      <alignment horizontal="right" vertical="center"/>
    </xf>
    <xf numFmtId="10" fontId="12" fillId="3" borderId="2446" applyNumberFormat="0" applyFont="0" applyFill="0" applyBorder="0" applyAlignment="0">
      <protection locked="0"/>
    </xf>
    <xf numFmtId="222" fontId="79" fillId="0" borderId="2447" applyBorder="0"/>
    <xf numFmtId="10" fontId="12" fillId="3" borderId="2446" applyNumberFormat="0" applyFont="0" applyFill="0" applyBorder="0" applyAlignment="0">
      <protection locked="0"/>
    </xf>
    <xf numFmtId="190" fontId="113" fillId="0" borderId="2695" applyNumberFormat="0" applyFill="0" applyAlignment="0" applyProtection="0"/>
    <xf numFmtId="0" fontId="101" fillId="0" borderId="2450" applyBorder="0"/>
    <xf numFmtId="222" fontId="79" fillId="0" borderId="2447" applyBorder="0"/>
    <xf numFmtId="0" fontId="113" fillId="0" borderId="2450" applyNumberFormat="0" applyFill="0" applyAlignment="0" applyProtection="0"/>
    <xf numFmtId="0" fontId="12" fillId="0" borderId="2450" applyNumberFormat="0" applyFill="0" applyBorder="0" applyAlignment="0" applyProtection="0">
      <alignment horizontal="center"/>
    </xf>
    <xf numFmtId="248" fontId="46" fillId="0" borderId="2450"/>
    <xf numFmtId="0" fontId="25" fillId="10" borderId="2691" applyNumberFormat="0" applyProtection="0">
      <alignment horizontal="left" vertical="top"/>
    </xf>
    <xf numFmtId="186" fontId="146" fillId="3" borderId="2662">
      <alignment horizontal="left"/>
    </xf>
    <xf numFmtId="248" fontId="46" fillId="0" borderId="2514"/>
    <xf numFmtId="192" fontId="9" fillId="3" borderId="2450">
      <alignment horizontal="right" vertical="center"/>
    </xf>
    <xf numFmtId="180" fontId="9" fillId="3" borderId="2450">
      <alignment horizontal="right" vertical="center"/>
    </xf>
    <xf numFmtId="186" fontId="146" fillId="3" borderId="2450" applyBorder="0">
      <alignment horizontal="left" vertical="center"/>
    </xf>
    <xf numFmtId="0" fontId="165" fillId="0" borderId="2450" applyFill="0" applyProtection="0">
      <alignment horizontal="center"/>
    </xf>
    <xf numFmtId="0" fontId="166" fillId="0" borderId="2450">
      <alignment horizontal="center"/>
    </xf>
    <xf numFmtId="264" fontId="12" fillId="14" borderId="2450" applyFont="0" applyFill="0" applyBorder="0" applyAlignment="0" applyProtection="0">
      <alignment horizontal="right"/>
    </xf>
    <xf numFmtId="0" fontId="210" fillId="0" borderId="2450" applyNumberFormat="0" applyFill="0" applyBorder="0" applyAlignment="0">
      <protection locked="0"/>
    </xf>
    <xf numFmtId="254" fontId="240" fillId="0" borderId="2450" applyBorder="0" applyProtection="0">
      <alignment horizontal="right" vertical="center"/>
    </xf>
    <xf numFmtId="0" fontId="241" fillId="94" borderId="2450" applyBorder="0" applyProtection="0">
      <alignment horizontal="centerContinuous" vertical="center"/>
    </xf>
    <xf numFmtId="246" fontId="249" fillId="0" borderId="2450" applyFill="0" applyProtection="0">
      <alignment horizontal="center"/>
    </xf>
    <xf numFmtId="246" fontId="250" fillId="0" borderId="2450" applyFill="0" applyProtection="0">
      <alignment horizontal="center"/>
    </xf>
    <xf numFmtId="248" fontId="46" fillId="0" borderId="2635"/>
    <xf numFmtId="0" fontId="12" fillId="0" borderId="2635" applyNumberFormat="0" applyFill="0" applyBorder="0" applyAlignment="0" applyProtection="0">
      <alignment horizontal="center"/>
    </xf>
    <xf numFmtId="192" fontId="9" fillId="3" borderId="2635">
      <alignment horizontal="right" vertical="center"/>
    </xf>
    <xf numFmtId="0" fontId="78" fillId="14" borderId="2504" applyFont="0" applyFill="0" applyBorder="0" applyAlignment="0" applyProtection="0"/>
    <xf numFmtId="0" fontId="75" fillId="0" borderId="4811" applyNumberFormat="0" applyFont="0" applyFill="0" applyAlignment="0" applyProtection="0"/>
    <xf numFmtId="222" fontId="79" fillId="0" borderId="4809" applyBorder="0"/>
    <xf numFmtId="0" fontId="2" fillId="0" borderId="2628" applyNumberFormat="0" applyAlignment="0" applyProtection="0"/>
    <xf numFmtId="222" fontId="79" fillId="0" borderId="2634" applyBorder="0"/>
    <xf numFmtId="10" fontId="12" fillId="3" borderId="2446" applyNumberFormat="0" applyFont="0" applyFill="0" applyBorder="0" applyAlignment="0">
      <protection locked="0"/>
    </xf>
    <xf numFmtId="0" fontId="101" fillId="0" borderId="2635" applyBorder="0"/>
    <xf numFmtId="10" fontId="12" fillId="3" borderId="2446" applyNumberFormat="0" applyFont="0" applyFill="0" applyBorder="0" applyAlignment="0">
      <protection locked="0"/>
    </xf>
    <xf numFmtId="222" fontId="79" fillId="0" borderId="2634" applyBorder="0"/>
    <xf numFmtId="0" fontId="25" fillId="10" borderId="2631" applyNumberFormat="0" applyProtection="0">
      <alignment horizontal="left" vertical="top"/>
    </xf>
    <xf numFmtId="0" fontId="25" fillId="10" borderId="2632" applyNumberFormat="0" applyProtection="0">
      <alignment horizontal="left" vertical="top"/>
    </xf>
    <xf numFmtId="0" fontId="25" fillId="10" borderId="2633" applyNumberFormat="0" applyProtection="0">
      <alignment horizontal="left" vertical="top"/>
    </xf>
    <xf numFmtId="0" fontId="75" fillId="0" borderId="2636" applyNumberFormat="0" applyFont="0" applyFill="0" applyAlignment="0" applyProtection="0"/>
    <xf numFmtId="222" fontId="79" fillId="0" borderId="2634" applyBorder="0"/>
    <xf numFmtId="310" fontId="267" fillId="0" borderId="2451">
      <alignment horizontal="left"/>
    </xf>
    <xf numFmtId="0" fontId="25" fillId="10" borderId="2631" applyNumberFormat="0" applyProtection="0">
      <alignment horizontal="left" vertical="top"/>
    </xf>
    <xf numFmtId="307" fontId="268" fillId="0" borderId="2451">
      <alignment horizontal="right" wrapText="1"/>
    </xf>
    <xf numFmtId="0" fontId="25" fillId="10" borderId="2630" applyNumberFormat="0" applyProtection="0">
      <alignment horizontal="left" vertical="top"/>
    </xf>
    <xf numFmtId="0" fontId="25" fillId="10" borderId="2631" applyNumberFormat="0" applyProtection="0">
      <alignment horizontal="left" vertical="top"/>
    </xf>
    <xf numFmtId="0" fontId="25" fillId="10" borderId="4793" applyNumberFormat="0" applyProtection="0">
      <alignment horizontal="left" vertical="top"/>
    </xf>
    <xf numFmtId="186" fontId="146" fillId="3" borderId="2454">
      <alignment horizontal="left"/>
    </xf>
    <xf numFmtId="0" fontId="75" fillId="0" borderId="2452" applyNumberFormat="0" applyFont="0" applyFill="0" applyAlignment="0" applyProtection="0"/>
    <xf numFmtId="0" fontId="214" fillId="0" borderId="2629" applyNumberFormat="0" applyFont="0" applyFill="0" applyAlignment="0" applyProtection="0"/>
    <xf numFmtId="0" fontId="78" fillId="14" borderId="2625" applyFont="0" applyFill="0" applyBorder="0" applyAlignment="0" applyProtection="0"/>
    <xf numFmtId="186" fontId="140" fillId="3" borderId="2699">
      <alignment horizontal="center" vertical="center"/>
    </xf>
    <xf numFmtId="180" fontId="9" fillId="3" borderId="2695">
      <alignment horizontal="right" vertical="center"/>
    </xf>
    <xf numFmtId="0" fontId="12" fillId="0" borderId="2695" applyNumberFormat="0" applyFill="0" applyBorder="0" applyAlignment="0" applyProtection="0">
      <alignment horizontal="center"/>
    </xf>
    <xf numFmtId="222" fontId="79" fillId="0" borderId="2694" applyBorder="0"/>
    <xf numFmtId="4" fontId="226" fillId="82" borderId="4732" applyNumberFormat="0" applyProtection="0">
      <alignment horizontal="right" vertical="center"/>
    </xf>
    <xf numFmtId="0" fontId="113" fillId="0" borderId="2514" applyNumberFormat="0" applyFill="0" applyAlignment="0" applyProtection="0"/>
    <xf numFmtId="264" fontId="12" fillId="14" borderId="2514" applyFont="0" applyFill="0" applyBorder="0" applyAlignment="0" applyProtection="0">
      <alignment horizontal="right"/>
    </xf>
    <xf numFmtId="246" fontId="249" fillId="0" borderId="2514" applyFill="0" applyProtection="0">
      <alignment horizontal="center"/>
    </xf>
    <xf numFmtId="0" fontId="25" fillId="10" borderId="2461" applyNumberFormat="0" applyProtection="0">
      <alignment horizontal="left" vertical="top"/>
    </xf>
    <xf numFmtId="0" fontId="25" fillId="10" borderId="2459" applyNumberFormat="0" applyProtection="0">
      <alignment horizontal="left" vertical="top"/>
    </xf>
    <xf numFmtId="0" fontId="25" fillId="10" borderId="2460" applyNumberFormat="0" applyProtection="0">
      <alignment horizontal="left" vertical="top"/>
    </xf>
    <xf numFmtId="0" fontId="25" fillId="10" borderId="2458" applyNumberFormat="0" applyProtection="0">
      <alignment horizontal="left" vertical="top"/>
    </xf>
    <xf numFmtId="0" fontId="25" fillId="10" borderId="2461" applyNumberFormat="0" applyProtection="0">
      <alignment horizontal="left" vertical="top"/>
    </xf>
    <xf numFmtId="0" fontId="25" fillId="10" borderId="2460" applyNumberFormat="0" applyProtection="0">
      <alignment horizontal="left" vertical="top"/>
    </xf>
    <xf numFmtId="0" fontId="25" fillId="10" borderId="2459" applyNumberFormat="0" applyProtection="0">
      <alignment horizontal="left" vertical="top"/>
    </xf>
    <xf numFmtId="0" fontId="25" fillId="10" borderId="2458" applyNumberFormat="0" applyProtection="0">
      <alignment horizontal="left" vertical="top"/>
    </xf>
    <xf numFmtId="0" fontId="214" fillId="0" borderId="2457" applyNumberFormat="0" applyFont="0" applyFill="0" applyAlignment="0" applyProtection="0"/>
    <xf numFmtId="0" fontId="2" fillId="0" borderId="2456" applyNumberFormat="0" applyAlignment="0" applyProtection="0"/>
    <xf numFmtId="186" fontId="140" fillId="3" borderId="2455">
      <alignment horizontal="center" vertical="center"/>
    </xf>
    <xf numFmtId="186" fontId="140" fillId="3" borderId="2389">
      <alignment horizontal="center" vertical="center"/>
    </xf>
    <xf numFmtId="0" fontId="25" fillId="10" borderId="2416" applyNumberFormat="0" applyProtection="0">
      <alignment horizontal="left" vertical="top"/>
    </xf>
    <xf numFmtId="0" fontId="12" fillId="0" borderId="2514" applyNumberFormat="0" applyFill="0" applyBorder="0" applyAlignment="0" applyProtection="0">
      <alignment horizontal="center"/>
    </xf>
    <xf numFmtId="0" fontId="25" fillId="10" borderId="2511" applyNumberFormat="0" applyProtection="0">
      <alignment horizontal="left" vertical="top"/>
    </xf>
    <xf numFmtId="0" fontId="78" fillId="14" borderId="2625" applyFont="0" applyFill="0" applyBorder="0" applyAlignment="0" applyProtection="0"/>
    <xf numFmtId="222" fontId="79" fillId="0" borderId="2501" applyBorder="0"/>
    <xf numFmtId="0" fontId="78" fillId="14" borderId="2504" applyFont="0" applyFill="0" applyBorder="0" applyAlignment="0" applyProtection="0"/>
    <xf numFmtId="222" fontId="79" fillId="0" borderId="2513" applyBorder="0"/>
    <xf numFmtId="0" fontId="101" fillId="0" borderId="2514" applyBorder="0"/>
    <xf numFmtId="222" fontId="79" fillId="0" borderId="2513" applyBorder="0"/>
    <xf numFmtId="248" fontId="46" fillId="0" borderId="2514"/>
    <xf numFmtId="192" fontId="9" fillId="3" borderId="2514">
      <alignment horizontal="right" vertical="center"/>
    </xf>
    <xf numFmtId="180" fontId="9" fillId="3" borderId="2514">
      <alignment horizontal="right" vertical="center"/>
    </xf>
    <xf numFmtId="186" fontId="146" fillId="3" borderId="2514" applyBorder="0">
      <alignment horizontal="left" vertical="center"/>
    </xf>
    <xf numFmtId="0" fontId="165" fillId="0" borderId="2514" applyFill="0" applyProtection="0">
      <alignment horizontal="center"/>
    </xf>
    <xf numFmtId="0" fontId="210" fillId="0" borderId="2514" applyNumberFormat="0" applyFill="0" applyBorder="0" applyAlignment="0">
      <protection locked="0"/>
    </xf>
    <xf numFmtId="254" fontId="240" fillId="0" borderId="2514" applyBorder="0" applyProtection="0">
      <alignment horizontal="right" vertical="center"/>
    </xf>
    <xf numFmtId="246" fontId="250" fillId="0" borderId="2514" applyFill="0" applyProtection="0">
      <alignment horizontal="center"/>
    </xf>
    <xf numFmtId="10" fontId="12" fillId="3" borderId="2446" applyNumberFormat="0" applyFont="0" applyFill="0" applyBorder="0" applyAlignment="0">
      <protection locked="0"/>
    </xf>
    <xf numFmtId="222" fontId="79" fillId="0" borderId="2447" applyBorder="0"/>
    <xf numFmtId="0" fontId="25" fillId="10" borderId="2417" applyNumberFormat="0" applyProtection="0">
      <alignment horizontal="left" vertical="top"/>
    </xf>
    <xf numFmtId="0" fontId="25" fillId="10" borderId="2419" applyNumberFormat="0" applyProtection="0">
      <alignment horizontal="left" vertical="top"/>
    </xf>
    <xf numFmtId="0" fontId="25" fillId="10" borderId="2416" applyNumberFormat="0" applyProtection="0">
      <alignment horizontal="left" vertical="top"/>
    </xf>
    <xf numFmtId="0" fontId="25" fillId="10" borderId="2417" applyNumberFormat="0" applyProtection="0">
      <alignment horizontal="left" vertical="top"/>
    </xf>
    <xf numFmtId="0" fontId="25" fillId="10" borderId="2418" applyNumberFormat="0" applyProtection="0">
      <alignment horizontal="left" vertical="top"/>
    </xf>
    <xf numFmtId="0" fontId="75" fillId="0" borderId="2452" applyNumberFormat="0" applyFont="0" applyFill="0" applyAlignment="0" applyProtection="0"/>
    <xf numFmtId="0" fontId="101" fillId="0" borderId="2463" applyBorder="0"/>
    <xf numFmtId="222" fontId="79" fillId="0" borderId="2462" applyBorder="0"/>
    <xf numFmtId="0" fontId="113" fillId="0" borderId="2463" applyNumberFormat="0" applyFill="0" applyAlignment="0" applyProtection="0"/>
    <xf numFmtId="0" fontId="12" fillId="0" borderId="2463" applyNumberFormat="0" applyFill="0" applyBorder="0" applyAlignment="0" applyProtection="0">
      <alignment horizontal="center"/>
    </xf>
    <xf numFmtId="248" fontId="46" fillId="0" borderId="2463"/>
    <xf numFmtId="192" fontId="9" fillId="3" borderId="2463">
      <alignment horizontal="right" vertical="center"/>
    </xf>
    <xf numFmtId="180" fontId="9" fillId="3" borderId="2463">
      <alignment horizontal="right" vertical="center"/>
    </xf>
    <xf numFmtId="186" fontId="146" fillId="3" borderId="2463" applyBorder="0">
      <alignment horizontal="left" vertical="center"/>
    </xf>
    <xf numFmtId="0" fontId="166" fillId="0" borderId="2463">
      <alignment horizontal="center"/>
    </xf>
    <xf numFmtId="0" fontId="210" fillId="0" borderId="2463" applyNumberFormat="0" applyFill="0" applyBorder="0" applyAlignment="0">
      <protection locked="0"/>
    </xf>
    <xf numFmtId="264" fontId="12" fillId="14" borderId="2463" applyFont="0" applyFill="0" applyBorder="0" applyAlignment="0" applyProtection="0">
      <alignment horizontal="right"/>
    </xf>
    <xf numFmtId="246" fontId="249" fillId="0" borderId="2463" applyFill="0" applyProtection="0">
      <alignment horizontal="center"/>
    </xf>
    <xf numFmtId="246" fontId="250" fillId="0" borderId="2463" applyFill="0" applyProtection="0">
      <alignment horizontal="center"/>
    </xf>
    <xf numFmtId="246" fontId="250" fillId="0" borderId="2490" applyFill="0" applyProtection="0">
      <alignment horizontal="center"/>
    </xf>
    <xf numFmtId="246" fontId="249" fillId="0" borderId="2490" applyFill="0" applyProtection="0">
      <alignment horizontal="center"/>
    </xf>
    <xf numFmtId="254" fontId="240" fillId="0" borderId="2490" applyBorder="0" applyProtection="0">
      <alignment horizontal="right" vertical="center"/>
    </xf>
    <xf numFmtId="264" fontId="12" fillId="14" borderId="2490" applyFont="0" applyFill="0" applyBorder="0" applyAlignment="0" applyProtection="0">
      <alignment horizontal="right"/>
    </xf>
    <xf numFmtId="0" fontId="165" fillId="0" borderId="2490" applyFill="0" applyProtection="0">
      <alignment horizontal="center"/>
    </xf>
    <xf numFmtId="180" fontId="9" fillId="3" borderId="2490">
      <alignment horizontal="right" vertical="center"/>
    </xf>
    <xf numFmtId="0" fontId="12" fillId="0" borderId="2490" applyNumberFormat="0" applyFill="0" applyBorder="0" applyAlignment="0" applyProtection="0">
      <alignment horizontal="center"/>
    </xf>
    <xf numFmtId="0" fontId="101" fillId="0" borderId="2490" applyBorder="0"/>
    <xf numFmtId="222" fontId="79" fillId="0" borderId="2489" applyBorder="0"/>
    <xf numFmtId="0" fontId="75" fillId="0" borderId="2479" applyNumberFormat="0" applyFont="0" applyFill="0" applyAlignment="0" applyProtection="0"/>
    <xf numFmtId="0" fontId="2" fillId="0" borderId="2483" applyNumberFormat="0" applyAlignment="0" applyProtection="0"/>
    <xf numFmtId="0" fontId="25" fillId="10" borderId="2485" applyNumberFormat="0" applyProtection="0">
      <alignment horizontal="left" vertical="top"/>
    </xf>
    <xf numFmtId="0" fontId="25" fillId="10" borderId="2488" applyNumberFormat="0" applyProtection="0">
      <alignment horizontal="left" vertical="top"/>
    </xf>
    <xf numFmtId="222" fontId="79" fillId="0" borderId="2477" applyBorder="0"/>
    <xf numFmtId="0" fontId="25" fillId="10" borderId="2460" applyNumberFormat="0" applyProtection="0">
      <alignment horizontal="left" vertical="top"/>
    </xf>
    <xf numFmtId="10" fontId="12" fillId="3" borderId="2446" applyNumberFormat="0" applyFont="0" applyFill="0" applyBorder="0" applyAlignment="0">
      <protection locked="0"/>
    </xf>
    <xf numFmtId="0" fontId="25" fillId="10" borderId="2458" applyNumberFormat="0" applyProtection="0">
      <alignment horizontal="left" vertical="top"/>
    </xf>
    <xf numFmtId="0" fontId="214" fillId="0" borderId="2457" applyNumberFormat="0" applyFont="0" applyFill="0" applyAlignment="0" applyProtection="0"/>
    <xf numFmtId="186" fontId="146" fillId="3" borderId="2454">
      <alignment horizontal="left"/>
    </xf>
    <xf numFmtId="222" fontId="79" fillId="0" borderId="2462" applyBorder="0"/>
    <xf numFmtId="0" fontId="25" fillId="10" borderId="4795" applyNumberFormat="0" applyProtection="0">
      <alignment horizontal="left" vertical="top"/>
    </xf>
    <xf numFmtId="186" fontId="146" fillId="3" borderId="2623" applyBorder="0">
      <alignment horizontal="left" vertical="center"/>
    </xf>
    <xf numFmtId="10" fontId="12" fillId="3" borderId="2446" applyNumberFormat="0" applyFont="0" applyFill="0" applyBorder="0" applyAlignment="0">
      <protection locked="0"/>
    </xf>
    <xf numFmtId="0" fontId="101" fillId="0" borderId="2421" applyBorder="0"/>
    <xf numFmtId="0" fontId="113" fillId="0" borderId="2421" applyNumberFormat="0" applyFill="0" applyAlignment="0" applyProtection="0"/>
    <xf numFmtId="0" fontId="12" fillId="0" borderId="2421" applyNumberFormat="0" applyFill="0" applyBorder="0" applyAlignment="0" applyProtection="0">
      <alignment horizontal="center"/>
    </xf>
    <xf numFmtId="248" fontId="46" fillId="0" borderId="2421"/>
    <xf numFmtId="192" fontId="9" fillId="3" borderId="2421">
      <alignment horizontal="right" vertical="center"/>
    </xf>
    <xf numFmtId="180" fontId="9" fillId="3" borderId="2421">
      <alignment horizontal="right" vertical="center"/>
    </xf>
    <xf numFmtId="186" fontId="146" fillId="3" borderId="2421" applyBorder="0">
      <alignment horizontal="left" vertical="center"/>
    </xf>
    <xf numFmtId="0" fontId="165" fillId="0" borderId="2421" applyFill="0" applyProtection="0">
      <alignment horizontal="center"/>
    </xf>
    <xf numFmtId="0" fontId="166" fillId="0" borderId="2421">
      <alignment horizontal="center"/>
    </xf>
    <xf numFmtId="264" fontId="12" fillId="14" borderId="2421" applyFont="0" applyFill="0" applyBorder="0" applyAlignment="0" applyProtection="0">
      <alignment horizontal="right"/>
    </xf>
    <xf numFmtId="0" fontId="210" fillId="0" borderId="2421" applyNumberFormat="0" applyFill="0" applyBorder="0" applyAlignment="0">
      <protection locked="0"/>
    </xf>
    <xf numFmtId="248" fontId="46" fillId="0" borderId="2490"/>
    <xf numFmtId="222" fontId="79" fillId="0" borderId="2489" applyBorder="0"/>
    <xf numFmtId="186" fontId="140" fillId="3" borderId="2482">
      <alignment horizontal="center" vertical="center"/>
    </xf>
    <xf numFmtId="0" fontId="25" fillId="10" borderId="2487" applyNumberFormat="0" applyProtection="0">
      <alignment horizontal="left" vertical="top"/>
    </xf>
    <xf numFmtId="0" fontId="210" fillId="0" borderId="2490" applyNumberFormat="0" applyFill="0" applyBorder="0" applyAlignment="0">
      <protection locked="0"/>
    </xf>
    <xf numFmtId="192" fontId="9" fillId="3" borderId="2490">
      <alignment horizontal="right" vertical="center"/>
    </xf>
    <xf numFmtId="0" fontId="113" fillId="0" borderId="2490" applyNumberFormat="0" applyFill="0" applyAlignment="0" applyProtection="0"/>
    <xf numFmtId="186" fontId="146" fillId="3" borderId="2481">
      <alignment horizontal="left"/>
    </xf>
    <xf numFmtId="0" fontId="25" fillId="10" borderId="2486" applyNumberFormat="0" applyProtection="0">
      <alignment horizontal="left" vertical="top"/>
    </xf>
    <xf numFmtId="254" fontId="240" fillId="0" borderId="2421" applyBorder="0" applyProtection="0">
      <alignment horizontal="right" vertical="center"/>
    </xf>
    <xf numFmtId="0" fontId="241" fillId="94" borderId="2421" applyBorder="0" applyProtection="0">
      <alignment horizontal="centerContinuous" vertical="center"/>
    </xf>
    <xf numFmtId="246" fontId="249" fillId="0" borderId="2421" applyFill="0" applyProtection="0">
      <alignment horizontal="center"/>
    </xf>
    <xf numFmtId="246" fontId="250" fillId="0" borderId="2421" applyFill="0" applyProtection="0">
      <alignment horizontal="center"/>
    </xf>
    <xf numFmtId="0" fontId="25" fillId="10" borderId="2510" applyNumberFormat="0" applyProtection="0">
      <alignment horizontal="left" vertical="top"/>
    </xf>
    <xf numFmtId="10" fontId="12" fillId="3" borderId="2446" applyNumberFormat="0" applyFont="0" applyFill="0" applyBorder="0" applyAlignment="0">
      <protection locked="0"/>
    </xf>
    <xf numFmtId="0" fontId="25" fillId="10" borderId="2512" applyNumberFormat="0" applyProtection="0">
      <alignment horizontal="left" vertical="top"/>
    </xf>
    <xf numFmtId="222" fontId="79" fillId="0" borderId="2462" applyBorder="0"/>
    <xf numFmtId="0" fontId="214" fillId="0" borderId="2508" applyNumberFormat="0" applyFont="0" applyFill="0" applyAlignment="0" applyProtection="0"/>
    <xf numFmtId="0" fontId="75" fillId="0" borderId="2314" applyNumberFormat="0" applyFont="0" applyFill="0" applyAlignment="0" applyProtection="0"/>
    <xf numFmtId="0" fontId="25" fillId="10" borderId="2418" applyNumberFormat="0" applyProtection="0">
      <alignment horizontal="left" vertical="top"/>
    </xf>
    <xf numFmtId="0" fontId="25" fillId="10" borderId="2419" applyNumberFormat="0" applyProtection="0">
      <alignment horizontal="left" vertical="top"/>
    </xf>
    <xf numFmtId="0" fontId="165" fillId="0" borderId="2463" applyFill="0" applyProtection="0">
      <alignment horizontal="center"/>
    </xf>
    <xf numFmtId="254" fontId="240" fillId="0" borderId="2463" applyBorder="0" applyProtection="0">
      <alignment horizontal="right" vertical="center"/>
    </xf>
    <xf numFmtId="0" fontId="241" fillId="94" borderId="2463" applyBorder="0" applyProtection="0">
      <alignment horizontal="centerContinuous" vertical="center"/>
    </xf>
    <xf numFmtId="0" fontId="241" fillId="94" borderId="2490" applyBorder="0" applyProtection="0">
      <alignment horizontal="centerContinuous" vertical="center"/>
    </xf>
    <xf numFmtId="0" fontId="166" fillId="0" borderId="2490">
      <alignment horizontal="center"/>
    </xf>
    <xf numFmtId="186" fontId="146" fillId="3" borderId="2490" applyBorder="0">
      <alignment horizontal="left" vertical="center"/>
    </xf>
    <xf numFmtId="0" fontId="214" fillId="0" borderId="2484" applyNumberFormat="0" applyFont="0" applyFill="0" applyAlignment="0" applyProtection="0"/>
    <xf numFmtId="0" fontId="78" fillId="14" borderId="2480" applyFont="0" applyFill="0" applyBorder="0" applyAlignment="0" applyProtection="0"/>
    <xf numFmtId="0" fontId="78" fillId="14" borderId="2411" applyFont="0" applyFill="0" applyBorder="0" applyAlignment="0" applyProtection="0"/>
    <xf numFmtId="0" fontId="25" fillId="10" borderId="2419" applyNumberFormat="0" applyProtection="0">
      <alignment horizontal="left" vertical="top"/>
    </xf>
    <xf numFmtId="0" fontId="25" fillId="10" borderId="2418" applyNumberFormat="0" applyProtection="0">
      <alignment horizontal="left" vertical="top"/>
    </xf>
    <xf numFmtId="0" fontId="25" fillId="10" borderId="2417" applyNumberFormat="0" applyProtection="0">
      <alignment horizontal="left" vertical="top"/>
    </xf>
    <xf numFmtId="0" fontId="25" fillId="10" borderId="2416" applyNumberFormat="0" applyProtection="0">
      <alignment horizontal="left" vertical="top"/>
    </xf>
    <xf numFmtId="186" fontId="140" fillId="3" borderId="2506">
      <alignment horizontal="center" vertical="center"/>
    </xf>
    <xf numFmtId="0" fontId="214" fillId="0" borderId="2415" applyNumberFormat="0" applyFont="0" applyFill="0" applyAlignment="0" applyProtection="0"/>
    <xf numFmtId="186" fontId="140" fillId="3" borderId="2389">
      <alignment horizontal="center" vertical="center"/>
    </xf>
    <xf numFmtId="186" fontId="146" fillId="3" borderId="2316">
      <alignment horizontal="left"/>
    </xf>
    <xf numFmtId="186" fontId="146" fillId="3" borderId="2505">
      <alignment horizontal="left"/>
    </xf>
    <xf numFmtId="0" fontId="75" fillId="0" borderId="2314" applyNumberFormat="0" applyFont="0" applyFill="0" applyAlignment="0" applyProtection="0"/>
    <xf numFmtId="0" fontId="75" fillId="0" borderId="2503" applyNumberFormat="0" applyFont="0" applyFill="0" applyAlignment="0" applyProtection="0"/>
    <xf numFmtId="222" fontId="79" fillId="0" borderId="2447" applyBorder="0"/>
    <xf numFmtId="222" fontId="79" fillId="0" borderId="2447" applyBorder="0"/>
    <xf numFmtId="0" fontId="25" fillId="10" borderId="2509" applyNumberFormat="0" applyProtection="0">
      <alignment horizontal="left" vertical="top"/>
    </xf>
    <xf numFmtId="0" fontId="2" fillId="0" borderId="2507" applyNumberFormat="0" applyAlignment="0" applyProtection="0"/>
    <xf numFmtId="246" fontId="250" fillId="0" borderId="2463" applyFill="0" applyProtection="0">
      <alignment horizontal="center"/>
    </xf>
    <xf numFmtId="246" fontId="249" fillId="0" borderId="2463" applyFill="0" applyProtection="0">
      <alignment horizontal="center"/>
    </xf>
    <xf numFmtId="0" fontId="241" fillId="94" borderId="2463" applyBorder="0" applyProtection="0">
      <alignment horizontal="centerContinuous" vertical="center"/>
    </xf>
    <xf numFmtId="254" fontId="240" fillId="0" borderId="2463" applyBorder="0" applyProtection="0">
      <alignment horizontal="right" vertical="center"/>
    </xf>
    <xf numFmtId="0" fontId="210" fillId="0" borderId="2463" applyNumberFormat="0" applyFill="0" applyBorder="0" applyAlignment="0">
      <protection locked="0"/>
    </xf>
    <xf numFmtId="264" fontId="12" fillId="14" borderId="2463" applyFont="0" applyFill="0" applyBorder="0" applyAlignment="0" applyProtection="0">
      <alignment horizontal="right"/>
    </xf>
    <xf numFmtId="0" fontId="166" fillId="0" borderId="2463">
      <alignment horizontal="center"/>
    </xf>
    <xf numFmtId="0" fontId="165" fillId="0" borderId="2463" applyFill="0" applyProtection="0">
      <alignment horizontal="center"/>
    </xf>
    <xf numFmtId="186" fontId="146" fillId="3" borderId="2463" applyBorder="0">
      <alignment horizontal="left" vertical="center"/>
    </xf>
    <xf numFmtId="180" fontId="9" fillId="3" borderId="2463">
      <alignment horizontal="right" vertical="center"/>
    </xf>
    <xf numFmtId="192" fontId="9" fillId="3" borderId="2463">
      <alignment horizontal="right" vertical="center"/>
    </xf>
    <xf numFmtId="248" fontId="46" fillId="0" borderId="2463"/>
    <xf numFmtId="0" fontId="12" fillId="0" borderId="2463" applyNumberFormat="0" applyFill="0" applyBorder="0" applyAlignment="0" applyProtection="0">
      <alignment horizontal="center"/>
    </xf>
    <xf numFmtId="0" fontId="113" fillId="0" borderId="2463" applyNumberFormat="0" applyFill="0" applyAlignment="0" applyProtection="0"/>
    <xf numFmtId="222" fontId="79" fillId="0" borderId="2462" applyBorder="0"/>
    <xf numFmtId="0" fontId="101" fillId="0" borderId="2463" applyBorder="0"/>
    <xf numFmtId="222" fontId="79" fillId="0" borderId="2462" applyBorder="0"/>
    <xf numFmtId="0" fontId="75" fillId="0" borderId="2452" applyNumberFormat="0" applyFont="0" applyFill="0" applyAlignment="0" applyProtection="0"/>
    <xf numFmtId="186" fontId="146" fillId="3" borderId="2454">
      <alignment horizontal="left"/>
    </xf>
    <xf numFmtId="186" fontId="140" fillId="3" borderId="2455">
      <alignment horizontal="center" vertical="center"/>
    </xf>
    <xf numFmtId="0" fontId="2" fillId="0" borderId="2456" applyNumberFormat="0" applyAlignment="0" applyProtection="0"/>
    <xf numFmtId="0" fontId="214" fillId="0" borderId="2457" applyNumberFormat="0" applyFont="0" applyFill="0" applyAlignment="0" applyProtection="0"/>
    <xf numFmtId="0" fontId="25" fillId="10" borderId="2458" applyNumberFormat="0" applyProtection="0">
      <alignment horizontal="left" vertical="top"/>
    </xf>
    <xf numFmtId="0" fontId="25" fillId="10" borderId="2459" applyNumberFormat="0" applyProtection="0">
      <alignment horizontal="left" vertical="top"/>
    </xf>
    <xf numFmtId="0" fontId="25" fillId="10" borderId="2460" applyNumberFormat="0" applyProtection="0">
      <alignment horizontal="left" vertical="top"/>
    </xf>
    <xf numFmtId="0" fontId="25" fillId="10" borderId="2461" applyNumberFormat="0" applyProtection="0">
      <alignment horizontal="left" vertical="top"/>
    </xf>
    <xf numFmtId="0" fontId="78" fillId="14" borderId="2453" applyFont="0" applyFill="0" applyBorder="0" applyAlignment="0" applyProtection="0"/>
    <xf numFmtId="246" fontId="250" fillId="0" borderId="2695" applyFill="0" applyProtection="0">
      <alignment horizontal="center"/>
    </xf>
    <xf numFmtId="0" fontId="25" fillId="10" borderId="2705" applyNumberFormat="0" applyProtection="0">
      <alignment horizontal="left" vertical="top"/>
    </xf>
    <xf numFmtId="222" fontId="79" fillId="0" borderId="2447" applyBorder="0"/>
    <xf numFmtId="0" fontId="75" fillId="0" borderId="2696" applyNumberFormat="0" applyFont="0" applyFill="0" applyAlignment="0" applyProtection="0"/>
    <xf numFmtId="0" fontId="276" fillId="54" borderId="2464" applyNumberFormat="0" applyAlignment="0" applyProtection="0"/>
    <xf numFmtId="222" fontId="79" fillId="0" borderId="2682" applyBorder="0"/>
    <xf numFmtId="0" fontId="101" fillId="0" borderId="2647" applyBorder="0"/>
    <xf numFmtId="0" fontId="283" fillId="103" borderId="2464" applyNumberFormat="0" applyAlignment="0" applyProtection="0"/>
    <xf numFmtId="0" fontId="50" fillId="117" borderId="2435" applyNumberFormat="0" applyFont="0" applyAlignment="0" applyProtection="0"/>
    <xf numFmtId="0" fontId="78" fillId="14" borderId="2637" applyFont="0" applyFill="0" applyBorder="0" applyAlignment="0" applyProtection="0"/>
    <xf numFmtId="186" fontId="146" fillId="3" borderId="4801">
      <alignment horizontal="left"/>
    </xf>
    <xf numFmtId="0" fontId="286" fillId="54" borderId="2465" applyNumberFormat="0" applyAlignment="0" applyProtection="0"/>
    <xf numFmtId="0" fontId="283" fillId="103" borderId="2464" applyNumberFormat="0" applyAlignment="0" applyProtection="0"/>
    <xf numFmtId="222" fontId="79" fillId="0" borderId="2634" applyBorder="0"/>
    <xf numFmtId="0" fontId="288" fillId="0" borderId="2466" applyNumberFormat="0" applyFill="0" applyAlignment="0" applyProtection="0"/>
    <xf numFmtId="0" fontId="276" fillId="54" borderId="2464" applyNumberFormat="0" applyAlignment="0" applyProtection="0"/>
    <xf numFmtId="0" fontId="2" fillId="0" borderId="2628" applyNumberFormat="0" applyAlignment="0" applyProtection="0"/>
    <xf numFmtId="0" fontId="214" fillId="0" borderId="2629" applyNumberFormat="0" applyFont="0" applyFill="0" applyAlignment="0" applyProtection="0"/>
    <xf numFmtId="0" fontId="78" fillId="14" borderId="2625" applyFont="0" applyFill="0" applyBorder="0" applyAlignment="0" applyProtection="0"/>
    <xf numFmtId="0" fontId="78" fillId="14" borderId="4812" applyFont="0" applyFill="0" applyBorder="0" applyAlignment="0" applyProtection="0"/>
    <xf numFmtId="0" fontId="101" fillId="0" borderId="2695" applyBorder="0"/>
    <xf numFmtId="0" fontId="78" fillId="14" borderId="2411" applyFont="0" applyFill="0" applyBorder="0" applyAlignment="0" applyProtection="0"/>
    <xf numFmtId="222" fontId="79" fillId="0" borderId="2447" applyBorder="0"/>
    <xf numFmtId="186" fontId="146" fillId="3" borderId="2626">
      <alignment horizontal="left"/>
    </xf>
    <xf numFmtId="0" fontId="25" fillId="10" borderId="2703" applyNumberFormat="0" applyProtection="0">
      <alignment horizontal="left" vertical="top"/>
    </xf>
    <xf numFmtId="0" fontId="214" fillId="0" borderId="2701" applyNumberFormat="0" applyFont="0" applyFill="0" applyAlignment="0" applyProtection="0"/>
    <xf numFmtId="0" fontId="25" fillId="10" borderId="2645" applyNumberFormat="0" applyProtection="0">
      <alignment horizontal="left" vertical="top"/>
    </xf>
    <xf numFmtId="0" fontId="78" fillId="14" borderId="2411" applyFont="0" applyFill="0" applyBorder="0" applyAlignment="0" applyProtection="0"/>
    <xf numFmtId="0" fontId="25" fillId="10" borderId="2419" applyNumberFormat="0" applyProtection="0">
      <alignment horizontal="left" vertical="top"/>
    </xf>
    <xf numFmtId="0" fontId="25" fillId="10" borderId="2418" applyNumberFormat="0" applyProtection="0">
      <alignment horizontal="left" vertical="top"/>
    </xf>
    <xf numFmtId="0" fontId="25" fillId="10" borderId="2417" applyNumberFormat="0" applyProtection="0">
      <alignment horizontal="left" vertical="top"/>
    </xf>
    <xf numFmtId="0" fontId="25" fillId="10" borderId="2416" applyNumberFormat="0" applyProtection="0">
      <alignment horizontal="left" vertical="top"/>
    </xf>
    <xf numFmtId="0" fontId="166" fillId="0" borderId="2695">
      <alignment horizontal="center"/>
    </xf>
    <xf numFmtId="0" fontId="214" fillId="0" borderId="2415" applyNumberFormat="0" applyFont="0" applyFill="0" applyAlignment="0" applyProtection="0"/>
    <xf numFmtId="186" fontId="140" fillId="3" borderId="2389">
      <alignment horizontal="center" vertical="center"/>
    </xf>
    <xf numFmtId="186" fontId="146" fillId="3" borderId="2316">
      <alignment horizontal="left"/>
    </xf>
    <xf numFmtId="186" fontId="146" fillId="3" borderId="2698">
      <alignment horizontal="left"/>
    </xf>
    <xf numFmtId="0" fontId="75" fillId="0" borderId="2314" applyNumberFormat="0" applyFont="0" applyFill="0" applyAlignment="0" applyProtection="0"/>
    <xf numFmtId="192" fontId="9" fillId="3" borderId="2695">
      <alignment horizontal="right" vertical="center"/>
    </xf>
    <xf numFmtId="222" fontId="79" fillId="0" borderId="2447" applyBorder="0"/>
    <xf numFmtId="0" fontId="101" fillId="0" borderId="2450" applyBorder="0"/>
    <xf numFmtId="222" fontId="79" fillId="0" borderId="2447" applyBorder="0"/>
    <xf numFmtId="0" fontId="113" fillId="0" borderId="2450" applyNumberFormat="0" applyFill="0" applyAlignment="0" applyProtection="0"/>
    <xf numFmtId="0" fontId="12" fillId="0" borderId="2450" applyNumberFormat="0" applyFill="0" applyBorder="0" applyAlignment="0" applyProtection="0">
      <alignment horizontal="center"/>
    </xf>
    <xf numFmtId="248" fontId="46" fillId="0" borderId="2450"/>
    <xf numFmtId="192" fontId="9" fillId="3" borderId="2450">
      <alignment horizontal="right" vertical="center"/>
    </xf>
    <xf numFmtId="180" fontId="9" fillId="3" borderId="2450">
      <alignment horizontal="right" vertical="center"/>
    </xf>
    <xf numFmtId="186" fontId="146" fillId="3" borderId="2450" applyBorder="0">
      <alignment horizontal="left" vertical="center"/>
    </xf>
    <xf numFmtId="0" fontId="165" fillId="0" borderId="2450" applyFill="0" applyProtection="0">
      <alignment horizontal="center"/>
    </xf>
    <xf numFmtId="0" fontId="166" fillId="0" borderId="2450">
      <alignment horizontal="center"/>
    </xf>
    <xf numFmtId="264" fontId="12" fillId="14" borderId="2450" applyFont="0" applyFill="0" applyBorder="0" applyAlignment="0" applyProtection="0">
      <alignment horizontal="right"/>
    </xf>
    <xf numFmtId="0" fontId="210" fillId="0" borderId="2450" applyNumberFormat="0" applyFill="0" applyBorder="0" applyAlignment="0">
      <protection locked="0"/>
    </xf>
    <xf numFmtId="254" fontId="240" fillId="0" borderId="2450" applyBorder="0" applyProtection="0">
      <alignment horizontal="right" vertical="center"/>
    </xf>
    <xf numFmtId="0" fontId="241" fillId="94" borderId="2450" applyBorder="0" applyProtection="0">
      <alignment horizontal="centerContinuous" vertical="center"/>
    </xf>
    <xf numFmtId="246" fontId="249" fillId="0" borderId="2450" applyFill="0" applyProtection="0">
      <alignment horizontal="center"/>
    </xf>
    <xf numFmtId="246" fontId="250" fillId="0" borderId="2450" applyFill="0" applyProtection="0">
      <alignment horizontal="center"/>
    </xf>
    <xf numFmtId="0" fontId="25" fillId="10" borderId="2703" applyNumberFormat="0" applyProtection="0">
      <alignment horizontal="left" vertical="top"/>
    </xf>
    <xf numFmtId="0" fontId="286" fillId="54" borderId="2465" applyNumberFormat="0" applyAlignment="0" applyProtection="0"/>
    <xf numFmtId="186" fontId="146" fillId="3" borderId="4720">
      <alignment horizontal="left"/>
    </xf>
    <xf numFmtId="0" fontId="75" fillId="0" borderId="2624" applyNumberFormat="0" applyFont="0" applyFill="0" applyAlignment="0" applyProtection="0"/>
    <xf numFmtId="0" fontId="210" fillId="0" borderId="2695" applyNumberFormat="0" applyFill="0" applyBorder="0" applyAlignment="0">
      <protection locked="0"/>
    </xf>
    <xf numFmtId="0" fontId="288" fillId="0" borderId="2466" applyNumberFormat="0" applyFill="0" applyAlignment="0" applyProtection="0"/>
    <xf numFmtId="0" fontId="25" fillId="10" borderId="2633" applyNumberFormat="0" applyProtection="0">
      <alignment horizontal="left" vertical="top"/>
    </xf>
    <xf numFmtId="0" fontId="25" fillId="10" borderId="2631" applyNumberFormat="0" applyProtection="0">
      <alignment horizontal="left" vertical="top"/>
    </xf>
    <xf numFmtId="0" fontId="25" fillId="10" borderId="2632" applyNumberFormat="0" applyProtection="0">
      <alignment horizontal="left" vertical="top"/>
    </xf>
    <xf numFmtId="0" fontId="25" fillId="10" borderId="2630" applyNumberFormat="0" applyProtection="0">
      <alignment horizontal="left" vertical="top"/>
    </xf>
    <xf numFmtId="186" fontId="140" fillId="3" borderId="2627">
      <alignment horizontal="center" vertical="center"/>
    </xf>
    <xf numFmtId="0" fontId="241" fillId="94" borderId="2514" applyBorder="0" applyProtection="0">
      <alignment horizontal="centerContinuous" vertical="center"/>
    </xf>
    <xf numFmtId="0" fontId="166" fillId="0" borderId="2514">
      <alignment horizontal="center"/>
    </xf>
    <xf numFmtId="0" fontId="214" fillId="0" borderId="2415" applyNumberFormat="0" applyFont="0" applyFill="0" applyAlignment="0" applyProtection="0"/>
    <xf numFmtId="246" fontId="250" fillId="0" borderId="2450" applyFill="0" applyProtection="0">
      <alignment horizontal="center"/>
    </xf>
    <xf numFmtId="246" fontId="249" fillId="0" borderId="2450" applyFill="0" applyProtection="0">
      <alignment horizontal="center"/>
    </xf>
    <xf numFmtId="0" fontId="241" fillId="94" borderId="2450" applyBorder="0" applyProtection="0">
      <alignment horizontal="centerContinuous" vertical="center"/>
    </xf>
    <xf numFmtId="254" fontId="240" fillId="0" borderId="2450" applyBorder="0" applyProtection="0">
      <alignment horizontal="right" vertical="center"/>
    </xf>
    <xf numFmtId="0" fontId="210" fillId="0" borderId="2450" applyNumberFormat="0" applyFill="0" applyBorder="0" applyAlignment="0">
      <protection locked="0"/>
    </xf>
    <xf numFmtId="264" fontId="12" fillId="14" borderId="2450" applyFont="0" applyFill="0" applyBorder="0" applyAlignment="0" applyProtection="0">
      <alignment horizontal="right"/>
    </xf>
    <xf numFmtId="0" fontId="166" fillId="0" borderId="2450">
      <alignment horizontal="center"/>
    </xf>
    <xf numFmtId="0" fontId="165" fillId="0" borderId="2450" applyFill="0" applyProtection="0">
      <alignment horizontal="center"/>
    </xf>
    <xf numFmtId="186" fontId="146" fillId="3" borderId="2450" applyBorder="0">
      <alignment horizontal="left" vertical="center"/>
    </xf>
    <xf numFmtId="180" fontId="9" fillId="3" borderId="2450">
      <alignment horizontal="right" vertical="center"/>
    </xf>
    <xf numFmtId="192" fontId="9" fillId="3" borderId="2450">
      <alignment horizontal="right" vertical="center"/>
    </xf>
    <xf numFmtId="248" fontId="46" fillId="0" borderId="2450"/>
    <xf numFmtId="0" fontId="12" fillId="0" borderId="2450" applyNumberFormat="0" applyFill="0" applyBorder="0" applyAlignment="0" applyProtection="0">
      <alignment horizontal="center"/>
    </xf>
    <xf numFmtId="0" fontId="113" fillId="0" borderId="2450" applyNumberFormat="0" applyFill="0" applyAlignment="0" applyProtection="0"/>
    <xf numFmtId="222" fontId="79" fillId="0" borderId="2447" applyBorder="0"/>
    <xf numFmtId="0" fontId="101" fillId="0" borderId="2450" applyBorder="0"/>
    <xf numFmtId="222" fontId="79" fillId="0" borderId="2447" applyBorder="0"/>
    <xf numFmtId="0" fontId="75" fillId="0" borderId="2314" applyNumberFormat="0" applyFont="0" applyFill="0" applyAlignment="0" applyProtection="0"/>
    <xf numFmtId="186" fontId="146" fillId="3" borderId="2316">
      <alignment horizontal="left"/>
    </xf>
    <xf numFmtId="186" fontId="140" fillId="3" borderId="2389">
      <alignment horizontal="center" vertical="center"/>
    </xf>
    <xf numFmtId="0" fontId="214" fillId="0" borderId="2415" applyNumberFormat="0" applyFont="0" applyFill="0" applyAlignment="0" applyProtection="0"/>
    <xf numFmtId="0" fontId="25" fillId="10" borderId="2416" applyNumberFormat="0" applyProtection="0">
      <alignment horizontal="left" vertical="top"/>
    </xf>
    <xf numFmtId="0" fontId="25" fillId="10" borderId="2417" applyNumberFormat="0" applyProtection="0">
      <alignment horizontal="left" vertical="top"/>
    </xf>
    <xf numFmtId="0" fontId="25" fillId="10" borderId="2418" applyNumberFormat="0" applyProtection="0">
      <alignment horizontal="left" vertical="top"/>
    </xf>
    <xf numFmtId="0" fontId="25" fillId="10" borderId="2419" applyNumberFormat="0" applyProtection="0">
      <alignment horizontal="left" vertical="top"/>
    </xf>
    <xf numFmtId="0" fontId="78" fillId="14" borderId="2423" applyFont="0" applyFill="0" applyBorder="0" applyAlignment="0" applyProtection="0"/>
    <xf numFmtId="222" fontId="79" fillId="0" borderId="2462" applyBorder="0"/>
    <xf numFmtId="0" fontId="78" fillId="14" borderId="2453" applyFont="0" applyFill="0" applyBorder="0" applyAlignment="0" applyProtection="0"/>
    <xf numFmtId="186" fontId="146" fillId="3" borderId="2316">
      <alignment horizontal="left"/>
    </xf>
    <xf numFmtId="0" fontId="78" fillId="14" borderId="2453" applyFont="0" applyFill="0" applyBorder="0" applyAlignment="0" applyProtection="0"/>
    <xf numFmtId="222" fontId="79" fillId="0" borderId="2462" applyBorder="0"/>
    <xf numFmtId="0" fontId="2" fillId="0" borderId="2456" applyNumberFormat="0" applyAlignment="0" applyProtection="0"/>
    <xf numFmtId="0" fontId="78" fillId="14" borderId="2453" applyFont="0" applyFill="0" applyBorder="0" applyAlignment="0" applyProtection="0"/>
    <xf numFmtId="0" fontId="25" fillId="10" borderId="2461" applyNumberFormat="0" applyProtection="0">
      <alignment horizontal="left" vertical="top"/>
    </xf>
    <xf numFmtId="0" fontId="25" fillId="10" borderId="2460" applyNumberFormat="0" applyProtection="0">
      <alignment horizontal="left" vertical="top"/>
    </xf>
    <xf numFmtId="0" fontId="25" fillId="10" borderId="2459" applyNumberFormat="0" applyProtection="0">
      <alignment horizontal="left" vertical="top"/>
    </xf>
    <xf numFmtId="0" fontId="25" fillId="10" borderId="2458" applyNumberFormat="0" applyProtection="0">
      <alignment horizontal="left" vertical="top"/>
    </xf>
    <xf numFmtId="0" fontId="25" fillId="10" borderId="2459" applyNumberFormat="0" applyProtection="0">
      <alignment horizontal="left" vertical="top"/>
    </xf>
    <xf numFmtId="0" fontId="214" fillId="0" borderId="2457" applyNumberFormat="0" applyFont="0" applyFill="0" applyAlignment="0" applyProtection="0"/>
    <xf numFmtId="0" fontId="2" fillId="0" borderId="2456" applyNumberFormat="0" applyAlignment="0" applyProtection="0"/>
    <xf numFmtId="186" fontId="140" fillId="3" borderId="2455">
      <alignment horizontal="center" vertical="center"/>
    </xf>
    <xf numFmtId="186" fontId="146" fillId="3" borderId="2454">
      <alignment horizontal="left"/>
    </xf>
    <xf numFmtId="0" fontId="25" fillId="10" borderId="2461" applyNumberFormat="0" applyProtection="0">
      <alignment horizontal="left" vertical="top"/>
    </xf>
    <xf numFmtId="0" fontId="75" fillId="0" borderId="2452" applyNumberFormat="0" applyFont="0" applyFill="0" applyAlignment="0" applyProtection="0"/>
    <xf numFmtId="222" fontId="79" fillId="0" borderId="2462" applyBorder="0"/>
    <xf numFmtId="0" fontId="101" fillId="0" borderId="2463" applyBorder="0"/>
    <xf numFmtId="222" fontId="79" fillId="0" borderId="2462" applyBorder="0"/>
    <xf numFmtId="0" fontId="113" fillId="0" borderId="2463" applyNumberFormat="0" applyFill="0" applyAlignment="0" applyProtection="0"/>
    <xf numFmtId="0" fontId="12" fillId="0" borderId="2463" applyNumberFormat="0" applyFill="0" applyBorder="0" applyAlignment="0" applyProtection="0">
      <alignment horizontal="center"/>
    </xf>
    <xf numFmtId="248" fontId="46" fillId="0" borderId="2463"/>
    <xf numFmtId="192" fontId="9" fillId="3" borderId="2463">
      <alignment horizontal="right" vertical="center"/>
    </xf>
    <xf numFmtId="180" fontId="9" fillId="3" borderId="2463">
      <alignment horizontal="right" vertical="center"/>
    </xf>
    <xf numFmtId="186" fontId="146" fillId="3" borderId="2463" applyBorder="0">
      <alignment horizontal="left" vertical="center"/>
    </xf>
    <xf numFmtId="0" fontId="165" fillId="0" borderId="2463" applyFill="0" applyProtection="0">
      <alignment horizontal="center"/>
    </xf>
    <xf numFmtId="0" fontId="166" fillId="0" borderId="2463">
      <alignment horizontal="center"/>
    </xf>
    <xf numFmtId="264" fontId="12" fillId="14" borderId="2463" applyFont="0" applyFill="0" applyBorder="0" applyAlignment="0" applyProtection="0">
      <alignment horizontal="right"/>
    </xf>
    <xf numFmtId="0" fontId="210" fillId="0" borderId="2463" applyNumberFormat="0" applyFill="0" applyBorder="0" applyAlignment="0">
      <protection locked="0"/>
    </xf>
    <xf numFmtId="254" fontId="240" fillId="0" borderId="2463" applyBorder="0" applyProtection="0">
      <alignment horizontal="right" vertical="center"/>
    </xf>
    <xf numFmtId="0" fontId="241" fillId="94" borderId="2463" applyBorder="0" applyProtection="0">
      <alignment horizontal="centerContinuous" vertical="center"/>
    </xf>
    <xf numFmtId="246" fontId="249" fillId="0" borderId="2463" applyFill="0" applyProtection="0">
      <alignment horizontal="center"/>
    </xf>
    <xf numFmtId="246" fontId="250" fillId="0" borderId="2463" applyFill="0" applyProtection="0">
      <alignment horizontal="center"/>
    </xf>
    <xf numFmtId="186" fontId="140" fillId="3" borderId="2455">
      <alignment horizontal="center" vertical="center"/>
    </xf>
    <xf numFmtId="0" fontId="78" fillId="14" borderId="2423" applyFont="0" applyFill="0" applyBorder="0" applyAlignment="0" applyProtection="0"/>
    <xf numFmtId="222" fontId="79" fillId="0" borderId="2462" applyBorder="0"/>
    <xf numFmtId="0" fontId="78" fillId="14" borderId="2468" applyFont="0" applyFill="0" applyBorder="0" applyAlignment="0" applyProtection="0"/>
    <xf numFmtId="0" fontId="25" fillId="10" borderId="2476" applyNumberFormat="0" applyProtection="0">
      <alignment horizontal="left" vertical="top"/>
    </xf>
    <xf numFmtId="0" fontId="25" fillId="10" borderId="2475" applyNumberFormat="0" applyProtection="0">
      <alignment horizontal="left" vertical="top"/>
    </xf>
    <xf numFmtId="0" fontId="25" fillId="10" borderId="2474" applyNumberFormat="0" applyProtection="0">
      <alignment horizontal="left" vertical="top"/>
    </xf>
    <xf numFmtId="0" fontId="25" fillId="10" borderId="2473" applyNumberFormat="0" applyProtection="0">
      <alignment horizontal="left" vertical="top"/>
    </xf>
    <xf numFmtId="0" fontId="214" fillId="0" borderId="2472" applyNumberFormat="0" applyFont="0" applyFill="0" applyAlignment="0" applyProtection="0"/>
    <xf numFmtId="0" fontId="2" fillId="0" borderId="2471" applyNumberFormat="0" applyAlignment="0" applyProtection="0"/>
    <xf numFmtId="186" fontId="140" fillId="3" borderId="2470">
      <alignment horizontal="center" vertical="center"/>
    </xf>
    <xf numFmtId="186" fontId="146" fillId="3" borderId="2469">
      <alignment horizontal="left"/>
    </xf>
    <xf numFmtId="0" fontId="75" fillId="0" borderId="2467" applyNumberFormat="0" applyFont="0" applyFill="0" applyAlignment="0" applyProtection="0"/>
    <xf numFmtId="222" fontId="79" fillId="0" borderId="2477" applyBorder="0"/>
    <xf numFmtId="0" fontId="101" fillId="0" borderId="2478" applyBorder="0"/>
    <xf numFmtId="222" fontId="79" fillId="0" borderId="2477" applyBorder="0"/>
    <xf numFmtId="0" fontId="113" fillId="0" borderId="2478" applyNumberFormat="0" applyFill="0" applyAlignment="0" applyProtection="0"/>
    <xf numFmtId="0" fontId="12" fillId="0" borderId="2478" applyNumberFormat="0" applyFill="0" applyBorder="0" applyAlignment="0" applyProtection="0">
      <alignment horizontal="center"/>
    </xf>
    <xf numFmtId="248" fontId="46" fillId="0" borderId="2478"/>
    <xf numFmtId="192" fontId="9" fillId="3" borderId="2478">
      <alignment horizontal="right" vertical="center"/>
    </xf>
    <xf numFmtId="180" fontId="9" fillId="3" borderId="2478">
      <alignment horizontal="right" vertical="center"/>
    </xf>
    <xf numFmtId="186" fontId="146" fillId="3" borderId="2478" applyBorder="0">
      <alignment horizontal="left" vertical="center"/>
    </xf>
    <xf numFmtId="0" fontId="165" fillId="0" borderId="2478" applyFill="0" applyProtection="0">
      <alignment horizontal="center"/>
    </xf>
    <xf numFmtId="0" fontId="166" fillId="0" borderId="2478">
      <alignment horizontal="center"/>
    </xf>
    <xf numFmtId="264" fontId="12" fillId="14" borderId="2478" applyFont="0" applyFill="0" applyBorder="0" applyAlignment="0" applyProtection="0">
      <alignment horizontal="right"/>
    </xf>
    <xf numFmtId="0" fontId="210" fillId="0" borderId="2478" applyNumberFormat="0" applyFill="0" applyBorder="0" applyAlignment="0">
      <protection locked="0"/>
    </xf>
    <xf numFmtId="254" fontId="240" fillId="0" borderId="2478" applyBorder="0" applyProtection="0">
      <alignment horizontal="right" vertical="center"/>
    </xf>
    <xf numFmtId="0" fontId="241" fillId="94" borderId="2478" applyBorder="0" applyProtection="0">
      <alignment horizontal="centerContinuous" vertical="center"/>
    </xf>
    <xf numFmtId="246" fontId="249" fillId="0" borderId="2478" applyFill="0" applyProtection="0">
      <alignment horizontal="center"/>
    </xf>
    <xf numFmtId="246" fontId="250" fillId="0" borderId="2478" applyFill="0" applyProtection="0">
      <alignment horizontal="center"/>
    </xf>
    <xf numFmtId="222" fontId="79" fillId="0" borderId="2489" applyBorder="0"/>
    <xf numFmtId="0" fontId="78" fillId="14" borderId="2492" applyFont="0" applyFill="0" applyBorder="0" applyAlignment="0" applyProtection="0"/>
    <xf numFmtId="0" fontId="25" fillId="10" borderId="2500" applyNumberFormat="0" applyProtection="0">
      <alignment horizontal="left" vertical="top"/>
    </xf>
    <xf numFmtId="0" fontId="25" fillId="10" borderId="2499" applyNumberFormat="0" applyProtection="0">
      <alignment horizontal="left" vertical="top"/>
    </xf>
    <xf numFmtId="0" fontId="25" fillId="10" borderId="2498" applyNumberFormat="0" applyProtection="0">
      <alignment horizontal="left" vertical="top"/>
    </xf>
    <xf numFmtId="0" fontId="25" fillId="10" borderId="2497" applyNumberFormat="0" applyProtection="0">
      <alignment horizontal="left" vertical="top"/>
    </xf>
    <xf numFmtId="0" fontId="214" fillId="0" borderId="2496" applyNumberFormat="0" applyFont="0" applyFill="0" applyAlignment="0" applyProtection="0"/>
    <xf numFmtId="0" fontId="2" fillId="0" borderId="2495" applyNumberFormat="0" applyAlignment="0" applyProtection="0"/>
    <xf numFmtId="186" fontId="140" fillId="3" borderId="2494">
      <alignment horizontal="center" vertical="center"/>
    </xf>
    <xf numFmtId="186" fontId="146" fillId="3" borderId="2493">
      <alignment horizontal="left"/>
    </xf>
    <xf numFmtId="0" fontId="75" fillId="0" borderId="2491" applyNumberFormat="0" applyFont="0" applyFill="0" applyAlignment="0" applyProtection="0"/>
    <xf numFmtId="222" fontId="79" fillId="0" borderId="2501" applyBorder="0"/>
    <xf numFmtId="0" fontId="101" fillId="0" borderId="2502" applyBorder="0"/>
    <xf numFmtId="222" fontId="79" fillId="0" borderId="2501" applyBorder="0"/>
    <xf numFmtId="0" fontId="113" fillId="0" borderId="2502" applyNumberFormat="0" applyFill="0" applyAlignment="0" applyProtection="0"/>
    <xf numFmtId="0" fontId="12" fillId="0" borderId="2502" applyNumberFormat="0" applyFill="0" applyBorder="0" applyAlignment="0" applyProtection="0">
      <alignment horizontal="center"/>
    </xf>
    <xf numFmtId="248" fontId="46" fillId="0" borderId="2502"/>
    <xf numFmtId="192" fontId="9" fillId="3" borderId="2502">
      <alignment horizontal="right" vertical="center"/>
    </xf>
    <xf numFmtId="180" fontId="9" fillId="3" borderId="2502">
      <alignment horizontal="right" vertical="center"/>
    </xf>
    <xf numFmtId="186" fontId="146" fillId="3" borderId="2502" applyBorder="0">
      <alignment horizontal="left" vertical="center"/>
    </xf>
    <xf numFmtId="0" fontId="165" fillId="0" borderId="2502" applyFill="0" applyProtection="0">
      <alignment horizontal="center"/>
    </xf>
    <xf numFmtId="0" fontId="166" fillId="0" borderId="2502">
      <alignment horizontal="center"/>
    </xf>
    <xf numFmtId="264" fontId="12" fillId="14" borderId="2502" applyFont="0" applyFill="0" applyBorder="0" applyAlignment="0" applyProtection="0">
      <alignment horizontal="right"/>
    </xf>
    <xf numFmtId="0" fontId="210" fillId="0" borderId="2502" applyNumberFormat="0" applyFill="0" applyBorder="0" applyAlignment="0">
      <protection locked="0"/>
    </xf>
    <xf numFmtId="254" fontId="240" fillId="0" borderId="2502" applyBorder="0" applyProtection="0">
      <alignment horizontal="right" vertical="center"/>
    </xf>
    <xf numFmtId="0" fontId="241" fillId="94" borderId="2502" applyBorder="0" applyProtection="0">
      <alignment horizontal="centerContinuous" vertical="center"/>
    </xf>
    <xf numFmtId="246" fontId="249" fillId="0" borderId="2502" applyFill="0" applyProtection="0">
      <alignment horizontal="center"/>
    </xf>
    <xf numFmtId="246" fontId="250" fillId="0" borderId="2502" applyFill="0" applyProtection="0">
      <alignment horizontal="center"/>
    </xf>
    <xf numFmtId="0" fontId="113" fillId="0" borderId="2635" applyNumberFormat="0" applyFill="0" applyAlignment="0" applyProtection="0"/>
    <xf numFmtId="0" fontId="75" fillId="0" borderId="2515" applyNumberFormat="0" applyFont="0" applyFill="0" applyAlignment="0" applyProtection="0"/>
    <xf numFmtId="0" fontId="78" fillId="14" borderId="2516" applyFont="0" applyFill="0" applyBorder="0" applyAlignment="0" applyProtection="0"/>
    <xf numFmtId="186" fontId="146" fillId="3" borderId="2517">
      <alignment horizontal="left"/>
    </xf>
    <xf numFmtId="186" fontId="140" fillId="3" borderId="2518">
      <alignment horizontal="center" vertical="center"/>
    </xf>
    <xf numFmtId="0" fontId="2" fillId="0" borderId="2519" applyNumberFormat="0" applyAlignment="0" applyProtection="0"/>
    <xf numFmtId="0" fontId="214" fillId="0" borderId="2520" applyNumberFormat="0" applyFont="0" applyFill="0" applyAlignment="0" applyProtection="0"/>
    <xf numFmtId="0" fontId="25" fillId="10" borderId="2521" applyNumberFormat="0" applyProtection="0">
      <alignment horizontal="left" vertical="top"/>
    </xf>
    <xf numFmtId="0" fontId="25" fillId="10" borderId="2522" applyNumberFormat="0" applyProtection="0">
      <alignment horizontal="left" vertical="top"/>
    </xf>
    <xf numFmtId="0" fontId="25" fillId="10" borderId="2523" applyNumberFormat="0" applyProtection="0">
      <alignment horizontal="left" vertical="top"/>
    </xf>
    <xf numFmtId="0" fontId="25" fillId="10" borderId="2524" applyNumberFormat="0" applyProtection="0">
      <alignment horizontal="left" vertical="top"/>
    </xf>
    <xf numFmtId="10" fontId="12" fillId="3" borderId="2446" applyNumberFormat="0" applyFont="0" applyFill="0" applyBorder="0" applyAlignment="0">
      <protection locked="0"/>
    </xf>
    <xf numFmtId="0" fontId="12" fillId="0" borderId="2635" applyNumberFormat="0" applyFill="0" applyBorder="0" applyAlignment="0" applyProtection="0">
      <alignment horizontal="center"/>
    </xf>
    <xf numFmtId="10" fontId="12" fillId="3" borderId="2446" applyNumberFormat="0" applyFont="0" applyFill="0" applyBorder="0" applyAlignment="0">
      <protection locked="0"/>
    </xf>
    <xf numFmtId="0" fontId="101" fillId="0" borderId="2635" applyBorder="0"/>
    <xf numFmtId="248" fontId="46" fillId="0" borderId="2635"/>
    <xf numFmtId="1" fontId="154" fillId="65" borderId="2525" applyNumberFormat="0" applyBorder="0" applyAlignment="0">
      <alignment horizontal="centerContinuous" vertical="center"/>
      <protection locked="0"/>
    </xf>
    <xf numFmtId="0" fontId="12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10" fontId="12" fillId="3" borderId="2446" applyNumberFormat="0" applyFont="0" applyFill="0" applyBorder="0" applyAlignment="0">
      <protection locked="0"/>
    </xf>
    <xf numFmtId="246" fontId="250" fillId="0" borderId="2514" applyFill="0" applyProtection="0">
      <alignment horizontal="center"/>
    </xf>
    <xf numFmtId="246" fontId="249" fillId="0" borderId="2514" applyFill="0" applyProtection="0">
      <alignment horizontal="center"/>
    </xf>
    <xf numFmtId="0" fontId="241" fillId="94" borderId="2514" applyBorder="0" applyProtection="0">
      <alignment horizontal="centerContinuous" vertical="center"/>
    </xf>
    <xf numFmtId="254" fontId="240" fillId="0" borderId="2514" applyBorder="0" applyProtection="0">
      <alignment horizontal="right" vertical="center"/>
    </xf>
    <xf numFmtId="0" fontId="12" fillId="0" borderId="2433" applyNumberFormat="0" applyFill="0" applyBorder="0" applyAlignment="0" applyProtection="0"/>
    <xf numFmtId="0" fontId="25" fillId="10" borderId="2445" applyNumberFormat="0" applyProtection="0">
      <alignment horizontal="left" vertical="top"/>
    </xf>
    <xf numFmtId="0" fontId="25" fillId="10" borderId="2444" applyNumberFormat="0" applyProtection="0">
      <alignment horizontal="left" vertical="top"/>
    </xf>
    <xf numFmtId="0" fontId="25" fillId="10" borderId="2443" applyNumberFormat="0" applyProtection="0">
      <alignment horizontal="left" vertical="top"/>
    </xf>
    <xf numFmtId="0" fontId="25" fillId="10" borderId="2442" applyNumberFormat="0" applyProtection="0">
      <alignment horizontal="left" vertical="top"/>
    </xf>
    <xf numFmtId="0" fontId="25" fillId="10" borderId="2441" applyNumberFormat="0" applyProtection="0">
      <alignment horizontal="left" vertical="top"/>
    </xf>
    <xf numFmtId="0" fontId="25" fillId="10" borderId="2440" applyNumberFormat="0" applyProtection="0">
      <alignment horizontal="left" vertical="top"/>
    </xf>
    <xf numFmtId="0" fontId="25" fillId="10" borderId="2439" applyNumberFormat="0" applyProtection="0">
      <alignment horizontal="left"/>
    </xf>
    <xf numFmtId="0" fontId="12" fillId="10" borderId="2434" applyNumberFormat="0" applyFont="0" applyProtection="0"/>
    <xf numFmtId="0" fontId="12" fillId="10" borderId="2434" applyNumberFormat="0" applyFont="0" applyAlignment="0" applyProtection="0"/>
    <xf numFmtId="0" fontId="12" fillId="3" borderId="2434" applyNumberFormat="0" applyFont="0" applyAlignment="0" applyProtection="0"/>
    <xf numFmtId="293" fontId="234" fillId="10" borderId="2434" applyFont="0" applyProtection="0"/>
    <xf numFmtId="169" fontId="234" fillId="10" borderId="2434" applyFont="0" applyProtection="0"/>
    <xf numFmtId="293" fontId="234" fillId="10" borderId="2434" applyFont="0" applyProtection="0"/>
    <xf numFmtId="293" fontId="234" fillId="3" borderId="2434" applyFont="0" applyProtection="0"/>
    <xf numFmtId="169" fontId="234" fillId="3" borderId="2434" applyFont="0" applyProtection="0"/>
    <xf numFmtId="0" fontId="25" fillId="10" borderId="2434" applyNumberFormat="0" applyProtection="0">
      <alignment horizontal="center" vertical="top"/>
    </xf>
    <xf numFmtId="0" fontId="25" fillId="10" borderId="2434" applyNumberFormat="0" applyProtection="0">
      <alignment horizontal="center" vertical="top"/>
    </xf>
    <xf numFmtId="0" fontId="210" fillId="0" borderId="2514" applyNumberFormat="0" applyFill="0" applyBorder="0" applyAlignment="0">
      <protection locked="0"/>
    </xf>
    <xf numFmtId="188" fontId="25" fillId="0" borderId="2449" applyFont="0" applyFill="0" applyBorder="0" applyAlignment="0" applyProtection="0">
      <alignment horizontal="center"/>
    </xf>
    <xf numFmtId="264" fontId="12" fillId="14" borderId="2514" applyFont="0" applyFill="0" applyBorder="0" applyAlignment="0" applyProtection="0">
      <alignment horizontal="right"/>
    </xf>
    <xf numFmtId="0" fontId="25" fillId="69" borderId="2434">
      <alignment horizontal="left" vertical="center" wrapText="1"/>
    </xf>
    <xf numFmtId="0" fontId="166" fillId="0" borderId="2514">
      <alignment horizontal="center"/>
    </xf>
    <xf numFmtId="0" fontId="165" fillId="0" borderId="2514" applyFill="0" applyProtection="0">
      <alignment horizontal="center"/>
    </xf>
    <xf numFmtId="0" fontId="159" fillId="67" borderId="2434"/>
    <xf numFmtId="0" fontId="159" fillId="0" borderId="2434"/>
    <xf numFmtId="0" fontId="135" fillId="0" borderId="2434"/>
    <xf numFmtId="0" fontId="135" fillId="0" borderId="2434"/>
    <xf numFmtId="186" fontId="48" fillId="3" borderId="2432">
      <alignment vertical="center"/>
    </xf>
    <xf numFmtId="186" fontId="146" fillId="3" borderId="2514" applyBorder="0">
      <alignment horizontal="left" vertical="center"/>
    </xf>
    <xf numFmtId="180" fontId="9" fillId="3" borderId="2514">
      <alignment horizontal="right" vertical="center"/>
    </xf>
    <xf numFmtId="192" fontId="9" fillId="3" borderId="2514">
      <alignment horizontal="right" vertical="center"/>
    </xf>
    <xf numFmtId="182" fontId="145" fillId="3" borderId="2432">
      <alignment horizontal="right" vertical="center"/>
    </xf>
    <xf numFmtId="0" fontId="48" fillId="0" borderId="2432" applyFont="0" applyFill="0" applyBorder="0" applyAlignment="0" applyProtection="0">
      <alignment horizontal="center"/>
    </xf>
    <xf numFmtId="0" fontId="74" fillId="0" borderId="2432" applyFont="0" applyFill="0" applyBorder="0" applyAlignment="0" applyProtection="0">
      <alignment horizontal="center"/>
    </xf>
    <xf numFmtId="0" fontId="12" fillId="0" borderId="2514" applyNumberFormat="0" applyFill="0" applyBorder="0" applyAlignment="0" applyProtection="0">
      <alignment horizontal="center"/>
    </xf>
    <xf numFmtId="5" fontId="114" fillId="0" borderId="2432" applyAlignment="0" applyProtection="0"/>
    <xf numFmtId="0" fontId="113" fillId="0" borderId="2514" applyNumberFormat="0" applyFill="0" applyAlignment="0" applyProtection="0"/>
    <xf numFmtId="0" fontId="48" fillId="0" borderId="2433" applyNumberFormat="0" applyFill="0" applyAlignment="0" applyProtection="0"/>
    <xf numFmtId="0" fontId="105" fillId="0" borderId="2433" applyNumberFormat="0" applyFill="0" applyBorder="0" applyAlignment="0" applyProtection="0"/>
    <xf numFmtId="0" fontId="46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222" fontId="79" fillId="0" borderId="2513" applyBorder="0"/>
    <xf numFmtId="0" fontId="101" fillId="0" borderId="2514" applyBorder="0"/>
    <xf numFmtId="10" fontId="12" fillId="3" borderId="2446" applyNumberFormat="0" applyFont="0" applyFill="0" applyBorder="0" applyAlignment="0">
      <protection locked="0"/>
    </xf>
    <xf numFmtId="192" fontId="9" fillId="3" borderId="2635">
      <alignment horizontal="right" vertical="center"/>
    </xf>
    <xf numFmtId="248" fontId="46" fillId="0" borderId="2514"/>
    <xf numFmtId="180" fontId="9" fillId="3" borderId="2635">
      <alignment horizontal="right" vertical="center"/>
    </xf>
    <xf numFmtId="10" fontId="12" fillId="3" borderId="2446" applyNumberFormat="0" applyFont="0" applyFill="0" applyBorder="0" applyAlignment="0">
      <protection locked="0"/>
    </xf>
    <xf numFmtId="0" fontId="166" fillId="0" borderId="2623">
      <alignment horizontal="center"/>
    </xf>
    <xf numFmtId="186" fontId="146" fillId="3" borderId="2635" applyBorder="0">
      <alignment horizontal="left" vertical="center"/>
    </xf>
    <xf numFmtId="10" fontId="12" fillId="3" borderId="2446" applyNumberFormat="0" applyFont="0" applyFill="0" applyBorder="0" applyAlignment="0">
      <protection locked="0"/>
    </xf>
    <xf numFmtId="254" fontId="240" fillId="0" borderId="2623" applyBorder="0" applyProtection="0">
      <alignment horizontal="right" vertical="center"/>
    </xf>
    <xf numFmtId="10" fontId="12" fillId="3" borderId="2446" applyNumberFormat="0" applyFont="0" applyFill="0" applyBorder="0" applyAlignment="0">
      <protection locked="0"/>
    </xf>
    <xf numFmtId="0" fontId="101" fillId="0" borderId="2514" applyBorder="0"/>
    <xf numFmtId="222" fontId="79" fillId="0" borderId="2513" applyBorder="0"/>
    <xf numFmtId="0" fontId="113" fillId="0" borderId="2514" applyNumberFormat="0" applyFill="0" applyAlignment="0" applyProtection="0"/>
    <xf numFmtId="0" fontId="75" fillId="0" borderId="2515" applyNumberFormat="0" applyFont="0" applyFill="0" applyAlignment="0" applyProtection="0"/>
    <xf numFmtId="0" fontId="12" fillId="0" borderId="2514" applyNumberFormat="0" applyFill="0" applyBorder="0" applyAlignment="0" applyProtection="0">
      <alignment horizontal="center"/>
    </xf>
    <xf numFmtId="248" fontId="46" fillId="0" borderId="2514"/>
    <xf numFmtId="192" fontId="9" fillId="3" borderId="2514">
      <alignment horizontal="right" vertical="center"/>
    </xf>
    <xf numFmtId="180" fontId="9" fillId="3" borderId="2514">
      <alignment horizontal="right" vertical="center"/>
    </xf>
    <xf numFmtId="186" fontId="146" fillId="3" borderId="2514" applyBorder="0">
      <alignment horizontal="left" vertical="center"/>
    </xf>
    <xf numFmtId="186" fontId="146" fillId="3" borderId="2517">
      <alignment horizontal="left"/>
    </xf>
    <xf numFmtId="186" fontId="140" fillId="3" borderId="2518">
      <alignment horizontal="center" vertical="center"/>
    </xf>
    <xf numFmtId="0" fontId="165" fillId="0" borderId="2514" applyFill="0" applyProtection="0">
      <alignment horizontal="center"/>
    </xf>
    <xf numFmtId="0" fontId="166" fillId="0" borderId="2514">
      <alignment horizontal="center"/>
    </xf>
    <xf numFmtId="264" fontId="12" fillId="14" borderId="2514" applyFont="0" applyFill="0" applyBorder="0" applyAlignment="0" applyProtection="0">
      <alignment horizontal="right"/>
    </xf>
    <xf numFmtId="0" fontId="210" fillId="0" borderId="2514" applyNumberFormat="0" applyFill="0" applyBorder="0" applyAlignment="0">
      <protection locked="0"/>
    </xf>
    <xf numFmtId="0" fontId="2" fillId="0" borderId="2519" applyNumberFormat="0" applyAlignment="0" applyProtection="0"/>
    <xf numFmtId="0" fontId="214" fillId="0" borderId="2520" applyNumberFormat="0" applyFont="0" applyFill="0" applyAlignment="0" applyProtection="0"/>
    <xf numFmtId="0" fontId="25" fillId="10" borderId="2521" applyNumberFormat="0" applyProtection="0">
      <alignment horizontal="left" vertical="top"/>
    </xf>
    <xf numFmtId="0" fontId="25" fillId="10" borderId="2522" applyNumberFormat="0" applyProtection="0">
      <alignment horizontal="left" vertical="top"/>
    </xf>
    <xf numFmtId="0" fontId="25" fillId="10" borderId="2523" applyNumberFormat="0" applyProtection="0">
      <alignment horizontal="left" vertical="top"/>
    </xf>
    <xf numFmtId="0" fontId="25" fillId="10" borderId="2524" applyNumberFormat="0" applyProtection="0">
      <alignment horizontal="left" vertical="top"/>
    </xf>
    <xf numFmtId="0" fontId="25" fillId="10" borderId="2521" applyNumberFormat="0" applyProtection="0">
      <alignment horizontal="left" vertical="top"/>
    </xf>
    <xf numFmtId="0" fontId="25" fillId="10" borderId="2522" applyNumberFormat="0" applyProtection="0">
      <alignment horizontal="left" vertical="top"/>
    </xf>
    <xf numFmtId="0" fontId="25" fillId="10" borderId="2523" applyNumberFormat="0" applyProtection="0">
      <alignment horizontal="left" vertical="top"/>
    </xf>
    <xf numFmtId="0" fontId="25" fillId="10" borderId="2524" applyNumberFormat="0" applyProtection="0">
      <alignment horizontal="left" vertical="top"/>
    </xf>
    <xf numFmtId="254" fontId="240" fillId="0" borderId="2514" applyBorder="0" applyProtection="0">
      <alignment horizontal="right" vertical="center"/>
    </xf>
    <xf numFmtId="0" fontId="241" fillId="94" borderId="2514" applyBorder="0" applyProtection="0">
      <alignment horizontal="centerContinuous" vertical="center"/>
    </xf>
    <xf numFmtId="246" fontId="249" fillId="0" borderId="2514" applyFill="0" applyProtection="0">
      <alignment horizontal="center"/>
    </xf>
    <xf numFmtId="246" fontId="250" fillId="0" borderId="2514" applyFill="0" applyProtection="0">
      <alignment horizontal="center"/>
    </xf>
    <xf numFmtId="0" fontId="165" fillId="0" borderId="2635" applyFill="0" applyProtection="0">
      <alignment horizontal="center"/>
    </xf>
    <xf numFmtId="10" fontId="12" fillId="3" borderId="2446" applyNumberFormat="0" applyFont="0" applyFill="0" applyBorder="0" applyAlignment="0">
      <protection locked="0"/>
    </xf>
    <xf numFmtId="0" fontId="166" fillId="0" borderId="2635">
      <alignment horizontal="center"/>
    </xf>
    <xf numFmtId="0" fontId="241" fillId="94" borderId="2695" applyBorder="0" applyProtection="0">
      <alignment horizontal="centerContinuous" vertical="center"/>
    </xf>
    <xf numFmtId="190" fontId="101" fillId="0" borderId="2514" applyBorder="0"/>
    <xf numFmtId="186" fontId="146" fillId="3" borderId="2695" applyBorder="0">
      <alignment horizontal="left" vertical="center"/>
    </xf>
    <xf numFmtId="192" fontId="9" fillId="3" borderId="2695">
      <alignment horizontal="right" vertical="center"/>
    </xf>
    <xf numFmtId="190" fontId="12" fillId="0" borderId="2433" applyNumberFormat="0" applyFill="0" applyBorder="0" applyAlignment="0" applyProtection="0"/>
    <xf numFmtId="190" fontId="46" fillId="0" borderId="2433" applyNumberFormat="0" applyFill="0" applyBorder="0" applyAlignment="0" applyProtection="0"/>
    <xf numFmtId="190" fontId="105" fillId="0" borderId="2433" applyNumberFormat="0" applyFill="0" applyBorder="0" applyAlignment="0" applyProtection="0"/>
    <xf numFmtId="190" fontId="48" fillId="0" borderId="2433" applyNumberFormat="0" applyFill="0" applyAlignment="0" applyProtection="0"/>
    <xf numFmtId="0" fontId="210" fillId="0" borderId="2695" applyNumberFormat="0" applyFill="0" applyBorder="0" applyAlignment="0">
      <protection locked="0"/>
    </xf>
    <xf numFmtId="246" fontId="249" fillId="0" borderId="2695" applyFill="0" applyProtection="0">
      <alignment horizontal="center"/>
    </xf>
    <xf numFmtId="190" fontId="113" fillId="0" borderId="2514" applyNumberFormat="0" applyFill="0" applyAlignment="0" applyProtection="0"/>
    <xf numFmtId="190" fontId="75" fillId="0" borderId="2491" applyNumberFormat="0" applyFont="0" applyFill="0" applyAlignment="0" applyProtection="0"/>
    <xf numFmtId="0" fontId="214" fillId="0" borderId="2701" applyNumberFormat="0" applyFont="0" applyFill="0" applyAlignment="0" applyProtection="0"/>
    <xf numFmtId="186" fontId="146" fillId="3" borderId="2698">
      <alignment horizontal="left"/>
    </xf>
    <xf numFmtId="0" fontId="241" fillId="94" borderId="2683" applyBorder="0" applyProtection="0">
      <alignment horizontal="centerContinuous" vertical="center"/>
    </xf>
    <xf numFmtId="0" fontId="166" fillId="0" borderId="2683">
      <alignment horizontal="center"/>
    </xf>
    <xf numFmtId="248" fontId="46" fillId="0" borderId="2683"/>
    <xf numFmtId="0" fontId="214" fillId="0" borderId="2677" applyNumberFormat="0" applyFont="0" applyFill="0" applyAlignment="0" applyProtection="0"/>
    <xf numFmtId="186" fontId="140" fillId="3" borderId="2675">
      <alignment horizontal="center" vertical="center"/>
    </xf>
    <xf numFmtId="190" fontId="12" fillId="0" borderId="2514" applyNumberFormat="0" applyFill="0" applyBorder="0" applyAlignment="0" applyProtection="0">
      <alignment horizontal="center"/>
    </xf>
    <xf numFmtId="0" fontId="78" fillId="14" borderId="2673" applyFont="0" applyFill="0" applyBorder="0" applyAlignment="0" applyProtection="0"/>
    <xf numFmtId="264" fontId="12" fillId="14" borderId="2659" applyFont="0" applyFill="0" applyBorder="0" applyAlignment="0" applyProtection="0">
      <alignment horizontal="right"/>
    </xf>
    <xf numFmtId="186" fontId="146" fillId="3" borderId="2659" applyBorder="0">
      <alignment horizontal="left" vertical="center"/>
    </xf>
    <xf numFmtId="248" fontId="46" fillId="0" borderId="2659"/>
    <xf numFmtId="222" fontId="79" fillId="0" borderId="2658" applyBorder="0"/>
    <xf numFmtId="0" fontId="75" fillId="0" borderId="2648" applyNumberFormat="0" applyFont="0" applyFill="0" applyAlignment="0" applyProtection="0"/>
    <xf numFmtId="0" fontId="2" fillId="0" borderId="2652" applyNumberFormat="0" applyAlignment="0" applyProtection="0"/>
    <xf numFmtId="0" fontId="25" fillId="10" borderId="2655" applyNumberFormat="0" applyProtection="0">
      <alignment horizontal="left" vertical="top"/>
    </xf>
    <xf numFmtId="0" fontId="78" fillId="14" borderId="2649" applyFont="0" applyFill="0" applyBorder="0" applyAlignment="0" applyProtection="0"/>
    <xf numFmtId="246" fontId="250" fillId="0" borderId="2635" applyFill="0" applyProtection="0">
      <alignment horizontal="center"/>
    </xf>
    <xf numFmtId="0" fontId="113" fillId="0" borderId="2623" applyNumberFormat="0" applyFill="0" applyAlignment="0" applyProtection="0"/>
    <xf numFmtId="0" fontId="25" fillId="10" borderId="2631" applyNumberFormat="0" applyProtection="0">
      <alignment horizontal="left" vertical="top"/>
    </xf>
    <xf numFmtId="0" fontId="2" fillId="0" borderId="2628" applyNumberFormat="0" applyAlignment="0" applyProtection="0"/>
    <xf numFmtId="190" fontId="78" fillId="14" borderId="2504" applyFont="0" applyFill="0" applyBorder="0" applyAlignment="0" applyProtection="0"/>
    <xf numFmtId="0" fontId="113" fillId="0" borderId="2635" applyNumberFormat="0" applyFill="0" applyAlignment="0" applyProtection="0"/>
    <xf numFmtId="246" fontId="249" fillId="0" borderId="2635" applyFill="0" applyProtection="0">
      <alignment horizontal="center"/>
    </xf>
    <xf numFmtId="190" fontId="74" fillId="0" borderId="2432" applyFont="0" applyFill="0" applyBorder="0" applyAlignment="0" applyProtection="0">
      <alignment horizontal="center"/>
    </xf>
    <xf numFmtId="190" fontId="48" fillId="0" borderId="2432" applyFont="0" applyFill="0" applyBorder="0" applyAlignment="0" applyProtection="0">
      <alignment horizontal="center"/>
    </xf>
    <xf numFmtId="0" fontId="25" fillId="10" borderId="2459" applyNumberFormat="0" applyProtection="0">
      <alignment horizontal="left" vertical="top"/>
    </xf>
    <xf numFmtId="186" fontId="140" fillId="3" borderId="2663">
      <alignment horizontal="center" vertical="center"/>
    </xf>
    <xf numFmtId="190" fontId="135" fillId="0" borderId="2434"/>
    <xf numFmtId="190" fontId="135" fillId="0" borderId="2434"/>
    <xf numFmtId="0" fontId="2" fillId="0" borderId="2664" applyNumberFormat="0" applyAlignment="0" applyProtection="0"/>
    <xf numFmtId="0" fontId="101" fillId="0" borderId="2671" applyBorder="0"/>
    <xf numFmtId="0" fontId="165" fillId="0" borderId="2671" applyFill="0" applyProtection="0">
      <alignment horizontal="center"/>
    </xf>
    <xf numFmtId="246" fontId="250" fillId="0" borderId="2647" applyFill="0" applyProtection="0">
      <alignment horizontal="center"/>
    </xf>
    <xf numFmtId="0" fontId="210" fillId="0" borderId="2647" applyNumberFormat="0" applyFill="0" applyBorder="0" applyAlignment="0">
      <protection locked="0"/>
    </xf>
    <xf numFmtId="246" fontId="250" fillId="0" borderId="2695" applyFill="0" applyProtection="0">
      <alignment horizontal="center"/>
    </xf>
    <xf numFmtId="186" fontId="146" fillId="3" borderId="2695" applyBorder="0">
      <alignment horizontal="left" vertical="center"/>
    </xf>
    <xf numFmtId="0" fontId="101" fillId="0" borderId="2695" applyBorder="0"/>
    <xf numFmtId="222" fontId="79" fillId="0" borderId="2682" applyBorder="0"/>
    <xf numFmtId="0" fontId="12" fillId="0" borderId="2695" applyNumberFormat="0" applyFill="0" applyBorder="0" applyAlignment="0" applyProtection="0">
      <alignment horizontal="center"/>
    </xf>
    <xf numFmtId="0" fontId="214" fillId="0" borderId="2629" applyNumberFormat="0" applyFont="0" applyFill="0" applyAlignment="0" applyProtection="0"/>
    <xf numFmtId="0" fontId="25" fillId="10" borderId="2632" applyNumberFormat="0" applyProtection="0">
      <alignment horizontal="left" vertical="top"/>
    </xf>
    <xf numFmtId="0" fontId="25" fillId="10" borderId="2632" applyNumberFormat="0" applyProtection="0">
      <alignment horizontal="left" vertical="top"/>
    </xf>
    <xf numFmtId="246" fontId="249" fillId="0" borderId="2695" applyFill="0" applyProtection="0">
      <alignment horizontal="center"/>
    </xf>
    <xf numFmtId="0" fontId="113" fillId="0" borderId="2695" applyNumberFormat="0" applyFill="0" applyAlignment="0" applyProtection="0"/>
    <xf numFmtId="190" fontId="159" fillId="0" borderId="2434"/>
    <xf numFmtId="190" fontId="159" fillId="67" borderId="2434"/>
    <xf numFmtId="190" fontId="165" fillId="0" borderId="2514" applyFill="0" applyProtection="0">
      <alignment horizontal="center"/>
    </xf>
    <xf numFmtId="190" fontId="166" fillId="0" borderId="2514">
      <alignment horizontal="center"/>
    </xf>
    <xf numFmtId="246" fontId="249" fillId="0" borderId="2623" applyFill="0" applyProtection="0">
      <alignment horizontal="center"/>
    </xf>
    <xf numFmtId="0" fontId="166" fillId="0" borderId="2623">
      <alignment horizontal="center"/>
    </xf>
    <xf numFmtId="0" fontId="12" fillId="0" borderId="2623" applyNumberFormat="0" applyFill="0" applyBorder="0" applyAlignment="0" applyProtection="0">
      <alignment horizontal="center"/>
    </xf>
    <xf numFmtId="0" fontId="101" fillId="0" borderId="2623" applyBorder="0"/>
    <xf numFmtId="0" fontId="74" fillId="0" borderId="4728" applyFont="0" applyFill="0" applyBorder="0" applyAlignment="0" applyProtection="0">
      <alignment horizontal="center"/>
    </xf>
    <xf numFmtId="190" fontId="25" fillId="69" borderId="2434">
      <alignment horizontal="left" vertical="center" wrapText="1"/>
    </xf>
    <xf numFmtId="190" fontId="184" fillId="0" borderId="2435" applyAlignment="0">
      <alignment horizontal="left" wrapText="1"/>
    </xf>
    <xf numFmtId="190" fontId="210" fillId="0" borderId="2514" applyNumberFormat="0" applyFill="0" applyBorder="0" applyAlignment="0">
      <protection locked="0"/>
    </xf>
    <xf numFmtId="190" fontId="2" fillId="0" borderId="2495" applyNumberFormat="0" applyAlignment="0" applyProtection="0"/>
    <xf numFmtId="190" fontId="214" fillId="0" borderId="2496" applyNumberFormat="0" applyFont="0" applyFill="0" applyAlignment="0" applyProtection="0"/>
    <xf numFmtId="190" fontId="225" fillId="53" borderId="2436" applyNumberFormat="0" applyProtection="0">
      <alignment horizontal="left" vertical="top" indent="1"/>
    </xf>
    <xf numFmtId="190" fontId="12" fillId="75" borderId="2436" applyNumberFormat="0" applyProtection="0">
      <alignment horizontal="left" vertical="center" indent="1"/>
    </xf>
    <xf numFmtId="190" fontId="12" fillId="75" borderId="2436" applyNumberFormat="0" applyProtection="0">
      <alignment horizontal="left" vertical="top" indent="1"/>
    </xf>
    <xf numFmtId="190" fontId="12" fillId="84" borderId="2436" applyNumberFormat="0" applyProtection="0">
      <alignment horizontal="left" vertical="center" indent="1"/>
    </xf>
    <xf numFmtId="190" fontId="12" fillId="84" borderId="2436" applyNumberFormat="0" applyProtection="0">
      <alignment horizontal="left" vertical="top" indent="1"/>
    </xf>
    <xf numFmtId="190" fontId="12" fillId="52" borderId="2436" applyNumberFormat="0" applyProtection="0">
      <alignment horizontal="left" vertical="center" indent="1"/>
    </xf>
    <xf numFmtId="190" fontId="12" fillId="52" borderId="2436" applyNumberFormat="0" applyProtection="0">
      <alignment horizontal="left" vertical="top" indent="1"/>
    </xf>
    <xf numFmtId="190" fontId="12" fillId="11" borderId="2436" applyNumberFormat="0" applyProtection="0">
      <alignment horizontal="left" vertical="center" indent="1"/>
    </xf>
    <xf numFmtId="190" fontId="12" fillId="11" borderId="2436" applyNumberFormat="0" applyProtection="0">
      <alignment horizontal="left" vertical="top" indent="1"/>
    </xf>
    <xf numFmtId="190" fontId="136" fillId="14" borderId="2436" applyNumberFormat="0" applyProtection="0">
      <alignment horizontal="left" vertical="top" indent="1"/>
    </xf>
    <xf numFmtId="190" fontId="136" fillId="84" borderId="2436" applyNumberFormat="0" applyProtection="0">
      <alignment horizontal="left" vertical="top" indent="1"/>
    </xf>
    <xf numFmtId="0" fontId="25" fillId="10" borderId="4725" applyNumberFormat="0" applyProtection="0">
      <alignment horizontal="left" vertical="top"/>
    </xf>
    <xf numFmtId="190" fontId="25" fillId="10" borderId="2434" applyNumberFormat="0" applyProtection="0">
      <alignment horizontal="center" vertical="top"/>
    </xf>
    <xf numFmtId="190" fontId="25" fillId="10" borderId="2434" applyNumberFormat="0" applyProtection="0">
      <alignment horizontal="center" vertical="top"/>
    </xf>
    <xf numFmtId="190" fontId="12" fillId="3" borderId="2434" applyNumberFormat="0" applyFont="0" applyAlignment="0" applyProtection="0"/>
    <xf numFmtId="190" fontId="12" fillId="10" borderId="2434" applyNumberFormat="0" applyFont="0" applyAlignment="0" applyProtection="0"/>
    <xf numFmtId="190" fontId="12" fillId="10" borderId="2434" applyNumberFormat="0" applyFont="0" applyProtection="0"/>
    <xf numFmtId="190" fontId="25" fillId="10" borderId="2439" applyNumberFormat="0" applyProtection="0">
      <alignment horizontal="left"/>
    </xf>
    <xf numFmtId="190" fontId="25" fillId="10" borderId="2440" applyNumberFormat="0" applyProtection="0">
      <alignment horizontal="left" vertical="top"/>
    </xf>
    <xf numFmtId="190" fontId="25" fillId="10" borderId="2441" applyNumberFormat="0" applyProtection="0">
      <alignment horizontal="left" vertical="top"/>
    </xf>
    <xf numFmtId="190" fontId="25" fillId="10" borderId="2497" applyNumberFormat="0" applyProtection="0">
      <alignment horizontal="left" vertical="top"/>
    </xf>
    <xf numFmtId="190" fontId="25" fillId="10" borderId="2498" applyNumberFormat="0" applyProtection="0">
      <alignment horizontal="left" vertical="top"/>
    </xf>
    <xf numFmtId="190" fontId="25" fillId="10" borderId="2442" applyNumberFormat="0" applyProtection="0">
      <alignment horizontal="left" vertical="top"/>
    </xf>
    <xf numFmtId="190" fontId="25" fillId="10" borderId="2499" applyNumberFormat="0" applyProtection="0">
      <alignment horizontal="left" vertical="top"/>
    </xf>
    <xf numFmtId="190" fontId="25" fillId="10" borderId="2443" applyNumberFormat="0" applyProtection="0">
      <alignment horizontal="left" vertical="top"/>
    </xf>
    <xf numFmtId="190" fontId="25" fillId="10" borderId="2500" applyNumberFormat="0" applyProtection="0">
      <alignment horizontal="left" vertical="top"/>
    </xf>
    <xf numFmtId="190" fontId="25" fillId="10" borderId="2444" applyNumberFormat="0" applyProtection="0">
      <alignment horizontal="left" vertical="top"/>
    </xf>
    <xf numFmtId="190" fontId="25" fillId="10" borderId="2445" applyNumberFormat="0" applyProtection="0">
      <alignment horizontal="left" vertical="top"/>
    </xf>
    <xf numFmtId="190" fontId="12" fillId="0" borderId="2433" applyNumberFormat="0" applyFill="0" applyBorder="0" applyAlignment="0" applyProtection="0"/>
    <xf numFmtId="190" fontId="241" fillId="94" borderId="2514" applyBorder="0" applyProtection="0">
      <alignment horizontal="centerContinuous" vertical="center"/>
    </xf>
    <xf numFmtId="10" fontId="12" fillId="3" borderId="2446" applyNumberFormat="0" applyFont="0" applyFill="0" applyBorder="0" applyAlignment="0">
      <protection locked="0"/>
    </xf>
    <xf numFmtId="190" fontId="12" fillId="0" borderId="2433" applyNumberFormat="0" applyFill="0" applyBorder="0" applyAlignment="0" applyProtection="0"/>
    <xf numFmtId="190" fontId="12" fillId="0" borderId="2433" applyNumberFormat="0" applyFill="0" applyBorder="0" applyAlignment="0" applyProtection="0"/>
    <xf numFmtId="190" fontId="12" fillId="0" borderId="2433" applyNumberFormat="0" applyFill="0" applyBorder="0" applyAlignment="0" applyProtection="0"/>
    <xf numFmtId="0" fontId="165" fillId="0" borderId="2623" applyFill="0" applyProtection="0">
      <alignment horizontal="center"/>
    </xf>
    <xf numFmtId="222" fontId="79" fillId="0" borderId="2513" applyBorder="0"/>
    <xf numFmtId="10" fontId="12" fillId="3" borderId="2446" applyNumberFormat="0" applyFont="0" applyFill="0" applyBorder="0" applyAlignment="0">
      <protection locked="0"/>
    </xf>
    <xf numFmtId="0" fontId="101" fillId="0" borderId="2514" applyBorder="0"/>
    <xf numFmtId="222" fontId="79" fillId="0" borderId="2513" applyBorder="0"/>
    <xf numFmtId="0" fontId="113" fillId="0" borderId="2514" applyNumberFormat="0" applyFill="0" applyAlignment="0" applyProtection="0"/>
    <xf numFmtId="0" fontId="75" fillId="0" borderId="2491" applyNumberFormat="0" applyFont="0" applyFill="0" applyAlignment="0" applyProtection="0"/>
    <xf numFmtId="0" fontId="12" fillId="0" borderId="2514" applyNumberFormat="0" applyFill="0" applyBorder="0" applyAlignment="0" applyProtection="0">
      <alignment horizontal="center"/>
    </xf>
    <xf numFmtId="248" fontId="46" fillId="0" borderId="2514"/>
    <xf numFmtId="192" fontId="9" fillId="3" borderId="2514">
      <alignment horizontal="right" vertical="center"/>
    </xf>
    <xf numFmtId="180" fontId="9" fillId="3" borderId="2514">
      <alignment horizontal="right" vertical="center"/>
    </xf>
    <xf numFmtId="186" fontId="146" fillId="3" borderId="2514" applyBorder="0">
      <alignment horizontal="left" vertical="center"/>
    </xf>
    <xf numFmtId="186" fontId="146" fillId="3" borderId="2493">
      <alignment horizontal="left"/>
    </xf>
    <xf numFmtId="186" fontId="140" fillId="3" borderId="2494">
      <alignment horizontal="center" vertical="center"/>
    </xf>
    <xf numFmtId="0" fontId="165" fillId="0" borderId="2514" applyFill="0" applyProtection="0">
      <alignment horizontal="center"/>
    </xf>
    <xf numFmtId="0" fontId="166" fillId="0" borderId="2514">
      <alignment horizontal="center"/>
    </xf>
    <xf numFmtId="264" fontId="12" fillId="14" borderId="2514" applyFont="0" applyFill="0" applyBorder="0" applyAlignment="0" applyProtection="0">
      <alignment horizontal="right"/>
    </xf>
    <xf numFmtId="0" fontId="210" fillId="0" borderId="2514" applyNumberFormat="0" applyFill="0" applyBorder="0" applyAlignment="0">
      <protection locked="0"/>
    </xf>
    <xf numFmtId="0" fontId="2" fillId="0" borderId="2495" applyNumberFormat="0" applyAlignment="0" applyProtection="0"/>
    <xf numFmtId="0" fontId="214" fillId="0" borderId="2496" applyNumberFormat="0" applyFont="0" applyFill="0" applyAlignment="0" applyProtection="0"/>
    <xf numFmtId="0" fontId="25" fillId="10" borderId="2497" applyNumberFormat="0" applyProtection="0">
      <alignment horizontal="left" vertical="top"/>
    </xf>
    <xf numFmtId="0" fontId="25" fillId="10" borderId="2498" applyNumberFormat="0" applyProtection="0">
      <alignment horizontal="left" vertical="top"/>
    </xf>
    <xf numFmtId="0" fontId="25" fillId="10" borderId="2499" applyNumberFormat="0" applyProtection="0">
      <alignment horizontal="left" vertical="top"/>
    </xf>
    <xf numFmtId="0" fontId="25" fillId="10" borderId="2500" applyNumberFormat="0" applyProtection="0">
      <alignment horizontal="left" vertical="top"/>
    </xf>
    <xf numFmtId="0" fontId="25" fillId="10" borderId="2497" applyNumberFormat="0" applyProtection="0">
      <alignment horizontal="left" vertical="top"/>
    </xf>
    <xf numFmtId="0" fontId="25" fillId="10" borderId="2498" applyNumberFormat="0" applyProtection="0">
      <alignment horizontal="left" vertical="top"/>
    </xf>
    <xf numFmtId="0" fontId="25" fillId="10" borderId="2499" applyNumberFormat="0" applyProtection="0">
      <alignment horizontal="left" vertical="top"/>
    </xf>
    <xf numFmtId="0" fontId="25" fillId="10" borderId="2500" applyNumberFormat="0" applyProtection="0">
      <alignment horizontal="left" vertical="top"/>
    </xf>
    <xf numFmtId="254" fontId="240" fillId="0" borderId="2514" applyBorder="0" applyProtection="0">
      <alignment horizontal="right" vertical="center"/>
    </xf>
    <xf numFmtId="0" fontId="241" fillId="94" borderId="2514" applyBorder="0" applyProtection="0">
      <alignment horizontal="centerContinuous" vertical="center"/>
    </xf>
    <xf numFmtId="246" fontId="249" fillId="0" borderId="2514" applyFill="0" applyProtection="0">
      <alignment horizontal="center"/>
    </xf>
    <xf numFmtId="246" fontId="250" fillId="0" borderId="2514" applyFill="0" applyProtection="0">
      <alignment horizontal="center"/>
    </xf>
    <xf numFmtId="264" fontId="12" fillId="14" borderId="2635" applyFont="0" applyFill="0" applyBorder="0" applyAlignment="0" applyProtection="0">
      <alignment horizontal="right"/>
    </xf>
    <xf numFmtId="0" fontId="241" fillId="94" borderId="2514" applyBorder="0" applyProtection="0">
      <alignment horizontal="centerContinuous" vertical="center"/>
    </xf>
    <xf numFmtId="0" fontId="210" fillId="0" borderId="2635" applyNumberFormat="0" applyFill="0" applyBorder="0" applyAlignment="0">
      <protection locked="0"/>
    </xf>
    <xf numFmtId="10" fontId="12" fillId="3" borderId="2446" applyNumberFormat="0" applyFont="0" applyFill="0" applyBorder="0" applyAlignment="0">
      <protection locked="0"/>
    </xf>
    <xf numFmtId="0" fontId="166" fillId="0" borderId="2695">
      <alignment horizontal="center"/>
    </xf>
    <xf numFmtId="10" fontId="12" fillId="3" borderId="2446" applyNumberFormat="0" applyFont="0" applyFill="0" applyBorder="0" applyAlignment="0">
      <protection locked="0"/>
    </xf>
    <xf numFmtId="190" fontId="214" fillId="0" borderId="2677" applyNumberFormat="0" applyFont="0" applyFill="0" applyAlignment="0" applyProtection="0"/>
    <xf numFmtId="190" fontId="78" fillId="14" borderId="2685" applyFont="0" applyFill="0" applyBorder="0" applyAlignment="0" applyProtection="0"/>
    <xf numFmtId="190" fontId="101" fillId="0" borderId="2695" applyBorder="0"/>
    <xf numFmtId="254" fontId="240" fillId="0" borderId="2695" applyBorder="0" applyProtection="0">
      <alignment horizontal="right" vertical="center"/>
    </xf>
    <xf numFmtId="312" fontId="101" fillId="0" borderId="2514" applyBorder="0"/>
    <xf numFmtId="0" fontId="113" fillId="0" borderId="2695" applyNumberFormat="0" applyFill="0" applyAlignment="0" applyProtection="0"/>
    <xf numFmtId="180" fontId="9" fillId="3" borderId="2695">
      <alignment horizontal="right" vertical="center"/>
    </xf>
    <xf numFmtId="312" fontId="12" fillId="0" borderId="2433" applyNumberFormat="0" applyFill="0" applyBorder="0" applyAlignment="0" applyProtection="0"/>
    <xf numFmtId="312" fontId="46" fillId="0" borderId="2433" applyNumberFormat="0" applyFill="0" applyBorder="0" applyAlignment="0" applyProtection="0"/>
    <xf numFmtId="312" fontId="105" fillId="0" borderId="2433" applyNumberFormat="0" applyFill="0" applyBorder="0" applyAlignment="0" applyProtection="0"/>
    <xf numFmtId="312" fontId="48" fillId="0" borderId="2433" applyNumberFormat="0" applyFill="0" applyAlignment="0" applyProtection="0"/>
    <xf numFmtId="0" fontId="165" fillId="0" borderId="2695" applyFill="0" applyProtection="0">
      <alignment horizontal="center"/>
    </xf>
    <xf numFmtId="246" fontId="250" fillId="0" borderId="2695" applyFill="0" applyProtection="0">
      <alignment horizontal="center"/>
    </xf>
    <xf numFmtId="312" fontId="113" fillId="0" borderId="2514" applyNumberFormat="0" applyFill="0" applyAlignment="0" applyProtection="0"/>
    <xf numFmtId="312" fontId="75" fillId="0" borderId="2491" applyNumberFormat="0" applyFont="0" applyFill="0" applyAlignment="0" applyProtection="0"/>
    <xf numFmtId="0" fontId="2" fillId="0" borderId="2700" applyNumberFormat="0" applyAlignment="0" applyProtection="0"/>
    <xf numFmtId="0" fontId="78" fillId="14" borderId="2697" applyFont="0" applyFill="0" applyBorder="0" applyAlignment="0" applyProtection="0"/>
    <xf numFmtId="246" fontId="250" fillId="0" borderId="2683" applyFill="0" applyProtection="0">
      <alignment horizontal="center"/>
    </xf>
    <xf numFmtId="254" fontId="240" fillId="0" borderId="2683" applyBorder="0" applyProtection="0">
      <alignment horizontal="right" vertical="center"/>
    </xf>
    <xf numFmtId="0" fontId="165" fillId="0" borderId="2683" applyFill="0" applyProtection="0">
      <alignment horizontal="center"/>
    </xf>
    <xf numFmtId="0" fontId="12" fillId="0" borderId="2683" applyNumberFormat="0" applyFill="0" applyBorder="0" applyAlignment="0" applyProtection="0">
      <alignment horizontal="center"/>
    </xf>
    <xf numFmtId="0" fontId="25" fillId="10" borderId="2678" applyNumberFormat="0" applyProtection="0">
      <alignment horizontal="left" vertical="top"/>
    </xf>
    <xf numFmtId="0" fontId="2" fillId="0" borderId="2676" applyNumberFormat="0" applyAlignment="0" applyProtection="0"/>
    <xf numFmtId="312" fontId="12" fillId="0" borderId="2514" applyNumberFormat="0" applyFill="0" applyBorder="0" applyAlignment="0" applyProtection="0">
      <alignment horizontal="center"/>
    </xf>
    <xf numFmtId="222" fontId="79" fillId="0" borderId="2670" applyBorder="0"/>
    <xf numFmtId="0" fontId="166" fillId="0" borderId="2659">
      <alignment horizontal="center"/>
    </xf>
    <xf numFmtId="180" fontId="9" fillId="3" borderId="2659">
      <alignment horizontal="right" vertical="center"/>
    </xf>
    <xf numFmtId="0" fontId="12" fillId="0" borderId="2659" applyNumberFormat="0" applyFill="0" applyBorder="0" applyAlignment="0" applyProtection="0">
      <alignment horizontal="center"/>
    </xf>
    <xf numFmtId="0" fontId="101" fillId="0" borderId="2659" applyBorder="0"/>
    <xf numFmtId="186" fontId="146" fillId="3" borderId="2650">
      <alignment horizontal="left"/>
    </xf>
    <xf numFmtId="0" fontId="214" fillId="0" borderId="2653" applyNumberFormat="0" applyFont="0" applyFill="0" applyAlignment="0" applyProtection="0"/>
    <xf numFmtId="0" fontId="25" fillId="10" borderId="2656" applyNumberFormat="0" applyProtection="0">
      <alignment horizontal="left" vertical="top"/>
    </xf>
    <xf numFmtId="222" fontId="79" fillId="0" borderId="2646" applyBorder="0"/>
    <xf numFmtId="246" fontId="249" fillId="0" borderId="2635" applyFill="0" applyProtection="0">
      <alignment horizontal="center"/>
    </xf>
    <xf numFmtId="222" fontId="79" fillId="0" borderId="2513" applyBorder="0"/>
    <xf numFmtId="0" fontId="78" fillId="14" borderId="2625" applyFont="0" applyFill="0" applyBorder="0" applyAlignment="0" applyProtection="0"/>
    <xf numFmtId="0" fontId="25" fillId="10" borderId="2633" applyNumberFormat="0" applyProtection="0">
      <alignment horizontal="left" vertical="top"/>
    </xf>
    <xf numFmtId="0" fontId="25" fillId="10" borderId="2630" applyNumberFormat="0" applyProtection="0">
      <alignment horizontal="left" vertical="top"/>
    </xf>
    <xf numFmtId="186" fontId="140" fillId="3" borderId="2627">
      <alignment horizontal="center" vertical="center"/>
    </xf>
    <xf numFmtId="222" fontId="79" fillId="0" borderId="2634" applyBorder="0"/>
    <xf numFmtId="312" fontId="78" fillId="14" borderId="2411" applyFont="0" applyFill="0" applyBorder="0" applyAlignment="0" applyProtection="0"/>
    <xf numFmtId="0" fontId="12" fillId="0" borderId="2635" applyNumberFormat="0" applyFill="0" applyBorder="0" applyAlignment="0" applyProtection="0">
      <alignment horizontal="center"/>
    </xf>
    <xf numFmtId="246" fontId="250" fillId="0" borderId="2635" applyFill="0" applyProtection="0">
      <alignment horizontal="center"/>
    </xf>
    <xf numFmtId="312" fontId="74" fillId="0" borderId="2432" applyFont="0" applyFill="0" applyBorder="0" applyAlignment="0" applyProtection="0">
      <alignment horizontal="center"/>
    </xf>
    <xf numFmtId="312" fontId="48" fillId="0" borderId="2432" applyFont="0" applyFill="0" applyBorder="0" applyAlignment="0" applyProtection="0">
      <alignment horizontal="center"/>
    </xf>
    <xf numFmtId="222" fontId="79" fillId="0" borderId="2513" applyBorder="0"/>
    <xf numFmtId="0" fontId="75" fillId="0" borderId="2684" applyNumberFormat="0" applyFont="0" applyFill="0" applyAlignment="0" applyProtection="0"/>
    <xf numFmtId="0" fontId="25" fillId="10" borderId="2475" applyNumberFormat="0" applyProtection="0">
      <alignment horizontal="left" vertical="top"/>
    </xf>
    <xf numFmtId="248" fontId="46" fillId="0" borderId="4810"/>
    <xf numFmtId="222" fontId="79" fillId="0" borderId="2670" applyBorder="0"/>
    <xf numFmtId="312" fontId="135" fillId="0" borderId="2434"/>
    <xf numFmtId="312" fontId="135" fillId="0" borderId="2434"/>
    <xf numFmtId="0" fontId="75" fillId="0" borderId="2660" applyNumberFormat="0" applyFont="0" applyFill="0" applyAlignment="0" applyProtection="0"/>
    <xf numFmtId="0" fontId="12" fillId="0" borderId="2671" applyNumberFormat="0" applyFill="0" applyBorder="0" applyAlignment="0" applyProtection="0">
      <alignment horizontal="center"/>
    </xf>
    <xf numFmtId="264" fontId="12" fillId="14" borderId="2671" applyFont="0" applyFill="0" applyBorder="0" applyAlignment="0" applyProtection="0">
      <alignment horizontal="right"/>
    </xf>
    <xf numFmtId="246" fontId="249" fillId="0" borderId="2647" applyFill="0" applyProtection="0">
      <alignment horizontal="center"/>
    </xf>
    <xf numFmtId="0" fontId="166" fillId="0" borderId="2647">
      <alignment horizontal="center"/>
    </xf>
    <xf numFmtId="254" fontId="240" fillId="0" borderId="2695" applyBorder="0" applyProtection="0">
      <alignment horizontal="right" vertical="center"/>
    </xf>
    <xf numFmtId="180" fontId="9" fillId="3" borderId="2695">
      <alignment horizontal="right" vertical="center"/>
    </xf>
    <xf numFmtId="222" fontId="79" fillId="0" borderId="2694" applyBorder="0"/>
    <xf numFmtId="0" fontId="25" fillId="10" borderId="2630" applyNumberFormat="0" applyProtection="0">
      <alignment horizontal="left" vertical="top"/>
    </xf>
    <xf numFmtId="186" fontId="140" fillId="3" borderId="2627">
      <alignment horizontal="center" vertical="center"/>
    </xf>
    <xf numFmtId="0" fontId="25" fillId="10" borderId="2630" applyNumberFormat="0" applyProtection="0">
      <alignment horizontal="left" vertical="top"/>
    </xf>
    <xf numFmtId="0" fontId="25" fillId="10" borderId="2633" applyNumberFormat="0" applyProtection="0">
      <alignment horizontal="left" vertical="top"/>
    </xf>
    <xf numFmtId="0" fontId="25" fillId="10" borderId="2631" applyNumberFormat="0" applyProtection="0">
      <alignment horizontal="left" vertical="top"/>
    </xf>
    <xf numFmtId="264" fontId="12" fillId="14" borderId="2695" applyFont="0" applyFill="0" applyBorder="0" applyAlignment="0" applyProtection="0">
      <alignment horizontal="right"/>
    </xf>
    <xf numFmtId="312" fontId="159" fillId="0" borderId="2434"/>
    <xf numFmtId="312" fontId="159" fillId="67" borderId="2434"/>
    <xf numFmtId="312" fontId="165" fillId="0" borderId="2514" applyFill="0" applyProtection="0">
      <alignment horizontal="center"/>
    </xf>
    <xf numFmtId="312" fontId="242" fillId="0" borderId="2514">
      <alignment horizontal="center"/>
    </xf>
    <xf numFmtId="0" fontId="241" fillId="94" borderId="2623" applyBorder="0" applyProtection="0">
      <alignment horizontal="centerContinuous" vertical="center"/>
    </xf>
    <xf numFmtId="0" fontId="165" fillId="0" borderId="2623" applyFill="0" applyProtection="0">
      <alignment horizontal="center"/>
    </xf>
    <xf numFmtId="0" fontId="113" fillId="0" borderId="2623" applyNumberFormat="0" applyFill="0" applyAlignment="0" applyProtection="0"/>
    <xf numFmtId="0" fontId="12" fillId="10" borderId="4730" applyNumberFormat="0" applyFont="0" applyAlignment="0" applyProtection="0"/>
    <xf numFmtId="312" fontId="25" fillId="69" borderId="2434">
      <alignment horizontal="left" vertical="center" wrapText="1"/>
    </xf>
    <xf numFmtId="312" fontId="184" fillId="0" borderId="2435" applyAlignment="0">
      <alignment horizontal="left" wrapText="1"/>
    </xf>
    <xf numFmtId="0" fontId="25" fillId="10" borderId="2475" applyNumberFormat="0" applyProtection="0">
      <alignment horizontal="left" vertical="top"/>
    </xf>
    <xf numFmtId="312" fontId="210" fillId="0" borderId="2514" applyNumberFormat="0" applyFill="0" applyBorder="0" applyAlignment="0">
      <protection locked="0"/>
    </xf>
    <xf numFmtId="312" fontId="2" fillId="0" borderId="2495" applyNumberFormat="0" applyAlignment="0" applyProtection="0"/>
    <xf numFmtId="312" fontId="214" fillId="0" borderId="2496" applyNumberFormat="0" applyFont="0" applyFill="0" applyAlignment="0" applyProtection="0"/>
    <xf numFmtId="312" fontId="225" fillId="53" borderId="2436" applyNumberFormat="0" applyProtection="0">
      <alignment horizontal="left" vertical="top" indent="1"/>
    </xf>
    <xf numFmtId="312" fontId="12" fillId="75" borderId="2436" applyNumberFormat="0" applyProtection="0">
      <alignment horizontal="left" vertical="center" indent="1"/>
    </xf>
    <xf numFmtId="312" fontId="12" fillId="75" borderId="2436" applyNumberFormat="0" applyProtection="0">
      <alignment horizontal="left" vertical="top" indent="1"/>
    </xf>
    <xf numFmtId="312" fontId="12" fillId="84" borderId="2436" applyNumberFormat="0" applyProtection="0">
      <alignment horizontal="left" vertical="center" indent="1"/>
    </xf>
    <xf numFmtId="312" fontId="12" fillId="84" borderId="2436" applyNumberFormat="0" applyProtection="0">
      <alignment horizontal="left" vertical="top" indent="1"/>
    </xf>
    <xf numFmtId="312" fontId="12" fillId="52" borderId="2436" applyNumberFormat="0" applyProtection="0">
      <alignment horizontal="left" vertical="center" indent="1"/>
    </xf>
    <xf numFmtId="312" fontId="12" fillId="52" borderId="2436" applyNumberFormat="0" applyProtection="0">
      <alignment horizontal="left" vertical="top" indent="1"/>
    </xf>
    <xf numFmtId="312" fontId="12" fillId="11" borderId="2436" applyNumberFormat="0" applyProtection="0">
      <alignment horizontal="left" vertical="center" indent="1"/>
    </xf>
    <xf numFmtId="312" fontId="12" fillId="11" borderId="2436" applyNumberFormat="0" applyProtection="0">
      <alignment horizontal="left" vertical="top" indent="1"/>
    </xf>
    <xf numFmtId="312" fontId="136" fillId="14" borderId="2436" applyNumberFormat="0" applyProtection="0">
      <alignment horizontal="left" vertical="top" indent="1"/>
    </xf>
    <xf numFmtId="312" fontId="136" fillId="84" borderId="2436" applyNumberFormat="0" applyProtection="0">
      <alignment horizontal="left" vertical="top" indent="1"/>
    </xf>
    <xf numFmtId="312" fontId="25" fillId="10" borderId="2434" applyNumberFormat="0" applyProtection="0">
      <alignment horizontal="center" vertical="top"/>
    </xf>
    <xf numFmtId="312" fontId="25" fillId="10" borderId="2434" applyNumberFormat="0" applyProtection="0">
      <alignment horizontal="center" vertical="top"/>
    </xf>
    <xf numFmtId="312" fontId="12" fillId="3" borderId="2434" applyNumberFormat="0" applyFont="0" applyAlignment="0" applyProtection="0"/>
    <xf numFmtId="312" fontId="12" fillId="10" borderId="2434" applyNumberFormat="0" applyFont="0" applyAlignment="0" applyProtection="0"/>
    <xf numFmtId="312" fontId="12" fillId="10" borderId="2434" applyNumberFormat="0" applyFont="0" applyProtection="0"/>
    <xf numFmtId="312" fontId="25" fillId="10" borderId="2439" applyNumberFormat="0" applyProtection="0">
      <alignment horizontal="left"/>
    </xf>
    <xf numFmtId="312" fontId="25" fillId="10" borderId="2440" applyNumberFormat="0" applyProtection="0">
      <alignment horizontal="left" vertical="top"/>
    </xf>
    <xf numFmtId="312" fontId="25" fillId="10" borderId="2441" applyNumberFormat="0" applyProtection="0">
      <alignment horizontal="left" vertical="top"/>
    </xf>
    <xf numFmtId="312" fontId="25" fillId="10" borderId="2497" applyNumberFormat="0" applyProtection="0">
      <alignment horizontal="left" vertical="top"/>
    </xf>
    <xf numFmtId="312" fontId="25" fillId="10" borderId="2498" applyNumberFormat="0" applyProtection="0">
      <alignment horizontal="left" vertical="top"/>
    </xf>
    <xf numFmtId="312" fontId="25" fillId="10" borderId="2442" applyNumberFormat="0" applyProtection="0">
      <alignment horizontal="left" vertical="top"/>
    </xf>
    <xf numFmtId="312" fontId="25" fillId="10" borderId="2499" applyNumberFormat="0" applyProtection="0">
      <alignment horizontal="left" vertical="top"/>
    </xf>
    <xf numFmtId="312" fontId="25" fillId="10" borderId="2443" applyNumberFormat="0" applyProtection="0">
      <alignment horizontal="left" vertical="top"/>
    </xf>
    <xf numFmtId="312" fontId="25" fillId="10" borderId="2500" applyNumberFormat="0" applyProtection="0">
      <alignment horizontal="left" vertical="top"/>
    </xf>
    <xf numFmtId="312" fontId="25" fillId="10" borderId="2444" applyNumberFormat="0" applyProtection="0">
      <alignment horizontal="left" vertical="top"/>
    </xf>
    <xf numFmtId="312" fontId="25" fillId="10" borderId="2445" applyNumberFormat="0" applyProtection="0">
      <alignment horizontal="left" vertical="top"/>
    </xf>
    <xf numFmtId="312" fontId="12" fillId="0" borderId="2433" applyNumberFormat="0" applyFill="0" applyBorder="0" applyAlignment="0" applyProtection="0"/>
    <xf numFmtId="312" fontId="241" fillId="94" borderId="2514" applyBorder="0" applyProtection="0">
      <alignment horizontal="centerContinuous" vertical="center"/>
    </xf>
    <xf numFmtId="246" fontId="296" fillId="0" borderId="2514" applyFill="0" applyProtection="0">
      <alignment horizontal="center"/>
    </xf>
    <xf numFmtId="10" fontId="12" fillId="3" borderId="2446" applyNumberFormat="0" applyFont="0" applyFill="0" applyBorder="0" applyAlignment="0">
      <protection locked="0"/>
    </xf>
    <xf numFmtId="312" fontId="12" fillId="0" borderId="2433" applyNumberFormat="0" applyFill="0" applyBorder="0" applyAlignment="0" applyProtection="0"/>
    <xf numFmtId="312" fontId="12" fillId="0" borderId="2433" applyNumberFormat="0" applyFill="0" applyBorder="0" applyAlignment="0" applyProtection="0"/>
    <xf numFmtId="312" fontId="12" fillId="0" borderId="2433" applyNumberFormat="0" applyFill="0" applyBorder="0" applyAlignment="0" applyProtection="0"/>
    <xf numFmtId="312" fontId="101" fillId="0" borderId="2514" applyBorder="0"/>
    <xf numFmtId="312" fontId="113" fillId="0" borderId="2514" applyNumberFormat="0" applyFill="0" applyAlignment="0" applyProtection="0"/>
    <xf numFmtId="312" fontId="75" fillId="0" borderId="2491" applyNumberFormat="0" applyFont="0" applyFill="0" applyAlignment="0" applyProtection="0"/>
    <xf numFmtId="312" fontId="12" fillId="0" borderId="2514" applyNumberFormat="0" applyFill="0" applyBorder="0" applyAlignment="0" applyProtection="0">
      <alignment horizontal="center"/>
    </xf>
    <xf numFmtId="312" fontId="78" fillId="14" borderId="2411" applyFont="0" applyFill="0" applyBorder="0" applyAlignment="0" applyProtection="0"/>
    <xf numFmtId="0" fontId="113" fillId="0" borderId="2671" applyNumberFormat="0" applyFill="0" applyAlignment="0" applyProtection="0"/>
    <xf numFmtId="312" fontId="5" fillId="0" borderId="2449">
      <alignment horizontal="left" vertical="center"/>
    </xf>
    <xf numFmtId="312" fontId="165" fillId="0" borderId="2514" applyFill="0" applyProtection="0">
      <alignment horizontal="center"/>
    </xf>
    <xf numFmtId="312" fontId="242" fillId="0" borderId="2514">
      <alignment horizontal="center"/>
    </xf>
    <xf numFmtId="0" fontId="210" fillId="0" borderId="2671" applyNumberFormat="0" applyFill="0" applyBorder="0" applyAlignment="0">
      <protection locked="0"/>
    </xf>
    <xf numFmtId="312" fontId="210" fillId="0" borderId="2514" applyNumberFormat="0" applyFill="0" applyBorder="0" applyAlignment="0">
      <protection locked="0"/>
    </xf>
    <xf numFmtId="312" fontId="2" fillId="0" borderId="2495" applyNumberFormat="0" applyAlignment="0" applyProtection="0"/>
    <xf numFmtId="312" fontId="214" fillId="0" borderId="2496" applyNumberFormat="0" applyFont="0" applyFill="0" applyAlignment="0" applyProtection="0"/>
    <xf numFmtId="312" fontId="25" fillId="10" borderId="2497" applyNumberFormat="0" applyProtection="0">
      <alignment horizontal="left" vertical="top"/>
    </xf>
    <xf numFmtId="312" fontId="25" fillId="10" borderId="2498" applyNumberFormat="0" applyProtection="0">
      <alignment horizontal="left" vertical="top"/>
    </xf>
    <xf numFmtId="312" fontId="25" fillId="10" borderId="2499" applyNumberFormat="0" applyProtection="0">
      <alignment horizontal="left" vertical="top"/>
    </xf>
    <xf numFmtId="312" fontId="25" fillId="10" borderId="2500" applyNumberFormat="0" applyProtection="0">
      <alignment horizontal="left" vertical="top"/>
    </xf>
    <xf numFmtId="312" fontId="25" fillId="10" borderId="2497" applyNumberFormat="0" applyProtection="0">
      <alignment horizontal="left" vertical="top"/>
    </xf>
    <xf numFmtId="312" fontId="25" fillId="10" borderId="2498" applyNumberFormat="0" applyProtection="0">
      <alignment horizontal="left" vertical="top"/>
    </xf>
    <xf numFmtId="312" fontId="25" fillId="10" borderId="2499" applyNumberFormat="0" applyProtection="0">
      <alignment horizontal="left" vertical="top"/>
    </xf>
    <xf numFmtId="312" fontId="25" fillId="10" borderId="2500" applyNumberFormat="0" applyProtection="0">
      <alignment horizontal="left" vertical="top"/>
    </xf>
    <xf numFmtId="312" fontId="241" fillId="94" borderId="2514" applyBorder="0" applyProtection="0">
      <alignment horizontal="centerContinuous" vertical="center"/>
    </xf>
    <xf numFmtId="246" fontId="296" fillId="0" borderId="2514" applyFill="0" applyProtection="0">
      <alignment horizontal="center"/>
    </xf>
    <xf numFmtId="0" fontId="241" fillId="94" borderId="2695" applyBorder="0" applyProtection="0">
      <alignment horizontal="centerContinuous" vertical="center"/>
    </xf>
    <xf numFmtId="10" fontId="12" fillId="3" borderId="2446" applyNumberFormat="0" applyFont="0" applyFill="0" applyBorder="0" applyAlignment="0">
      <protection locked="0"/>
    </xf>
    <xf numFmtId="0" fontId="241" fillId="94" borderId="2623" applyBorder="0" applyProtection="0">
      <alignment horizontal="centerContinuous" vertical="center"/>
    </xf>
    <xf numFmtId="190" fontId="165" fillId="0" borderId="4810" applyFill="0" applyProtection="0">
      <alignment horizontal="center"/>
    </xf>
    <xf numFmtId="0" fontId="210" fillId="0" borderId="2623" applyNumberFormat="0" applyFill="0" applyBorder="0" applyAlignment="0">
      <protection locked="0"/>
    </xf>
    <xf numFmtId="0" fontId="25" fillId="10" borderId="4796" applyNumberFormat="0" applyProtection="0">
      <alignment horizontal="left" vertical="top"/>
    </xf>
    <xf numFmtId="190" fontId="25" fillId="10" borderId="4793" applyNumberFormat="0" applyProtection="0">
      <alignment horizontal="left" vertical="top"/>
    </xf>
    <xf numFmtId="246" fontId="249" fillId="0" borderId="2635" applyFill="0" applyProtection="0">
      <alignment horizontal="center"/>
    </xf>
    <xf numFmtId="0" fontId="210" fillId="0" borderId="4810" applyNumberFormat="0" applyFill="0" applyBorder="0" applyAlignment="0">
      <protection locked="0"/>
    </xf>
    <xf numFmtId="0" fontId="2" fillId="0" borderId="2640" applyNumberFormat="0" applyAlignment="0" applyProtection="0"/>
    <xf numFmtId="0" fontId="214" fillId="0" borderId="2629" applyNumberFormat="0" applyFont="0" applyFill="0" applyAlignment="0" applyProtection="0"/>
    <xf numFmtId="0" fontId="165" fillId="0" borderId="4810" applyFill="0" applyProtection="0">
      <alignment horizontal="center"/>
    </xf>
    <xf numFmtId="0" fontId="25" fillId="10" borderId="2632" applyNumberFormat="0" applyProtection="0">
      <alignment horizontal="left" vertical="top"/>
    </xf>
    <xf numFmtId="0" fontId="78" fillId="14" borderId="4800" applyFont="0" applyFill="0" applyBorder="0" applyAlignment="0" applyProtection="0"/>
    <xf numFmtId="180" fontId="9" fillId="3" borderId="2623">
      <alignment horizontal="right" vertical="center"/>
    </xf>
    <xf numFmtId="0" fontId="165" fillId="0" borderId="2623" applyFill="0" applyProtection="0">
      <alignment horizontal="center"/>
    </xf>
    <xf numFmtId="1" fontId="154" fillId="65" borderId="2167" applyNumberFormat="0" applyBorder="0" applyAlignment="0">
      <alignment horizontal="centerContinuous" vertical="center"/>
      <protection locked="0"/>
    </xf>
    <xf numFmtId="0" fontId="12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10" fontId="12" fillId="3" borderId="2446" applyNumberFormat="0" applyFont="0" applyFill="0" applyBorder="0" applyAlignment="0">
      <protection locked="0"/>
    </xf>
    <xf numFmtId="246" fontId="250" fillId="0" borderId="2514" applyFill="0" applyProtection="0">
      <alignment horizontal="center"/>
    </xf>
    <xf numFmtId="246" fontId="249" fillId="0" borderId="2514" applyFill="0" applyProtection="0">
      <alignment horizontal="center"/>
    </xf>
    <xf numFmtId="0" fontId="241" fillId="94" borderId="2514" applyBorder="0" applyProtection="0">
      <alignment horizontal="centerContinuous" vertical="center"/>
    </xf>
    <xf numFmtId="254" fontId="240" fillId="0" borderId="2514" applyBorder="0" applyProtection="0">
      <alignment horizontal="right" vertical="center"/>
    </xf>
    <xf numFmtId="0" fontId="12" fillId="0" borderId="2433" applyNumberFormat="0" applyFill="0" applyBorder="0" applyAlignment="0" applyProtection="0"/>
    <xf numFmtId="0" fontId="25" fillId="10" borderId="2445" applyNumberFormat="0" applyProtection="0">
      <alignment horizontal="left" vertical="top"/>
    </xf>
    <xf numFmtId="0" fontId="25" fillId="10" borderId="2444" applyNumberFormat="0" applyProtection="0">
      <alignment horizontal="left" vertical="top"/>
    </xf>
    <xf numFmtId="0" fontId="25" fillId="10" borderId="2443" applyNumberFormat="0" applyProtection="0">
      <alignment horizontal="left" vertical="top"/>
    </xf>
    <xf numFmtId="0" fontId="25" fillId="10" borderId="2442" applyNumberFormat="0" applyProtection="0">
      <alignment horizontal="left" vertical="top"/>
    </xf>
    <xf numFmtId="0" fontId="25" fillId="10" borderId="2441" applyNumberFormat="0" applyProtection="0">
      <alignment horizontal="left" vertical="top"/>
    </xf>
    <xf numFmtId="0" fontId="25" fillId="10" borderId="2440" applyNumberFormat="0" applyProtection="0">
      <alignment horizontal="left" vertical="top"/>
    </xf>
    <xf numFmtId="0" fontId="25" fillId="10" borderId="2439" applyNumberFormat="0" applyProtection="0">
      <alignment horizontal="left"/>
    </xf>
    <xf numFmtId="0" fontId="12" fillId="10" borderId="2434" applyNumberFormat="0" applyFont="0" applyProtection="0"/>
    <xf numFmtId="0" fontId="12" fillId="10" borderId="2434" applyNumberFormat="0" applyFont="0" applyAlignment="0" applyProtection="0"/>
    <xf numFmtId="0" fontId="12" fillId="3" borderId="2434" applyNumberFormat="0" applyFont="0" applyAlignment="0" applyProtection="0"/>
    <xf numFmtId="293" fontId="234" fillId="10" borderId="2434" applyFont="0" applyProtection="0"/>
    <xf numFmtId="293" fontId="234" fillId="10" borderId="2434" applyFont="0" applyProtection="0"/>
    <xf numFmtId="169" fontId="234" fillId="3" borderId="2434" applyFont="0" applyProtection="0"/>
    <xf numFmtId="293" fontId="234" fillId="3" borderId="2434" applyFont="0" applyProtection="0"/>
    <xf numFmtId="169" fontId="234" fillId="10" borderId="2434" applyFont="0" applyProtection="0"/>
    <xf numFmtId="0" fontId="25" fillId="10" borderId="2434" applyNumberFormat="0" applyProtection="0">
      <alignment horizontal="center" vertical="top"/>
    </xf>
    <xf numFmtId="0" fontId="25" fillId="10" borderId="2434" applyNumberFormat="0" applyProtection="0">
      <alignment horizontal="center" vertical="top"/>
    </xf>
    <xf numFmtId="2" fontId="12" fillId="60" borderId="2438" applyFont="0" applyFill="0" applyBorder="0" applyAlignment="0" applyProtection="0"/>
    <xf numFmtId="9" fontId="12" fillId="60" borderId="2438" applyFont="0" applyFill="0" applyBorder="0" applyAlignment="0" applyProtection="0"/>
    <xf numFmtId="10" fontId="12" fillId="60" borderId="2438" applyFont="0" applyFill="0" applyBorder="0" applyAlignment="0" applyProtection="0"/>
    <xf numFmtId="183" fontId="12" fillId="60" borderId="2438" applyFont="0" applyFill="0" applyBorder="0" applyAlignment="0" applyProtection="0"/>
    <xf numFmtId="4" fontId="12" fillId="60" borderId="2438" applyFont="0" applyFill="0" applyBorder="0" applyAlignment="0" applyProtection="0"/>
    <xf numFmtId="3" fontId="12" fillId="60" borderId="2438" applyFont="0" applyFill="0" applyBorder="0" applyAlignment="0" applyProtection="0"/>
    <xf numFmtId="4" fontId="230" fillId="11" borderId="2436" applyNumberFormat="0" applyProtection="0">
      <alignment horizontal="right" vertical="center"/>
    </xf>
    <xf numFmtId="4" fontId="229" fillId="84" borderId="2437" applyNumberFormat="0" applyProtection="0">
      <alignment horizontal="left" vertical="center" indent="1"/>
    </xf>
    <xf numFmtId="0" fontId="136" fillId="84" borderId="2436" applyNumberFormat="0" applyProtection="0">
      <alignment horizontal="left" vertical="top" indent="1"/>
    </xf>
    <xf numFmtId="4" fontId="223" fillId="52" borderId="2436" applyNumberFormat="0" applyProtection="0">
      <alignment horizontal="left" vertical="center" indent="1"/>
    </xf>
    <xf numFmtId="4" fontId="228" fillId="11" borderId="2436" applyNumberFormat="0" applyProtection="0">
      <alignment horizontal="right" vertical="center"/>
    </xf>
    <xf numFmtId="4" fontId="184" fillId="11" borderId="2436" applyNumberFormat="0" applyProtection="0">
      <alignment horizontal="right" vertical="center"/>
    </xf>
    <xf numFmtId="0" fontId="136" fillId="14" borderId="2436" applyNumberFormat="0" applyProtection="0">
      <alignment horizontal="left" vertical="top" indent="1"/>
    </xf>
    <xf numFmtId="4" fontId="227" fillId="52" borderId="2437" applyNumberFormat="0" applyProtection="0">
      <alignment horizontal="left" vertical="center" indent="1"/>
    </xf>
    <xf numFmtId="4" fontId="228" fillId="11" borderId="2436" applyNumberFormat="0" applyProtection="0">
      <alignment vertical="center"/>
    </xf>
    <xf numFmtId="4" fontId="226" fillId="11" borderId="2436" applyNumberFormat="0" applyProtection="0">
      <alignment vertical="center"/>
    </xf>
    <xf numFmtId="0" fontId="12" fillId="11" borderId="2436" applyNumberFormat="0" applyProtection="0">
      <alignment horizontal="left" vertical="top" indent="1"/>
    </xf>
    <xf numFmtId="0" fontId="12" fillId="11" borderId="2436" applyNumberFormat="0" applyProtection="0">
      <alignment horizontal="left" vertical="center" indent="1"/>
    </xf>
    <xf numFmtId="0" fontId="12" fillId="52" borderId="2436" applyNumberFormat="0" applyProtection="0">
      <alignment horizontal="left" vertical="top" indent="1"/>
    </xf>
    <xf numFmtId="0" fontId="12" fillId="52" borderId="2436" applyNumberFormat="0" applyProtection="0">
      <alignment horizontal="left" vertical="center" indent="1"/>
    </xf>
    <xf numFmtId="0" fontId="12" fillId="84" borderId="2436" applyNumberFormat="0" applyProtection="0">
      <alignment horizontal="left" vertical="top" indent="1"/>
    </xf>
    <xf numFmtId="0" fontId="12" fillId="84" borderId="2436" applyNumberFormat="0" applyProtection="0">
      <alignment horizontal="left" vertical="center" indent="1"/>
    </xf>
    <xf numFmtId="0" fontId="12" fillId="75" borderId="2436" applyNumberFormat="0" applyProtection="0">
      <alignment horizontal="left" vertical="top" indent="1"/>
    </xf>
    <xf numFmtId="0" fontId="12" fillId="75" borderId="2436" applyNumberFormat="0" applyProtection="0">
      <alignment horizontal="left" vertical="center" indent="1"/>
    </xf>
    <xf numFmtId="4" fontId="184" fillId="52" borderId="2436" applyNumberFormat="0" applyProtection="0">
      <alignment horizontal="right" vertical="center"/>
    </xf>
    <xf numFmtId="4" fontId="226" fillId="82" borderId="2436" applyNumberFormat="0" applyProtection="0">
      <alignment horizontal="right" vertical="center"/>
    </xf>
    <xf numFmtId="4" fontId="226" fillId="81" borderId="2436" applyNumberFormat="0" applyProtection="0">
      <alignment horizontal="right" vertical="center"/>
    </xf>
    <xf numFmtId="4" fontId="226" fillId="80" borderId="2436" applyNumberFormat="0" applyProtection="0">
      <alignment horizontal="right" vertical="center"/>
    </xf>
    <xf numFmtId="4" fontId="226" fillId="71" borderId="2436" applyNumberFormat="0" applyProtection="0">
      <alignment horizontal="right" vertical="center"/>
    </xf>
    <xf numFmtId="4" fontId="226" fillId="79" borderId="2436" applyNumberFormat="0" applyProtection="0">
      <alignment horizontal="right" vertical="center"/>
    </xf>
    <xf numFmtId="4" fontId="226" fillId="10" borderId="2436" applyNumberFormat="0" applyProtection="0">
      <alignment horizontal="right" vertical="center"/>
    </xf>
    <xf numFmtId="4" fontId="226" fillId="78" borderId="2436" applyNumberFormat="0" applyProtection="0">
      <alignment horizontal="right" vertical="center"/>
    </xf>
    <xf numFmtId="4" fontId="226" fillId="77" borderId="2436" applyNumberFormat="0" applyProtection="0">
      <alignment horizontal="right" vertical="center"/>
    </xf>
    <xf numFmtId="4" fontId="226" fillId="76" borderId="2436" applyNumberFormat="0" applyProtection="0">
      <alignment horizontal="right" vertical="center"/>
    </xf>
    <xf numFmtId="0" fontId="225" fillId="53" borderId="2436" applyNumberFormat="0" applyProtection="0">
      <alignment horizontal="left" vertical="top" indent="1"/>
    </xf>
    <xf numFmtId="4" fontId="184" fillId="53" borderId="2436" applyNumberFormat="0" applyProtection="0">
      <alignment horizontal="left" vertical="center" indent="1"/>
    </xf>
    <xf numFmtId="4" fontId="224" fillId="53" borderId="2436" applyNumberFormat="0" applyProtection="0">
      <alignment vertical="center"/>
    </xf>
    <xf numFmtId="4" fontId="223" fillId="53" borderId="2436" applyNumberFormat="0" applyProtection="0">
      <alignment vertical="center"/>
    </xf>
    <xf numFmtId="0" fontId="12" fillId="0" borderId="2433" applyNumberFormat="0" applyFill="0" applyBorder="0" applyAlignment="0" applyProtection="0"/>
    <xf numFmtId="0" fontId="46" fillId="0" borderId="2433" applyNumberFormat="0" applyFill="0" applyBorder="0" applyAlignment="0" applyProtection="0"/>
    <xf numFmtId="0" fontId="105" fillId="0" borderId="2433" applyNumberFormat="0" applyFill="0" applyBorder="0" applyAlignment="0" applyProtection="0"/>
    <xf numFmtId="0" fontId="48" fillId="0" borderId="2433" applyNumberFormat="0" applyFill="0" applyAlignment="0" applyProtection="0"/>
    <xf numFmtId="5" fontId="114" fillId="0" borderId="2432" applyAlignment="0" applyProtection="0"/>
    <xf numFmtId="0" fontId="210" fillId="0" borderId="2514" applyNumberFormat="0" applyFill="0" applyBorder="0" applyAlignment="0">
      <protection locked="0"/>
    </xf>
    <xf numFmtId="182" fontId="145" fillId="3" borderId="2432">
      <alignment horizontal="right" vertical="center"/>
    </xf>
    <xf numFmtId="186" fontId="48" fillId="3" borderId="2432">
      <alignment vertical="center"/>
    </xf>
    <xf numFmtId="0" fontId="135" fillId="0" borderId="2434"/>
    <xf numFmtId="0" fontId="135" fillId="0" borderId="2434"/>
    <xf numFmtId="188" fontId="25" fillId="0" borderId="2449" applyFont="0" applyFill="0" applyBorder="0" applyAlignment="0" applyProtection="0">
      <alignment horizontal="center"/>
    </xf>
    <xf numFmtId="0" fontId="184" fillId="0" borderId="2435" applyAlignment="0">
      <alignment horizontal="left" wrapText="1"/>
    </xf>
    <xf numFmtId="264" fontId="12" fillId="14" borderId="2514" applyFont="0" applyFill="0" applyBorder="0" applyAlignment="0" applyProtection="0">
      <alignment horizontal="right"/>
    </xf>
    <xf numFmtId="0" fontId="25" fillId="69" borderId="2434">
      <alignment horizontal="left" vertical="center" wrapText="1"/>
    </xf>
    <xf numFmtId="0" fontId="159" fillId="0" borderId="2434"/>
    <xf numFmtId="0" fontId="159" fillId="67" borderId="2434"/>
    <xf numFmtId="192" fontId="9" fillId="3" borderId="2623">
      <alignment horizontal="right" vertical="center"/>
    </xf>
    <xf numFmtId="0" fontId="166" fillId="0" borderId="2514">
      <alignment horizontal="center"/>
    </xf>
    <xf numFmtId="0" fontId="165" fillId="0" borderId="2514" applyFill="0" applyProtection="0">
      <alignment horizontal="center"/>
    </xf>
    <xf numFmtId="0" fontId="159" fillId="67" borderId="2434"/>
    <xf numFmtId="0" fontId="159" fillId="0" borderId="2434"/>
    <xf numFmtId="0" fontId="25" fillId="69" borderId="2434">
      <alignment horizontal="left" vertical="center" wrapText="1"/>
    </xf>
    <xf numFmtId="0" fontId="184" fillId="0" borderId="2435" applyAlignment="0">
      <alignment horizontal="left" wrapText="1"/>
    </xf>
    <xf numFmtId="0" fontId="135" fillId="0" borderId="2434"/>
    <xf numFmtId="0" fontId="135" fillId="0" borderId="2434"/>
    <xf numFmtId="186" fontId="140" fillId="3" borderId="2389">
      <alignment horizontal="center" vertical="center"/>
    </xf>
    <xf numFmtId="186" fontId="48" fillId="3" borderId="2432">
      <alignment vertical="center"/>
    </xf>
    <xf numFmtId="186" fontId="146" fillId="3" borderId="2316">
      <alignment horizontal="left"/>
    </xf>
    <xf numFmtId="186" fontId="146" fillId="3" borderId="2514" applyBorder="0">
      <alignment horizontal="left" vertical="center"/>
    </xf>
    <xf numFmtId="180" fontId="9" fillId="3" borderId="2514">
      <alignment horizontal="right" vertical="center"/>
    </xf>
    <xf numFmtId="192" fontId="9" fillId="3" borderId="2514">
      <alignment horizontal="right" vertical="center"/>
    </xf>
    <xf numFmtId="0" fontId="101" fillId="0" borderId="2514" applyBorder="0"/>
    <xf numFmtId="182" fontId="145" fillId="3" borderId="2432">
      <alignment horizontal="right" vertical="center"/>
    </xf>
    <xf numFmtId="188" fontId="25" fillId="0" borderId="2449" applyFont="0" applyFill="0" applyBorder="0" applyAlignment="0" applyProtection="0">
      <alignment horizontal="center"/>
    </xf>
    <xf numFmtId="248" fontId="46" fillId="0" borderId="2671"/>
    <xf numFmtId="246" fontId="249" fillId="0" borderId="2514" applyFill="0" applyProtection="0">
      <alignment horizontal="center"/>
    </xf>
    <xf numFmtId="0" fontId="48" fillId="0" borderId="2432" applyFont="0" applyFill="0" applyBorder="0" applyAlignment="0" applyProtection="0">
      <alignment horizontal="center"/>
    </xf>
    <xf numFmtId="0" fontId="74" fillId="0" borderId="2432" applyFont="0" applyFill="0" applyBorder="0" applyAlignment="0" applyProtection="0">
      <alignment horizontal="center"/>
    </xf>
    <xf numFmtId="248" fontId="46" fillId="0" borderId="2514"/>
    <xf numFmtId="0" fontId="78" fillId="14" borderId="2423" applyFont="0" applyFill="0" applyBorder="0" applyAlignment="0" applyProtection="0"/>
    <xf numFmtId="0" fontId="12" fillId="0" borderId="2514" applyNumberFormat="0" applyFill="0" applyBorder="0" applyAlignment="0" applyProtection="0">
      <alignment horizontal="center"/>
    </xf>
    <xf numFmtId="186" fontId="146" fillId="3" borderId="2683" applyBorder="0">
      <alignment horizontal="left" vertical="center"/>
    </xf>
    <xf numFmtId="0" fontId="75" fillId="0" borderId="2314" applyNumberFormat="0" applyFont="0" applyFill="0" applyAlignment="0" applyProtection="0"/>
    <xf numFmtId="5" fontId="114" fillId="0" borderId="2432" applyAlignment="0" applyProtection="0"/>
    <xf numFmtId="0" fontId="113" fillId="0" borderId="2514" applyNumberFormat="0" applyFill="0" applyAlignment="0" applyProtection="0"/>
    <xf numFmtId="0" fontId="48" fillId="0" borderId="2433" applyNumberFormat="0" applyFill="0" applyAlignment="0" applyProtection="0"/>
    <xf numFmtId="0" fontId="105" fillId="0" borderId="2433" applyNumberFormat="0" applyFill="0" applyBorder="0" applyAlignment="0" applyProtection="0"/>
    <xf numFmtId="0" fontId="46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222" fontId="79" fillId="0" borderId="2513" applyBorder="0"/>
    <xf numFmtId="0" fontId="101" fillId="0" borderId="2514" applyBorder="0"/>
    <xf numFmtId="4" fontId="223" fillId="53" borderId="2436" applyNumberFormat="0" applyProtection="0">
      <alignment vertical="center"/>
    </xf>
    <xf numFmtId="4" fontId="224" fillId="53" borderId="2436" applyNumberFormat="0" applyProtection="0">
      <alignment vertical="center"/>
    </xf>
    <xf numFmtId="4" fontId="184" fillId="53" borderId="2436" applyNumberFormat="0" applyProtection="0">
      <alignment horizontal="left" vertical="center" indent="1"/>
    </xf>
    <xf numFmtId="0" fontId="225" fillId="53" borderId="2436" applyNumberFormat="0" applyProtection="0">
      <alignment horizontal="left" vertical="top" indent="1"/>
    </xf>
    <xf numFmtId="4" fontId="226" fillId="76" borderId="2436" applyNumberFormat="0" applyProtection="0">
      <alignment horizontal="right" vertical="center"/>
    </xf>
    <xf numFmtId="4" fontId="226" fillId="77" borderId="2436" applyNumberFormat="0" applyProtection="0">
      <alignment horizontal="right" vertical="center"/>
    </xf>
    <xf numFmtId="4" fontId="226" fillId="78" borderId="2436" applyNumberFormat="0" applyProtection="0">
      <alignment horizontal="right" vertical="center"/>
    </xf>
    <xf numFmtId="4" fontId="226" fillId="10" borderId="2436" applyNumberFormat="0" applyProtection="0">
      <alignment horizontal="right" vertical="center"/>
    </xf>
    <xf numFmtId="4" fontId="226" fillId="79" borderId="2436" applyNumberFormat="0" applyProtection="0">
      <alignment horizontal="right" vertical="center"/>
    </xf>
    <xf numFmtId="4" fontId="226" fillId="71" borderId="2436" applyNumberFormat="0" applyProtection="0">
      <alignment horizontal="right" vertical="center"/>
    </xf>
    <xf numFmtId="4" fontId="226" fillId="81" borderId="2436" applyNumberFormat="0" applyProtection="0">
      <alignment horizontal="right" vertical="center"/>
    </xf>
    <xf numFmtId="4" fontId="226" fillId="80" borderId="2436" applyNumberFormat="0" applyProtection="0">
      <alignment horizontal="right" vertical="center"/>
    </xf>
    <xf numFmtId="4" fontId="226" fillId="82" borderId="2436" applyNumberFormat="0" applyProtection="0">
      <alignment horizontal="right" vertical="center"/>
    </xf>
    <xf numFmtId="4" fontId="184" fillId="52" borderId="2436" applyNumberFormat="0" applyProtection="0">
      <alignment horizontal="right" vertical="center"/>
    </xf>
    <xf numFmtId="0" fontId="12" fillId="75" borderId="2436" applyNumberFormat="0" applyProtection="0">
      <alignment horizontal="left" vertical="center" indent="1"/>
    </xf>
    <xf numFmtId="0" fontId="12" fillId="75" borderId="2436" applyNumberFormat="0" applyProtection="0">
      <alignment horizontal="left" vertical="top" indent="1"/>
    </xf>
    <xf numFmtId="0" fontId="12" fillId="84" borderId="2436" applyNumberFormat="0" applyProtection="0">
      <alignment horizontal="left" vertical="center" indent="1"/>
    </xf>
    <xf numFmtId="0" fontId="12" fillId="84" borderId="2436" applyNumberFormat="0" applyProtection="0">
      <alignment horizontal="left" vertical="top" indent="1"/>
    </xf>
    <xf numFmtId="0" fontId="12" fillId="52" borderId="2436" applyNumberFormat="0" applyProtection="0">
      <alignment horizontal="left" vertical="center" indent="1"/>
    </xf>
    <xf numFmtId="0" fontId="12" fillId="52" borderId="2436" applyNumberFormat="0" applyProtection="0">
      <alignment horizontal="left" vertical="top" indent="1"/>
    </xf>
    <xf numFmtId="0" fontId="12" fillId="11" borderId="2436" applyNumberFormat="0" applyProtection="0">
      <alignment horizontal="left" vertical="center" indent="1"/>
    </xf>
    <xf numFmtId="0" fontId="12" fillId="11" borderId="2436" applyNumberFormat="0" applyProtection="0">
      <alignment horizontal="left" vertical="top" indent="1"/>
    </xf>
    <xf numFmtId="4" fontId="226" fillId="11" borderId="2436" applyNumberFormat="0" applyProtection="0">
      <alignment vertical="center"/>
    </xf>
    <xf numFmtId="4" fontId="228" fillId="11" borderId="2436" applyNumberFormat="0" applyProtection="0">
      <alignment vertical="center"/>
    </xf>
    <xf numFmtId="4" fontId="227" fillId="52" borderId="2437" applyNumberFormat="0" applyProtection="0">
      <alignment horizontal="left" vertical="center" indent="1"/>
    </xf>
    <xf numFmtId="0" fontId="136" fillId="14" borderId="2436" applyNumberFormat="0" applyProtection="0">
      <alignment horizontal="left" vertical="top" indent="1"/>
    </xf>
    <xf numFmtId="4" fontId="184" fillId="11" borderId="2436" applyNumberFormat="0" applyProtection="0">
      <alignment horizontal="right" vertical="center"/>
    </xf>
    <xf numFmtId="4" fontId="228" fillId="11" borderId="2436" applyNumberFormat="0" applyProtection="0">
      <alignment horizontal="right" vertical="center"/>
    </xf>
    <xf numFmtId="4" fontId="223" fillId="52" borderId="2436" applyNumberFormat="0" applyProtection="0">
      <alignment horizontal="left" vertical="center" indent="1"/>
    </xf>
    <xf numFmtId="0" fontId="136" fillId="84" borderId="2436" applyNumberFormat="0" applyProtection="0">
      <alignment horizontal="left" vertical="top" indent="1"/>
    </xf>
    <xf numFmtId="4" fontId="229" fillId="84" borderId="2437" applyNumberFormat="0" applyProtection="0">
      <alignment horizontal="left" vertical="center" indent="1"/>
    </xf>
    <xf numFmtId="4" fontId="230" fillId="11" borderId="2436" applyNumberFormat="0" applyProtection="0">
      <alignment horizontal="right" vertical="center"/>
    </xf>
    <xf numFmtId="0" fontId="25" fillId="10" borderId="2521" applyNumberFormat="0" applyProtection="0">
      <alignment horizontal="left" vertical="top"/>
    </xf>
    <xf numFmtId="0" fontId="25" fillId="10" borderId="2522" applyNumberFormat="0" applyProtection="0">
      <alignment horizontal="left" vertical="top"/>
    </xf>
    <xf numFmtId="0" fontId="25" fillId="10" borderId="2523" applyNumberFormat="0" applyProtection="0">
      <alignment horizontal="left" vertical="top"/>
    </xf>
    <xf numFmtId="0" fontId="25" fillId="10" borderId="2524" applyNumberFormat="0" applyProtection="0">
      <alignment horizontal="left" vertical="top"/>
    </xf>
    <xf numFmtId="3" fontId="12" fillId="60" borderId="2438" applyFont="0" applyFill="0" applyBorder="0" applyAlignment="0" applyProtection="0"/>
    <xf numFmtId="4" fontId="12" fillId="60" borderId="2438" applyFont="0" applyFill="0" applyBorder="0" applyAlignment="0" applyProtection="0"/>
    <xf numFmtId="183" fontId="12" fillId="60" borderId="2438" applyFont="0" applyFill="0" applyBorder="0" applyAlignment="0" applyProtection="0"/>
    <xf numFmtId="10" fontId="12" fillId="60" borderId="2438" applyFont="0" applyFill="0" applyBorder="0" applyAlignment="0" applyProtection="0"/>
    <xf numFmtId="9" fontId="12" fillId="60" borderId="2438" applyFont="0" applyFill="0" applyBorder="0" applyAlignment="0" applyProtection="0"/>
    <xf numFmtId="2" fontId="12" fillId="60" borderId="2438" applyFont="0" applyFill="0" applyBorder="0" applyAlignment="0" applyProtection="0"/>
    <xf numFmtId="0" fontId="25" fillId="10" borderId="2434" applyNumberFormat="0" applyProtection="0">
      <alignment horizontal="center" vertical="top"/>
    </xf>
    <xf numFmtId="169" fontId="234" fillId="3" borderId="2434" applyFont="0" applyProtection="0"/>
    <xf numFmtId="169" fontId="234" fillId="10" borderId="2434" applyFont="0" applyProtection="0"/>
    <xf numFmtId="293" fontId="234" fillId="3" borderId="2434" applyFont="0" applyProtection="0"/>
    <xf numFmtId="293" fontId="234" fillId="10" borderId="2434" applyFont="0" applyProtection="0"/>
    <xf numFmtId="293" fontId="234" fillId="10" borderId="2434" applyFont="0" applyProtection="0"/>
    <xf numFmtId="0" fontId="12" fillId="3" borderId="2434" applyNumberFormat="0" applyFont="0" applyAlignment="0" applyProtection="0"/>
    <xf numFmtId="0" fontId="12" fillId="10" borderId="2434" applyNumberFormat="0" applyFont="0" applyAlignment="0" applyProtection="0"/>
    <xf numFmtId="0" fontId="12" fillId="10" borderId="2434" applyNumberFormat="0" applyFont="0" applyProtection="0"/>
    <xf numFmtId="0" fontId="25" fillId="10" borderId="2439" applyNumberFormat="0" applyProtection="0">
      <alignment horizontal="left"/>
    </xf>
    <xf numFmtId="0" fontId="25" fillId="10" borderId="2440" applyNumberFormat="0" applyProtection="0">
      <alignment horizontal="left" vertical="top"/>
    </xf>
    <xf numFmtId="0" fontId="25" fillId="10" borderId="2441" applyNumberFormat="0" applyProtection="0">
      <alignment horizontal="left" vertical="top"/>
    </xf>
    <xf numFmtId="0" fontId="25" fillId="10" borderId="2442" applyNumberFormat="0" applyProtection="0">
      <alignment horizontal="left" vertical="top"/>
    </xf>
    <xf numFmtId="0" fontId="25" fillId="10" borderId="2443" applyNumberFormat="0" applyProtection="0">
      <alignment horizontal="left" vertical="top"/>
    </xf>
    <xf numFmtId="0" fontId="25" fillId="10" borderId="2444" applyNumberFormat="0" applyProtection="0">
      <alignment horizontal="left" vertical="top"/>
    </xf>
    <xf numFmtId="0" fontId="25" fillId="10" borderId="2445" applyNumberFormat="0" applyProtection="0">
      <alignment horizontal="left" vertical="top"/>
    </xf>
    <xf numFmtId="10" fontId="12" fillId="3" borderId="2446" applyNumberFormat="0" applyFont="0" applyFill="0" applyBorder="0" applyAlignment="0">
      <protection locked="0"/>
    </xf>
    <xf numFmtId="0" fontId="12" fillId="0" borderId="2433" applyNumberFormat="0" applyFill="0" applyBorder="0" applyAlignment="0" applyProtection="0"/>
    <xf numFmtId="0" fontId="25" fillId="10" borderId="2434" applyNumberFormat="0" applyProtection="0">
      <alignment horizontal="center" vertical="top"/>
    </xf>
    <xf numFmtId="0" fontId="113" fillId="0" borderId="2623" applyNumberFormat="0" applyFill="0" applyAlignment="0" applyProtection="0"/>
    <xf numFmtId="222" fontId="79" fillId="0" borderId="2634" applyBorder="0"/>
    <xf numFmtId="0" fontId="25" fillId="10" borderId="2630" applyNumberFormat="0" applyProtection="0">
      <alignment horizontal="left" vertical="top"/>
    </xf>
    <xf numFmtId="0" fontId="165" fillId="0" borderId="2635" applyFill="0" applyProtection="0">
      <alignment horizontal="center"/>
    </xf>
    <xf numFmtId="0" fontId="25" fillId="10" borderId="2643" applyNumberFormat="0" applyProtection="0">
      <alignment horizontal="left" vertical="top"/>
    </xf>
    <xf numFmtId="222" fontId="79" fillId="0" borderId="2634" applyBorder="0"/>
    <xf numFmtId="0" fontId="2" fillId="0" borderId="2628" applyNumberFormat="0" applyAlignment="0" applyProtection="0"/>
    <xf numFmtId="0" fontId="25" fillId="10" borderId="2633" applyNumberFormat="0" applyProtection="0">
      <alignment horizontal="left" vertical="top"/>
    </xf>
    <xf numFmtId="0" fontId="48" fillId="0" borderId="2432" applyFont="0" applyFill="0" applyBorder="0" applyAlignment="0" applyProtection="0">
      <alignment horizontal="center"/>
    </xf>
    <xf numFmtId="0" fontId="74" fillId="0" borderId="2432" applyFont="0" applyFill="0" applyBorder="0" applyAlignment="0" applyProtection="0">
      <alignment horizontal="center"/>
    </xf>
    <xf numFmtId="10" fontId="12" fillId="3" borderId="2446" applyNumberFormat="0" applyFont="0" applyFill="0" applyBorder="0" applyAlignment="0">
      <protection locked="0"/>
    </xf>
    <xf numFmtId="0" fontId="12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10" fontId="12" fillId="3" borderId="2446" applyNumberFormat="0" applyFont="0" applyFill="0" applyBorder="0" applyAlignment="0">
      <protection locked="0"/>
    </xf>
    <xf numFmtId="246" fontId="250" fillId="0" borderId="2463" applyFill="0" applyProtection="0">
      <alignment horizontal="center"/>
    </xf>
    <xf numFmtId="246" fontId="249" fillId="0" borderId="2463" applyFill="0" applyProtection="0">
      <alignment horizontal="center"/>
    </xf>
    <xf numFmtId="0" fontId="241" fillId="94" borderId="2463" applyBorder="0" applyProtection="0">
      <alignment horizontal="centerContinuous" vertical="center"/>
    </xf>
    <xf numFmtId="254" fontId="240" fillId="0" borderId="2463" applyBorder="0" applyProtection="0">
      <alignment horizontal="right" vertical="center"/>
    </xf>
    <xf numFmtId="0" fontId="210" fillId="0" borderId="2463" applyNumberFormat="0" applyFill="0" applyBorder="0" applyAlignment="0">
      <protection locked="0"/>
    </xf>
    <xf numFmtId="188" fontId="25" fillId="0" borderId="2449" applyFont="0" applyFill="0" applyBorder="0" applyAlignment="0" applyProtection="0">
      <alignment horizontal="center"/>
    </xf>
    <xf numFmtId="264" fontId="12" fillId="14" borderId="2463" applyFont="0" applyFill="0" applyBorder="0" applyAlignment="0" applyProtection="0">
      <alignment horizontal="right"/>
    </xf>
    <xf numFmtId="0" fontId="166" fillId="0" borderId="2463">
      <alignment horizontal="center"/>
    </xf>
    <xf numFmtId="0" fontId="165" fillId="0" borderId="2463" applyFill="0" applyProtection="0">
      <alignment horizontal="center"/>
    </xf>
    <xf numFmtId="186" fontId="146" fillId="3" borderId="2463" applyBorder="0">
      <alignment horizontal="left" vertical="center"/>
    </xf>
    <xf numFmtId="180" fontId="9" fillId="3" borderId="2463">
      <alignment horizontal="right" vertical="center"/>
    </xf>
    <xf numFmtId="192" fontId="9" fillId="3" borderId="2463">
      <alignment horizontal="right" vertical="center"/>
    </xf>
    <xf numFmtId="248" fontId="46" fillId="0" borderId="2463"/>
    <xf numFmtId="0" fontId="12" fillId="0" borderId="2463" applyNumberFormat="0" applyFill="0" applyBorder="0" applyAlignment="0" applyProtection="0">
      <alignment horizontal="center"/>
    </xf>
    <xf numFmtId="0" fontId="113" fillId="0" borderId="2463" applyNumberFormat="0" applyFill="0" applyAlignment="0" applyProtection="0"/>
    <xf numFmtId="222" fontId="79" fillId="0" borderId="2420" applyBorder="0"/>
    <xf numFmtId="0" fontId="101" fillId="0" borderId="2463" applyBorder="0"/>
    <xf numFmtId="10" fontId="12" fillId="3" borderId="2446" applyNumberFormat="0" applyFont="0" applyFill="0" applyBorder="0" applyAlignment="0">
      <protection locked="0"/>
    </xf>
    <xf numFmtId="1" fontId="154" fillId="65" borderId="2167" applyNumberFormat="0" applyBorder="0" applyAlignment="0">
      <alignment horizontal="centerContinuous" vertical="center"/>
      <protection locked="0"/>
    </xf>
    <xf numFmtId="0" fontId="12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10" fontId="12" fillId="3" borderId="2446" applyNumberFormat="0" applyFont="0" applyFill="0" applyBorder="0" applyAlignment="0">
      <protection locked="0"/>
    </xf>
    <xf numFmtId="246" fontId="250" fillId="0" borderId="2463" applyFill="0" applyProtection="0">
      <alignment horizontal="center"/>
    </xf>
    <xf numFmtId="246" fontId="249" fillId="0" borderId="2463" applyFill="0" applyProtection="0">
      <alignment horizontal="center"/>
    </xf>
    <xf numFmtId="0" fontId="241" fillId="94" borderId="2463" applyBorder="0" applyProtection="0">
      <alignment horizontal="centerContinuous" vertical="center"/>
    </xf>
    <xf numFmtId="254" fontId="240" fillId="0" borderId="2463" applyBorder="0" applyProtection="0">
      <alignment horizontal="right" vertical="center"/>
    </xf>
    <xf numFmtId="0" fontId="12" fillId="0" borderId="2433" applyNumberFormat="0" applyFill="0" applyBorder="0" applyAlignment="0" applyProtection="0"/>
    <xf numFmtId="0" fontId="25" fillId="10" borderId="2445" applyNumberFormat="0" applyProtection="0">
      <alignment horizontal="left" vertical="top"/>
    </xf>
    <xf numFmtId="0" fontId="25" fillId="10" borderId="2444" applyNumberFormat="0" applyProtection="0">
      <alignment horizontal="left" vertical="top"/>
    </xf>
    <xf numFmtId="0" fontId="25" fillId="10" borderId="2443" applyNumberFormat="0" applyProtection="0">
      <alignment horizontal="left" vertical="top"/>
    </xf>
    <xf numFmtId="0" fontId="25" fillId="10" borderId="2442" applyNumberFormat="0" applyProtection="0">
      <alignment horizontal="left" vertical="top"/>
    </xf>
    <xf numFmtId="0" fontId="25" fillId="10" borderId="2441" applyNumberFormat="0" applyProtection="0">
      <alignment horizontal="left" vertical="top"/>
    </xf>
    <xf numFmtId="0" fontId="25" fillId="10" borderId="2440" applyNumberFormat="0" applyProtection="0">
      <alignment horizontal="left" vertical="top"/>
    </xf>
    <xf numFmtId="0" fontId="25" fillId="10" borderId="2439" applyNumberFormat="0" applyProtection="0">
      <alignment horizontal="left"/>
    </xf>
    <xf numFmtId="0" fontId="12" fillId="10" borderId="2434" applyNumberFormat="0" applyFont="0" applyProtection="0"/>
    <xf numFmtId="0" fontId="12" fillId="10" borderId="2434" applyNumberFormat="0" applyFont="0" applyAlignment="0" applyProtection="0"/>
    <xf numFmtId="0" fontId="12" fillId="3" borderId="2434" applyNumberFormat="0" applyFont="0" applyAlignment="0" applyProtection="0"/>
    <xf numFmtId="293" fontId="234" fillId="10" borderId="2434" applyFont="0" applyProtection="0"/>
    <xf numFmtId="293" fontId="234" fillId="3" borderId="2434" applyFont="0" applyProtection="0"/>
    <xf numFmtId="293" fontId="234" fillId="10" borderId="2434" applyFont="0" applyProtection="0"/>
    <xf numFmtId="169" fontId="234" fillId="10" borderId="2434" applyFont="0" applyProtection="0"/>
    <xf numFmtId="169" fontId="234" fillId="3" borderId="2434" applyFont="0" applyProtection="0"/>
    <xf numFmtId="0" fontId="25" fillId="10" borderId="2434" applyNumberFormat="0" applyProtection="0">
      <alignment horizontal="center" vertical="top"/>
    </xf>
    <xf numFmtId="0" fontId="25" fillId="10" borderId="2434" applyNumberFormat="0" applyProtection="0">
      <alignment horizontal="center" vertical="top"/>
    </xf>
    <xf numFmtId="2" fontId="12" fillId="60" borderId="2438" applyFont="0" applyFill="0" applyBorder="0" applyAlignment="0" applyProtection="0"/>
    <xf numFmtId="9" fontId="12" fillId="60" borderId="2438" applyFont="0" applyFill="0" applyBorder="0" applyAlignment="0" applyProtection="0"/>
    <xf numFmtId="10" fontId="12" fillId="60" borderId="2438" applyFont="0" applyFill="0" applyBorder="0" applyAlignment="0" applyProtection="0"/>
    <xf numFmtId="183" fontId="12" fillId="60" borderId="2438" applyFont="0" applyFill="0" applyBorder="0" applyAlignment="0" applyProtection="0"/>
    <xf numFmtId="4" fontId="12" fillId="60" borderId="2438" applyFont="0" applyFill="0" applyBorder="0" applyAlignment="0" applyProtection="0"/>
    <xf numFmtId="3" fontId="12" fillId="60" borderId="2438" applyFont="0" applyFill="0" applyBorder="0" applyAlignment="0" applyProtection="0"/>
    <xf numFmtId="4" fontId="230" fillId="11" borderId="2436" applyNumberFormat="0" applyProtection="0">
      <alignment horizontal="right" vertical="center"/>
    </xf>
    <xf numFmtId="4" fontId="229" fillId="84" borderId="2437" applyNumberFormat="0" applyProtection="0">
      <alignment horizontal="left" vertical="center" indent="1"/>
    </xf>
    <xf numFmtId="0" fontId="136" fillId="84" borderId="2436" applyNumberFormat="0" applyProtection="0">
      <alignment horizontal="left" vertical="top" indent="1"/>
    </xf>
    <xf numFmtId="4" fontId="223" fillId="52" borderId="2436" applyNumberFormat="0" applyProtection="0">
      <alignment horizontal="left" vertical="center" indent="1"/>
    </xf>
    <xf numFmtId="4" fontId="228" fillId="11" borderId="2436" applyNumberFormat="0" applyProtection="0">
      <alignment horizontal="right" vertical="center"/>
    </xf>
    <xf numFmtId="4" fontId="184" fillId="11" borderId="2436" applyNumberFormat="0" applyProtection="0">
      <alignment horizontal="right" vertical="center"/>
    </xf>
    <xf numFmtId="0" fontId="136" fillId="14" borderId="2436" applyNumberFormat="0" applyProtection="0">
      <alignment horizontal="left" vertical="top" indent="1"/>
    </xf>
    <xf numFmtId="4" fontId="227" fillId="52" borderId="2437" applyNumberFormat="0" applyProtection="0">
      <alignment horizontal="left" vertical="center" indent="1"/>
    </xf>
    <xf numFmtId="4" fontId="228" fillId="11" borderId="2436" applyNumberFormat="0" applyProtection="0">
      <alignment vertical="center"/>
    </xf>
    <xf numFmtId="4" fontId="226" fillId="11" borderId="2436" applyNumberFormat="0" applyProtection="0">
      <alignment vertical="center"/>
    </xf>
    <xf numFmtId="0" fontId="12" fillId="11" borderId="2436" applyNumberFormat="0" applyProtection="0">
      <alignment horizontal="left" vertical="top" indent="1"/>
    </xf>
    <xf numFmtId="0" fontId="12" fillId="11" borderId="2436" applyNumberFormat="0" applyProtection="0">
      <alignment horizontal="left" vertical="center" indent="1"/>
    </xf>
    <xf numFmtId="0" fontId="12" fillId="52" borderId="2436" applyNumberFormat="0" applyProtection="0">
      <alignment horizontal="left" vertical="top" indent="1"/>
    </xf>
    <xf numFmtId="0" fontId="12" fillId="52" borderId="2436" applyNumberFormat="0" applyProtection="0">
      <alignment horizontal="left" vertical="center" indent="1"/>
    </xf>
    <xf numFmtId="0" fontId="12" fillId="84" borderId="2436" applyNumberFormat="0" applyProtection="0">
      <alignment horizontal="left" vertical="top" indent="1"/>
    </xf>
    <xf numFmtId="0" fontId="12" fillId="84" borderId="2436" applyNumberFormat="0" applyProtection="0">
      <alignment horizontal="left" vertical="center" indent="1"/>
    </xf>
    <xf numFmtId="0" fontId="12" fillId="75" borderId="2436" applyNumberFormat="0" applyProtection="0">
      <alignment horizontal="left" vertical="top" indent="1"/>
    </xf>
    <xf numFmtId="0" fontId="12" fillId="75" borderId="2436" applyNumberFormat="0" applyProtection="0">
      <alignment horizontal="left" vertical="center" indent="1"/>
    </xf>
    <xf numFmtId="4" fontId="184" fillId="52" borderId="2436" applyNumberFormat="0" applyProtection="0">
      <alignment horizontal="right" vertical="center"/>
    </xf>
    <xf numFmtId="4" fontId="226" fillId="82" borderId="2436" applyNumberFormat="0" applyProtection="0">
      <alignment horizontal="right" vertical="center"/>
    </xf>
    <xf numFmtId="4" fontId="226" fillId="81" borderId="2436" applyNumberFormat="0" applyProtection="0">
      <alignment horizontal="right" vertical="center"/>
    </xf>
    <xf numFmtId="4" fontId="226" fillId="80" borderId="2436" applyNumberFormat="0" applyProtection="0">
      <alignment horizontal="right" vertical="center"/>
    </xf>
    <xf numFmtId="4" fontId="226" fillId="71" borderId="2436" applyNumberFormat="0" applyProtection="0">
      <alignment horizontal="right" vertical="center"/>
    </xf>
    <xf numFmtId="4" fontId="226" fillId="79" borderId="2436" applyNumberFormat="0" applyProtection="0">
      <alignment horizontal="right" vertical="center"/>
    </xf>
    <xf numFmtId="4" fontId="226" fillId="10" borderId="2436" applyNumberFormat="0" applyProtection="0">
      <alignment horizontal="right" vertical="center"/>
    </xf>
    <xf numFmtId="4" fontId="226" fillId="78" borderId="2436" applyNumberFormat="0" applyProtection="0">
      <alignment horizontal="right" vertical="center"/>
    </xf>
    <xf numFmtId="4" fontId="226" fillId="77" borderId="2436" applyNumberFormat="0" applyProtection="0">
      <alignment horizontal="right" vertical="center"/>
    </xf>
    <xf numFmtId="4" fontId="226" fillId="76" borderId="2436" applyNumberFormat="0" applyProtection="0">
      <alignment horizontal="right" vertical="center"/>
    </xf>
    <xf numFmtId="0" fontId="225" fillId="53" borderId="2436" applyNumberFormat="0" applyProtection="0">
      <alignment horizontal="left" vertical="top" indent="1"/>
    </xf>
    <xf numFmtId="4" fontId="184" fillId="53" borderId="2436" applyNumberFormat="0" applyProtection="0">
      <alignment horizontal="left" vertical="center" indent="1"/>
    </xf>
    <xf numFmtId="4" fontId="224" fillId="53" borderId="2436" applyNumberFormat="0" applyProtection="0">
      <alignment vertical="center"/>
    </xf>
    <xf numFmtId="4" fontId="223" fillId="53" borderId="2436" applyNumberFormat="0" applyProtection="0">
      <alignment vertical="center"/>
    </xf>
    <xf numFmtId="0" fontId="210" fillId="0" borderId="2463" applyNumberFormat="0" applyFill="0" applyBorder="0" applyAlignment="0">
      <protection locked="0"/>
    </xf>
    <xf numFmtId="188" fontId="25" fillId="0" borderId="2449" applyFont="0" applyFill="0" applyBorder="0" applyAlignment="0" applyProtection="0">
      <alignment horizontal="center"/>
    </xf>
    <xf numFmtId="0" fontId="184" fillId="0" borderId="2435" applyAlignment="0">
      <alignment horizontal="left" wrapText="1"/>
    </xf>
    <xf numFmtId="264" fontId="12" fillId="14" borderId="2463" applyFont="0" applyFill="0" applyBorder="0" applyAlignment="0" applyProtection="0">
      <alignment horizontal="right"/>
    </xf>
    <xf numFmtId="0" fontId="25" fillId="69" borderId="2434">
      <alignment horizontal="left" vertical="center" wrapText="1"/>
    </xf>
    <xf numFmtId="0" fontId="166" fillId="0" borderId="2463">
      <alignment horizontal="center"/>
    </xf>
    <xf numFmtId="0" fontId="165" fillId="0" borderId="2463" applyFill="0" applyProtection="0">
      <alignment horizontal="center"/>
    </xf>
    <xf numFmtId="0" fontId="159" fillId="67" borderId="2434"/>
    <xf numFmtId="0" fontId="159" fillId="0" borderId="2434"/>
    <xf numFmtId="0" fontId="135" fillId="0" borderId="2434"/>
    <xf numFmtId="0" fontId="135" fillId="0" borderId="2434"/>
    <xf numFmtId="186" fontId="48" fillId="3" borderId="2432">
      <alignment vertical="center"/>
    </xf>
    <xf numFmtId="186" fontId="146" fillId="3" borderId="2463" applyBorder="0">
      <alignment horizontal="left" vertical="center"/>
    </xf>
    <xf numFmtId="180" fontId="9" fillId="3" borderId="2463">
      <alignment horizontal="right" vertical="center"/>
    </xf>
    <xf numFmtId="192" fontId="9" fillId="3" borderId="2463">
      <alignment horizontal="right" vertical="center"/>
    </xf>
    <xf numFmtId="182" fontId="145" fillId="3" borderId="2432">
      <alignment horizontal="right" vertical="center"/>
    </xf>
    <xf numFmtId="0" fontId="48" fillId="0" borderId="2432" applyFont="0" applyFill="0" applyBorder="0" applyAlignment="0" applyProtection="0">
      <alignment horizontal="center"/>
    </xf>
    <xf numFmtId="0" fontId="74" fillId="0" borderId="2432" applyFont="0" applyFill="0" applyBorder="0" applyAlignment="0" applyProtection="0">
      <alignment horizontal="center"/>
    </xf>
    <xf numFmtId="0" fontId="12" fillId="0" borderId="2463" applyNumberFormat="0" applyFill="0" applyBorder="0" applyAlignment="0" applyProtection="0">
      <alignment horizontal="center"/>
    </xf>
    <xf numFmtId="180" fontId="9" fillId="3" borderId="2683">
      <alignment horizontal="right" vertical="center"/>
    </xf>
    <xf numFmtId="5" fontId="114" fillId="0" borderId="2432" applyAlignment="0" applyProtection="0"/>
    <xf numFmtId="0" fontId="113" fillId="0" borderId="2463" applyNumberFormat="0" applyFill="0" applyAlignment="0" applyProtection="0"/>
    <xf numFmtId="0" fontId="48" fillId="0" borderId="2433" applyNumberFormat="0" applyFill="0" applyAlignment="0" applyProtection="0"/>
    <xf numFmtId="0" fontId="105" fillId="0" borderId="2433" applyNumberFormat="0" applyFill="0" applyBorder="0" applyAlignment="0" applyProtection="0"/>
    <xf numFmtId="0" fontId="46" fillId="0" borderId="2433" applyNumberFormat="0" applyFill="0" applyBorder="0" applyAlignment="0" applyProtection="0"/>
    <xf numFmtId="0" fontId="12" fillId="0" borderId="2433" applyNumberFormat="0" applyFill="0" applyBorder="0" applyAlignment="0" applyProtection="0"/>
    <xf numFmtId="222" fontId="79" fillId="0" borderId="2420" applyBorder="0"/>
    <xf numFmtId="0" fontId="101" fillId="0" borderId="2463" applyBorder="0"/>
    <xf numFmtId="10" fontId="12" fillId="3" borderId="2446" applyNumberFormat="0" applyFont="0" applyFill="0" applyBorder="0" applyAlignment="0">
      <protection locked="0"/>
    </xf>
    <xf numFmtId="248" fontId="46" fillId="0" borderId="2463"/>
    <xf numFmtId="10" fontId="12" fillId="3" borderId="2446" applyNumberFormat="0" applyFont="0" applyFill="0" applyBorder="0" applyAlignment="0">
      <protection locked="0"/>
    </xf>
    <xf numFmtId="10" fontId="12" fillId="3" borderId="2446" applyNumberFormat="0" applyFont="0" applyFill="0" applyBorder="0" applyAlignment="0">
      <protection locked="0"/>
    </xf>
    <xf numFmtId="246" fontId="250" fillId="0" borderId="2463" applyFill="0" applyProtection="0">
      <alignment horizontal="center"/>
    </xf>
    <xf numFmtId="246" fontId="249" fillId="0" borderId="2463" applyFill="0" applyProtection="0">
      <alignment horizontal="center"/>
    </xf>
    <xf numFmtId="0" fontId="241" fillId="94" borderId="2463" applyBorder="0" applyProtection="0">
      <alignment horizontal="centerContinuous" vertical="center"/>
    </xf>
    <xf numFmtId="254" fontId="240" fillId="0" borderId="2463" applyBorder="0" applyProtection="0">
      <alignment horizontal="right" vertical="center"/>
    </xf>
    <xf numFmtId="0" fontId="210" fillId="0" borderId="2463" applyNumberFormat="0" applyFill="0" applyBorder="0" applyAlignment="0">
      <protection locked="0"/>
    </xf>
    <xf numFmtId="188" fontId="25" fillId="0" borderId="2449" applyFont="0" applyFill="0" applyBorder="0" applyAlignment="0" applyProtection="0">
      <alignment horizontal="center"/>
    </xf>
    <xf numFmtId="264" fontId="12" fillId="14" borderId="2463" applyFont="0" applyFill="0" applyBorder="0" applyAlignment="0" applyProtection="0">
      <alignment horizontal="right"/>
    </xf>
    <xf numFmtId="0" fontId="166" fillId="0" borderId="2463">
      <alignment horizontal="center"/>
    </xf>
    <xf numFmtId="0" fontId="165" fillId="0" borderId="2463" applyFill="0" applyProtection="0">
      <alignment horizontal="center"/>
    </xf>
    <xf numFmtId="186" fontId="146" fillId="3" borderId="2463" applyBorder="0">
      <alignment horizontal="left" vertical="center"/>
    </xf>
    <xf numFmtId="180" fontId="9" fillId="3" borderId="2463">
      <alignment horizontal="right" vertical="center"/>
    </xf>
    <xf numFmtId="192" fontId="9" fillId="3" borderId="2463">
      <alignment horizontal="right" vertical="center"/>
    </xf>
    <xf numFmtId="248" fontId="46" fillId="0" borderId="2463"/>
    <xf numFmtId="0" fontId="12" fillId="0" borderId="2463" applyNumberFormat="0" applyFill="0" applyBorder="0" applyAlignment="0" applyProtection="0">
      <alignment horizontal="center"/>
    </xf>
    <xf numFmtId="0" fontId="113" fillId="0" borderId="2463" applyNumberFormat="0" applyFill="0" applyAlignment="0" applyProtection="0"/>
    <xf numFmtId="222" fontId="79" fillId="0" borderId="2420" applyBorder="0"/>
    <xf numFmtId="0" fontId="101" fillId="0" borderId="2463" applyBorder="0"/>
    <xf numFmtId="10" fontId="12" fillId="3" borderId="2446" applyNumberFormat="0" applyFont="0" applyFill="0" applyBorder="0" applyAlignment="0">
      <protection locked="0"/>
    </xf>
    <xf numFmtId="246" fontId="250" fillId="0" borderId="2623" applyFill="0" applyProtection="0">
      <alignment horizontal="center"/>
    </xf>
    <xf numFmtId="0" fontId="166" fillId="0" borderId="2695">
      <alignment horizontal="center"/>
    </xf>
    <xf numFmtId="222" fontId="79" fillId="0" borderId="2513" applyBorder="0"/>
    <xf numFmtId="222" fontId="79" fillId="0" borderId="2526" applyBorder="0"/>
    <xf numFmtId="0" fontId="101" fillId="0" borderId="2527" applyBorder="0"/>
    <xf numFmtId="222" fontId="79" fillId="0" borderId="2526" applyBorder="0"/>
    <xf numFmtId="0" fontId="113" fillId="0" borderId="2527" applyNumberFormat="0" applyFill="0" applyAlignment="0" applyProtection="0"/>
    <xf numFmtId="0" fontId="12" fillId="0" borderId="2527" applyNumberFormat="0" applyFill="0" applyBorder="0" applyAlignment="0" applyProtection="0">
      <alignment horizontal="center"/>
    </xf>
    <xf numFmtId="248" fontId="46" fillId="0" borderId="2527"/>
    <xf numFmtId="192" fontId="9" fillId="3" borderId="2527">
      <alignment horizontal="right" vertical="center"/>
    </xf>
    <xf numFmtId="180" fontId="9" fillId="3" borderId="2527">
      <alignment horizontal="right" vertical="center"/>
    </xf>
    <xf numFmtId="186" fontId="146" fillId="3" borderId="2527" applyBorder="0">
      <alignment horizontal="left" vertical="center"/>
    </xf>
    <xf numFmtId="0" fontId="165" fillId="0" borderId="2527" applyFill="0" applyProtection="0">
      <alignment horizontal="center"/>
    </xf>
    <xf numFmtId="0" fontId="166" fillId="0" borderId="2527">
      <alignment horizontal="center"/>
    </xf>
    <xf numFmtId="264" fontId="12" fillId="14" borderId="2527" applyFont="0" applyFill="0" applyBorder="0" applyAlignment="0" applyProtection="0">
      <alignment horizontal="right"/>
    </xf>
    <xf numFmtId="0" fontId="210" fillId="0" borderId="2527" applyNumberFormat="0" applyFill="0" applyBorder="0" applyAlignment="0">
      <protection locked="0"/>
    </xf>
    <xf numFmtId="254" fontId="240" fillId="0" borderId="2527" applyBorder="0" applyProtection="0">
      <alignment horizontal="right" vertical="center"/>
    </xf>
    <xf numFmtId="0" fontId="241" fillId="94" borderId="2527" applyBorder="0" applyProtection="0">
      <alignment horizontal="centerContinuous" vertical="center"/>
    </xf>
    <xf numFmtId="246" fontId="249" fillId="0" borderId="2527" applyFill="0" applyProtection="0">
      <alignment horizontal="center"/>
    </xf>
    <xf numFmtId="246" fontId="250" fillId="0" borderId="2527" applyFill="0" applyProtection="0">
      <alignment horizontal="center"/>
    </xf>
    <xf numFmtId="0" fontId="78" fillId="14" borderId="2529" applyFont="0" applyFill="0" applyBorder="0" applyAlignment="0" applyProtection="0"/>
    <xf numFmtId="0" fontId="25" fillId="10" borderId="2537" applyNumberFormat="0" applyProtection="0">
      <alignment horizontal="left" vertical="top"/>
    </xf>
    <xf numFmtId="0" fontId="25" fillId="10" borderId="2536" applyNumberFormat="0" applyProtection="0">
      <alignment horizontal="left" vertical="top"/>
    </xf>
    <xf numFmtId="0" fontId="25" fillId="10" borderId="2535" applyNumberFormat="0" applyProtection="0">
      <alignment horizontal="left" vertical="top"/>
    </xf>
    <xf numFmtId="0" fontId="25" fillId="10" borderId="2534" applyNumberFormat="0" applyProtection="0">
      <alignment horizontal="left" vertical="top"/>
    </xf>
    <xf numFmtId="0" fontId="214" fillId="0" borderId="2533" applyNumberFormat="0" applyFont="0" applyFill="0" applyAlignment="0" applyProtection="0"/>
    <xf numFmtId="0" fontId="2" fillId="0" borderId="2532" applyNumberFormat="0" applyAlignment="0" applyProtection="0"/>
    <xf numFmtId="186" fontId="140" fillId="3" borderId="2531">
      <alignment horizontal="center" vertical="center"/>
    </xf>
    <xf numFmtId="186" fontId="146" fillId="3" borderId="2530">
      <alignment horizontal="left"/>
    </xf>
    <xf numFmtId="0" fontId="75" fillId="0" borderId="2528" applyNumberFormat="0" applyFont="0" applyFill="0" applyAlignment="0" applyProtection="0"/>
    <xf numFmtId="222" fontId="79" fillId="0" borderId="2538" applyBorder="0"/>
    <xf numFmtId="0" fontId="101" fillId="0" borderId="2539" applyBorder="0"/>
    <xf numFmtId="222" fontId="79" fillId="0" borderId="2538" applyBorder="0"/>
    <xf numFmtId="0" fontId="113" fillId="0" borderId="2539" applyNumberFormat="0" applyFill="0" applyAlignment="0" applyProtection="0"/>
    <xf numFmtId="0" fontId="12" fillId="0" borderId="2539" applyNumberFormat="0" applyFill="0" applyBorder="0" applyAlignment="0" applyProtection="0">
      <alignment horizontal="center"/>
    </xf>
    <xf numFmtId="248" fontId="46" fillId="0" borderId="2539"/>
    <xf numFmtId="192" fontId="9" fillId="3" borderId="2539">
      <alignment horizontal="right" vertical="center"/>
    </xf>
    <xf numFmtId="180" fontId="9" fillId="3" borderId="2539">
      <alignment horizontal="right" vertical="center"/>
    </xf>
    <xf numFmtId="186" fontId="146" fillId="3" borderId="2539" applyBorder="0">
      <alignment horizontal="left" vertical="center"/>
    </xf>
    <xf numFmtId="0" fontId="165" fillId="0" borderId="2539" applyFill="0" applyProtection="0">
      <alignment horizontal="center"/>
    </xf>
    <xf numFmtId="0" fontId="166" fillId="0" borderId="2539">
      <alignment horizontal="center"/>
    </xf>
    <xf numFmtId="264" fontId="12" fillId="14" borderId="2539" applyFont="0" applyFill="0" applyBorder="0" applyAlignment="0" applyProtection="0">
      <alignment horizontal="right"/>
    </xf>
    <xf numFmtId="0" fontId="210" fillId="0" borderId="2539" applyNumberFormat="0" applyFill="0" applyBorder="0" applyAlignment="0">
      <protection locked="0"/>
    </xf>
    <xf numFmtId="254" fontId="240" fillId="0" borderId="2539" applyBorder="0" applyProtection="0">
      <alignment horizontal="right" vertical="center"/>
    </xf>
    <xf numFmtId="0" fontId="241" fillId="94" borderId="2539" applyBorder="0" applyProtection="0">
      <alignment horizontal="centerContinuous" vertical="center"/>
    </xf>
    <xf numFmtId="246" fontId="249" fillId="0" borderId="2539" applyFill="0" applyProtection="0">
      <alignment horizontal="center"/>
    </xf>
    <xf numFmtId="246" fontId="250" fillId="0" borderId="2539" applyFill="0" applyProtection="0">
      <alignment horizontal="center"/>
    </xf>
    <xf numFmtId="186" fontId="146" fillId="3" borderId="2542">
      <alignment horizontal="left"/>
    </xf>
    <xf numFmtId="0" fontId="75" fillId="0" borderId="2540" applyNumberFormat="0" applyFont="0" applyFill="0" applyAlignment="0" applyProtection="0"/>
    <xf numFmtId="0" fontId="113" fillId="0" borderId="2623" applyNumberFormat="0" applyFill="0" applyAlignment="0" applyProtection="0"/>
    <xf numFmtId="264" fontId="12" fillId="14" borderId="2623" applyFont="0" applyFill="0" applyBorder="0" applyAlignment="0" applyProtection="0">
      <alignment horizontal="right"/>
    </xf>
    <xf numFmtId="246" fontId="249" fillId="0" borderId="2623" applyFill="0" applyProtection="0">
      <alignment horizontal="center"/>
    </xf>
    <xf numFmtId="0" fontId="25" fillId="10" borderId="2549" applyNumberFormat="0" applyProtection="0">
      <alignment horizontal="left" vertical="top"/>
    </xf>
    <xf numFmtId="0" fontId="25" fillId="10" borderId="2547" applyNumberFormat="0" applyProtection="0">
      <alignment horizontal="left" vertical="top"/>
    </xf>
    <xf numFmtId="0" fontId="25" fillId="10" borderId="2548" applyNumberFormat="0" applyProtection="0">
      <alignment horizontal="left" vertical="top"/>
    </xf>
    <xf numFmtId="0" fontId="25" fillId="10" borderId="2546" applyNumberFormat="0" applyProtection="0">
      <alignment horizontal="left" vertical="top"/>
    </xf>
    <xf numFmtId="0" fontId="25" fillId="10" borderId="2549" applyNumberFormat="0" applyProtection="0">
      <alignment horizontal="left" vertical="top"/>
    </xf>
    <xf numFmtId="0" fontId="25" fillId="10" borderId="2548" applyNumberFormat="0" applyProtection="0">
      <alignment horizontal="left" vertical="top"/>
    </xf>
    <xf numFmtId="0" fontId="25" fillId="10" borderId="2547" applyNumberFormat="0" applyProtection="0">
      <alignment horizontal="left" vertical="top"/>
    </xf>
    <xf numFmtId="0" fontId="25" fillId="10" borderId="2546" applyNumberFormat="0" applyProtection="0">
      <alignment horizontal="left" vertical="top"/>
    </xf>
    <xf numFmtId="0" fontId="214" fillId="0" borderId="2545" applyNumberFormat="0" applyFont="0" applyFill="0" applyAlignment="0" applyProtection="0"/>
    <xf numFmtId="0" fontId="2" fillId="0" borderId="2544" applyNumberFormat="0" applyAlignment="0" applyProtection="0"/>
    <xf numFmtId="186" fontId="140" fillId="3" borderId="2543">
      <alignment horizontal="center" vertical="center"/>
    </xf>
    <xf numFmtId="186" fontId="140" fillId="3" borderId="2555">
      <alignment horizontal="center" vertical="center"/>
    </xf>
    <xf numFmtId="0" fontId="25" fillId="10" borderId="2558" applyNumberFormat="0" applyProtection="0">
      <alignment horizontal="left" vertical="top"/>
    </xf>
    <xf numFmtId="0" fontId="12" fillId="0" borderId="2623" applyNumberFormat="0" applyFill="0" applyBorder="0" applyAlignment="0" applyProtection="0">
      <alignment horizontal="center"/>
    </xf>
    <xf numFmtId="0" fontId="25" fillId="10" borderId="2620" applyNumberFormat="0" applyProtection="0">
      <alignment horizontal="left" vertical="top"/>
    </xf>
    <xf numFmtId="222" fontId="79" fillId="0" borderId="2610" applyBorder="0"/>
    <xf numFmtId="0" fontId="78" fillId="14" borderId="2613" applyFont="0" applyFill="0" applyBorder="0" applyAlignment="0" applyProtection="0"/>
    <xf numFmtId="222" fontId="79" fillId="0" borderId="2622" applyBorder="0"/>
    <xf numFmtId="0" fontId="101" fillId="0" borderId="2623" applyBorder="0"/>
    <xf numFmtId="222" fontId="79" fillId="0" borderId="2622" applyBorder="0"/>
    <xf numFmtId="248" fontId="46" fillId="0" borderId="2623"/>
    <xf numFmtId="192" fontId="9" fillId="3" borderId="2623">
      <alignment horizontal="right" vertical="center"/>
    </xf>
    <xf numFmtId="180" fontId="9" fillId="3" borderId="2623">
      <alignment horizontal="right" vertical="center"/>
    </xf>
    <xf numFmtId="186" fontId="146" fillId="3" borderId="2623" applyBorder="0">
      <alignment horizontal="left" vertical="center"/>
    </xf>
    <xf numFmtId="0" fontId="165" fillId="0" borderId="2623" applyFill="0" applyProtection="0">
      <alignment horizontal="center"/>
    </xf>
    <xf numFmtId="0" fontId="210" fillId="0" borderId="2623" applyNumberFormat="0" applyFill="0" applyBorder="0" applyAlignment="0">
      <protection locked="0"/>
    </xf>
    <xf numFmtId="254" fontId="240" fillId="0" borderId="2623" applyBorder="0" applyProtection="0">
      <alignment horizontal="right" vertical="center"/>
    </xf>
    <xf numFmtId="246" fontId="250" fillId="0" borderId="2623" applyFill="0" applyProtection="0">
      <alignment horizontal="center"/>
    </xf>
    <xf numFmtId="222" fontId="79" fillId="0" borderId="2562" applyBorder="0"/>
    <xf numFmtId="0" fontId="25" fillId="10" borderId="2559" applyNumberFormat="0" applyProtection="0">
      <alignment horizontal="left" vertical="top"/>
    </xf>
    <xf numFmtId="0" fontId="25" fillId="10" borderId="2561" applyNumberFormat="0" applyProtection="0">
      <alignment horizontal="left" vertical="top"/>
    </xf>
    <xf numFmtId="0" fontId="25" fillId="10" borderId="2558" applyNumberFormat="0" applyProtection="0">
      <alignment horizontal="left" vertical="top"/>
    </xf>
    <xf numFmtId="0" fontId="25" fillId="10" borderId="2559" applyNumberFormat="0" applyProtection="0">
      <alignment horizontal="left" vertical="top"/>
    </xf>
    <xf numFmtId="0" fontId="25" fillId="10" borderId="2560" applyNumberFormat="0" applyProtection="0">
      <alignment horizontal="left" vertical="top"/>
    </xf>
    <xf numFmtId="0" fontId="75" fillId="0" borderId="2564" applyNumberFormat="0" applyFont="0" applyFill="0" applyAlignment="0" applyProtection="0"/>
    <xf numFmtId="0" fontId="101" fillId="0" borderId="2575" applyBorder="0"/>
    <xf numFmtId="222" fontId="79" fillId="0" borderId="2574" applyBorder="0"/>
    <xf numFmtId="0" fontId="113" fillId="0" borderId="2575" applyNumberFormat="0" applyFill="0" applyAlignment="0" applyProtection="0"/>
    <xf numFmtId="0" fontId="12" fillId="0" borderId="2575" applyNumberFormat="0" applyFill="0" applyBorder="0" applyAlignment="0" applyProtection="0">
      <alignment horizontal="center"/>
    </xf>
    <xf numFmtId="248" fontId="46" fillId="0" borderId="2575"/>
    <xf numFmtId="192" fontId="9" fillId="3" borderId="2575">
      <alignment horizontal="right" vertical="center"/>
    </xf>
    <xf numFmtId="180" fontId="9" fillId="3" borderId="2575">
      <alignment horizontal="right" vertical="center"/>
    </xf>
    <xf numFmtId="186" fontId="146" fillId="3" borderId="2575" applyBorder="0">
      <alignment horizontal="left" vertical="center"/>
    </xf>
    <xf numFmtId="0" fontId="166" fillId="0" borderId="2575">
      <alignment horizontal="center"/>
    </xf>
    <xf numFmtId="0" fontId="210" fillId="0" borderId="2575" applyNumberFormat="0" applyFill="0" applyBorder="0" applyAlignment="0">
      <protection locked="0"/>
    </xf>
    <xf numFmtId="264" fontId="12" fillId="14" borderId="2575" applyFont="0" applyFill="0" applyBorder="0" applyAlignment="0" applyProtection="0">
      <alignment horizontal="right"/>
    </xf>
    <xf numFmtId="246" fontId="249" fillId="0" borderId="2575" applyFill="0" applyProtection="0">
      <alignment horizontal="center"/>
    </xf>
    <xf numFmtId="246" fontId="250" fillId="0" borderId="2575" applyFill="0" applyProtection="0">
      <alignment horizontal="center"/>
    </xf>
    <xf numFmtId="246" fontId="250" fillId="0" borderId="2599" applyFill="0" applyProtection="0">
      <alignment horizontal="center"/>
    </xf>
    <xf numFmtId="246" fontId="249" fillId="0" borderId="2599" applyFill="0" applyProtection="0">
      <alignment horizontal="center"/>
    </xf>
    <xf numFmtId="254" fontId="240" fillId="0" borderId="2599" applyBorder="0" applyProtection="0">
      <alignment horizontal="right" vertical="center"/>
    </xf>
    <xf numFmtId="264" fontId="12" fillId="14" borderId="2599" applyFont="0" applyFill="0" applyBorder="0" applyAlignment="0" applyProtection="0">
      <alignment horizontal="right"/>
    </xf>
    <xf numFmtId="0" fontId="165" fillId="0" borderId="2599" applyFill="0" applyProtection="0">
      <alignment horizontal="center"/>
    </xf>
    <xf numFmtId="180" fontId="9" fillId="3" borderId="2599">
      <alignment horizontal="right" vertical="center"/>
    </xf>
    <xf numFmtId="0" fontId="12" fillId="0" borderId="2599" applyNumberFormat="0" applyFill="0" applyBorder="0" applyAlignment="0" applyProtection="0">
      <alignment horizontal="center"/>
    </xf>
    <xf numFmtId="0" fontId="101" fillId="0" borderId="2599" applyBorder="0"/>
    <xf numFmtId="222" fontId="79" fillId="0" borderId="2598" applyBorder="0"/>
    <xf numFmtId="0" fontId="75" fillId="0" borderId="2588" applyNumberFormat="0" applyFont="0" applyFill="0" applyAlignment="0" applyProtection="0"/>
    <xf numFmtId="0" fontId="2" fillId="0" borderId="2592" applyNumberFormat="0" applyAlignment="0" applyProtection="0"/>
    <xf numFmtId="0" fontId="25" fillId="10" borderId="2594" applyNumberFormat="0" applyProtection="0">
      <alignment horizontal="left" vertical="top"/>
    </xf>
    <xf numFmtId="0" fontId="25" fillId="10" borderId="2597" applyNumberFormat="0" applyProtection="0">
      <alignment horizontal="left" vertical="top"/>
    </xf>
    <xf numFmtId="222" fontId="79" fillId="0" borderId="2586" applyBorder="0"/>
    <xf numFmtId="0" fontId="25" fillId="10" borderId="2572" applyNumberFormat="0" applyProtection="0">
      <alignment horizontal="left" vertical="top"/>
    </xf>
    <xf numFmtId="0" fontId="25" fillId="10" borderId="2570" applyNumberFormat="0" applyProtection="0">
      <alignment horizontal="left" vertical="top"/>
    </xf>
    <xf numFmtId="0" fontId="214" fillId="0" borderId="2569" applyNumberFormat="0" applyFont="0" applyFill="0" applyAlignment="0" applyProtection="0"/>
    <xf numFmtId="186" fontId="146" fillId="3" borderId="2566">
      <alignment horizontal="left"/>
    </xf>
    <xf numFmtId="222" fontId="79" fillId="0" borderId="2574" applyBorder="0"/>
    <xf numFmtId="0" fontId="101" fillId="0" borderId="2463" applyBorder="0"/>
    <xf numFmtId="0" fontId="113" fillId="0" borderId="2463" applyNumberFormat="0" applyFill="0" applyAlignment="0" applyProtection="0"/>
    <xf numFmtId="0" fontId="12" fillId="0" borderId="2463" applyNumberFormat="0" applyFill="0" applyBorder="0" applyAlignment="0" applyProtection="0">
      <alignment horizontal="center"/>
    </xf>
    <xf numFmtId="248" fontId="46" fillId="0" borderId="2463"/>
    <xf numFmtId="192" fontId="9" fillId="3" borderId="2463">
      <alignment horizontal="right" vertical="center"/>
    </xf>
    <xf numFmtId="180" fontId="9" fillId="3" borderId="2463">
      <alignment horizontal="right" vertical="center"/>
    </xf>
    <xf numFmtId="186" fontId="146" fillId="3" borderId="2463" applyBorder="0">
      <alignment horizontal="left" vertical="center"/>
    </xf>
    <xf numFmtId="0" fontId="165" fillId="0" borderId="2463" applyFill="0" applyProtection="0">
      <alignment horizontal="center"/>
    </xf>
    <xf numFmtId="0" fontId="166" fillId="0" borderId="2463">
      <alignment horizontal="center"/>
    </xf>
    <xf numFmtId="264" fontId="12" fillId="14" borderId="2463" applyFont="0" applyFill="0" applyBorder="0" applyAlignment="0" applyProtection="0">
      <alignment horizontal="right"/>
    </xf>
    <xf numFmtId="0" fontId="210" fillId="0" borderId="2463" applyNumberFormat="0" applyFill="0" applyBorder="0" applyAlignment="0">
      <protection locked="0"/>
    </xf>
    <xf numFmtId="248" fontId="46" fillId="0" borderId="2599"/>
    <xf numFmtId="222" fontId="79" fillId="0" borderId="2598" applyBorder="0"/>
    <xf numFmtId="186" fontId="140" fillId="3" borderId="2591">
      <alignment horizontal="center" vertical="center"/>
    </xf>
    <xf numFmtId="0" fontId="25" fillId="10" borderId="2596" applyNumberFormat="0" applyProtection="0">
      <alignment horizontal="left" vertical="top"/>
    </xf>
    <xf numFmtId="0" fontId="210" fillId="0" borderId="2599" applyNumberFormat="0" applyFill="0" applyBorder="0" applyAlignment="0">
      <protection locked="0"/>
    </xf>
    <xf numFmtId="192" fontId="9" fillId="3" borderId="2599">
      <alignment horizontal="right" vertical="center"/>
    </xf>
    <xf numFmtId="0" fontId="113" fillId="0" borderId="2599" applyNumberFormat="0" applyFill="0" applyAlignment="0" applyProtection="0"/>
    <xf numFmtId="186" fontId="146" fillId="3" borderId="2590">
      <alignment horizontal="left"/>
    </xf>
    <xf numFmtId="0" fontId="25" fillId="10" borderId="2595" applyNumberFormat="0" applyProtection="0">
      <alignment horizontal="left" vertical="top"/>
    </xf>
    <xf numFmtId="254" fontId="240" fillId="0" borderId="2463" applyBorder="0" applyProtection="0">
      <alignment horizontal="right" vertical="center"/>
    </xf>
    <xf numFmtId="0" fontId="241" fillId="94" borderId="2463" applyBorder="0" applyProtection="0">
      <alignment horizontal="centerContinuous" vertical="center"/>
    </xf>
    <xf numFmtId="246" fontId="249" fillId="0" borderId="2463" applyFill="0" applyProtection="0">
      <alignment horizontal="center"/>
    </xf>
    <xf numFmtId="246" fontId="250" fillId="0" borderId="2463" applyFill="0" applyProtection="0">
      <alignment horizontal="center"/>
    </xf>
    <xf numFmtId="0" fontId="25" fillId="10" borderId="2619" applyNumberFormat="0" applyProtection="0">
      <alignment horizontal="left" vertical="top"/>
    </xf>
    <xf numFmtId="0" fontId="25" fillId="10" borderId="2621" applyNumberFormat="0" applyProtection="0">
      <alignment horizontal="left" vertical="top"/>
    </xf>
    <xf numFmtId="222" fontId="79" fillId="0" borderId="2550" applyBorder="0"/>
    <xf numFmtId="0" fontId="214" fillId="0" borderId="2617" applyNumberFormat="0" applyFont="0" applyFill="0" applyAlignment="0" applyProtection="0"/>
    <xf numFmtId="0" fontId="75" fillId="0" borderId="2552" applyNumberFormat="0" applyFont="0" applyFill="0" applyAlignment="0" applyProtection="0"/>
    <xf numFmtId="0" fontId="25" fillId="10" borderId="2560" applyNumberFormat="0" applyProtection="0">
      <alignment horizontal="left" vertical="top"/>
    </xf>
    <xf numFmtId="0" fontId="25" fillId="10" borderId="2561" applyNumberFormat="0" applyProtection="0">
      <alignment horizontal="left" vertical="top"/>
    </xf>
    <xf numFmtId="0" fontId="165" fillId="0" borderId="2575" applyFill="0" applyProtection="0">
      <alignment horizontal="center"/>
    </xf>
    <xf numFmtId="254" fontId="240" fillId="0" borderId="2575" applyBorder="0" applyProtection="0">
      <alignment horizontal="right" vertical="center"/>
    </xf>
    <xf numFmtId="0" fontId="241" fillId="94" borderId="2575" applyBorder="0" applyProtection="0">
      <alignment horizontal="centerContinuous" vertical="center"/>
    </xf>
    <xf numFmtId="0" fontId="241" fillId="94" borderId="2599" applyBorder="0" applyProtection="0">
      <alignment horizontal="centerContinuous" vertical="center"/>
    </xf>
    <xf numFmtId="0" fontId="166" fillId="0" borderId="2599">
      <alignment horizontal="center"/>
    </xf>
    <xf numFmtId="186" fontId="146" fillId="3" borderId="2599" applyBorder="0">
      <alignment horizontal="left" vertical="center"/>
    </xf>
    <xf numFmtId="0" fontId="214" fillId="0" borderId="2593" applyNumberFormat="0" applyFont="0" applyFill="0" applyAlignment="0" applyProtection="0"/>
    <xf numFmtId="0" fontId="78" fillId="14" borderId="2589" applyFont="0" applyFill="0" applyBorder="0" applyAlignment="0" applyProtection="0"/>
    <xf numFmtId="0" fontId="78" fillId="14" borderId="2516" applyFont="0" applyFill="0" applyBorder="0" applyAlignment="0" applyProtection="0"/>
    <xf numFmtId="0" fontId="25" fillId="10" borderId="2419" applyNumberFormat="0" applyProtection="0">
      <alignment horizontal="left" vertical="top"/>
    </xf>
    <xf numFmtId="0" fontId="25" fillId="10" borderId="2418" applyNumberFormat="0" applyProtection="0">
      <alignment horizontal="left" vertical="top"/>
    </xf>
    <xf numFmtId="0" fontId="25" fillId="10" borderId="2417" applyNumberFormat="0" applyProtection="0">
      <alignment horizontal="left" vertical="top"/>
    </xf>
    <xf numFmtId="0" fontId="25" fillId="10" borderId="2416" applyNumberFormat="0" applyProtection="0">
      <alignment horizontal="left" vertical="top"/>
    </xf>
    <xf numFmtId="186" fontId="140" fillId="3" borderId="2615">
      <alignment horizontal="center" vertical="center"/>
    </xf>
    <xf numFmtId="0" fontId="214" fillId="0" borderId="2415" applyNumberFormat="0" applyFont="0" applyFill="0" applyAlignment="0" applyProtection="0"/>
    <xf numFmtId="186" fontId="140" fillId="3" borderId="2389">
      <alignment horizontal="center" vertical="center"/>
    </xf>
    <xf numFmtId="186" fontId="146" fillId="3" borderId="2316">
      <alignment horizontal="left"/>
    </xf>
    <xf numFmtId="186" fontId="146" fillId="3" borderId="2614">
      <alignment horizontal="left"/>
    </xf>
    <xf numFmtId="0" fontId="75" fillId="0" borderId="2314" applyNumberFormat="0" applyFont="0" applyFill="0" applyAlignment="0" applyProtection="0"/>
    <xf numFmtId="0" fontId="75" fillId="0" borderId="2612" applyNumberFormat="0" applyFont="0" applyFill="0" applyAlignment="0" applyProtection="0"/>
    <xf numFmtId="222" fontId="79" fillId="0" borderId="2526" applyBorder="0"/>
    <xf numFmtId="222" fontId="79" fillId="0" borderId="2526" applyBorder="0"/>
    <xf numFmtId="0" fontId="25" fillId="10" borderId="2618" applyNumberFormat="0" applyProtection="0">
      <alignment horizontal="left" vertical="top"/>
    </xf>
    <xf numFmtId="0" fontId="2" fillId="0" borderId="2616" applyNumberFormat="0" applyAlignment="0" applyProtection="0"/>
    <xf numFmtId="246" fontId="250" fillId="0" borderId="2551" applyFill="0" applyProtection="0">
      <alignment horizontal="center"/>
    </xf>
    <xf numFmtId="246" fontId="249" fillId="0" borderId="2551" applyFill="0" applyProtection="0">
      <alignment horizontal="center"/>
    </xf>
    <xf numFmtId="0" fontId="241" fillId="94" borderId="2551" applyBorder="0" applyProtection="0">
      <alignment horizontal="centerContinuous" vertical="center"/>
    </xf>
    <xf numFmtId="254" fontId="240" fillId="0" borderId="2551" applyBorder="0" applyProtection="0">
      <alignment horizontal="right" vertical="center"/>
    </xf>
    <xf numFmtId="0" fontId="210" fillId="0" borderId="2551" applyNumberFormat="0" applyFill="0" applyBorder="0" applyAlignment="0">
      <protection locked="0"/>
    </xf>
    <xf numFmtId="264" fontId="12" fillId="14" borderId="2551" applyFont="0" applyFill="0" applyBorder="0" applyAlignment="0" applyProtection="0">
      <alignment horizontal="right"/>
    </xf>
    <xf numFmtId="0" fontId="166" fillId="0" borderId="2551">
      <alignment horizontal="center"/>
    </xf>
    <xf numFmtId="0" fontId="165" fillId="0" borderId="2551" applyFill="0" applyProtection="0">
      <alignment horizontal="center"/>
    </xf>
    <xf numFmtId="186" fontId="146" fillId="3" borderId="2551" applyBorder="0">
      <alignment horizontal="left" vertical="center"/>
    </xf>
    <xf numFmtId="180" fontId="9" fillId="3" borderId="2551">
      <alignment horizontal="right" vertical="center"/>
    </xf>
    <xf numFmtId="192" fontId="9" fillId="3" borderId="2551">
      <alignment horizontal="right" vertical="center"/>
    </xf>
    <xf numFmtId="248" fontId="46" fillId="0" borderId="2551"/>
    <xf numFmtId="0" fontId="12" fillId="0" borderId="2551" applyNumberFormat="0" applyFill="0" applyBorder="0" applyAlignment="0" applyProtection="0">
      <alignment horizontal="center"/>
    </xf>
    <xf numFmtId="0" fontId="113" fillId="0" borderId="2551" applyNumberFormat="0" applyFill="0" applyAlignment="0" applyProtection="0"/>
    <xf numFmtId="222" fontId="79" fillId="0" borderId="2550" applyBorder="0"/>
    <xf numFmtId="0" fontId="101" fillId="0" borderId="2551" applyBorder="0"/>
    <xf numFmtId="222" fontId="79" fillId="0" borderId="2550" applyBorder="0"/>
    <xf numFmtId="0" fontId="75" fillId="0" borderId="2540" applyNumberFormat="0" applyFont="0" applyFill="0" applyAlignment="0" applyProtection="0"/>
    <xf numFmtId="186" fontId="146" fillId="3" borderId="2542">
      <alignment horizontal="left"/>
    </xf>
    <xf numFmtId="186" fontId="140" fillId="3" borderId="2543">
      <alignment horizontal="center" vertical="center"/>
    </xf>
    <xf numFmtId="0" fontId="2" fillId="0" borderId="2544" applyNumberFormat="0" applyAlignment="0" applyProtection="0"/>
    <xf numFmtId="0" fontId="214" fillId="0" borderId="2545" applyNumberFormat="0" applyFont="0" applyFill="0" applyAlignment="0" applyProtection="0"/>
    <xf numFmtId="0" fontId="25" fillId="10" borderId="2546" applyNumberFormat="0" applyProtection="0">
      <alignment horizontal="left" vertical="top"/>
    </xf>
    <xf numFmtId="0" fontId="25" fillId="10" borderId="2547" applyNumberFormat="0" applyProtection="0">
      <alignment horizontal="left" vertical="top"/>
    </xf>
    <xf numFmtId="0" fontId="25" fillId="10" borderId="2548" applyNumberFormat="0" applyProtection="0">
      <alignment horizontal="left" vertical="top"/>
    </xf>
    <xf numFmtId="0" fontId="25" fillId="10" borderId="2549" applyNumberFormat="0" applyProtection="0">
      <alignment horizontal="left" vertical="top"/>
    </xf>
    <xf numFmtId="0" fontId="78" fillId="14" borderId="2541" applyFont="0" applyFill="0" applyBorder="0" applyAlignment="0" applyProtection="0"/>
    <xf numFmtId="222" fontId="79" fillId="0" borderId="2538" applyBorder="0"/>
    <xf numFmtId="0" fontId="78" fillId="14" borderId="2516" applyFont="0" applyFill="0" applyBorder="0" applyAlignment="0" applyProtection="0"/>
    <xf numFmtId="222" fontId="79" fillId="0" borderId="2526" applyBorder="0"/>
    <xf numFmtId="0" fontId="78" fillId="14" borderId="2529" applyFont="0" applyFill="0" applyBorder="0" applyAlignment="0" applyProtection="0"/>
    <xf numFmtId="0" fontId="25" fillId="10" borderId="2537" applyNumberFormat="0" applyProtection="0">
      <alignment horizontal="left" vertical="top"/>
    </xf>
    <xf numFmtId="0" fontId="25" fillId="10" borderId="2536" applyNumberFormat="0" applyProtection="0">
      <alignment horizontal="left" vertical="top"/>
    </xf>
    <xf numFmtId="0" fontId="25" fillId="10" borderId="2535" applyNumberFormat="0" applyProtection="0">
      <alignment horizontal="left" vertical="top"/>
    </xf>
    <xf numFmtId="0" fontId="25" fillId="10" borderId="2534" applyNumberFormat="0" applyProtection="0">
      <alignment horizontal="left" vertical="top"/>
    </xf>
    <xf numFmtId="0" fontId="214" fillId="0" borderId="2533" applyNumberFormat="0" applyFont="0" applyFill="0" applyAlignment="0" applyProtection="0"/>
    <xf numFmtId="186" fontId="140" fillId="3" borderId="2531">
      <alignment horizontal="center" vertical="center"/>
    </xf>
    <xf numFmtId="186" fontId="146" fillId="3" borderId="2530">
      <alignment horizontal="left"/>
    </xf>
    <xf numFmtId="0" fontId="75" fillId="0" borderId="2528" applyNumberFormat="0" applyFont="0" applyFill="0" applyAlignment="0" applyProtection="0"/>
    <xf numFmtId="222" fontId="79" fillId="0" borderId="2538" applyBorder="0"/>
    <xf numFmtId="0" fontId="101" fillId="0" borderId="2539" applyBorder="0"/>
    <xf numFmtId="222" fontId="79" fillId="0" borderId="2538" applyBorder="0"/>
    <xf numFmtId="0" fontId="113" fillId="0" borderId="2539" applyNumberFormat="0" applyFill="0" applyAlignment="0" applyProtection="0"/>
    <xf numFmtId="0" fontId="12" fillId="0" borderId="2539" applyNumberFormat="0" applyFill="0" applyBorder="0" applyAlignment="0" applyProtection="0">
      <alignment horizontal="center"/>
    </xf>
    <xf numFmtId="248" fontId="46" fillId="0" borderId="2539"/>
    <xf numFmtId="192" fontId="9" fillId="3" borderId="2539">
      <alignment horizontal="right" vertical="center"/>
    </xf>
    <xf numFmtId="180" fontId="9" fillId="3" borderId="2539">
      <alignment horizontal="right" vertical="center"/>
    </xf>
    <xf numFmtId="186" fontId="146" fillId="3" borderId="2539" applyBorder="0">
      <alignment horizontal="left" vertical="center"/>
    </xf>
    <xf numFmtId="0" fontId="165" fillId="0" borderId="2539" applyFill="0" applyProtection="0">
      <alignment horizontal="center"/>
    </xf>
    <xf numFmtId="0" fontId="166" fillId="0" borderId="2539">
      <alignment horizontal="center"/>
    </xf>
    <xf numFmtId="264" fontId="12" fillId="14" borderId="2539" applyFont="0" applyFill="0" applyBorder="0" applyAlignment="0" applyProtection="0">
      <alignment horizontal="right"/>
    </xf>
    <xf numFmtId="0" fontId="210" fillId="0" borderId="2539" applyNumberFormat="0" applyFill="0" applyBorder="0" applyAlignment="0">
      <protection locked="0"/>
    </xf>
    <xf numFmtId="254" fontId="240" fillId="0" borderId="2539" applyBorder="0" applyProtection="0">
      <alignment horizontal="right" vertical="center"/>
    </xf>
    <xf numFmtId="0" fontId="241" fillId="94" borderId="2539" applyBorder="0" applyProtection="0">
      <alignment horizontal="centerContinuous" vertical="center"/>
    </xf>
    <xf numFmtId="246" fontId="249" fillId="0" borderId="2539" applyFill="0" applyProtection="0">
      <alignment horizontal="center"/>
    </xf>
    <xf numFmtId="246" fontId="250" fillId="0" borderId="2539" applyFill="0" applyProtection="0">
      <alignment horizontal="center"/>
    </xf>
    <xf numFmtId="0" fontId="241" fillId="94" borderId="2623" applyBorder="0" applyProtection="0">
      <alignment horizontal="centerContinuous" vertical="center"/>
    </xf>
    <xf numFmtId="0" fontId="166" fillId="0" borderId="2623">
      <alignment horizontal="center"/>
    </xf>
    <xf numFmtId="0" fontId="2" fillId="0" borderId="2556" applyNumberFormat="0" applyAlignment="0" applyProtection="0"/>
    <xf numFmtId="0" fontId="214" fillId="0" borderId="2557" applyNumberFormat="0" applyFont="0" applyFill="0" applyAlignment="0" applyProtection="0"/>
    <xf numFmtId="246" fontId="250" fillId="0" borderId="2563" applyFill="0" applyProtection="0">
      <alignment horizontal="center"/>
    </xf>
    <xf numFmtId="246" fontId="249" fillId="0" borderId="2563" applyFill="0" applyProtection="0">
      <alignment horizontal="center"/>
    </xf>
    <xf numFmtId="0" fontId="241" fillId="94" borderId="2563" applyBorder="0" applyProtection="0">
      <alignment horizontal="centerContinuous" vertical="center"/>
    </xf>
    <xf numFmtId="254" fontId="240" fillId="0" borderId="2563" applyBorder="0" applyProtection="0">
      <alignment horizontal="right" vertical="center"/>
    </xf>
    <xf numFmtId="0" fontId="210" fillId="0" borderId="2563" applyNumberFormat="0" applyFill="0" applyBorder="0" applyAlignment="0">
      <protection locked="0"/>
    </xf>
    <xf numFmtId="264" fontId="12" fillId="14" borderId="2563" applyFont="0" applyFill="0" applyBorder="0" applyAlignment="0" applyProtection="0">
      <alignment horizontal="right"/>
    </xf>
    <xf numFmtId="0" fontId="166" fillId="0" borderId="2563">
      <alignment horizontal="center"/>
    </xf>
    <xf numFmtId="0" fontId="165" fillId="0" borderId="2563" applyFill="0" applyProtection="0">
      <alignment horizontal="center"/>
    </xf>
    <xf numFmtId="186" fontId="146" fillId="3" borderId="2563" applyBorder="0">
      <alignment horizontal="left" vertical="center"/>
    </xf>
    <xf numFmtId="180" fontId="9" fillId="3" borderId="2563">
      <alignment horizontal="right" vertical="center"/>
    </xf>
    <xf numFmtId="192" fontId="9" fillId="3" borderId="2563">
      <alignment horizontal="right" vertical="center"/>
    </xf>
    <xf numFmtId="248" fontId="46" fillId="0" borderId="2563"/>
    <xf numFmtId="0" fontId="12" fillId="0" borderId="2563" applyNumberFormat="0" applyFill="0" applyBorder="0" applyAlignment="0" applyProtection="0">
      <alignment horizontal="center"/>
    </xf>
    <xf numFmtId="0" fontId="113" fillId="0" borderId="2563" applyNumberFormat="0" applyFill="0" applyAlignment="0" applyProtection="0"/>
    <xf numFmtId="222" fontId="79" fillId="0" borderId="2562" applyBorder="0"/>
    <xf numFmtId="0" fontId="101" fillId="0" borderId="2563" applyBorder="0"/>
    <xf numFmtId="222" fontId="79" fillId="0" borderId="2562" applyBorder="0"/>
    <xf numFmtId="0" fontId="75" fillId="0" borderId="2552" applyNumberFormat="0" applyFont="0" applyFill="0" applyAlignment="0" applyProtection="0"/>
    <xf numFmtId="186" fontId="146" fillId="3" borderId="2554">
      <alignment horizontal="left"/>
    </xf>
    <xf numFmtId="186" fontId="140" fillId="3" borderId="2555">
      <alignment horizontal="center" vertical="center"/>
    </xf>
    <xf numFmtId="0" fontId="2" fillId="0" borderId="2556" applyNumberFormat="0" applyAlignment="0" applyProtection="0"/>
    <xf numFmtId="0" fontId="214" fillId="0" borderId="2557" applyNumberFormat="0" applyFont="0" applyFill="0" applyAlignment="0" applyProtection="0"/>
    <xf numFmtId="0" fontId="25" fillId="10" borderId="2558" applyNumberFormat="0" applyProtection="0">
      <alignment horizontal="left" vertical="top"/>
    </xf>
    <xf numFmtId="0" fontId="25" fillId="10" borderId="2559" applyNumberFormat="0" applyProtection="0">
      <alignment horizontal="left" vertical="top"/>
    </xf>
    <xf numFmtId="0" fontId="25" fillId="10" borderId="2560" applyNumberFormat="0" applyProtection="0">
      <alignment horizontal="left" vertical="top"/>
    </xf>
    <xf numFmtId="0" fontId="25" fillId="10" borderId="2561" applyNumberFormat="0" applyProtection="0">
      <alignment horizontal="left" vertical="top"/>
    </xf>
    <xf numFmtId="0" fontId="78" fillId="14" borderId="2553" applyFont="0" applyFill="0" applyBorder="0" applyAlignment="0" applyProtection="0"/>
    <xf numFmtId="222" fontId="79" fillId="0" borderId="2550" applyBorder="0"/>
    <xf numFmtId="0" fontId="78" fillId="14" borderId="2565" applyFont="0" applyFill="0" applyBorder="0" applyAlignment="0" applyProtection="0"/>
    <xf numFmtId="186" fontId="146" fillId="3" borderId="2554">
      <alignment horizontal="left"/>
    </xf>
    <xf numFmtId="0" fontId="78" fillId="14" borderId="2541" applyFont="0" applyFill="0" applyBorder="0" applyAlignment="0" applyProtection="0"/>
    <xf numFmtId="222" fontId="79" fillId="0" borderId="2550" applyBorder="0"/>
    <xf numFmtId="0" fontId="2" fillId="0" borderId="2568" applyNumberFormat="0" applyAlignment="0" applyProtection="0"/>
    <xf numFmtId="0" fontId="78" fillId="14" borderId="2541" applyFont="0" applyFill="0" applyBorder="0" applyAlignment="0" applyProtection="0"/>
    <xf numFmtId="0" fontId="25" fillId="10" borderId="2549" applyNumberFormat="0" applyProtection="0">
      <alignment horizontal="left" vertical="top"/>
    </xf>
    <xf numFmtId="0" fontId="25" fillId="10" borderId="2548" applyNumberFormat="0" applyProtection="0">
      <alignment horizontal="left" vertical="top"/>
    </xf>
    <xf numFmtId="0" fontId="25" fillId="10" borderId="2547" applyNumberFormat="0" applyProtection="0">
      <alignment horizontal="left" vertical="top"/>
    </xf>
    <xf numFmtId="0" fontId="25" fillId="10" borderId="2546" applyNumberFormat="0" applyProtection="0">
      <alignment horizontal="left" vertical="top"/>
    </xf>
    <xf numFmtId="0" fontId="25" fillId="10" borderId="2571" applyNumberFormat="0" applyProtection="0">
      <alignment horizontal="left" vertical="top"/>
    </xf>
    <xf numFmtId="0" fontId="214" fillId="0" borderId="2545" applyNumberFormat="0" applyFont="0" applyFill="0" applyAlignment="0" applyProtection="0"/>
    <xf numFmtId="0" fontId="2" fillId="0" borderId="2544" applyNumberFormat="0" applyAlignment="0" applyProtection="0"/>
    <xf numFmtId="186" fontId="140" fillId="3" borderId="2543">
      <alignment horizontal="center" vertical="center"/>
    </xf>
    <xf numFmtId="186" fontId="146" fillId="3" borderId="2542">
      <alignment horizontal="left"/>
    </xf>
    <xf numFmtId="0" fontId="25" fillId="10" borderId="2573" applyNumberFormat="0" applyProtection="0">
      <alignment horizontal="left" vertical="top"/>
    </xf>
    <xf numFmtId="0" fontId="75" fillId="0" borderId="2540" applyNumberFormat="0" applyFont="0" applyFill="0" applyAlignment="0" applyProtection="0"/>
    <xf numFmtId="222" fontId="79" fillId="0" borderId="2550" applyBorder="0"/>
    <xf numFmtId="0" fontId="101" fillId="0" borderId="2551" applyBorder="0"/>
    <xf numFmtId="222" fontId="79" fillId="0" borderId="2550" applyBorder="0"/>
    <xf numFmtId="0" fontId="113" fillId="0" borderId="2551" applyNumberFormat="0" applyFill="0" applyAlignment="0" applyProtection="0"/>
    <xf numFmtId="0" fontId="12" fillId="0" borderId="2551" applyNumberFormat="0" applyFill="0" applyBorder="0" applyAlignment="0" applyProtection="0">
      <alignment horizontal="center"/>
    </xf>
    <xf numFmtId="248" fontId="46" fillId="0" borderId="2551"/>
    <xf numFmtId="192" fontId="9" fillId="3" borderId="2551">
      <alignment horizontal="right" vertical="center"/>
    </xf>
    <xf numFmtId="180" fontId="9" fillId="3" borderId="2551">
      <alignment horizontal="right" vertical="center"/>
    </xf>
    <xf numFmtId="186" fontId="146" fillId="3" borderId="2551" applyBorder="0">
      <alignment horizontal="left" vertical="center"/>
    </xf>
    <xf numFmtId="0" fontId="165" fillId="0" borderId="2551" applyFill="0" applyProtection="0">
      <alignment horizontal="center"/>
    </xf>
    <xf numFmtId="0" fontId="166" fillId="0" borderId="2551">
      <alignment horizontal="center"/>
    </xf>
    <xf numFmtId="264" fontId="12" fillId="14" borderId="2551" applyFont="0" applyFill="0" applyBorder="0" applyAlignment="0" applyProtection="0">
      <alignment horizontal="right"/>
    </xf>
    <xf numFmtId="0" fontId="210" fillId="0" borderId="2551" applyNumberFormat="0" applyFill="0" applyBorder="0" applyAlignment="0">
      <protection locked="0"/>
    </xf>
    <xf numFmtId="254" fontId="240" fillId="0" borderId="2551" applyBorder="0" applyProtection="0">
      <alignment horizontal="right" vertical="center"/>
    </xf>
    <xf numFmtId="0" fontId="241" fillId="94" borderId="2551" applyBorder="0" applyProtection="0">
      <alignment horizontal="centerContinuous" vertical="center"/>
    </xf>
    <xf numFmtId="246" fontId="249" fillId="0" borderId="2551" applyFill="0" applyProtection="0">
      <alignment horizontal="center"/>
    </xf>
    <xf numFmtId="246" fontId="250" fillId="0" borderId="2551" applyFill="0" applyProtection="0">
      <alignment horizontal="center"/>
    </xf>
    <xf numFmtId="186" fontId="140" fillId="3" borderId="2567">
      <alignment horizontal="center" vertical="center"/>
    </xf>
    <xf numFmtId="0" fontId="78" fillId="14" borderId="2553" applyFont="0" applyFill="0" applyBorder="0" applyAlignment="0" applyProtection="0"/>
    <xf numFmtId="222" fontId="79" fillId="0" borderId="2574" applyBorder="0"/>
    <xf numFmtId="0" fontId="78" fillId="14" borderId="2577" applyFont="0" applyFill="0" applyBorder="0" applyAlignment="0" applyProtection="0"/>
    <xf numFmtId="0" fontId="25" fillId="10" borderId="2585" applyNumberFormat="0" applyProtection="0">
      <alignment horizontal="left" vertical="top"/>
    </xf>
    <xf numFmtId="0" fontId="25" fillId="10" borderId="2584" applyNumberFormat="0" applyProtection="0">
      <alignment horizontal="left" vertical="top"/>
    </xf>
    <xf numFmtId="0" fontId="25" fillId="10" borderId="2583" applyNumberFormat="0" applyProtection="0">
      <alignment horizontal="left" vertical="top"/>
    </xf>
    <xf numFmtId="0" fontId="25" fillId="10" borderId="2582" applyNumberFormat="0" applyProtection="0">
      <alignment horizontal="left" vertical="top"/>
    </xf>
    <xf numFmtId="0" fontId="214" fillId="0" borderId="2581" applyNumberFormat="0" applyFont="0" applyFill="0" applyAlignment="0" applyProtection="0"/>
    <xf numFmtId="0" fontId="2" fillId="0" borderId="2580" applyNumberFormat="0" applyAlignment="0" applyProtection="0"/>
    <xf numFmtId="186" fontId="140" fillId="3" borderId="2579">
      <alignment horizontal="center" vertical="center"/>
    </xf>
    <xf numFmtId="186" fontId="146" fillId="3" borderId="2578">
      <alignment horizontal="left"/>
    </xf>
    <xf numFmtId="0" fontId="75" fillId="0" borderId="2576" applyNumberFormat="0" applyFont="0" applyFill="0" applyAlignment="0" applyProtection="0"/>
    <xf numFmtId="222" fontId="79" fillId="0" borderId="2586" applyBorder="0"/>
    <xf numFmtId="0" fontId="101" fillId="0" borderId="2587" applyBorder="0"/>
    <xf numFmtId="222" fontId="79" fillId="0" borderId="2586" applyBorder="0"/>
    <xf numFmtId="0" fontId="113" fillId="0" borderId="2587" applyNumberFormat="0" applyFill="0" applyAlignment="0" applyProtection="0"/>
    <xf numFmtId="0" fontId="12" fillId="0" borderId="2587" applyNumberFormat="0" applyFill="0" applyBorder="0" applyAlignment="0" applyProtection="0">
      <alignment horizontal="center"/>
    </xf>
    <xf numFmtId="248" fontId="46" fillId="0" borderId="2587"/>
    <xf numFmtId="192" fontId="9" fillId="3" borderId="2587">
      <alignment horizontal="right" vertical="center"/>
    </xf>
    <xf numFmtId="180" fontId="9" fillId="3" borderId="2587">
      <alignment horizontal="right" vertical="center"/>
    </xf>
    <xf numFmtId="186" fontId="146" fillId="3" borderId="2587" applyBorder="0">
      <alignment horizontal="left" vertical="center"/>
    </xf>
    <xf numFmtId="0" fontId="165" fillId="0" borderId="2587" applyFill="0" applyProtection="0">
      <alignment horizontal="center"/>
    </xf>
    <xf numFmtId="0" fontId="166" fillId="0" borderId="2587">
      <alignment horizontal="center"/>
    </xf>
    <xf numFmtId="264" fontId="12" fillId="14" borderId="2587" applyFont="0" applyFill="0" applyBorder="0" applyAlignment="0" applyProtection="0">
      <alignment horizontal="right"/>
    </xf>
    <xf numFmtId="0" fontId="210" fillId="0" borderId="2587" applyNumberFormat="0" applyFill="0" applyBorder="0" applyAlignment="0">
      <protection locked="0"/>
    </xf>
    <xf numFmtId="254" fontId="240" fillId="0" borderId="2587" applyBorder="0" applyProtection="0">
      <alignment horizontal="right" vertical="center"/>
    </xf>
    <xf numFmtId="0" fontId="241" fillId="94" borderId="2587" applyBorder="0" applyProtection="0">
      <alignment horizontal="centerContinuous" vertical="center"/>
    </xf>
    <xf numFmtId="246" fontId="249" fillId="0" borderId="2587" applyFill="0" applyProtection="0">
      <alignment horizontal="center"/>
    </xf>
    <xf numFmtId="246" fontId="250" fillId="0" borderId="2587" applyFill="0" applyProtection="0">
      <alignment horizontal="center"/>
    </xf>
    <xf numFmtId="222" fontId="79" fillId="0" borderId="2598" applyBorder="0"/>
    <xf numFmtId="0" fontId="78" fillId="14" borderId="2601" applyFont="0" applyFill="0" applyBorder="0" applyAlignment="0" applyProtection="0"/>
    <xf numFmtId="0" fontId="25" fillId="10" borderId="2609" applyNumberFormat="0" applyProtection="0">
      <alignment horizontal="left" vertical="top"/>
    </xf>
    <xf numFmtId="0" fontId="25" fillId="10" borderId="2608" applyNumberFormat="0" applyProtection="0">
      <alignment horizontal="left" vertical="top"/>
    </xf>
    <xf numFmtId="0" fontId="25" fillId="10" borderId="2607" applyNumberFormat="0" applyProtection="0">
      <alignment horizontal="left" vertical="top"/>
    </xf>
    <xf numFmtId="0" fontId="25" fillId="10" borderId="2606" applyNumberFormat="0" applyProtection="0">
      <alignment horizontal="left" vertical="top"/>
    </xf>
    <xf numFmtId="0" fontId="214" fillId="0" borderId="2605" applyNumberFormat="0" applyFont="0" applyFill="0" applyAlignment="0" applyProtection="0"/>
    <xf numFmtId="0" fontId="2" fillId="0" borderId="2604" applyNumberFormat="0" applyAlignment="0" applyProtection="0"/>
    <xf numFmtId="186" fontId="140" fillId="3" borderId="2603">
      <alignment horizontal="center" vertical="center"/>
    </xf>
    <xf numFmtId="186" fontId="146" fillId="3" borderId="2602">
      <alignment horizontal="left"/>
    </xf>
    <xf numFmtId="0" fontId="75" fillId="0" borderId="2600" applyNumberFormat="0" applyFont="0" applyFill="0" applyAlignment="0" applyProtection="0"/>
    <xf numFmtId="222" fontId="79" fillId="0" borderId="2610" applyBorder="0"/>
    <xf numFmtId="0" fontId="101" fillId="0" borderId="2611" applyBorder="0"/>
    <xf numFmtId="222" fontId="79" fillId="0" borderId="2610" applyBorder="0"/>
    <xf numFmtId="0" fontId="113" fillId="0" borderId="2611" applyNumberFormat="0" applyFill="0" applyAlignment="0" applyProtection="0"/>
    <xf numFmtId="0" fontId="12" fillId="0" borderId="2611" applyNumberFormat="0" applyFill="0" applyBorder="0" applyAlignment="0" applyProtection="0">
      <alignment horizontal="center"/>
    </xf>
    <xf numFmtId="248" fontId="46" fillId="0" borderId="2611"/>
    <xf numFmtId="192" fontId="9" fillId="3" borderId="2611">
      <alignment horizontal="right" vertical="center"/>
    </xf>
    <xf numFmtId="180" fontId="9" fillId="3" borderId="2611">
      <alignment horizontal="right" vertical="center"/>
    </xf>
    <xf numFmtId="186" fontId="146" fillId="3" borderId="2611" applyBorder="0">
      <alignment horizontal="left" vertical="center"/>
    </xf>
    <xf numFmtId="0" fontId="165" fillId="0" borderId="2611" applyFill="0" applyProtection="0">
      <alignment horizontal="center"/>
    </xf>
    <xf numFmtId="0" fontId="166" fillId="0" borderId="2611">
      <alignment horizontal="center"/>
    </xf>
    <xf numFmtId="264" fontId="12" fillId="14" borderId="2611" applyFont="0" applyFill="0" applyBorder="0" applyAlignment="0" applyProtection="0">
      <alignment horizontal="right"/>
    </xf>
    <xf numFmtId="0" fontId="210" fillId="0" borderId="2611" applyNumberFormat="0" applyFill="0" applyBorder="0" applyAlignment="0">
      <protection locked="0"/>
    </xf>
    <xf numFmtId="254" fontId="240" fillId="0" borderId="2611" applyBorder="0" applyProtection="0">
      <alignment horizontal="right" vertical="center"/>
    </xf>
    <xf numFmtId="0" fontId="241" fillId="94" borderId="2611" applyBorder="0" applyProtection="0">
      <alignment horizontal="centerContinuous" vertical="center"/>
    </xf>
    <xf numFmtId="246" fontId="249" fillId="0" borderId="2611" applyFill="0" applyProtection="0">
      <alignment horizontal="center"/>
    </xf>
    <xf numFmtId="246" fontId="250" fillId="0" borderId="2611" applyFill="0" applyProtection="0">
      <alignment horizontal="center"/>
    </xf>
    <xf numFmtId="0" fontId="75" fillId="0" borderId="2624" applyNumberFormat="0" applyFont="0" applyFill="0" applyAlignment="0" applyProtection="0"/>
    <xf numFmtId="0" fontId="78" fillId="14" borderId="2625" applyFont="0" applyFill="0" applyBorder="0" applyAlignment="0" applyProtection="0"/>
    <xf numFmtId="186" fontId="146" fillId="3" borderId="2626">
      <alignment horizontal="left"/>
    </xf>
    <xf numFmtId="186" fontId="140" fillId="3" borderId="2627">
      <alignment horizontal="center" vertical="center"/>
    </xf>
    <xf numFmtId="0" fontId="2" fillId="0" borderId="2628" applyNumberFormat="0" applyAlignment="0" applyProtection="0"/>
    <xf numFmtId="0" fontId="214" fillId="0" borderId="2629" applyNumberFormat="0" applyFont="0" applyFill="0" applyAlignment="0" applyProtection="0"/>
    <xf numFmtId="0" fontId="25" fillId="10" borderId="2630" applyNumberFormat="0" applyProtection="0">
      <alignment horizontal="left" vertical="top"/>
    </xf>
    <xf numFmtId="0" fontId="25" fillId="10" borderId="2631" applyNumberFormat="0" applyProtection="0">
      <alignment horizontal="left" vertical="top"/>
    </xf>
    <xf numFmtId="0" fontId="25" fillId="10" borderId="2632" applyNumberFormat="0" applyProtection="0">
      <alignment horizontal="left" vertical="top"/>
    </xf>
    <xf numFmtId="0" fontId="25" fillId="10" borderId="2633" applyNumberFormat="0" applyProtection="0">
      <alignment horizontal="left" vertical="top"/>
    </xf>
    <xf numFmtId="246" fontId="250" fillId="0" borderId="2623" applyFill="0" applyProtection="0">
      <alignment horizontal="center"/>
    </xf>
    <xf numFmtId="246" fontId="249" fillId="0" borderId="2623" applyFill="0" applyProtection="0">
      <alignment horizontal="center"/>
    </xf>
    <xf numFmtId="0" fontId="241" fillId="94" borderId="2623" applyBorder="0" applyProtection="0">
      <alignment horizontal="centerContinuous" vertical="center"/>
    </xf>
    <xf numFmtId="254" fontId="240" fillId="0" borderId="2623" applyBorder="0" applyProtection="0">
      <alignment horizontal="right" vertical="center"/>
    </xf>
    <xf numFmtId="0" fontId="210" fillId="0" borderId="2623" applyNumberFormat="0" applyFill="0" applyBorder="0" applyAlignment="0">
      <protection locked="0"/>
    </xf>
    <xf numFmtId="264" fontId="12" fillId="14" borderId="2623" applyFont="0" applyFill="0" applyBorder="0" applyAlignment="0" applyProtection="0">
      <alignment horizontal="right"/>
    </xf>
    <xf numFmtId="0" fontId="166" fillId="0" borderId="2623">
      <alignment horizontal="center"/>
    </xf>
    <xf numFmtId="0" fontId="165" fillId="0" borderId="2623" applyFill="0" applyProtection="0">
      <alignment horizontal="center"/>
    </xf>
    <xf numFmtId="186" fontId="146" fillId="3" borderId="2623" applyBorder="0">
      <alignment horizontal="left" vertical="center"/>
    </xf>
    <xf numFmtId="180" fontId="9" fillId="3" borderId="2623">
      <alignment horizontal="right" vertical="center"/>
    </xf>
    <xf numFmtId="192" fontId="9" fillId="3" borderId="2623">
      <alignment horizontal="right" vertical="center"/>
    </xf>
    <xf numFmtId="0" fontId="12" fillId="0" borderId="2623" applyNumberFormat="0" applyFill="0" applyBorder="0" applyAlignment="0" applyProtection="0">
      <alignment horizontal="center"/>
    </xf>
    <xf numFmtId="0" fontId="113" fillId="0" borderId="2623" applyNumberFormat="0" applyFill="0" applyAlignment="0" applyProtection="0"/>
    <xf numFmtId="222" fontId="79" fillId="0" borderId="2622" applyBorder="0"/>
    <xf numFmtId="0" fontId="101" fillId="0" borderId="2623" applyBorder="0"/>
    <xf numFmtId="248" fontId="46" fillId="0" borderId="2623"/>
    <xf numFmtId="0" fontId="101" fillId="0" borderId="2623" applyBorder="0"/>
    <xf numFmtId="222" fontId="79" fillId="0" borderId="2622" applyBorder="0"/>
    <xf numFmtId="0" fontId="113" fillId="0" borderId="2623" applyNumberFormat="0" applyFill="0" applyAlignment="0" applyProtection="0"/>
    <xf numFmtId="0" fontId="75" fillId="0" borderId="2624" applyNumberFormat="0" applyFont="0" applyFill="0" applyAlignment="0" applyProtection="0"/>
    <xf numFmtId="0" fontId="12" fillId="0" borderId="2623" applyNumberFormat="0" applyFill="0" applyBorder="0" applyAlignment="0" applyProtection="0">
      <alignment horizontal="center"/>
    </xf>
    <xf numFmtId="248" fontId="46" fillId="0" borderId="2623"/>
    <xf numFmtId="192" fontId="9" fillId="3" borderId="2623">
      <alignment horizontal="right" vertical="center"/>
    </xf>
    <xf numFmtId="180" fontId="9" fillId="3" borderId="2623">
      <alignment horizontal="right" vertical="center"/>
    </xf>
    <xf numFmtId="186" fontId="146" fillId="3" borderId="2623" applyBorder="0">
      <alignment horizontal="left" vertical="center"/>
    </xf>
    <xf numFmtId="186" fontId="146" fillId="3" borderId="2626">
      <alignment horizontal="left"/>
    </xf>
    <xf numFmtId="186" fontId="140" fillId="3" borderId="2627">
      <alignment horizontal="center" vertical="center"/>
    </xf>
    <xf numFmtId="0" fontId="165" fillId="0" borderId="2623" applyFill="0" applyProtection="0">
      <alignment horizontal="center"/>
    </xf>
    <xf numFmtId="0" fontId="166" fillId="0" borderId="2623">
      <alignment horizontal="center"/>
    </xf>
    <xf numFmtId="264" fontId="12" fillId="14" borderId="2623" applyFont="0" applyFill="0" applyBorder="0" applyAlignment="0" applyProtection="0">
      <alignment horizontal="right"/>
    </xf>
    <xf numFmtId="0" fontId="210" fillId="0" borderId="2623" applyNumberFormat="0" applyFill="0" applyBorder="0" applyAlignment="0">
      <protection locked="0"/>
    </xf>
    <xf numFmtId="0" fontId="2" fillId="0" borderId="2628" applyNumberFormat="0" applyAlignment="0" applyProtection="0"/>
    <xf numFmtId="0" fontId="214" fillId="0" borderId="2629" applyNumberFormat="0" applyFont="0" applyFill="0" applyAlignment="0" applyProtection="0"/>
    <xf numFmtId="0" fontId="25" fillId="10" borderId="2630" applyNumberFormat="0" applyProtection="0">
      <alignment horizontal="left" vertical="top"/>
    </xf>
    <xf numFmtId="0" fontId="25" fillId="10" borderId="2631" applyNumberFormat="0" applyProtection="0">
      <alignment horizontal="left" vertical="top"/>
    </xf>
    <xf numFmtId="0" fontId="25" fillId="10" borderId="2632" applyNumberFormat="0" applyProtection="0">
      <alignment horizontal="left" vertical="top"/>
    </xf>
    <xf numFmtId="0" fontId="25" fillId="10" borderId="2633" applyNumberFormat="0" applyProtection="0">
      <alignment horizontal="left" vertical="top"/>
    </xf>
    <xf numFmtId="0" fontId="25" fillId="10" borderId="2630" applyNumberFormat="0" applyProtection="0">
      <alignment horizontal="left" vertical="top"/>
    </xf>
    <xf numFmtId="0" fontId="25" fillId="10" borderId="2631" applyNumberFormat="0" applyProtection="0">
      <alignment horizontal="left" vertical="top"/>
    </xf>
    <xf numFmtId="0" fontId="25" fillId="10" borderId="2632" applyNumberFormat="0" applyProtection="0">
      <alignment horizontal="left" vertical="top"/>
    </xf>
    <xf numFmtId="0" fontId="25" fillId="10" borderId="2633" applyNumberFormat="0" applyProtection="0">
      <alignment horizontal="left" vertical="top"/>
    </xf>
    <xf numFmtId="254" fontId="240" fillId="0" borderId="2623" applyBorder="0" applyProtection="0">
      <alignment horizontal="right" vertical="center"/>
    </xf>
    <xf numFmtId="0" fontId="241" fillId="94" borderId="2623" applyBorder="0" applyProtection="0">
      <alignment horizontal="centerContinuous" vertical="center"/>
    </xf>
    <xf numFmtId="246" fontId="249" fillId="0" borderId="2623" applyFill="0" applyProtection="0">
      <alignment horizontal="center"/>
    </xf>
    <xf numFmtId="246" fontId="250" fillId="0" borderId="2623" applyFill="0" applyProtection="0">
      <alignment horizontal="center"/>
    </xf>
    <xf numFmtId="190" fontId="101" fillId="0" borderId="2623" applyBorder="0"/>
    <xf numFmtId="190" fontId="113" fillId="0" borderId="2623" applyNumberFormat="0" applyFill="0" applyAlignment="0" applyProtection="0"/>
    <xf numFmtId="190" fontId="75" fillId="0" borderId="2600" applyNumberFormat="0" applyFont="0" applyFill="0" applyAlignment="0" applyProtection="0"/>
    <xf numFmtId="190" fontId="12" fillId="0" borderId="2623" applyNumberFormat="0" applyFill="0" applyBorder="0" applyAlignment="0" applyProtection="0">
      <alignment horizontal="center"/>
    </xf>
    <xf numFmtId="190" fontId="78" fillId="14" borderId="2613" applyFont="0" applyFill="0" applyBorder="0" applyAlignment="0" applyProtection="0"/>
    <xf numFmtId="190" fontId="165" fillId="0" borderId="2623" applyFill="0" applyProtection="0">
      <alignment horizontal="center"/>
    </xf>
    <xf numFmtId="190" fontId="166" fillId="0" borderId="2623">
      <alignment horizontal="center"/>
    </xf>
    <xf numFmtId="190" fontId="210" fillId="0" borderId="2623" applyNumberFormat="0" applyFill="0" applyBorder="0" applyAlignment="0">
      <protection locked="0"/>
    </xf>
    <xf numFmtId="190" fontId="2" fillId="0" borderId="2604" applyNumberFormat="0" applyAlignment="0" applyProtection="0"/>
    <xf numFmtId="190" fontId="214" fillId="0" borderId="2605" applyNumberFormat="0" applyFont="0" applyFill="0" applyAlignment="0" applyProtection="0"/>
    <xf numFmtId="190" fontId="25" fillId="10" borderId="2606" applyNumberFormat="0" applyProtection="0">
      <alignment horizontal="left" vertical="top"/>
    </xf>
    <xf numFmtId="190" fontId="25" fillId="10" borderId="2607" applyNumberFormat="0" applyProtection="0">
      <alignment horizontal="left" vertical="top"/>
    </xf>
    <xf numFmtId="190" fontId="25" fillId="10" borderId="2608" applyNumberFormat="0" applyProtection="0">
      <alignment horizontal="left" vertical="top"/>
    </xf>
    <xf numFmtId="190" fontId="25" fillId="10" borderId="2609" applyNumberFormat="0" applyProtection="0">
      <alignment horizontal="left" vertical="top"/>
    </xf>
    <xf numFmtId="190" fontId="241" fillId="94" borderId="2623" applyBorder="0" applyProtection="0">
      <alignment horizontal="centerContinuous" vertical="center"/>
    </xf>
    <xf numFmtId="222" fontId="79" fillId="0" borderId="2622" applyBorder="0"/>
    <xf numFmtId="0" fontId="101" fillId="0" borderId="2623" applyBorder="0"/>
    <xf numFmtId="222" fontId="79" fillId="0" borderId="2622" applyBorder="0"/>
    <xf numFmtId="0" fontId="113" fillId="0" borderId="2623" applyNumberFormat="0" applyFill="0" applyAlignment="0" applyProtection="0"/>
    <xf numFmtId="0" fontId="75" fillId="0" borderId="2600" applyNumberFormat="0" applyFont="0" applyFill="0" applyAlignment="0" applyProtection="0"/>
    <xf numFmtId="0" fontId="12" fillId="0" borderId="2623" applyNumberFormat="0" applyFill="0" applyBorder="0" applyAlignment="0" applyProtection="0">
      <alignment horizontal="center"/>
    </xf>
    <xf numFmtId="248" fontId="46" fillId="0" borderId="2623"/>
    <xf numFmtId="192" fontId="9" fillId="3" borderId="2623">
      <alignment horizontal="right" vertical="center"/>
    </xf>
    <xf numFmtId="180" fontId="9" fillId="3" borderId="2623">
      <alignment horizontal="right" vertical="center"/>
    </xf>
    <xf numFmtId="186" fontId="146" fillId="3" borderId="2623" applyBorder="0">
      <alignment horizontal="left" vertical="center"/>
    </xf>
    <xf numFmtId="186" fontId="146" fillId="3" borderId="2602">
      <alignment horizontal="left"/>
    </xf>
    <xf numFmtId="186" fontId="140" fillId="3" borderId="2603">
      <alignment horizontal="center" vertical="center"/>
    </xf>
    <xf numFmtId="0" fontId="165" fillId="0" borderId="2623" applyFill="0" applyProtection="0">
      <alignment horizontal="center"/>
    </xf>
    <xf numFmtId="0" fontId="166" fillId="0" borderId="2623">
      <alignment horizontal="center"/>
    </xf>
    <xf numFmtId="264" fontId="12" fillId="14" borderId="2623" applyFont="0" applyFill="0" applyBorder="0" applyAlignment="0" applyProtection="0">
      <alignment horizontal="right"/>
    </xf>
    <xf numFmtId="0" fontId="210" fillId="0" borderId="2623" applyNumberFormat="0" applyFill="0" applyBorder="0" applyAlignment="0">
      <protection locked="0"/>
    </xf>
    <xf numFmtId="0" fontId="2" fillId="0" borderId="2604" applyNumberFormat="0" applyAlignment="0" applyProtection="0"/>
    <xf numFmtId="0" fontId="214" fillId="0" borderId="2605" applyNumberFormat="0" applyFont="0" applyFill="0" applyAlignment="0" applyProtection="0"/>
    <xf numFmtId="0" fontId="25" fillId="10" borderId="2606" applyNumberFormat="0" applyProtection="0">
      <alignment horizontal="left" vertical="top"/>
    </xf>
    <xf numFmtId="0" fontId="25" fillId="10" borderId="2607" applyNumberFormat="0" applyProtection="0">
      <alignment horizontal="left" vertical="top"/>
    </xf>
    <xf numFmtId="0" fontId="25" fillId="10" borderId="2608" applyNumberFormat="0" applyProtection="0">
      <alignment horizontal="left" vertical="top"/>
    </xf>
    <xf numFmtId="0" fontId="25" fillId="10" borderId="2609" applyNumberFormat="0" applyProtection="0">
      <alignment horizontal="left" vertical="top"/>
    </xf>
    <xf numFmtId="0" fontId="25" fillId="10" borderId="2606" applyNumberFormat="0" applyProtection="0">
      <alignment horizontal="left" vertical="top"/>
    </xf>
    <xf numFmtId="0" fontId="25" fillId="10" borderId="2607" applyNumberFormat="0" applyProtection="0">
      <alignment horizontal="left" vertical="top"/>
    </xf>
    <xf numFmtId="0" fontId="25" fillId="10" borderId="2608" applyNumberFormat="0" applyProtection="0">
      <alignment horizontal="left" vertical="top"/>
    </xf>
    <xf numFmtId="0" fontId="25" fillId="10" borderId="2609" applyNumberFormat="0" applyProtection="0">
      <alignment horizontal="left" vertical="top"/>
    </xf>
    <xf numFmtId="254" fontId="240" fillId="0" borderId="2623" applyBorder="0" applyProtection="0">
      <alignment horizontal="right" vertical="center"/>
    </xf>
    <xf numFmtId="0" fontId="241" fillId="94" borderId="2623" applyBorder="0" applyProtection="0">
      <alignment horizontal="centerContinuous" vertical="center"/>
    </xf>
    <xf numFmtId="246" fontId="249" fillId="0" borderId="2623" applyFill="0" applyProtection="0">
      <alignment horizontal="center"/>
    </xf>
    <xf numFmtId="246" fontId="250" fillId="0" borderId="2623" applyFill="0" applyProtection="0">
      <alignment horizontal="center"/>
    </xf>
    <xf numFmtId="312" fontId="101" fillId="0" borderId="2623" applyBorder="0"/>
    <xf numFmtId="312" fontId="113" fillId="0" borderId="2623" applyNumberFormat="0" applyFill="0" applyAlignment="0" applyProtection="0"/>
    <xf numFmtId="312" fontId="75" fillId="0" borderId="2600" applyNumberFormat="0" applyFont="0" applyFill="0" applyAlignment="0" applyProtection="0"/>
    <xf numFmtId="312" fontId="12" fillId="0" borderId="2623" applyNumberFormat="0" applyFill="0" applyBorder="0" applyAlignment="0" applyProtection="0">
      <alignment horizontal="center"/>
    </xf>
    <xf numFmtId="312" fontId="165" fillId="0" borderId="2623" applyFill="0" applyProtection="0">
      <alignment horizontal="center"/>
    </xf>
    <xf numFmtId="312" fontId="242" fillId="0" borderId="2623">
      <alignment horizontal="center"/>
    </xf>
    <xf numFmtId="312" fontId="210" fillId="0" borderId="2623" applyNumberFormat="0" applyFill="0" applyBorder="0" applyAlignment="0">
      <protection locked="0"/>
    </xf>
    <xf numFmtId="312" fontId="2" fillId="0" borderId="2604" applyNumberFormat="0" applyAlignment="0" applyProtection="0"/>
    <xf numFmtId="312" fontId="214" fillId="0" borderId="2605" applyNumberFormat="0" applyFont="0" applyFill="0" applyAlignment="0" applyProtection="0"/>
    <xf numFmtId="312" fontId="25" fillId="10" borderId="2606" applyNumberFormat="0" applyProtection="0">
      <alignment horizontal="left" vertical="top"/>
    </xf>
    <xf numFmtId="312" fontId="25" fillId="10" borderId="2607" applyNumberFormat="0" applyProtection="0">
      <alignment horizontal="left" vertical="top"/>
    </xf>
    <xf numFmtId="312" fontId="25" fillId="10" borderId="2608" applyNumberFormat="0" applyProtection="0">
      <alignment horizontal="left" vertical="top"/>
    </xf>
    <xf numFmtId="312" fontId="25" fillId="10" borderId="2609" applyNumberFormat="0" applyProtection="0">
      <alignment horizontal="left" vertical="top"/>
    </xf>
    <xf numFmtId="312" fontId="241" fillId="94" borderId="2623" applyBorder="0" applyProtection="0">
      <alignment horizontal="centerContinuous" vertical="center"/>
    </xf>
    <xf numFmtId="246" fontId="296" fillId="0" borderId="2623" applyFill="0" applyProtection="0">
      <alignment horizontal="center"/>
    </xf>
    <xf numFmtId="312" fontId="101" fillId="0" borderId="2623" applyBorder="0"/>
    <xf numFmtId="312" fontId="113" fillId="0" borderId="2623" applyNumberFormat="0" applyFill="0" applyAlignment="0" applyProtection="0"/>
    <xf numFmtId="312" fontId="75" fillId="0" borderId="2600" applyNumberFormat="0" applyFont="0" applyFill="0" applyAlignment="0" applyProtection="0"/>
    <xf numFmtId="312" fontId="12" fillId="0" borderId="2623" applyNumberFormat="0" applyFill="0" applyBorder="0" applyAlignment="0" applyProtection="0">
      <alignment horizontal="center"/>
    </xf>
    <xf numFmtId="312" fontId="165" fillId="0" borderId="2623" applyFill="0" applyProtection="0">
      <alignment horizontal="center"/>
    </xf>
    <xf numFmtId="312" fontId="242" fillId="0" borderId="2623">
      <alignment horizontal="center"/>
    </xf>
    <xf numFmtId="312" fontId="210" fillId="0" borderId="2623" applyNumberFormat="0" applyFill="0" applyBorder="0" applyAlignment="0">
      <protection locked="0"/>
    </xf>
    <xf numFmtId="312" fontId="2" fillId="0" borderId="2604" applyNumberFormat="0" applyAlignment="0" applyProtection="0"/>
    <xf numFmtId="312" fontId="214" fillId="0" borderId="2605" applyNumberFormat="0" applyFont="0" applyFill="0" applyAlignment="0" applyProtection="0"/>
    <xf numFmtId="312" fontId="25" fillId="10" borderId="2606" applyNumberFormat="0" applyProtection="0">
      <alignment horizontal="left" vertical="top"/>
    </xf>
    <xf numFmtId="312" fontId="25" fillId="10" borderId="2607" applyNumberFormat="0" applyProtection="0">
      <alignment horizontal="left" vertical="top"/>
    </xf>
    <xf numFmtId="312" fontId="25" fillId="10" borderId="2608" applyNumberFormat="0" applyProtection="0">
      <alignment horizontal="left" vertical="top"/>
    </xf>
    <xf numFmtId="312" fontId="25" fillId="10" borderId="2609" applyNumberFormat="0" applyProtection="0">
      <alignment horizontal="left" vertical="top"/>
    </xf>
    <xf numFmtId="312" fontId="25" fillId="10" borderId="2606" applyNumberFormat="0" applyProtection="0">
      <alignment horizontal="left" vertical="top"/>
    </xf>
    <xf numFmtId="312" fontId="25" fillId="10" borderId="2607" applyNumberFormat="0" applyProtection="0">
      <alignment horizontal="left" vertical="top"/>
    </xf>
    <xf numFmtId="312" fontId="25" fillId="10" borderId="2608" applyNumberFormat="0" applyProtection="0">
      <alignment horizontal="left" vertical="top"/>
    </xf>
    <xf numFmtId="312" fontId="25" fillId="10" borderId="2609" applyNumberFormat="0" applyProtection="0">
      <alignment horizontal="left" vertical="top"/>
    </xf>
    <xf numFmtId="312" fontId="241" fillId="94" borderId="2623" applyBorder="0" applyProtection="0">
      <alignment horizontal="centerContinuous" vertical="center"/>
    </xf>
    <xf numFmtId="246" fontId="296" fillId="0" borderId="2623" applyFill="0" applyProtection="0">
      <alignment horizontal="center"/>
    </xf>
    <xf numFmtId="246" fontId="250" fillId="0" borderId="2623" applyFill="0" applyProtection="0">
      <alignment horizontal="center"/>
    </xf>
    <xf numFmtId="246" fontId="249" fillId="0" borderId="2623" applyFill="0" applyProtection="0">
      <alignment horizontal="center"/>
    </xf>
    <xf numFmtId="0" fontId="241" fillId="94" borderId="2623" applyBorder="0" applyProtection="0">
      <alignment horizontal="centerContinuous" vertical="center"/>
    </xf>
    <xf numFmtId="254" fontId="240" fillId="0" borderId="2623" applyBorder="0" applyProtection="0">
      <alignment horizontal="right" vertical="center"/>
    </xf>
    <xf numFmtId="0" fontId="25" fillId="10" borderId="2621" applyNumberFormat="0" applyProtection="0">
      <alignment horizontal="left" vertical="top"/>
    </xf>
    <xf numFmtId="0" fontId="25" fillId="10" borderId="2620" applyNumberFormat="0" applyProtection="0">
      <alignment horizontal="left" vertical="top"/>
    </xf>
    <xf numFmtId="0" fontId="25" fillId="10" borderId="2619" applyNumberFormat="0" applyProtection="0">
      <alignment horizontal="left" vertical="top"/>
    </xf>
    <xf numFmtId="0" fontId="25" fillId="10" borderId="2618" applyNumberFormat="0" applyProtection="0">
      <alignment horizontal="left" vertical="top"/>
    </xf>
    <xf numFmtId="0" fontId="214" fillId="0" borderId="2617" applyNumberFormat="0" applyFont="0" applyFill="0" applyAlignment="0" applyProtection="0"/>
    <xf numFmtId="0" fontId="2" fillId="0" borderId="2616" applyNumberFormat="0" applyAlignment="0" applyProtection="0"/>
    <xf numFmtId="0" fontId="210" fillId="0" borderId="2623" applyNumberFormat="0" applyFill="0" applyBorder="0" applyAlignment="0">
      <protection locked="0"/>
    </xf>
    <xf numFmtId="264" fontId="12" fillId="14" borderId="2623" applyFont="0" applyFill="0" applyBorder="0" applyAlignment="0" applyProtection="0">
      <alignment horizontal="right"/>
    </xf>
    <xf numFmtId="0" fontId="166" fillId="0" borderId="2623">
      <alignment horizontal="center"/>
    </xf>
    <xf numFmtId="0" fontId="165" fillId="0" borderId="2623" applyFill="0" applyProtection="0">
      <alignment horizontal="center"/>
    </xf>
    <xf numFmtId="186" fontId="140" fillId="3" borderId="2615">
      <alignment horizontal="center" vertical="center"/>
    </xf>
    <xf numFmtId="186" fontId="146" fillId="3" borderId="2614">
      <alignment horizontal="left"/>
    </xf>
    <xf numFmtId="186" fontId="146" fillId="3" borderId="2623" applyBorder="0">
      <alignment horizontal="left" vertical="center"/>
    </xf>
    <xf numFmtId="180" fontId="9" fillId="3" borderId="2623">
      <alignment horizontal="right" vertical="center"/>
    </xf>
    <xf numFmtId="192" fontId="9" fillId="3" borderId="2623">
      <alignment horizontal="right" vertical="center"/>
    </xf>
    <xf numFmtId="248" fontId="46" fillId="0" borderId="2623"/>
    <xf numFmtId="0" fontId="78" fillId="14" borderId="2613" applyFont="0" applyFill="0" applyBorder="0" applyAlignment="0" applyProtection="0"/>
    <xf numFmtId="0" fontId="12" fillId="0" borderId="2623" applyNumberFormat="0" applyFill="0" applyBorder="0" applyAlignment="0" applyProtection="0">
      <alignment horizontal="center"/>
    </xf>
    <xf numFmtId="0" fontId="75" fillId="0" borderId="2612" applyNumberFormat="0" applyFont="0" applyFill="0" applyAlignment="0" applyProtection="0"/>
    <xf numFmtId="0" fontId="113" fillId="0" borderId="2623" applyNumberFormat="0" applyFill="0" applyAlignment="0" applyProtection="0"/>
    <xf numFmtId="222" fontId="79" fillId="0" borderId="2622" applyBorder="0"/>
    <xf numFmtId="0" fontId="101" fillId="0" borderId="2623" applyBorder="0"/>
    <xf numFmtId="0" fontId="25" fillId="10" borderId="2630" applyNumberFormat="0" applyProtection="0">
      <alignment horizontal="left" vertical="top"/>
    </xf>
    <xf numFmtId="0" fontId="25" fillId="10" borderId="2631" applyNumberFormat="0" applyProtection="0">
      <alignment horizontal="left" vertical="top"/>
    </xf>
    <xf numFmtId="0" fontId="25" fillId="10" borderId="2632" applyNumberFormat="0" applyProtection="0">
      <alignment horizontal="left" vertical="top"/>
    </xf>
    <xf numFmtId="0" fontId="25" fillId="10" borderId="2633" applyNumberFormat="0" applyProtection="0">
      <alignment horizontal="left" vertical="top"/>
    </xf>
    <xf numFmtId="246" fontId="250" fillId="0" borderId="2611" applyFill="0" applyProtection="0">
      <alignment horizontal="center"/>
    </xf>
    <xf numFmtId="246" fontId="249" fillId="0" borderId="2611" applyFill="0" applyProtection="0">
      <alignment horizontal="center"/>
    </xf>
    <xf numFmtId="0" fontId="241" fillId="94" borderId="2611" applyBorder="0" applyProtection="0">
      <alignment horizontal="centerContinuous" vertical="center"/>
    </xf>
    <xf numFmtId="254" fontId="240" fillId="0" borderId="2611" applyBorder="0" applyProtection="0">
      <alignment horizontal="right" vertical="center"/>
    </xf>
    <xf numFmtId="0" fontId="210" fillId="0" borderId="2611" applyNumberFormat="0" applyFill="0" applyBorder="0" applyAlignment="0">
      <protection locked="0"/>
    </xf>
    <xf numFmtId="264" fontId="12" fillId="14" borderId="2611" applyFont="0" applyFill="0" applyBorder="0" applyAlignment="0" applyProtection="0">
      <alignment horizontal="right"/>
    </xf>
    <xf numFmtId="0" fontId="166" fillId="0" borderId="2611">
      <alignment horizontal="center"/>
    </xf>
    <xf numFmtId="0" fontId="165" fillId="0" borderId="2611" applyFill="0" applyProtection="0">
      <alignment horizontal="center"/>
    </xf>
    <xf numFmtId="186" fontId="146" fillId="3" borderId="2611" applyBorder="0">
      <alignment horizontal="left" vertical="center"/>
    </xf>
    <xf numFmtId="180" fontId="9" fillId="3" borderId="2611">
      <alignment horizontal="right" vertical="center"/>
    </xf>
    <xf numFmtId="192" fontId="9" fillId="3" borderId="2611">
      <alignment horizontal="right" vertical="center"/>
    </xf>
    <xf numFmtId="248" fontId="46" fillId="0" borderId="2611"/>
    <xf numFmtId="0" fontId="12" fillId="0" borderId="2611" applyNumberFormat="0" applyFill="0" applyBorder="0" applyAlignment="0" applyProtection="0">
      <alignment horizontal="center"/>
    </xf>
    <xf numFmtId="0" fontId="113" fillId="0" borderId="2611" applyNumberFormat="0" applyFill="0" applyAlignment="0" applyProtection="0"/>
    <xf numFmtId="222" fontId="79" fillId="0" borderId="2610" applyBorder="0"/>
    <xf numFmtId="0" fontId="101" fillId="0" borderId="2611" applyBorder="0"/>
    <xf numFmtId="246" fontId="250" fillId="0" borderId="2611" applyFill="0" applyProtection="0">
      <alignment horizontal="center"/>
    </xf>
    <xf numFmtId="246" fontId="249" fillId="0" borderId="2611" applyFill="0" applyProtection="0">
      <alignment horizontal="center"/>
    </xf>
    <xf numFmtId="0" fontId="241" fillId="94" borderId="2611" applyBorder="0" applyProtection="0">
      <alignment horizontal="centerContinuous" vertical="center"/>
    </xf>
    <xf numFmtId="254" fontId="240" fillId="0" borderId="2611" applyBorder="0" applyProtection="0">
      <alignment horizontal="right" vertical="center"/>
    </xf>
    <xf numFmtId="0" fontId="210" fillId="0" borderId="2611" applyNumberFormat="0" applyFill="0" applyBorder="0" applyAlignment="0">
      <protection locked="0"/>
    </xf>
    <xf numFmtId="264" fontId="12" fillId="14" borderId="2611" applyFont="0" applyFill="0" applyBorder="0" applyAlignment="0" applyProtection="0">
      <alignment horizontal="right"/>
    </xf>
    <xf numFmtId="0" fontId="166" fillId="0" borderId="2611">
      <alignment horizontal="center"/>
    </xf>
    <xf numFmtId="0" fontId="165" fillId="0" borderId="2611" applyFill="0" applyProtection="0">
      <alignment horizontal="center"/>
    </xf>
    <xf numFmtId="186" fontId="146" fillId="3" borderId="2611" applyBorder="0">
      <alignment horizontal="left" vertical="center"/>
    </xf>
    <xf numFmtId="180" fontId="9" fillId="3" borderId="2611">
      <alignment horizontal="right" vertical="center"/>
    </xf>
    <xf numFmtId="192" fontId="9" fillId="3" borderId="2611">
      <alignment horizontal="right" vertical="center"/>
    </xf>
    <xf numFmtId="0" fontId="12" fillId="0" borderId="2611" applyNumberFormat="0" applyFill="0" applyBorder="0" applyAlignment="0" applyProtection="0">
      <alignment horizontal="center"/>
    </xf>
    <xf numFmtId="0" fontId="113" fillId="0" borderId="2611" applyNumberFormat="0" applyFill="0" applyAlignment="0" applyProtection="0"/>
    <xf numFmtId="222" fontId="79" fillId="0" borderId="2610" applyBorder="0"/>
    <xf numFmtId="0" fontId="101" fillId="0" borderId="2611" applyBorder="0"/>
    <xf numFmtId="248" fontId="46" fillId="0" borderId="2611"/>
    <xf numFmtId="246" fontId="250" fillId="0" borderId="2611" applyFill="0" applyProtection="0">
      <alignment horizontal="center"/>
    </xf>
    <xf numFmtId="246" fontId="249" fillId="0" borderId="2611" applyFill="0" applyProtection="0">
      <alignment horizontal="center"/>
    </xf>
    <xf numFmtId="0" fontId="241" fillId="94" borderId="2611" applyBorder="0" applyProtection="0">
      <alignment horizontal="centerContinuous" vertical="center"/>
    </xf>
    <xf numFmtId="254" fontId="240" fillId="0" borderId="2611" applyBorder="0" applyProtection="0">
      <alignment horizontal="right" vertical="center"/>
    </xf>
    <xf numFmtId="0" fontId="210" fillId="0" borderId="2611" applyNumberFormat="0" applyFill="0" applyBorder="0" applyAlignment="0">
      <protection locked="0"/>
    </xf>
    <xf numFmtId="264" fontId="12" fillId="14" borderId="2611" applyFont="0" applyFill="0" applyBorder="0" applyAlignment="0" applyProtection="0">
      <alignment horizontal="right"/>
    </xf>
    <xf numFmtId="0" fontId="166" fillId="0" borderId="2611">
      <alignment horizontal="center"/>
    </xf>
    <xf numFmtId="0" fontId="165" fillId="0" borderId="2611" applyFill="0" applyProtection="0">
      <alignment horizontal="center"/>
    </xf>
    <xf numFmtId="186" fontId="146" fillId="3" borderId="2611" applyBorder="0">
      <alignment horizontal="left" vertical="center"/>
    </xf>
    <xf numFmtId="180" fontId="9" fillId="3" borderId="2611">
      <alignment horizontal="right" vertical="center"/>
    </xf>
    <xf numFmtId="192" fontId="9" fillId="3" borderId="2611">
      <alignment horizontal="right" vertical="center"/>
    </xf>
    <xf numFmtId="248" fontId="46" fillId="0" borderId="2611"/>
    <xf numFmtId="0" fontId="12" fillId="0" borderId="2611" applyNumberFormat="0" applyFill="0" applyBorder="0" applyAlignment="0" applyProtection="0">
      <alignment horizontal="center"/>
    </xf>
    <xf numFmtId="0" fontId="113" fillId="0" borderId="2611" applyNumberFormat="0" applyFill="0" applyAlignment="0" applyProtection="0"/>
    <xf numFmtId="222" fontId="79" fillId="0" borderId="2610" applyBorder="0"/>
    <xf numFmtId="0" fontId="101" fillId="0" borderId="2611" applyBorder="0"/>
    <xf numFmtId="190" fontId="25" fillId="10" borderId="2678" applyNumberFormat="0" applyProtection="0">
      <alignment horizontal="left" vertical="top"/>
    </xf>
    <xf numFmtId="190" fontId="25" fillId="10" borderId="2679" applyNumberFormat="0" applyProtection="0">
      <alignment horizontal="left" vertical="top"/>
    </xf>
    <xf numFmtId="190" fontId="25" fillId="10" borderId="2680" applyNumberFormat="0" applyProtection="0">
      <alignment horizontal="left" vertical="top"/>
    </xf>
    <xf numFmtId="190" fontId="25" fillId="10" borderId="2681" applyNumberFormat="0" applyProtection="0">
      <alignment horizontal="left" vertical="top"/>
    </xf>
    <xf numFmtId="190" fontId="241" fillId="94" borderId="2695" applyBorder="0" applyProtection="0">
      <alignment horizontal="centerContinuous" vertical="center"/>
    </xf>
    <xf numFmtId="188" fontId="25" fillId="0" borderId="4745" applyFont="0" applyFill="0" applyBorder="0" applyAlignment="0" applyProtection="0">
      <alignment horizontal="center"/>
    </xf>
    <xf numFmtId="0" fontId="25" fillId="10" borderId="4794" applyNumberFormat="0" applyProtection="0">
      <alignment horizontal="left" vertical="top"/>
    </xf>
    <xf numFmtId="222" fontId="79" fillId="0" borderId="2694" applyBorder="0"/>
    <xf numFmtId="0" fontId="101" fillId="0" borderId="2695" applyBorder="0"/>
    <xf numFmtId="222" fontId="79" fillId="0" borderId="2694" applyBorder="0"/>
    <xf numFmtId="0" fontId="113" fillId="0" borderId="2695" applyNumberFormat="0" applyFill="0" applyAlignment="0" applyProtection="0"/>
    <xf numFmtId="0" fontId="75" fillId="0" borderId="2672" applyNumberFormat="0" applyFont="0" applyFill="0" applyAlignment="0" applyProtection="0"/>
    <xf numFmtId="0" fontId="12" fillId="0" borderId="2695" applyNumberFormat="0" applyFill="0" applyBorder="0" applyAlignment="0" applyProtection="0">
      <alignment horizontal="center"/>
    </xf>
    <xf numFmtId="248" fontId="46" fillId="0" borderId="2695"/>
    <xf numFmtId="192" fontId="9" fillId="3" borderId="2695">
      <alignment horizontal="right" vertical="center"/>
    </xf>
    <xf numFmtId="180" fontId="9" fillId="3" borderId="2695">
      <alignment horizontal="right" vertical="center"/>
    </xf>
    <xf numFmtId="186" fontId="146" fillId="3" borderId="2695" applyBorder="0">
      <alignment horizontal="left" vertical="center"/>
    </xf>
    <xf numFmtId="186" fontId="146" fillId="3" borderId="2674">
      <alignment horizontal="left"/>
    </xf>
    <xf numFmtId="186" fontId="140" fillId="3" borderId="2675">
      <alignment horizontal="center" vertical="center"/>
    </xf>
    <xf numFmtId="0" fontId="165" fillId="0" borderId="2695" applyFill="0" applyProtection="0">
      <alignment horizontal="center"/>
    </xf>
    <xf numFmtId="0" fontId="166" fillId="0" borderId="2695">
      <alignment horizontal="center"/>
    </xf>
    <xf numFmtId="264" fontId="12" fillId="14" borderId="2695" applyFont="0" applyFill="0" applyBorder="0" applyAlignment="0" applyProtection="0">
      <alignment horizontal="right"/>
    </xf>
    <xf numFmtId="0" fontId="210" fillId="0" borderId="2695" applyNumberFormat="0" applyFill="0" applyBorder="0" applyAlignment="0">
      <protection locked="0"/>
    </xf>
    <xf numFmtId="0" fontId="2" fillId="0" borderId="2676" applyNumberFormat="0" applyAlignment="0" applyProtection="0"/>
    <xf numFmtId="0" fontId="214" fillId="0" borderId="2677" applyNumberFormat="0" applyFont="0" applyFill="0" applyAlignment="0" applyProtection="0"/>
    <xf numFmtId="0" fontId="25" fillId="10" borderId="2678" applyNumberFormat="0" applyProtection="0">
      <alignment horizontal="left" vertical="top"/>
    </xf>
    <xf numFmtId="0" fontId="25" fillId="10" borderId="2679" applyNumberFormat="0" applyProtection="0">
      <alignment horizontal="left" vertical="top"/>
    </xf>
    <xf numFmtId="0" fontId="25" fillId="10" borderId="2680" applyNumberFormat="0" applyProtection="0">
      <alignment horizontal="left" vertical="top"/>
    </xf>
    <xf numFmtId="0" fontId="25" fillId="10" borderId="2681" applyNumberFormat="0" applyProtection="0">
      <alignment horizontal="left" vertical="top"/>
    </xf>
    <xf numFmtId="0" fontId="25" fillId="10" borderId="2678" applyNumberFormat="0" applyProtection="0">
      <alignment horizontal="left" vertical="top"/>
    </xf>
    <xf numFmtId="0" fontId="25" fillId="10" borderId="2679" applyNumberFormat="0" applyProtection="0">
      <alignment horizontal="left" vertical="top"/>
    </xf>
    <xf numFmtId="0" fontId="25" fillId="10" borderId="2680" applyNumberFormat="0" applyProtection="0">
      <alignment horizontal="left" vertical="top"/>
    </xf>
    <xf numFmtId="0" fontId="25" fillId="10" borderId="2681" applyNumberFormat="0" applyProtection="0">
      <alignment horizontal="left" vertical="top"/>
    </xf>
    <xf numFmtId="254" fontId="240" fillId="0" borderId="2695" applyBorder="0" applyProtection="0">
      <alignment horizontal="right" vertical="center"/>
    </xf>
    <xf numFmtId="0" fontId="241" fillId="94" borderId="2695" applyBorder="0" applyProtection="0">
      <alignment horizontal="centerContinuous" vertical="center"/>
    </xf>
    <xf numFmtId="246" fontId="249" fillId="0" borderId="2695" applyFill="0" applyProtection="0">
      <alignment horizontal="center"/>
    </xf>
    <xf numFmtId="246" fontId="250" fillId="0" borderId="2695" applyFill="0" applyProtection="0">
      <alignment horizontal="center"/>
    </xf>
    <xf numFmtId="312" fontId="101" fillId="0" borderId="2695" applyBorder="0"/>
    <xf numFmtId="312" fontId="113" fillId="0" borderId="2695" applyNumberFormat="0" applyFill="0" applyAlignment="0" applyProtection="0"/>
    <xf numFmtId="312" fontId="75" fillId="0" borderId="2672" applyNumberFormat="0" applyFont="0" applyFill="0" applyAlignment="0" applyProtection="0"/>
    <xf numFmtId="312" fontId="12" fillId="0" borderId="2695" applyNumberFormat="0" applyFill="0" applyBorder="0" applyAlignment="0" applyProtection="0">
      <alignment horizontal="center"/>
    </xf>
    <xf numFmtId="312" fontId="78" fillId="14" borderId="2504" applyFont="0" applyFill="0" applyBorder="0" applyAlignment="0" applyProtection="0"/>
    <xf numFmtId="312" fontId="165" fillId="0" borderId="2695" applyFill="0" applyProtection="0">
      <alignment horizontal="center"/>
    </xf>
    <xf numFmtId="312" fontId="242" fillId="0" borderId="2695">
      <alignment horizontal="center"/>
    </xf>
    <xf numFmtId="312" fontId="210" fillId="0" borderId="2695" applyNumberFormat="0" applyFill="0" applyBorder="0" applyAlignment="0">
      <protection locked="0"/>
    </xf>
    <xf numFmtId="312" fontId="2" fillId="0" borderId="2676" applyNumberFormat="0" applyAlignment="0" applyProtection="0"/>
    <xf numFmtId="312" fontId="214" fillId="0" borderId="2677" applyNumberFormat="0" applyFont="0" applyFill="0" applyAlignment="0" applyProtection="0"/>
    <xf numFmtId="246" fontId="249" fillId="0" borderId="4746" applyFill="0" applyProtection="0">
      <alignment horizontal="center"/>
    </xf>
    <xf numFmtId="0" fontId="12" fillId="0" borderId="4729" applyNumberFormat="0" applyFill="0" applyBorder="0" applyAlignment="0" applyProtection="0"/>
    <xf numFmtId="312" fontId="25" fillId="10" borderId="2678" applyNumberFormat="0" applyProtection="0">
      <alignment horizontal="left" vertical="top"/>
    </xf>
    <xf numFmtId="312" fontId="25" fillId="10" borderId="2679" applyNumberFormat="0" applyProtection="0">
      <alignment horizontal="left" vertical="top"/>
    </xf>
    <xf numFmtId="312" fontId="25" fillId="10" borderId="2680" applyNumberFormat="0" applyProtection="0">
      <alignment horizontal="left" vertical="top"/>
    </xf>
    <xf numFmtId="312" fontId="25" fillId="10" borderId="2681" applyNumberFormat="0" applyProtection="0">
      <alignment horizontal="left" vertical="top"/>
    </xf>
    <xf numFmtId="312" fontId="241" fillId="94" borderId="2695" applyBorder="0" applyProtection="0">
      <alignment horizontal="centerContinuous" vertical="center"/>
    </xf>
    <xf numFmtId="246" fontId="296" fillId="0" borderId="2695" applyFill="0" applyProtection="0">
      <alignment horizontal="center"/>
    </xf>
    <xf numFmtId="222" fontId="79" fillId="0" borderId="4809" applyBorder="0"/>
    <xf numFmtId="190" fontId="12" fillId="0" borderId="4729" applyNumberFormat="0" applyFill="0" applyBorder="0" applyAlignment="0" applyProtection="0"/>
    <xf numFmtId="312" fontId="101" fillId="0" borderId="2695" applyBorder="0"/>
    <xf numFmtId="312" fontId="113" fillId="0" borderId="2695" applyNumberFormat="0" applyFill="0" applyAlignment="0" applyProtection="0"/>
    <xf numFmtId="312" fontId="75" fillId="0" borderId="2672" applyNumberFormat="0" applyFont="0" applyFill="0" applyAlignment="0" applyProtection="0"/>
    <xf numFmtId="312" fontId="12" fillId="0" borderId="2695" applyNumberFormat="0" applyFill="0" applyBorder="0" applyAlignment="0" applyProtection="0">
      <alignment horizontal="center"/>
    </xf>
    <xf numFmtId="312" fontId="78" fillId="14" borderId="2504" applyFont="0" applyFill="0" applyBorder="0" applyAlignment="0" applyProtection="0"/>
    <xf numFmtId="312" fontId="165" fillId="0" borderId="2695" applyFill="0" applyProtection="0">
      <alignment horizontal="center"/>
    </xf>
    <xf numFmtId="312" fontId="242" fillId="0" borderId="2695">
      <alignment horizontal="center"/>
    </xf>
    <xf numFmtId="312" fontId="210" fillId="0" borderId="2695" applyNumberFormat="0" applyFill="0" applyBorder="0" applyAlignment="0">
      <protection locked="0"/>
    </xf>
    <xf numFmtId="312" fontId="2" fillId="0" borderId="2676" applyNumberFormat="0" applyAlignment="0" applyProtection="0"/>
    <xf numFmtId="312" fontId="214" fillId="0" borderId="2677" applyNumberFormat="0" applyFont="0" applyFill="0" applyAlignment="0" applyProtection="0"/>
    <xf numFmtId="312" fontId="25" fillId="10" borderId="2678" applyNumberFormat="0" applyProtection="0">
      <alignment horizontal="left" vertical="top"/>
    </xf>
    <xf numFmtId="312" fontId="25" fillId="10" borderId="2679" applyNumberFormat="0" applyProtection="0">
      <alignment horizontal="left" vertical="top"/>
    </xf>
    <xf numFmtId="312" fontId="25" fillId="10" borderId="2680" applyNumberFormat="0" applyProtection="0">
      <alignment horizontal="left" vertical="top"/>
    </xf>
    <xf numFmtId="312" fontId="25" fillId="10" borderId="2681" applyNumberFormat="0" applyProtection="0">
      <alignment horizontal="left" vertical="top"/>
    </xf>
    <xf numFmtId="312" fontId="25" fillId="10" borderId="2678" applyNumberFormat="0" applyProtection="0">
      <alignment horizontal="left" vertical="top"/>
    </xf>
    <xf numFmtId="312" fontId="25" fillId="10" borderId="2679" applyNumberFormat="0" applyProtection="0">
      <alignment horizontal="left" vertical="top"/>
    </xf>
    <xf numFmtId="312" fontId="25" fillId="10" borderId="2680" applyNumberFormat="0" applyProtection="0">
      <alignment horizontal="left" vertical="top"/>
    </xf>
    <xf numFmtId="312" fontId="25" fillId="10" borderId="2681" applyNumberFormat="0" applyProtection="0">
      <alignment horizontal="left" vertical="top"/>
    </xf>
    <xf numFmtId="312" fontId="241" fillId="94" borderId="2695" applyBorder="0" applyProtection="0">
      <alignment horizontal="centerContinuous" vertical="center"/>
    </xf>
    <xf numFmtId="246" fontId="296" fillId="0" borderId="2695" applyFill="0" applyProtection="0">
      <alignment horizontal="center"/>
    </xf>
    <xf numFmtId="246" fontId="250" fillId="0" borderId="2695" applyFill="0" applyProtection="0">
      <alignment horizontal="center"/>
    </xf>
    <xf numFmtId="246" fontId="249" fillId="0" borderId="2695" applyFill="0" applyProtection="0">
      <alignment horizontal="center"/>
    </xf>
    <xf numFmtId="0" fontId="241" fillId="94" borderId="2695" applyBorder="0" applyProtection="0">
      <alignment horizontal="centerContinuous" vertical="center"/>
    </xf>
    <xf numFmtId="254" fontId="240" fillId="0" borderId="2695" applyBorder="0" applyProtection="0">
      <alignment horizontal="right" vertical="center"/>
    </xf>
    <xf numFmtId="0" fontId="25" fillId="10" borderId="2633" applyNumberFormat="0" applyProtection="0">
      <alignment horizontal="left" vertical="top"/>
    </xf>
    <xf numFmtId="0" fontId="25" fillId="10" borderId="2632" applyNumberFormat="0" applyProtection="0">
      <alignment horizontal="left" vertical="top"/>
    </xf>
    <xf numFmtId="0" fontId="25" fillId="10" borderId="2631" applyNumberFormat="0" applyProtection="0">
      <alignment horizontal="left" vertical="top"/>
    </xf>
    <xf numFmtId="0" fontId="25" fillId="10" borderId="2630" applyNumberFormat="0" applyProtection="0">
      <alignment horizontal="left" vertical="top"/>
    </xf>
    <xf numFmtId="0" fontId="214" fillId="0" borderId="2629" applyNumberFormat="0" applyFont="0" applyFill="0" applyAlignment="0" applyProtection="0"/>
    <xf numFmtId="0" fontId="2" fillId="0" borderId="2628" applyNumberFormat="0" applyAlignment="0" applyProtection="0"/>
    <xf numFmtId="0" fontId="210" fillId="0" borderId="2695" applyNumberFormat="0" applyFill="0" applyBorder="0" applyAlignment="0">
      <protection locked="0"/>
    </xf>
    <xf numFmtId="264" fontId="12" fillId="14" borderId="2695" applyFont="0" applyFill="0" applyBorder="0" applyAlignment="0" applyProtection="0">
      <alignment horizontal="right"/>
    </xf>
    <xf numFmtId="0" fontId="166" fillId="0" borderId="2695">
      <alignment horizontal="center"/>
    </xf>
    <xf numFmtId="0" fontId="165" fillId="0" borderId="2695" applyFill="0" applyProtection="0">
      <alignment horizontal="center"/>
    </xf>
    <xf numFmtId="186" fontId="140" fillId="3" borderId="2627">
      <alignment horizontal="center" vertical="center"/>
    </xf>
    <xf numFmtId="186" fontId="146" fillId="3" borderId="2626">
      <alignment horizontal="left"/>
    </xf>
    <xf numFmtId="186" fontId="146" fillId="3" borderId="2695" applyBorder="0">
      <alignment horizontal="left" vertical="center"/>
    </xf>
    <xf numFmtId="180" fontId="9" fillId="3" borderId="2695">
      <alignment horizontal="right" vertical="center"/>
    </xf>
    <xf numFmtId="192" fontId="9" fillId="3" borderId="2695">
      <alignment horizontal="right" vertical="center"/>
    </xf>
    <xf numFmtId="248" fontId="46" fillId="0" borderId="2695"/>
    <xf numFmtId="0" fontId="78" fillId="14" borderId="2625" applyFont="0" applyFill="0" applyBorder="0" applyAlignment="0" applyProtection="0"/>
    <xf numFmtId="0" fontId="12" fillId="0" borderId="2695" applyNumberFormat="0" applyFill="0" applyBorder="0" applyAlignment="0" applyProtection="0">
      <alignment horizontal="center"/>
    </xf>
    <xf numFmtId="0" fontId="75" fillId="0" borderId="2624" applyNumberFormat="0" applyFont="0" applyFill="0" applyAlignment="0" applyProtection="0"/>
    <xf numFmtId="0" fontId="113" fillId="0" borderId="2695" applyNumberFormat="0" applyFill="0" applyAlignment="0" applyProtection="0"/>
    <xf numFmtId="222" fontId="79" fillId="0" borderId="2694" applyBorder="0"/>
    <xf numFmtId="0" fontId="101" fillId="0" borderId="2695" applyBorder="0"/>
    <xf numFmtId="0" fontId="12" fillId="3" borderId="4730" applyNumberFormat="0" applyFont="0" applyAlignment="0" applyProtection="0"/>
    <xf numFmtId="0" fontId="241" fillId="94" borderId="4746" applyBorder="0" applyProtection="0">
      <alignment horizontal="centerContinuous" vertical="center"/>
    </xf>
    <xf numFmtId="0" fontId="25" fillId="10" borderId="2702" applyNumberFormat="0" applyProtection="0">
      <alignment horizontal="left" vertical="top"/>
    </xf>
    <xf numFmtId="0" fontId="25" fillId="10" borderId="2703" applyNumberFormat="0" applyProtection="0">
      <alignment horizontal="left" vertical="top"/>
    </xf>
    <xf numFmtId="0" fontId="25" fillId="10" borderId="2704" applyNumberFormat="0" applyProtection="0">
      <alignment horizontal="left" vertical="top"/>
    </xf>
    <xf numFmtId="0" fontId="25" fillId="10" borderId="2705" applyNumberFormat="0" applyProtection="0">
      <alignment horizontal="left" vertical="top"/>
    </xf>
    <xf numFmtId="0" fontId="25" fillId="10" borderId="4730" applyNumberFormat="0" applyProtection="0">
      <alignment horizontal="center" vertical="top"/>
    </xf>
    <xf numFmtId="246" fontId="250" fillId="0" borderId="2635" applyFill="0" applyProtection="0">
      <alignment horizontal="center"/>
    </xf>
    <xf numFmtId="246" fontId="249" fillId="0" borderId="2635" applyFill="0" applyProtection="0">
      <alignment horizontal="center"/>
    </xf>
    <xf numFmtId="0" fontId="241" fillId="94" borderId="2635" applyBorder="0" applyProtection="0">
      <alignment horizontal="centerContinuous" vertical="center"/>
    </xf>
    <xf numFmtId="254" fontId="240" fillId="0" borderId="2635" applyBorder="0" applyProtection="0">
      <alignment horizontal="right" vertical="center"/>
    </xf>
    <xf numFmtId="0" fontId="210" fillId="0" borderId="2635" applyNumberFormat="0" applyFill="0" applyBorder="0" applyAlignment="0">
      <protection locked="0"/>
    </xf>
    <xf numFmtId="264" fontId="12" fillId="14" borderId="2635" applyFont="0" applyFill="0" applyBorder="0" applyAlignment="0" applyProtection="0">
      <alignment horizontal="right"/>
    </xf>
    <xf numFmtId="0" fontId="166" fillId="0" borderId="2635">
      <alignment horizontal="center"/>
    </xf>
    <xf numFmtId="0" fontId="165" fillId="0" borderId="2635" applyFill="0" applyProtection="0">
      <alignment horizontal="center"/>
    </xf>
    <xf numFmtId="186" fontId="146" fillId="3" borderId="2635" applyBorder="0">
      <alignment horizontal="left" vertical="center"/>
    </xf>
    <xf numFmtId="180" fontId="9" fillId="3" borderId="2635">
      <alignment horizontal="right" vertical="center"/>
    </xf>
    <xf numFmtId="192" fontId="9" fillId="3" borderId="2635">
      <alignment horizontal="right" vertical="center"/>
    </xf>
    <xf numFmtId="248" fontId="46" fillId="0" borderId="2635"/>
    <xf numFmtId="0" fontId="12" fillId="0" borderId="2635" applyNumberFormat="0" applyFill="0" applyBorder="0" applyAlignment="0" applyProtection="0">
      <alignment horizontal="center"/>
    </xf>
    <xf numFmtId="0" fontId="113" fillId="0" borderId="2635" applyNumberFormat="0" applyFill="0" applyAlignment="0" applyProtection="0"/>
    <xf numFmtId="222" fontId="79" fillId="0" borderId="2513" applyBorder="0"/>
    <xf numFmtId="0" fontId="101" fillId="0" borderId="2635" applyBorder="0"/>
    <xf numFmtId="246" fontId="250" fillId="0" borderId="2635" applyFill="0" applyProtection="0">
      <alignment horizontal="center"/>
    </xf>
    <xf numFmtId="246" fontId="249" fillId="0" borderId="2635" applyFill="0" applyProtection="0">
      <alignment horizontal="center"/>
    </xf>
    <xf numFmtId="0" fontId="241" fillId="94" borderId="2635" applyBorder="0" applyProtection="0">
      <alignment horizontal="centerContinuous" vertical="center"/>
    </xf>
    <xf numFmtId="254" fontId="240" fillId="0" borderId="2635" applyBorder="0" applyProtection="0">
      <alignment horizontal="right" vertical="center"/>
    </xf>
    <xf numFmtId="246" fontId="250" fillId="0" borderId="4746" applyFill="0" applyProtection="0">
      <alignment horizontal="center"/>
    </xf>
    <xf numFmtId="0" fontId="210" fillId="0" borderId="2635" applyNumberFormat="0" applyFill="0" applyBorder="0" applyAlignment="0">
      <protection locked="0"/>
    </xf>
    <xf numFmtId="264" fontId="12" fillId="14" borderId="2635" applyFont="0" applyFill="0" applyBorder="0" applyAlignment="0" applyProtection="0">
      <alignment horizontal="right"/>
    </xf>
    <xf numFmtId="0" fontId="166" fillId="0" borderId="2635">
      <alignment horizontal="center"/>
    </xf>
    <xf numFmtId="0" fontId="165" fillId="0" borderId="2635" applyFill="0" applyProtection="0">
      <alignment horizontal="center"/>
    </xf>
    <xf numFmtId="186" fontId="146" fillId="3" borderId="2635" applyBorder="0">
      <alignment horizontal="left" vertical="center"/>
    </xf>
    <xf numFmtId="180" fontId="9" fillId="3" borderId="2635">
      <alignment horizontal="right" vertical="center"/>
    </xf>
    <xf numFmtId="192" fontId="9" fillId="3" borderId="2635">
      <alignment horizontal="right" vertical="center"/>
    </xf>
    <xf numFmtId="0" fontId="12" fillId="0" borderId="2635" applyNumberFormat="0" applyFill="0" applyBorder="0" applyAlignment="0" applyProtection="0">
      <alignment horizontal="center"/>
    </xf>
    <xf numFmtId="0" fontId="113" fillId="0" borderId="2635" applyNumberFormat="0" applyFill="0" applyAlignment="0" applyProtection="0"/>
    <xf numFmtId="222" fontId="79" fillId="0" borderId="2513" applyBorder="0"/>
    <xf numFmtId="0" fontId="101" fillId="0" borderId="2635" applyBorder="0"/>
    <xf numFmtId="248" fontId="46" fillId="0" borderId="2635"/>
    <xf numFmtId="246" fontId="250" fillId="0" borderId="2635" applyFill="0" applyProtection="0">
      <alignment horizontal="center"/>
    </xf>
    <xf numFmtId="246" fontId="249" fillId="0" borderId="2635" applyFill="0" applyProtection="0">
      <alignment horizontal="center"/>
    </xf>
    <xf numFmtId="0" fontId="241" fillId="94" borderId="2635" applyBorder="0" applyProtection="0">
      <alignment horizontal="centerContinuous" vertical="center"/>
    </xf>
    <xf numFmtId="254" fontId="240" fillId="0" borderId="2635" applyBorder="0" applyProtection="0">
      <alignment horizontal="right" vertical="center"/>
    </xf>
    <xf numFmtId="0" fontId="210" fillId="0" borderId="2635" applyNumberFormat="0" applyFill="0" applyBorder="0" applyAlignment="0">
      <protection locked="0"/>
    </xf>
    <xf numFmtId="264" fontId="12" fillId="14" borderId="2635" applyFont="0" applyFill="0" applyBorder="0" applyAlignment="0" applyProtection="0">
      <alignment horizontal="right"/>
    </xf>
    <xf numFmtId="0" fontId="166" fillId="0" borderId="2635">
      <alignment horizontal="center"/>
    </xf>
    <xf numFmtId="0" fontId="165" fillId="0" borderId="2635" applyFill="0" applyProtection="0">
      <alignment horizontal="center"/>
    </xf>
    <xf numFmtId="186" fontId="146" fillId="3" borderId="2635" applyBorder="0">
      <alignment horizontal="left" vertical="center"/>
    </xf>
    <xf numFmtId="180" fontId="9" fillId="3" borderId="2635">
      <alignment horizontal="right" vertical="center"/>
    </xf>
    <xf numFmtId="192" fontId="9" fillId="3" borderId="2635">
      <alignment horizontal="right" vertical="center"/>
    </xf>
    <xf numFmtId="248" fontId="46" fillId="0" borderId="2635"/>
    <xf numFmtId="0" fontId="12" fillId="0" borderId="2635" applyNumberFormat="0" applyFill="0" applyBorder="0" applyAlignment="0" applyProtection="0">
      <alignment horizontal="center"/>
    </xf>
    <xf numFmtId="0" fontId="113" fillId="0" borderId="2635" applyNumberFormat="0" applyFill="0" applyAlignment="0" applyProtection="0"/>
    <xf numFmtId="222" fontId="79" fillId="0" borderId="2513" applyBorder="0"/>
    <xf numFmtId="0" fontId="101" fillId="0" borderId="2635" applyBorder="0"/>
    <xf numFmtId="222" fontId="79" fillId="0" borderId="2706" applyBorder="0"/>
    <xf numFmtId="0" fontId="101" fillId="0" borderId="2707" applyBorder="0"/>
    <xf numFmtId="222" fontId="79" fillId="0" borderId="2706" applyBorder="0"/>
    <xf numFmtId="0" fontId="113" fillId="0" borderId="2707" applyNumberFormat="0" applyFill="0" applyAlignment="0" applyProtection="0"/>
    <xf numFmtId="0" fontId="12" fillId="0" borderId="2707" applyNumberFormat="0" applyFill="0" applyBorder="0" applyAlignment="0" applyProtection="0">
      <alignment horizontal="center"/>
    </xf>
    <xf numFmtId="248" fontId="46" fillId="0" borderId="2707"/>
    <xf numFmtId="192" fontId="9" fillId="3" borderId="2707">
      <alignment horizontal="right" vertical="center"/>
    </xf>
    <xf numFmtId="180" fontId="9" fillId="3" borderId="2707">
      <alignment horizontal="right" vertical="center"/>
    </xf>
    <xf numFmtId="186" fontId="146" fillId="3" borderId="2707" applyBorder="0">
      <alignment horizontal="left" vertical="center"/>
    </xf>
    <xf numFmtId="0" fontId="165" fillId="0" borderId="2707" applyFill="0" applyProtection="0">
      <alignment horizontal="center"/>
    </xf>
    <xf numFmtId="0" fontId="166" fillId="0" borderId="2707">
      <alignment horizontal="center"/>
    </xf>
    <xf numFmtId="264" fontId="12" fillId="14" borderId="2707" applyFont="0" applyFill="0" applyBorder="0" applyAlignment="0" applyProtection="0">
      <alignment horizontal="right"/>
    </xf>
    <xf numFmtId="0" fontId="210" fillId="0" borderId="2707" applyNumberFormat="0" applyFill="0" applyBorder="0" applyAlignment="0">
      <protection locked="0"/>
    </xf>
    <xf numFmtId="254" fontId="240" fillId="0" borderId="2707" applyBorder="0" applyProtection="0">
      <alignment horizontal="right" vertical="center"/>
    </xf>
    <xf numFmtId="0" fontId="241" fillId="94" borderId="2707" applyBorder="0" applyProtection="0">
      <alignment horizontal="centerContinuous" vertical="center"/>
    </xf>
    <xf numFmtId="246" fontId="249" fillId="0" borderId="2707" applyFill="0" applyProtection="0">
      <alignment horizontal="center"/>
    </xf>
    <xf numFmtId="246" fontId="250" fillId="0" borderId="2707" applyFill="0" applyProtection="0">
      <alignment horizontal="center"/>
    </xf>
    <xf numFmtId="0" fontId="78" fillId="14" borderId="2709" applyFont="0" applyFill="0" applyBorder="0" applyAlignment="0" applyProtection="0"/>
    <xf numFmtId="0" fontId="25" fillId="10" borderId="2717" applyNumberFormat="0" applyProtection="0">
      <alignment horizontal="left" vertical="top"/>
    </xf>
    <xf numFmtId="0" fontId="25" fillId="10" borderId="2716" applyNumberFormat="0" applyProtection="0">
      <alignment horizontal="left" vertical="top"/>
    </xf>
    <xf numFmtId="0" fontId="25" fillId="10" borderId="2715" applyNumberFormat="0" applyProtection="0">
      <alignment horizontal="left" vertical="top"/>
    </xf>
    <xf numFmtId="0" fontId="25" fillId="10" borderId="2714" applyNumberFormat="0" applyProtection="0">
      <alignment horizontal="left" vertical="top"/>
    </xf>
    <xf numFmtId="0" fontId="214" fillId="0" borderId="2713" applyNumberFormat="0" applyFont="0" applyFill="0" applyAlignment="0" applyProtection="0"/>
    <xf numFmtId="0" fontId="2" fillId="0" borderId="2712" applyNumberFormat="0" applyAlignment="0" applyProtection="0"/>
    <xf numFmtId="186" fontId="140" fillId="3" borderId="2711">
      <alignment horizontal="center" vertical="center"/>
    </xf>
    <xf numFmtId="186" fontId="146" fillId="3" borderId="2710">
      <alignment horizontal="left"/>
    </xf>
    <xf numFmtId="0" fontId="75" fillId="0" borderId="2708" applyNumberFormat="0" applyFont="0" applyFill="0" applyAlignment="0" applyProtection="0"/>
    <xf numFmtId="222" fontId="79" fillId="0" borderId="2718" applyBorder="0"/>
    <xf numFmtId="0" fontId="101" fillId="0" borderId="2719" applyBorder="0"/>
    <xf numFmtId="222" fontId="79" fillId="0" borderId="2718" applyBorder="0"/>
    <xf numFmtId="0" fontId="113" fillId="0" borderId="2719" applyNumberFormat="0" applyFill="0" applyAlignment="0" applyProtection="0"/>
    <xf numFmtId="0" fontId="12" fillId="0" borderId="2719" applyNumberFormat="0" applyFill="0" applyBorder="0" applyAlignment="0" applyProtection="0">
      <alignment horizontal="center"/>
    </xf>
    <xf numFmtId="248" fontId="46" fillId="0" borderId="2719"/>
    <xf numFmtId="192" fontId="9" fillId="3" borderId="2719">
      <alignment horizontal="right" vertical="center"/>
    </xf>
    <xf numFmtId="180" fontId="9" fillId="3" borderId="2719">
      <alignment horizontal="right" vertical="center"/>
    </xf>
    <xf numFmtId="186" fontId="146" fillId="3" borderId="2719" applyBorder="0">
      <alignment horizontal="left" vertical="center"/>
    </xf>
    <xf numFmtId="0" fontId="165" fillId="0" borderId="2719" applyFill="0" applyProtection="0">
      <alignment horizontal="center"/>
    </xf>
    <xf numFmtId="0" fontId="166" fillId="0" borderId="2719">
      <alignment horizontal="center"/>
    </xf>
    <xf numFmtId="264" fontId="12" fillId="14" borderId="2719" applyFont="0" applyFill="0" applyBorder="0" applyAlignment="0" applyProtection="0">
      <alignment horizontal="right"/>
    </xf>
    <xf numFmtId="0" fontId="210" fillId="0" borderId="2719" applyNumberFormat="0" applyFill="0" applyBorder="0" applyAlignment="0">
      <protection locked="0"/>
    </xf>
    <xf numFmtId="254" fontId="240" fillId="0" borderId="2719" applyBorder="0" applyProtection="0">
      <alignment horizontal="right" vertical="center"/>
    </xf>
    <xf numFmtId="0" fontId="241" fillId="94" borderId="2719" applyBorder="0" applyProtection="0">
      <alignment horizontal="centerContinuous" vertical="center"/>
    </xf>
    <xf numFmtId="246" fontId="249" fillId="0" borderId="2719" applyFill="0" applyProtection="0">
      <alignment horizontal="center"/>
    </xf>
    <xf numFmtId="246" fontId="250" fillId="0" borderId="2719" applyFill="0" applyProtection="0">
      <alignment horizontal="center"/>
    </xf>
    <xf numFmtId="186" fontId="146" fillId="3" borderId="2722">
      <alignment horizontal="left"/>
    </xf>
    <xf numFmtId="0" fontId="75" fillId="0" borderId="2720" applyNumberFormat="0" applyFont="0" applyFill="0" applyAlignment="0" applyProtection="0"/>
    <xf numFmtId="0" fontId="113" fillId="0" borderId="2803" applyNumberFormat="0" applyFill="0" applyAlignment="0" applyProtection="0"/>
    <xf numFmtId="264" fontId="12" fillId="14" borderId="2803" applyFont="0" applyFill="0" applyBorder="0" applyAlignment="0" applyProtection="0">
      <alignment horizontal="right"/>
    </xf>
    <xf numFmtId="246" fontId="249" fillId="0" borderId="2803" applyFill="0" applyProtection="0">
      <alignment horizontal="center"/>
    </xf>
    <xf numFmtId="0" fontId="25" fillId="10" borderId="2729" applyNumberFormat="0" applyProtection="0">
      <alignment horizontal="left" vertical="top"/>
    </xf>
    <xf numFmtId="0" fontId="25" fillId="10" borderId="2727" applyNumberFormat="0" applyProtection="0">
      <alignment horizontal="left" vertical="top"/>
    </xf>
    <xf numFmtId="0" fontId="25" fillId="10" borderId="2728" applyNumberFormat="0" applyProtection="0">
      <alignment horizontal="left" vertical="top"/>
    </xf>
    <xf numFmtId="0" fontId="25" fillId="10" borderId="2726" applyNumberFormat="0" applyProtection="0">
      <alignment horizontal="left" vertical="top"/>
    </xf>
    <xf numFmtId="0" fontId="25" fillId="10" borderId="2729" applyNumberFormat="0" applyProtection="0">
      <alignment horizontal="left" vertical="top"/>
    </xf>
    <xf numFmtId="0" fontId="25" fillId="10" borderId="2728" applyNumberFormat="0" applyProtection="0">
      <alignment horizontal="left" vertical="top"/>
    </xf>
    <xf numFmtId="0" fontId="25" fillId="10" borderId="2727" applyNumberFormat="0" applyProtection="0">
      <alignment horizontal="left" vertical="top"/>
    </xf>
    <xf numFmtId="0" fontId="25" fillId="10" borderId="2726" applyNumberFormat="0" applyProtection="0">
      <alignment horizontal="left" vertical="top"/>
    </xf>
    <xf numFmtId="0" fontId="214" fillId="0" borderId="2725" applyNumberFormat="0" applyFont="0" applyFill="0" applyAlignment="0" applyProtection="0"/>
    <xf numFmtId="0" fontId="2" fillId="0" borderId="2724" applyNumberFormat="0" applyAlignment="0" applyProtection="0"/>
    <xf numFmtId="186" fontId="140" fillId="3" borderId="2723">
      <alignment horizontal="center" vertical="center"/>
    </xf>
    <xf numFmtId="186" fontId="140" fillId="3" borderId="2735">
      <alignment horizontal="center" vertical="center"/>
    </xf>
    <xf numFmtId="0" fontId="25" fillId="10" borderId="2738" applyNumberFormat="0" applyProtection="0">
      <alignment horizontal="left" vertical="top"/>
    </xf>
    <xf numFmtId="0" fontId="12" fillId="0" borderId="2803" applyNumberFormat="0" applyFill="0" applyBorder="0" applyAlignment="0" applyProtection="0">
      <alignment horizontal="center"/>
    </xf>
    <xf numFmtId="0" fontId="25" fillId="10" borderId="2800" applyNumberFormat="0" applyProtection="0">
      <alignment horizontal="left" vertical="top"/>
    </xf>
    <xf numFmtId="222" fontId="79" fillId="0" borderId="2790" applyBorder="0"/>
    <xf numFmtId="0" fontId="78" fillId="14" borderId="2793" applyFont="0" applyFill="0" applyBorder="0" applyAlignment="0" applyProtection="0"/>
    <xf numFmtId="222" fontId="79" fillId="0" borderId="2802" applyBorder="0"/>
    <xf numFmtId="0" fontId="101" fillId="0" borderId="2803" applyBorder="0"/>
    <xf numFmtId="222" fontId="79" fillId="0" borderId="2802" applyBorder="0"/>
    <xf numFmtId="248" fontId="46" fillId="0" borderId="2803"/>
    <xf numFmtId="192" fontId="9" fillId="3" borderId="2803">
      <alignment horizontal="right" vertical="center"/>
    </xf>
    <xf numFmtId="180" fontId="9" fillId="3" borderId="2803">
      <alignment horizontal="right" vertical="center"/>
    </xf>
    <xf numFmtId="186" fontId="146" fillId="3" borderId="2803" applyBorder="0">
      <alignment horizontal="left" vertical="center"/>
    </xf>
    <xf numFmtId="0" fontId="165" fillId="0" borderId="2803" applyFill="0" applyProtection="0">
      <alignment horizontal="center"/>
    </xf>
    <xf numFmtId="0" fontId="210" fillId="0" borderId="2803" applyNumberFormat="0" applyFill="0" applyBorder="0" applyAlignment="0">
      <protection locked="0"/>
    </xf>
    <xf numFmtId="254" fontId="240" fillId="0" borderId="2803" applyBorder="0" applyProtection="0">
      <alignment horizontal="right" vertical="center"/>
    </xf>
    <xf numFmtId="246" fontId="250" fillId="0" borderId="2803" applyFill="0" applyProtection="0">
      <alignment horizontal="center"/>
    </xf>
    <xf numFmtId="222" fontId="79" fillId="0" borderId="2742" applyBorder="0"/>
    <xf numFmtId="0" fontId="25" fillId="10" borderId="2739" applyNumberFormat="0" applyProtection="0">
      <alignment horizontal="left" vertical="top"/>
    </xf>
    <xf numFmtId="0" fontId="25" fillId="10" borderId="2741" applyNumberFormat="0" applyProtection="0">
      <alignment horizontal="left" vertical="top"/>
    </xf>
    <xf numFmtId="0" fontId="25" fillId="10" borderId="2738" applyNumberFormat="0" applyProtection="0">
      <alignment horizontal="left" vertical="top"/>
    </xf>
    <xf numFmtId="0" fontId="25" fillId="10" borderId="2739" applyNumberFormat="0" applyProtection="0">
      <alignment horizontal="left" vertical="top"/>
    </xf>
    <xf numFmtId="0" fontId="25" fillId="10" borderId="2740" applyNumberFormat="0" applyProtection="0">
      <alignment horizontal="left" vertical="top"/>
    </xf>
    <xf numFmtId="0" fontId="75" fillId="0" borderId="2744" applyNumberFormat="0" applyFont="0" applyFill="0" applyAlignment="0" applyProtection="0"/>
    <xf numFmtId="0" fontId="101" fillId="0" borderId="2755" applyBorder="0"/>
    <xf numFmtId="222" fontId="79" fillId="0" borderId="2754" applyBorder="0"/>
    <xf numFmtId="0" fontId="113" fillId="0" borderId="2755" applyNumberFormat="0" applyFill="0" applyAlignment="0" applyProtection="0"/>
    <xf numFmtId="0" fontId="12" fillId="0" borderId="2755" applyNumberFormat="0" applyFill="0" applyBorder="0" applyAlignment="0" applyProtection="0">
      <alignment horizontal="center"/>
    </xf>
    <xf numFmtId="248" fontId="46" fillId="0" borderId="2755"/>
    <xf numFmtId="192" fontId="9" fillId="3" borderId="2755">
      <alignment horizontal="right" vertical="center"/>
    </xf>
    <xf numFmtId="180" fontId="9" fillId="3" borderId="2755">
      <alignment horizontal="right" vertical="center"/>
    </xf>
    <xf numFmtId="186" fontId="146" fillId="3" borderId="2755" applyBorder="0">
      <alignment horizontal="left" vertical="center"/>
    </xf>
    <xf numFmtId="0" fontId="166" fillId="0" borderId="2755">
      <alignment horizontal="center"/>
    </xf>
    <xf numFmtId="0" fontId="210" fillId="0" borderId="2755" applyNumberFormat="0" applyFill="0" applyBorder="0" applyAlignment="0">
      <protection locked="0"/>
    </xf>
    <xf numFmtId="264" fontId="12" fillId="14" borderId="2755" applyFont="0" applyFill="0" applyBorder="0" applyAlignment="0" applyProtection="0">
      <alignment horizontal="right"/>
    </xf>
    <xf numFmtId="246" fontId="249" fillId="0" borderId="2755" applyFill="0" applyProtection="0">
      <alignment horizontal="center"/>
    </xf>
    <xf numFmtId="246" fontId="250" fillId="0" borderId="2755" applyFill="0" applyProtection="0">
      <alignment horizontal="center"/>
    </xf>
    <xf numFmtId="246" fontId="250" fillId="0" borderId="2779" applyFill="0" applyProtection="0">
      <alignment horizontal="center"/>
    </xf>
    <xf numFmtId="246" fontId="249" fillId="0" borderId="2779" applyFill="0" applyProtection="0">
      <alignment horizontal="center"/>
    </xf>
    <xf numFmtId="254" fontId="240" fillId="0" borderId="2779" applyBorder="0" applyProtection="0">
      <alignment horizontal="right" vertical="center"/>
    </xf>
    <xf numFmtId="264" fontId="12" fillId="14" borderId="2779" applyFont="0" applyFill="0" applyBorder="0" applyAlignment="0" applyProtection="0">
      <alignment horizontal="right"/>
    </xf>
    <xf numFmtId="0" fontId="165" fillId="0" borderId="2779" applyFill="0" applyProtection="0">
      <alignment horizontal="center"/>
    </xf>
    <xf numFmtId="180" fontId="9" fillId="3" borderId="2779">
      <alignment horizontal="right" vertical="center"/>
    </xf>
    <xf numFmtId="0" fontId="12" fillId="0" borderId="2779" applyNumberFormat="0" applyFill="0" applyBorder="0" applyAlignment="0" applyProtection="0">
      <alignment horizontal="center"/>
    </xf>
    <xf numFmtId="0" fontId="101" fillId="0" borderId="2779" applyBorder="0"/>
    <xf numFmtId="222" fontId="79" fillId="0" borderId="2778" applyBorder="0"/>
    <xf numFmtId="0" fontId="75" fillId="0" borderId="2768" applyNumberFormat="0" applyFont="0" applyFill="0" applyAlignment="0" applyProtection="0"/>
    <xf numFmtId="0" fontId="2" fillId="0" borderId="2772" applyNumberFormat="0" applyAlignment="0" applyProtection="0"/>
    <xf numFmtId="0" fontId="25" fillId="10" borderId="2774" applyNumberFormat="0" applyProtection="0">
      <alignment horizontal="left" vertical="top"/>
    </xf>
    <xf numFmtId="0" fontId="25" fillId="10" borderId="2777" applyNumberFormat="0" applyProtection="0">
      <alignment horizontal="left" vertical="top"/>
    </xf>
    <xf numFmtId="222" fontId="79" fillId="0" borderId="2766" applyBorder="0"/>
    <xf numFmtId="0" fontId="25" fillId="10" borderId="2752" applyNumberFormat="0" applyProtection="0">
      <alignment horizontal="left" vertical="top"/>
    </xf>
    <xf numFmtId="0" fontId="25" fillId="10" borderId="2750" applyNumberFormat="0" applyProtection="0">
      <alignment horizontal="left" vertical="top"/>
    </xf>
    <xf numFmtId="0" fontId="214" fillId="0" borderId="2749" applyNumberFormat="0" applyFont="0" applyFill="0" applyAlignment="0" applyProtection="0"/>
    <xf numFmtId="186" fontId="146" fillId="3" borderId="2746">
      <alignment horizontal="left"/>
    </xf>
    <xf numFmtId="222" fontId="79" fillId="0" borderId="2754" applyBorder="0"/>
    <xf numFmtId="0" fontId="101" fillId="0" borderId="2635" applyBorder="0"/>
    <xf numFmtId="0" fontId="113" fillId="0" borderId="2635" applyNumberFormat="0" applyFill="0" applyAlignment="0" applyProtection="0"/>
    <xf numFmtId="0" fontId="12" fillId="0" borderId="2635" applyNumberFormat="0" applyFill="0" applyBorder="0" applyAlignment="0" applyProtection="0">
      <alignment horizontal="center"/>
    </xf>
    <xf numFmtId="248" fontId="46" fillId="0" borderId="2635"/>
    <xf numFmtId="192" fontId="9" fillId="3" borderId="2635">
      <alignment horizontal="right" vertical="center"/>
    </xf>
    <xf numFmtId="180" fontId="9" fillId="3" borderId="2635">
      <alignment horizontal="right" vertical="center"/>
    </xf>
    <xf numFmtId="186" fontId="146" fillId="3" borderId="2635" applyBorder="0">
      <alignment horizontal="left" vertical="center"/>
    </xf>
    <xf numFmtId="0" fontId="165" fillId="0" borderId="2635" applyFill="0" applyProtection="0">
      <alignment horizontal="center"/>
    </xf>
    <xf numFmtId="0" fontId="166" fillId="0" borderId="2635">
      <alignment horizontal="center"/>
    </xf>
    <xf numFmtId="264" fontId="12" fillId="14" borderId="2635" applyFont="0" applyFill="0" applyBorder="0" applyAlignment="0" applyProtection="0">
      <alignment horizontal="right"/>
    </xf>
    <xf numFmtId="0" fontId="210" fillId="0" borderId="2635" applyNumberFormat="0" applyFill="0" applyBorder="0" applyAlignment="0">
      <protection locked="0"/>
    </xf>
    <xf numFmtId="248" fontId="46" fillId="0" borderId="2779"/>
    <xf numFmtId="222" fontId="79" fillId="0" borderId="2778" applyBorder="0"/>
    <xf numFmtId="186" fontId="140" fillId="3" borderId="2771">
      <alignment horizontal="center" vertical="center"/>
    </xf>
    <xf numFmtId="0" fontId="25" fillId="10" borderId="2776" applyNumberFormat="0" applyProtection="0">
      <alignment horizontal="left" vertical="top"/>
    </xf>
    <xf numFmtId="0" fontId="210" fillId="0" borderId="2779" applyNumberFormat="0" applyFill="0" applyBorder="0" applyAlignment="0">
      <protection locked="0"/>
    </xf>
    <xf numFmtId="192" fontId="9" fillId="3" borderId="2779">
      <alignment horizontal="right" vertical="center"/>
    </xf>
    <xf numFmtId="0" fontId="113" fillId="0" borderId="2779" applyNumberFormat="0" applyFill="0" applyAlignment="0" applyProtection="0"/>
    <xf numFmtId="186" fontId="146" fillId="3" borderId="2770">
      <alignment horizontal="left"/>
    </xf>
    <xf numFmtId="0" fontId="25" fillId="10" borderId="2775" applyNumberFormat="0" applyProtection="0">
      <alignment horizontal="left" vertical="top"/>
    </xf>
    <xf numFmtId="254" fontId="240" fillId="0" borderId="2635" applyBorder="0" applyProtection="0">
      <alignment horizontal="right" vertical="center"/>
    </xf>
    <xf numFmtId="0" fontId="241" fillId="94" borderId="2635" applyBorder="0" applyProtection="0">
      <alignment horizontal="centerContinuous" vertical="center"/>
    </xf>
    <xf numFmtId="246" fontId="249" fillId="0" borderId="2635" applyFill="0" applyProtection="0">
      <alignment horizontal="center"/>
    </xf>
    <xf numFmtId="246" fontId="250" fillId="0" borderId="2635" applyFill="0" applyProtection="0">
      <alignment horizontal="center"/>
    </xf>
    <xf numFmtId="0" fontId="25" fillId="10" borderId="2799" applyNumberFormat="0" applyProtection="0">
      <alignment horizontal="left" vertical="top"/>
    </xf>
    <xf numFmtId="0" fontId="25" fillId="10" borderId="2801" applyNumberFormat="0" applyProtection="0">
      <alignment horizontal="left" vertical="top"/>
    </xf>
    <xf numFmtId="222" fontId="79" fillId="0" borderId="2730" applyBorder="0"/>
    <xf numFmtId="0" fontId="214" fillId="0" borderId="2797" applyNumberFormat="0" applyFont="0" applyFill="0" applyAlignment="0" applyProtection="0"/>
    <xf numFmtId="0" fontId="75" fillId="0" borderId="2732" applyNumberFormat="0" applyFont="0" applyFill="0" applyAlignment="0" applyProtection="0"/>
    <xf numFmtId="0" fontId="25" fillId="10" borderId="2740" applyNumberFormat="0" applyProtection="0">
      <alignment horizontal="left" vertical="top"/>
    </xf>
    <xf numFmtId="0" fontId="25" fillId="10" borderId="2741" applyNumberFormat="0" applyProtection="0">
      <alignment horizontal="left" vertical="top"/>
    </xf>
    <xf numFmtId="0" fontId="165" fillId="0" borderId="2755" applyFill="0" applyProtection="0">
      <alignment horizontal="center"/>
    </xf>
    <xf numFmtId="254" fontId="240" fillId="0" borderId="2755" applyBorder="0" applyProtection="0">
      <alignment horizontal="right" vertical="center"/>
    </xf>
    <xf numFmtId="0" fontId="241" fillId="94" borderId="2755" applyBorder="0" applyProtection="0">
      <alignment horizontal="centerContinuous" vertical="center"/>
    </xf>
    <xf numFmtId="0" fontId="241" fillId="94" borderId="2779" applyBorder="0" applyProtection="0">
      <alignment horizontal="centerContinuous" vertical="center"/>
    </xf>
    <xf numFmtId="0" fontId="166" fillId="0" borderId="2779">
      <alignment horizontal="center"/>
    </xf>
    <xf numFmtId="186" fontId="146" fillId="3" borderId="2779" applyBorder="0">
      <alignment horizontal="left" vertical="center"/>
    </xf>
    <xf numFmtId="0" fontId="214" fillId="0" borderId="2773" applyNumberFormat="0" applyFont="0" applyFill="0" applyAlignment="0" applyProtection="0"/>
    <xf numFmtId="0" fontId="78" fillId="14" borderId="2769" applyFont="0" applyFill="0" applyBorder="0" applyAlignment="0" applyProtection="0"/>
    <xf numFmtId="0" fontId="78" fillId="14" borderId="2697" applyFont="0" applyFill="0" applyBorder="0" applyAlignment="0" applyProtection="0"/>
    <xf numFmtId="0" fontId="25" fillId="10" borderId="2633" applyNumberFormat="0" applyProtection="0">
      <alignment horizontal="left" vertical="top"/>
    </xf>
    <xf numFmtId="0" fontId="25" fillId="10" borderId="2632" applyNumberFormat="0" applyProtection="0">
      <alignment horizontal="left" vertical="top"/>
    </xf>
    <xf numFmtId="0" fontId="25" fillId="10" borderId="2631" applyNumberFormat="0" applyProtection="0">
      <alignment horizontal="left" vertical="top"/>
    </xf>
    <xf numFmtId="0" fontId="25" fillId="10" borderId="2630" applyNumberFormat="0" applyProtection="0">
      <alignment horizontal="left" vertical="top"/>
    </xf>
    <xf numFmtId="186" fontId="140" fillId="3" borderId="2795">
      <alignment horizontal="center" vertical="center"/>
    </xf>
    <xf numFmtId="0" fontId="214" fillId="0" borderId="2629" applyNumberFormat="0" applyFont="0" applyFill="0" applyAlignment="0" applyProtection="0"/>
    <xf numFmtId="0" fontId="2" fillId="0" borderId="2628" applyNumberFormat="0" applyAlignment="0" applyProtection="0"/>
    <xf numFmtId="186" fontId="140" fillId="3" borderId="2627">
      <alignment horizontal="center" vertical="center"/>
    </xf>
    <xf numFmtId="186" fontId="146" fillId="3" borderId="2626">
      <alignment horizontal="left"/>
    </xf>
    <xf numFmtId="186" fontId="146" fillId="3" borderId="2794">
      <alignment horizontal="left"/>
    </xf>
    <xf numFmtId="0" fontId="75" fillId="0" borderId="2624" applyNumberFormat="0" applyFont="0" applyFill="0" applyAlignment="0" applyProtection="0"/>
    <xf numFmtId="0" fontId="75" fillId="0" borderId="2792" applyNumberFormat="0" applyFont="0" applyFill="0" applyAlignment="0" applyProtection="0"/>
    <xf numFmtId="222" fontId="79" fillId="0" borderId="2706" applyBorder="0"/>
    <xf numFmtId="222" fontId="79" fillId="0" borderId="2706" applyBorder="0"/>
    <xf numFmtId="0" fontId="25" fillId="10" borderId="2798" applyNumberFormat="0" applyProtection="0">
      <alignment horizontal="left" vertical="top"/>
    </xf>
    <xf numFmtId="0" fontId="2" fillId="0" borderId="2796" applyNumberFormat="0" applyAlignment="0" applyProtection="0"/>
    <xf numFmtId="246" fontId="250" fillId="0" borderId="2731" applyFill="0" applyProtection="0">
      <alignment horizontal="center"/>
    </xf>
    <xf numFmtId="246" fontId="249" fillId="0" borderId="2731" applyFill="0" applyProtection="0">
      <alignment horizontal="center"/>
    </xf>
    <xf numFmtId="0" fontId="241" fillId="94" borderId="2731" applyBorder="0" applyProtection="0">
      <alignment horizontal="centerContinuous" vertical="center"/>
    </xf>
    <xf numFmtId="254" fontId="240" fillId="0" borderId="2731" applyBorder="0" applyProtection="0">
      <alignment horizontal="right" vertical="center"/>
    </xf>
    <xf numFmtId="0" fontId="210" fillId="0" borderId="2731" applyNumberFormat="0" applyFill="0" applyBorder="0" applyAlignment="0">
      <protection locked="0"/>
    </xf>
    <xf numFmtId="264" fontId="12" fillId="14" borderId="2731" applyFont="0" applyFill="0" applyBorder="0" applyAlignment="0" applyProtection="0">
      <alignment horizontal="right"/>
    </xf>
    <xf numFmtId="0" fontId="166" fillId="0" borderId="2731">
      <alignment horizontal="center"/>
    </xf>
    <xf numFmtId="0" fontId="165" fillId="0" borderId="2731" applyFill="0" applyProtection="0">
      <alignment horizontal="center"/>
    </xf>
    <xf numFmtId="186" fontId="146" fillId="3" borderId="2731" applyBorder="0">
      <alignment horizontal="left" vertical="center"/>
    </xf>
    <xf numFmtId="180" fontId="9" fillId="3" borderId="2731">
      <alignment horizontal="right" vertical="center"/>
    </xf>
    <xf numFmtId="192" fontId="9" fillId="3" borderId="2731">
      <alignment horizontal="right" vertical="center"/>
    </xf>
    <xf numFmtId="248" fontId="46" fillId="0" borderId="2731"/>
    <xf numFmtId="0" fontId="12" fillId="0" borderId="2731" applyNumberFormat="0" applyFill="0" applyBorder="0" applyAlignment="0" applyProtection="0">
      <alignment horizontal="center"/>
    </xf>
    <xf numFmtId="0" fontId="113" fillId="0" borderId="2731" applyNumberFormat="0" applyFill="0" applyAlignment="0" applyProtection="0"/>
    <xf numFmtId="222" fontId="79" fillId="0" borderId="2730" applyBorder="0"/>
    <xf numFmtId="0" fontId="101" fillId="0" borderId="2731" applyBorder="0"/>
    <xf numFmtId="222" fontId="79" fillId="0" borderId="2730" applyBorder="0"/>
    <xf numFmtId="0" fontId="75" fillId="0" borderId="2720" applyNumberFormat="0" applyFont="0" applyFill="0" applyAlignment="0" applyProtection="0"/>
    <xf numFmtId="186" fontId="146" fillId="3" borderId="2722">
      <alignment horizontal="left"/>
    </xf>
    <xf numFmtId="186" fontId="140" fillId="3" borderId="2723">
      <alignment horizontal="center" vertical="center"/>
    </xf>
    <xf numFmtId="0" fontId="2" fillId="0" borderId="2724" applyNumberFormat="0" applyAlignment="0" applyProtection="0"/>
    <xf numFmtId="0" fontId="214" fillId="0" borderId="2725" applyNumberFormat="0" applyFont="0" applyFill="0" applyAlignment="0" applyProtection="0"/>
    <xf numFmtId="0" fontId="25" fillId="10" borderId="2726" applyNumberFormat="0" applyProtection="0">
      <alignment horizontal="left" vertical="top"/>
    </xf>
    <xf numFmtId="0" fontId="25" fillId="10" borderId="2727" applyNumberFormat="0" applyProtection="0">
      <alignment horizontal="left" vertical="top"/>
    </xf>
    <xf numFmtId="0" fontId="25" fillId="10" borderId="2728" applyNumberFormat="0" applyProtection="0">
      <alignment horizontal="left" vertical="top"/>
    </xf>
    <xf numFmtId="0" fontId="25" fillId="10" borderId="2729" applyNumberFormat="0" applyProtection="0">
      <alignment horizontal="left" vertical="top"/>
    </xf>
    <xf numFmtId="0" fontId="78" fillId="14" borderId="2721" applyFont="0" applyFill="0" applyBorder="0" applyAlignment="0" applyProtection="0"/>
    <xf numFmtId="222" fontId="79" fillId="0" borderId="2718" applyBorder="0"/>
    <xf numFmtId="0" fontId="78" fillId="14" borderId="2697" applyFont="0" applyFill="0" applyBorder="0" applyAlignment="0" applyProtection="0"/>
    <xf numFmtId="222" fontId="79" fillId="0" borderId="2706" applyBorder="0"/>
    <xf numFmtId="0" fontId="78" fillId="14" borderId="2709" applyFont="0" applyFill="0" applyBorder="0" applyAlignment="0" applyProtection="0"/>
    <xf numFmtId="0" fontId="25" fillId="10" borderId="2717" applyNumberFormat="0" applyProtection="0">
      <alignment horizontal="left" vertical="top"/>
    </xf>
    <xf numFmtId="0" fontId="25" fillId="10" borderId="2716" applyNumberFormat="0" applyProtection="0">
      <alignment horizontal="left" vertical="top"/>
    </xf>
    <xf numFmtId="0" fontId="25" fillId="10" borderId="2715" applyNumberFormat="0" applyProtection="0">
      <alignment horizontal="left" vertical="top"/>
    </xf>
    <xf numFmtId="0" fontId="25" fillId="10" borderId="2714" applyNumberFormat="0" applyProtection="0">
      <alignment horizontal="left" vertical="top"/>
    </xf>
    <xf numFmtId="0" fontId="214" fillId="0" borderId="2713" applyNumberFormat="0" applyFont="0" applyFill="0" applyAlignment="0" applyProtection="0"/>
    <xf numFmtId="0" fontId="2" fillId="0" borderId="2628" applyNumberFormat="0" applyAlignment="0" applyProtection="0"/>
    <xf numFmtId="186" fontId="140" fillId="3" borderId="2711">
      <alignment horizontal="center" vertical="center"/>
    </xf>
    <xf numFmtId="186" fontId="146" fillId="3" borderId="2710">
      <alignment horizontal="left"/>
    </xf>
    <xf numFmtId="0" fontId="75" fillId="0" borderId="2708" applyNumberFormat="0" applyFont="0" applyFill="0" applyAlignment="0" applyProtection="0"/>
    <xf numFmtId="222" fontId="79" fillId="0" borderId="2718" applyBorder="0"/>
    <xf numFmtId="0" fontId="101" fillId="0" borderId="2719" applyBorder="0"/>
    <xf numFmtId="222" fontId="79" fillId="0" borderId="2718" applyBorder="0"/>
    <xf numFmtId="0" fontId="113" fillId="0" borderId="2719" applyNumberFormat="0" applyFill="0" applyAlignment="0" applyProtection="0"/>
    <xf numFmtId="0" fontId="12" fillId="0" borderId="2719" applyNumberFormat="0" applyFill="0" applyBorder="0" applyAlignment="0" applyProtection="0">
      <alignment horizontal="center"/>
    </xf>
    <xf numFmtId="248" fontId="46" fillId="0" borderId="2719"/>
    <xf numFmtId="192" fontId="9" fillId="3" borderId="2719">
      <alignment horizontal="right" vertical="center"/>
    </xf>
    <xf numFmtId="180" fontId="9" fillId="3" borderId="2719">
      <alignment horizontal="right" vertical="center"/>
    </xf>
    <xf numFmtId="186" fontId="146" fillId="3" borderId="2719" applyBorder="0">
      <alignment horizontal="left" vertical="center"/>
    </xf>
    <xf numFmtId="0" fontId="165" fillId="0" borderId="2719" applyFill="0" applyProtection="0">
      <alignment horizontal="center"/>
    </xf>
    <xf numFmtId="0" fontId="166" fillId="0" borderId="2719">
      <alignment horizontal="center"/>
    </xf>
    <xf numFmtId="264" fontId="12" fillId="14" borderId="2719" applyFont="0" applyFill="0" applyBorder="0" applyAlignment="0" applyProtection="0">
      <alignment horizontal="right"/>
    </xf>
    <xf numFmtId="0" fontId="210" fillId="0" borderId="2719" applyNumberFormat="0" applyFill="0" applyBorder="0" applyAlignment="0">
      <protection locked="0"/>
    </xf>
    <xf numFmtId="254" fontId="240" fillId="0" borderId="2719" applyBorder="0" applyProtection="0">
      <alignment horizontal="right" vertical="center"/>
    </xf>
    <xf numFmtId="0" fontId="241" fillId="94" borderId="2719" applyBorder="0" applyProtection="0">
      <alignment horizontal="centerContinuous" vertical="center"/>
    </xf>
    <xf numFmtId="246" fontId="249" fillId="0" borderId="2719" applyFill="0" applyProtection="0">
      <alignment horizontal="center"/>
    </xf>
    <xf numFmtId="246" fontId="250" fillId="0" borderId="2719" applyFill="0" applyProtection="0">
      <alignment horizontal="center"/>
    </xf>
    <xf numFmtId="0" fontId="241" fillId="94" borderId="2803" applyBorder="0" applyProtection="0">
      <alignment horizontal="centerContinuous" vertical="center"/>
    </xf>
    <xf numFmtId="0" fontId="166" fillId="0" borderId="2803">
      <alignment horizontal="center"/>
    </xf>
    <xf numFmtId="0" fontId="2" fillId="0" borderId="2736" applyNumberFormat="0" applyAlignment="0" applyProtection="0"/>
    <xf numFmtId="0" fontId="214" fillId="0" borderId="2737" applyNumberFormat="0" applyFont="0" applyFill="0" applyAlignment="0" applyProtection="0"/>
    <xf numFmtId="246" fontId="250" fillId="0" borderId="2743" applyFill="0" applyProtection="0">
      <alignment horizontal="center"/>
    </xf>
    <xf numFmtId="246" fontId="249" fillId="0" borderId="2743" applyFill="0" applyProtection="0">
      <alignment horizontal="center"/>
    </xf>
    <xf numFmtId="0" fontId="241" fillId="94" borderId="2743" applyBorder="0" applyProtection="0">
      <alignment horizontal="centerContinuous" vertical="center"/>
    </xf>
    <xf numFmtId="254" fontId="240" fillId="0" borderId="2743" applyBorder="0" applyProtection="0">
      <alignment horizontal="right" vertical="center"/>
    </xf>
    <xf numFmtId="0" fontId="210" fillId="0" borderId="2743" applyNumberFormat="0" applyFill="0" applyBorder="0" applyAlignment="0">
      <protection locked="0"/>
    </xf>
    <xf numFmtId="264" fontId="12" fillId="14" borderId="2743" applyFont="0" applyFill="0" applyBorder="0" applyAlignment="0" applyProtection="0">
      <alignment horizontal="right"/>
    </xf>
    <xf numFmtId="0" fontId="166" fillId="0" borderId="2743">
      <alignment horizontal="center"/>
    </xf>
    <xf numFmtId="0" fontId="165" fillId="0" borderId="2743" applyFill="0" applyProtection="0">
      <alignment horizontal="center"/>
    </xf>
    <xf numFmtId="186" fontId="146" fillId="3" borderId="2743" applyBorder="0">
      <alignment horizontal="left" vertical="center"/>
    </xf>
    <xf numFmtId="180" fontId="9" fillId="3" borderId="2743">
      <alignment horizontal="right" vertical="center"/>
    </xf>
    <xf numFmtId="192" fontId="9" fillId="3" borderId="2743">
      <alignment horizontal="right" vertical="center"/>
    </xf>
    <xf numFmtId="248" fontId="46" fillId="0" borderId="2743"/>
    <xf numFmtId="0" fontId="12" fillId="0" borderId="2743" applyNumberFormat="0" applyFill="0" applyBorder="0" applyAlignment="0" applyProtection="0">
      <alignment horizontal="center"/>
    </xf>
    <xf numFmtId="0" fontId="113" fillId="0" borderId="2743" applyNumberFormat="0" applyFill="0" applyAlignment="0" applyProtection="0"/>
    <xf numFmtId="222" fontId="79" fillId="0" borderId="2742" applyBorder="0"/>
    <xf numFmtId="0" fontId="101" fillId="0" borderId="2743" applyBorder="0"/>
    <xf numFmtId="222" fontId="79" fillId="0" borderId="2742" applyBorder="0"/>
    <xf numFmtId="0" fontId="75" fillId="0" borderId="2732" applyNumberFormat="0" applyFont="0" applyFill="0" applyAlignment="0" applyProtection="0"/>
    <xf numFmtId="186" fontId="146" fillId="3" borderId="2734">
      <alignment horizontal="left"/>
    </xf>
    <xf numFmtId="186" fontId="140" fillId="3" borderId="2735">
      <alignment horizontal="center" vertical="center"/>
    </xf>
    <xf numFmtId="0" fontId="2" fillId="0" borderId="2736" applyNumberFormat="0" applyAlignment="0" applyProtection="0"/>
    <xf numFmtId="0" fontId="214" fillId="0" borderId="2737" applyNumberFormat="0" applyFont="0" applyFill="0" applyAlignment="0" applyProtection="0"/>
    <xf numFmtId="0" fontId="25" fillId="10" borderId="2738" applyNumberFormat="0" applyProtection="0">
      <alignment horizontal="left" vertical="top"/>
    </xf>
    <xf numFmtId="0" fontId="25" fillId="10" borderId="2739" applyNumberFormat="0" applyProtection="0">
      <alignment horizontal="left" vertical="top"/>
    </xf>
    <xf numFmtId="0" fontId="25" fillId="10" borderId="2740" applyNumberFormat="0" applyProtection="0">
      <alignment horizontal="left" vertical="top"/>
    </xf>
    <xf numFmtId="0" fontId="25" fillId="10" borderId="2741" applyNumberFormat="0" applyProtection="0">
      <alignment horizontal="left" vertical="top"/>
    </xf>
    <xf numFmtId="0" fontId="78" fillId="14" borderId="2733" applyFont="0" applyFill="0" applyBorder="0" applyAlignment="0" applyProtection="0"/>
    <xf numFmtId="222" fontId="79" fillId="0" borderId="2730" applyBorder="0"/>
    <xf numFmtId="0" fontId="78" fillId="14" borderId="2745" applyFont="0" applyFill="0" applyBorder="0" applyAlignment="0" applyProtection="0"/>
    <xf numFmtId="186" fontId="146" fillId="3" borderId="2734">
      <alignment horizontal="left"/>
    </xf>
    <xf numFmtId="0" fontId="78" fillId="14" borderId="2721" applyFont="0" applyFill="0" applyBorder="0" applyAlignment="0" applyProtection="0"/>
    <xf numFmtId="222" fontId="79" fillId="0" borderId="2730" applyBorder="0"/>
    <xf numFmtId="0" fontId="2" fillId="0" borderId="2748" applyNumberFormat="0" applyAlignment="0" applyProtection="0"/>
    <xf numFmtId="0" fontId="78" fillId="14" borderId="2721" applyFont="0" applyFill="0" applyBorder="0" applyAlignment="0" applyProtection="0"/>
    <xf numFmtId="0" fontId="25" fillId="10" borderId="2729" applyNumberFormat="0" applyProtection="0">
      <alignment horizontal="left" vertical="top"/>
    </xf>
    <xf numFmtId="0" fontId="25" fillId="10" borderId="2728" applyNumberFormat="0" applyProtection="0">
      <alignment horizontal="left" vertical="top"/>
    </xf>
    <xf numFmtId="0" fontId="25" fillId="10" borderId="2727" applyNumberFormat="0" applyProtection="0">
      <alignment horizontal="left" vertical="top"/>
    </xf>
    <xf numFmtId="0" fontId="25" fillId="10" borderId="2726" applyNumberFormat="0" applyProtection="0">
      <alignment horizontal="left" vertical="top"/>
    </xf>
    <xf numFmtId="0" fontId="25" fillId="10" borderId="2751" applyNumberFormat="0" applyProtection="0">
      <alignment horizontal="left" vertical="top"/>
    </xf>
    <xf numFmtId="0" fontId="214" fillId="0" borderId="2725" applyNumberFormat="0" applyFont="0" applyFill="0" applyAlignment="0" applyProtection="0"/>
    <xf numFmtId="0" fontId="2" fillId="0" borderId="2724" applyNumberFormat="0" applyAlignment="0" applyProtection="0"/>
    <xf numFmtId="186" fontId="140" fillId="3" borderId="2723">
      <alignment horizontal="center" vertical="center"/>
    </xf>
    <xf numFmtId="186" fontId="146" fillId="3" borderId="2722">
      <alignment horizontal="left"/>
    </xf>
    <xf numFmtId="0" fontId="25" fillId="10" borderId="2753" applyNumberFormat="0" applyProtection="0">
      <alignment horizontal="left" vertical="top"/>
    </xf>
    <xf numFmtId="0" fontId="75" fillId="0" borderId="2720" applyNumberFormat="0" applyFont="0" applyFill="0" applyAlignment="0" applyProtection="0"/>
    <xf numFmtId="222" fontId="79" fillId="0" borderId="2730" applyBorder="0"/>
    <xf numFmtId="0" fontId="101" fillId="0" borderId="2731" applyBorder="0"/>
    <xf numFmtId="222" fontId="79" fillId="0" borderId="2730" applyBorder="0"/>
    <xf numFmtId="0" fontId="113" fillId="0" borderId="2731" applyNumberFormat="0" applyFill="0" applyAlignment="0" applyProtection="0"/>
    <xf numFmtId="0" fontId="12" fillId="0" borderId="2731" applyNumberFormat="0" applyFill="0" applyBorder="0" applyAlignment="0" applyProtection="0">
      <alignment horizontal="center"/>
    </xf>
    <xf numFmtId="248" fontId="46" fillId="0" borderId="2731"/>
    <xf numFmtId="192" fontId="9" fillId="3" borderId="2731">
      <alignment horizontal="right" vertical="center"/>
    </xf>
    <xf numFmtId="180" fontId="9" fillId="3" borderId="2731">
      <alignment horizontal="right" vertical="center"/>
    </xf>
    <xf numFmtId="186" fontId="146" fillId="3" borderId="2731" applyBorder="0">
      <alignment horizontal="left" vertical="center"/>
    </xf>
    <xf numFmtId="0" fontId="165" fillId="0" borderId="2731" applyFill="0" applyProtection="0">
      <alignment horizontal="center"/>
    </xf>
    <xf numFmtId="0" fontId="166" fillId="0" borderId="2731">
      <alignment horizontal="center"/>
    </xf>
    <xf numFmtId="264" fontId="12" fillId="14" borderId="2731" applyFont="0" applyFill="0" applyBorder="0" applyAlignment="0" applyProtection="0">
      <alignment horizontal="right"/>
    </xf>
    <xf numFmtId="0" fontId="210" fillId="0" borderId="2731" applyNumberFormat="0" applyFill="0" applyBorder="0" applyAlignment="0">
      <protection locked="0"/>
    </xf>
    <xf numFmtId="254" fontId="240" fillId="0" borderId="2731" applyBorder="0" applyProtection="0">
      <alignment horizontal="right" vertical="center"/>
    </xf>
    <xf numFmtId="0" fontId="241" fillId="94" borderId="2731" applyBorder="0" applyProtection="0">
      <alignment horizontal="centerContinuous" vertical="center"/>
    </xf>
    <xf numFmtId="246" fontId="249" fillId="0" borderId="2731" applyFill="0" applyProtection="0">
      <alignment horizontal="center"/>
    </xf>
    <xf numFmtId="246" fontId="250" fillId="0" borderId="2731" applyFill="0" applyProtection="0">
      <alignment horizontal="center"/>
    </xf>
    <xf numFmtId="186" fontId="140" fillId="3" borderId="2747">
      <alignment horizontal="center" vertical="center"/>
    </xf>
    <xf numFmtId="0" fontId="78" fillId="14" borderId="2733" applyFont="0" applyFill="0" applyBorder="0" applyAlignment="0" applyProtection="0"/>
    <xf numFmtId="222" fontId="79" fillId="0" borderId="2754" applyBorder="0"/>
    <xf numFmtId="0" fontId="78" fillId="14" borderId="2757" applyFont="0" applyFill="0" applyBorder="0" applyAlignment="0" applyProtection="0"/>
    <xf numFmtId="0" fontId="25" fillId="10" borderId="2765" applyNumberFormat="0" applyProtection="0">
      <alignment horizontal="left" vertical="top"/>
    </xf>
    <xf numFmtId="0" fontId="25" fillId="10" borderId="2764" applyNumberFormat="0" applyProtection="0">
      <alignment horizontal="left" vertical="top"/>
    </xf>
    <xf numFmtId="0" fontId="25" fillId="10" borderId="2763" applyNumberFormat="0" applyProtection="0">
      <alignment horizontal="left" vertical="top"/>
    </xf>
    <xf numFmtId="0" fontId="25" fillId="10" borderId="2762" applyNumberFormat="0" applyProtection="0">
      <alignment horizontal="left" vertical="top"/>
    </xf>
    <xf numFmtId="0" fontId="214" fillId="0" borderId="2761" applyNumberFormat="0" applyFont="0" applyFill="0" applyAlignment="0" applyProtection="0"/>
    <xf numFmtId="0" fontId="2" fillId="0" borderId="2760" applyNumberFormat="0" applyAlignment="0" applyProtection="0"/>
    <xf numFmtId="186" fontId="140" fillId="3" borderId="2759">
      <alignment horizontal="center" vertical="center"/>
    </xf>
    <xf numFmtId="186" fontId="146" fillId="3" borderId="2758">
      <alignment horizontal="left"/>
    </xf>
    <xf numFmtId="0" fontId="75" fillId="0" borderId="2756" applyNumberFormat="0" applyFont="0" applyFill="0" applyAlignment="0" applyProtection="0"/>
    <xf numFmtId="222" fontId="79" fillId="0" borderId="2766" applyBorder="0"/>
    <xf numFmtId="0" fontId="101" fillId="0" borderId="2767" applyBorder="0"/>
    <xf numFmtId="222" fontId="79" fillId="0" borderId="2766" applyBorder="0"/>
    <xf numFmtId="0" fontId="113" fillId="0" borderId="2767" applyNumberFormat="0" applyFill="0" applyAlignment="0" applyProtection="0"/>
    <xf numFmtId="0" fontId="12" fillId="0" borderId="2767" applyNumberFormat="0" applyFill="0" applyBorder="0" applyAlignment="0" applyProtection="0">
      <alignment horizontal="center"/>
    </xf>
    <xf numFmtId="248" fontId="46" fillId="0" borderId="2767"/>
    <xf numFmtId="192" fontId="9" fillId="3" borderId="2767">
      <alignment horizontal="right" vertical="center"/>
    </xf>
    <xf numFmtId="180" fontId="9" fillId="3" borderId="2767">
      <alignment horizontal="right" vertical="center"/>
    </xf>
    <xf numFmtId="186" fontId="146" fillId="3" borderId="2767" applyBorder="0">
      <alignment horizontal="left" vertical="center"/>
    </xf>
    <xf numFmtId="0" fontId="165" fillId="0" borderId="2767" applyFill="0" applyProtection="0">
      <alignment horizontal="center"/>
    </xf>
    <xf numFmtId="0" fontId="166" fillId="0" borderId="2767">
      <alignment horizontal="center"/>
    </xf>
    <xf numFmtId="264" fontId="12" fillId="14" borderId="2767" applyFont="0" applyFill="0" applyBorder="0" applyAlignment="0" applyProtection="0">
      <alignment horizontal="right"/>
    </xf>
    <xf numFmtId="0" fontId="210" fillId="0" borderId="2767" applyNumberFormat="0" applyFill="0" applyBorder="0" applyAlignment="0">
      <protection locked="0"/>
    </xf>
    <xf numFmtId="254" fontId="240" fillId="0" borderId="2767" applyBorder="0" applyProtection="0">
      <alignment horizontal="right" vertical="center"/>
    </xf>
    <xf numFmtId="0" fontId="241" fillId="94" borderId="2767" applyBorder="0" applyProtection="0">
      <alignment horizontal="centerContinuous" vertical="center"/>
    </xf>
    <xf numFmtId="246" fontId="249" fillId="0" borderId="2767" applyFill="0" applyProtection="0">
      <alignment horizontal="center"/>
    </xf>
    <xf numFmtId="246" fontId="250" fillId="0" borderId="2767" applyFill="0" applyProtection="0">
      <alignment horizontal="center"/>
    </xf>
    <xf numFmtId="222" fontId="79" fillId="0" borderId="2778" applyBorder="0"/>
    <xf numFmtId="0" fontId="78" fillId="14" borderId="2781" applyFont="0" applyFill="0" applyBorder="0" applyAlignment="0" applyProtection="0"/>
    <xf numFmtId="0" fontId="25" fillId="10" borderId="2789" applyNumberFormat="0" applyProtection="0">
      <alignment horizontal="left" vertical="top"/>
    </xf>
    <xf numFmtId="0" fontId="25" fillId="10" borderId="2788" applyNumberFormat="0" applyProtection="0">
      <alignment horizontal="left" vertical="top"/>
    </xf>
    <xf numFmtId="0" fontId="25" fillId="10" borderId="2787" applyNumberFormat="0" applyProtection="0">
      <alignment horizontal="left" vertical="top"/>
    </xf>
    <xf numFmtId="0" fontId="25" fillId="10" borderId="2786" applyNumberFormat="0" applyProtection="0">
      <alignment horizontal="left" vertical="top"/>
    </xf>
    <xf numFmtId="0" fontId="214" fillId="0" borderId="2785" applyNumberFormat="0" applyFont="0" applyFill="0" applyAlignment="0" applyProtection="0"/>
    <xf numFmtId="0" fontId="2" fillId="0" borderId="2784" applyNumberFormat="0" applyAlignment="0" applyProtection="0"/>
    <xf numFmtId="186" fontId="140" fillId="3" borderId="2783">
      <alignment horizontal="center" vertical="center"/>
    </xf>
    <xf numFmtId="186" fontId="146" fillId="3" borderId="2782">
      <alignment horizontal="left"/>
    </xf>
    <xf numFmtId="0" fontId="75" fillId="0" borderId="2780" applyNumberFormat="0" applyFont="0" applyFill="0" applyAlignment="0" applyProtection="0"/>
    <xf numFmtId="222" fontId="79" fillId="0" borderId="2790" applyBorder="0"/>
    <xf numFmtId="0" fontId="101" fillId="0" borderId="2791" applyBorder="0"/>
    <xf numFmtId="222" fontId="79" fillId="0" borderId="2790" applyBorder="0"/>
    <xf numFmtId="0" fontId="113" fillId="0" borderId="2791" applyNumberFormat="0" applyFill="0" applyAlignment="0" applyProtection="0"/>
    <xf numFmtId="0" fontId="12" fillId="0" borderId="2791" applyNumberFormat="0" applyFill="0" applyBorder="0" applyAlignment="0" applyProtection="0">
      <alignment horizontal="center"/>
    </xf>
    <xf numFmtId="248" fontId="46" fillId="0" borderId="2791"/>
    <xf numFmtId="192" fontId="9" fillId="3" borderId="2791">
      <alignment horizontal="right" vertical="center"/>
    </xf>
    <xf numFmtId="180" fontId="9" fillId="3" borderId="2791">
      <alignment horizontal="right" vertical="center"/>
    </xf>
    <xf numFmtId="186" fontId="146" fillId="3" borderId="2791" applyBorder="0">
      <alignment horizontal="left" vertical="center"/>
    </xf>
    <xf numFmtId="0" fontId="165" fillId="0" borderId="2791" applyFill="0" applyProtection="0">
      <alignment horizontal="center"/>
    </xf>
    <xf numFmtId="0" fontId="166" fillId="0" borderId="2791">
      <alignment horizontal="center"/>
    </xf>
    <xf numFmtId="264" fontId="12" fillId="14" borderId="2791" applyFont="0" applyFill="0" applyBorder="0" applyAlignment="0" applyProtection="0">
      <alignment horizontal="right"/>
    </xf>
    <xf numFmtId="0" fontId="210" fillId="0" borderId="2791" applyNumberFormat="0" applyFill="0" applyBorder="0" applyAlignment="0">
      <protection locked="0"/>
    </xf>
    <xf numFmtId="254" fontId="240" fillId="0" borderId="2791" applyBorder="0" applyProtection="0">
      <alignment horizontal="right" vertical="center"/>
    </xf>
    <xf numFmtId="0" fontId="241" fillId="94" borderId="2791" applyBorder="0" applyProtection="0">
      <alignment horizontal="centerContinuous" vertical="center"/>
    </xf>
    <xf numFmtId="246" fontId="249" fillId="0" borderId="2791" applyFill="0" applyProtection="0">
      <alignment horizontal="center"/>
    </xf>
    <xf numFmtId="246" fontId="250" fillId="0" borderId="2791" applyFill="0" applyProtection="0">
      <alignment horizontal="center"/>
    </xf>
    <xf numFmtId="0" fontId="75" fillId="0" borderId="2804" applyNumberFormat="0" applyFont="0" applyFill="0" applyAlignment="0" applyProtection="0"/>
    <xf numFmtId="0" fontId="78" fillId="14" borderId="2805" applyFont="0" applyFill="0" applyBorder="0" applyAlignment="0" applyProtection="0"/>
    <xf numFmtId="186" fontId="146" fillId="3" borderId="2806">
      <alignment horizontal="left"/>
    </xf>
    <xf numFmtId="186" fontId="140" fillId="3" borderId="2807">
      <alignment horizontal="center" vertical="center"/>
    </xf>
    <xf numFmtId="0" fontId="2" fillId="0" borderId="2808" applyNumberFormat="0" applyAlignment="0" applyProtection="0"/>
    <xf numFmtId="0" fontId="214" fillId="0" borderId="2809" applyNumberFormat="0" applyFont="0" applyFill="0" applyAlignment="0" applyProtection="0"/>
    <xf numFmtId="0" fontId="25" fillId="10" borderId="2810" applyNumberFormat="0" applyProtection="0">
      <alignment horizontal="left" vertical="top"/>
    </xf>
    <xf numFmtId="0" fontId="25" fillId="10" borderId="2811" applyNumberFormat="0" applyProtection="0">
      <alignment horizontal="left" vertical="top"/>
    </xf>
    <xf numFmtId="0" fontId="25" fillId="10" borderId="2812" applyNumberFormat="0" applyProtection="0">
      <alignment horizontal="left" vertical="top"/>
    </xf>
    <xf numFmtId="0" fontId="25" fillId="10" borderId="2813" applyNumberFormat="0" applyProtection="0">
      <alignment horizontal="left" vertical="top"/>
    </xf>
    <xf numFmtId="246" fontId="250" fillId="0" borderId="2803" applyFill="0" applyProtection="0">
      <alignment horizontal="center"/>
    </xf>
    <xf numFmtId="246" fontId="249" fillId="0" borderId="2803" applyFill="0" applyProtection="0">
      <alignment horizontal="center"/>
    </xf>
    <xf numFmtId="0" fontId="241" fillId="94" borderId="2803" applyBorder="0" applyProtection="0">
      <alignment horizontal="centerContinuous" vertical="center"/>
    </xf>
    <xf numFmtId="254" fontId="240" fillId="0" borderId="2803" applyBorder="0" applyProtection="0">
      <alignment horizontal="right" vertical="center"/>
    </xf>
    <xf numFmtId="0" fontId="210" fillId="0" borderId="2803" applyNumberFormat="0" applyFill="0" applyBorder="0" applyAlignment="0">
      <protection locked="0"/>
    </xf>
    <xf numFmtId="264" fontId="12" fillId="14" borderId="2803" applyFont="0" applyFill="0" applyBorder="0" applyAlignment="0" applyProtection="0">
      <alignment horizontal="right"/>
    </xf>
    <xf numFmtId="0" fontId="166" fillId="0" borderId="2803">
      <alignment horizontal="center"/>
    </xf>
    <xf numFmtId="0" fontId="165" fillId="0" borderId="2803" applyFill="0" applyProtection="0">
      <alignment horizontal="center"/>
    </xf>
    <xf numFmtId="186" fontId="146" fillId="3" borderId="2803" applyBorder="0">
      <alignment horizontal="left" vertical="center"/>
    </xf>
    <xf numFmtId="180" fontId="9" fillId="3" borderId="2803">
      <alignment horizontal="right" vertical="center"/>
    </xf>
    <xf numFmtId="192" fontId="9" fillId="3" borderId="2803">
      <alignment horizontal="right" vertical="center"/>
    </xf>
    <xf numFmtId="0" fontId="12" fillId="0" borderId="2803" applyNumberFormat="0" applyFill="0" applyBorder="0" applyAlignment="0" applyProtection="0">
      <alignment horizontal="center"/>
    </xf>
    <xf numFmtId="0" fontId="113" fillId="0" borderId="2803" applyNumberFormat="0" applyFill="0" applyAlignment="0" applyProtection="0"/>
    <xf numFmtId="222" fontId="79" fillId="0" borderId="2802" applyBorder="0"/>
    <xf numFmtId="0" fontId="101" fillId="0" borderId="2803" applyBorder="0"/>
    <xf numFmtId="248" fontId="46" fillId="0" borderId="2803"/>
    <xf numFmtId="0" fontId="101" fillId="0" borderId="2803" applyBorder="0"/>
    <xf numFmtId="222" fontId="79" fillId="0" borderId="2802" applyBorder="0"/>
    <xf numFmtId="0" fontId="113" fillId="0" borderId="2803" applyNumberFormat="0" applyFill="0" applyAlignment="0" applyProtection="0"/>
    <xf numFmtId="0" fontId="75" fillId="0" borderId="2804" applyNumberFormat="0" applyFont="0" applyFill="0" applyAlignment="0" applyProtection="0"/>
    <xf numFmtId="0" fontId="12" fillId="0" borderId="2803" applyNumberFormat="0" applyFill="0" applyBorder="0" applyAlignment="0" applyProtection="0">
      <alignment horizontal="center"/>
    </xf>
    <xf numFmtId="248" fontId="46" fillId="0" borderId="2803"/>
    <xf numFmtId="192" fontId="9" fillId="3" borderId="2803">
      <alignment horizontal="right" vertical="center"/>
    </xf>
    <xf numFmtId="180" fontId="9" fillId="3" borderId="2803">
      <alignment horizontal="right" vertical="center"/>
    </xf>
    <xf numFmtId="186" fontId="146" fillId="3" borderId="2803" applyBorder="0">
      <alignment horizontal="left" vertical="center"/>
    </xf>
    <xf numFmtId="186" fontId="146" fillId="3" borderId="2806">
      <alignment horizontal="left"/>
    </xf>
    <xf numFmtId="186" fontId="140" fillId="3" borderId="2807">
      <alignment horizontal="center" vertical="center"/>
    </xf>
    <xf numFmtId="0" fontId="165" fillId="0" borderId="2803" applyFill="0" applyProtection="0">
      <alignment horizontal="center"/>
    </xf>
    <xf numFmtId="0" fontId="166" fillId="0" borderId="2803">
      <alignment horizontal="center"/>
    </xf>
    <xf numFmtId="264" fontId="12" fillId="14" borderId="2803" applyFont="0" applyFill="0" applyBorder="0" applyAlignment="0" applyProtection="0">
      <alignment horizontal="right"/>
    </xf>
    <xf numFmtId="0" fontId="210" fillId="0" borderId="2803" applyNumberFormat="0" applyFill="0" applyBorder="0" applyAlignment="0">
      <protection locked="0"/>
    </xf>
    <xf numFmtId="0" fontId="2" fillId="0" borderId="2808" applyNumberFormat="0" applyAlignment="0" applyProtection="0"/>
    <xf numFmtId="0" fontId="214" fillId="0" borderId="2809" applyNumberFormat="0" applyFont="0" applyFill="0" applyAlignment="0" applyProtection="0"/>
    <xf numFmtId="0" fontId="25" fillId="10" borderId="2810" applyNumberFormat="0" applyProtection="0">
      <alignment horizontal="left" vertical="top"/>
    </xf>
    <xf numFmtId="0" fontId="25" fillId="10" borderId="2811" applyNumberFormat="0" applyProtection="0">
      <alignment horizontal="left" vertical="top"/>
    </xf>
    <xf numFmtId="0" fontId="25" fillId="10" borderId="2812" applyNumberFormat="0" applyProtection="0">
      <alignment horizontal="left" vertical="top"/>
    </xf>
    <xf numFmtId="0" fontId="25" fillId="10" borderId="2813" applyNumberFormat="0" applyProtection="0">
      <alignment horizontal="left" vertical="top"/>
    </xf>
    <xf numFmtId="0" fontId="25" fillId="10" borderId="2810" applyNumberFormat="0" applyProtection="0">
      <alignment horizontal="left" vertical="top"/>
    </xf>
    <xf numFmtId="0" fontId="25" fillId="10" borderId="2811" applyNumberFormat="0" applyProtection="0">
      <alignment horizontal="left" vertical="top"/>
    </xf>
    <xf numFmtId="0" fontId="25" fillId="10" borderId="2812" applyNumberFormat="0" applyProtection="0">
      <alignment horizontal="left" vertical="top"/>
    </xf>
    <xf numFmtId="0" fontId="25" fillId="10" borderId="2813" applyNumberFormat="0" applyProtection="0">
      <alignment horizontal="left" vertical="top"/>
    </xf>
    <xf numFmtId="254" fontId="240" fillId="0" borderId="2803" applyBorder="0" applyProtection="0">
      <alignment horizontal="right" vertical="center"/>
    </xf>
    <xf numFmtId="0" fontId="241" fillId="94" borderId="2803" applyBorder="0" applyProtection="0">
      <alignment horizontal="centerContinuous" vertical="center"/>
    </xf>
    <xf numFmtId="246" fontId="249" fillId="0" borderId="2803" applyFill="0" applyProtection="0">
      <alignment horizontal="center"/>
    </xf>
    <xf numFmtId="246" fontId="250" fillId="0" borderId="2803" applyFill="0" applyProtection="0">
      <alignment horizontal="center"/>
    </xf>
    <xf numFmtId="190" fontId="101" fillId="0" borderId="2803" applyBorder="0"/>
    <xf numFmtId="190" fontId="113" fillId="0" borderId="2803" applyNumberFormat="0" applyFill="0" applyAlignment="0" applyProtection="0"/>
    <xf numFmtId="190" fontId="75" fillId="0" borderId="2780" applyNumberFormat="0" applyFont="0" applyFill="0" applyAlignment="0" applyProtection="0"/>
    <xf numFmtId="190" fontId="12" fillId="0" borderId="2803" applyNumberFormat="0" applyFill="0" applyBorder="0" applyAlignment="0" applyProtection="0">
      <alignment horizontal="center"/>
    </xf>
    <xf numFmtId="190" fontId="78" fillId="14" borderId="2793" applyFont="0" applyFill="0" applyBorder="0" applyAlignment="0" applyProtection="0"/>
    <xf numFmtId="190" fontId="165" fillId="0" borderId="2803" applyFill="0" applyProtection="0">
      <alignment horizontal="center"/>
    </xf>
    <xf numFmtId="190" fontId="166" fillId="0" borderId="2803">
      <alignment horizontal="center"/>
    </xf>
    <xf numFmtId="190" fontId="210" fillId="0" borderId="2803" applyNumberFormat="0" applyFill="0" applyBorder="0" applyAlignment="0">
      <protection locked="0"/>
    </xf>
    <xf numFmtId="190" fontId="2" fillId="0" borderId="2784" applyNumberFormat="0" applyAlignment="0" applyProtection="0"/>
    <xf numFmtId="190" fontId="214" fillId="0" borderId="2785" applyNumberFormat="0" applyFont="0" applyFill="0" applyAlignment="0" applyProtection="0"/>
    <xf numFmtId="190" fontId="25" fillId="10" borderId="2786" applyNumberFormat="0" applyProtection="0">
      <alignment horizontal="left" vertical="top"/>
    </xf>
    <xf numFmtId="190" fontId="25" fillId="10" borderId="2787" applyNumberFormat="0" applyProtection="0">
      <alignment horizontal="left" vertical="top"/>
    </xf>
    <xf numFmtId="190" fontId="25" fillId="10" borderId="2788" applyNumberFormat="0" applyProtection="0">
      <alignment horizontal="left" vertical="top"/>
    </xf>
    <xf numFmtId="190" fontId="25" fillId="10" borderId="2789" applyNumberFormat="0" applyProtection="0">
      <alignment horizontal="left" vertical="top"/>
    </xf>
    <xf numFmtId="190" fontId="241" fillId="94" borderId="2803" applyBorder="0" applyProtection="0">
      <alignment horizontal="centerContinuous" vertical="center"/>
    </xf>
    <xf numFmtId="222" fontId="79" fillId="0" borderId="2802" applyBorder="0"/>
    <xf numFmtId="0" fontId="101" fillId="0" borderId="2803" applyBorder="0"/>
    <xf numFmtId="222" fontId="79" fillId="0" borderId="2802" applyBorder="0"/>
    <xf numFmtId="0" fontId="113" fillId="0" borderId="2803" applyNumberFormat="0" applyFill="0" applyAlignment="0" applyProtection="0"/>
    <xf numFmtId="0" fontId="75" fillId="0" borderId="2780" applyNumberFormat="0" applyFont="0" applyFill="0" applyAlignment="0" applyProtection="0"/>
    <xf numFmtId="0" fontId="12" fillId="0" borderId="2803" applyNumberFormat="0" applyFill="0" applyBorder="0" applyAlignment="0" applyProtection="0">
      <alignment horizontal="center"/>
    </xf>
    <xf numFmtId="248" fontId="46" fillId="0" borderId="2803"/>
    <xf numFmtId="192" fontId="9" fillId="3" borderId="2803">
      <alignment horizontal="right" vertical="center"/>
    </xf>
    <xf numFmtId="180" fontId="9" fillId="3" borderId="2803">
      <alignment horizontal="right" vertical="center"/>
    </xf>
    <xf numFmtId="186" fontId="146" fillId="3" borderId="2803" applyBorder="0">
      <alignment horizontal="left" vertical="center"/>
    </xf>
    <xf numFmtId="186" fontId="146" fillId="3" borderId="2782">
      <alignment horizontal="left"/>
    </xf>
    <xf numFmtId="186" fontId="140" fillId="3" borderId="2783">
      <alignment horizontal="center" vertical="center"/>
    </xf>
    <xf numFmtId="0" fontId="165" fillId="0" borderId="2803" applyFill="0" applyProtection="0">
      <alignment horizontal="center"/>
    </xf>
    <xf numFmtId="0" fontId="166" fillId="0" borderId="2803">
      <alignment horizontal="center"/>
    </xf>
    <xf numFmtId="264" fontId="12" fillId="14" borderId="2803" applyFont="0" applyFill="0" applyBorder="0" applyAlignment="0" applyProtection="0">
      <alignment horizontal="right"/>
    </xf>
    <xf numFmtId="0" fontId="210" fillId="0" borderId="2803" applyNumberFormat="0" applyFill="0" applyBorder="0" applyAlignment="0">
      <protection locked="0"/>
    </xf>
    <xf numFmtId="0" fontId="2" fillId="0" borderId="2784" applyNumberFormat="0" applyAlignment="0" applyProtection="0"/>
    <xf numFmtId="0" fontId="214" fillId="0" borderId="2785" applyNumberFormat="0" applyFont="0" applyFill="0" applyAlignment="0" applyProtection="0"/>
    <xf numFmtId="0" fontId="25" fillId="10" borderId="2786" applyNumberFormat="0" applyProtection="0">
      <alignment horizontal="left" vertical="top"/>
    </xf>
    <xf numFmtId="0" fontId="25" fillId="10" borderId="2787" applyNumberFormat="0" applyProtection="0">
      <alignment horizontal="left" vertical="top"/>
    </xf>
    <xf numFmtId="0" fontId="25" fillId="10" borderId="2788" applyNumberFormat="0" applyProtection="0">
      <alignment horizontal="left" vertical="top"/>
    </xf>
    <xf numFmtId="0" fontId="25" fillId="10" borderId="2789" applyNumberFormat="0" applyProtection="0">
      <alignment horizontal="left" vertical="top"/>
    </xf>
    <xf numFmtId="0" fontId="25" fillId="10" borderId="2786" applyNumberFormat="0" applyProtection="0">
      <alignment horizontal="left" vertical="top"/>
    </xf>
    <xf numFmtId="0" fontId="25" fillId="10" borderId="2787" applyNumberFormat="0" applyProtection="0">
      <alignment horizontal="left" vertical="top"/>
    </xf>
    <xf numFmtId="0" fontId="25" fillId="10" borderId="2788" applyNumberFormat="0" applyProtection="0">
      <alignment horizontal="left" vertical="top"/>
    </xf>
    <xf numFmtId="0" fontId="25" fillId="10" borderId="2789" applyNumberFormat="0" applyProtection="0">
      <alignment horizontal="left" vertical="top"/>
    </xf>
    <xf numFmtId="254" fontId="240" fillId="0" borderId="2803" applyBorder="0" applyProtection="0">
      <alignment horizontal="right" vertical="center"/>
    </xf>
    <xf numFmtId="0" fontId="241" fillId="94" borderId="2803" applyBorder="0" applyProtection="0">
      <alignment horizontal="centerContinuous" vertical="center"/>
    </xf>
    <xf numFmtId="246" fontId="249" fillId="0" borderId="2803" applyFill="0" applyProtection="0">
      <alignment horizontal="center"/>
    </xf>
    <xf numFmtId="246" fontId="250" fillId="0" borderId="2803" applyFill="0" applyProtection="0">
      <alignment horizontal="center"/>
    </xf>
    <xf numFmtId="312" fontId="101" fillId="0" borderId="2803" applyBorder="0"/>
    <xf numFmtId="312" fontId="113" fillId="0" borderId="2803" applyNumberFormat="0" applyFill="0" applyAlignment="0" applyProtection="0"/>
    <xf numFmtId="312" fontId="75" fillId="0" borderId="2780" applyNumberFormat="0" applyFont="0" applyFill="0" applyAlignment="0" applyProtection="0"/>
    <xf numFmtId="312" fontId="12" fillId="0" borderId="2803" applyNumberFormat="0" applyFill="0" applyBorder="0" applyAlignment="0" applyProtection="0">
      <alignment horizontal="center"/>
    </xf>
    <xf numFmtId="312" fontId="165" fillId="0" borderId="2803" applyFill="0" applyProtection="0">
      <alignment horizontal="center"/>
    </xf>
    <xf numFmtId="312" fontId="242" fillId="0" borderId="2803">
      <alignment horizontal="center"/>
    </xf>
    <xf numFmtId="312" fontId="210" fillId="0" borderId="2803" applyNumberFormat="0" applyFill="0" applyBorder="0" applyAlignment="0">
      <protection locked="0"/>
    </xf>
    <xf numFmtId="312" fontId="2" fillId="0" borderId="2784" applyNumberFormat="0" applyAlignment="0" applyProtection="0"/>
    <xf numFmtId="312" fontId="214" fillId="0" borderId="2785" applyNumberFormat="0" applyFont="0" applyFill="0" applyAlignment="0" applyProtection="0"/>
    <xf numFmtId="312" fontId="25" fillId="10" borderId="2786" applyNumberFormat="0" applyProtection="0">
      <alignment horizontal="left" vertical="top"/>
    </xf>
    <xf numFmtId="312" fontId="25" fillId="10" borderId="2787" applyNumberFormat="0" applyProtection="0">
      <alignment horizontal="left" vertical="top"/>
    </xf>
    <xf numFmtId="312" fontId="25" fillId="10" borderId="2788" applyNumberFormat="0" applyProtection="0">
      <alignment horizontal="left" vertical="top"/>
    </xf>
    <xf numFmtId="312" fontId="25" fillId="10" borderId="2789" applyNumberFormat="0" applyProtection="0">
      <alignment horizontal="left" vertical="top"/>
    </xf>
    <xf numFmtId="312" fontId="241" fillId="94" borderId="2803" applyBorder="0" applyProtection="0">
      <alignment horizontal="centerContinuous" vertical="center"/>
    </xf>
    <xf numFmtId="246" fontId="296" fillId="0" borderId="2803" applyFill="0" applyProtection="0">
      <alignment horizontal="center"/>
    </xf>
    <xf numFmtId="312" fontId="101" fillId="0" borderId="2803" applyBorder="0"/>
    <xf numFmtId="312" fontId="113" fillId="0" borderId="2803" applyNumberFormat="0" applyFill="0" applyAlignment="0" applyProtection="0"/>
    <xf numFmtId="312" fontId="75" fillId="0" borderId="2780" applyNumberFormat="0" applyFont="0" applyFill="0" applyAlignment="0" applyProtection="0"/>
    <xf numFmtId="312" fontId="12" fillId="0" borderId="2803" applyNumberFormat="0" applyFill="0" applyBorder="0" applyAlignment="0" applyProtection="0">
      <alignment horizontal="center"/>
    </xf>
    <xf numFmtId="312" fontId="165" fillId="0" borderId="2803" applyFill="0" applyProtection="0">
      <alignment horizontal="center"/>
    </xf>
    <xf numFmtId="312" fontId="242" fillId="0" borderId="2803">
      <alignment horizontal="center"/>
    </xf>
    <xf numFmtId="312" fontId="210" fillId="0" borderId="2803" applyNumberFormat="0" applyFill="0" applyBorder="0" applyAlignment="0">
      <protection locked="0"/>
    </xf>
    <xf numFmtId="312" fontId="2" fillId="0" borderId="2784" applyNumberFormat="0" applyAlignment="0" applyProtection="0"/>
    <xf numFmtId="312" fontId="214" fillId="0" borderId="2785" applyNumberFormat="0" applyFont="0" applyFill="0" applyAlignment="0" applyProtection="0"/>
    <xf numFmtId="312" fontId="25" fillId="10" borderId="2786" applyNumberFormat="0" applyProtection="0">
      <alignment horizontal="left" vertical="top"/>
    </xf>
    <xf numFmtId="312" fontId="25" fillId="10" borderId="2787" applyNumberFormat="0" applyProtection="0">
      <alignment horizontal="left" vertical="top"/>
    </xf>
    <xf numFmtId="312" fontId="25" fillId="10" borderId="2788" applyNumberFormat="0" applyProtection="0">
      <alignment horizontal="left" vertical="top"/>
    </xf>
    <xf numFmtId="312" fontId="25" fillId="10" borderId="2789" applyNumberFormat="0" applyProtection="0">
      <alignment horizontal="left" vertical="top"/>
    </xf>
    <xf numFmtId="312" fontId="25" fillId="10" borderId="2786" applyNumberFormat="0" applyProtection="0">
      <alignment horizontal="left" vertical="top"/>
    </xf>
    <xf numFmtId="312" fontId="25" fillId="10" borderId="2787" applyNumberFormat="0" applyProtection="0">
      <alignment horizontal="left" vertical="top"/>
    </xf>
    <xf numFmtId="312" fontId="25" fillId="10" borderId="2788" applyNumberFormat="0" applyProtection="0">
      <alignment horizontal="left" vertical="top"/>
    </xf>
    <xf numFmtId="312" fontId="25" fillId="10" borderId="2789" applyNumberFormat="0" applyProtection="0">
      <alignment horizontal="left" vertical="top"/>
    </xf>
    <xf numFmtId="312" fontId="241" fillId="94" borderId="2803" applyBorder="0" applyProtection="0">
      <alignment horizontal="centerContinuous" vertical="center"/>
    </xf>
    <xf numFmtId="246" fontId="296" fillId="0" borderId="2803" applyFill="0" applyProtection="0">
      <alignment horizontal="center"/>
    </xf>
    <xf numFmtId="246" fontId="250" fillId="0" borderId="2803" applyFill="0" applyProtection="0">
      <alignment horizontal="center"/>
    </xf>
    <xf numFmtId="246" fontId="249" fillId="0" borderId="2803" applyFill="0" applyProtection="0">
      <alignment horizontal="center"/>
    </xf>
    <xf numFmtId="0" fontId="241" fillId="94" borderId="2803" applyBorder="0" applyProtection="0">
      <alignment horizontal="centerContinuous" vertical="center"/>
    </xf>
    <xf numFmtId="254" fontId="240" fillId="0" borderId="2803" applyBorder="0" applyProtection="0">
      <alignment horizontal="right" vertical="center"/>
    </xf>
    <xf numFmtId="0" fontId="25" fillId="10" borderId="2801" applyNumberFormat="0" applyProtection="0">
      <alignment horizontal="left" vertical="top"/>
    </xf>
    <xf numFmtId="0" fontId="25" fillId="10" borderId="2800" applyNumberFormat="0" applyProtection="0">
      <alignment horizontal="left" vertical="top"/>
    </xf>
    <xf numFmtId="0" fontId="25" fillId="10" borderId="2799" applyNumberFormat="0" applyProtection="0">
      <alignment horizontal="left" vertical="top"/>
    </xf>
    <xf numFmtId="0" fontId="25" fillId="10" borderId="2798" applyNumberFormat="0" applyProtection="0">
      <alignment horizontal="left" vertical="top"/>
    </xf>
    <xf numFmtId="0" fontId="214" fillId="0" borderId="2797" applyNumberFormat="0" applyFont="0" applyFill="0" applyAlignment="0" applyProtection="0"/>
    <xf numFmtId="0" fontId="2" fillId="0" borderId="2796" applyNumberFormat="0" applyAlignment="0" applyProtection="0"/>
    <xf numFmtId="0" fontId="210" fillId="0" borderId="2803" applyNumberFormat="0" applyFill="0" applyBorder="0" applyAlignment="0">
      <protection locked="0"/>
    </xf>
    <xf numFmtId="264" fontId="12" fillId="14" borderId="2803" applyFont="0" applyFill="0" applyBorder="0" applyAlignment="0" applyProtection="0">
      <alignment horizontal="right"/>
    </xf>
    <xf numFmtId="0" fontId="166" fillId="0" borderId="2803">
      <alignment horizontal="center"/>
    </xf>
    <xf numFmtId="0" fontId="165" fillId="0" borderId="2803" applyFill="0" applyProtection="0">
      <alignment horizontal="center"/>
    </xf>
    <xf numFmtId="186" fontId="140" fillId="3" borderId="2795">
      <alignment horizontal="center" vertical="center"/>
    </xf>
    <xf numFmtId="186" fontId="146" fillId="3" borderId="2794">
      <alignment horizontal="left"/>
    </xf>
    <xf numFmtId="186" fontId="146" fillId="3" borderId="2803" applyBorder="0">
      <alignment horizontal="left" vertical="center"/>
    </xf>
    <xf numFmtId="180" fontId="9" fillId="3" borderId="2803">
      <alignment horizontal="right" vertical="center"/>
    </xf>
    <xf numFmtId="192" fontId="9" fillId="3" borderId="2803">
      <alignment horizontal="right" vertical="center"/>
    </xf>
    <xf numFmtId="248" fontId="46" fillId="0" borderId="2803"/>
    <xf numFmtId="0" fontId="78" fillId="14" borderId="2793" applyFont="0" applyFill="0" applyBorder="0" applyAlignment="0" applyProtection="0"/>
    <xf numFmtId="0" fontId="12" fillId="0" borderId="2803" applyNumberFormat="0" applyFill="0" applyBorder="0" applyAlignment="0" applyProtection="0">
      <alignment horizontal="center"/>
    </xf>
    <xf numFmtId="0" fontId="75" fillId="0" borderId="2792" applyNumberFormat="0" applyFont="0" applyFill="0" applyAlignment="0" applyProtection="0"/>
    <xf numFmtId="0" fontId="113" fillId="0" borderId="2803" applyNumberFormat="0" applyFill="0" applyAlignment="0" applyProtection="0"/>
    <xf numFmtId="222" fontId="79" fillId="0" borderId="2802" applyBorder="0"/>
    <xf numFmtId="0" fontId="101" fillId="0" borderId="2803" applyBorder="0"/>
    <xf numFmtId="0" fontId="25" fillId="10" borderId="2810" applyNumberFormat="0" applyProtection="0">
      <alignment horizontal="left" vertical="top"/>
    </xf>
    <xf numFmtId="0" fontId="25" fillId="10" borderId="2811" applyNumberFormat="0" applyProtection="0">
      <alignment horizontal="left" vertical="top"/>
    </xf>
    <xf numFmtId="0" fontId="25" fillId="10" borderId="2812" applyNumberFormat="0" applyProtection="0">
      <alignment horizontal="left" vertical="top"/>
    </xf>
    <xf numFmtId="0" fontId="25" fillId="10" borderId="2813" applyNumberFormat="0" applyProtection="0">
      <alignment horizontal="left" vertical="top"/>
    </xf>
    <xf numFmtId="246" fontId="250" fillId="0" borderId="2791" applyFill="0" applyProtection="0">
      <alignment horizontal="center"/>
    </xf>
    <xf numFmtId="246" fontId="249" fillId="0" borderId="2791" applyFill="0" applyProtection="0">
      <alignment horizontal="center"/>
    </xf>
    <xf numFmtId="0" fontId="241" fillId="94" borderId="2791" applyBorder="0" applyProtection="0">
      <alignment horizontal="centerContinuous" vertical="center"/>
    </xf>
    <xf numFmtId="254" fontId="240" fillId="0" borderId="2791" applyBorder="0" applyProtection="0">
      <alignment horizontal="right" vertical="center"/>
    </xf>
    <xf numFmtId="0" fontId="210" fillId="0" borderId="2791" applyNumberFormat="0" applyFill="0" applyBorder="0" applyAlignment="0">
      <protection locked="0"/>
    </xf>
    <xf numFmtId="264" fontId="12" fillId="14" borderId="2791" applyFont="0" applyFill="0" applyBorder="0" applyAlignment="0" applyProtection="0">
      <alignment horizontal="right"/>
    </xf>
    <xf numFmtId="0" fontId="166" fillId="0" borderId="2791">
      <alignment horizontal="center"/>
    </xf>
    <xf numFmtId="0" fontId="165" fillId="0" borderId="2791" applyFill="0" applyProtection="0">
      <alignment horizontal="center"/>
    </xf>
    <xf numFmtId="186" fontId="146" fillId="3" borderId="2791" applyBorder="0">
      <alignment horizontal="left" vertical="center"/>
    </xf>
    <xf numFmtId="180" fontId="9" fillId="3" borderId="2791">
      <alignment horizontal="right" vertical="center"/>
    </xf>
    <xf numFmtId="192" fontId="9" fillId="3" borderId="2791">
      <alignment horizontal="right" vertical="center"/>
    </xf>
    <xf numFmtId="248" fontId="46" fillId="0" borderId="2791"/>
    <xf numFmtId="0" fontId="12" fillId="0" borderId="2791" applyNumberFormat="0" applyFill="0" applyBorder="0" applyAlignment="0" applyProtection="0">
      <alignment horizontal="center"/>
    </xf>
    <xf numFmtId="0" fontId="113" fillId="0" borderId="2791" applyNumberFormat="0" applyFill="0" applyAlignment="0" applyProtection="0"/>
    <xf numFmtId="222" fontId="79" fillId="0" borderId="2790" applyBorder="0"/>
    <xf numFmtId="0" fontId="101" fillId="0" borderId="2791" applyBorder="0"/>
    <xf numFmtId="246" fontId="250" fillId="0" borderId="2791" applyFill="0" applyProtection="0">
      <alignment horizontal="center"/>
    </xf>
    <xf numFmtId="246" fontId="249" fillId="0" borderId="2791" applyFill="0" applyProtection="0">
      <alignment horizontal="center"/>
    </xf>
    <xf numFmtId="0" fontId="241" fillId="94" borderId="2791" applyBorder="0" applyProtection="0">
      <alignment horizontal="centerContinuous" vertical="center"/>
    </xf>
    <xf numFmtId="254" fontId="240" fillId="0" borderId="2791" applyBorder="0" applyProtection="0">
      <alignment horizontal="right" vertical="center"/>
    </xf>
    <xf numFmtId="0" fontId="210" fillId="0" borderId="2791" applyNumberFormat="0" applyFill="0" applyBorder="0" applyAlignment="0">
      <protection locked="0"/>
    </xf>
    <xf numFmtId="264" fontId="12" fillId="14" borderId="2791" applyFont="0" applyFill="0" applyBorder="0" applyAlignment="0" applyProtection="0">
      <alignment horizontal="right"/>
    </xf>
    <xf numFmtId="0" fontId="166" fillId="0" borderId="2791">
      <alignment horizontal="center"/>
    </xf>
    <xf numFmtId="0" fontId="165" fillId="0" borderId="2791" applyFill="0" applyProtection="0">
      <alignment horizontal="center"/>
    </xf>
    <xf numFmtId="186" fontId="146" fillId="3" borderId="2791" applyBorder="0">
      <alignment horizontal="left" vertical="center"/>
    </xf>
    <xf numFmtId="180" fontId="9" fillId="3" borderId="2791">
      <alignment horizontal="right" vertical="center"/>
    </xf>
    <xf numFmtId="192" fontId="9" fillId="3" borderId="2791">
      <alignment horizontal="right" vertical="center"/>
    </xf>
    <xf numFmtId="0" fontId="12" fillId="0" borderId="2791" applyNumberFormat="0" applyFill="0" applyBorder="0" applyAlignment="0" applyProtection="0">
      <alignment horizontal="center"/>
    </xf>
    <xf numFmtId="0" fontId="113" fillId="0" borderId="2791" applyNumberFormat="0" applyFill="0" applyAlignment="0" applyProtection="0"/>
    <xf numFmtId="222" fontId="79" fillId="0" borderId="2790" applyBorder="0"/>
    <xf numFmtId="0" fontId="101" fillId="0" borderId="2791" applyBorder="0"/>
    <xf numFmtId="248" fontId="46" fillId="0" borderId="2791"/>
    <xf numFmtId="246" fontId="250" fillId="0" borderId="2791" applyFill="0" applyProtection="0">
      <alignment horizontal="center"/>
    </xf>
    <xf numFmtId="246" fontId="249" fillId="0" borderId="2791" applyFill="0" applyProtection="0">
      <alignment horizontal="center"/>
    </xf>
    <xf numFmtId="0" fontId="241" fillId="94" borderId="2791" applyBorder="0" applyProtection="0">
      <alignment horizontal="centerContinuous" vertical="center"/>
    </xf>
    <xf numFmtId="254" fontId="240" fillId="0" borderId="2791" applyBorder="0" applyProtection="0">
      <alignment horizontal="right" vertical="center"/>
    </xf>
    <xf numFmtId="0" fontId="210" fillId="0" borderId="2791" applyNumberFormat="0" applyFill="0" applyBorder="0" applyAlignment="0">
      <protection locked="0"/>
    </xf>
    <xf numFmtId="264" fontId="12" fillId="14" borderId="2791" applyFont="0" applyFill="0" applyBorder="0" applyAlignment="0" applyProtection="0">
      <alignment horizontal="right"/>
    </xf>
    <xf numFmtId="0" fontId="166" fillId="0" borderId="2791">
      <alignment horizontal="center"/>
    </xf>
    <xf numFmtId="0" fontId="165" fillId="0" borderId="2791" applyFill="0" applyProtection="0">
      <alignment horizontal="center"/>
    </xf>
    <xf numFmtId="186" fontId="146" fillId="3" borderId="2791" applyBorder="0">
      <alignment horizontal="left" vertical="center"/>
    </xf>
    <xf numFmtId="180" fontId="9" fillId="3" borderId="2791">
      <alignment horizontal="right" vertical="center"/>
    </xf>
    <xf numFmtId="192" fontId="9" fillId="3" borderId="2791">
      <alignment horizontal="right" vertical="center"/>
    </xf>
    <xf numFmtId="248" fontId="46" fillId="0" borderId="2791"/>
    <xf numFmtId="0" fontId="12" fillId="0" borderId="2791" applyNumberFormat="0" applyFill="0" applyBorder="0" applyAlignment="0" applyProtection="0">
      <alignment horizontal="center"/>
    </xf>
    <xf numFmtId="0" fontId="113" fillId="0" borderId="2791" applyNumberFormat="0" applyFill="0" applyAlignment="0" applyProtection="0"/>
    <xf numFmtId="222" fontId="79" fillId="0" borderId="2790" applyBorder="0"/>
    <xf numFmtId="0" fontId="101" fillId="0" borderId="2791" applyBorder="0"/>
    <xf numFmtId="1" fontId="154" fillId="65" borderId="2525" applyNumberFormat="0" applyBorder="0" applyAlignment="0">
      <alignment horizontal="centerContinuous" vertical="center"/>
      <protection locked="0"/>
    </xf>
    <xf numFmtId="0" fontId="12" fillId="0" borderId="2815" applyNumberFormat="0" applyFill="0" applyBorder="0" applyAlignment="0" applyProtection="0"/>
    <xf numFmtId="0" fontId="12" fillId="0" borderId="2815" applyNumberFormat="0" applyFill="0" applyBorder="0" applyAlignment="0" applyProtection="0"/>
    <xf numFmtId="0" fontId="12" fillId="0" borderId="2815" applyNumberFormat="0" applyFill="0" applyBorder="0" applyAlignment="0" applyProtection="0"/>
    <xf numFmtId="10" fontId="12" fillId="3" borderId="2828" applyNumberFormat="0" applyFont="0" applyFill="0" applyBorder="0" applyAlignment="0">
      <protection locked="0"/>
    </xf>
    <xf numFmtId="246" fontId="250" fillId="0" borderId="2872" applyFill="0" applyProtection="0">
      <alignment horizontal="center"/>
    </xf>
    <xf numFmtId="246" fontId="249" fillId="0" borderId="2872" applyFill="0" applyProtection="0">
      <alignment horizontal="center"/>
    </xf>
    <xf numFmtId="0" fontId="241" fillId="94" borderId="2872" applyBorder="0" applyProtection="0">
      <alignment horizontal="centerContinuous" vertical="center"/>
    </xf>
    <xf numFmtId="254" fontId="240" fillId="0" borderId="2872" applyBorder="0" applyProtection="0">
      <alignment horizontal="right" vertical="center"/>
    </xf>
    <xf numFmtId="0" fontId="12" fillId="0" borderId="2815" applyNumberFormat="0" applyFill="0" applyBorder="0" applyAlignment="0" applyProtection="0"/>
    <xf numFmtId="0" fontId="25" fillId="10" borderId="2827" applyNumberFormat="0" applyProtection="0">
      <alignment horizontal="left" vertical="top"/>
    </xf>
    <xf numFmtId="0" fontId="25" fillId="10" borderId="2826" applyNumberFormat="0" applyProtection="0">
      <alignment horizontal="left" vertical="top"/>
    </xf>
    <xf numFmtId="0" fontId="25" fillId="10" borderId="2461" applyNumberFormat="0" applyProtection="0">
      <alignment horizontal="left" vertical="top"/>
    </xf>
    <xf numFmtId="0" fontId="25" fillId="10" borderId="2825" applyNumberFormat="0" applyProtection="0">
      <alignment horizontal="left" vertical="top"/>
    </xf>
    <xf numFmtId="0" fontId="25" fillId="10" borderId="2460" applyNumberFormat="0" applyProtection="0">
      <alignment horizontal="left" vertical="top"/>
    </xf>
    <xf numFmtId="0" fontId="25" fillId="10" borderId="2824" applyNumberFormat="0" applyProtection="0">
      <alignment horizontal="left" vertical="top"/>
    </xf>
    <xf numFmtId="0" fontId="25" fillId="10" borderId="2459" applyNumberFormat="0" applyProtection="0">
      <alignment horizontal="left" vertical="top"/>
    </xf>
    <xf numFmtId="0" fontId="25" fillId="10" borderId="2458" applyNumberFormat="0" applyProtection="0">
      <alignment horizontal="left" vertical="top"/>
    </xf>
    <xf numFmtId="0" fontId="25" fillId="10" borderId="2823" applyNumberFormat="0" applyProtection="0">
      <alignment horizontal="left" vertical="top"/>
    </xf>
    <xf numFmtId="0" fontId="25" fillId="10" borderId="2822" applyNumberFormat="0" applyProtection="0">
      <alignment horizontal="left" vertical="top"/>
    </xf>
    <xf numFmtId="0" fontId="25" fillId="10" borderId="2821" applyNumberFormat="0" applyProtection="0">
      <alignment horizontal="left"/>
    </xf>
    <xf numFmtId="0" fontId="12" fillId="10" borderId="2816" applyNumberFormat="0" applyFont="0" applyProtection="0"/>
    <xf numFmtId="0" fontId="12" fillId="10" borderId="2816" applyNumberFormat="0" applyFont="0" applyAlignment="0" applyProtection="0"/>
    <xf numFmtId="0" fontId="12" fillId="3" borderId="2816" applyNumberFormat="0" applyFont="0" applyAlignment="0" applyProtection="0"/>
    <xf numFmtId="293" fontId="234" fillId="10" borderId="2816" applyFont="0" applyProtection="0"/>
    <xf numFmtId="293" fontId="234" fillId="10" borderId="2816" applyFont="0" applyProtection="0"/>
    <xf numFmtId="169" fontId="234" fillId="3" borderId="2816" applyFont="0" applyProtection="0"/>
    <xf numFmtId="293" fontId="234" fillId="3" borderId="2816" applyFont="0" applyProtection="0"/>
    <xf numFmtId="169" fontId="234" fillId="10" borderId="2816" applyFont="0" applyProtection="0"/>
    <xf numFmtId="0" fontId="25" fillId="10" borderId="2816" applyNumberFormat="0" applyProtection="0">
      <alignment horizontal="center" vertical="top"/>
    </xf>
    <xf numFmtId="0" fontId="25" fillId="10" borderId="2816" applyNumberFormat="0" applyProtection="0">
      <alignment horizontal="center" vertical="top"/>
    </xf>
    <xf numFmtId="2" fontId="12" fillId="60" borderId="2820" applyFont="0" applyFill="0" applyBorder="0" applyAlignment="0" applyProtection="0"/>
    <xf numFmtId="9" fontId="12" fillId="60" borderId="2820" applyFont="0" applyFill="0" applyBorder="0" applyAlignment="0" applyProtection="0"/>
    <xf numFmtId="10" fontId="12" fillId="60" borderId="2820" applyFont="0" applyFill="0" applyBorder="0" applyAlignment="0" applyProtection="0"/>
    <xf numFmtId="183" fontId="12" fillId="60" borderId="2820" applyFont="0" applyFill="0" applyBorder="0" applyAlignment="0" applyProtection="0"/>
    <xf numFmtId="4" fontId="12" fillId="60" borderId="2820" applyFont="0" applyFill="0" applyBorder="0" applyAlignment="0" applyProtection="0"/>
    <xf numFmtId="3" fontId="12" fillId="60" borderId="2820" applyFont="0" applyFill="0" applyBorder="0" applyAlignment="0" applyProtection="0"/>
    <xf numFmtId="4" fontId="230" fillId="11" borderId="2818" applyNumberFormat="0" applyProtection="0">
      <alignment horizontal="right" vertical="center"/>
    </xf>
    <xf numFmtId="4" fontId="229" fillId="84" borderId="2819" applyNumberFormat="0" applyProtection="0">
      <alignment horizontal="left" vertical="center" indent="1"/>
    </xf>
    <xf numFmtId="0" fontId="136" fillId="84" borderId="2818" applyNumberFormat="0" applyProtection="0">
      <alignment horizontal="left" vertical="top" indent="1"/>
    </xf>
    <xf numFmtId="4" fontId="223" fillId="52" borderId="2818" applyNumberFormat="0" applyProtection="0">
      <alignment horizontal="left" vertical="center" indent="1"/>
    </xf>
    <xf numFmtId="4" fontId="228" fillId="11" borderId="2818" applyNumberFormat="0" applyProtection="0">
      <alignment horizontal="right" vertical="center"/>
    </xf>
    <xf numFmtId="4" fontId="184" fillId="11" borderId="2818" applyNumberFormat="0" applyProtection="0">
      <alignment horizontal="right" vertical="center"/>
    </xf>
    <xf numFmtId="0" fontId="136" fillId="14" borderId="2818" applyNumberFormat="0" applyProtection="0">
      <alignment horizontal="left" vertical="top" indent="1"/>
    </xf>
    <xf numFmtId="4" fontId="227" fillId="52" borderId="2819" applyNumberFormat="0" applyProtection="0">
      <alignment horizontal="left" vertical="center" indent="1"/>
    </xf>
    <xf numFmtId="4" fontId="228" fillId="11" borderId="2818" applyNumberFormat="0" applyProtection="0">
      <alignment vertical="center"/>
    </xf>
    <xf numFmtId="4" fontId="226" fillId="11" borderId="2818" applyNumberFormat="0" applyProtection="0">
      <alignment vertical="center"/>
    </xf>
    <xf numFmtId="0" fontId="12" fillId="11" borderId="2818" applyNumberFormat="0" applyProtection="0">
      <alignment horizontal="left" vertical="top" indent="1"/>
    </xf>
    <xf numFmtId="0" fontId="12" fillId="11" borderId="2818" applyNumberFormat="0" applyProtection="0">
      <alignment horizontal="left" vertical="center" indent="1"/>
    </xf>
    <xf numFmtId="0" fontId="12" fillId="52" borderId="2818" applyNumberFormat="0" applyProtection="0">
      <alignment horizontal="left" vertical="top" indent="1"/>
    </xf>
    <xf numFmtId="0" fontId="12" fillId="52" borderId="2818" applyNumberFormat="0" applyProtection="0">
      <alignment horizontal="left" vertical="center" indent="1"/>
    </xf>
    <xf numFmtId="0" fontId="12" fillId="84" borderId="2818" applyNumberFormat="0" applyProtection="0">
      <alignment horizontal="left" vertical="top" indent="1"/>
    </xf>
    <xf numFmtId="0" fontId="12" fillId="84" borderId="2818" applyNumberFormat="0" applyProtection="0">
      <alignment horizontal="left" vertical="center" indent="1"/>
    </xf>
    <xf numFmtId="0" fontId="12" fillId="75" borderId="2818" applyNumberFormat="0" applyProtection="0">
      <alignment horizontal="left" vertical="top" indent="1"/>
    </xf>
    <xf numFmtId="0" fontId="12" fillId="75" borderId="2818" applyNumberFormat="0" applyProtection="0">
      <alignment horizontal="left" vertical="center" indent="1"/>
    </xf>
    <xf numFmtId="4" fontId="184" fillId="52" borderId="2818" applyNumberFormat="0" applyProtection="0">
      <alignment horizontal="right" vertical="center"/>
    </xf>
    <xf numFmtId="4" fontId="226" fillId="82" borderId="2818" applyNumberFormat="0" applyProtection="0">
      <alignment horizontal="right" vertical="center"/>
    </xf>
    <xf numFmtId="4" fontId="226" fillId="81" borderId="2818" applyNumberFormat="0" applyProtection="0">
      <alignment horizontal="right" vertical="center"/>
    </xf>
    <xf numFmtId="4" fontId="226" fillId="80" borderId="2818" applyNumberFormat="0" applyProtection="0">
      <alignment horizontal="right" vertical="center"/>
    </xf>
    <xf numFmtId="4" fontId="226" fillId="71" borderId="2818" applyNumberFormat="0" applyProtection="0">
      <alignment horizontal="right" vertical="center"/>
    </xf>
    <xf numFmtId="4" fontId="226" fillId="79" borderId="2818" applyNumberFormat="0" applyProtection="0">
      <alignment horizontal="right" vertical="center"/>
    </xf>
    <xf numFmtId="4" fontId="226" fillId="10" borderId="2818" applyNumberFormat="0" applyProtection="0">
      <alignment horizontal="right" vertical="center"/>
    </xf>
    <xf numFmtId="4" fontId="226" fillId="78" borderId="2818" applyNumberFormat="0" applyProtection="0">
      <alignment horizontal="right" vertical="center"/>
    </xf>
    <xf numFmtId="4" fontId="226" fillId="77" borderId="2818" applyNumberFormat="0" applyProtection="0">
      <alignment horizontal="right" vertical="center"/>
    </xf>
    <xf numFmtId="4" fontId="226" fillId="76" borderId="2818" applyNumberFormat="0" applyProtection="0">
      <alignment horizontal="right" vertical="center"/>
    </xf>
    <xf numFmtId="0" fontId="225" fillId="53" borderId="2818" applyNumberFormat="0" applyProtection="0">
      <alignment horizontal="left" vertical="top" indent="1"/>
    </xf>
    <xf numFmtId="4" fontId="184" fillId="53" borderId="2818" applyNumberFormat="0" applyProtection="0">
      <alignment horizontal="left" vertical="center" indent="1"/>
    </xf>
    <xf numFmtId="4" fontId="224" fillId="53" borderId="2818" applyNumberFormat="0" applyProtection="0">
      <alignment vertical="center"/>
    </xf>
    <xf numFmtId="4" fontId="223" fillId="53" borderId="2818" applyNumberFormat="0" applyProtection="0">
      <alignment vertical="center"/>
    </xf>
    <xf numFmtId="0" fontId="12" fillId="0" borderId="2815" applyNumberFormat="0" applyFill="0" applyBorder="0" applyAlignment="0" applyProtection="0"/>
    <xf numFmtId="0" fontId="46" fillId="0" borderId="2815" applyNumberFormat="0" applyFill="0" applyBorder="0" applyAlignment="0" applyProtection="0"/>
    <xf numFmtId="0" fontId="105" fillId="0" borderId="2815" applyNumberFormat="0" applyFill="0" applyBorder="0" applyAlignment="0" applyProtection="0"/>
    <xf numFmtId="0" fontId="48" fillId="0" borderId="2815" applyNumberFormat="0" applyFill="0" applyAlignment="0" applyProtection="0"/>
    <xf numFmtId="5" fontId="114" fillId="0" borderId="2814" applyAlignment="0" applyProtection="0"/>
    <xf numFmtId="0" fontId="214" fillId="0" borderId="2457" applyNumberFormat="0" applyFont="0" applyFill="0" applyAlignment="0" applyProtection="0"/>
    <xf numFmtId="0" fontId="2" fillId="0" borderId="2456" applyNumberFormat="0" applyAlignment="0" applyProtection="0"/>
    <xf numFmtId="0" fontId="210" fillId="0" borderId="2872" applyNumberFormat="0" applyFill="0" applyBorder="0" applyAlignment="0">
      <protection locked="0"/>
    </xf>
    <xf numFmtId="182" fontId="145" fillId="3" borderId="2814">
      <alignment horizontal="right" vertical="center"/>
    </xf>
    <xf numFmtId="186" fontId="48" fillId="3" borderId="2814">
      <alignment vertical="center"/>
    </xf>
    <xf numFmtId="0" fontId="135" fillId="0" borderId="2816"/>
    <xf numFmtId="0" fontId="135" fillId="0" borderId="2816"/>
    <xf numFmtId="188" fontId="25" fillId="0" borderId="2830" applyFont="0" applyFill="0" applyBorder="0" applyAlignment="0" applyProtection="0">
      <alignment horizontal="center"/>
    </xf>
    <xf numFmtId="0" fontId="184" fillId="0" borderId="2817" applyAlignment="0">
      <alignment horizontal="left" wrapText="1"/>
    </xf>
    <xf numFmtId="264" fontId="12" fillId="14" borderId="2872" applyFont="0" applyFill="0" applyBorder="0" applyAlignment="0" applyProtection="0">
      <alignment horizontal="right"/>
    </xf>
    <xf numFmtId="0" fontId="25" fillId="69" borderId="2816">
      <alignment horizontal="left" vertical="center" wrapText="1"/>
    </xf>
    <xf numFmtId="0" fontId="159" fillId="0" borderId="2816"/>
    <xf numFmtId="0" fontId="159" fillId="67" borderId="2816"/>
    <xf numFmtId="0" fontId="166" fillId="0" borderId="2872">
      <alignment horizontal="center"/>
    </xf>
    <xf numFmtId="0" fontId="165" fillId="0" borderId="2872" applyFill="0" applyProtection="0">
      <alignment horizontal="center"/>
    </xf>
    <xf numFmtId="0" fontId="159" fillId="67" borderId="2816"/>
    <xf numFmtId="0" fontId="159" fillId="0" borderId="2816"/>
    <xf numFmtId="0" fontId="25" fillId="69" borderId="2816">
      <alignment horizontal="left" vertical="center" wrapText="1"/>
    </xf>
    <xf numFmtId="0" fontId="184" fillId="0" borderId="2817" applyAlignment="0">
      <alignment horizontal="left" wrapText="1"/>
    </xf>
    <xf numFmtId="0" fontId="135" fillId="0" borderId="2816"/>
    <xf numFmtId="0" fontId="135" fillId="0" borderId="2816"/>
    <xf numFmtId="186" fontId="140" fillId="3" borderId="2455">
      <alignment horizontal="center" vertical="center"/>
    </xf>
    <xf numFmtId="186" fontId="48" fillId="3" borderId="2814">
      <alignment vertical="center"/>
    </xf>
    <xf numFmtId="186" fontId="146" fillId="3" borderId="2454">
      <alignment horizontal="left"/>
    </xf>
    <xf numFmtId="186" fontId="146" fillId="3" borderId="2872" applyBorder="0">
      <alignment horizontal="left" vertical="center"/>
    </xf>
    <xf numFmtId="180" fontId="9" fillId="3" borderId="2872">
      <alignment horizontal="right" vertical="center"/>
    </xf>
    <xf numFmtId="192" fontId="9" fillId="3" borderId="2872">
      <alignment horizontal="right" vertical="center"/>
    </xf>
    <xf numFmtId="182" fontId="145" fillId="3" borderId="2814">
      <alignment horizontal="right" vertical="center"/>
    </xf>
    <xf numFmtId="188" fontId="25" fillId="0" borderId="2830" applyFont="0" applyFill="0" applyBorder="0" applyAlignment="0" applyProtection="0">
      <alignment horizontal="center"/>
    </xf>
    <xf numFmtId="0" fontId="48" fillId="0" borderId="2814" applyFont="0" applyFill="0" applyBorder="0" applyAlignment="0" applyProtection="0">
      <alignment horizontal="center"/>
    </xf>
    <xf numFmtId="0" fontId="74" fillId="0" borderId="2814" applyFont="0" applyFill="0" applyBorder="0" applyAlignment="0" applyProtection="0">
      <alignment horizontal="center"/>
    </xf>
    <xf numFmtId="248" fontId="46" fillId="0" borderId="2872"/>
    <xf numFmtId="0" fontId="78" fillId="14" borderId="2453" applyFont="0" applyFill="0" applyBorder="0" applyAlignment="0" applyProtection="0"/>
    <xf numFmtId="0" fontId="12" fillId="0" borderId="2872" applyNumberFormat="0" applyFill="0" applyBorder="0" applyAlignment="0" applyProtection="0">
      <alignment horizontal="center"/>
    </xf>
    <xf numFmtId="0" fontId="75" fillId="0" borderId="2452" applyNumberFormat="0" applyFont="0" applyFill="0" applyAlignment="0" applyProtection="0"/>
    <xf numFmtId="5" fontId="114" fillId="0" borderId="2814" applyAlignment="0" applyProtection="0"/>
    <xf numFmtId="0" fontId="113" fillId="0" borderId="2872" applyNumberFormat="0" applyFill="0" applyAlignment="0" applyProtection="0"/>
    <xf numFmtId="0" fontId="48" fillId="0" borderId="2815" applyNumberFormat="0" applyFill="0" applyAlignment="0" applyProtection="0"/>
    <xf numFmtId="0" fontId="105" fillId="0" borderId="2815" applyNumberFormat="0" applyFill="0" applyBorder="0" applyAlignment="0" applyProtection="0"/>
    <xf numFmtId="0" fontId="46" fillId="0" borderId="2815" applyNumberFormat="0" applyFill="0" applyBorder="0" applyAlignment="0" applyProtection="0"/>
    <xf numFmtId="0" fontId="12" fillId="0" borderId="2815" applyNumberFormat="0" applyFill="0" applyBorder="0" applyAlignment="0" applyProtection="0"/>
    <xf numFmtId="222" fontId="79" fillId="0" borderId="2871" applyBorder="0"/>
    <xf numFmtId="0" fontId="101" fillId="0" borderId="2872" applyBorder="0"/>
    <xf numFmtId="4" fontId="223" fillId="53" borderId="2818" applyNumberFormat="0" applyProtection="0">
      <alignment vertical="center"/>
    </xf>
    <xf numFmtId="4" fontId="224" fillId="53" borderId="2818" applyNumberFormat="0" applyProtection="0">
      <alignment vertical="center"/>
    </xf>
    <xf numFmtId="4" fontId="184" fillId="53" borderId="2818" applyNumberFormat="0" applyProtection="0">
      <alignment horizontal="left" vertical="center" indent="1"/>
    </xf>
    <xf numFmtId="0" fontId="225" fillId="53" borderId="2818" applyNumberFormat="0" applyProtection="0">
      <alignment horizontal="left" vertical="top" indent="1"/>
    </xf>
    <xf numFmtId="4" fontId="226" fillId="76" borderId="2818" applyNumberFormat="0" applyProtection="0">
      <alignment horizontal="right" vertical="center"/>
    </xf>
    <xf numFmtId="4" fontId="226" fillId="77" borderId="2818" applyNumberFormat="0" applyProtection="0">
      <alignment horizontal="right" vertical="center"/>
    </xf>
    <xf numFmtId="4" fontId="226" fillId="78" borderId="2818" applyNumberFormat="0" applyProtection="0">
      <alignment horizontal="right" vertical="center"/>
    </xf>
    <xf numFmtId="4" fontId="226" fillId="10" borderId="2818" applyNumberFormat="0" applyProtection="0">
      <alignment horizontal="right" vertical="center"/>
    </xf>
    <xf numFmtId="4" fontId="226" fillId="79" borderId="2818" applyNumberFormat="0" applyProtection="0">
      <alignment horizontal="right" vertical="center"/>
    </xf>
    <xf numFmtId="4" fontId="226" fillId="71" borderId="2818" applyNumberFormat="0" applyProtection="0">
      <alignment horizontal="right" vertical="center"/>
    </xf>
    <xf numFmtId="4" fontId="226" fillId="81" borderId="2818" applyNumberFormat="0" applyProtection="0">
      <alignment horizontal="right" vertical="center"/>
    </xf>
    <xf numFmtId="4" fontId="226" fillId="80" borderId="2818" applyNumberFormat="0" applyProtection="0">
      <alignment horizontal="right" vertical="center"/>
    </xf>
    <xf numFmtId="4" fontId="226" fillId="82" borderId="2818" applyNumberFormat="0" applyProtection="0">
      <alignment horizontal="right" vertical="center"/>
    </xf>
    <xf numFmtId="4" fontId="184" fillId="52" borderId="2818" applyNumberFormat="0" applyProtection="0">
      <alignment horizontal="right" vertical="center"/>
    </xf>
    <xf numFmtId="0" fontId="12" fillId="75" borderId="2818" applyNumberFormat="0" applyProtection="0">
      <alignment horizontal="left" vertical="center" indent="1"/>
    </xf>
    <xf numFmtId="0" fontId="12" fillId="75" borderId="2818" applyNumberFormat="0" applyProtection="0">
      <alignment horizontal="left" vertical="top" indent="1"/>
    </xf>
    <xf numFmtId="0" fontId="12" fillId="84" borderId="2818" applyNumberFormat="0" applyProtection="0">
      <alignment horizontal="left" vertical="center" indent="1"/>
    </xf>
    <xf numFmtId="0" fontId="12" fillId="84" borderId="2818" applyNumberFormat="0" applyProtection="0">
      <alignment horizontal="left" vertical="top" indent="1"/>
    </xf>
    <xf numFmtId="0" fontId="12" fillId="52" borderId="2818" applyNumberFormat="0" applyProtection="0">
      <alignment horizontal="left" vertical="center" indent="1"/>
    </xf>
    <xf numFmtId="0" fontId="12" fillId="52" borderId="2818" applyNumberFormat="0" applyProtection="0">
      <alignment horizontal="left" vertical="top" indent="1"/>
    </xf>
    <xf numFmtId="0" fontId="12" fillId="11" borderId="2818" applyNumberFormat="0" applyProtection="0">
      <alignment horizontal="left" vertical="center" indent="1"/>
    </xf>
    <xf numFmtId="0" fontId="12" fillId="11" borderId="2818" applyNumberFormat="0" applyProtection="0">
      <alignment horizontal="left" vertical="top" indent="1"/>
    </xf>
    <xf numFmtId="4" fontId="226" fillId="11" borderId="2818" applyNumberFormat="0" applyProtection="0">
      <alignment vertical="center"/>
    </xf>
    <xf numFmtId="4" fontId="228" fillId="11" borderId="2818" applyNumberFormat="0" applyProtection="0">
      <alignment vertical="center"/>
    </xf>
    <xf numFmtId="4" fontId="227" fillId="52" borderId="2819" applyNumberFormat="0" applyProtection="0">
      <alignment horizontal="left" vertical="center" indent="1"/>
    </xf>
    <xf numFmtId="0" fontId="136" fillId="14" borderId="2818" applyNumberFormat="0" applyProtection="0">
      <alignment horizontal="left" vertical="top" indent="1"/>
    </xf>
    <xf numFmtId="4" fontId="184" fillId="11" borderId="2818" applyNumberFormat="0" applyProtection="0">
      <alignment horizontal="right" vertical="center"/>
    </xf>
    <xf numFmtId="4" fontId="228" fillId="11" borderId="2818" applyNumberFormat="0" applyProtection="0">
      <alignment horizontal="right" vertical="center"/>
    </xf>
    <xf numFmtId="4" fontId="223" fillId="52" borderId="2818" applyNumberFormat="0" applyProtection="0">
      <alignment horizontal="left" vertical="center" indent="1"/>
    </xf>
    <xf numFmtId="0" fontId="136" fillId="84" borderId="2818" applyNumberFormat="0" applyProtection="0">
      <alignment horizontal="left" vertical="top" indent="1"/>
    </xf>
    <xf numFmtId="4" fontId="229" fillId="84" borderId="2819" applyNumberFormat="0" applyProtection="0">
      <alignment horizontal="left" vertical="center" indent="1"/>
    </xf>
    <xf numFmtId="4" fontId="230" fillId="11" borderId="2818" applyNumberFormat="0" applyProtection="0">
      <alignment horizontal="right" vertical="center"/>
    </xf>
    <xf numFmtId="0" fontId="25" fillId="10" borderId="2879" applyNumberFormat="0" applyProtection="0">
      <alignment horizontal="left" vertical="top"/>
    </xf>
    <xf numFmtId="0" fontId="25" fillId="10" borderId="2880" applyNumberFormat="0" applyProtection="0">
      <alignment horizontal="left" vertical="top"/>
    </xf>
    <xf numFmtId="0" fontId="25" fillId="10" borderId="2881" applyNumberFormat="0" applyProtection="0">
      <alignment horizontal="left" vertical="top"/>
    </xf>
    <xf numFmtId="0" fontId="25" fillId="10" borderId="2882" applyNumberFormat="0" applyProtection="0">
      <alignment horizontal="left" vertical="top"/>
    </xf>
    <xf numFmtId="3" fontId="12" fillId="60" borderId="2820" applyFont="0" applyFill="0" applyBorder="0" applyAlignment="0" applyProtection="0"/>
    <xf numFmtId="4" fontId="12" fillId="60" borderId="2820" applyFont="0" applyFill="0" applyBorder="0" applyAlignment="0" applyProtection="0"/>
    <xf numFmtId="183" fontId="12" fillId="60" borderId="2820" applyFont="0" applyFill="0" applyBorder="0" applyAlignment="0" applyProtection="0"/>
    <xf numFmtId="10" fontId="12" fillId="60" borderId="2820" applyFont="0" applyFill="0" applyBorder="0" applyAlignment="0" applyProtection="0"/>
    <xf numFmtId="9" fontId="12" fillId="60" borderId="2820" applyFont="0" applyFill="0" applyBorder="0" applyAlignment="0" applyProtection="0"/>
    <xf numFmtId="2" fontId="12" fillId="60" borderId="2820" applyFont="0" applyFill="0" applyBorder="0" applyAlignment="0" applyProtection="0"/>
    <xf numFmtId="0" fontId="25" fillId="10" borderId="2816" applyNumberFormat="0" applyProtection="0">
      <alignment horizontal="center" vertical="top"/>
    </xf>
    <xf numFmtId="169" fontId="234" fillId="3" borderId="2816" applyFont="0" applyProtection="0"/>
    <xf numFmtId="169" fontId="234" fillId="10" borderId="2816" applyFont="0" applyProtection="0"/>
    <xf numFmtId="293" fontId="234" fillId="3" borderId="2816" applyFont="0" applyProtection="0"/>
    <xf numFmtId="293" fontId="234" fillId="10" borderId="2816" applyFont="0" applyProtection="0"/>
    <xf numFmtId="293" fontId="234" fillId="10" borderId="2816" applyFont="0" applyProtection="0"/>
    <xf numFmtId="0" fontId="12" fillId="3" borderId="2816" applyNumberFormat="0" applyFont="0" applyAlignment="0" applyProtection="0"/>
    <xf numFmtId="0" fontId="12" fillId="10" borderId="2816" applyNumberFormat="0" applyFont="0" applyAlignment="0" applyProtection="0"/>
    <xf numFmtId="0" fontId="12" fillId="10" borderId="2816" applyNumberFormat="0" applyFont="0" applyProtection="0"/>
    <xf numFmtId="0" fontId="25" fillId="10" borderId="2821" applyNumberFormat="0" applyProtection="0">
      <alignment horizontal="left"/>
    </xf>
    <xf numFmtId="0" fontId="25" fillId="10" borderId="2822" applyNumberFormat="0" applyProtection="0">
      <alignment horizontal="left" vertical="top"/>
    </xf>
    <xf numFmtId="0" fontId="25" fillId="10" borderId="2823" applyNumberFormat="0" applyProtection="0">
      <alignment horizontal="left" vertical="top"/>
    </xf>
    <xf numFmtId="0" fontId="25" fillId="10" borderId="2824" applyNumberFormat="0" applyProtection="0">
      <alignment horizontal="left" vertical="top"/>
    </xf>
    <xf numFmtId="0" fontId="25" fillId="10" borderId="2825" applyNumberFormat="0" applyProtection="0">
      <alignment horizontal="left" vertical="top"/>
    </xf>
    <xf numFmtId="0" fontId="25" fillId="10" borderId="2826" applyNumberFormat="0" applyProtection="0">
      <alignment horizontal="left" vertical="top"/>
    </xf>
    <xf numFmtId="0" fontId="25" fillId="10" borderId="2827" applyNumberFormat="0" applyProtection="0">
      <alignment horizontal="left" vertical="top"/>
    </xf>
    <xf numFmtId="10" fontId="12" fillId="3" borderId="2828" applyNumberFormat="0" applyFont="0" applyFill="0" applyBorder="0" applyAlignment="0">
      <protection locked="0"/>
    </xf>
    <xf numFmtId="0" fontId="12" fillId="0" borderId="2815" applyNumberFormat="0" applyFill="0" applyBorder="0" applyAlignment="0" applyProtection="0"/>
    <xf numFmtId="0" fontId="25" fillId="10" borderId="2816" applyNumberFormat="0" applyProtection="0">
      <alignment horizontal="center" vertical="top"/>
    </xf>
    <xf numFmtId="0" fontId="48" fillId="0" borderId="2814" applyFont="0" applyFill="0" applyBorder="0" applyAlignment="0" applyProtection="0">
      <alignment horizontal="center"/>
    </xf>
    <xf numFmtId="0" fontId="74" fillId="0" borderId="2814" applyFont="0" applyFill="0" applyBorder="0" applyAlignment="0" applyProtection="0">
      <alignment horizontal="center"/>
    </xf>
    <xf numFmtId="10" fontId="12" fillId="3" borderId="2828" applyNumberFormat="0" applyFont="0" applyFill="0" applyBorder="0" applyAlignment="0">
      <protection locked="0"/>
    </xf>
    <xf numFmtId="0" fontId="12" fillId="0" borderId="2815" applyNumberFormat="0" applyFill="0" applyBorder="0" applyAlignment="0" applyProtection="0"/>
    <xf numFmtId="0" fontId="12" fillId="0" borderId="2815" applyNumberFormat="0" applyFill="0" applyBorder="0" applyAlignment="0" applyProtection="0"/>
    <xf numFmtId="0" fontId="12" fillId="0" borderId="2815" applyNumberFormat="0" applyFill="0" applyBorder="0" applyAlignment="0" applyProtection="0"/>
    <xf numFmtId="10" fontId="12" fillId="3" borderId="2828" applyNumberFormat="0" applyFont="0" applyFill="0" applyBorder="0" applyAlignment="0">
      <protection locked="0"/>
    </xf>
    <xf numFmtId="246" fontId="250" fillId="0" borderId="2803" applyFill="0" applyProtection="0">
      <alignment horizontal="center"/>
    </xf>
    <xf numFmtId="246" fontId="249" fillId="0" borderId="2803" applyFill="0" applyProtection="0">
      <alignment horizontal="center"/>
    </xf>
    <xf numFmtId="0" fontId="241" fillId="94" borderId="2803" applyBorder="0" applyProtection="0">
      <alignment horizontal="centerContinuous" vertical="center"/>
    </xf>
    <xf numFmtId="254" fontId="240" fillId="0" borderId="2803" applyBorder="0" applyProtection="0">
      <alignment horizontal="right" vertical="center"/>
    </xf>
    <xf numFmtId="0" fontId="210" fillId="0" borderId="2803" applyNumberFormat="0" applyFill="0" applyBorder="0" applyAlignment="0">
      <protection locked="0"/>
    </xf>
    <xf numFmtId="188" fontId="25" fillId="0" borderId="2830" applyFont="0" applyFill="0" applyBorder="0" applyAlignment="0" applyProtection="0">
      <alignment horizontal="center"/>
    </xf>
    <xf numFmtId="264" fontId="12" fillId="14" borderId="2803" applyFont="0" applyFill="0" applyBorder="0" applyAlignment="0" applyProtection="0">
      <alignment horizontal="right"/>
    </xf>
    <xf numFmtId="0" fontId="166" fillId="0" borderId="2803">
      <alignment horizontal="center"/>
    </xf>
    <xf numFmtId="0" fontId="165" fillId="0" borderId="2803" applyFill="0" applyProtection="0">
      <alignment horizontal="center"/>
    </xf>
    <xf numFmtId="186" fontId="146" fillId="3" borderId="2803" applyBorder="0">
      <alignment horizontal="left" vertical="center"/>
    </xf>
    <xf numFmtId="180" fontId="9" fillId="3" borderId="2803">
      <alignment horizontal="right" vertical="center"/>
    </xf>
    <xf numFmtId="192" fontId="9" fillId="3" borderId="2803">
      <alignment horizontal="right" vertical="center"/>
    </xf>
    <xf numFmtId="248" fontId="46" fillId="0" borderId="2803"/>
    <xf numFmtId="0" fontId="12" fillId="0" borderId="2803" applyNumberFormat="0" applyFill="0" applyBorder="0" applyAlignment="0" applyProtection="0">
      <alignment horizontal="center"/>
    </xf>
    <xf numFmtId="0" fontId="113" fillId="0" borderId="2803" applyNumberFormat="0" applyFill="0" applyAlignment="0" applyProtection="0"/>
    <xf numFmtId="222" fontId="79" fillId="0" borderId="2622" applyBorder="0"/>
    <xf numFmtId="0" fontId="101" fillId="0" borderId="2803" applyBorder="0"/>
    <xf numFmtId="10" fontId="12" fillId="3" borderId="2828" applyNumberFormat="0" applyFont="0" applyFill="0" applyBorder="0" applyAlignment="0">
      <protection locked="0"/>
    </xf>
    <xf numFmtId="1" fontId="154" fillId="65" borderId="2525" applyNumberFormat="0" applyBorder="0" applyAlignment="0">
      <alignment horizontal="centerContinuous" vertical="center"/>
      <protection locked="0"/>
    </xf>
    <xf numFmtId="0" fontId="12" fillId="0" borderId="2815" applyNumberFormat="0" applyFill="0" applyBorder="0" applyAlignment="0" applyProtection="0"/>
    <xf numFmtId="0" fontId="12" fillId="0" borderId="2815" applyNumberFormat="0" applyFill="0" applyBorder="0" applyAlignment="0" applyProtection="0"/>
    <xf numFmtId="0" fontId="12" fillId="0" borderId="2815" applyNumberFormat="0" applyFill="0" applyBorder="0" applyAlignment="0" applyProtection="0"/>
    <xf numFmtId="10" fontId="12" fillId="3" borderId="2828" applyNumberFormat="0" applyFont="0" applyFill="0" applyBorder="0" applyAlignment="0">
      <protection locked="0"/>
    </xf>
    <xf numFmtId="246" fontId="250" fillId="0" borderId="2803" applyFill="0" applyProtection="0">
      <alignment horizontal="center"/>
    </xf>
    <xf numFmtId="246" fontId="249" fillId="0" borderId="2803" applyFill="0" applyProtection="0">
      <alignment horizontal="center"/>
    </xf>
    <xf numFmtId="0" fontId="241" fillId="94" borderId="2803" applyBorder="0" applyProtection="0">
      <alignment horizontal="centerContinuous" vertical="center"/>
    </xf>
    <xf numFmtId="254" fontId="240" fillId="0" borderId="2803" applyBorder="0" applyProtection="0">
      <alignment horizontal="right" vertical="center"/>
    </xf>
    <xf numFmtId="0" fontId="12" fillId="0" borderId="2815" applyNumberFormat="0" applyFill="0" applyBorder="0" applyAlignment="0" applyProtection="0"/>
    <xf numFmtId="0" fontId="25" fillId="10" borderId="2827" applyNumberFormat="0" applyProtection="0">
      <alignment horizontal="left" vertical="top"/>
    </xf>
    <xf numFmtId="0" fontId="25" fillId="10" borderId="2826" applyNumberFormat="0" applyProtection="0">
      <alignment horizontal="left" vertical="top"/>
    </xf>
    <xf numFmtId="0" fontId="25" fillId="10" borderId="2825" applyNumberFormat="0" applyProtection="0">
      <alignment horizontal="left" vertical="top"/>
    </xf>
    <xf numFmtId="0" fontId="25" fillId="10" borderId="2824" applyNumberFormat="0" applyProtection="0">
      <alignment horizontal="left" vertical="top"/>
    </xf>
    <xf numFmtId="0" fontId="25" fillId="10" borderId="2823" applyNumberFormat="0" applyProtection="0">
      <alignment horizontal="left" vertical="top"/>
    </xf>
    <xf numFmtId="0" fontId="25" fillId="10" borderId="2822" applyNumberFormat="0" applyProtection="0">
      <alignment horizontal="left" vertical="top"/>
    </xf>
    <xf numFmtId="0" fontId="25" fillId="10" borderId="2821" applyNumberFormat="0" applyProtection="0">
      <alignment horizontal="left"/>
    </xf>
    <xf numFmtId="0" fontId="12" fillId="10" borderId="2816" applyNumberFormat="0" applyFont="0" applyProtection="0"/>
    <xf numFmtId="0" fontId="12" fillId="10" borderId="2816" applyNumberFormat="0" applyFont="0" applyAlignment="0" applyProtection="0"/>
    <xf numFmtId="0" fontId="12" fillId="3" borderId="2816" applyNumberFormat="0" applyFont="0" applyAlignment="0" applyProtection="0"/>
    <xf numFmtId="293" fontId="234" fillId="10" borderId="2816" applyFont="0" applyProtection="0"/>
    <xf numFmtId="293" fontId="234" fillId="3" borderId="2816" applyFont="0" applyProtection="0"/>
    <xf numFmtId="293" fontId="234" fillId="10" borderId="2816" applyFont="0" applyProtection="0"/>
    <xf numFmtId="169" fontId="234" fillId="10" borderId="2816" applyFont="0" applyProtection="0"/>
    <xf numFmtId="169" fontId="234" fillId="3" borderId="2816" applyFont="0" applyProtection="0"/>
    <xf numFmtId="0" fontId="25" fillId="10" borderId="2816" applyNumberFormat="0" applyProtection="0">
      <alignment horizontal="center" vertical="top"/>
    </xf>
    <xf numFmtId="0" fontId="25" fillId="10" borderId="2816" applyNumberFormat="0" applyProtection="0">
      <alignment horizontal="center" vertical="top"/>
    </xf>
    <xf numFmtId="2" fontId="12" fillId="60" borderId="2820" applyFont="0" applyFill="0" applyBorder="0" applyAlignment="0" applyProtection="0"/>
    <xf numFmtId="9" fontId="12" fillId="60" borderId="2820" applyFont="0" applyFill="0" applyBorder="0" applyAlignment="0" applyProtection="0"/>
    <xf numFmtId="10" fontId="12" fillId="60" borderId="2820" applyFont="0" applyFill="0" applyBorder="0" applyAlignment="0" applyProtection="0"/>
    <xf numFmtId="183" fontId="12" fillId="60" borderId="2820" applyFont="0" applyFill="0" applyBorder="0" applyAlignment="0" applyProtection="0"/>
    <xf numFmtId="4" fontId="12" fillId="60" borderId="2820" applyFont="0" applyFill="0" applyBorder="0" applyAlignment="0" applyProtection="0"/>
    <xf numFmtId="3" fontId="12" fillId="60" borderId="2820" applyFont="0" applyFill="0" applyBorder="0" applyAlignment="0" applyProtection="0"/>
    <xf numFmtId="4" fontId="230" fillId="11" borderId="2818" applyNumberFormat="0" applyProtection="0">
      <alignment horizontal="right" vertical="center"/>
    </xf>
    <xf numFmtId="4" fontId="229" fillId="84" borderId="2819" applyNumberFormat="0" applyProtection="0">
      <alignment horizontal="left" vertical="center" indent="1"/>
    </xf>
    <xf numFmtId="0" fontId="136" fillId="84" borderId="2818" applyNumberFormat="0" applyProtection="0">
      <alignment horizontal="left" vertical="top" indent="1"/>
    </xf>
    <xf numFmtId="4" fontId="223" fillId="52" borderId="2818" applyNumberFormat="0" applyProtection="0">
      <alignment horizontal="left" vertical="center" indent="1"/>
    </xf>
    <xf numFmtId="4" fontId="228" fillId="11" borderId="2818" applyNumberFormat="0" applyProtection="0">
      <alignment horizontal="right" vertical="center"/>
    </xf>
    <xf numFmtId="4" fontId="184" fillId="11" borderId="2818" applyNumberFormat="0" applyProtection="0">
      <alignment horizontal="right" vertical="center"/>
    </xf>
    <xf numFmtId="0" fontId="136" fillId="14" borderId="2818" applyNumberFormat="0" applyProtection="0">
      <alignment horizontal="left" vertical="top" indent="1"/>
    </xf>
    <xf numFmtId="4" fontId="227" fillId="52" borderId="2819" applyNumberFormat="0" applyProtection="0">
      <alignment horizontal="left" vertical="center" indent="1"/>
    </xf>
    <xf numFmtId="4" fontId="228" fillId="11" borderId="2818" applyNumberFormat="0" applyProtection="0">
      <alignment vertical="center"/>
    </xf>
    <xf numFmtId="4" fontId="226" fillId="11" borderId="2818" applyNumberFormat="0" applyProtection="0">
      <alignment vertical="center"/>
    </xf>
    <xf numFmtId="0" fontId="12" fillId="11" borderId="2818" applyNumberFormat="0" applyProtection="0">
      <alignment horizontal="left" vertical="top" indent="1"/>
    </xf>
    <xf numFmtId="0" fontId="12" fillId="11" borderId="2818" applyNumberFormat="0" applyProtection="0">
      <alignment horizontal="left" vertical="center" indent="1"/>
    </xf>
    <xf numFmtId="0" fontId="12" fillId="52" borderId="2818" applyNumberFormat="0" applyProtection="0">
      <alignment horizontal="left" vertical="top" indent="1"/>
    </xf>
    <xf numFmtId="0" fontId="12" fillId="52" borderId="2818" applyNumberFormat="0" applyProtection="0">
      <alignment horizontal="left" vertical="center" indent="1"/>
    </xf>
    <xf numFmtId="0" fontId="12" fillId="84" borderId="2818" applyNumberFormat="0" applyProtection="0">
      <alignment horizontal="left" vertical="top" indent="1"/>
    </xf>
    <xf numFmtId="0" fontId="12" fillId="84" borderId="2818" applyNumberFormat="0" applyProtection="0">
      <alignment horizontal="left" vertical="center" indent="1"/>
    </xf>
    <xf numFmtId="0" fontId="12" fillId="75" borderId="2818" applyNumberFormat="0" applyProtection="0">
      <alignment horizontal="left" vertical="top" indent="1"/>
    </xf>
    <xf numFmtId="0" fontId="12" fillId="75" borderId="2818" applyNumberFormat="0" applyProtection="0">
      <alignment horizontal="left" vertical="center" indent="1"/>
    </xf>
    <xf numFmtId="4" fontId="184" fillId="52" borderId="2818" applyNumberFormat="0" applyProtection="0">
      <alignment horizontal="right" vertical="center"/>
    </xf>
    <xf numFmtId="4" fontId="226" fillId="82" borderId="2818" applyNumberFormat="0" applyProtection="0">
      <alignment horizontal="right" vertical="center"/>
    </xf>
    <xf numFmtId="4" fontId="226" fillId="81" borderId="2818" applyNumberFormat="0" applyProtection="0">
      <alignment horizontal="right" vertical="center"/>
    </xf>
    <xf numFmtId="4" fontId="226" fillId="80" borderId="2818" applyNumberFormat="0" applyProtection="0">
      <alignment horizontal="right" vertical="center"/>
    </xf>
    <xf numFmtId="4" fontId="226" fillId="71" borderId="2818" applyNumberFormat="0" applyProtection="0">
      <alignment horizontal="right" vertical="center"/>
    </xf>
    <xf numFmtId="4" fontId="226" fillId="79" borderId="2818" applyNumberFormat="0" applyProtection="0">
      <alignment horizontal="right" vertical="center"/>
    </xf>
    <xf numFmtId="4" fontId="226" fillId="10" borderId="2818" applyNumberFormat="0" applyProtection="0">
      <alignment horizontal="right" vertical="center"/>
    </xf>
    <xf numFmtId="4" fontId="226" fillId="78" borderId="2818" applyNumberFormat="0" applyProtection="0">
      <alignment horizontal="right" vertical="center"/>
    </xf>
    <xf numFmtId="4" fontId="226" fillId="77" borderId="2818" applyNumberFormat="0" applyProtection="0">
      <alignment horizontal="right" vertical="center"/>
    </xf>
    <xf numFmtId="4" fontId="226" fillId="76" borderId="2818" applyNumberFormat="0" applyProtection="0">
      <alignment horizontal="right" vertical="center"/>
    </xf>
    <xf numFmtId="0" fontId="225" fillId="53" borderId="2818" applyNumberFormat="0" applyProtection="0">
      <alignment horizontal="left" vertical="top" indent="1"/>
    </xf>
    <xf numFmtId="4" fontId="184" fillId="53" borderId="2818" applyNumberFormat="0" applyProtection="0">
      <alignment horizontal="left" vertical="center" indent="1"/>
    </xf>
    <xf numFmtId="4" fontId="224" fillId="53" borderId="2818" applyNumberFormat="0" applyProtection="0">
      <alignment vertical="center"/>
    </xf>
    <xf numFmtId="4" fontId="223" fillId="53" borderId="2818" applyNumberFormat="0" applyProtection="0">
      <alignment vertical="center"/>
    </xf>
    <xf numFmtId="0" fontId="210" fillId="0" borderId="2803" applyNumberFormat="0" applyFill="0" applyBorder="0" applyAlignment="0">
      <protection locked="0"/>
    </xf>
    <xf numFmtId="188" fontId="25" fillId="0" borderId="2830" applyFont="0" applyFill="0" applyBorder="0" applyAlignment="0" applyProtection="0">
      <alignment horizontal="center"/>
    </xf>
    <xf numFmtId="0" fontId="184" fillId="0" borderId="2817" applyAlignment="0">
      <alignment horizontal="left" wrapText="1"/>
    </xf>
    <xf numFmtId="264" fontId="12" fillId="14" borderId="2803" applyFont="0" applyFill="0" applyBorder="0" applyAlignment="0" applyProtection="0">
      <alignment horizontal="right"/>
    </xf>
    <xf numFmtId="0" fontId="25" fillId="69" borderId="2816">
      <alignment horizontal="left" vertical="center" wrapText="1"/>
    </xf>
    <xf numFmtId="0" fontId="166" fillId="0" borderId="2803">
      <alignment horizontal="center"/>
    </xf>
    <xf numFmtId="0" fontId="165" fillId="0" borderId="2803" applyFill="0" applyProtection="0">
      <alignment horizontal="center"/>
    </xf>
    <xf numFmtId="0" fontId="159" fillId="67" borderId="2816"/>
    <xf numFmtId="0" fontId="159" fillId="0" borderId="2816"/>
    <xf numFmtId="0" fontId="135" fillId="0" borderId="2816"/>
    <xf numFmtId="0" fontId="135" fillId="0" borderId="2816"/>
    <xf numFmtId="186" fontId="48" fillId="3" borderId="2814">
      <alignment vertical="center"/>
    </xf>
    <xf numFmtId="186" fontId="146" fillId="3" borderId="2803" applyBorder="0">
      <alignment horizontal="left" vertical="center"/>
    </xf>
    <xf numFmtId="180" fontId="9" fillId="3" borderId="2803">
      <alignment horizontal="right" vertical="center"/>
    </xf>
    <xf numFmtId="192" fontId="9" fillId="3" borderId="2803">
      <alignment horizontal="right" vertical="center"/>
    </xf>
    <xf numFmtId="182" fontId="145" fillId="3" borderId="2814">
      <alignment horizontal="right" vertical="center"/>
    </xf>
    <xf numFmtId="0" fontId="48" fillId="0" borderId="2814" applyFont="0" applyFill="0" applyBorder="0" applyAlignment="0" applyProtection="0">
      <alignment horizontal="center"/>
    </xf>
    <xf numFmtId="0" fontId="74" fillId="0" borderId="2814" applyFont="0" applyFill="0" applyBorder="0" applyAlignment="0" applyProtection="0">
      <alignment horizontal="center"/>
    </xf>
    <xf numFmtId="0" fontId="12" fillId="0" borderId="2803" applyNumberFormat="0" applyFill="0" applyBorder="0" applyAlignment="0" applyProtection="0">
      <alignment horizontal="center"/>
    </xf>
    <xf numFmtId="5" fontId="114" fillId="0" borderId="2814" applyAlignment="0" applyProtection="0"/>
    <xf numFmtId="0" fontId="113" fillId="0" borderId="2803" applyNumberFormat="0" applyFill="0" applyAlignment="0" applyProtection="0"/>
    <xf numFmtId="0" fontId="48" fillId="0" borderId="2815" applyNumberFormat="0" applyFill="0" applyAlignment="0" applyProtection="0"/>
    <xf numFmtId="0" fontId="105" fillId="0" borderId="2815" applyNumberFormat="0" applyFill="0" applyBorder="0" applyAlignment="0" applyProtection="0"/>
    <xf numFmtId="0" fontId="46" fillId="0" borderId="2815" applyNumberFormat="0" applyFill="0" applyBorder="0" applyAlignment="0" applyProtection="0"/>
    <xf numFmtId="0" fontId="12" fillId="0" borderId="2815" applyNumberFormat="0" applyFill="0" applyBorder="0" applyAlignment="0" applyProtection="0"/>
    <xf numFmtId="222" fontId="79" fillId="0" borderId="2622" applyBorder="0"/>
    <xf numFmtId="0" fontId="101" fillId="0" borderId="2803" applyBorder="0"/>
    <xf numFmtId="10" fontId="12" fillId="3" borderId="2828" applyNumberFormat="0" applyFont="0" applyFill="0" applyBorder="0" applyAlignment="0">
      <protection locked="0"/>
    </xf>
    <xf numFmtId="248" fontId="46" fillId="0" borderId="2803"/>
    <xf numFmtId="10" fontId="12" fillId="3" borderId="2828" applyNumberFormat="0" applyFont="0" applyFill="0" applyBorder="0" applyAlignment="0">
      <protection locked="0"/>
    </xf>
    <xf numFmtId="246" fontId="250" fillId="0" borderId="2803" applyFill="0" applyProtection="0">
      <alignment horizontal="center"/>
    </xf>
    <xf numFmtId="246" fontId="249" fillId="0" borderId="2803" applyFill="0" applyProtection="0">
      <alignment horizontal="center"/>
    </xf>
    <xf numFmtId="0" fontId="241" fillId="94" borderId="2803" applyBorder="0" applyProtection="0">
      <alignment horizontal="centerContinuous" vertical="center"/>
    </xf>
    <xf numFmtId="254" fontId="240" fillId="0" borderId="2803" applyBorder="0" applyProtection="0">
      <alignment horizontal="right" vertical="center"/>
    </xf>
    <xf numFmtId="0" fontId="210" fillId="0" borderId="2803" applyNumberFormat="0" applyFill="0" applyBorder="0" applyAlignment="0">
      <protection locked="0"/>
    </xf>
    <xf numFmtId="188" fontId="25" fillId="0" borderId="2830" applyFont="0" applyFill="0" applyBorder="0" applyAlignment="0" applyProtection="0">
      <alignment horizontal="center"/>
    </xf>
    <xf numFmtId="264" fontId="12" fillId="14" borderId="2803" applyFont="0" applyFill="0" applyBorder="0" applyAlignment="0" applyProtection="0">
      <alignment horizontal="right"/>
    </xf>
    <xf numFmtId="0" fontId="166" fillId="0" borderId="2803">
      <alignment horizontal="center"/>
    </xf>
    <xf numFmtId="0" fontId="165" fillId="0" borderId="2803" applyFill="0" applyProtection="0">
      <alignment horizontal="center"/>
    </xf>
    <xf numFmtId="186" fontId="146" fillId="3" borderId="2803" applyBorder="0">
      <alignment horizontal="left" vertical="center"/>
    </xf>
    <xf numFmtId="180" fontId="9" fillId="3" borderId="2803">
      <alignment horizontal="right" vertical="center"/>
    </xf>
    <xf numFmtId="192" fontId="9" fillId="3" borderId="2803">
      <alignment horizontal="right" vertical="center"/>
    </xf>
    <xf numFmtId="248" fontId="46" fillId="0" borderId="2803"/>
    <xf numFmtId="0" fontId="12" fillId="0" borderId="2803" applyNumberFormat="0" applyFill="0" applyBorder="0" applyAlignment="0" applyProtection="0">
      <alignment horizontal="center"/>
    </xf>
    <xf numFmtId="0" fontId="113" fillId="0" borderId="2803" applyNumberFormat="0" applyFill="0" applyAlignment="0" applyProtection="0"/>
    <xf numFmtId="222" fontId="79" fillId="0" borderId="2622" applyBorder="0"/>
    <xf numFmtId="0" fontId="101" fillId="0" borderId="2803" applyBorder="0"/>
    <xf numFmtId="10" fontId="12" fillId="3" borderId="2828" applyNumberFormat="0" applyFont="0" applyFill="0" applyBorder="0" applyAlignment="0">
      <protection locked="0"/>
    </xf>
    <xf numFmtId="222" fontId="79" fillId="0" borderId="2884" applyBorder="0"/>
    <xf numFmtId="0" fontId="101" fillId="0" borderId="2885" applyBorder="0"/>
    <xf numFmtId="222" fontId="79" fillId="0" borderId="2884" applyBorder="0"/>
    <xf numFmtId="0" fontId="113" fillId="0" borderId="2885" applyNumberFormat="0" applyFill="0" applyAlignment="0" applyProtection="0"/>
    <xf numFmtId="0" fontId="12" fillId="0" borderId="2885" applyNumberFormat="0" applyFill="0" applyBorder="0" applyAlignment="0" applyProtection="0">
      <alignment horizontal="center"/>
    </xf>
    <xf numFmtId="248" fontId="46" fillId="0" borderId="2885"/>
    <xf numFmtId="192" fontId="9" fillId="3" borderId="2885">
      <alignment horizontal="right" vertical="center"/>
    </xf>
    <xf numFmtId="180" fontId="9" fillId="3" borderId="2885">
      <alignment horizontal="right" vertical="center"/>
    </xf>
    <xf numFmtId="186" fontId="146" fillId="3" borderId="2885" applyBorder="0">
      <alignment horizontal="left" vertical="center"/>
    </xf>
    <xf numFmtId="0" fontId="165" fillId="0" borderId="2885" applyFill="0" applyProtection="0">
      <alignment horizontal="center"/>
    </xf>
    <xf numFmtId="0" fontId="166" fillId="0" borderId="2885">
      <alignment horizontal="center"/>
    </xf>
    <xf numFmtId="264" fontId="12" fillId="14" borderId="2885" applyFont="0" applyFill="0" applyBorder="0" applyAlignment="0" applyProtection="0">
      <alignment horizontal="right"/>
    </xf>
    <xf numFmtId="0" fontId="210" fillId="0" borderId="2885" applyNumberFormat="0" applyFill="0" applyBorder="0" applyAlignment="0">
      <protection locked="0"/>
    </xf>
    <xf numFmtId="254" fontId="240" fillId="0" borderId="2885" applyBorder="0" applyProtection="0">
      <alignment horizontal="right" vertical="center"/>
    </xf>
    <xf numFmtId="0" fontId="241" fillId="94" borderId="2885" applyBorder="0" applyProtection="0">
      <alignment horizontal="centerContinuous" vertical="center"/>
    </xf>
    <xf numFmtId="246" fontId="249" fillId="0" borderId="2885" applyFill="0" applyProtection="0">
      <alignment horizontal="center"/>
    </xf>
    <xf numFmtId="246" fontId="250" fillId="0" borderId="2885" applyFill="0" applyProtection="0">
      <alignment horizontal="center"/>
    </xf>
    <xf numFmtId="0" fontId="78" fillId="14" borderId="2887" applyFont="0" applyFill="0" applyBorder="0" applyAlignment="0" applyProtection="0"/>
    <xf numFmtId="0" fontId="25" fillId="10" borderId="2895" applyNumberFormat="0" applyProtection="0">
      <alignment horizontal="left" vertical="top"/>
    </xf>
    <xf numFmtId="0" fontId="25" fillId="10" borderId="2894" applyNumberFormat="0" applyProtection="0">
      <alignment horizontal="left" vertical="top"/>
    </xf>
    <xf numFmtId="0" fontId="25" fillId="10" borderId="2893" applyNumberFormat="0" applyProtection="0">
      <alignment horizontal="left" vertical="top"/>
    </xf>
    <xf numFmtId="0" fontId="25" fillId="10" borderId="2892" applyNumberFormat="0" applyProtection="0">
      <alignment horizontal="left" vertical="top"/>
    </xf>
    <xf numFmtId="0" fontId="214" fillId="0" borderId="2891" applyNumberFormat="0" applyFont="0" applyFill="0" applyAlignment="0" applyProtection="0"/>
    <xf numFmtId="0" fontId="2" fillId="0" borderId="2890" applyNumberFormat="0" applyAlignment="0" applyProtection="0"/>
    <xf numFmtId="186" fontId="140" fillId="3" borderId="2889">
      <alignment horizontal="center" vertical="center"/>
    </xf>
    <xf numFmtId="186" fontId="146" fillId="3" borderId="2888">
      <alignment horizontal="left"/>
    </xf>
    <xf numFmtId="0" fontId="75" fillId="0" borderId="2886" applyNumberFormat="0" applyFont="0" applyFill="0" applyAlignment="0" applyProtection="0"/>
    <xf numFmtId="222" fontId="79" fillId="0" borderId="2896" applyBorder="0"/>
    <xf numFmtId="0" fontId="101" fillId="0" borderId="2897" applyBorder="0"/>
    <xf numFmtId="222" fontId="79" fillId="0" borderId="2896" applyBorder="0"/>
    <xf numFmtId="0" fontId="113" fillId="0" borderId="2897" applyNumberFormat="0" applyFill="0" applyAlignment="0" applyProtection="0"/>
    <xf numFmtId="0" fontId="12" fillId="0" borderId="2897" applyNumberFormat="0" applyFill="0" applyBorder="0" applyAlignment="0" applyProtection="0">
      <alignment horizontal="center"/>
    </xf>
    <xf numFmtId="248" fontId="46" fillId="0" borderId="2897"/>
    <xf numFmtId="192" fontId="9" fillId="3" borderId="2897">
      <alignment horizontal="right" vertical="center"/>
    </xf>
    <xf numFmtId="180" fontId="9" fillId="3" borderId="2897">
      <alignment horizontal="right" vertical="center"/>
    </xf>
    <xf numFmtId="186" fontId="146" fillId="3" borderId="2897" applyBorder="0">
      <alignment horizontal="left" vertical="center"/>
    </xf>
    <xf numFmtId="0" fontId="165" fillId="0" borderId="2897" applyFill="0" applyProtection="0">
      <alignment horizontal="center"/>
    </xf>
    <xf numFmtId="0" fontId="166" fillId="0" borderId="2897">
      <alignment horizontal="center"/>
    </xf>
    <xf numFmtId="264" fontId="12" fillId="14" borderId="2897" applyFont="0" applyFill="0" applyBorder="0" applyAlignment="0" applyProtection="0">
      <alignment horizontal="right"/>
    </xf>
    <xf numFmtId="0" fontId="210" fillId="0" borderId="2897" applyNumberFormat="0" applyFill="0" applyBorder="0" applyAlignment="0">
      <protection locked="0"/>
    </xf>
    <xf numFmtId="254" fontId="240" fillId="0" borderId="2897" applyBorder="0" applyProtection="0">
      <alignment horizontal="right" vertical="center"/>
    </xf>
    <xf numFmtId="0" fontId="241" fillId="94" borderId="2897" applyBorder="0" applyProtection="0">
      <alignment horizontal="centerContinuous" vertical="center"/>
    </xf>
    <xf numFmtId="246" fontId="249" fillId="0" borderId="2897" applyFill="0" applyProtection="0">
      <alignment horizontal="center"/>
    </xf>
    <xf numFmtId="246" fontId="250" fillId="0" borderId="2897" applyFill="0" applyProtection="0">
      <alignment horizontal="center"/>
    </xf>
    <xf numFmtId="186" fontId="146" fillId="3" borderId="2900">
      <alignment horizontal="left"/>
    </xf>
    <xf numFmtId="0" fontId="75" fillId="0" borderId="2898" applyNumberFormat="0" applyFont="0" applyFill="0" applyAlignment="0" applyProtection="0"/>
    <xf numFmtId="0" fontId="113" fillId="0" borderId="2981" applyNumberFormat="0" applyFill="0" applyAlignment="0" applyProtection="0"/>
    <xf numFmtId="264" fontId="12" fillId="14" borderId="2981" applyFont="0" applyFill="0" applyBorder="0" applyAlignment="0" applyProtection="0">
      <alignment horizontal="right"/>
    </xf>
    <xf numFmtId="246" fontId="249" fillId="0" borderId="2981" applyFill="0" applyProtection="0">
      <alignment horizontal="center"/>
    </xf>
    <xf numFmtId="0" fontId="25" fillId="10" borderId="2907" applyNumberFormat="0" applyProtection="0">
      <alignment horizontal="left" vertical="top"/>
    </xf>
    <xf numFmtId="0" fontId="25" fillId="10" borderId="2905" applyNumberFormat="0" applyProtection="0">
      <alignment horizontal="left" vertical="top"/>
    </xf>
    <xf numFmtId="0" fontId="25" fillId="10" borderId="2906" applyNumberFormat="0" applyProtection="0">
      <alignment horizontal="left" vertical="top"/>
    </xf>
    <xf numFmtId="0" fontId="25" fillId="10" borderId="2904" applyNumberFormat="0" applyProtection="0">
      <alignment horizontal="left" vertical="top"/>
    </xf>
    <xf numFmtId="0" fontId="25" fillId="10" borderId="2907" applyNumberFormat="0" applyProtection="0">
      <alignment horizontal="left" vertical="top"/>
    </xf>
    <xf numFmtId="0" fontId="25" fillId="10" borderId="2906" applyNumberFormat="0" applyProtection="0">
      <alignment horizontal="left" vertical="top"/>
    </xf>
    <xf numFmtId="0" fontId="25" fillId="10" borderId="2905" applyNumberFormat="0" applyProtection="0">
      <alignment horizontal="left" vertical="top"/>
    </xf>
    <xf numFmtId="0" fontId="25" fillId="10" borderId="2904" applyNumberFormat="0" applyProtection="0">
      <alignment horizontal="left" vertical="top"/>
    </xf>
    <xf numFmtId="0" fontId="214" fillId="0" borderId="2903" applyNumberFormat="0" applyFont="0" applyFill="0" applyAlignment="0" applyProtection="0"/>
    <xf numFmtId="0" fontId="2" fillId="0" borderId="2902" applyNumberFormat="0" applyAlignment="0" applyProtection="0"/>
    <xf numFmtId="186" fontId="140" fillId="3" borderId="2901">
      <alignment horizontal="center" vertical="center"/>
    </xf>
    <xf numFmtId="186" fontId="140" fillId="3" borderId="2913">
      <alignment horizontal="center" vertical="center"/>
    </xf>
    <xf numFmtId="0" fontId="25" fillId="10" borderId="2916" applyNumberFormat="0" applyProtection="0">
      <alignment horizontal="left" vertical="top"/>
    </xf>
    <xf numFmtId="0" fontId="12" fillId="0" borderId="2981" applyNumberFormat="0" applyFill="0" applyBorder="0" applyAlignment="0" applyProtection="0">
      <alignment horizontal="center"/>
    </xf>
    <xf numFmtId="0" fontId="25" fillId="10" borderId="2978" applyNumberFormat="0" applyProtection="0">
      <alignment horizontal="left" vertical="top"/>
    </xf>
    <xf numFmtId="222" fontId="79" fillId="0" borderId="2968" applyBorder="0"/>
    <xf numFmtId="0" fontId="78" fillId="14" borderId="2971" applyFont="0" applyFill="0" applyBorder="0" applyAlignment="0" applyProtection="0"/>
    <xf numFmtId="222" fontId="79" fillId="0" borderId="2980" applyBorder="0"/>
    <xf numFmtId="0" fontId="101" fillId="0" borderId="2981" applyBorder="0"/>
    <xf numFmtId="222" fontId="79" fillId="0" borderId="2980" applyBorder="0"/>
    <xf numFmtId="248" fontId="46" fillId="0" borderId="2981"/>
    <xf numFmtId="192" fontId="9" fillId="3" borderId="2981">
      <alignment horizontal="right" vertical="center"/>
    </xf>
    <xf numFmtId="180" fontId="9" fillId="3" borderId="2981">
      <alignment horizontal="right" vertical="center"/>
    </xf>
    <xf numFmtId="186" fontId="146" fillId="3" borderId="2981" applyBorder="0">
      <alignment horizontal="left" vertical="center"/>
    </xf>
    <xf numFmtId="0" fontId="165" fillId="0" borderId="2981" applyFill="0" applyProtection="0">
      <alignment horizontal="center"/>
    </xf>
    <xf numFmtId="0" fontId="210" fillId="0" borderId="2981" applyNumberFormat="0" applyFill="0" applyBorder="0" applyAlignment="0">
      <protection locked="0"/>
    </xf>
    <xf numFmtId="254" fontId="240" fillId="0" borderId="2981" applyBorder="0" applyProtection="0">
      <alignment horizontal="right" vertical="center"/>
    </xf>
    <xf numFmtId="246" fontId="250" fillId="0" borderId="2981" applyFill="0" applyProtection="0">
      <alignment horizontal="center"/>
    </xf>
    <xf numFmtId="222" fontId="79" fillId="0" borderId="2920" applyBorder="0"/>
    <xf numFmtId="0" fontId="25" fillId="10" borderId="2917" applyNumberFormat="0" applyProtection="0">
      <alignment horizontal="left" vertical="top"/>
    </xf>
    <xf numFmtId="0" fontId="25" fillId="10" borderId="2919" applyNumberFormat="0" applyProtection="0">
      <alignment horizontal="left" vertical="top"/>
    </xf>
    <xf numFmtId="0" fontId="25" fillId="10" borderId="2916" applyNumberFormat="0" applyProtection="0">
      <alignment horizontal="left" vertical="top"/>
    </xf>
    <xf numFmtId="0" fontId="25" fillId="10" borderId="2917" applyNumberFormat="0" applyProtection="0">
      <alignment horizontal="left" vertical="top"/>
    </xf>
    <xf numFmtId="0" fontId="25" fillId="10" borderId="2918" applyNumberFormat="0" applyProtection="0">
      <alignment horizontal="left" vertical="top"/>
    </xf>
    <xf numFmtId="0" fontId="75" fillId="0" borderId="2922" applyNumberFormat="0" applyFont="0" applyFill="0" applyAlignment="0" applyProtection="0"/>
    <xf numFmtId="0" fontId="101" fillId="0" borderId="2933" applyBorder="0"/>
    <xf numFmtId="222" fontId="79" fillId="0" borderId="2932" applyBorder="0"/>
    <xf numFmtId="0" fontId="113" fillId="0" borderId="2933" applyNumberFormat="0" applyFill="0" applyAlignment="0" applyProtection="0"/>
    <xf numFmtId="0" fontId="12" fillId="0" borderId="2933" applyNumberFormat="0" applyFill="0" applyBorder="0" applyAlignment="0" applyProtection="0">
      <alignment horizontal="center"/>
    </xf>
    <xf numFmtId="248" fontId="46" fillId="0" borderId="2933"/>
    <xf numFmtId="192" fontId="9" fillId="3" borderId="2933">
      <alignment horizontal="right" vertical="center"/>
    </xf>
    <xf numFmtId="180" fontId="9" fillId="3" borderId="2933">
      <alignment horizontal="right" vertical="center"/>
    </xf>
    <xf numFmtId="186" fontId="146" fillId="3" borderId="2933" applyBorder="0">
      <alignment horizontal="left" vertical="center"/>
    </xf>
    <xf numFmtId="0" fontId="166" fillId="0" borderId="2933">
      <alignment horizontal="center"/>
    </xf>
    <xf numFmtId="0" fontId="210" fillId="0" borderId="2933" applyNumberFormat="0" applyFill="0" applyBorder="0" applyAlignment="0">
      <protection locked="0"/>
    </xf>
    <xf numFmtId="264" fontId="12" fillId="14" borderId="2933" applyFont="0" applyFill="0" applyBorder="0" applyAlignment="0" applyProtection="0">
      <alignment horizontal="right"/>
    </xf>
    <xf numFmtId="246" fontId="249" fillId="0" borderId="2933" applyFill="0" applyProtection="0">
      <alignment horizontal="center"/>
    </xf>
    <xf numFmtId="246" fontId="250" fillId="0" borderId="2933" applyFill="0" applyProtection="0">
      <alignment horizontal="center"/>
    </xf>
    <xf numFmtId="246" fontId="250" fillId="0" borderId="2957" applyFill="0" applyProtection="0">
      <alignment horizontal="center"/>
    </xf>
    <xf numFmtId="246" fontId="249" fillId="0" borderId="2957" applyFill="0" applyProtection="0">
      <alignment horizontal="center"/>
    </xf>
    <xf numFmtId="254" fontId="240" fillId="0" borderId="2957" applyBorder="0" applyProtection="0">
      <alignment horizontal="right" vertical="center"/>
    </xf>
    <xf numFmtId="264" fontId="12" fillId="14" borderId="2957" applyFont="0" applyFill="0" applyBorder="0" applyAlignment="0" applyProtection="0">
      <alignment horizontal="right"/>
    </xf>
    <xf numFmtId="0" fontId="165" fillId="0" borderId="2957" applyFill="0" applyProtection="0">
      <alignment horizontal="center"/>
    </xf>
    <xf numFmtId="180" fontId="9" fillId="3" borderId="2957">
      <alignment horizontal="right" vertical="center"/>
    </xf>
    <xf numFmtId="0" fontId="12" fillId="0" borderId="2957" applyNumberFormat="0" applyFill="0" applyBorder="0" applyAlignment="0" applyProtection="0">
      <alignment horizontal="center"/>
    </xf>
    <xf numFmtId="0" fontId="101" fillId="0" borderId="2957" applyBorder="0"/>
    <xf numFmtId="222" fontId="79" fillId="0" borderId="2956" applyBorder="0"/>
    <xf numFmtId="0" fontId="75" fillId="0" borderId="2946" applyNumberFormat="0" applyFont="0" applyFill="0" applyAlignment="0" applyProtection="0"/>
    <xf numFmtId="0" fontId="2" fillId="0" borderId="2950" applyNumberFormat="0" applyAlignment="0" applyProtection="0"/>
    <xf numFmtId="0" fontId="25" fillId="10" borderId="2952" applyNumberFormat="0" applyProtection="0">
      <alignment horizontal="left" vertical="top"/>
    </xf>
    <xf numFmtId="0" fontId="25" fillId="10" borderId="2955" applyNumberFormat="0" applyProtection="0">
      <alignment horizontal="left" vertical="top"/>
    </xf>
    <xf numFmtId="222" fontId="79" fillId="0" borderId="2944" applyBorder="0"/>
    <xf numFmtId="0" fontId="25" fillId="10" borderId="2930" applyNumberFormat="0" applyProtection="0">
      <alignment horizontal="left" vertical="top"/>
    </xf>
    <xf numFmtId="0" fontId="25" fillId="10" borderId="2928" applyNumberFormat="0" applyProtection="0">
      <alignment horizontal="left" vertical="top"/>
    </xf>
    <xf numFmtId="0" fontId="214" fillId="0" borderId="2927" applyNumberFormat="0" applyFont="0" applyFill="0" applyAlignment="0" applyProtection="0"/>
    <xf numFmtId="186" fontId="146" fillId="3" borderId="2924">
      <alignment horizontal="left"/>
    </xf>
    <xf numFmtId="222" fontId="79" fillId="0" borderId="2932" applyBorder="0"/>
    <xf numFmtId="0" fontId="101" fillId="0" borderId="2803" applyBorder="0"/>
    <xf numFmtId="0" fontId="113" fillId="0" borderId="2803" applyNumberFormat="0" applyFill="0" applyAlignment="0" applyProtection="0"/>
    <xf numFmtId="0" fontId="12" fillId="0" borderId="2803" applyNumberFormat="0" applyFill="0" applyBorder="0" applyAlignment="0" applyProtection="0">
      <alignment horizontal="center"/>
    </xf>
    <xf numFmtId="248" fontId="46" fillId="0" borderId="2803"/>
    <xf numFmtId="192" fontId="9" fillId="3" borderId="2803">
      <alignment horizontal="right" vertical="center"/>
    </xf>
    <xf numFmtId="180" fontId="9" fillId="3" borderId="2803">
      <alignment horizontal="right" vertical="center"/>
    </xf>
    <xf numFmtId="186" fontId="146" fillId="3" borderId="2803" applyBorder="0">
      <alignment horizontal="left" vertical="center"/>
    </xf>
    <xf numFmtId="0" fontId="165" fillId="0" borderId="2803" applyFill="0" applyProtection="0">
      <alignment horizontal="center"/>
    </xf>
    <xf numFmtId="0" fontId="166" fillId="0" borderId="2803">
      <alignment horizontal="center"/>
    </xf>
    <xf numFmtId="264" fontId="12" fillId="14" borderId="2803" applyFont="0" applyFill="0" applyBorder="0" applyAlignment="0" applyProtection="0">
      <alignment horizontal="right"/>
    </xf>
    <xf numFmtId="0" fontId="210" fillId="0" borderId="2803" applyNumberFormat="0" applyFill="0" applyBorder="0" applyAlignment="0">
      <protection locked="0"/>
    </xf>
    <xf numFmtId="248" fontId="46" fillId="0" borderId="2957"/>
    <xf numFmtId="222" fontId="79" fillId="0" borderId="2956" applyBorder="0"/>
    <xf numFmtId="186" fontId="140" fillId="3" borderId="2949">
      <alignment horizontal="center" vertical="center"/>
    </xf>
    <xf numFmtId="0" fontId="25" fillId="10" borderId="2954" applyNumberFormat="0" applyProtection="0">
      <alignment horizontal="left" vertical="top"/>
    </xf>
    <xf numFmtId="0" fontId="210" fillId="0" borderId="2957" applyNumberFormat="0" applyFill="0" applyBorder="0" applyAlignment="0">
      <protection locked="0"/>
    </xf>
    <xf numFmtId="192" fontId="9" fillId="3" borderId="2957">
      <alignment horizontal="right" vertical="center"/>
    </xf>
    <xf numFmtId="0" fontId="113" fillId="0" borderId="2957" applyNumberFormat="0" applyFill="0" applyAlignment="0" applyProtection="0"/>
    <xf numFmtId="186" fontId="146" fillId="3" borderId="2948">
      <alignment horizontal="left"/>
    </xf>
    <xf numFmtId="0" fontId="25" fillId="10" borderId="2953" applyNumberFormat="0" applyProtection="0">
      <alignment horizontal="left" vertical="top"/>
    </xf>
    <xf numFmtId="254" fontId="240" fillId="0" borderId="2803" applyBorder="0" applyProtection="0">
      <alignment horizontal="right" vertical="center"/>
    </xf>
    <xf numFmtId="0" fontId="241" fillId="94" borderId="2803" applyBorder="0" applyProtection="0">
      <alignment horizontal="centerContinuous" vertical="center"/>
    </xf>
    <xf numFmtId="246" fontId="249" fillId="0" borderId="2803" applyFill="0" applyProtection="0">
      <alignment horizontal="center"/>
    </xf>
    <xf numFmtId="246" fontId="250" fillId="0" borderId="2803" applyFill="0" applyProtection="0">
      <alignment horizontal="center"/>
    </xf>
    <xf numFmtId="0" fontId="25" fillId="10" borderId="2977" applyNumberFormat="0" applyProtection="0">
      <alignment horizontal="left" vertical="top"/>
    </xf>
    <xf numFmtId="0" fontId="25" fillId="10" borderId="2979" applyNumberFormat="0" applyProtection="0">
      <alignment horizontal="left" vertical="top"/>
    </xf>
    <xf numFmtId="222" fontId="79" fillId="0" borderId="2908" applyBorder="0"/>
    <xf numFmtId="0" fontId="214" fillId="0" borderId="2975" applyNumberFormat="0" applyFont="0" applyFill="0" applyAlignment="0" applyProtection="0"/>
    <xf numFmtId="0" fontId="75" fillId="0" borderId="2910" applyNumberFormat="0" applyFont="0" applyFill="0" applyAlignment="0" applyProtection="0"/>
    <xf numFmtId="0" fontId="25" fillId="10" borderId="2918" applyNumberFormat="0" applyProtection="0">
      <alignment horizontal="left" vertical="top"/>
    </xf>
    <xf numFmtId="0" fontId="25" fillId="10" borderId="2919" applyNumberFormat="0" applyProtection="0">
      <alignment horizontal="left" vertical="top"/>
    </xf>
    <xf numFmtId="0" fontId="165" fillId="0" borderId="2933" applyFill="0" applyProtection="0">
      <alignment horizontal="center"/>
    </xf>
    <xf numFmtId="254" fontId="240" fillId="0" borderId="2933" applyBorder="0" applyProtection="0">
      <alignment horizontal="right" vertical="center"/>
    </xf>
    <xf numFmtId="0" fontId="241" fillId="94" borderId="2933" applyBorder="0" applyProtection="0">
      <alignment horizontal="centerContinuous" vertical="center"/>
    </xf>
    <xf numFmtId="0" fontId="241" fillId="94" borderId="2957" applyBorder="0" applyProtection="0">
      <alignment horizontal="centerContinuous" vertical="center"/>
    </xf>
    <xf numFmtId="0" fontId="166" fillId="0" borderId="2957">
      <alignment horizontal="center"/>
    </xf>
    <xf numFmtId="186" fontId="146" fillId="3" borderId="2957" applyBorder="0">
      <alignment horizontal="left" vertical="center"/>
    </xf>
    <xf numFmtId="0" fontId="214" fillId="0" borderId="2951" applyNumberFormat="0" applyFont="0" applyFill="0" applyAlignment="0" applyProtection="0"/>
    <xf numFmtId="0" fontId="78" fillId="14" borderId="2947" applyFont="0" applyFill="0" applyBorder="0" applyAlignment="0" applyProtection="0"/>
    <xf numFmtId="0" fontId="78" fillId="14" borderId="2874" applyFont="0" applyFill="0" applyBorder="0" applyAlignment="0" applyProtection="0"/>
    <xf numFmtId="0" fontId="25" fillId="10" borderId="2461" applyNumberFormat="0" applyProtection="0">
      <alignment horizontal="left" vertical="top"/>
    </xf>
    <xf numFmtId="0" fontId="25" fillId="10" borderId="2460" applyNumberFormat="0" applyProtection="0">
      <alignment horizontal="left" vertical="top"/>
    </xf>
    <xf numFmtId="0" fontId="25" fillId="10" borderId="2459" applyNumberFormat="0" applyProtection="0">
      <alignment horizontal="left" vertical="top"/>
    </xf>
    <xf numFmtId="0" fontId="25" fillId="10" borderId="2458" applyNumberFormat="0" applyProtection="0">
      <alignment horizontal="left" vertical="top"/>
    </xf>
    <xf numFmtId="186" fontId="140" fillId="3" borderId="2973">
      <alignment horizontal="center" vertical="center"/>
    </xf>
    <xf numFmtId="0" fontId="214" fillId="0" borderId="2457" applyNumberFormat="0" applyFont="0" applyFill="0" applyAlignment="0" applyProtection="0"/>
    <xf numFmtId="0" fontId="2" fillId="0" borderId="2456" applyNumberFormat="0" applyAlignment="0" applyProtection="0"/>
    <xf numFmtId="186" fontId="140" fillId="3" borderId="2455">
      <alignment horizontal="center" vertical="center"/>
    </xf>
    <xf numFmtId="186" fontId="146" fillId="3" borderId="2454">
      <alignment horizontal="left"/>
    </xf>
    <xf numFmtId="186" fontId="146" fillId="3" borderId="2972">
      <alignment horizontal="left"/>
    </xf>
    <xf numFmtId="0" fontId="75" fillId="0" borderId="2452" applyNumberFormat="0" applyFont="0" applyFill="0" applyAlignment="0" applyProtection="0"/>
    <xf numFmtId="0" fontId="75" fillId="0" borderId="2970" applyNumberFormat="0" applyFont="0" applyFill="0" applyAlignment="0" applyProtection="0"/>
    <xf numFmtId="222" fontId="79" fillId="0" borderId="2884" applyBorder="0"/>
    <xf numFmtId="222" fontId="79" fillId="0" borderId="2884" applyBorder="0"/>
    <xf numFmtId="0" fontId="25" fillId="10" borderId="2976" applyNumberFormat="0" applyProtection="0">
      <alignment horizontal="left" vertical="top"/>
    </xf>
    <xf numFmtId="0" fontId="2" fillId="0" borderId="2974" applyNumberFormat="0" applyAlignment="0" applyProtection="0"/>
    <xf numFmtId="246" fontId="250" fillId="0" borderId="2909" applyFill="0" applyProtection="0">
      <alignment horizontal="center"/>
    </xf>
    <xf numFmtId="246" fontId="249" fillId="0" borderId="2909" applyFill="0" applyProtection="0">
      <alignment horizontal="center"/>
    </xf>
    <xf numFmtId="0" fontId="241" fillId="94" borderId="2909" applyBorder="0" applyProtection="0">
      <alignment horizontal="centerContinuous" vertical="center"/>
    </xf>
    <xf numFmtId="254" fontId="240" fillId="0" borderId="2909" applyBorder="0" applyProtection="0">
      <alignment horizontal="right" vertical="center"/>
    </xf>
    <xf numFmtId="0" fontId="210" fillId="0" borderId="2909" applyNumberFormat="0" applyFill="0" applyBorder="0" applyAlignment="0">
      <protection locked="0"/>
    </xf>
    <xf numFmtId="264" fontId="12" fillId="14" borderId="2909" applyFont="0" applyFill="0" applyBorder="0" applyAlignment="0" applyProtection="0">
      <alignment horizontal="right"/>
    </xf>
    <xf numFmtId="0" fontId="166" fillId="0" borderId="2909">
      <alignment horizontal="center"/>
    </xf>
    <xf numFmtId="0" fontId="165" fillId="0" borderId="2909" applyFill="0" applyProtection="0">
      <alignment horizontal="center"/>
    </xf>
    <xf numFmtId="186" fontId="146" fillId="3" borderId="2909" applyBorder="0">
      <alignment horizontal="left" vertical="center"/>
    </xf>
    <xf numFmtId="180" fontId="9" fillId="3" borderId="2909">
      <alignment horizontal="right" vertical="center"/>
    </xf>
    <xf numFmtId="192" fontId="9" fillId="3" borderId="2909">
      <alignment horizontal="right" vertical="center"/>
    </xf>
    <xf numFmtId="248" fontId="46" fillId="0" borderId="2909"/>
    <xf numFmtId="0" fontId="12" fillId="0" borderId="2909" applyNumberFormat="0" applyFill="0" applyBorder="0" applyAlignment="0" applyProtection="0">
      <alignment horizontal="center"/>
    </xf>
    <xf numFmtId="0" fontId="113" fillId="0" borderId="2909" applyNumberFormat="0" applyFill="0" applyAlignment="0" applyProtection="0"/>
    <xf numFmtId="222" fontId="79" fillId="0" borderId="2908" applyBorder="0"/>
    <xf numFmtId="0" fontId="101" fillId="0" borderId="2909" applyBorder="0"/>
    <xf numFmtId="222" fontId="79" fillId="0" borderId="2908" applyBorder="0"/>
    <xf numFmtId="0" fontId="75" fillId="0" borderId="2898" applyNumberFormat="0" applyFont="0" applyFill="0" applyAlignment="0" applyProtection="0"/>
    <xf numFmtId="186" fontId="146" fillId="3" borderId="2900">
      <alignment horizontal="left"/>
    </xf>
    <xf numFmtId="186" fontId="140" fillId="3" borderId="2901">
      <alignment horizontal="center" vertical="center"/>
    </xf>
    <xf numFmtId="0" fontId="2" fillId="0" borderId="2902" applyNumberFormat="0" applyAlignment="0" applyProtection="0"/>
    <xf numFmtId="0" fontId="214" fillId="0" borderId="2903" applyNumberFormat="0" applyFont="0" applyFill="0" applyAlignment="0" applyProtection="0"/>
    <xf numFmtId="0" fontId="25" fillId="10" borderId="2904" applyNumberFormat="0" applyProtection="0">
      <alignment horizontal="left" vertical="top"/>
    </xf>
    <xf numFmtId="0" fontId="25" fillId="10" borderId="2905" applyNumberFormat="0" applyProtection="0">
      <alignment horizontal="left" vertical="top"/>
    </xf>
    <xf numFmtId="0" fontId="25" fillId="10" borderId="2906" applyNumberFormat="0" applyProtection="0">
      <alignment horizontal="left" vertical="top"/>
    </xf>
    <xf numFmtId="0" fontId="25" fillId="10" borderId="2907" applyNumberFormat="0" applyProtection="0">
      <alignment horizontal="left" vertical="top"/>
    </xf>
    <xf numFmtId="0" fontId="78" fillId="14" borderId="2899" applyFont="0" applyFill="0" applyBorder="0" applyAlignment="0" applyProtection="0"/>
    <xf numFmtId="222" fontId="79" fillId="0" borderId="2896" applyBorder="0"/>
    <xf numFmtId="0" fontId="78" fillId="14" borderId="2874" applyFont="0" applyFill="0" applyBorder="0" applyAlignment="0" applyProtection="0"/>
    <xf numFmtId="222" fontId="79" fillId="0" borderId="2884" applyBorder="0"/>
    <xf numFmtId="0" fontId="78" fillId="14" borderId="2887" applyFont="0" applyFill="0" applyBorder="0" applyAlignment="0" applyProtection="0"/>
    <xf numFmtId="0" fontId="25" fillId="10" borderId="2895" applyNumberFormat="0" applyProtection="0">
      <alignment horizontal="left" vertical="top"/>
    </xf>
    <xf numFmtId="0" fontId="25" fillId="10" borderId="2894" applyNumberFormat="0" applyProtection="0">
      <alignment horizontal="left" vertical="top"/>
    </xf>
    <xf numFmtId="0" fontId="25" fillId="10" borderId="2893" applyNumberFormat="0" applyProtection="0">
      <alignment horizontal="left" vertical="top"/>
    </xf>
    <xf numFmtId="0" fontId="25" fillId="10" borderId="2892" applyNumberFormat="0" applyProtection="0">
      <alignment horizontal="left" vertical="top"/>
    </xf>
    <xf numFmtId="0" fontId="214" fillId="0" borderId="2891" applyNumberFormat="0" applyFont="0" applyFill="0" applyAlignment="0" applyProtection="0"/>
    <xf numFmtId="0" fontId="2" fillId="0" borderId="2456" applyNumberFormat="0" applyAlignment="0" applyProtection="0"/>
    <xf numFmtId="186" fontId="140" fillId="3" borderId="2889">
      <alignment horizontal="center" vertical="center"/>
    </xf>
    <xf numFmtId="186" fontId="146" fillId="3" borderId="2888">
      <alignment horizontal="left"/>
    </xf>
    <xf numFmtId="0" fontId="75" fillId="0" borderId="2886" applyNumberFormat="0" applyFont="0" applyFill="0" applyAlignment="0" applyProtection="0"/>
    <xf numFmtId="222" fontId="79" fillId="0" borderId="2896" applyBorder="0"/>
    <xf numFmtId="0" fontId="101" fillId="0" borderId="2897" applyBorder="0"/>
    <xf numFmtId="222" fontId="79" fillId="0" borderId="2896" applyBorder="0"/>
    <xf numFmtId="0" fontId="113" fillId="0" borderId="2897" applyNumberFormat="0" applyFill="0" applyAlignment="0" applyProtection="0"/>
    <xf numFmtId="0" fontId="12" fillId="0" borderId="2897" applyNumberFormat="0" applyFill="0" applyBorder="0" applyAlignment="0" applyProtection="0">
      <alignment horizontal="center"/>
    </xf>
    <xf numFmtId="248" fontId="46" fillId="0" borderId="2897"/>
    <xf numFmtId="192" fontId="9" fillId="3" borderId="2897">
      <alignment horizontal="right" vertical="center"/>
    </xf>
    <xf numFmtId="180" fontId="9" fillId="3" borderId="2897">
      <alignment horizontal="right" vertical="center"/>
    </xf>
    <xf numFmtId="186" fontId="146" fillId="3" borderId="2897" applyBorder="0">
      <alignment horizontal="left" vertical="center"/>
    </xf>
    <xf numFmtId="0" fontId="165" fillId="0" borderId="2897" applyFill="0" applyProtection="0">
      <alignment horizontal="center"/>
    </xf>
    <xf numFmtId="0" fontId="166" fillId="0" borderId="2897">
      <alignment horizontal="center"/>
    </xf>
    <xf numFmtId="264" fontId="12" fillId="14" borderId="2897" applyFont="0" applyFill="0" applyBorder="0" applyAlignment="0" applyProtection="0">
      <alignment horizontal="right"/>
    </xf>
    <xf numFmtId="0" fontId="210" fillId="0" borderId="2897" applyNumberFormat="0" applyFill="0" applyBorder="0" applyAlignment="0">
      <protection locked="0"/>
    </xf>
    <xf numFmtId="254" fontId="240" fillId="0" borderId="2897" applyBorder="0" applyProtection="0">
      <alignment horizontal="right" vertical="center"/>
    </xf>
    <xf numFmtId="0" fontId="241" fillId="94" borderId="2897" applyBorder="0" applyProtection="0">
      <alignment horizontal="centerContinuous" vertical="center"/>
    </xf>
    <xf numFmtId="246" fontId="249" fillId="0" borderId="2897" applyFill="0" applyProtection="0">
      <alignment horizontal="center"/>
    </xf>
    <xf numFmtId="246" fontId="250" fillId="0" borderId="2897" applyFill="0" applyProtection="0">
      <alignment horizontal="center"/>
    </xf>
    <xf numFmtId="0" fontId="241" fillId="94" borderId="2981" applyBorder="0" applyProtection="0">
      <alignment horizontal="centerContinuous" vertical="center"/>
    </xf>
    <xf numFmtId="0" fontId="166" fillId="0" borderId="2981">
      <alignment horizontal="center"/>
    </xf>
    <xf numFmtId="0" fontId="2" fillId="0" borderId="2914" applyNumberFormat="0" applyAlignment="0" applyProtection="0"/>
    <xf numFmtId="0" fontId="214" fillId="0" borderId="2915" applyNumberFormat="0" applyFont="0" applyFill="0" applyAlignment="0" applyProtection="0"/>
    <xf numFmtId="246" fontId="250" fillId="0" borderId="2921" applyFill="0" applyProtection="0">
      <alignment horizontal="center"/>
    </xf>
    <xf numFmtId="246" fontId="249" fillId="0" borderId="2921" applyFill="0" applyProtection="0">
      <alignment horizontal="center"/>
    </xf>
    <xf numFmtId="0" fontId="241" fillId="94" borderId="2921" applyBorder="0" applyProtection="0">
      <alignment horizontal="centerContinuous" vertical="center"/>
    </xf>
    <xf numFmtId="254" fontId="240" fillId="0" borderId="2921" applyBorder="0" applyProtection="0">
      <alignment horizontal="right" vertical="center"/>
    </xf>
    <xf numFmtId="0" fontId="210" fillId="0" borderId="2921" applyNumberFormat="0" applyFill="0" applyBorder="0" applyAlignment="0">
      <protection locked="0"/>
    </xf>
    <xf numFmtId="264" fontId="12" fillId="14" borderId="2921" applyFont="0" applyFill="0" applyBorder="0" applyAlignment="0" applyProtection="0">
      <alignment horizontal="right"/>
    </xf>
    <xf numFmtId="0" fontId="166" fillId="0" borderId="2921">
      <alignment horizontal="center"/>
    </xf>
    <xf numFmtId="0" fontId="165" fillId="0" borderId="2921" applyFill="0" applyProtection="0">
      <alignment horizontal="center"/>
    </xf>
    <xf numFmtId="186" fontId="146" fillId="3" borderId="2921" applyBorder="0">
      <alignment horizontal="left" vertical="center"/>
    </xf>
    <xf numFmtId="180" fontId="9" fillId="3" borderId="2921">
      <alignment horizontal="right" vertical="center"/>
    </xf>
    <xf numFmtId="192" fontId="9" fillId="3" borderId="2921">
      <alignment horizontal="right" vertical="center"/>
    </xf>
    <xf numFmtId="248" fontId="46" fillId="0" borderId="2921"/>
    <xf numFmtId="0" fontId="12" fillId="0" borderId="2921" applyNumberFormat="0" applyFill="0" applyBorder="0" applyAlignment="0" applyProtection="0">
      <alignment horizontal="center"/>
    </xf>
    <xf numFmtId="0" fontId="113" fillId="0" borderId="2921" applyNumberFormat="0" applyFill="0" applyAlignment="0" applyProtection="0"/>
    <xf numFmtId="222" fontId="79" fillId="0" borderId="2920" applyBorder="0"/>
    <xf numFmtId="0" fontId="101" fillId="0" borderId="2921" applyBorder="0"/>
    <xf numFmtId="222" fontId="79" fillId="0" borderId="2920" applyBorder="0"/>
    <xf numFmtId="0" fontId="75" fillId="0" borderId="2910" applyNumberFormat="0" applyFont="0" applyFill="0" applyAlignment="0" applyProtection="0"/>
    <xf numFmtId="186" fontId="146" fillId="3" borderId="2912">
      <alignment horizontal="left"/>
    </xf>
    <xf numFmtId="186" fontId="140" fillId="3" borderId="2913">
      <alignment horizontal="center" vertical="center"/>
    </xf>
    <xf numFmtId="0" fontId="2" fillId="0" borderId="2914" applyNumberFormat="0" applyAlignment="0" applyProtection="0"/>
    <xf numFmtId="0" fontId="214" fillId="0" borderId="2915" applyNumberFormat="0" applyFont="0" applyFill="0" applyAlignment="0" applyProtection="0"/>
    <xf numFmtId="0" fontId="25" fillId="10" borderId="2916" applyNumberFormat="0" applyProtection="0">
      <alignment horizontal="left" vertical="top"/>
    </xf>
    <xf numFmtId="0" fontId="25" fillId="10" borderId="2917" applyNumberFormat="0" applyProtection="0">
      <alignment horizontal="left" vertical="top"/>
    </xf>
    <xf numFmtId="0" fontId="25" fillId="10" borderId="2918" applyNumberFormat="0" applyProtection="0">
      <alignment horizontal="left" vertical="top"/>
    </xf>
    <xf numFmtId="0" fontId="25" fillId="10" borderId="2919" applyNumberFormat="0" applyProtection="0">
      <alignment horizontal="left" vertical="top"/>
    </xf>
    <xf numFmtId="0" fontId="78" fillId="14" borderId="2911" applyFont="0" applyFill="0" applyBorder="0" applyAlignment="0" applyProtection="0"/>
    <xf numFmtId="222" fontId="79" fillId="0" borderId="2908" applyBorder="0"/>
    <xf numFmtId="0" fontId="78" fillId="14" borderId="2923" applyFont="0" applyFill="0" applyBorder="0" applyAlignment="0" applyProtection="0"/>
    <xf numFmtId="186" fontId="146" fillId="3" borderId="2912">
      <alignment horizontal="left"/>
    </xf>
    <xf numFmtId="0" fontId="78" fillId="14" borderId="2899" applyFont="0" applyFill="0" applyBorder="0" applyAlignment="0" applyProtection="0"/>
    <xf numFmtId="222" fontId="79" fillId="0" borderId="2908" applyBorder="0"/>
    <xf numFmtId="0" fontId="2" fillId="0" borderId="2926" applyNumberFormat="0" applyAlignment="0" applyProtection="0"/>
    <xf numFmtId="0" fontId="78" fillId="14" borderId="2899" applyFont="0" applyFill="0" applyBorder="0" applyAlignment="0" applyProtection="0"/>
    <xf numFmtId="0" fontId="25" fillId="10" borderId="2907" applyNumberFormat="0" applyProtection="0">
      <alignment horizontal="left" vertical="top"/>
    </xf>
    <xf numFmtId="0" fontId="25" fillId="10" borderId="2906" applyNumberFormat="0" applyProtection="0">
      <alignment horizontal="left" vertical="top"/>
    </xf>
    <xf numFmtId="0" fontId="25" fillId="10" borderId="2905" applyNumberFormat="0" applyProtection="0">
      <alignment horizontal="left" vertical="top"/>
    </xf>
    <xf numFmtId="0" fontId="25" fillId="10" borderId="2904" applyNumberFormat="0" applyProtection="0">
      <alignment horizontal="left" vertical="top"/>
    </xf>
    <xf numFmtId="0" fontId="25" fillId="10" borderId="2929" applyNumberFormat="0" applyProtection="0">
      <alignment horizontal="left" vertical="top"/>
    </xf>
    <xf numFmtId="0" fontId="214" fillId="0" borderId="2903" applyNumberFormat="0" applyFont="0" applyFill="0" applyAlignment="0" applyProtection="0"/>
    <xf numFmtId="0" fontId="2" fillId="0" borderId="2902" applyNumberFormat="0" applyAlignment="0" applyProtection="0"/>
    <xf numFmtId="186" fontId="140" fillId="3" borderId="2901">
      <alignment horizontal="center" vertical="center"/>
    </xf>
    <xf numFmtId="186" fontId="146" fillId="3" borderId="2900">
      <alignment horizontal="left"/>
    </xf>
    <xf numFmtId="0" fontId="25" fillId="10" borderId="2931" applyNumberFormat="0" applyProtection="0">
      <alignment horizontal="left" vertical="top"/>
    </xf>
    <xf numFmtId="0" fontId="75" fillId="0" borderId="2898" applyNumberFormat="0" applyFont="0" applyFill="0" applyAlignment="0" applyProtection="0"/>
    <xf numFmtId="222" fontId="79" fillId="0" borderId="2908" applyBorder="0"/>
    <xf numFmtId="0" fontId="101" fillId="0" borderId="2909" applyBorder="0"/>
    <xf numFmtId="222" fontId="79" fillId="0" borderId="2908" applyBorder="0"/>
    <xf numFmtId="0" fontId="113" fillId="0" borderId="2909" applyNumberFormat="0" applyFill="0" applyAlignment="0" applyProtection="0"/>
    <xf numFmtId="0" fontId="12" fillId="0" borderId="2909" applyNumberFormat="0" applyFill="0" applyBorder="0" applyAlignment="0" applyProtection="0">
      <alignment horizontal="center"/>
    </xf>
    <xf numFmtId="248" fontId="46" fillId="0" borderId="2909"/>
    <xf numFmtId="192" fontId="9" fillId="3" borderId="2909">
      <alignment horizontal="right" vertical="center"/>
    </xf>
    <xf numFmtId="180" fontId="9" fillId="3" borderId="2909">
      <alignment horizontal="right" vertical="center"/>
    </xf>
    <xf numFmtId="186" fontId="146" fillId="3" borderId="2909" applyBorder="0">
      <alignment horizontal="left" vertical="center"/>
    </xf>
    <xf numFmtId="0" fontId="165" fillId="0" borderId="2909" applyFill="0" applyProtection="0">
      <alignment horizontal="center"/>
    </xf>
    <xf numFmtId="0" fontId="166" fillId="0" borderId="2909">
      <alignment horizontal="center"/>
    </xf>
    <xf numFmtId="264" fontId="12" fillId="14" borderId="2909" applyFont="0" applyFill="0" applyBorder="0" applyAlignment="0" applyProtection="0">
      <alignment horizontal="right"/>
    </xf>
    <xf numFmtId="0" fontId="210" fillId="0" borderId="2909" applyNumberFormat="0" applyFill="0" applyBorder="0" applyAlignment="0">
      <protection locked="0"/>
    </xf>
    <xf numFmtId="254" fontId="240" fillId="0" borderId="2909" applyBorder="0" applyProtection="0">
      <alignment horizontal="right" vertical="center"/>
    </xf>
    <xf numFmtId="0" fontId="241" fillId="94" borderId="2909" applyBorder="0" applyProtection="0">
      <alignment horizontal="centerContinuous" vertical="center"/>
    </xf>
    <xf numFmtId="246" fontId="249" fillId="0" borderId="2909" applyFill="0" applyProtection="0">
      <alignment horizontal="center"/>
    </xf>
    <xf numFmtId="246" fontId="250" fillId="0" borderId="2909" applyFill="0" applyProtection="0">
      <alignment horizontal="center"/>
    </xf>
    <xf numFmtId="186" fontId="140" fillId="3" borderId="2925">
      <alignment horizontal="center" vertical="center"/>
    </xf>
    <xf numFmtId="0" fontId="78" fillId="14" borderId="2911" applyFont="0" applyFill="0" applyBorder="0" applyAlignment="0" applyProtection="0"/>
    <xf numFmtId="222" fontId="79" fillId="0" borderId="2932" applyBorder="0"/>
    <xf numFmtId="0" fontId="78" fillId="14" borderId="2935" applyFont="0" applyFill="0" applyBorder="0" applyAlignment="0" applyProtection="0"/>
    <xf numFmtId="0" fontId="25" fillId="10" borderId="2943" applyNumberFormat="0" applyProtection="0">
      <alignment horizontal="left" vertical="top"/>
    </xf>
    <xf numFmtId="0" fontId="25" fillId="10" borderId="2942" applyNumberFormat="0" applyProtection="0">
      <alignment horizontal="left" vertical="top"/>
    </xf>
    <xf numFmtId="0" fontId="25" fillId="10" borderId="2941" applyNumberFormat="0" applyProtection="0">
      <alignment horizontal="left" vertical="top"/>
    </xf>
    <xf numFmtId="0" fontId="25" fillId="10" borderId="2940" applyNumberFormat="0" applyProtection="0">
      <alignment horizontal="left" vertical="top"/>
    </xf>
    <xf numFmtId="0" fontId="214" fillId="0" borderId="2939" applyNumberFormat="0" applyFont="0" applyFill="0" applyAlignment="0" applyProtection="0"/>
    <xf numFmtId="0" fontId="2" fillId="0" borderId="2938" applyNumberFormat="0" applyAlignment="0" applyProtection="0"/>
    <xf numFmtId="186" fontId="140" fillId="3" borderId="2937">
      <alignment horizontal="center" vertical="center"/>
    </xf>
    <xf numFmtId="186" fontId="146" fillId="3" borderId="2936">
      <alignment horizontal="left"/>
    </xf>
    <xf numFmtId="0" fontId="75" fillId="0" borderId="2934" applyNumberFormat="0" applyFont="0" applyFill="0" applyAlignment="0" applyProtection="0"/>
    <xf numFmtId="222" fontId="79" fillId="0" borderId="2944" applyBorder="0"/>
    <xf numFmtId="0" fontId="101" fillId="0" borderId="2945" applyBorder="0"/>
    <xf numFmtId="222" fontId="79" fillId="0" borderId="2944" applyBorder="0"/>
    <xf numFmtId="0" fontId="113" fillId="0" borderId="2945" applyNumberFormat="0" applyFill="0" applyAlignment="0" applyProtection="0"/>
    <xf numFmtId="0" fontId="12" fillId="0" borderId="2945" applyNumberFormat="0" applyFill="0" applyBorder="0" applyAlignment="0" applyProtection="0">
      <alignment horizontal="center"/>
    </xf>
    <xf numFmtId="248" fontId="46" fillId="0" borderId="2945"/>
    <xf numFmtId="192" fontId="9" fillId="3" borderId="2945">
      <alignment horizontal="right" vertical="center"/>
    </xf>
    <xf numFmtId="180" fontId="9" fillId="3" borderId="2945">
      <alignment horizontal="right" vertical="center"/>
    </xf>
    <xf numFmtId="186" fontId="146" fillId="3" borderId="2945" applyBorder="0">
      <alignment horizontal="left" vertical="center"/>
    </xf>
    <xf numFmtId="0" fontId="165" fillId="0" borderId="2945" applyFill="0" applyProtection="0">
      <alignment horizontal="center"/>
    </xf>
    <xf numFmtId="0" fontId="166" fillId="0" borderId="2945">
      <alignment horizontal="center"/>
    </xf>
    <xf numFmtId="264" fontId="12" fillId="14" borderId="2945" applyFont="0" applyFill="0" applyBorder="0" applyAlignment="0" applyProtection="0">
      <alignment horizontal="right"/>
    </xf>
    <xf numFmtId="0" fontId="210" fillId="0" borderId="2945" applyNumberFormat="0" applyFill="0" applyBorder="0" applyAlignment="0">
      <protection locked="0"/>
    </xf>
    <xf numFmtId="254" fontId="240" fillId="0" borderId="2945" applyBorder="0" applyProtection="0">
      <alignment horizontal="right" vertical="center"/>
    </xf>
    <xf numFmtId="0" fontId="241" fillId="94" borderId="2945" applyBorder="0" applyProtection="0">
      <alignment horizontal="centerContinuous" vertical="center"/>
    </xf>
    <xf numFmtId="246" fontId="249" fillId="0" borderId="2945" applyFill="0" applyProtection="0">
      <alignment horizontal="center"/>
    </xf>
    <xf numFmtId="246" fontId="250" fillId="0" borderId="2945" applyFill="0" applyProtection="0">
      <alignment horizontal="center"/>
    </xf>
    <xf numFmtId="222" fontId="79" fillId="0" borderId="2956" applyBorder="0"/>
    <xf numFmtId="0" fontId="78" fillId="14" borderId="2959" applyFont="0" applyFill="0" applyBorder="0" applyAlignment="0" applyProtection="0"/>
    <xf numFmtId="0" fontId="25" fillId="10" borderId="2967" applyNumberFormat="0" applyProtection="0">
      <alignment horizontal="left" vertical="top"/>
    </xf>
    <xf numFmtId="0" fontId="25" fillId="10" borderId="2966" applyNumberFormat="0" applyProtection="0">
      <alignment horizontal="left" vertical="top"/>
    </xf>
    <xf numFmtId="0" fontId="25" fillId="10" borderId="2965" applyNumberFormat="0" applyProtection="0">
      <alignment horizontal="left" vertical="top"/>
    </xf>
    <xf numFmtId="0" fontId="25" fillId="10" borderId="2964" applyNumberFormat="0" applyProtection="0">
      <alignment horizontal="left" vertical="top"/>
    </xf>
    <xf numFmtId="0" fontId="214" fillId="0" borderId="2963" applyNumberFormat="0" applyFont="0" applyFill="0" applyAlignment="0" applyProtection="0"/>
    <xf numFmtId="0" fontId="2" fillId="0" borderId="2962" applyNumberFormat="0" applyAlignment="0" applyProtection="0"/>
    <xf numFmtId="186" fontId="140" fillId="3" borderId="2961">
      <alignment horizontal="center" vertical="center"/>
    </xf>
    <xf numFmtId="186" fontId="146" fillId="3" borderId="2960">
      <alignment horizontal="left"/>
    </xf>
    <xf numFmtId="0" fontId="75" fillId="0" borderId="2958" applyNumberFormat="0" applyFont="0" applyFill="0" applyAlignment="0" applyProtection="0"/>
    <xf numFmtId="222" fontId="79" fillId="0" borderId="2968" applyBorder="0"/>
    <xf numFmtId="0" fontId="101" fillId="0" borderId="2969" applyBorder="0"/>
    <xf numFmtId="222" fontId="79" fillId="0" borderId="2968" applyBorder="0"/>
    <xf numFmtId="0" fontId="113" fillId="0" borderId="2969" applyNumberFormat="0" applyFill="0" applyAlignment="0" applyProtection="0"/>
    <xf numFmtId="0" fontId="12" fillId="0" borderId="2969" applyNumberFormat="0" applyFill="0" applyBorder="0" applyAlignment="0" applyProtection="0">
      <alignment horizontal="center"/>
    </xf>
    <xf numFmtId="248" fontId="46" fillId="0" borderId="2969"/>
    <xf numFmtId="192" fontId="9" fillId="3" borderId="2969">
      <alignment horizontal="right" vertical="center"/>
    </xf>
    <xf numFmtId="180" fontId="9" fillId="3" borderId="2969">
      <alignment horizontal="right" vertical="center"/>
    </xf>
    <xf numFmtId="186" fontId="146" fillId="3" borderId="2969" applyBorder="0">
      <alignment horizontal="left" vertical="center"/>
    </xf>
    <xf numFmtId="0" fontId="165" fillId="0" borderId="2969" applyFill="0" applyProtection="0">
      <alignment horizontal="center"/>
    </xf>
    <xf numFmtId="0" fontId="166" fillId="0" borderId="2969">
      <alignment horizontal="center"/>
    </xf>
    <xf numFmtId="264" fontId="12" fillId="14" borderId="2969" applyFont="0" applyFill="0" applyBorder="0" applyAlignment="0" applyProtection="0">
      <alignment horizontal="right"/>
    </xf>
    <xf numFmtId="0" fontId="210" fillId="0" borderId="2969" applyNumberFormat="0" applyFill="0" applyBorder="0" applyAlignment="0">
      <protection locked="0"/>
    </xf>
    <xf numFmtId="254" fontId="240" fillId="0" borderId="2969" applyBorder="0" applyProtection="0">
      <alignment horizontal="right" vertical="center"/>
    </xf>
    <xf numFmtId="0" fontId="241" fillId="94" borderId="2969" applyBorder="0" applyProtection="0">
      <alignment horizontal="centerContinuous" vertical="center"/>
    </xf>
    <xf numFmtId="246" fontId="249" fillId="0" borderId="2969" applyFill="0" applyProtection="0">
      <alignment horizontal="center"/>
    </xf>
    <xf numFmtId="246" fontId="250" fillId="0" borderId="2969" applyFill="0" applyProtection="0">
      <alignment horizontal="center"/>
    </xf>
    <xf numFmtId="0" fontId="75" fillId="0" borderId="2982" applyNumberFormat="0" applyFont="0" applyFill="0" applyAlignment="0" applyProtection="0"/>
    <xf numFmtId="0" fontId="78" fillId="14" borderId="2983" applyFont="0" applyFill="0" applyBorder="0" applyAlignment="0" applyProtection="0"/>
    <xf numFmtId="186" fontId="146" fillId="3" borderId="2984">
      <alignment horizontal="left"/>
    </xf>
    <xf numFmtId="186" fontId="140" fillId="3" borderId="2985">
      <alignment horizontal="center" vertical="center"/>
    </xf>
    <xf numFmtId="0" fontId="2" fillId="0" borderId="2986" applyNumberFormat="0" applyAlignment="0" applyProtection="0"/>
    <xf numFmtId="0" fontId="214" fillId="0" borderId="2987" applyNumberFormat="0" applyFont="0" applyFill="0" applyAlignment="0" applyProtection="0"/>
    <xf numFmtId="0" fontId="25" fillId="10" borderId="2988" applyNumberFormat="0" applyProtection="0">
      <alignment horizontal="left" vertical="top"/>
    </xf>
    <xf numFmtId="0" fontId="25" fillId="10" borderId="2989" applyNumberFormat="0" applyProtection="0">
      <alignment horizontal="left" vertical="top"/>
    </xf>
    <xf numFmtId="0" fontId="25" fillId="10" borderId="2990" applyNumberFormat="0" applyProtection="0">
      <alignment horizontal="left" vertical="top"/>
    </xf>
    <xf numFmtId="0" fontId="25" fillId="10" borderId="2991" applyNumberFormat="0" applyProtection="0">
      <alignment horizontal="left" vertical="top"/>
    </xf>
    <xf numFmtId="246" fontId="250" fillId="0" borderId="2981" applyFill="0" applyProtection="0">
      <alignment horizontal="center"/>
    </xf>
    <xf numFmtId="246" fontId="249" fillId="0" borderId="2981" applyFill="0" applyProtection="0">
      <alignment horizontal="center"/>
    </xf>
    <xf numFmtId="0" fontId="241" fillId="94" borderId="2981" applyBorder="0" applyProtection="0">
      <alignment horizontal="centerContinuous" vertical="center"/>
    </xf>
    <xf numFmtId="254" fontId="240" fillId="0" borderId="2981" applyBorder="0" applyProtection="0">
      <alignment horizontal="right" vertical="center"/>
    </xf>
    <xf numFmtId="0" fontId="210" fillId="0" borderId="2981" applyNumberFormat="0" applyFill="0" applyBorder="0" applyAlignment="0">
      <protection locked="0"/>
    </xf>
    <xf numFmtId="264" fontId="12" fillId="14" borderId="2981" applyFont="0" applyFill="0" applyBorder="0" applyAlignment="0" applyProtection="0">
      <alignment horizontal="right"/>
    </xf>
    <xf numFmtId="0" fontId="166" fillId="0" borderId="2981">
      <alignment horizontal="center"/>
    </xf>
    <xf numFmtId="0" fontId="165" fillId="0" borderId="2981" applyFill="0" applyProtection="0">
      <alignment horizontal="center"/>
    </xf>
    <xf numFmtId="186" fontId="146" fillId="3" borderId="2981" applyBorder="0">
      <alignment horizontal="left" vertical="center"/>
    </xf>
    <xf numFmtId="180" fontId="9" fillId="3" borderId="2981">
      <alignment horizontal="right" vertical="center"/>
    </xf>
    <xf numFmtId="192" fontId="9" fillId="3" borderId="2981">
      <alignment horizontal="right" vertical="center"/>
    </xf>
    <xf numFmtId="0" fontId="12" fillId="0" borderId="2981" applyNumberFormat="0" applyFill="0" applyBorder="0" applyAlignment="0" applyProtection="0">
      <alignment horizontal="center"/>
    </xf>
    <xf numFmtId="0" fontId="113" fillId="0" borderId="2981" applyNumberFormat="0" applyFill="0" applyAlignment="0" applyProtection="0"/>
    <xf numFmtId="222" fontId="79" fillId="0" borderId="2980" applyBorder="0"/>
    <xf numFmtId="0" fontId="101" fillId="0" borderId="2981" applyBorder="0"/>
    <xf numFmtId="248" fontId="46" fillId="0" borderId="2981"/>
    <xf numFmtId="0" fontId="101" fillId="0" borderId="2981" applyBorder="0"/>
    <xf numFmtId="222" fontId="79" fillId="0" borderId="2980" applyBorder="0"/>
    <xf numFmtId="0" fontId="113" fillId="0" borderId="2981" applyNumberFormat="0" applyFill="0" applyAlignment="0" applyProtection="0"/>
    <xf numFmtId="0" fontId="75" fillId="0" borderId="2982" applyNumberFormat="0" applyFont="0" applyFill="0" applyAlignment="0" applyProtection="0"/>
    <xf numFmtId="0" fontId="12" fillId="0" borderId="2981" applyNumberFormat="0" applyFill="0" applyBorder="0" applyAlignment="0" applyProtection="0">
      <alignment horizontal="center"/>
    </xf>
    <xf numFmtId="248" fontId="46" fillId="0" borderId="2981"/>
    <xf numFmtId="192" fontId="9" fillId="3" borderId="2981">
      <alignment horizontal="right" vertical="center"/>
    </xf>
    <xf numFmtId="180" fontId="9" fillId="3" borderId="2981">
      <alignment horizontal="right" vertical="center"/>
    </xf>
    <xf numFmtId="186" fontId="146" fillId="3" borderId="2981" applyBorder="0">
      <alignment horizontal="left" vertical="center"/>
    </xf>
    <xf numFmtId="186" fontId="146" fillId="3" borderId="2984">
      <alignment horizontal="left"/>
    </xf>
    <xf numFmtId="186" fontId="140" fillId="3" borderId="2985">
      <alignment horizontal="center" vertical="center"/>
    </xf>
    <xf numFmtId="0" fontId="165" fillId="0" borderId="2981" applyFill="0" applyProtection="0">
      <alignment horizontal="center"/>
    </xf>
    <xf numFmtId="0" fontId="166" fillId="0" borderId="2981">
      <alignment horizontal="center"/>
    </xf>
    <xf numFmtId="264" fontId="12" fillId="14" borderId="2981" applyFont="0" applyFill="0" applyBorder="0" applyAlignment="0" applyProtection="0">
      <alignment horizontal="right"/>
    </xf>
    <xf numFmtId="0" fontId="210" fillId="0" borderId="2981" applyNumberFormat="0" applyFill="0" applyBorder="0" applyAlignment="0">
      <protection locked="0"/>
    </xf>
    <xf numFmtId="0" fontId="2" fillId="0" borderId="2986" applyNumberFormat="0" applyAlignment="0" applyProtection="0"/>
    <xf numFmtId="0" fontId="214" fillId="0" borderId="2987" applyNumberFormat="0" applyFont="0" applyFill="0" applyAlignment="0" applyProtection="0"/>
    <xf numFmtId="0" fontId="25" fillId="10" borderId="2988" applyNumberFormat="0" applyProtection="0">
      <alignment horizontal="left" vertical="top"/>
    </xf>
    <xf numFmtId="0" fontId="25" fillId="10" borderId="2989" applyNumberFormat="0" applyProtection="0">
      <alignment horizontal="left" vertical="top"/>
    </xf>
    <xf numFmtId="0" fontId="25" fillId="10" borderId="2990" applyNumberFormat="0" applyProtection="0">
      <alignment horizontal="left" vertical="top"/>
    </xf>
    <xf numFmtId="0" fontId="25" fillId="10" borderId="2991" applyNumberFormat="0" applyProtection="0">
      <alignment horizontal="left" vertical="top"/>
    </xf>
    <xf numFmtId="0" fontId="25" fillId="10" borderId="2988" applyNumberFormat="0" applyProtection="0">
      <alignment horizontal="left" vertical="top"/>
    </xf>
    <xf numFmtId="0" fontId="25" fillId="10" borderId="2989" applyNumberFormat="0" applyProtection="0">
      <alignment horizontal="left" vertical="top"/>
    </xf>
    <xf numFmtId="0" fontId="25" fillId="10" borderId="2990" applyNumberFormat="0" applyProtection="0">
      <alignment horizontal="left" vertical="top"/>
    </xf>
    <xf numFmtId="0" fontId="25" fillId="10" borderId="2991" applyNumberFormat="0" applyProtection="0">
      <alignment horizontal="left" vertical="top"/>
    </xf>
    <xf numFmtId="254" fontId="240" fillId="0" borderId="2981" applyBorder="0" applyProtection="0">
      <alignment horizontal="right" vertical="center"/>
    </xf>
    <xf numFmtId="0" fontId="241" fillId="94" borderId="2981" applyBorder="0" applyProtection="0">
      <alignment horizontal="centerContinuous" vertical="center"/>
    </xf>
    <xf numFmtId="246" fontId="249" fillId="0" borderId="2981" applyFill="0" applyProtection="0">
      <alignment horizontal="center"/>
    </xf>
    <xf numFmtId="246" fontId="250" fillId="0" borderId="2981" applyFill="0" applyProtection="0">
      <alignment horizontal="center"/>
    </xf>
    <xf numFmtId="190" fontId="101" fillId="0" borderId="2981" applyBorder="0"/>
    <xf numFmtId="190" fontId="113" fillId="0" borderId="2981" applyNumberFormat="0" applyFill="0" applyAlignment="0" applyProtection="0"/>
    <xf numFmtId="190" fontId="75" fillId="0" borderId="2958" applyNumberFormat="0" applyFont="0" applyFill="0" applyAlignment="0" applyProtection="0"/>
    <xf numFmtId="190" fontId="12" fillId="0" borderId="2981" applyNumberFormat="0" applyFill="0" applyBorder="0" applyAlignment="0" applyProtection="0">
      <alignment horizontal="center"/>
    </xf>
    <xf numFmtId="190" fontId="78" fillId="14" borderId="2971" applyFont="0" applyFill="0" applyBorder="0" applyAlignment="0" applyProtection="0"/>
    <xf numFmtId="190" fontId="165" fillId="0" borderId="2981" applyFill="0" applyProtection="0">
      <alignment horizontal="center"/>
    </xf>
    <xf numFmtId="190" fontId="166" fillId="0" borderId="2981">
      <alignment horizontal="center"/>
    </xf>
    <xf numFmtId="190" fontId="210" fillId="0" borderId="2981" applyNumberFormat="0" applyFill="0" applyBorder="0" applyAlignment="0">
      <protection locked="0"/>
    </xf>
    <xf numFmtId="190" fontId="2" fillId="0" borderId="2962" applyNumberFormat="0" applyAlignment="0" applyProtection="0"/>
    <xf numFmtId="190" fontId="214" fillId="0" borderId="2963" applyNumberFormat="0" applyFont="0" applyFill="0" applyAlignment="0" applyProtection="0"/>
    <xf numFmtId="190" fontId="25" fillId="10" borderId="2964" applyNumberFormat="0" applyProtection="0">
      <alignment horizontal="left" vertical="top"/>
    </xf>
    <xf numFmtId="190" fontId="25" fillId="10" borderId="2965" applyNumberFormat="0" applyProtection="0">
      <alignment horizontal="left" vertical="top"/>
    </xf>
    <xf numFmtId="190" fontId="25" fillId="10" borderId="2966" applyNumberFormat="0" applyProtection="0">
      <alignment horizontal="left" vertical="top"/>
    </xf>
    <xf numFmtId="190" fontId="25" fillId="10" borderId="2967" applyNumberFormat="0" applyProtection="0">
      <alignment horizontal="left" vertical="top"/>
    </xf>
    <xf numFmtId="190" fontId="241" fillId="94" borderId="2981" applyBorder="0" applyProtection="0">
      <alignment horizontal="centerContinuous" vertical="center"/>
    </xf>
    <xf numFmtId="222" fontId="79" fillId="0" borderId="2980" applyBorder="0"/>
    <xf numFmtId="0" fontId="101" fillId="0" borderId="2981" applyBorder="0"/>
    <xf numFmtId="222" fontId="79" fillId="0" borderId="2980" applyBorder="0"/>
    <xf numFmtId="0" fontId="113" fillId="0" borderId="2981" applyNumberFormat="0" applyFill="0" applyAlignment="0" applyProtection="0"/>
    <xf numFmtId="0" fontId="75" fillId="0" borderId="2958" applyNumberFormat="0" applyFont="0" applyFill="0" applyAlignment="0" applyProtection="0"/>
    <xf numFmtId="0" fontId="12" fillId="0" borderId="2981" applyNumberFormat="0" applyFill="0" applyBorder="0" applyAlignment="0" applyProtection="0">
      <alignment horizontal="center"/>
    </xf>
    <xf numFmtId="248" fontId="46" fillId="0" borderId="2981"/>
    <xf numFmtId="192" fontId="9" fillId="3" borderId="2981">
      <alignment horizontal="right" vertical="center"/>
    </xf>
    <xf numFmtId="180" fontId="9" fillId="3" borderId="2981">
      <alignment horizontal="right" vertical="center"/>
    </xf>
    <xf numFmtId="186" fontId="146" fillId="3" borderId="2981" applyBorder="0">
      <alignment horizontal="left" vertical="center"/>
    </xf>
    <xf numFmtId="186" fontId="146" fillId="3" borderId="2960">
      <alignment horizontal="left"/>
    </xf>
    <xf numFmtId="186" fontId="140" fillId="3" borderId="2961">
      <alignment horizontal="center" vertical="center"/>
    </xf>
    <xf numFmtId="0" fontId="165" fillId="0" borderId="2981" applyFill="0" applyProtection="0">
      <alignment horizontal="center"/>
    </xf>
    <xf numFmtId="0" fontId="166" fillId="0" borderId="2981">
      <alignment horizontal="center"/>
    </xf>
    <xf numFmtId="264" fontId="12" fillId="14" borderId="2981" applyFont="0" applyFill="0" applyBorder="0" applyAlignment="0" applyProtection="0">
      <alignment horizontal="right"/>
    </xf>
    <xf numFmtId="0" fontId="210" fillId="0" borderId="2981" applyNumberFormat="0" applyFill="0" applyBorder="0" applyAlignment="0">
      <protection locked="0"/>
    </xf>
    <xf numFmtId="0" fontId="2" fillId="0" borderId="2962" applyNumberFormat="0" applyAlignment="0" applyProtection="0"/>
    <xf numFmtId="0" fontId="214" fillId="0" borderId="2963" applyNumberFormat="0" applyFont="0" applyFill="0" applyAlignment="0" applyProtection="0"/>
    <xf numFmtId="0" fontId="25" fillId="10" borderId="2964" applyNumberFormat="0" applyProtection="0">
      <alignment horizontal="left" vertical="top"/>
    </xf>
    <xf numFmtId="0" fontId="25" fillId="10" borderId="2965" applyNumberFormat="0" applyProtection="0">
      <alignment horizontal="left" vertical="top"/>
    </xf>
    <xf numFmtId="0" fontId="25" fillId="10" borderId="2966" applyNumberFormat="0" applyProtection="0">
      <alignment horizontal="left" vertical="top"/>
    </xf>
    <xf numFmtId="0" fontId="25" fillId="10" borderId="2967" applyNumberFormat="0" applyProtection="0">
      <alignment horizontal="left" vertical="top"/>
    </xf>
    <xf numFmtId="0" fontId="25" fillId="10" borderId="2964" applyNumberFormat="0" applyProtection="0">
      <alignment horizontal="left" vertical="top"/>
    </xf>
    <xf numFmtId="0" fontId="25" fillId="10" borderId="2965" applyNumberFormat="0" applyProtection="0">
      <alignment horizontal="left" vertical="top"/>
    </xf>
    <xf numFmtId="0" fontId="25" fillId="10" borderId="2966" applyNumberFormat="0" applyProtection="0">
      <alignment horizontal="left" vertical="top"/>
    </xf>
    <xf numFmtId="0" fontId="25" fillId="10" borderId="2967" applyNumberFormat="0" applyProtection="0">
      <alignment horizontal="left" vertical="top"/>
    </xf>
    <xf numFmtId="254" fontId="240" fillId="0" borderId="2981" applyBorder="0" applyProtection="0">
      <alignment horizontal="right" vertical="center"/>
    </xf>
    <xf numFmtId="0" fontId="241" fillId="94" borderId="2981" applyBorder="0" applyProtection="0">
      <alignment horizontal="centerContinuous" vertical="center"/>
    </xf>
    <xf numFmtId="246" fontId="249" fillId="0" borderId="2981" applyFill="0" applyProtection="0">
      <alignment horizontal="center"/>
    </xf>
    <xf numFmtId="246" fontId="250" fillId="0" borderId="2981" applyFill="0" applyProtection="0">
      <alignment horizontal="center"/>
    </xf>
    <xf numFmtId="312" fontId="101" fillId="0" borderId="2981" applyBorder="0"/>
    <xf numFmtId="312" fontId="113" fillId="0" borderId="2981" applyNumberFormat="0" applyFill="0" applyAlignment="0" applyProtection="0"/>
    <xf numFmtId="312" fontId="75" fillId="0" borderId="2958" applyNumberFormat="0" applyFont="0" applyFill="0" applyAlignment="0" applyProtection="0"/>
    <xf numFmtId="312" fontId="12" fillId="0" borderId="2981" applyNumberFormat="0" applyFill="0" applyBorder="0" applyAlignment="0" applyProtection="0">
      <alignment horizontal="center"/>
    </xf>
    <xf numFmtId="312" fontId="165" fillId="0" borderId="2981" applyFill="0" applyProtection="0">
      <alignment horizontal="center"/>
    </xf>
    <xf numFmtId="312" fontId="242" fillId="0" borderId="2981">
      <alignment horizontal="center"/>
    </xf>
    <xf numFmtId="312" fontId="210" fillId="0" borderId="2981" applyNumberFormat="0" applyFill="0" applyBorder="0" applyAlignment="0">
      <protection locked="0"/>
    </xf>
    <xf numFmtId="312" fontId="2" fillId="0" borderId="2962" applyNumberFormat="0" applyAlignment="0" applyProtection="0"/>
    <xf numFmtId="312" fontId="214" fillId="0" borderId="2963" applyNumberFormat="0" applyFont="0" applyFill="0" applyAlignment="0" applyProtection="0"/>
    <xf numFmtId="312" fontId="25" fillId="10" borderId="2964" applyNumberFormat="0" applyProtection="0">
      <alignment horizontal="left" vertical="top"/>
    </xf>
    <xf numFmtId="312" fontId="25" fillId="10" borderId="2965" applyNumberFormat="0" applyProtection="0">
      <alignment horizontal="left" vertical="top"/>
    </xf>
    <xf numFmtId="312" fontId="25" fillId="10" borderId="2966" applyNumberFormat="0" applyProtection="0">
      <alignment horizontal="left" vertical="top"/>
    </xf>
    <xf numFmtId="312" fontId="25" fillId="10" borderId="2967" applyNumberFormat="0" applyProtection="0">
      <alignment horizontal="left" vertical="top"/>
    </xf>
    <xf numFmtId="312" fontId="241" fillId="94" borderId="2981" applyBorder="0" applyProtection="0">
      <alignment horizontal="centerContinuous" vertical="center"/>
    </xf>
    <xf numFmtId="246" fontId="296" fillId="0" borderId="2981" applyFill="0" applyProtection="0">
      <alignment horizontal="center"/>
    </xf>
    <xf numFmtId="312" fontId="101" fillId="0" borderId="2981" applyBorder="0"/>
    <xf numFmtId="312" fontId="113" fillId="0" borderId="2981" applyNumberFormat="0" applyFill="0" applyAlignment="0" applyProtection="0"/>
    <xf numFmtId="312" fontId="75" fillId="0" borderId="2958" applyNumberFormat="0" applyFont="0" applyFill="0" applyAlignment="0" applyProtection="0"/>
    <xf numFmtId="312" fontId="12" fillId="0" borderId="2981" applyNumberFormat="0" applyFill="0" applyBorder="0" applyAlignment="0" applyProtection="0">
      <alignment horizontal="center"/>
    </xf>
    <xf numFmtId="312" fontId="165" fillId="0" borderId="2981" applyFill="0" applyProtection="0">
      <alignment horizontal="center"/>
    </xf>
    <xf numFmtId="312" fontId="242" fillId="0" borderId="2981">
      <alignment horizontal="center"/>
    </xf>
    <xf numFmtId="312" fontId="210" fillId="0" borderId="2981" applyNumberFormat="0" applyFill="0" applyBorder="0" applyAlignment="0">
      <protection locked="0"/>
    </xf>
    <xf numFmtId="312" fontId="2" fillId="0" borderId="2962" applyNumberFormat="0" applyAlignment="0" applyProtection="0"/>
    <xf numFmtId="312" fontId="214" fillId="0" borderId="2963" applyNumberFormat="0" applyFont="0" applyFill="0" applyAlignment="0" applyProtection="0"/>
    <xf numFmtId="312" fontId="25" fillId="10" borderId="2964" applyNumberFormat="0" applyProtection="0">
      <alignment horizontal="left" vertical="top"/>
    </xf>
    <xf numFmtId="312" fontId="25" fillId="10" borderId="2965" applyNumberFormat="0" applyProtection="0">
      <alignment horizontal="left" vertical="top"/>
    </xf>
    <xf numFmtId="312" fontId="25" fillId="10" borderId="2966" applyNumberFormat="0" applyProtection="0">
      <alignment horizontal="left" vertical="top"/>
    </xf>
    <xf numFmtId="312" fontId="25" fillId="10" borderId="2967" applyNumberFormat="0" applyProtection="0">
      <alignment horizontal="left" vertical="top"/>
    </xf>
    <xf numFmtId="312" fontId="25" fillId="10" borderId="2964" applyNumberFormat="0" applyProtection="0">
      <alignment horizontal="left" vertical="top"/>
    </xf>
    <xf numFmtId="312" fontId="25" fillId="10" borderId="2965" applyNumberFormat="0" applyProtection="0">
      <alignment horizontal="left" vertical="top"/>
    </xf>
    <xf numFmtId="312" fontId="25" fillId="10" borderId="2966" applyNumberFormat="0" applyProtection="0">
      <alignment horizontal="left" vertical="top"/>
    </xf>
    <xf numFmtId="312" fontId="25" fillId="10" borderId="2967" applyNumberFormat="0" applyProtection="0">
      <alignment horizontal="left" vertical="top"/>
    </xf>
    <xf numFmtId="312" fontId="241" fillId="94" borderId="2981" applyBorder="0" applyProtection="0">
      <alignment horizontal="centerContinuous" vertical="center"/>
    </xf>
    <xf numFmtId="246" fontId="296" fillId="0" borderId="2981" applyFill="0" applyProtection="0">
      <alignment horizontal="center"/>
    </xf>
    <xf numFmtId="246" fontId="250" fillId="0" borderId="2981" applyFill="0" applyProtection="0">
      <alignment horizontal="center"/>
    </xf>
    <xf numFmtId="246" fontId="249" fillId="0" borderId="2981" applyFill="0" applyProtection="0">
      <alignment horizontal="center"/>
    </xf>
    <xf numFmtId="0" fontId="241" fillId="94" borderId="2981" applyBorder="0" applyProtection="0">
      <alignment horizontal="centerContinuous" vertical="center"/>
    </xf>
    <xf numFmtId="254" fontId="240" fillId="0" borderId="2981" applyBorder="0" applyProtection="0">
      <alignment horizontal="right" vertical="center"/>
    </xf>
    <xf numFmtId="0" fontId="25" fillId="10" borderId="2979" applyNumberFormat="0" applyProtection="0">
      <alignment horizontal="left" vertical="top"/>
    </xf>
    <xf numFmtId="0" fontId="25" fillId="10" borderId="2978" applyNumberFormat="0" applyProtection="0">
      <alignment horizontal="left" vertical="top"/>
    </xf>
    <xf numFmtId="0" fontId="25" fillId="10" borderId="2977" applyNumberFormat="0" applyProtection="0">
      <alignment horizontal="left" vertical="top"/>
    </xf>
    <xf numFmtId="0" fontId="25" fillId="10" borderId="2976" applyNumberFormat="0" applyProtection="0">
      <alignment horizontal="left" vertical="top"/>
    </xf>
    <xf numFmtId="0" fontId="214" fillId="0" borderId="2975" applyNumberFormat="0" applyFont="0" applyFill="0" applyAlignment="0" applyProtection="0"/>
    <xf numFmtId="0" fontId="2" fillId="0" borderId="2974" applyNumberFormat="0" applyAlignment="0" applyProtection="0"/>
    <xf numFmtId="0" fontId="210" fillId="0" borderId="2981" applyNumberFormat="0" applyFill="0" applyBorder="0" applyAlignment="0">
      <protection locked="0"/>
    </xf>
    <xf numFmtId="264" fontId="12" fillId="14" borderId="2981" applyFont="0" applyFill="0" applyBorder="0" applyAlignment="0" applyProtection="0">
      <alignment horizontal="right"/>
    </xf>
    <xf numFmtId="0" fontId="166" fillId="0" borderId="2981">
      <alignment horizontal="center"/>
    </xf>
    <xf numFmtId="0" fontId="165" fillId="0" borderId="2981" applyFill="0" applyProtection="0">
      <alignment horizontal="center"/>
    </xf>
    <xf numFmtId="186" fontId="140" fillId="3" borderId="2973">
      <alignment horizontal="center" vertical="center"/>
    </xf>
    <xf numFmtId="186" fontId="146" fillId="3" borderId="2972">
      <alignment horizontal="left"/>
    </xf>
    <xf numFmtId="186" fontId="146" fillId="3" borderId="2981" applyBorder="0">
      <alignment horizontal="left" vertical="center"/>
    </xf>
    <xf numFmtId="180" fontId="9" fillId="3" borderId="2981">
      <alignment horizontal="right" vertical="center"/>
    </xf>
    <xf numFmtId="192" fontId="9" fillId="3" borderId="2981">
      <alignment horizontal="right" vertical="center"/>
    </xf>
    <xf numFmtId="248" fontId="46" fillId="0" borderId="2981"/>
    <xf numFmtId="0" fontId="78" fillId="14" borderId="2971" applyFont="0" applyFill="0" applyBorder="0" applyAlignment="0" applyProtection="0"/>
    <xf numFmtId="0" fontId="12" fillId="0" borderId="2981" applyNumberFormat="0" applyFill="0" applyBorder="0" applyAlignment="0" applyProtection="0">
      <alignment horizontal="center"/>
    </xf>
    <xf numFmtId="0" fontId="75" fillId="0" borderId="2970" applyNumberFormat="0" applyFont="0" applyFill="0" applyAlignment="0" applyProtection="0"/>
    <xf numFmtId="0" fontId="113" fillId="0" borderId="2981" applyNumberFormat="0" applyFill="0" applyAlignment="0" applyProtection="0"/>
    <xf numFmtId="222" fontId="79" fillId="0" borderId="2980" applyBorder="0"/>
    <xf numFmtId="0" fontId="101" fillId="0" borderId="2981" applyBorder="0"/>
    <xf numFmtId="0" fontId="25" fillId="10" borderId="2988" applyNumberFormat="0" applyProtection="0">
      <alignment horizontal="left" vertical="top"/>
    </xf>
    <xf numFmtId="0" fontId="25" fillId="10" borderId="2989" applyNumberFormat="0" applyProtection="0">
      <alignment horizontal="left" vertical="top"/>
    </xf>
    <xf numFmtId="0" fontId="25" fillId="10" borderId="2990" applyNumberFormat="0" applyProtection="0">
      <alignment horizontal="left" vertical="top"/>
    </xf>
    <xf numFmtId="0" fontId="25" fillId="10" borderId="2991" applyNumberFormat="0" applyProtection="0">
      <alignment horizontal="left" vertical="top"/>
    </xf>
    <xf numFmtId="246" fontId="250" fillId="0" borderId="2969" applyFill="0" applyProtection="0">
      <alignment horizontal="center"/>
    </xf>
    <xf numFmtId="246" fontId="249" fillId="0" borderId="2969" applyFill="0" applyProtection="0">
      <alignment horizontal="center"/>
    </xf>
    <xf numFmtId="0" fontId="241" fillId="94" borderId="2969" applyBorder="0" applyProtection="0">
      <alignment horizontal="centerContinuous" vertical="center"/>
    </xf>
    <xf numFmtId="254" fontId="240" fillId="0" borderId="2969" applyBorder="0" applyProtection="0">
      <alignment horizontal="right" vertical="center"/>
    </xf>
    <xf numFmtId="0" fontId="210" fillId="0" borderId="2969" applyNumberFormat="0" applyFill="0" applyBorder="0" applyAlignment="0">
      <protection locked="0"/>
    </xf>
    <xf numFmtId="264" fontId="12" fillId="14" borderId="2969" applyFont="0" applyFill="0" applyBorder="0" applyAlignment="0" applyProtection="0">
      <alignment horizontal="right"/>
    </xf>
    <xf numFmtId="0" fontId="166" fillId="0" borderId="2969">
      <alignment horizontal="center"/>
    </xf>
    <xf numFmtId="0" fontId="165" fillId="0" borderId="2969" applyFill="0" applyProtection="0">
      <alignment horizontal="center"/>
    </xf>
    <xf numFmtId="186" fontId="146" fillId="3" borderId="2969" applyBorder="0">
      <alignment horizontal="left" vertical="center"/>
    </xf>
    <xf numFmtId="180" fontId="9" fillId="3" borderId="2969">
      <alignment horizontal="right" vertical="center"/>
    </xf>
    <xf numFmtId="192" fontId="9" fillId="3" borderId="2969">
      <alignment horizontal="right" vertical="center"/>
    </xf>
    <xf numFmtId="248" fontId="46" fillId="0" borderId="2969"/>
    <xf numFmtId="0" fontId="12" fillId="0" borderId="2969" applyNumberFormat="0" applyFill="0" applyBorder="0" applyAlignment="0" applyProtection="0">
      <alignment horizontal="center"/>
    </xf>
    <xf numFmtId="0" fontId="113" fillId="0" borderId="2969" applyNumberFormat="0" applyFill="0" applyAlignment="0" applyProtection="0"/>
    <xf numFmtId="222" fontId="79" fillId="0" borderId="2968" applyBorder="0"/>
    <xf numFmtId="0" fontId="101" fillId="0" borderId="2969" applyBorder="0"/>
    <xf numFmtId="246" fontId="250" fillId="0" borderId="2969" applyFill="0" applyProtection="0">
      <alignment horizontal="center"/>
    </xf>
    <xf numFmtId="246" fontId="249" fillId="0" borderId="2969" applyFill="0" applyProtection="0">
      <alignment horizontal="center"/>
    </xf>
    <xf numFmtId="0" fontId="241" fillId="94" borderId="2969" applyBorder="0" applyProtection="0">
      <alignment horizontal="centerContinuous" vertical="center"/>
    </xf>
    <xf numFmtId="254" fontId="240" fillId="0" borderId="2969" applyBorder="0" applyProtection="0">
      <alignment horizontal="right" vertical="center"/>
    </xf>
    <xf numFmtId="0" fontId="210" fillId="0" borderId="2969" applyNumberFormat="0" applyFill="0" applyBorder="0" applyAlignment="0">
      <protection locked="0"/>
    </xf>
    <xf numFmtId="264" fontId="12" fillId="14" borderId="2969" applyFont="0" applyFill="0" applyBorder="0" applyAlignment="0" applyProtection="0">
      <alignment horizontal="right"/>
    </xf>
    <xf numFmtId="0" fontId="166" fillId="0" borderId="2969">
      <alignment horizontal="center"/>
    </xf>
    <xf numFmtId="0" fontId="165" fillId="0" borderId="2969" applyFill="0" applyProtection="0">
      <alignment horizontal="center"/>
    </xf>
    <xf numFmtId="186" fontId="146" fillId="3" borderId="2969" applyBorder="0">
      <alignment horizontal="left" vertical="center"/>
    </xf>
    <xf numFmtId="180" fontId="9" fillId="3" borderId="2969">
      <alignment horizontal="right" vertical="center"/>
    </xf>
    <xf numFmtId="192" fontId="9" fillId="3" borderId="2969">
      <alignment horizontal="right" vertical="center"/>
    </xf>
    <xf numFmtId="0" fontId="12" fillId="0" borderId="2969" applyNumberFormat="0" applyFill="0" applyBorder="0" applyAlignment="0" applyProtection="0">
      <alignment horizontal="center"/>
    </xf>
    <xf numFmtId="0" fontId="113" fillId="0" borderId="2969" applyNumberFormat="0" applyFill="0" applyAlignment="0" applyProtection="0"/>
    <xf numFmtId="222" fontId="79" fillId="0" borderId="2968" applyBorder="0"/>
    <xf numFmtId="0" fontId="101" fillId="0" borderId="2969" applyBorder="0"/>
    <xf numFmtId="248" fontId="46" fillId="0" borderId="2969"/>
    <xf numFmtId="246" fontId="250" fillId="0" borderId="2969" applyFill="0" applyProtection="0">
      <alignment horizontal="center"/>
    </xf>
    <xf numFmtId="246" fontId="249" fillId="0" borderId="2969" applyFill="0" applyProtection="0">
      <alignment horizontal="center"/>
    </xf>
    <xf numFmtId="0" fontId="241" fillId="94" borderId="2969" applyBorder="0" applyProtection="0">
      <alignment horizontal="centerContinuous" vertical="center"/>
    </xf>
    <xf numFmtId="254" fontId="240" fillId="0" borderId="2969" applyBorder="0" applyProtection="0">
      <alignment horizontal="right" vertical="center"/>
    </xf>
    <xf numFmtId="0" fontId="210" fillId="0" borderId="2969" applyNumberFormat="0" applyFill="0" applyBorder="0" applyAlignment="0">
      <protection locked="0"/>
    </xf>
    <xf numFmtId="264" fontId="12" fillId="14" borderId="2969" applyFont="0" applyFill="0" applyBorder="0" applyAlignment="0" applyProtection="0">
      <alignment horizontal="right"/>
    </xf>
    <xf numFmtId="0" fontId="166" fillId="0" borderId="2969">
      <alignment horizontal="center"/>
    </xf>
    <xf numFmtId="0" fontId="165" fillId="0" borderId="2969" applyFill="0" applyProtection="0">
      <alignment horizontal="center"/>
    </xf>
    <xf numFmtId="186" fontId="146" fillId="3" borderId="2969" applyBorder="0">
      <alignment horizontal="left" vertical="center"/>
    </xf>
    <xf numFmtId="180" fontId="9" fillId="3" borderId="2969">
      <alignment horizontal="right" vertical="center"/>
    </xf>
    <xf numFmtId="192" fontId="9" fillId="3" borderId="2969">
      <alignment horizontal="right" vertical="center"/>
    </xf>
    <xf numFmtId="248" fontId="46" fillId="0" borderId="2969"/>
    <xf numFmtId="0" fontId="12" fillId="0" borderId="2969" applyNumberFormat="0" applyFill="0" applyBorder="0" applyAlignment="0" applyProtection="0">
      <alignment horizontal="center"/>
    </xf>
    <xf numFmtId="0" fontId="113" fillId="0" borderId="2969" applyNumberFormat="0" applyFill="0" applyAlignment="0" applyProtection="0"/>
    <xf numFmtId="222" fontId="79" fillId="0" borderId="2968" applyBorder="0"/>
    <xf numFmtId="0" fontId="101" fillId="0" borderId="2969" applyBorder="0"/>
    <xf numFmtId="222" fontId="79" fillId="0" borderId="3073" applyBorder="0"/>
    <xf numFmtId="0" fontId="113" fillId="0" borderId="3195" applyNumberFormat="0" applyFill="0" applyAlignment="0" applyProtection="0"/>
    <xf numFmtId="0" fontId="210" fillId="0" borderId="3183" applyNumberFormat="0" applyFill="0" applyBorder="0" applyAlignment="0">
      <protection locked="0"/>
    </xf>
    <xf numFmtId="0" fontId="241" fillId="94" borderId="3195" applyBorder="0" applyProtection="0">
      <alignment horizontal="centerContinuous" vertical="center"/>
    </xf>
    <xf numFmtId="246" fontId="250" fillId="0" borderId="4191" applyFill="0" applyProtection="0">
      <alignment horizontal="center"/>
    </xf>
    <xf numFmtId="190" fontId="2" fillId="0" borderId="3236" applyNumberFormat="0" applyAlignment="0" applyProtection="0"/>
    <xf numFmtId="190" fontId="210" fillId="0" borderId="3255" applyNumberFormat="0" applyFill="0" applyBorder="0" applyAlignment="0">
      <protection locked="0"/>
    </xf>
    <xf numFmtId="0" fontId="166" fillId="0" borderId="4191">
      <alignment horizontal="center"/>
    </xf>
    <xf numFmtId="190" fontId="166" fillId="0" borderId="3255">
      <alignment horizontal="center"/>
    </xf>
    <xf numFmtId="190" fontId="165" fillId="0" borderId="3255" applyFill="0" applyProtection="0">
      <alignment horizontal="center"/>
    </xf>
    <xf numFmtId="190" fontId="12" fillId="0" borderId="3255" applyNumberFormat="0" applyFill="0" applyBorder="0" applyAlignment="0" applyProtection="0">
      <alignment horizontal="center"/>
    </xf>
    <xf numFmtId="190" fontId="75" fillId="0" borderId="3232" applyNumberFormat="0" applyFont="0" applyFill="0" applyAlignment="0" applyProtection="0"/>
    <xf numFmtId="246" fontId="249" fillId="0" borderId="3255" applyFill="0" applyProtection="0">
      <alignment horizontal="center"/>
    </xf>
    <xf numFmtId="0" fontId="25" fillId="10" borderId="3265" applyNumberFormat="0" applyProtection="0">
      <alignment horizontal="left" vertical="top"/>
    </xf>
    <xf numFmtId="0" fontId="101" fillId="0" borderId="3255" applyBorder="0"/>
    <xf numFmtId="222" fontId="79" fillId="0" borderId="3254" applyBorder="0"/>
    <xf numFmtId="0" fontId="12" fillId="0" borderId="3255" applyNumberFormat="0" applyFill="0" applyBorder="0" applyAlignment="0" applyProtection="0">
      <alignment horizontal="center"/>
    </xf>
    <xf numFmtId="0" fontId="12" fillId="0" borderId="2993" applyNumberFormat="0" applyFill="0" applyBorder="0" applyAlignment="0" applyProtection="0"/>
    <xf numFmtId="0" fontId="46" fillId="0" borderId="2993" applyNumberFormat="0" applyFill="0" applyBorder="0" applyAlignment="0" applyProtection="0"/>
    <xf numFmtId="0" fontId="105" fillId="0" borderId="2993" applyNumberFormat="0" applyFill="0" applyBorder="0" applyAlignment="0" applyProtection="0"/>
    <xf numFmtId="0" fontId="48" fillId="0" borderId="2993" applyNumberFormat="0" applyFill="0" applyAlignment="0" applyProtection="0"/>
    <xf numFmtId="0" fontId="241" fillId="94" borderId="3255" applyBorder="0" applyProtection="0">
      <alignment horizontal="centerContinuous" vertical="center"/>
    </xf>
    <xf numFmtId="5" fontId="114" fillId="0" borderId="2992" applyAlignment="0" applyProtection="0"/>
    <xf numFmtId="0" fontId="25" fillId="10" borderId="3265" applyNumberFormat="0" applyProtection="0">
      <alignment horizontal="left" vertical="top"/>
    </xf>
    <xf numFmtId="0" fontId="25" fillId="10" borderId="3264" applyNumberFormat="0" applyProtection="0">
      <alignment horizontal="left" vertical="top"/>
    </xf>
    <xf numFmtId="0" fontId="25" fillId="10" borderId="3263" applyNumberFormat="0" applyProtection="0">
      <alignment horizontal="left" vertical="top"/>
    </xf>
    <xf numFmtId="0" fontId="25" fillId="10" borderId="3262" applyNumberFormat="0" applyProtection="0">
      <alignment horizontal="left" vertical="top"/>
    </xf>
    <xf numFmtId="186" fontId="140" fillId="3" borderId="3259">
      <alignment horizontal="center" vertical="center"/>
    </xf>
    <xf numFmtId="246" fontId="249" fillId="0" borderId="3243" applyFill="0" applyProtection="0">
      <alignment horizontal="center"/>
    </xf>
    <xf numFmtId="0" fontId="210" fillId="0" borderId="3243" applyNumberFormat="0" applyFill="0" applyBorder="0" applyAlignment="0">
      <protection locked="0"/>
    </xf>
    <xf numFmtId="264" fontId="12" fillId="14" borderId="3243" applyFont="0" applyFill="0" applyBorder="0" applyAlignment="0" applyProtection="0">
      <alignment horizontal="right"/>
    </xf>
    <xf numFmtId="192" fontId="9" fillId="3" borderId="3243">
      <alignment horizontal="right" vertical="center"/>
    </xf>
    <xf numFmtId="0" fontId="113" fillId="0" borderId="3243" applyNumberFormat="0" applyFill="0" applyAlignment="0" applyProtection="0"/>
    <xf numFmtId="222" fontId="79" fillId="0" borderId="3242" applyBorder="0"/>
    <xf numFmtId="0" fontId="75" fillId="0" borderId="3232" applyNumberFormat="0" applyFont="0" applyFill="0" applyAlignment="0" applyProtection="0"/>
    <xf numFmtId="186" fontId="146" fillId="3" borderId="3234">
      <alignment horizontal="left"/>
    </xf>
    <xf numFmtId="0" fontId="25" fillId="10" borderId="3239" applyNumberFormat="0" applyProtection="0">
      <alignment horizontal="left" vertical="top"/>
    </xf>
    <xf numFmtId="0" fontId="25" fillId="10" borderId="3240" applyNumberFormat="0" applyProtection="0">
      <alignment horizontal="left" vertical="top"/>
    </xf>
    <xf numFmtId="0" fontId="25" fillId="10" borderId="3241" applyNumberFormat="0" applyProtection="0">
      <alignment horizontal="left" vertical="top"/>
    </xf>
    <xf numFmtId="246" fontId="250" fillId="0" borderId="3219" applyFill="0" applyProtection="0">
      <alignment horizontal="center"/>
    </xf>
    <xf numFmtId="246" fontId="249" fillId="0" borderId="3219" applyFill="0" applyProtection="0">
      <alignment horizontal="center"/>
    </xf>
    <xf numFmtId="0" fontId="241" fillId="94" borderId="3219" applyBorder="0" applyProtection="0">
      <alignment horizontal="centerContinuous" vertical="center"/>
    </xf>
    <xf numFmtId="0" fontId="210" fillId="0" borderId="3219" applyNumberFormat="0" applyFill="0" applyBorder="0" applyAlignment="0">
      <protection locked="0"/>
    </xf>
    <xf numFmtId="0" fontId="165" fillId="0" borderId="3219" applyFill="0" applyProtection="0">
      <alignment horizontal="center"/>
    </xf>
    <xf numFmtId="192" fontId="9" fillId="3" borderId="3219">
      <alignment horizontal="right" vertical="center"/>
    </xf>
    <xf numFmtId="0" fontId="113" fillId="0" borderId="3219" applyNumberFormat="0" applyFill="0" applyAlignment="0" applyProtection="0"/>
    <xf numFmtId="222" fontId="79" fillId="0" borderId="3218" applyBorder="0"/>
    <xf numFmtId="186" fontId="140" fillId="3" borderId="3211">
      <alignment horizontal="center" vertical="center"/>
    </xf>
    <xf numFmtId="0" fontId="25" fillId="10" borderId="3214" applyNumberFormat="0" applyProtection="0">
      <alignment horizontal="left" vertical="top"/>
    </xf>
    <xf numFmtId="0" fontId="25" fillId="10" borderId="3217" applyNumberFormat="0" applyProtection="0">
      <alignment horizontal="left" vertical="top"/>
    </xf>
    <xf numFmtId="0" fontId="78" fillId="14" borderId="3185" applyFont="0" applyFill="0" applyBorder="0" applyAlignment="0" applyProtection="0"/>
    <xf numFmtId="186" fontId="140" fillId="3" borderId="3199">
      <alignment horizontal="center" vertical="center"/>
    </xf>
    <xf numFmtId="0" fontId="241" fillId="94" borderId="3195" applyBorder="0" applyProtection="0">
      <alignment horizontal="centerContinuous" vertical="center"/>
    </xf>
    <xf numFmtId="254" fontId="240" fillId="0" borderId="3195" applyBorder="0" applyProtection="0">
      <alignment horizontal="right" vertical="center"/>
    </xf>
    <xf numFmtId="0" fontId="210" fillId="0" borderId="3195" applyNumberFormat="0" applyFill="0" applyBorder="0" applyAlignment="0">
      <protection locked="0"/>
    </xf>
    <xf numFmtId="264" fontId="12" fillId="14" borderId="3195" applyFont="0" applyFill="0" applyBorder="0" applyAlignment="0" applyProtection="0">
      <alignment horizontal="right"/>
    </xf>
    <xf numFmtId="186" fontId="140" fillId="3" borderId="3187">
      <alignment horizontal="center" vertical="center"/>
    </xf>
    <xf numFmtId="186" fontId="146" fillId="3" borderId="3186">
      <alignment horizontal="left"/>
    </xf>
    <xf numFmtId="222" fontId="79" fillId="0" borderId="3194" applyBorder="0"/>
    <xf numFmtId="180" fontId="9" fillId="3" borderId="3183">
      <alignment horizontal="right" vertical="center"/>
    </xf>
    <xf numFmtId="192" fontId="9" fillId="3" borderId="3183">
      <alignment horizontal="right" vertical="center"/>
    </xf>
    <xf numFmtId="248" fontId="46" fillId="0" borderId="3183"/>
    <xf numFmtId="0" fontId="12" fillId="0" borderId="3183" applyNumberFormat="0" applyFill="0" applyBorder="0" applyAlignment="0" applyProtection="0">
      <alignment horizontal="center"/>
    </xf>
    <xf numFmtId="0" fontId="101" fillId="0" borderId="3183" applyBorder="0"/>
    <xf numFmtId="222" fontId="79" fillId="0" borderId="3073" applyBorder="0"/>
    <xf numFmtId="0" fontId="78" fillId="14" borderId="3064" applyFont="0" applyFill="0" applyBorder="0" applyAlignment="0" applyProtection="0"/>
    <xf numFmtId="222" fontId="79" fillId="0" borderId="3073" applyBorder="0"/>
    <xf numFmtId="0" fontId="25" fillId="10" borderId="3192" applyNumberFormat="0" applyProtection="0">
      <alignment horizontal="left" vertical="top"/>
    </xf>
    <xf numFmtId="0" fontId="214" fillId="0" borderId="3189" applyNumberFormat="0" applyFont="0" applyFill="0" applyAlignment="0" applyProtection="0"/>
    <xf numFmtId="186" fontId="146" fillId="3" borderId="3186">
      <alignment horizontal="left"/>
    </xf>
    <xf numFmtId="0" fontId="75" fillId="0" borderId="3184" applyNumberFormat="0" applyFont="0" applyFill="0" applyAlignment="0" applyProtection="0"/>
    <xf numFmtId="222" fontId="79" fillId="0" borderId="3194" applyBorder="0"/>
    <xf numFmtId="248" fontId="46" fillId="0" borderId="3195"/>
    <xf numFmtId="192" fontId="9" fillId="3" borderId="3195">
      <alignment horizontal="right" vertical="center"/>
    </xf>
    <xf numFmtId="180" fontId="9" fillId="3" borderId="3195">
      <alignment horizontal="right" vertical="center"/>
    </xf>
    <xf numFmtId="186" fontId="146" fillId="3" borderId="3195" applyBorder="0">
      <alignment horizontal="left" vertical="center"/>
    </xf>
    <xf numFmtId="0" fontId="165" fillId="0" borderId="3195" applyFill="0" applyProtection="0">
      <alignment horizontal="center"/>
    </xf>
    <xf numFmtId="0" fontId="166" fillId="0" borderId="3195">
      <alignment horizontal="center"/>
    </xf>
    <xf numFmtId="264" fontId="12" fillId="14" borderId="3195" applyFont="0" applyFill="0" applyBorder="0" applyAlignment="0" applyProtection="0">
      <alignment horizontal="right"/>
    </xf>
    <xf numFmtId="0" fontId="210" fillId="0" borderId="3195" applyNumberFormat="0" applyFill="0" applyBorder="0" applyAlignment="0">
      <protection locked="0"/>
    </xf>
    <xf numFmtId="254" fontId="240" fillId="0" borderId="3195" applyBorder="0" applyProtection="0">
      <alignment horizontal="right" vertical="center"/>
    </xf>
    <xf numFmtId="0" fontId="241" fillId="94" borderId="3195" applyBorder="0" applyProtection="0">
      <alignment horizontal="centerContinuous" vertical="center"/>
    </xf>
    <xf numFmtId="0" fontId="2" fillId="0" borderId="3248" applyNumberFormat="0" applyAlignment="0" applyProtection="0"/>
    <xf numFmtId="0" fontId="74" fillId="0" borderId="2992" applyFont="0" applyFill="0" applyBorder="0" applyAlignment="0" applyProtection="0">
      <alignment horizontal="center"/>
    </xf>
    <xf numFmtId="0" fontId="48" fillId="0" borderId="2992" applyFont="0" applyFill="0" applyBorder="0" applyAlignment="0" applyProtection="0">
      <alignment horizontal="center"/>
    </xf>
    <xf numFmtId="0" fontId="25" fillId="10" borderId="3250" applyNumberFormat="0" applyProtection="0">
      <alignment horizontal="left" vertical="top"/>
    </xf>
    <xf numFmtId="222" fontId="79" fillId="0" borderId="3073" applyBorder="0"/>
    <xf numFmtId="186" fontId="146" fillId="3" borderId="3246">
      <alignment horizontal="left"/>
    </xf>
    <xf numFmtId="186" fontId="140" fillId="3" borderId="3247">
      <alignment horizontal="center" vertical="center"/>
    </xf>
    <xf numFmtId="0" fontId="25" fillId="10" borderId="3018" applyNumberFormat="0" applyProtection="0">
      <alignment horizontal="left" vertical="top"/>
    </xf>
    <xf numFmtId="0" fontId="25" fillId="10" borderId="3021" applyNumberFormat="0" applyProtection="0">
      <alignment horizontal="left" vertical="top"/>
    </xf>
    <xf numFmtId="0" fontId="78" fillId="14" borderId="3064" applyFont="0" applyFill="0" applyBorder="0" applyAlignment="0" applyProtection="0"/>
    <xf numFmtId="0" fontId="78" fillId="14" borderId="3221" applyFont="0" applyFill="0" applyBorder="0" applyAlignment="0" applyProtection="0"/>
    <xf numFmtId="0" fontId="214" fillId="0" borderId="3225" applyNumberFormat="0" applyFont="0" applyFill="0" applyAlignment="0" applyProtection="0"/>
    <xf numFmtId="186" fontId="146" fillId="3" borderId="3231" applyBorder="0">
      <alignment horizontal="left" vertical="center"/>
    </xf>
    <xf numFmtId="0" fontId="166" fillId="0" borderId="3231">
      <alignment horizontal="center"/>
    </xf>
    <xf numFmtId="0" fontId="241" fillId="94" borderId="3231" applyBorder="0" applyProtection="0">
      <alignment horizontal="centerContinuous" vertical="center"/>
    </xf>
    <xf numFmtId="0" fontId="241" fillId="94" borderId="3207" applyBorder="0" applyProtection="0">
      <alignment horizontal="centerContinuous" vertical="center"/>
    </xf>
    <xf numFmtId="254" fontId="240" fillId="0" borderId="3207" applyBorder="0" applyProtection="0">
      <alignment horizontal="right" vertical="center"/>
    </xf>
    <xf numFmtId="0" fontId="165" fillId="0" borderId="3207" applyFill="0" applyProtection="0">
      <alignment horizontal="center"/>
    </xf>
    <xf numFmtId="0" fontId="25" fillId="10" borderId="3193" applyNumberFormat="0" applyProtection="0">
      <alignment horizontal="left" vertical="top"/>
    </xf>
    <xf numFmtId="0" fontId="25" fillId="10" borderId="3192" applyNumberFormat="0" applyProtection="0">
      <alignment horizontal="left" vertical="top"/>
    </xf>
    <xf numFmtId="0" fontId="75" fillId="0" borderId="3184" applyNumberFormat="0" applyFont="0" applyFill="0" applyAlignment="0" applyProtection="0"/>
    <xf numFmtId="0" fontId="214" fillId="0" borderId="3249" applyNumberFormat="0" applyFont="0" applyFill="0" applyAlignment="0" applyProtection="0"/>
    <xf numFmtId="222" fontId="79" fillId="0" borderId="3194" applyBorder="0"/>
    <xf numFmtId="0" fontId="25" fillId="10" borderId="3253" applyNumberFormat="0" applyProtection="0">
      <alignment horizontal="left" vertical="top"/>
    </xf>
    <xf numFmtId="254" fontId="240" fillId="0" borderId="3074" applyBorder="0" applyProtection="0">
      <alignment horizontal="right" vertical="center"/>
    </xf>
    <xf numFmtId="0" fontId="210" fillId="0" borderId="3074" applyNumberFormat="0" applyFill="0" applyBorder="0" applyAlignment="0">
      <protection locked="0"/>
    </xf>
    <xf numFmtId="264" fontId="12" fillId="14" borderId="3074" applyFont="0" applyFill="0" applyBorder="0" applyAlignment="0" applyProtection="0">
      <alignment horizontal="right"/>
    </xf>
    <xf numFmtId="0" fontId="166" fillId="0" borderId="3074">
      <alignment horizontal="center"/>
    </xf>
    <xf numFmtId="0" fontId="165" fillId="0" borderId="3074" applyFill="0" applyProtection="0">
      <alignment horizontal="center"/>
    </xf>
    <xf numFmtId="186" fontId="146" fillId="3" borderId="3074" applyBorder="0">
      <alignment horizontal="left" vertical="center"/>
    </xf>
    <xf numFmtId="182" fontId="145" fillId="3" borderId="2992">
      <alignment horizontal="right" vertical="center"/>
    </xf>
    <xf numFmtId="180" fontId="9" fillId="3" borderId="3074">
      <alignment horizontal="right" vertical="center"/>
    </xf>
    <xf numFmtId="186" fontId="146" fillId="3" borderId="3198">
      <alignment horizontal="left"/>
    </xf>
    <xf numFmtId="0" fontId="214" fillId="0" borderId="3201" applyNumberFormat="0" applyFont="0" applyFill="0" applyAlignment="0" applyProtection="0"/>
    <xf numFmtId="186" fontId="48" fillId="3" borderId="2992">
      <alignment vertical="center"/>
    </xf>
    <xf numFmtId="0" fontId="25" fillId="10" borderId="3202" applyNumberFormat="0" applyProtection="0">
      <alignment horizontal="left" vertical="top"/>
    </xf>
    <xf numFmtId="0" fontId="25" fillId="10" borderId="3204" applyNumberFormat="0" applyProtection="0">
      <alignment horizontal="left" vertical="top"/>
    </xf>
    <xf numFmtId="222" fontId="79" fillId="0" borderId="3218" applyBorder="0"/>
    <xf numFmtId="0" fontId="135" fillId="0" borderId="2994"/>
    <xf numFmtId="0" fontId="135" fillId="0" borderId="2994"/>
    <xf numFmtId="0" fontId="25" fillId="10" borderId="3229" applyNumberFormat="0" applyProtection="0">
      <alignment horizontal="left" vertical="top"/>
    </xf>
    <xf numFmtId="0" fontId="25" fillId="10" borderId="3226" applyNumberFormat="0" applyProtection="0">
      <alignment horizontal="left" vertical="top"/>
    </xf>
    <xf numFmtId="222" fontId="79" fillId="0" borderId="3230" applyBorder="0"/>
    <xf numFmtId="180" fontId="9" fillId="3" borderId="3231">
      <alignment horizontal="right" vertical="center"/>
    </xf>
    <xf numFmtId="254" fontId="240" fillId="0" borderId="3231" applyBorder="0" applyProtection="0">
      <alignment horizontal="right" vertical="center"/>
    </xf>
    <xf numFmtId="246" fontId="249" fillId="0" borderId="3231" applyFill="0" applyProtection="0">
      <alignment horizontal="center"/>
    </xf>
    <xf numFmtId="246" fontId="250" fillId="0" borderId="3231" applyFill="0" applyProtection="0">
      <alignment horizontal="center"/>
    </xf>
    <xf numFmtId="264" fontId="12" fillId="14" borderId="3207" applyFont="0" applyFill="0" applyBorder="0" applyAlignment="0" applyProtection="0">
      <alignment horizontal="right"/>
    </xf>
    <xf numFmtId="186" fontId="146" fillId="3" borderId="3207" applyBorder="0">
      <alignment horizontal="left" vertical="center"/>
    </xf>
    <xf numFmtId="180" fontId="9" fillId="3" borderId="3207">
      <alignment horizontal="right" vertical="center"/>
    </xf>
    <xf numFmtId="192" fontId="9" fillId="3" borderId="3207">
      <alignment horizontal="right" vertical="center"/>
    </xf>
    <xf numFmtId="248" fontId="46" fillId="0" borderId="3207"/>
    <xf numFmtId="0" fontId="12" fillId="0" borderId="3207" applyNumberFormat="0" applyFill="0" applyBorder="0" applyAlignment="0" applyProtection="0">
      <alignment horizontal="center"/>
    </xf>
    <xf numFmtId="0" fontId="113" fillId="0" borderId="3207" applyNumberFormat="0" applyFill="0" applyAlignment="0" applyProtection="0"/>
    <xf numFmtId="0" fontId="210" fillId="0" borderId="3255" applyNumberFormat="0" applyFill="0" applyBorder="0" applyAlignment="0">
      <protection locked="0"/>
    </xf>
    <xf numFmtId="0" fontId="165" fillId="0" borderId="3255" applyFill="0" applyProtection="0">
      <alignment horizontal="center"/>
    </xf>
    <xf numFmtId="192" fontId="9" fillId="3" borderId="3255">
      <alignment horizontal="right" vertical="center"/>
    </xf>
    <xf numFmtId="248" fontId="46" fillId="0" borderId="3255"/>
    <xf numFmtId="222" fontId="79" fillId="0" borderId="3254" applyBorder="0"/>
    <xf numFmtId="0" fontId="78" fillId="14" borderId="3245" applyFont="0" applyFill="0" applyBorder="0" applyAlignment="0" applyProtection="0"/>
    <xf numFmtId="0" fontId="25" fillId="10" borderId="3252" applyNumberFormat="0" applyProtection="0">
      <alignment horizontal="left" vertical="top"/>
    </xf>
    <xf numFmtId="186" fontId="140" fillId="3" borderId="3187">
      <alignment horizontal="center" vertical="center"/>
    </xf>
    <xf numFmtId="0" fontId="2" fillId="0" borderId="3188" applyNumberFormat="0" applyAlignment="0" applyProtection="0"/>
    <xf numFmtId="0" fontId="25" fillId="10" borderId="3191" applyNumberFormat="0" applyProtection="0">
      <alignment horizontal="left" vertical="top"/>
    </xf>
    <xf numFmtId="0" fontId="25" fillId="10" borderId="3190" applyNumberFormat="0" applyProtection="0">
      <alignment horizontal="left" vertical="top"/>
    </xf>
    <xf numFmtId="0" fontId="25" fillId="10" borderId="3193" applyNumberFormat="0" applyProtection="0">
      <alignment horizontal="left" vertical="top"/>
    </xf>
    <xf numFmtId="0" fontId="159" fillId="0" borderId="2994"/>
    <xf numFmtId="0" fontId="159" fillId="67" borderId="2994"/>
    <xf numFmtId="0" fontId="75" fillId="0" borderId="3184" applyNumberFormat="0" applyFont="0" applyFill="0" applyAlignment="0" applyProtection="0"/>
    <xf numFmtId="186" fontId="146" fillId="3" borderId="3186">
      <alignment horizontal="left"/>
    </xf>
    <xf numFmtId="246" fontId="250" fillId="0" borderId="3183" applyFill="0" applyProtection="0">
      <alignment horizontal="center"/>
    </xf>
    <xf numFmtId="0" fontId="210" fillId="0" borderId="3183" applyNumberFormat="0" applyFill="0" applyBorder="0" applyAlignment="0">
      <protection locked="0"/>
    </xf>
    <xf numFmtId="264" fontId="12" fillId="14" borderId="3183" applyFont="0" applyFill="0" applyBorder="0" applyAlignment="0" applyProtection="0">
      <alignment horizontal="right"/>
    </xf>
    <xf numFmtId="180" fontId="9" fillId="3" borderId="3183">
      <alignment horizontal="right" vertical="center"/>
    </xf>
    <xf numFmtId="248" fontId="46" fillId="0" borderId="3183"/>
    <xf numFmtId="0" fontId="25" fillId="69" borderId="2994">
      <alignment horizontal="left" vertical="center" wrapText="1"/>
    </xf>
    <xf numFmtId="0" fontId="184" fillId="0" borderId="2995" applyAlignment="0">
      <alignment horizontal="left" wrapText="1"/>
    </xf>
    <xf numFmtId="246" fontId="249" fillId="0" borderId="3183" applyFill="0" applyProtection="0">
      <alignment horizontal="center"/>
    </xf>
    <xf numFmtId="0" fontId="241" fillId="94" borderId="3183" applyBorder="0" applyProtection="0">
      <alignment horizontal="centerContinuous" vertical="center"/>
    </xf>
    <xf numFmtId="254" fontId="240" fillId="0" borderId="3183" applyBorder="0" applyProtection="0">
      <alignment horizontal="right" vertical="center"/>
    </xf>
    <xf numFmtId="0" fontId="12" fillId="0" borderId="4035" applyNumberFormat="0" applyFill="0" applyBorder="0" applyAlignment="0" applyProtection="0">
      <alignment horizontal="center"/>
    </xf>
    <xf numFmtId="4" fontId="223" fillId="53" borderId="2996" applyNumberFormat="0" applyProtection="0">
      <alignment vertical="center"/>
    </xf>
    <xf numFmtId="4" fontId="224" fillId="53" borderId="2996" applyNumberFormat="0" applyProtection="0">
      <alignment vertical="center"/>
    </xf>
    <xf numFmtId="4" fontId="184" fillId="53" borderId="2996" applyNumberFormat="0" applyProtection="0">
      <alignment horizontal="left" vertical="center" indent="1"/>
    </xf>
    <xf numFmtId="0" fontId="225" fillId="53" borderId="2996" applyNumberFormat="0" applyProtection="0">
      <alignment horizontal="left" vertical="top" indent="1"/>
    </xf>
    <xf numFmtId="4" fontId="226" fillId="76" borderId="2996" applyNumberFormat="0" applyProtection="0">
      <alignment horizontal="right" vertical="center"/>
    </xf>
    <xf numFmtId="4" fontId="226" fillId="77" borderId="2996" applyNumberFormat="0" applyProtection="0">
      <alignment horizontal="right" vertical="center"/>
    </xf>
    <xf numFmtId="4" fontId="226" fillId="78" borderId="2996" applyNumberFormat="0" applyProtection="0">
      <alignment horizontal="right" vertical="center"/>
    </xf>
    <xf numFmtId="4" fontId="226" fillId="10" borderId="2996" applyNumberFormat="0" applyProtection="0">
      <alignment horizontal="right" vertical="center"/>
    </xf>
    <xf numFmtId="4" fontId="226" fillId="79" borderId="2996" applyNumberFormat="0" applyProtection="0">
      <alignment horizontal="right" vertical="center"/>
    </xf>
    <xf numFmtId="4" fontId="226" fillId="71" borderId="2996" applyNumberFormat="0" applyProtection="0">
      <alignment horizontal="right" vertical="center"/>
    </xf>
    <xf numFmtId="4" fontId="226" fillId="80" borderId="2996" applyNumberFormat="0" applyProtection="0">
      <alignment horizontal="right" vertical="center"/>
    </xf>
    <xf numFmtId="4" fontId="226" fillId="81" borderId="2996" applyNumberFormat="0" applyProtection="0">
      <alignment horizontal="right" vertical="center"/>
    </xf>
    <xf numFmtId="4" fontId="226" fillId="82" borderId="2996" applyNumberFormat="0" applyProtection="0">
      <alignment horizontal="right" vertical="center"/>
    </xf>
    <xf numFmtId="4" fontId="184" fillId="52" borderId="2996" applyNumberFormat="0" applyProtection="0">
      <alignment horizontal="right" vertical="center"/>
    </xf>
    <xf numFmtId="0" fontId="12" fillId="75" borderId="2996" applyNumberFormat="0" applyProtection="0">
      <alignment horizontal="left" vertical="center" indent="1"/>
    </xf>
    <xf numFmtId="0" fontId="12" fillId="75" borderId="2996" applyNumberFormat="0" applyProtection="0">
      <alignment horizontal="left" vertical="top" indent="1"/>
    </xf>
    <xf numFmtId="0" fontId="12" fillId="84" borderId="2996" applyNumberFormat="0" applyProtection="0">
      <alignment horizontal="left" vertical="center" indent="1"/>
    </xf>
    <xf numFmtId="0" fontId="12" fillId="84" borderId="2996" applyNumberFormat="0" applyProtection="0">
      <alignment horizontal="left" vertical="top" indent="1"/>
    </xf>
    <xf numFmtId="0" fontId="12" fillId="52" borderId="2996" applyNumberFormat="0" applyProtection="0">
      <alignment horizontal="left" vertical="center" indent="1"/>
    </xf>
    <xf numFmtId="0" fontId="12" fillId="52" borderId="2996" applyNumberFormat="0" applyProtection="0">
      <alignment horizontal="left" vertical="top" indent="1"/>
    </xf>
    <xf numFmtId="0" fontId="12" fillId="11" borderId="2996" applyNumberFormat="0" applyProtection="0">
      <alignment horizontal="left" vertical="center" indent="1"/>
    </xf>
    <xf numFmtId="0" fontId="12" fillId="11" borderId="2996" applyNumberFormat="0" applyProtection="0">
      <alignment horizontal="left" vertical="top" indent="1"/>
    </xf>
    <xf numFmtId="4" fontId="226" fillId="11" borderId="2996" applyNumberFormat="0" applyProtection="0">
      <alignment vertical="center"/>
    </xf>
    <xf numFmtId="4" fontId="228" fillId="11" borderId="2996" applyNumberFormat="0" applyProtection="0">
      <alignment vertical="center"/>
    </xf>
    <xf numFmtId="4" fontId="227" fillId="52" borderId="2997" applyNumberFormat="0" applyProtection="0">
      <alignment horizontal="left" vertical="center" indent="1"/>
    </xf>
    <xf numFmtId="0" fontId="136" fillId="14" borderId="2996" applyNumberFormat="0" applyProtection="0">
      <alignment horizontal="left" vertical="top" indent="1"/>
    </xf>
    <xf numFmtId="4" fontId="184" fillId="11" borderId="2996" applyNumberFormat="0" applyProtection="0">
      <alignment horizontal="right" vertical="center"/>
    </xf>
    <xf numFmtId="4" fontId="228" fillId="11" borderId="2996" applyNumberFormat="0" applyProtection="0">
      <alignment horizontal="right" vertical="center"/>
    </xf>
    <xf numFmtId="4" fontId="223" fillId="52" borderId="2996" applyNumberFormat="0" applyProtection="0">
      <alignment horizontal="left" vertical="center" indent="1"/>
    </xf>
    <xf numFmtId="0" fontId="136" fillId="84" borderId="2996" applyNumberFormat="0" applyProtection="0">
      <alignment horizontal="left" vertical="top" indent="1"/>
    </xf>
    <xf numFmtId="4" fontId="229" fillId="84" borderId="2997" applyNumberFormat="0" applyProtection="0">
      <alignment horizontal="left" vertical="center" indent="1"/>
    </xf>
    <xf numFmtId="4" fontId="230" fillId="11" borderId="2996" applyNumberFormat="0" applyProtection="0">
      <alignment horizontal="right" vertical="center"/>
    </xf>
    <xf numFmtId="3" fontId="12" fillId="60" borderId="2998" applyFont="0" applyFill="0" applyBorder="0" applyAlignment="0" applyProtection="0"/>
    <xf numFmtId="4" fontId="12" fillId="60" borderId="2998" applyFont="0" applyFill="0" applyBorder="0" applyAlignment="0" applyProtection="0"/>
    <xf numFmtId="183" fontId="12" fillId="60" borderId="2998" applyFont="0" applyFill="0" applyBorder="0" applyAlignment="0" applyProtection="0"/>
    <xf numFmtId="10" fontId="12" fillId="60" borderId="2998" applyFont="0" applyFill="0" applyBorder="0" applyAlignment="0" applyProtection="0"/>
    <xf numFmtId="9" fontId="12" fillId="60" borderId="2998" applyFont="0" applyFill="0" applyBorder="0" applyAlignment="0" applyProtection="0"/>
    <xf numFmtId="2" fontId="12" fillId="60" borderId="2998" applyFont="0" applyFill="0" applyBorder="0" applyAlignment="0" applyProtection="0"/>
    <xf numFmtId="0" fontId="25" fillId="10" borderId="2994" applyNumberFormat="0" applyProtection="0">
      <alignment horizontal="center" vertical="top"/>
    </xf>
    <xf numFmtId="0" fontId="25" fillId="10" borderId="2994" applyNumberFormat="0" applyProtection="0">
      <alignment horizontal="center" vertical="top"/>
    </xf>
    <xf numFmtId="169" fontId="234" fillId="3" borderId="2994" applyFont="0" applyProtection="0"/>
    <xf numFmtId="169" fontId="234" fillId="10" borderId="2994" applyFont="0" applyProtection="0"/>
    <xf numFmtId="293" fontId="234" fillId="3" borderId="2994" applyFont="0" applyProtection="0"/>
    <xf numFmtId="293" fontId="234" fillId="10" borderId="2994" applyFont="0" applyProtection="0"/>
    <xf numFmtId="293" fontId="234" fillId="10" borderId="2994" applyFont="0" applyProtection="0"/>
    <xf numFmtId="0" fontId="12" fillId="3" borderId="2994" applyNumberFormat="0" applyFont="0" applyAlignment="0" applyProtection="0"/>
    <xf numFmtId="0" fontId="12" fillId="10" borderId="2994" applyNumberFormat="0" applyFont="0" applyAlignment="0" applyProtection="0"/>
    <xf numFmtId="0" fontId="12" fillId="10" borderId="2994" applyNumberFormat="0" applyFont="0" applyProtection="0"/>
    <xf numFmtId="0" fontId="25" fillId="10" borderId="2999" applyNumberFormat="0" applyProtection="0">
      <alignment horizontal="left"/>
    </xf>
    <xf numFmtId="0" fontId="25" fillId="10" borderId="3000" applyNumberFormat="0" applyProtection="0">
      <alignment horizontal="left" vertical="top"/>
    </xf>
    <xf numFmtId="0" fontId="25" fillId="10" borderId="3001" applyNumberFormat="0" applyProtection="0">
      <alignment horizontal="left" vertical="top"/>
    </xf>
    <xf numFmtId="0" fontId="25" fillId="10" borderId="3002" applyNumberFormat="0" applyProtection="0">
      <alignment horizontal="left" vertical="top"/>
    </xf>
    <xf numFmtId="0" fontId="25" fillId="10" borderId="3003" applyNumberFormat="0" applyProtection="0">
      <alignment horizontal="left" vertical="top"/>
    </xf>
    <xf numFmtId="0" fontId="25" fillId="10" borderId="3004" applyNumberFormat="0" applyProtection="0">
      <alignment horizontal="left" vertical="top"/>
    </xf>
    <xf numFmtId="0" fontId="25" fillId="10" borderId="3005" applyNumberFormat="0" applyProtection="0">
      <alignment horizontal="left" vertical="top"/>
    </xf>
    <xf numFmtId="0" fontId="12" fillId="0" borderId="2993" applyNumberFormat="0" applyFill="0" applyBorder="0" applyAlignment="0" applyProtection="0"/>
    <xf numFmtId="10" fontId="12" fillId="3" borderId="3006" applyNumberFormat="0" applyFont="0" applyFill="0" applyBorder="0" applyAlignment="0">
      <protection locked="0"/>
    </xf>
    <xf numFmtId="0" fontId="12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0" fontId="12" fillId="0" borderId="3183" applyNumberFormat="0" applyFill="0" applyBorder="0" applyAlignment="0" applyProtection="0">
      <alignment horizontal="center"/>
    </xf>
    <xf numFmtId="254" fontId="240" fillId="0" borderId="3195" applyBorder="0" applyProtection="0">
      <alignment horizontal="right" vertical="center"/>
    </xf>
    <xf numFmtId="264" fontId="12" fillId="14" borderId="3255" applyFont="0" applyFill="0" applyBorder="0" applyAlignment="0" applyProtection="0">
      <alignment horizontal="right"/>
    </xf>
    <xf numFmtId="0" fontId="25" fillId="10" borderId="3035" applyNumberFormat="0" applyProtection="0">
      <alignment horizontal="left" vertical="top"/>
    </xf>
    <xf numFmtId="254" fontId="240" fillId="0" borderId="3255" applyBorder="0" applyProtection="0">
      <alignment horizontal="right" vertical="center"/>
    </xf>
    <xf numFmtId="0" fontId="166" fillId="0" borderId="3195">
      <alignment horizontal="center"/>
    </xf>
    <xf numFmtId="186" fontId="146" fillId="3" borderId="3186">
      <alignment horizontal="left"/>
    </xf>
    <xf numFmtId="0" fontId="78" fillId="14" borderId="3064" applyFont="0" applyFill="0" applyBorder="0" applyAlignment="0" applyProtection="0"/>
    <xf numFmtId="246" fontId="249" fillId="0" borderId="3183" applyFill="0" applyProtection="0">
      <alignment horizontal="center"/>
    </xf>
    <xf numFmtId="0" fontId="78" fillId="14" borderId="2971" applyFont="0" applyFill="0" applyBorder="0" applyAlignment="0" applyProtection="0"/>
    <xf numFmtId="180" fontId="9" fillId="3" borderId="4191">
      <alignment horizontal="right" vertical="center"/>
    </xf>
    <xf numFmtId="192" fontId="9" fillId="3" borderId="3183">
      <alignment horizontal="right" vertical="center"/>
    </xf>
    <xf numFmtId="0" fontId="75" fillId="0" borderId="4204" applyNumberFormat="0" applyFont="0" applyFill="0" applyAlignment="0" applyProtection="0"/>
    <xf numFmtId="222" fontId="79" fillId="0" borderId="3007" applyBorder="0"/>
    <xf numFmtId="0" fontId="78" fillId="14" borderId="4217" applyFont="0" applyFill="0" applyBorder="0" applyAlignment="0" applyProtection="0"/>
    <xf numFmtId="186" fontId="146" fillId="3" borderId="4194">
      <alignment horizontal="left"/>
    </xf>
    <xf numFmtId="0" fontId="101" fillId="0" borderId="3010" applyBorder="0"/>
    <xf numFmtId="222" fontId="79" fillId="0" borderId="3007" applyBorder="0"/>
    <xf numFmtId="0" fontId="113" fillId="0" borderId="3010" applyNumberFormat="0" applyFill="0" applyAlignment="0" applyProtection="0"/>
    <xf numFmtId="0" fontId="12" fillId="0" borderId="3010" applyNumberFormat="0" applyFill="0" applyBorder="0" applyAlignment="0" applyProtection="0">
      <alignment horizontal="center"/>
    </xf>
    <xf numFmtId="0" fontId="75" fillId="0" borderId="3184" applyNumberFormat="0" applyFont="0" applyFill="0" applyAlignment="0" applyProtection="0"/>
    <xf numFmtId="248" fontId="46" fillId="0" borderId="3010"/>
    <xf numFmtId="0" fontId="25" fillId="10" borderId="3227" applyNumberFormat="0" applyProtection="0">
      <alignment horizontal="left" vertical="top"/>
    </xf>
    <xf numFmtId="192" fontId="9" fillId="3" borderId="3074">
      <alignment horizontal="right" vertical="center"/>
    </xf>
    <xf numFmtId="192" fontId="9" fillId="3" borderId="3010">
      <alignment horizontal="right" vertical="center"/>
    </xf>
    <xf numFmtId="180" fontId="9" fillId="3" borderId="3010">
      <alignment horizontal="right" vertical="center"/>
    </xf>
    <xf numFmtId="186" fontId="146" fillId="3" borderId="3010" applyBorder="0">
      <alignment horizontal="left" vertical="center"/>
    </xf>
    <xf numFmtId="222" fontId="79" fillId="0" borderId="3206" applyBorder="0"/>
    <xf numFmtId="186" fontId="140" fillId="3" borderId="2949">
      <alignment horizontal="center" vertical="center"/>
    </xf>
    <xf numFmtId="188" fontId="25" fillId="0" borderId="3009" applyFont="0" applyFill="0" applyBorder="0" applyAlignment="0" applyProtection="0">
      <alignment horizontal="center"/>
    </xf>
    <xf numFmtId="2" fontId="12" fillId="14" borderId="3008" applyFill="0" applyBorder="0" applyProtection="0">
      <alignment horizontal="center"/>
    </xf>
    <xf numFmtId="0" fontId="5" fillId="0" borderId="3009">
      <alignment horizontal="left" vertical="center"/>
    </xf>
    <xf numFmtId="0" fontId="165" fillId="0" borderId="3010" applyFill="0" applyProtection="0">
      <alignment horizontal="center"/>
    </xf>
    <xf numFmtId="0" fontId="166" fillId="0" borderId="3010">
      <alignment horizontal="center"/>
    </xf>
    <xf numFmtId="188" fontId="25" fillId="0" borderId="3009" applyFont="0" applyFill="0" applyBorder="0" applyAlignment="0" applyProtection="0">
      <alignment horizontal="center"/>
    </xf>
    <xf numFmtId="264" fontId="12" fillId="14" borderId="3010" applyFont="0" applyFill="0" applyBorder="0" applyAlignment="0" applyProtection="0">
      <alignment horizontal="right"/>
    </xf>
    <xf numFmtId="188" fontId="25" fillId="0" borderId="3009" applyFont="0" applyFill="0" applyBorder="0" applyAlignment="0" applyProtection="0">
      <alignment horizontal="center"/>
    </xf>
    <xf numFmtId="0" fontId="12" fillId="0" borderId="3074" applyNumberFormat="0" applyFill="0" applyBorder="0" applyAlignment="0" applyProtection="0">
      <alignment horizontal="center"/>
    </xf>
    <xf numFmtId="192" fontId="9" fillId="3" borderId="3231">
      <alignment horizontal="right" vertical="center"/>
    </xf>
    <xf numFmtId="0" fontId="210" fillId="0" borderId="3010" applyNumberFormat="0" applyFill="0" applyBorder="0" applyAlignment="0">
      <protection locked="0"/>
    </xf>
    <xf numFmtId="0" fontId="214" fillId="0" borderId="2975" applyNumberFormat="0" applyFont="0" applyFill="0" applyAlignment="0" applyProtection="0"/>
    <xf numFmtId="0" fontId="25" fillId="10" borderId="2976" applyNumberFormat="0" applyProtection="0">
      <alignment horizontal="left" vertical="top"/>
    </xf>
    <xf numFmtId="0" fontId="25" fillId="10" borderId="2977" applyNumberFormat="0" applyProtection="0">
      <alignment horizontal="left" vertical="top"/>
    </xf>
    <xf numFmtId="0" fontId="25" fillId="10" borderId="2978" applyNumberFormat="0" applyProtection="0">
      <alignment horizontal="left" vertical="top"/>
    </xf>
    <xf numFmtId="0" fontId="25" fillId="10" borderId="2979" applyNumberFormat="0" applyProtection="0">
      <alignment horizontal="left" vertical="top"/>
    </xf>
    <xf numFmtId="0" fontId="25" fillId="10" borderId="2976" applyNumberFormat="0" applyProtection="0">
      <alignment horizontal="left" vertical="top"/>
    </xf>
    <xf numFmtId="0" fontId="25" fillId="10" borderId="2977" applyNumberFormat="0" applyProtection="0">
      <alignment horizontal="left" vertical="top"/>
    </xf>
    <xf numFmtId="0" fontId="25" fillId="10" borderId="2978" applyNumberFormat="0" applyProtection="0">
      <alignment horizontal="left" vertical="top"/>
    </xf>
    <xf numFmtId="0" fontId="25" fillId="10" borderId="2979" applyNumberFormat="0" applyProtection="0">
      <alignment horizontal="left" vertical="top"/>
    </xf>
    <xf numFmtId="254" fontId="240" fillId="0" borderId="3010" applyBorder="0" applyProtection="0">
      <alignment horizontal="right" vertical="center"/>
    </xf>
    <xf numFmtId="0" fontId="241" fillId="94" borderId="3010" applyBorder="0" applyProtection="0">
      <alignment horizontal="centerContinuous" vertical="center"/>
    </xf>
    <xf numFmtId="1" fontId="74" fillId="0" borderId="3009" applyFill="0" applyBorder="0" applyProtection="0">
      <alignment horizontal="right"/>
    </xf>
    <xf numFmtId="246" fontId="249" fillId="0" borderId="3010" applyFill="0" applyProtection="0">
      <alignment horizontal="center"/>
    </xf>
    <xf numFmtId="246" fontId="250" fillId="0" borderId="3010" applyFill="0" applyProtection="0">
      <alignment horizontal="center"/>
    </xf>
    <xf numFmtId="264" fontId="12" fillId="14" borderId="3183" applyFont="0" applyFill="0" applyBorder="0" applyAlignment="0" applyProtection="0">
      <alignment horizontal="right"/>
    </xf>
    <xf numFmtId="248" fontId="46" fillId="0" borderId="3183"/>
    <xf numFmtId="188" fontId="25" fillId="0" borderId="3009" applyFont="0" applyFill="0" applyBorder="0" applyAlignment="0" applyProtection="0">
      <alignment horizontal="center"/>
    </xf>
    <xf numFmtId="264" fontId="12" fillId="14" borderId="3183" applyFont="0" applyFill="0" applyBorder="0" applyAlignment="0" applyProtection="0">
      <alignment horizontal="right"/>
    </xf>
    <xf numFmtId="246" fontId="250" fillId="0" borderId="3195" applyFill="0" applyProtection="0">
      <alignment horizontal="center"/>
    </xf>
    <xf numFmtId="0" fontId="101" fillId="0" borderId="3183" applyBorder="0"/>
    <xf numFmtId="0" fontId="166" fillId="0" borderId="3183">
      <alignment horizontal="center"/>
    </xf>
    <xf numFmtId="0" fontId="12" fillId="0" borderId="2993" applyNumberFormat="0" applyFill="0" applyBorder="0" applyAlignment="0" applyProtection="0"/>
    <xf numFmtId="0" fontId="46" fillId="0" borderId="2993" applyNumberFormat="0" applyFill="0" applyBorder="0" applyAlignment="0" applyProtection="0"/>
    <xf numFmtId="0" fontId="105" fillId="0" borderId="2993" applyNumberFormat="0" applyFill="0" applyBorder="0" applyAlignment="0" applyProtection="0"/>
    <xf numFmtId="0" fontId="48" fillId="0" borderId="2993" applyNumberFormat="0" applyFill="0" applyAlignment="0" applyProtection="0"/>
    <xf numFmtId="5" fontId="114" fillId="0" borderId="2992" applyAlignment="0" applyProtection="0"/>
    <xf numFmtId="0" fontId="74" fillId="0" borderId="2992" applyFont="0" applyFill="0" applyBorder="0" applyAlignment="0" applyProtection="0">
      <alignment horizontal="center"/>
    </xf>
    <xf numFmtId="0" fontId="48" fillId="0" borderId="2992" applyFont="0" applyFill="0" applyBorder="0" applyAlignment="0" applyProtection="0">
      <alignment horizontal="center"/>
    </xf>
    <xf numFmtId="182" fontId="145" fillId="3" borderId="2992">
      <alignment horizontal="right" vertical="center"/>
    </xf>
    <xf numFmtId="186" fontId="48" fillId="3" borderId="2992">
      <alignment vertical="center"/>
    </xf>
    <xf numFmtId="0" fontId="135" fillId="0" borderId="2994"/>
    <xf numFmtId="0" fontId="135" fillId="0" borderId="2994"/>
    <xf numFmtId="1" fontId="154" fillId="65" borderId="2883" applyNumberFormat="0" applyBorder="0" applyAlignment="0">
      <alignment horizontal="centerContinuous" vertical="center"/>
      <protection locked="0"/>
    </xf>
    <xf numFmtId="0" fontId="159" fillId="0" borderId="2994"/>
    <xf numFmtId="0" fontId="159" fillId="67" borderId="2994"/>
    <xf numFmtId="0" fontId="25" fillId="69" borderId="2994">
      <alignment horizontal="left" vertical="center" wrapText="1"/>
    </xf>
    <xf numFmtId="0" fontId="184" fillId="0" borderId="2995" applyAlignment="0">
      <alignment horizontal="left" wrapText="1"/>
    </xf>
    <xf numFmtId="188" fontId="25" fillId="0" borderId="3009" applyFont="0" applyFill="0" applyBorder="0" applyAlignment="0" applyProtection="0">
      <alignment horizontal="center"/>
    </xf>
    <xf numFmtId="4" fontId="223" fillId="53" borderId="2996" applyNumberFormat="0" applyProtection="0">
      <alignment vertical="center"/>
    </xf>
    <xf numFmtId="4" fontId="224" fillId="53" borderId="2996" applyNumberFormat="0" applyProtection="0">
      <alignment vertical="center"/>
    </xf>
    <xf numFmtId="4" fontId="184" fillId="53" borderId="2996" applyNumberFormat="0" applyProtection="0">
      <alignment horizontal="left" vertical="center" indent="1"/>
    </xf>
    <xf numFmtId="0" fontId="225" fillId="53" borderId="2996" applyNumberFormat="0" applyProtection="0">
      <alignment horizontal="left" vertical="top" indent="1"/>
    </xf>
    <xf numFmtId="4" fontId="226" fillId="76" borderId="2996" applyNumberFormat="0" applyProtection="0">
      <alignment horizontal="right" vertical="center"/>
    </xf>
    <xf numFmtId="4" fontId="226" fillId="77" borderId="2996" applyNumberFormat="0" applyProtection="0">
      <alignment horizontal="right" vertical="center"/>
    </xf>
    <xf numFmtId="4" fontId="226" fillId="78" borderId="2996" applyNumberFormat="0" applyProtection="0">
      <alignment horizontal="right" vertical="center"/>
    </xf>
    <xf numFmtId="4" fontId="226" fillId="10" borderId="2996" applyNumberFormat="0" applyProtection="0">
      <alignment horizontal="right" vertical="center"/>
    </xf>
    <xf numFmtId="4" fontId="226" fillId="79" borderId="2996" applyNumberFormat="0" applyProtection="0">
      <alignment horizontal="right" vertical="center"/>
    </xf>
    <xf numFmtId="4" fontId="226" fillId="71" borderId="2996" applyNumberFormat="0" applyProtection="0">
      <alignment horizontal="right" vertical="center"/>
    </xf>
    <xf numFmtId="4" fontId="226" fillId="80" borderId="2996" applyNumberFormat="0" applyProtection="0">
      <alignment horizontal="right" vertical="center"/>
    </xf>
    <xf numFmtId="4" fontId="226" fillId="81" borderId="2996" applyNumberFormat="0" applyProtection="0">
      <alignment horizontal="right" vertical="center"/>
    </xf>
    <xf numFmtId="4" fontId="226" fillId="82" borderId="2996" applyNumberFormat="0" applyProtection="0">
      <alignment horizontal="right" vertical="center"/>
    </xf>
    <xf numFmtId="4" fontId="184" fillId="52" borderId="2996" applyNumberFormat="0" applyProtection="0">
      <alignment horizontal="right" vertical="center"/>
    </xf>
    <xf numFmtId="0" fontId="12" fillId="75" borderId="2996" applyNumberFormat="0" applyProtection="0">
      <alignment horizontal="left" vertical="center" indent="1"/>
    </xf>
    <xf numFmtId="0" fontId="12" fillId="75" borderId="2996" applyNumberFormat="0" applyProtection="0">
      <alignment horizontal="left" vertical="top" indent="1"/>
    </xf>
    <xf numFmtId="0" fontId="12" fillId="84" borderId="2996" applyNumberFormat="0" applyProtection="0">
      <alignment horizontal="left" vertical="center" indent="1"/>
    </xf>
    <xf numFmtId="0" fontId="12" fillId="84" borderId="2996" applyNumberFormat="0" applyProtection="0">
      <alignment horizontal="left" vertical="top" indent="1"/>
    </xf>
    <xf numFmtId="0" fontId="12" fillId="52" borderId="2996" applyNumberFormat="0" applyProtection="0">
      <alignment horizontal="left" vertical="center" indent="1"/>
    </xf>
    <xf numFmtId="0" fontId="12" fillId="52" borderId="2996" applyNumberFormat="0" applyProtection="0">
      <alignment horizontal="left" vertical="top" indent="1"/>
    </xf>
    <xf numFmtId="0" fontId="12" fillId="11" borderId="2996" applyNumberFormat="0" applyProtection="0">
      <alignment horizontal="left" vertical="center" indent="1"/>
    </xf>
    <xf numFmtId="0" fontId="12" fillId="11" borderId="2996" applyNumberFormat="0" applyProtection="0">
      <alignment horizontal="left" vertical="top" indent="1"/>
    </xf>
    <xf numFmtId="4" fontId="226" fillId="11" borderId="2996" applyNumberFormat="0" applyProtection="0">
      <alignment vertical="center"/>
    </xf>
    <xf numFmtId="4" fontId="228" fillId="11" borderId="2996" applyNumberFormat="0" applyProtection="0">
      <alignment vertical="center"/>
    </xf>
    <xf numFmtId="4" fontId="227" fillId="52" borderId="2997" applyNumberFormat="0" applyProtection="0">
      <alignment horizontal="left" vertical="center" indent="1"/>
    </xf>
    <xf numFmtId="0" fontId="136" fillId="14" borderId="2996" applyNumberFormat="0" applyProtection="0">
      <alignment horizontal="left" vertical="top" indent="1"/>
    </xf>
    <xf numFmtId="4" fontId="184" fillId="11" borderId="2996" applyNumberFormat="0" applyProtection="0">
      <alignment horizontal="right" vertical="center"/>
    </xf>
    <xf numFmtId="4" fontId="228" fillId="11" borderId="2996" applyNumberFormat="0" applyProtection="0">
      <alignment horizontal="right" vertical="center"/>
    </xf>
    <xf numFmtId="4" fontId="223" fillId="52" borderId="2996" applyNumberFormat="0" applyProtection="0">
      <alignment horizontal="left" vertical="center" indent="1"/>
    </xf>
    <xf numFmtId="0" fontId="136" fillId="84" borderId="2996" applyNumberFormat="0" applyProtection="0">
      <alignment horizontal="left" vertical="top" indent="1"/>
    </xf>
    <xf numFmtId="4" fontId="229" fillId="84" borderId="2997" applyNumberFormat="0" applyProtection="0">
      <alignment horizontal="left" vertical="center" indent="1"/>
    </xf>
    <xf numFmtId="4" fontId="230" fillId="11" borderId="2996" applyNumberFormat="0" applyProtection="0">
      <alignment horizontal="right" vertical="center"/>
    </xf>
    <xf numFmtId="3" fontId="12" fillId="60" borderId="2998" applyFont="0" applyFill="0" applyBorder="0" applyAlignment="0" applyProtection="0"/>
    <xf numFmtId="4" fontId="12" fillId="60" borderId="2998" applyFont="0" applyFill="0" applyBorder="0" applyAlignment="0" applyProtection="0"/>
    <xf numFmtId="183" fontId="12" fillId="60" borderId="2998" applyFont="0" applyFill="0" applyBorder="0" applyAlignment="0" applyProtection="0"/>
    <xf numFmtId="10" fontId="12" fillId="60" borderId="2998" applyFont="0" applyFill="0" applyBorder="0" applyAlignment="0" applyProtection="0"/>
    <xf numFmtId="9" fontId="12" fillId="60" borderId="2998" applyFont="0" applyFill="0" applyBorder="0" applyAlignment="0" applyProtection="0"/>
    <xf numFmtId="2" fontId="12" fillId="60" borderId="2998" applyFont="0" applyFill="0" applyBorder="0" applyAlignment="0" applyProtection="0"/>
    <xf numFmtId="0" fontId="25" fillId="10" borderId="2994" applyNumberFormat="0" applyProtection="0">
      <alignment horizontal="center" vertical="top"/>
    </xf>
    <xf numFmtId="0" fontId="25" fillId="10" borderId="2994" applyNumberFormat="0" applyProtection="0">
      <alignment horizontal="center" vertical="top"/>
    </xf>
    <xf numFmtId="169" fontId="234" fillId="3" borderId="2994" applyFont="0" applyProtection="0"/>
    <xf numFmtId="169" fontId="234" fillId="10" borderId="2994" applyFont="0" applyProtection="0"/>
    <xf numFmtId="293" fontId="234" fillId="3" borderId="2994" applyFont="0" applyProtection="0"/>
    <xf numFmtId="293" fontId="234" fillId="10" borderId="2994" applyFont="0" applyProtection="0"/>
    <xf numFmtId="293" fontId="234" fillId="10" borderId="2994" applyFont="0" applyProtection="0"/>
    <xf numFmtId="0" fontId="12" fillId="3" borderId="2994" applyNumberFormat="0" applyFont="0" applyAlignment="0" applyProtection="0"/>
    <xf numFmtId="0" fontId="12" fillId="10" borderId="2994" applyNumberFormat="0" applyFont="0" applyAlignment="0" applyProtection="0"/>
    <xf numFmtId="0" fontId="12" fillId="10" borderId="2994" applyNumberFormat="0" applyFont="0" applyProtection="0"/>
    <xf numFmtId="0" fontId="25" fillId="10" borderId="2999" applyNumberFormat="0" applyProtection="0">
      <alignment horizontal="left"/>
    </xf>
    <xf numFmtId="0" fontId="25" fillId="10" borderId="3000" applyNumberFormat="0" applyProtection="0">
      <alignment horizontal="left" vertical="top"/>
    </xf>
    <xf numFmtId="0" fontId="25" fillId="10" borderId="3001" applyNumberFormat="0" applyProtection="0">
      <alignment horizontal="left" vertical="top"/>
    </xf>
    <xf numFmtId="0" fontId="25" fillId="10" borderId="3002" applyNumberFormat="0" applyProtection="0">
      <alignment horizontal="left" vertical="top"/>
    </xf>
    <xf numFmtId="0" fontId="25" fillId="10" borderId="3003" applyNumberFormat="0" applyProtection="0">
      <alignment horizontal="left" vertical="top"/>
    </xf>
    <xf numFmtId="0" fontId="25" fillId="10" borderId="3004" applyNumberFormat="0" applyProtection="0">
      <alignment horizontal="left" vertical="top"/>
    </xf>
    <xf numFmtId="0" fontId="25" fillId="10" borderId="3005" applyNumberFormat="0" applyProtection="0">
      <alignment horizontal="left" vertical="top"/>
    </xf>
    <xf numFmtId="0" fontId="12" fillId="0" borderId="2993" applyNumberFormat="0" applyFill="0" applyBorder="0" applyAlignment="0" applyProtection="0"/>
    <xf numFmtId="10" fontId="12" fillId="3" borderId="3006" applyNumberFormat="0" applyFont="0" applyFill="0" applyBorder="0" applyAlignment="0">
      <protection locked="0"/>
    </xf>
    <xf numFmtId="0" fontId="12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186" fontId="146" fillId="3" borderId="3183" applyBorder="0">
      <alignment horizontal="left" vertical="center"/>
    </xf>
    <xf numFmtId="0" fontId="101" fillId="0" borderId="3195" applyBorder="0"/>
    <xf numFmtId="10" fontId="12" fillId="3" borderId="3006" applyNumberFormat="0" applyFont="0" applyFill="0" applyBorder="0" applyAlignment="0">
      <protection locked="0"/>
    </xf>
    <xf numFmtId="188" fontId="25" fillId="0" borderId="3009" applyFont="0" applyFill="0" applyBorder="0" applyAlignment="0" applyProtection="0">
      <alignment horizontal="center"/>
    </xf>
    <xf numFmtId="186" fontId="146" fillId="3" borderId="2875">
      <alignment horizontal="left"/>
    </xf>
    <xf numFmtId="0" fontId="113" fillId="0" borderId="3074" applyNumberFormat="0" applyFill="0" applyAlignment="0" applyProtection="0"/>
    <xf numFmtId="0" fontId="25" fillId="10" borderId="3228" applyNumberFormat="0" applyProtection="0">
      <alignment horizontal="left" vertical="top"/>
    </xf>
    <xf numFmtId="246" fontId="250" fillId="0" borderId="3074" applyFill="0" applyProtection="0">
      <alignment horizontal="center"/>
    </xf>
    <xf numFmtId="0" fontId="75" fillId="0" borderId="2873" applyNumberFormat="0" applyFont="0" applyFill="0" applyAlignment="0" applyProtection="0"/>
    <xf numFmtId="10" fontId="12" fillId="3" borderId="3006" applyNumberFormat="0" applyFont="0" applyFill="0" applyBorder="0" applyAlignment="0">
      <protection locked="0"/>
    </xf>
    <xf numFmtId="186" fontId="146" fillId="3" borderId="3195" applyBorder="0">
      <alignment horizontal="left" vertical="center"/>
    </xf>
    <xf numFmtId="180" fontId="9" fillId="3" borderId="3195">
      <alignment horizontal="right" vertical="center"/>
    </xf>
    <xf numFmtId="10" fontId="12" fillId="3" borderId="3006" applyNumberFormat="0" applyFont="0" applyFill="0" applyBorder="0" applyAlignment="0">
      <protection locked="0"/>
    </xf>
    <xf numFmtId="222" fontId="79" fillId="0" borderId="3007" applyBorder="0"/>
    <xf numFmtId="10" fontId="12" fillId="3" borderId="3006" applyNumberFormat="0" applyFont="0" applyFill="0" applyBorder="0" applyAlignment="0">
      <protection locked="0"/>
    </xf>
    <xf numFmtId="190" fontId="113" fillId="0" borderId="3255" applyNumberFormat="0" applyFill="0" applyAlignment="0" applyProtection="0"/>
    <xf numFmtId="0" fontId="101" fillId="0" borderId="3010" applyBorder="0"/>
    <xf numFmtId="222" fontId="79" fillId="0" borderId="3007" applyBorder="0"/>
    <xf numFmtId="0" fontId="113" fillId="0" borderId="3010" applyNumberFormat="0" applyFill="0" applyAlignment="0" applyProtection="0"/>
    <xf numFmtId="0" fontId="12" fillId="0" borderId="3010" applyNumberFormat="0" applyFill="0" applyBorder="0" applyAlignment="0" applyProtection="0">
      <alignment horizontal="center"/>
    </xf>
    <xf numFmtId="248" fontId="46" fillId="0" borderId="3010"/>
    <xf numFmtId="0" fontId="25" fillId="10" borderId="3251" applyNumberFormat="0" applyProtection="0">
      <alignment horizontal="left" vertical="top"/>
    </xf>
    <xf numFmtId="186" fontId="146" fillId="3" borderId="3222">
      <alignment horizontal="left"/>
    </xf>
    <xf numFmtId="248" fontId="46" fillId="0" borderId="3074"/>
    <xf numFmtId="192" fontId="9" fillId="3" borderId="3010">
      <alignment horizontal="right" vertical="center"/>
    </xf>
    <xf numFmtId="180" fontId="9" fillId="3" borderId="3010">
      <alignment horizontal="right" vertical="center"/>
    </xf>
    <xf numFmtId="186" fontId="146" fillId="3" borderId="3010" applyBorder="0">
      <alignment horizontal="left" vertical="center"/>
    </xf>
    <xf numFmtId="0" fontId="165" fillId="0" borderId="3010" applyFill="0" applyProtection="0">
      <alignment horizontal="center"/>
    </xf>
    <xf numFmtId="0" fontId="166" fillId="0" borderId="3010">
      <alignment horizontal="center"/>
    </xf>
    <xf numFmtId="264" fontId="12" fillId="14" borderId="3010" applyFont="0" applyFill="0" applyBorder="0" applyAlignment="0" applyProtection="0">
      <alignment horizontal="right"/>
    </xf>
    <xf numFmtId="0" fontId="210" fillId="0" borderId="3010" applyNumberFormat="0" applyFill="0" applyBorder="0" applyAlignment="0">
      <protection locked="0"/>
    </xf>
    <xf numFmtId="254" fontId="240" fillId="0" borderId="3010" applyBorder="0" applyProtection="0">
      <alignment horizontal="right" vertical="center"/>
    </xf>
    <xf numFmtId="0" fontId="241" fillId="94" borderId="3010" applyBorder="0" applyProtection="0">
      <alignment horizontal="centerContinuous" vertical="center"/>
    </xf>
    <xf numFmtId="246" fontId="249" fillId="0" borderId="3010" applyFill="0" applyProtection="0">
      <alignment horizontal="center"/>
    </xf>
    <xf numFmtId="246" fontId="250" fillId="0" borderId="3010" applyFill="0" applyProtection="0">
      <alignment horizontal="center"/>
    </xf>
    <xf numFmtId="248" fontId="46" fillId="0" borderId="3195"/>
    <xf numFmtId="0" fontId="12" fillId="0" borderId="3195" applyNumberFormat="0" applyFill="0" applyBorder="0" applyAlignment="0" applyProtection="0">
      <alignment horizontal="center"/>
    </xf>
    <xf numFmtId="192" fontId="9" fillId="3" borderId="3195">
      <alignment horizontal="right" vertical="center"/>
    </xf>
    <xf numFmtId="0" fontId="78" fillId="14" borderId="3064" applyFont="0" applyFill="0" applyBorder="0" applyAlignment="0" applyProtection="0"/>
    <xf numFmtId="0" fontId="2" fillId="0" borderId="3188" applyNumberFormat="0" applyAlignment="0" applyProtection="0"/>
    <xf numFmtId="222" fontId="79" fillId="0" borderId="3194" applyBorder="0"/>
    <xf numFmtId="10" fontId="12" fillId="3" borderId="3006" applyNumberFormat="0" applyFont="0" applyFill="0" applyBorder="0" applyAlignment="0">
      <protection locked="0"/>
    </xf>
    <xf numFmtId="0" fontId="101" fillId="0" borderId="3195" applyBorder="0"/>
    <xf numFmtId="10" fontId="12" fillId="3" borderId="3006" applyNumberFormat="0" applyFont="0" applyFill="0" applyBorder="0" applyAlignment="0">
      <protection locked="0"/>
    </xf>
    <xf numFmtId="222" fontId="79" fillId="0" borderId="3194" applyBorder="0"/>
    <xf numFmtId="0" fontId="25" fillId="10" borderId="3191" applyNumberFormat="0" applyProtection="0">
      <alignment horizontal="left" vertical="top"/>
    </xf>
    <xf numFmtId="0" fontId="25" fillId="10" borderId="3192" applyNumberFormat="0" applyProtection="0">
      <alignment horizontal="left" vertical="top"/>
    </xf>
    <xf numFmtId="0" fontId="25" fillId="10" borderId="3193" applyNumberFormat="0" applyProtection="0">
      <alignment horizontal="left" vertical="top"/>
    </xf>
    <xf numFmtId="0" fontId="75" fillId="0" borderId="3196" applyNumberFormat="0" applyFont="0" applyFill="0" applyAlignment="0" applyProtection="0"/>
    <xf numFmtId="0" fontId="113" fillId="0" borderId="4191" applyNumberFormat="0" applyFill="0" applyAlignment="0" applyProtection="0"/>
    <xf numFmtId="222" fontId="79" fillId="0" borderId="3194" applyBorder="0"/>
    <xf numFmtId="310" fontId="267" fillId="0" borderId="3011">
      <alignment horizontal="left"/>
    </xf>
    <xf numFmtId="0" fontId="25" fillId="10" borderId="3191" applyNumberFormat="0" applyProtection="0">
      <alignment horizontal="left" vertical="top"/>
    </xf>
    <xf numFmtId="307" fontId="268" fillId="0" borderId="3011">
      <alignment horizontal="right" wrapText="1"/>
    </xf>
    <xf numFmtId="0" fontId="25" fillId="10" borderId="3190" applyNumberFormat="0" applyProtection="0">
      <alignment horizontal="left" vertical="top"/>
    </xf>
    <xf numFmtId="0" fontId="25" fillId="10" borderId="3191" applyNumberFormat="0" applyProtection="0">
      <alignment horizontal="left" vertical="top"/>
    </xf>
    <xf numFmtId="186" fontId="146" fillId="3" borderId="3014">
      <alignment horizontal="left"/>
    </xf>
    <xf numFmtId="0" fontId="75" fillId="0" borderId="3012" applyNumberFormat="0" applyFont="0" applyFill="0" applyAlignment="0" applyProtection="0"/>
    <xf numFmtId="0" fontId="214" fillId="0" borderId="3189" applyNumberFormat="0" applyFont="0" applyFill="0" applyAlignment="0" applyProtection="0"/>
    <xf numFmtId="0" fontId="78" fillId="14" borderId="3185" applyFont="0" applyFill="0" applyBorder="0" applyAlignment="0" applyProtection="0"/>
    <xf numFmtId="186" fontId="140" fillId="3" borderId="3259">
      <alignment horizontal="center" vertical="center"/>
    </xf>
    <xf numFmtId="180" fontId="9" fillId="3" borderId="3255">
      <alignment horizontal="right" vertical="center"/>
    </xf>
    <xf numFmtId="0" fontId="12" fillId="0" borderId="3255" applyNumberFormat="0" applyFill="0" applyBorder="0" applyAlignment="0" applyProtection="0">
      <alignment horizontal="center"/>
    </xf>
    <xf numFmtId="222" fontId="79" fillId="0" borderId="3254" applyBorder="0"/>
    <xf numFmtId="186" fontId="146" fillId="3" borderId="4218">
      <alignment horizontal="left"/>
    </xf>
    <xf numFmtId="0" fontId="113" fillId="0" borderId="3074" applyNumberFormat="0" applyFill="0" applyAlignment="0" applyProtection="0"/>
    <xf numFmtId="264" fontId="12" fillId="14" borderId="3074" applyFont="0" applyFill="0" applyBorder="0" applyAlignment="0" applyProtection="0">
      <alignment horizontal="right"/>
    </xf>
    <xf numFmtId="246" fontId="249" fillId="0" borderId="3074" applyFill="0" applyProtection="0">
      <alignment horizontal="center"/>
    </xf>
    <xf numFmtId="0" fontId="25" fillId="10" borderId="3021" applyNumberFormat="0" applyProtection="0">
      <alignment horizontal="left" vertical="top"/>
    </xf>
    <xf numFmtId="0" fontId="25" fillId="10" borderId="3019" applyNumberFormat="0" applyProtection="0">
      <alignment horizontal="left" vertical="top"/>
    </xf>
    <xf numFmtId="0" fontId="25" fillId="10" borderId="3020" applyNumberFormat="0" applyProtection="0">
      <alignment horizontal="left" vertical="top"/>
    </xf>
    <xf numFmtId="0" fontId="25" fillId="10" borderId="3018" applyNumberFormat="0" applyProtection="0">
      <alignment horizontal="left" vertical="top"/>
    </xf>
    <xf numFmtId="0" fontId="25" fillId="10" borderId="3021" applyNumberFormat="0" applyProtection="0">
      <alignment horizontal="left" vertical="top"/>
    </xf>
    <xf numFmtId="0" fontId="25" fillId="10" borderId="3020" applyNumberFormat="0" applyProtection="0">
      <alignment horizontal="left" vertical="top"/>
    </xf>
    <xf numFmtId="0" fontId="25" fillId="10" borderId="3019" applyNumberFormat="0" applyProtection="0">
      <alignment horizontal="left" vertical="top"/>
    </xf>
    <xf numFmtId="0" fontId="25" fillId="10" borderId="3018" applyNumberFormat="0" applyProtection="0">
      <alignment horizontal="left" vertical="top"/>
    </xf>
    <xf numFmtId="0" fontId="214" fillId="0" borderId="3017" applyNumberFormat="0" applyFont="0" applyFill="0" applyAlignment="0" applyProtection="0"/>
    <xf numFmtId="0" fontId="2" fillId="0" borderId="3016" applyNumberFormat="0" applyAlignment="0" applyProtection="0"/>
    <xf numFmtId="186" fontId="140" fillId="3" borderId="3015">
      <alignment horizontal="center" vertical="center"/>
    </xf>
    <xf numFmtId="186" fontId="140" fillId="3" borderId="2949">
      <alignment horizontal="center" vertical="center"/>
    </xf>
    <xf numFmtId="0" fontId="25" fillId="10" borderId="2976" applyNumberFormat="0" applyProtection="0">
      <alignment horizontal="left" vertical="top"/>
    </xf>
    <xf numFmtId="0" fontId="12" fillId="0" borderId="3074" applyNumberFormat="0" applyFill="0" applyBorder="0" applyAlignment="0" applyProtection="0">
      <alignment horizontal="center"/>
    </xf>
    <xf numFmtId="0" fontId="25" fillId="10" borderId="3071" applyNumberFormat="0" applyProtection="0">
      <alignment horizontal="left" vertical="top"/>
    </xf>
    <xf numFmtId="0" fontId="78" fillId="14" borderId="3185" applyFont="0" applyFill="0" applyBorder="0" applyAlignment="0" applyProtection="0"/>
    <xf numFmtId="222" fontId="79" fillId="0" borderId="3061" applyBorder="0"/>
    <xf numFmtId="0" fontId="78" fillId="14" borderId="3064" applyFont="0" applyFill="0" applyBorder="0" applyAlignment="0" applyProtection="0"/>
    <xf numFmtId="222" fontId="79" fillId="0" borderId="3073" applyBorder="0"/>
    <xf numFmtId="0" fontId="101" fillId="0" borderId="3074" applyBorder="0"/>
    <xf numFmtId="222" fontId="79" fillId="0" borderId="3073" applyBorder="0"/>
    <xf numFmtId="248" fontId="46" fillId="0" borderId="3074"/>
    <xf numFmtId="192" fontId="9" fillId="3" borderId="3074">
      <alignment horizontal="right" vertical="center"/>
    </xf>
    <xf numFmtId="180" fontId="9" fillId="3" borderId="3074">
      <alignment horizontal="right" vertical="center"/>
    </xf>
    <xf numFmtId="186" fontId="146" fillId="3" borderId="3074" applyBorder="0">
      <alignment horizontal="left" vertical="center"/>
    </xf>
    <xf numFmtId="0" fontId="165" fillId="0" borderId="3074" applyFill="0" applyProtection="0">
      <alignment horizontal="center"/>
    </xf>
    <xf numFmtId="0" fontId="210" fillId="0" borderId="3074" applyNumberFormat="0" applyFill="0" applyBorder="0" applyAlignment="0">
      <protection locked="0"/>
    </xf>
    <xf numFmtId="254" fontId="240" fillId="0" borderId="3074" applyBorder="0" applyProtection="0">
      <alignment horizontal="right" vertical="center"/>
    </xf>
    <xf numFmtId="246" fontId="250" fillId="0" borderId="3074" applyFill="0" applyProtection="0">
      <alignment horizontal="center"/>
    </xf>
    <xf numFmtId="10" fontId="12" fillId="3" borderId="3006" applyNumberFormat="0" applyFont="0" applyFill="0" applyBorder="0" applyAlignment="0">
      <protection locked="0"/>
    </xf>
    <xf numFmtId="222" fontId="79" fillId="0" borderId="3007" applyBorder="0"/>
    <xf numFmtId="0" fontId="25" fillId="10" borderId="2977" applyNumberFormat="0" applyProtection="0">
      <alignment horizontal="left" vertical="top"/>
    </xf>
    <xf numFmtId="0" fontId="25" fillId="10" borderId="2979" applyNumberFormat="0" applyProtection="0">
      <alignment horizontal="left" vertical="top"/>
    </xf>
    <xf numFmtId="0" fontId="25" fillId="10" borderId="2976" applyNumberFormat="0" applyProtection="0">
      <alignment horizontal="left" vertical="top"/>
    </xf>
    <xf numFmtId="0" fontId="25" fillId="10" borderId="2977" applyNumberFormat="0" applyProtection="0">
      <alignment horizontal="left" vertical="top"/>
    </xf>
    <xf numFmtId="0" fontId="25" fillId="10" borderId="2978" applyNumberFormat="0" applyProtection="0">
      <alignment horizontal="left" vertical="top"/>
    </xf>
    <xf numFmtId="0" fontId="75" fillId="0" borderId="3012" applyNumberFormat="0" applyFont="0" applyFill="0" applyAlignment="0" applyProtection="0"/>
    <xf numFmtId="0" fontId="101" fillId="0" borderId="3023" applyBorder="0"/>
    <xf numFmtId="222" fontId="79" fillId="0" borderId="3022" applyBorder="0"/>
    <xf numFmtId="0" fontId="113" fillId="0" borderId="3023" applyNumberFormat="0" applyFill="0" applyAlignment="0" applyProtection="0"/>
    <xf numFmtId="0" fontId="12" fillId="0" borderId="3023" applyNumberFormat="0" applyFill="0" applyBorder="0" applyAlignment="0" applyProtection="0">
      <alignment horizontal="center"/>
    </xf>
    <xf numFmtId="248" fontId="46" fillId="0" borderId="3023"/>
    <xf numFmtId="192" fontId="9" fillId="3" borderId="3023">
      <alignment horizontal="right" vertical="center"/>
    </xf>
    <xf numFmtId="180" fontId="9" fillId="3" borderId="3023">
      <alignment horizontal="right" vertical="center"/>
    </xf>
    <xf numFmtId="186" fontId="146" fillId="3" borderId="3023" applyBorder="0">
      <alignment horizontal="left" vertical="center"/>
    </xf>
    <xf numFmtId="0" fontId="166" fillId="0" borderId="3023">
      <alignment horizontal="center"/>
    </xf>
    <xf numFmtId="0" fontId="210" fillId="0" borderId="3023" applyNumberFormat="0" applyFill="0" applyBorder="0" applyAlignment="0">
      <protection locked="0"/>
    </xf>
    <xf numFmtId="264" fontId="12" fillId="14" borderId="3023" applyFont="0" applyFill="0" applyBorder="0" applyAlignment="0" applyProtection="0">
      <alignment horizontal="right"/>
    </xf>
    <xf numFmtId="246" fontId="249" fillId="0" borderId="3023" applyFill="0" applyProtection="0">
      <alignment horizontal="center"/>
    </xf>
    <xf numFmtId="246" fontId="250" fillId="0" borderId="3023" applyFill="0" applyProtection="0">
      <alignment horizontal="center"/>
    </xf>
    <xf numFmtId="246" fontId="250" fillId="0" borderId="3050" applyFill="0" applyProtection="0">
      <alignment horizontal="center"/>
    </xf>
    <xf numFmtId="246" fontId="249" fillId="0" borderId="3050" applyFill="0" applyProtection="0">
      <alignment horizontal="center"/>
    </xf>
    <xf numFmtId="254" fontId="240" fillId="0" borderId="3050" applyBorder="0" applyProtection="0">
      <alignment horizontal="right" vertical="center"/>
    </xf>
    <xf numFmtId="264" fontId="12" fillId="14" borderId="3050" applyFont="0" applyFill="0" applyBorder="0" applyAlignment="0" applyProtection="0">
      <alignment horizontal="right"/>
    </xf>
    <xf numFmtId="0" fontId="165" fillId="0" borderId="3050" applyFill="0" applyProtection="0">
      <alignment horizontal="center"/>
    </xf>
    <xf numFmtId="180" fontId="9" fillId="3" borderId="3050">
      <alignment horizontal="right" vertical="center"/>
    </xf>
    <xf numFmtId="0" fontId="12" fillId="0" borderId="3050" applyNumberFormat="0" applyFill="0" applyBorder="0" applyAlignment="0" applyProtection="0">
      <alignment horizontal="center"/>
    </xf>
    <xf numFmtId="0" fontId="101" fillId="0" borderId="3050" applyBorder="0"/>
    <xf numFmtId="222" fontId="79" fillId="0" borderId="3049" applyBorder="0"/>
    <xf numFmtId="0" fontId="75" fillId="0" borderId="3039" applyNumberFormat="0" applyFont="0" applyFill="0" applyAlignment="0" applyProtection="0"/>
    <xf numFmtId="0" fontId="2" fillId="0" borderId="3043" applyNumberFormat="0" applyAlignment="0" applyProtection="0"/>
    <xf numFmtId="0" fontId="25" fillId="10" borderId="3045" applyNumberFormat="0" applyProtection="0">
      <alignment horizontal="left" vertical="top"/>
    </xf>
    <xf numFmtId="0" fontId="25" fillId="10" borderId="3048" applyNumberFormat="0" applyProtection="0">
      <alignment horizontal="left" vertical="top"/>
    </xf>
    <xf numFmtId="222" fontId="79" fillId="0" borderId="3037" applyBorder="0"/>
    <xf numFmtId="0" fontId="25" fillId="10" borderId="3020" applyNumberFormat="0" applyProtection="0">
      <alignment horizontal="left" vertical="top"/>
    </xf>
    <xf numFmtId="10" fontId="12" fillId="3" borderId="3006" applyNumberFormat="0" applyFont="0" applyFill="0" applyBorder="0" applyAlignment="0">
      <protection locked="0"/>
    </xf>
    <xf numFmtId="0" fontId="25" fillId="10" borderId="3018" applyNumberFormat="0" applyProtection="0">
      <alignment horizontal="left" vertical="top"/>
    </xf>
    <xf numFmtId="0" fontId="214" fillId="0" borderId="3017" applyNumberFormat="0" applyFont="0" applyFill="0" applyAlignment="0" applyProtection="0"/>
    <xf numFmtId="186" fontId="146" fillId="3" borderId="3014">
      <alignment horizontal="left"/>
    </xf>
    <xf numFmtId="222" fontId="79" fillId="0" borderId="3022" applyBorder="0"/>
    <xf numFmtId="186" fontId="146" fillId="3" borderId="3183" applyBorder="0">
      <alignment horizontal="left" vertical="center"/>
    </xf>
    <xf numFmtId="10" fontId="12" fillId="3" borderId="3006" applyNumberFormat="0" applyFont="0" applyFill="0" applyBorder="0" applyAlignment="0">
      <protection locked="0"/>
    </xf>
    <xf numFmtId="0" fontId="101" fillId="0" borderId="2981" applyBorder="0"/>
    <xf numFmtId="0" fontId="113" fillId="0" borderId="2981" applyNumberFormat="0" applyFill="0" applyAlignment="0" applyProtection="0"/>
    <xf numFmtId="0" fontId="12" fillId="0" borderId="2981" applyNumberFormat="0" applyFill="0" applyBorder="0" applyAlignment="0" applyProtection="0">
      <alignment horizontal="center"/>
    </xf>
    <xf numFmtId="248" fontId="46" fillId="0" borderId="2981"/>
    <xf numFmtId="192" fontId="9" fillId="3" borderId="2981">
      <alignment horizontal="right" vertical="center"/>
    </xf>
    <xf numFmtId="180" fontId="9" fillId="3" borderId="2981">
      <alignment horizontal="right" vertical="center"/>
    </xf>
    <xf numFmtId="186" fontId="146" fillId="3" borderId="2981" applyBorder="0">
      <alignment horizontal="left" vertical="center"/>
    </xf>
    <xf numFmtId="0" fontId="165" fillId="0" borderId="2981" applyFill="0" applyProtection="0">
      <alignment horizontal="center"/>
    </xf>
    <xf numFmtId="0" fontId="166" fillId="0" borderId="2981">
      <alignment horizontal="center"/>
    </xf>
    <xf numFmtId="264" fontId="12" fillId="14" borderId="2981" applyFont="0" applyFill="0" applyBorder="0" applyAlignment="0" applyProtection="0">
      <alignment horizontal="right"/>
    </xf>
    <xf numFmtId="0" fontId="210" fillId="0" borderId="2981" applyNumberFormat="0" applyFill="0" applyBorder="0" applyAlignment="0">
      <protection locked="0"/>
    </xf>
    <xf numFmtId="248" fontId="46" fillId="0" borderId="3050"/>
    <xf numFmtId="222" fontId="79" fillId="0" borderId="3049" applyBorder="0"/>
    <xf numFmtId="186" fontId="140" fillId="3" borderId="3042">
      <alignment horizontal="center" vertical="center"/>
    </xf>
    <xf numFmtId="0" fontId="25" fillId="10" borderId="3047" applyNumberFormat="0" applyProtection="0">
      <alignment horizontal="left" vertical="top"/>
    </xf>
    <xf numFmtId="0" fontId="210" fillId="0" borderId="3050" applyNumberFormat="0" applyFill="0" applyBorder="0" applyAlignment="0">
      <protection locked="0"/>
    </xf>
    <xf numFmtId="192" fontId="9" fillId="3" borderId="3050">
      <alignment horizontal="right" vertical="center"/>
    </xf>
    <xf numFmtId="0" fontId="113" fillId="0" borderId="3050" applyNumberFormat="0" applyFill="0" applyAlignment="0" applyProtection="0"/>
    <xf numFmtId="186" fontId="146" fillId="3" borderId="3041">
      <alignment horizontal="left"/>
    </xf>
    <xf numFmtId="0" fontId="25" fillId="10" borderId="3046" applyNumberFormat="0" applyProtection="0">
      <alignment horizontal="left" vertical="top"/>
    </xf>
    <xf numFmtId="254" fontId="240" fillId="0" borderId="2981" applyBorder="0" applyProtection="0">
      <alignment horizontal="right" vertical="center"/>
    </xf>
    <xf numFmtId="0" fontId="241" fillId="94" borderId="2981" applyBorder="0" applyProtection="0">
      <alignment horizontal="centerContinuous" vertical="center"/>
    </xf>
    <xf numFmtId="246" fontId="249" fillId="0" borderId="2981" applyFill="0" applyProtection="0">
      <alignment horizontal="center"/>
    </xf>
    <xf numFmtId="246" fontId="250" fillId="0" borderId="2981" applyFill="0" applyProtection="0">
      <alignment horizontal="center"/>
    </xf>
    <xf numFmtId="0" fontId="25" fillId="10" borderId="3070" applyNumberFormat="0" applyProtection="0">
      <alignment horizontal="left" vertical="top"/>
    </xf>
    <xf numFmtId="10" fontId="12" fillId="3" borderId="3006" applyNumberFormat="0" applyFont="0" applyFill="0" applyBorder="0" applyAlignment="0">
      <protection locked="0"/>
    </xf>
    <xf numFmtId="0" fontId="25" fillId="10" borderId="3072" applyNumberFormat="0" applyProtection="0">
      <alignment horizontal="left" vertical="top"/>
    </xf>
    <xf numFmtId="222" fontId="79" fillId="0" borderId="3022" applyBorder="0"/>
    <xf numFmtId="0" fontId="214" fillId="0" borderId="3068" applyNumberFormat="0" applyFont="0" applyFill="0" applyAlignment="0" applyProtection="0"/>
    <xf numFmtId="0" fontId="75" fillId="0" borderId="2873" applyNumberFormat="0" applyFont="0" applyFill="0" applyAlignment="0" applyProtection="0"/>
    <xf numFmtId="0" fontId="25" fillId="10" borderId="2978" applyNumberFormat="0" applyProtection="0">
      <alignment horizontal="left" vertical="top"/>
    </xf>
    <xf numFmtId="0" fontId="25" fillId="10" borderId="2979" applyNumberFormat="0" applyProtection="0">
      <alignment horizontal="left" vertical="top"/>
    </xf>
    <xf numFmtId="0" fontId="165" fillId="0" borderId="3023" applyFill="0" applyProtection="0">
      <alignment horizontal="center"/>
    </xf>
    <xf numFmtId="254" fontId="240" fillId="0" borderId="3023" applyBorder="0" applyProtection="0">
      <alignment horizontal="right" vertical="center"/>
    </xf>
    <xf numFmtId="0" fontId="241" fillId="94" borderId="3023" applyBorder="0" applyProtection="0">
      <alignment horizontal="centerContinuous" vertical="center"/>
    </xf>
    <xf numFmtId="0" fontId="241" fillId="94" borderId="3050" applyBorder="0" applyProtection="0">
      <alignment horizontal="centerContinuous" vertical="center"/>
    </xf>
    <xf numFmtId="0" fontId="166" fillId="0" borderId="3050">
      <alignment horizontal="center"/>
    </xf>
    <xf numFmtId="186" fontId="146" fillId="3" borderId="3050" applyBorder="0">
      <alignment horizontal="left" vertical="center"/>
    </xf>
    <xf numFmtId="0" fontId="214" fillId="0" borderId="3044" applyNumberFormat="0" applyFont="0" applyFill="0" applyAlignment="0" applyProtection="0"/>
    <xf numFmtId="0" fontId="78" fillId="14" borderId="3040" applyFont="0" applyFill="0" applyBorder="0" applyAlignment="0" applyProtection="0"/>
    <xf numFmtId="0" fontId="78" fillId="14" borderId="2971" applyFont="0" applyFill="0" applyBorder="0" applyAlignment="0" applyProtection="0"/>
    <xf numFmtId="0" fontId="25" fillId="10" borderId="2979" applyNumberFormat="0" applyProtection="0">
      <alignment horizontal="left" vertical="top"/>
    </xf>
    <xf numFmtId="0" fontId="25" fillId="10" borderId="2978" applyNumberFormat="0" applyProtection="0">
      <alignment horizontal="left" vertical="top"/>
    </xf>
    <xf numFmtId="0" fontId="25" fillId="10" borderId="2977" applyNumberFormat="0" applyProtection="0">
      <alignment horizontal="left" vertical="top"/>
    </xf>
    <xf numFmtId="0" fontId="25" fillId="10" borderId="2976" applyNumberFormat="0" applyProtection="0">
      <alignment horizontal="left" vertical="top"/>
    </xf>
    <xf numFmtId="186" fontId="140" fillId="3" borderId="3066">
      <alignment horizontal="center" vertical="center"/>
    </xf>
    <xf numFmtId="0" fontId="214" fillId="0" borderId="2975" applyNumberFormat="0" applyFont="0" applyFill="0" applyAlignment="0" applyProtection="0"/>
    <xf numFmtId="186" fontId="140" fillId="3" borderId="2949">
      <alignment horizontal="center" vertical="center"/>
    </xf>
    <xf numFmtId="186" fontId="146" fillId="3" borderId="2875">
      <alignment horizontal="left"/>
    </xf>
    <xf numFmtId="186" fontId="146" fillId="3" borderId="3065">
      <alignment horizontal="left"/>
    </xf>
    <xf numFmtId="0" fontId="75" fillId="0" borderId="2873" applyNumberFormat="0" applyFont="0" applyFill="0" applyAlignment="0" applyProtection="0"/>
    <xf numFmtId="0" fontId="75" fillId="0" borderId="3063" applyNumberFormat="0" applyFont="0" applyFill="0" applyAlignment="0" applyProtection="0"/>
    <xf numFmtId="222" fontId="79" fillId="0" borderId="3007" applyBorder="0"/>
    <xf numFmtId="222" fontId="79" fillId="0" borderId="3007" applyBorder="0"/>
    <xf numFmtId="0" fontId="25" fillId="10" borderId="3069" applyNumberFormat="0" applyProtection="0">
      <alignment horizontal="left" vertical="top"/>
    </xf>
    <xf numFmtId="0" fontId="2" fillId="0" borderId="3067" applyNumberFormat="0" applyAlignment="0" applyProtection="0"/>
    <xf numFmtId="246" fontId="250" fillId="0" borderId="3023" applyFill="0" applyProtection="0">
      <alignment horizontal="center"/>
    </xf>
    <xf numFmtId="246" fontId="249" fillId="0" borderId="3023" applyFill="0" applyProtection="0">
      <alignment horizontal="center"/>
    </xf>
    <xf numFmtId="0" fontId="241" fillId="94" borderId="3023" applyBorder="0" applyProtection="0">
      <alignment horizontal="centerContinuous" vertical="center"/>
    </xf>
    <xf numFmtId="254" fontId="240" fillId="0" borderId="3023" applyBorder="0" applyProtection="0">
      <alignment horizontal="right" vertical="center"/>
    </xf>
    <xf numFmtId="0" fontId="210" fillId="0" borderId="3023" applyNumberFormat="0" applyFill="0" applyBorder="0" applyAlignment="0">
      <protection locked="0"/>
    </xf>
    <xf numFmtId="264" fontId="12" fillId="14" borderId="3023" applyFont="0" applyFill="0" applyBorder="0" applyAlignment="0" applyProtection="0">
      <alignment horizontal="right"/>
    </xf>
    <xf numFmtId="0" fontId="166" fillId="0" borderId="3023">
      <alignment horizontal="center"/>
    </xf>
    <xf numFmtId="0" fontId="165" fillId="0" borderId="3023" applyFill="0" applyProtection="0">
      <alignment horizontal="center"/>
    </xf>
    <xf numFmtId="186" fontId="146" fillId="3" borderId="3023" applyBorder="0">
      <alignment horizontal="left" vertical="center"/>
    </xf>
    <xf numFmtId="180" fontId="9" fillId="3" borderId="3023">
      <alignment horizontal="right" vertical="center"/>
    </xf>
    <xf numFmtId="192" fontId="9" fillId="3" borderId="3023">
      <alignment horizontal="right" vertical="center"/>
    </xf>
    <xf numFmtId="248" fontId="46" fillId="0" borderId="3023"/>
    <xf numFmtId="0" fontId="12" fillId="0" borderId="3023" applyNumberFormat="0" applyFill="0" applyBorder="0" applyAlignment="0" applyProtection="0">
      <alignment horizontal="center"/>
    </xf>
    <xf numFmtId="0" fontId="113" fillId="0" borderId="3023" applyNumberFormat="0" applyFill="0" applyAlignment="0" applyProtection="0"/>
    <xf numFmtId="222" fontId="79" fillId="0" borderId="3022" applyBorder="0"/>
    <xf numFmtId="0" fontId="101" fillId="0" borderId="3023" applyBorder="0"/>
    <xf numFmtId="222" fontId="79" fillId="0" borderId="3022" applyBorder="0"/>
    <xf numFmtId="0" fontId="75" fillId="0" borderId="3012" applyNumberFormat="0" applyFont="0" applyFill="0" applyAlignment="0" applyProtection="0"/>
    <xf numFmtId="186" fontId="146" fillId="3" borderId="3014">
      <alignment horizontal="left"/>
    </xf>
    <xf numFmtId="186" fontId="140" fillId="3" borderId="3015">
      <alignment horizontal="center" vertical="center"/>
    </xf>
    <xf numFmtId="0" fontId="2" fillId="0" borderId="3016" applyNumberFormat="0" applyAlignment="0" applyProtection="0"/>
    <xf numFmtId="0" fontId="214" fillId="0" borderId="3017" applyNumberFormat="0" applyFont="0" applyFill="0" applyAlignment="0" applyProtection="0"/>
    <xf numFmtId="0" fontId="25" fillId="10" borderId="3018" applyNumberFormat="0" applyProtection="0">
      <alignment horizontal="left" vertical="top"/>
    </xf>
    <xf numFmtId="0" fontId="25" fillId="10" borderId="3019" applyNumberFormat="0" applyProtection="0">
      <alignment horizontal="left" vertical="top"/>
    </xf>
    <xf numFmtId="0" fontId="25" fillId="10" borderId="3020" applyNumberFormat="0" applyProtection="0">
      <alignment horizontal="left" vertical="top"/>
    </xf>
    <xf numFmtId="0" fontId="25" fillId="10" borderId="3021" applyNumberFormat="0" applyProtection="0">
      <alignment horizontal="left" vertical="top"/>
    </xf>
    <xf numFmtId="0" fontId="78" fillId="14" borderId="3013" applyFont="0" applyFill="0" applyBorder="0" applyAlignment="0" applyProtection="0"/>
    <xf numFmtId="246" fontId="250" fillId="0" borderId="3255" applyFill="0" applyProtection="0">
      <alignment horizontal="center"/>
    </xf>
    <xf numFmtId="0" fontId="25" fillId="10" borderId="3265" applyNumberFormat="0" applyProtection="0">
      <alignment horizontal="left" vertical="top"/>
    </xf>
    <xf numFmtId="222" fontId="79" fillId="0" borderId="3007" applyBorder="0"/>
    <xf numFmtId="0" fontId="75" fillId="0" borderId="3256" applyNumberFormat="0" applyFont="0" applyFill="0" applyAlignment="0" applyProtection="0"/>
    <xf numFmtId="0" fontId="276" fillId="54" borderId="3024" applyNumberFormat="0" applyAlignment="0" applyProtection="0"/>
    <xf numFmtId="222" fontId="79" fillId="0" borderId="3242" applyBorder="0"/>
    <xf numFmtId="0" fontId="101" fillId="0" borderId="3207" applyBorder="0"/>
    <xf numFmtId="0" fontId="283" fillId="103" borderId="3024" applyNumberFormat="0" applyAlignment="0" applyProtection="0"/>
    <xf numFmtId="0" fontId="50" fillId="117" borderId="2995" applyNumberFormat="0" applyFont="0" applyAlignment="0" applyProtection="0"/>
    <xf numFmtId="0" fontId="78" fillId="14" borderId="3197" applyFont="0" applyFill="0" applyBorder="0" applyAlignment="0" applyProtection="0"/>
    <xf numFmtId="0" fontId="286" fillId="54" borderId="3025" applyNumberFormat="0" applyAlignment="0" applyProtection="0"/>
    <xf numFmtId="0" fontId="283" fillId="103" borderId="3024" applyNumberFormat="0" applyAlignment="0" applyProtection="0"/>
    <xf numFmtId="222" fontId="79" fillId="0" borderId="3194" applyBorder="0"/>
    <xf numFmtId="0" fontId="288" fillId="0" borderId="3026" applyNumberFormat="0" applyFill="0" applyAlignment="0" applyProtection="0"/>
    <xf numFmtId="0" fontId="276" fillId="54" borderId="3024" applyNumberFormat="0" applyAlignment="0" applyProtection="0"/>
    <xf numFmtId="0" fontId="2" fillId="0" borderId="3188" applyNumberFormat="0" applyAlignment="0" applyProtection="0"/>
    <xf numFmtId="0" fontId="214" fillId="0" borderId="3189" applyNumberFormat="0" applyFont="0" applyFill="0" applyAlignment="0" applyProtection="0"/>
    <xf numFmtId="0" fontId="78" fillId="14" borderId="3185" applyFont="0" applyFill="0" applyBorder="0" applyAlignment="0" applyProtection="0"/>
    <xf numFmtId="0" fontId="101" fillId="0" borderId="3255" applyBorder="0"/>
    <xf numFmtId="0" fontId="78" fillId="14" borderId="2971" applyFont="0" applyFill="0" applyBorder="0" applyAlignment="0" applyProtection="0"/>
    <xf numFmtId="222" fontId="79" fillId="0" borderId="3007" applyBorder="0"/>
    <xf numFmtId="186" fontId="146" fillId="3" borderId="3186">
      <alignment horizontal="left"/>
    </xf>
    <xf numFmtId="0" fontId="25" fillId="10" borderId="3263" applyNumberFormat="0" applyProtection="0">
      <alignment horizontal="left" vertical="top"/>
    </xf>
    <xf numFmtId="0" fontId="214" fillId="0" borderId="3261" applyNumberFormat="0" applyFont="0" applyFill="0" applyAlignment="0" applyProtection="0"/>
    <xf numFmtId="0" fontId="25" fillId="10" borderId="3205" applyNumberFormat="0" applyProtection="0">
      <alignment horizontal="left" vertical="top"/>
    </xf>
    <xf numFmtId="0" fontId="78" fillId="14" borderId="2971" applyFont="0" applyFill="0" applyBorder="0" applyAlignment="0" applyProtection="0"/>
    <xf numFmtId="0" fontId="25" fillId="10" borderId="2979" applyNumberFormat="0" applyProtection="0">
      <alignment horizontal="left" vertical="top"/>
    </xf>
    <xf numFmtId="0" fontId="25" fillId="10" borderId="2978" applyNumberFormat="0" applyProtection="0">
      <alignment horizontal="left" vertical="top"/>
    </xf>
    <xf numFmtId="0" fontId="25" fillId="10" borderId="2977" applyNumberFormat="0" applyProtection="0">
      <alignment horizontal="left" vertical="top"/>
    </xf>
    <xf numFmtId="0" fontId="25" fillId="10" borderId="2976" applyNumberFormat="0" applyProtection="0">
      <alignment horizontal="left" vertical="top"/>
    </xf>
    <xf numFmtId="0" fontId="166" fillId="0" borderId="3255">
      <alignment horizontal="center"/>
    </xf>
    <xf numFmtId="0" fontId="214" fillId="0" borderId="2975" applyNumberFormat="0" applyFont="0" applyFill="0" applyAlignment="0" applyProtection="0"/>
    <xf numFmtId="186" fontId="140" fillId="3" borderId="2949">
      <alignment horizontal="center" vertical="center"/>
    </xf>
    <xf numFmtId="186" fontId="146" fillId="3" borderId="2875">
      <alignment horizontal="left"/>
    </xf>
    <xf numFmtId="186" fontId="146" fillId="3" borderId="3258">
      <alignment horizontal="left"/>
    </xf>
    <xf numFmtId="0" fontId="75" fillId="0" borderId="2873" applyNumberFormat="0" applyFont="0" applyFill="0" applyAlignment="0" applyProtection="0"/>
    <xf numFmtId="192" fontId="9" fillId="3" borderId="3255">
      <alignment horizontal="right" vertical="center"/>
    </xf>
    <xf numFmtId="222" fontId="79" fillId="0" borderId="3007" applyBorder="0"/>
    <xf numFmtId="0" fontId="101" fillId="0" borderId="3010" applyBorder="0"/>
    <xf numFmtId="222" fontId="79" fillId="0" borderId="3007" applyBorder="0"/>
    <xf numFmtId="0" fontId="113" fillId="0" borderId="3010" applyNumberFormat="0" applyFill="0" applyAlignment="0" applyProtection="0"/>
    <xf numFmtId="0" fontId="12" fillId="0" borderId="3010" applyNumberFormat="0" applyFill="0" applyBorder="0" applyAlignment="0" applyProtection="0">
      <alignment horizontal="center"/>
    </xf>
    <xf numFmtId="248" fontId="46" fillId="0" borderId="3010"/>
    <xf numFmtId="192" fontId="9" fillId="3" borderId="3010">
      <alignment horizontal="right" vertical="center"/>
    </xf>
    <xf numFmtId="180" fontId="9" fillId="3" borderId="3010">
      <alignment horizontal="right" vertical="center"/>
    </xf>
    <xf numFmtId="186" fontId="146" fillId="3" borderId="3010" applyBorder="0">
      <alignment horizontal="left" vertical="center"/>
    </xf>
    <xf numFmtId="0" fontId="165" fillId="0" borderId="3010" applyFill="0" applyProtection="0">
      <alignment horizontal="center"/>
    </xf>
    <xf numFmtId="0" fontId="166" fillId="0" borderId="3010">
      <alignment horizontal="center"/>
    </xf>
    <xf numFmtId="264" fontId="12" fillId="14" borderId="3010" applyFont="0" applyFill="0" applyBorder="0" applyAlignment="0" applyProtection="0">
      <alignment horizontal="right"/>
    </xf>
    <xf numFmtId="0" fontId="210" fillId="0" borderId="3010" applyNumberFormat="0" applyFill="0" applyBorder="0" applyAlignment="0">
      <protection locked="0"/>
    </xf>
    <xf numFmtId="254" fontId="240" fillId="0" borderId="3010" applyBorder="0" applyProtection="0">
      <alignment horizontal="right" vertical="center"/>
    </xf>
    <xf numFmtId="0" fontId="241" fillId="94" borderId="3010" applyBorder="0" applyProtection="0">
      <alignment horizontal="centerContinuous" vertical="center"/>
    </xf>
    <xf numFmtId="246" fontId="249" fillId="0" borderId="3010" applyFill="0" applyProtection="0">
      <alignment horizontal="center"/>
    </xf>
    <xf numFmtId="246" fontId="250" fillId="0" borderId="3010" applyFill="0" applyProtection="0">
      <alignment horizontal="center"/>
    </xf>
    <xf numFmtId="0" fontId="25" fillId="10" borderId="3263" applyNumberFormat="0" applyProtection="0">
      <alignment horizontal="left" vertical="top"/>
    </xf>
    <xf numFmtId="0" fontId="286" fillId="54" borderId="3025" applyNumberFormat="0" applyAlignment="0" applyProtection="0"/>
    <xf numFmtId="0" fontId="75" fillId="0" borderId="3184" applyNumberFormat="0" applyFont="0" applyFill="0" applyAlignment="0" applyProtection="0"/>
    <xf numFmtId="0" fontId="210" fillId="0" borderId="3255" applyNumberFormat="0" applyFill="0" applyBorder="0" applyAlignment="0">
      <protection locked="0"/>
    </xf>
    <xf numFmtId="0" fontId="288" fillId="0" borderId="3026" applyNumberFormat="0" applyFill="0" applyAlignment="0" applyProtection="0"/>
    <xf numFmtId="0" fontId="25" fillId="10" borderId="3193" applyNumberFormat="0" applyProtection="0">
      <alignment horizontal="left" vertical="top"/>
    </xf>
    <xf numFmtId="0" fontId="25" fillId="10" borderId="3191" applyNumberFormat="0" applyProtection="0">
      <alignment horizontal="left" vertical="top"/>
    </xf>
    <xf numFmtId="0" fontId="25" fillId="10" borderId="3192" applyNumberFormat="0" applyProtection="0">
      <alignment horizontal="left" vertical="top"/>
    </xf>
    <xf numFmtId="0" fontId="25" fillId="10" borderId="3190" applyNumberFormat="0" applyProtection="0">
      <alignment horizontal="left" vertical="top"/>
    </xf>
    <xf numFmtId="186" fontId="140" fillId="3" borderId="3187">
      <alignment horizontal="center" vertical="center"/>
    </xf>
    <xf numFmtId="0" fontId="241" fillId="94" borderId="3074" applyBorder="0" applyProtection="0">
      <alignment horizontal="centerContinuous" vertical="center"/>
    </xf>
    <xf numFmtId="0" fontId="166" fillId="0" borderId="3074">
      <alignment horizontal="center"/>
    </xf>
    <xf numFmtId="0" fontId="214" fillId="0" borderId="2975" applyNumberFormat="0" applyFont="0" applyFill="0" applyAlignment="0" applyProtection="0"/>
    <xf numFmtId="246" fontId="250" fillId="0" borderId="3010" applyFill="0" applyProtection="0">
      <alignment horizontal="center"/>
    </xf>
    <xf numFmtId="246" fontId="249" fillId="0" borderId="3010" applyFill="0" applyProtection="0">
      <alignment horizontal="center"/>
    </xf>
    <xf numFmtId="0" fontId="241" fillId="94" borderId="3010" applyBorder="0" applyProtection="0">
      <alignment horizontal="centerContinuous" vertical="center"/>
    </xf>
    <xf numFmtId="254" fontId="240" fillId="0" borderId="3010" applyBorder="0" applyProtection="0">
      <alignment horizontal="right" vertical="center"/>
    </xf>
    <xf numFmtId="0" fontId="210" fillId="0" borderId="3010" applyNumberFormat="0" applyFill="0" applyBorder="0" applyAlignment="0">
      <protection locked="0"/>
    </xf>
    <xf numFmtId="264" fontId="12" fillId="14" borderId="3010" applyFont="0" applyFill="0" applyBorder="0" applyAlignment="0" applyProtection="0">
      <alignment horizontal="right"/>
    </xf>
    <xf numFmtId="0" fontId="166" fillId="0" borderId="3010">
      <alignment horizontal="center"/>
    </xf>
    <xf numFmtId="0" fontId="165" fillId="0" borderId="3010" applyFill="0" applyProtection="0">
      <alignment horizontal="center"/>
    </xf>
    <xf numFmtId="186" fontId="146" fillId="3" borderId="3010" applyBorder="0">
      <alignment horizontal="left" vertical="center"/>
    </xf>
    <xf numFmtId="180" fontId="9" fillId="3" borderId="3010">
      <alignment horizontal="right" vertical="center"/>
    </xf>
    <xf numFmtId="192" fontId="9" fillId="3" borderId="3010">
      <alignment horizontal="right" vertical="center"/>
    </xf>
    <xf numFmtId="248" fontId="46" fillId="0" borderId="3010"/>
    <xf numFmtId="0" fontId="12" fillId="0" borderId="3010" applyNumberFormat="0" applyFill="0" applyBorder="0" applyAlignment="0" applyProtection="0">
      <alignment horizontal="center"/>
    </xf>
    <xf numFmtId="0" fontId="113" fillId="0" borderId="3010" applyNumberFormat="0" applyFill="0" applyAlignment="0" applyProtection="0"/>
    <xf numFmtId="222" fontId="79" fillId="0" borderId="3007" applyBorder="0"/>
    <xf numFmtId="0" fontId="101" fillId="0" borderId="3010" applyBorder="0"/>
    <xf numFmtId="222" fontId="79" fillId="0" borderId="3007" applyBorder="0"/>
    <xf numFmtId="0" fontId="75" fillId="0" borderId="2873" applyNumberFormat="0" applyFont="0" applyFill="0" applyAlignment="0" applyProtection="0"/>
    <xf numFmtId="186" fontId="146" fillId="3" borderId="2875">
      <alignment horizontal="left"/>
    </xf>
    <xf numFmtId="186" fontId="140" fillId="3" borderId="2949">
      <alignment horizontal="center" vertical="center"/>
    </xf>
    <xf numFmtId="0" fontId="214" fillId="0" borderId="2975" applyNumberFormat="0" applyFont="0" applyFill="0" applyAlignment="0" applyProtection="0"/>
    <xf numFmtId="0" fontId="25" fillId="10" borderId="2976" applyNumberFormat="0" applyProtection="0">
      <alignment horizontal="left" vertical="top"/>
    </xf>
    <xf numFmtId="0" fontId="25" fillId="10" borderId="2977" applyNumberFormat="0" applyProtection="0">
      <alignment horizontal="left" vertical="top"/>
    </xf>
    <xf numFmtId="0" fontId="25" fillId="10" borderId="2978" applyNumberFormat="0" applyProtection="0">
      <alignment horizontal="left" vertical="top"/>
    </xf>
    <xf numFmtId="0" fontId="25" fillId="10" borderId="2979" applyNumberFormat="0" applyProtection="0">
      <alignment horizontal="left" vertical="top"/>
    </xf>
    <xf numFmtId="0" fontId="78" fillId="14" borderId="2983" applyFont="0" applyFill="0" applyBorder="0" applyAlignment="0" applyProtection="0"/>
    <xf numFmtId="222" fontId="79" fillId="0" borderId="3022" applyBorder="0"/>
    <xf numFmtId="0" fontId="78" fillId="14" borderId="3013" applyFont="0" applyFill="0" applyBorder="0" applyAlignment="0" applyProtection="0"/>
    <xf numFmtId="186" fontId="146" fillId="3" borderId="2875">
      <alignment horizontal="left"/>
    </xf>
    <xf numFmtId="0" fontId="78" fillId="14" borderId="3013" applyFont="0" applyFill="0" applyBorder="0" applyAlignment="0" applyProtection="0"/>
    <xf numFmtId="222" fontId="79" fillId="0" borderId="3022" applyBorder="0"/>
    <xf numFmtId="0" fontId="2" fillId="0" borderId="3016" applyNumberFormat="0" applyAlignment="0" applyProtection="0"/>
    <xf numFmtId="0" fontId="78" fillId="14" borderId="3013" applyFont="0" applyFill="0" applyBorder="0" applyAlignment="0" applyProtection="0"/>
    <xf numFmtId="0" fontId="25" fillId="10" borderId="3021" applyNumberFormat="0" applyProtection="0">
      <alignment horizontal="left" vertical="top"/>
    </xf>
    <xf numFmtId="0" fontId="25" fillId="10" borderId="3020" applyNumberFormat="0" applyProtection="0">
      <alignment horizontal="left" vertical="top"/>
    </xf>
    <xf numFmtId="0" fontId="25" fillId="10" borderId="3019" applyNumberFormat="0" applyProtection="0">
      <alignment horizontal="left" vertical="top"/>
    </xf>
    <xf numFmtId="0" fontId="25" fillId="10" borderId="3018" applyNumberFormat="0" applyProtection="0">
      <alignment horizontal="left" vertical="top"/>
    </xf>
    <xf numFmtId="0" fontId="25" fillId="10" borderId="3019" applyNumberFormat="0" applyProtection="0">
      <alignment horizontal="left" vertical="top"/>
    </xf>
    <xf numFmtId="0" fontId="214" fillId="0" borderId="3017" applyNumberFormat="0" applyFont="0" applyFill="0" applyAlignment="0" applyProtection="0"/>
    <xf numFmtId="0" fontId="2" fillId="0" borderId="3016" applyNumberFormat="0" applyAlignment="0" applyProtection="0"/>
    <xf numFmtId="186" fontId="140" fillId="3" borderId="3015">
      <alignment horizontal="center" vertical="center"/>
    </xf>
    <xf numFmtId="186" fontId="146" fillId="3" borderId="3014">
      <alignment horizontal="left"/>
    </xf>
    <xf numFmtId="0" fontId="25" fillId="10" borderId="3021" applyNumberFormat="0" applyProtection="0">
      <alignment horizontal="left" vertical="top"/>
    </xf>
    <xf numFmtId="0" fontId="75" fillId="0" borderId="3012" applyNumberFormat="0" applyFont="0" applyFill="0" applyAlignment="0" applyProtection="0"/>
    <xf numFmtId="222" fontId="79" fillId="0" borderId="3022" applyBorder="0"/>
    <xf numFmtId="0" fontId="101" fillId="0" borderId="3023" applyBorder="0"/>
    <xf numFmtId="222" fontId="79" fillId="0" borderId="3022" applyBorder="0"/>
    <xf numFmtId="0" fontId="113" fillId="0" borderId="3023" applyNumberFormat="0" applyFill="0" applyAlignment="0" applyProtection="0"/>
    <xf numFmtId="0" fontId="12" fillId="0" borderId="3023" applyNumberFormat="0" applyFill="0" applyBorder="0" applyAlignment="0" applyProtection="0">
      <alignment horizontal="center"/>
    </xf>
    <xf numFmtId="248" fontId="46" fillId="0" borderId="3023"/>
    <xf numFmtId="192" fontId="9" fillId="3" borderId="3023">
      <alignment horizontal="right" vertical="center"/>
    </xf>
    <xf numFmtId="180" fontId="9" fillId="3" borderId="3023">
      <alignment horizontal="right" vertical="center"/>
    </xf>
    <xf numFmtId="186" fontId="146" fillId="3" borderId="3023" applyBorder="0">
      <alignment horizontal="left" vertical="center"/>
    </xf>
    <xf numFmtId="0" fontId="165" fillId="0" borderId="3023" applyFill="0" applyProtection="0">
      <alignment horizontal="center"/>
    </xf>
    <xf numFmtId="0" fontId="166" fillId="0" borderId="3023">
      <alignment horizontal="center"/>
    </xf>
    <xf numFmtId="264" fontId="12" fillId="14" borderId="3023" applyFont="0" applyFill="0" applyBorder="0" applyAlignment="0" applyProtection="0">
      <alignment horizontal="right"/>
    </xf>
    <xf numFmtId="0" fontId="210" fillId="0" borderId="3023" applyNumberFormat="0" applyFill="0" applyBorder="0" applyAlignment="0">
      <protection locked="0"/>
    </xf>
    <xf numFmtId="254" fontId="240" fillId="0" borderId="3023" applyBorder="0" applyProtection="0">
      <alignment horizontal="right" vertical="center"/>
    </xf>
    <xf numFmtId="0" fontId="241" fillId="94" borderId="3023" applyBorder="0" applyProtection="0">
      <alignment horizontal="centerContinuous" vertical="center"/>
    </xf>
    <xf numFmtId="246" fontId="249" fillId="0" borderId="3023" applyFill="0" applyProtection="0">
      <alignment horizontal="center"/>
    </xf>
    <xf numFmtId="246" fontId="250" fillId="0" borderId="3023" applyFill="0" applyProtection="0">
      <alignment horizontal="center"/>
    </xf>
    <xf numFmtId="186" fontId="140" fillId="3" borderId="3015">
      <alignment horizontal="center" vertical="center"/>
    </xf>
    <xf numFmtId="0" fontId="78" fillId="14" borderId="2983" applyFont="0" applyFill="0" applyBorder="0" applyAlignment="0" applyProtection="0"/>
    <xf numFmtId="222" fontId="79" fillId="0" borderId="3022" applyBorder="0"/>
    <xf numFmtId="0" fontId="78" fillId="14" borderId="3028" applyFont="0" applyFill="0" applyBorder="0" applyAlignment="0" applyProtection="0"/>
    <xf numFmtId="0" fontId="25" fillId="10" borderId="3036" applyNumberFormat="0" applyProtection="0">
      <alignment horizontal="left" vertical="top"/>
    </xf>
    <xf numFmtId="0" fontId="25" fillId="10" borderId="3035" applyNumberFormat="0" applyProtection="0">
      <alignment horizontal="left" vertical="top"/>
    </xf>
    <xf numFmtId="0" fontId="25" fillId="10" borderId="3034" applyNumberFormat="0" applyProtection="0">
      <alignment horizontal="left" vertical="top"/>
    </xf>
    <xf numFmtId="0" fontId="25" fillId="10" borderId="3033" applyNumberFormat="0" applyProtection="0">
      <alignment horizontal="left" vertical="top"/>
    </xf>
    <xf numFmtId="0" fontId="214" fillId="0" borderId="3032" applyNumberFormat="0" applyFont="0" applyFill="0" applyAlignment="0" applyProtection="0"/>
    <xf numFmtId="0" fontId="2" fillId="0" borderId="3031" applyNumberFormat="0" applyAlignment="0" applyProtection="0"/>
    <xf numFmtId="186" fontId="140" fillId="3" borderId="3030">
      <alignment horizontal="center" vertical="center"/>
    </xf>
    <xf numFmtId="186" fontId="146" fillId="3" borderId="3029">
      <alignment horizontal="left"/>
    </xf>
    <xf numFmtId="0" fontId="75" fillId="0" borderId="3027" applyNumberFormat="0" applyFont="0" applyFill="0" applyAlignment="0" applyProtection="0"/>
    <xf numFmtId="222" fontId="79" fillId="0" borderId="3037" applyBorder="0"/>
    <xf numFmtId="0" fontId="101" fillId="0" borderId="3038" applyBorder="0"/>
    <xf numFmtId="222" fontId="79" fillId="0" borderId="3037" applyBorder="0"/>
    <xf numFmtId="0" fontId="113" fillId="0" borderId="3038" applyNumberFormat="0" applyFill="0" applyAlignment="0" applyProtection="0"/>
    <xf numFmtId="0" fontId="12" fillId="0" borderId="3038" applyNumberFormat="0" applyFill="0" applyBorder="0" applyAlignment="0" applyProtection="0">
      <alignment horizontal="center"/>
    </xf>
    <xf numFmtId="248" fontId="46" fillId="0" borderId="3038"/>
    <xf numFmtId="192" fontId="9" fillId="3" borderId="3038">
      <alignment horizontal="right" vertical="center"/>
    </xf>
    <xf numFmtId="180" fontId="9" fillId="3" borderId="3038">
      <alignment horizontal="right" vertical="center"/>
    </xf>
    <xf numFmtId="186" fontId="146" fillId="3" borderId="3038" applyBorder="0">
      <alignment horizontal="left" vertical="center"/>
    </xf>
    <xf numFmtId="0" fontId="165" fillId="0" borderId="3038" applyFill="0" applyProtection="0">
      <alignment horizontal="center"/>
    </xf>
    <xf numFmtId="0" fontId="166" fillId="0" borderId="3038">
      <alignment horizontal="center"/>
    </xf>
    <xf numFmtId="264" fontId="12" fillId="14" borderId="3038" applyFont="0" applyFill="0" applyBorder="0" applyAlignment="0" applyProtection="0">
      <alignment horizontal="right"/>
    </xf>
    <xf numFmtId="0" fontId="210" fillId="0" borderId="3038" applyNumberFormat="0" applyFill="0" applyBorder="0" applyAlignment="0">
      <protection locked="0"/>
    </xf>
    <xf numFmtId="254" fontId="240" fillId="0" borderId="3038" applyBorder="0" applyProtection="0">
      <alignment horizontal="right" vertical="center"/>
    </xf>
    <xf numFmtId="0" fontId="241" fillId="94" borderId="3038" applyBorder="0" applyProtection="0">
      <alignment horizontal="centerContinuous" vertical="center"/>
    </xf>
    <xf numFmtId="246" fontId="249" fillId="0" borderId="3038" applyFill="0" applyProtection="0">
      <alignment horizontal="center"/>
    </xf>
    <xf numFmtId="246" fontId="250" fillId="0" borderId="3038" applyFill="0" applyProtection="0">
      <alignment horizontal="center"/>
    </xf>
    <xf numFmtId="222" fontId="79" fillId="0" borderId="3049" applyBorder="0"/>
    <xf numFmtId="0" fontId="78" fillId="14" borderId="3052" applyFont="0" applyFill="0" applyBorder="0" applyAlignment="0" applyProtection="0"/>
    <xf numFmtId="0" fontId="25" fillId="10" borderId="3060" applyNumberFormat="0" applyProtection="0">
      <alignment horizontal="left" vertical="top"/>
    </xf>
    <xf numFmtId="0" fontId="25" fillId="10" borderId="3059" applyNumberFormat="0" applyProtection="0">
      <alignment horizontal="left" vertical="top"/>
    </xf>
    <xf numFmtId="0" fontId="25" fillId="10" borderId="3058" applyNumberFormat="0" applyProtection="0">
      <alignment horizontal="left" vertical="top"/>
    </xf>
    <xf numFmtId="0" fontId="25" fillId="10" borderId="3057" applyNumberFormat="0" applyProtection="0">
      <alignment horizontal="left" vertical="top"/>
    </xf>
    <xf numFmtId="0" fontId="214" fillId="0" borderId="3056" applyNumberFormat="0" applyFont="0" applyFill="0" applyAlignment="0" applyProtection="0"/>
    <xf numFmtId="0" fontId="2" fillId="0" borderId="3055" applyNumberFormat="0" applyAlignment="0" applyProtection="0"/>
    <xf numFmtId="186" fontId="140" fillId="3" borderId="3054">
      <alignment horizontal="center" vertical="center"/>
    </xf>
    <xf numFmtId="186" fontId="146" fillId="3" borderId="3053">
      <alignment horizontal="left"/>
    </xf>
    <xf numFmtId="0" fontId="75" fillId="0" borderId="3051" applyNumberFormat="0" applyFont="0" applyFill="0" applyAlignment="0" applyProtection="0"/>
    <xf numFmtId="222" fontId="79" fillId="0" borderId="3061" applyBorder="0"/>
    <xf numFmtId="0" fontId="101" fillId="0" borderId="3062" applyBorder="0"/>
    <xf numFmtId="222" fontId="79" fillId="0" borderId="3061" applyBorder="0"/>
    <xf numFmtId="0" fontId="113" fillId="0" borderId="3062" applyNumberFormat="0" applyFill="0" applyAlignment="0" applyProtection="0"/>
    <xf numFmtId="0" fontId="12" fillId="0" borderId="3062" applyNumberFormat="0" applyFill="0" applyBorder="0" applyAlignment="0" applyProtection="0">
      <alignment horizontal="center"/>
    </xf>
    <xf numFmtId="248" fontId="46" fillId="0" borderId="3062"/>
    <xf numFmtId="192" fontId="9" fillId="3" borderId="3062">
      <alignment horizontal="right" vertical="center"/>
    </xf>
    <xf numFmtId="180" fontId="9" fillId="3" borderId="3062">
      <alignment horizontal="right" vertical="center"/>
    </xf>
    <xf numFmtId="186" fontId="146" fillId="3" borderId="3062" applyBorder="0">
      <alignment horizontal="left" vertical="center"/>
    </xf>
    <xf numFmtId="0" fontId="165" fillId="0" borderId="3062" applyFill="0" applyProtection="0">
      <alignment horizontal="center"/>
    </xf>
    <xf numFmtId="0" fontId="166" fillId="0" borderId="3062">
      <alignment horizontal="center"/>
    </xf>
    <xf numFmtId="264" fontId="12" fillId="14" borderId="3062" applyFont="0" applyFill="0" applyBorder="0" applyAlignment="0" applyProtection="0">
      <alignment horizontal="right"/>
    </xf>
    <xf numFmtId="0" fontId="210" fillId="0" borderId="3062" applyNumberFormat="0" applyFill="0" applyBorder="0" applyAlignment="0">
      <protection locked="0"/>
    </xf>
    <xf numFmtId="254" fontId="240" fillId="0" borderId="3062" applyBorder="0" applyProtection="0">
      <alignment horizontal="right" vertical="center"/>
    </xf>
    <xf numFmtId="0" fontId="241" fillId="94" borderId="3062" applyBorder="0" applyProtection="0">
      <alignment horizontal="centerContinuous" vertical="center"/>
    </xf>
    <xf numFmtId="246" fontId="249" fillId="0" borderId="3062" applyFill="0" applyProtection="0">
      <alignment horizontal="center"/>
    </xf>
    <xf numFmtId="246" fontId="250" fillId="0" borderId="3062" applyFill="0" applyProtection="0">
      <alignment horizontal="center"/>
    </xf>
    <xf numFmtId="0" fontId="113" fillId="0" borderId="3195" applyNumberFormat="0" applyFill="0" applyAlignment="0" applyProtection="0"/>
    <xf numFmtId="0" fontId="75" fillId="0" borderId="3075" applyNumberFormat="0" applyFont="0" applyFill="0" applyAlignment="0" applyProtection="0"/>
    <xf numFmtId="0" fontId="78" fillId="14" borderId="3076" applyFont="0" applyFill="0" applyBorder="0" applyAlignment="0" applyProtection="0"/>
    <xf numFmtId="186" fontId="146" fillId="3" borderId="3077">
      <alignment horizontal="left"/>
    </xf>
    <xf numFmtId="186" fontId="140" fillId="3" borderId="3078">
      <alignment horizontal="center" vertical="center"/>
    </xf>
    <xf numFmtId="0" fontId="2" fillId="0" borderId="3079" applyNumberFormat="0" applyAlignment="0" applyProtection="0"/>
    <xf numFmtId="0" fontId="214" fillId="0" borderId="3080" applyNumberFormat="0" applyFont="0" applyFill="0" applyAlignment="0" applyProtection="0"/>
    <xf numFmtId="0" fontId="25" fillId="10" borderId="3081" applyNumberFormat="0" applyProtection="0">
      <alignment horizontal="left" vertical="top"/>
    </xf>
    <xf numFmtId="0" fontId="25" fillId="10" borderId="3082" applyNumberFormat="0" applyProtection="0">
      <alignment horizontal="left" vertical="top"/>
    </xf>
    <xf numFmtId="0" fontId="25" fillId="10" borderId="3083" applyNumberFormat="0" applyProtection="0">
      <alignment horizontal="left" vertical="top"/>
    </xf>
    <xf numFmtId="0" fontId="25" fillId="10" borderId="3084" applyNumberFormat="0" applyProtection="0">
      <alignment horizontal="left" vertical="top"/>
    </xf>
    <xf numFmtId="10" fontId="12" fillId="3" borderId="3006" applyNumberFormat="0" applyFont="0" applyFill="0" applyBorder="0" applyAlignment="0">
      <protection locked="0"/>
    </xf>
    <xf numFmtId="0" fontId="12" fillId="0" borderId="3195" applyNumberFormat="0" applyFill="0" applyBorder="0" applyAlignment="0" applyProtection="0">
      <alignment horizontal="center"/>
    </xf>
    <xf numFmtId="10" fontId="12" fillId="3" borderId="3006" applyNumberFormat="0" applyFont="0" applyFill="0" applyBorder="0" applyAlignment="0">
      <protection locked="0"/>
    </xf>
    <xf numFmtId="0" fontId="101" fillId="0" borderId="3195" applyBorder="0"/>
    <xf numFmtId="248" fontId="46" fillId="0" borderId="3195"/>
    <xf numFmtId="1" fontId="154" fillId="65" borderId="3085" applyNumberFormat="0" applyBorder="0" applyAlignment="0">
      <alignment horizontal="centerContinuous" vertical="center"/>
      <protection locked="0"/>
    </xf>
    <xf numFmtId="0" fontId="12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10" fontId="12" fillId="3" borderId="3006" applyNumberFormat="0" applyFont="0" applyFill="0" applyBorder="0" applyAlignment="0">
      <protection locked="0"/>
    </xf>
    <xf numFmtId="246" fontId="250" fillId="0" borderId="3074" applyFill="0" applyProtection="0">
      <alignment horizontal="center"/>
    </xf>
    <xf numFmtId="246" fontId="249" fillId="0" borderId="3074" applyFill="0" applyProtection="0">
      <alignment horizontal="center"/>
    </xf>
    <xf numFmtId="0" fontId="241" fillId="94" borderId="3074" applyBorder="0" applyProtection="0">
      <alignment horizontal="centerContinuous" vertical="center"/>
    </xf>
    <xf numFmtId="254" fontId="240" fillId="0" borderId="3074" applyBorder="0" applyProtection="0">
      <alignment horizontal="right" vertical="center"/>
    </xf>
    <xf numFmtId="0" fontId="12" fillId="0" borderId="2993" applyNumberFormat="0" applyFill="0" applyBorder="0" applyAlignment="0" applyProtection="0"/>
    <xf numFmtId="0" fontId="25" fillId="10" borderId="3005" applyNumberFormat="0" applyProtection="0">
      <alignment horizontal="left" vertical="top"/>
    </xf>
    <xf numFmtId="0" fontId="25" fillId="10" borderId="3004" applyNumberFormat="0" applyProtection="0">
      <alignment horizontal="left" vertical="top"/>
    </xf>
    <xf numFmtId="0" fontId="25" fillId="10" borderId="3003" applyNumberFormat="0" applyProtection="0">
      <alignment horizontal="left" vertical="top"/>
    </xf>
    <xf numFmtId="0" fontId="25" fillId="10" borderId="3002" applyNumberFormat="0" applyProtection="0">
      <alignment horizontal="left" vertical="top"/>
    </xf>
    <xf numFmtId="0" fontId="25" fillId="10" borderId="3001" applyNumberFormat="0" applyProtection="0">
      <alignment horizontal="left" vertical="top"/>
    </xf>
    <xf numFmtId="0" fontId="25" fillId="10" borderId="3000" applyNumberFormat="0" applyProtection="0">
      <alignment horizontal="left" vertical="top"/>
    </xf>
    <xf numFmtId="0" fontId="25" fillId="10" borderId="2999" applyNumberFormat="0" applyProtection="0">
      <alignment horizontal="left"/>
    </xf>
    <xf numFmtId="0" fontId="12" fillId="10" borderId="2994" applyNumberFormat="0" applyFont="0" applyProtection="0"/>
    <xf numFmtId="0" fontId="12" fillId="10" borderId="2994" applyNumberFormat="0" applyFont="0" applyAlignment="0" applyProtection="0"/>
    <xf numFmtId="0" fontId="12" fillId="3" borderId="2994" applyNumberFormat="0" applyFont="0" applyAlignment="0" applyProtection="0"/>
    <xf numFmtId="293" fontId="234" fillId="10" borderId="2994" applyFont="0" applyProtection="0"/>
    <xf numFmtId="169" fontId="234" fillId="10" borderId="2994" applyFont="0" applyProtection="0"/>
    <xf numFmtId="293" fontId="234" fillId="10" borderId="2994" applyFont="0" applyProtection="0"/>
    <xf numFmtId="293" fontId="234" fillId="3" borderId="2994" applyFont="0" applyProtection="0"/>
    <xf numFmtId="169" fontId="234" fillId="3" borderId="2994" applyFont="0" applyProtection="0"/>
    <xf numFmtId="0" fontId="25" fillId="10" borderId="2994" applyNumberFormat="0" applyProtection="0">
      <alignment horizontal="center" vertical="top"/>
    </xf>
    <xf numFmtId="0" fontId="25" fillId="10" borderId="2994" applyNumberFormat="0" applyProtection="0">
      <alignment horizontal="center" vertical="top"/>
    </xf>
    <xf numFmtId="0" fontId="210" fillId="0" borderId="3074" applyNumberFormat="0" applyFill="0" applyBorder="0" applyAlignment="0">
      <protection locked="0"/>
    </xf>
    <xf numFmtId="188" fontId="25" fillId="0" borderId="3009" applyFont="0" applyFill="0" applyBorder="0" applyAlignment="0" applyProtection="0">
      <alignment horizontal="center"/>
    </xf>
    <xf numFmtId="264" fontId="12" fillId="14" borderId="3074" applyFont="0" applyFill="0" applyBorder="0" applyAlignment="0" applyProtection="0">
      <alignment horizontal="right"/>
    </xf>
    <xf numFmtId="0" fontId="25" fillId="69" borderId="2994">
      <alignment horizontal="left" vertical="center" wrapText="1"/>
    </xf>
    <xf numFmtId="0" fontId="166" fillId="0" borderId="3074">
      <alignment horizontal="center"/>
    </xf>
    <xf numFmtId="0" fontId="165" fillId="0" borderId="3074" applyFill="0" applyProtection="0">
      <alignment horizontal="center"/>
    </xf>
    <xf numFmtId="0" fontId="159" fillId="67" borderId="2994"/>
    <xf numFmtId="0" fontId="159" fillId="0" borderId="2994"/>
    <xf numFmtId="0" fontId="135" fillId="0" borderId="2994"/>
    <xf numFmtId="0" fontId="135" fillId="0" borderId="2994"/>
    <xf numFmtId="186" fontId="48" fillId="3" borderId="2992">
      <alignment vertical="center"/>
    </xf>
    <xf numFmtId="186" fontId="146" fillId="3" borderId="3074" applyBorder="0">
      <alignment horizontal="left" vertical="center"/>
    </xf>
    <xf numFmtId="180" fontId="9" fillId="3" borderId="3074">
      <alignment horizontal="right" vertical="center"/>
    </xf>
    <xf numFmtId="192" fontId="9" fillId="3" borderId="3074">
      <alignment horizontal="right" vertical="center"/>
    </xf>
    <xf numFmtId="182" fontId="145" fillId="3" borderId="2992">
      <alignment horizontal="right" vertical="center"/>
    </xf>
    <xf numFmtId="0" fontId="48" fillId="0" borderId="2992" applyFont="0" applyFill="0" applyBorder="0" applyAlignment="0" applyProtection="0">
      <alignment horizontal="center"/>
    </xf>
    <xf numFmtId="0" fontId="74" fillId="0" borderId="2992" applyFont="0" applyFill="0" applyBorder="0" applyAlignment="0" applyProtection="0">
      <alignment horizontal="center"/>
    </xf>
    <xf numFmtId="0" fontId="12" fillId="0" borderId="3074" applyNumberFormat="0" applyFill="0" applyBorder="0" applyAlignment="0" applyProtection="0">
      <alignment horizontal="center"/>
    </xf>
    <xf numFmtId="5" fontId="114" fillId="0" borderId="2992" applyAlignment="0" applyProtection="0"/>
    <xf numFmtId="0" fontId="113" fillId="0" borderId="3074" applyNumberFormat="0" applyFill="0" applyAlignment="0" applyProtection="0"/>
    <xf numFmtId="0" fontId="48" fillId="0" borderId="2993" applyNumberFormat="0" applyFill="0" applyAlignment="0" applyProtection="0"/>
    <xf numFmtId="0" fontId="105" fillId="0" borderId="2993" applyNumberFormat="0" applyFill="0" applyBorder="0" applyAlignment="0" applyProtection="0"/>
    <xf numFmtId="0" fontId="46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222" fontId="79" fillId="0" borderId="3073" applyBorder="0"/>
    <xf numFmtId="0" fontId="101" fillId="0" borderId="3074" applyBorder="0"/>
    <xf numFmtId="10" fontId="12" fillId="3" borderId="3006" applyNumberFormat="0" applyFont="0" applyFill="0" applyBorder="0" applyAlignment="0">
      <protection locked="0"/>
    </xf>
    <xf numFmtId="192" fontId="9" fillId="3" borderId="3195">
      <alignment horizontal="right" vertical="center"/>
    </xf>
    <xf numFmtId="248" fontId="46" fillId="0" borderId="3074"/>
    <xf numFmtId="180" fontId="9" fillId="3" borderId="3195">
      <alignment horizontal="right" vertical="center"/>
    </xf>
    <xf numFmtId="10" fontId="12" fillId="3" borderId="3006" applyNumberFormat="0" applyFont="0" applyFill="0" applyBorder="0" applyAlignment="0">
      <protection locked="0"/>
    </xf>
    <xf numFmtId="0" fontId="166" fillId="0" borderId="3183">
      <alignment horizontal="center"/>
    </xf>
    <xf numFmtId="186" fontId="146" fillId="3" borderId="3195" applyBorder="0">
      <alignment horizontal="left" vertical="center"/>
    </xf>
    <xf numFmtId="10" fontId="12" fillId="3" borderId="3006" applyNumberFormat="0" applyFont="0" applyFill="0" applyBorder="0" applyAlignment="0">
      <protection locked="0"/>
    </xf>
    <xf numFmtId="254" fontId="240" fillId="0" borderId="3183" applyBorder="0" applyProtection="0">
      <alignment horizontal="right" vertical="center"/>
    </xf>
    <xf numFmtId="10" fontId="12" fillId="3" borderId="3006" applyNumberFormat="0" applyFont="0" applyFill="0" applyBorder="0" applyAlignment="0">
      <protection locked="0"/>
    </xf>
    <xf numFmtId="0" fontId="101" fillId="0" borderId="3074" applyBorder="0"/>
    <xf numFmtId="222" fontId="79" fillId="0" borderId="3073" applyBorder="0"/>
    <xf numFmtId="0" fontId="113" fillId="0" borderId="3074" applyNumberFormat="0" applyFill="0" applyAlignment="0" applyProtection="0"/>
    <xf numFmtId="0" fontId="75" fillId="0" borderId="3075" applyNumberFormat="0" applyFont="0" applyFill="0" applyAlignment="0" applyProtection="0"/>
    <xf numFmtId="0" fontId="12" fillId="0" borderId="3074" applyNumberFormat="0" applyFill="0" applyBorder="0" applyAlignment="0" applyProtection="0">
      <alignment horizontal="center"/>
    </xf>
    <xf numFmtId="248" fontId="46" fillId="0" borderId="3074"/>
    <xf numFmtId="192" fontId="9" fillId="3" borderId="3074">
      <alignment horizontal="right" vertical="center"/>
    </xf>
    <xf numFmtId="180" fontId="9" fillId="3" borderId="3074">
      <alignment horizontal="right" vertical="center"/>
    </xf>
    <xf numFmtId="186" fontId="146" fillId="3" borderId="3074" applyBorder="0">
      <alignment horizontal="left" vertical="center"/>
    </xf>
    <xf numFmtId="186" fontId="146" fillId="3" borderId="3077">
      <alignment horizontal="left"/>
    </xf>
    <xf numFmtId="186" fontId="140" fillId="3" borderId="3078">
      <alignment horizontal="center" vertical="center"/>
    </xf>
    <xf numFmtId="0" fontId="165" fillId="0" borderId="3074" applyFill="0" applyProtection="0">
      <alignment horizontal="center"/>
    </xf>
    <xf numFmtId="0" fontId="166" fillId="0" borderId="3074">
      <alignment horizontal="center"/>
    </xf>
    <xf numFmtId="264" fontId="12" fillId="14" borderId="3074" applyFont="0" applyFill="0" applyBorder="0" applyAlignment="0" applyProtection="0">
      <alignment horizontal="right"/>
    </xf>
    <xf numFmtId="0" fontId="210" fillId="0" borderId="3074" applyNumberFormat="0" applyFill="0" applyBorder="0" applyAlignment="0">
      <protection locked="0"/>
    </xf>
    <xf numFmtId="0" fontId="2" fillId="0" borderId="3079" applyNumberFormat="0" applyAlignment="0" applyProtection="0"/>
    <xf numFmtId="0" fontId="214" fillId="0" borderId="3080" applyNumberFormat="0" applyFont="0" applyFill="0" applyAlignment="0" applyProtection="0"/>
    <xf numFmtId="0" fontId="25" fillId="10" borderId="3081" applyNumberFormat="0" applyProtection="0">
      <alignment horizontal="left" vertical="top"/>
    </xf>
    <xf numFmtId="0" fontId="25" fillId="10" borderId="3082" applyNumberFormat="0" applyProtection="0">
      <alignment horizontal="left" vertical="top"/>
    </xf>
    <xf numFmtId="0" fontId="25" fillId="10" borderId="3083" applyNumberFormat="0" applyProtection="0">
      <alignment horizontal="left" vertical="top"/>
    </xf>
    <xf numFmtId="0" fontId="25" fillId="10" borderId="3084" applyNumberFormat="0" applyProtection="0">
      <alignment horizontal="left" vertical="top"/>
    </xf>
    <xf numFmtId="0" fontId="25" fillId="10" borderId="3081" applyNumberFormat="0" applyProtection="0">
      <alignment horizontal="left" vertical="top"/>
    </xf>
    <xf numFmtId="0" fontId="25" fillId="10" borderId="3082" applyNumberFormat="0" applyProtection="0">
      <alignment horizontal="left" vertical="top"/>
    </xf>
    <xf numFmtId="0" fontId="25" fillId="10" borderId="3083" applyNumberFormat="0" applyProtection="0">
      <alignment horizontal="left" vertical="top"/>
    </xf>
    <xf numFmtId="0" fontId="25" fillId="10" borderId="3084" applyNumberFormat="0" applyProtection="0">
      <alignment horizontal="left" vertical="top"/>
    </xf>
    <xf numFmtId="254" fontId="240" fillId="0" borderId="3074" applyBorder="0" applyProtection="0">
      <alignment horizontal="right" vertical="center"/>
    </xf>
    <xf numFmtId="0" fontId="241" fillId="94" borderId="3074" applyBorder="0" applyProtection="0">
      <alignment horizontal="centerContinuous" vertical="center"/>
    </xf>
    <xf numFmtId="246" fontId="249" fillId="0" borderId="3074" applyFill="0" applyProtection="0">
      <alignment horizontal="center"/>
    </xf>
    <xf numFmtId="246" fontId="250" fillId="0" borderId="3074" applyFill="0" applyProtection="0">
      <alignment horizontal="center"/>
    </xf>
    <xf numFmtId="0" fontId="165" fillId="0" borderId="3195" applyFill="0" applyProtection="0">
      <alignment horizontal="center"/>
    </xf>
    <xf numFmtId="10" fontId="12" fillId="3" borderId="3006" applyNumberFormat="0" applyFont="0" applyFill="0" applyBorder="0" applyAlignment="0">
      <protection locked="0"/>
    </xf>
    <xf numFmtId="0" fontId="166" fillId="0" borderId="3195">
      <alignment horizontal="center"/>
    </xf>
    <xf numFmtId="0" fontId="241" fillId="94" borderId="3255" applyBorder="0" applyProtection="0">
      <alignment horizontal="centerContinuous" vertical="center"/>
    </xf>
    <xf numFmtId="190" fontId="101" fillId="0" borderId="3074" applyBorder="0"/>
    <xf numFmtId="186" fontId="146" fillId="3" borderId="3255" applyBorder="0">
      <alignment horizontal="left" vertical="center"/>
    </xf>
    <xf numFmtId="192" fontId="9" fillId="3" borderId="3255">
      <alignment horizontal="right" vertical="center"/>
    </xf>
    <xf numFmtId="190" fontId="12" fillId="0" borderId="2993" applyNumberFormat="0" applyFill="0" applyBorder="0" applyAlignment="0" applyProtection="0"/>
    <xf numFmtId="190" fontId="46" fillId="0" borderId="2993" applyNumberFormat="0" applyFill="0" applyBorder="0" applyAlignment="0" applyProtection="0"/>
    <xf numFmtId="190" fontId="105" fillId="0" borderId="2993" applyNumberFormat="0" applyFill="0" applyBorder="0" applyAlignment="0" applyProtection="0"/>
    <xf numFmtId="190" fontId="48" fillId="0" borderId="2993" applyNumberFormat="0" applyFill="0" applyAlignment="0" applyProtection="0"/>
    <xf numFmtId="0" fontId="210" fillId="0" borderId="3255" applyNumberFormat="0" applyFill="0" applyBorder="0" applyAlignment="0">
      <protection locked="0"/>
    </xf>
    <xf numFmtId="246" fontId="249" fillId="0" borderId="3255" applyFill="0" applyProtection="0">
      <alignment horizontal="center"/>
    </xf>
    <xf numFmtId="190" fontId="113" fillId="0" borderId="3074" applyNumberFormat="0" applyFill="0" applyAlignment="0" applyProtection="0"/>
    <xf numFmtId="190" fontId="75" fillId="0" borderId="3051" applyNumberFormat="0" applyFont="0" applyFill="0" applyAlignment="0" applyProtection="0"/>
    <xf numFmtId="0" fontId="214" fillId="0" borderId="3261" applyNumberFormat="0" applyFont="0" applyFill="0" applyAlignment="0" applyProtection="0"/>
    <xf numFmtId="186" fontId="146" fillId="3" borderId="3258">
      <alignment horizontal="left"/>
    </xf>
    <xf numFmtId="0" fontId="241" fillId="94" borderId="3243" applyBorder="0" applyProtection="0">
      <alignment horizontal="centerContinuous" vertical="center"/>
    </xf>
    <xf numFmtId="0" fontId="166" fillId="0" borderId="3243">
      <alignment horizontal="center"/>
    </xf>
    <xf numFmtId="248" fontId="46" fillId="0" borderId="3243"/>
    <xf numFmtId="0" fontId="214" fillId="0" borderId="3237" applyNumberFormat="0" applyFont="0" applyFill="0" applyAlignment="0" applyProtection="0"/>
    <xf numFmtId="186" fontId="140" fillId="3" borderId="3235">
      <alignment horizontal="center" vertical="center"/>
    </xf>
    <xf numFmtId="190" fontId="12" fillId="0" borderId="3074" applyNumberFormat="0" applyFill="0" applyBorder="0" applyAlignment="0" applyProtection="0">
      <alignment horizontal="center"/>
    </xf>
    <xf numFmtId="0" fontId="78" fillId="14" borderId="3233" applyFont="0" applyFill="0" applyBorder="0" applyAlignment="0" applyProtection="0"/>
    <xf numFmtId="264" fontId="12" fillId="14" borderId="3219" applyFont="0" applyFill="0" applyBorder="0" applyAlignment="0" applyProtection="0">
      <alignment horizontal="right"/>
    </xf>
    <xf numFmtId="186" fontId="146" fillId="3" borderId="3219" applyBorder="0">
      <alignment horizontal="left" vertical="center"/>
    </xf>
    <xf numFmtId="248" fontId="46" fillId="0" borderId="3219"/>
    <xf numFmtId="222" fontId="79" fillId="0" borderId="3218" applyBorder="0"/>
    <xf numFmtId="0" fontId="75" fillId="0" borderId="3208" applyNumberFormat="0" applyFont="0" applyFill="0" applyAlignment="0" applyProtection="0"/>
    <xf numFmtId="0" fontId="2" fillId="0" borderId="3212" applyNumberFormat="0" applyAlignment="0" applyProtection="0"/>
    <xf numFmtId="0" fontId="25" fillId="10" borderId="3215" applyNumberFormat="0" applyProtection="0">
      <alignment horizontal="left" vertical="top"/>
    </xf>
    <xf numFmtId="0" fontId="78" fillId="14" borderId="3209" applyFont="0" applyFill="0" applyBorder="0" applyAlignment="0" applyProtection="0"/>
    <xf numFmtId="246" fontId="250" fillId="0" borderId="3195" applyFill="0" applyProtection="0">
      <alignment horizontal="center"/>
    </xf>
    <xf numFmtId="0" fontId="113" fillId="0" borderId="3183" applyNumberFormat="0" applyFill="0" applyAlignment="0" applyProtection="0"/>
    <xf numFmtId="0" fontId="25" fillId="10" borderId="3191" applyNumberFormat="0" applyProtection="0">
      <alignment horizontal="left" vertical="top"/>
    </xf>
    <xf numFmtId="0" fontId="2" fillId="0" borderId="3188" applyNumberFormat="0" applyAlignment="0" applyProtection="0"/>
    <xf numFmtId="190" fontId="78" fillId="14" borderId="3064" applyFont="0" applyFill="0" applyBorder="0" applyAlignment="0" applyProtection="0"/>
    <xf numFmtId="0" fontId="113" fillId="0" borderId="3195" applyNumberFormat="0" applyFill="0" applyAlignment="0" applyProtection="0"/>
    <xf numFmtId="246" fontId="249" fillId="0" borderId="3195" applyFill="0" applyProtection="0">
      <alignment horizontal="center"/>
    </xf>
    <xf numFmtId="190" fontId="74" fillId="0" borderId="2992" applyFont="0" applyFill="0" applyBorder="0" applyAlignment="0" applyProtection="0">
      <alignment horizontal="center"/>
    </xf>
    <xf numFmtId="190" fontId="48" fillId="0" borderId="2992" applyFont="0" applyFill="0" applyBorder="0" applyAlignment="0" applyProtection="0">
      <alignment horizontal="center"/>
    </xf>
    <xf numFmtId="0" fontId="25" fillId="10" borderId="3019" applyNumberFormat="0" applyProtection="0">
      <alignment horizontal="left" vertical="top"/>
    </xf>
    <xf numFmtId="186" fontId="140" fillId="3" borderId="3223">
      <alignment horizontal="center" vertical="center"/>
    </xf>
    <xf numFmtId="190" fontId="135" fillId="0" borderId="2994"/>
    <xf numFmtId="190" fontId="135" fillId="0" borderId="2994"/>
    <xf numFmtId="0" fontId="2" fillId="0" borderId="3224" applyNumberFormat="0" applyAlignment="0" applyProtection="0"/>
    <xf numFmtId="0" fontId="101" fillId="0" borderId="3231" applyBorder="0"/>
    <xf numFmtId="0" fontId="165" fillId="0" borderId="3231" applyFill="0" applyProtection="0">
      <alignment horizontal="center"/>
    </xf>
    <xf numFmtId="246" fontId="250" fillId="0" borderId="3207" applyFill="0" applyProtection="0">
      <alignment horizontal="center"/>
    </xf>
    <xf numFmtId="0" fontId="210" fillId="0" borderId="3207" applyNumberFormat="0" applyFill="0" applyBorder="0" applyAlignment="0">
      <protection locked="0"/>
    </xf>
    <xf numFmtId="246" fontId="250" fillId="0" borderId="3255" applyFill="0" applyProtection="0">
      <alignment horizontal="center"/>
    </xf>
    <xf numFmtId="186" fontId="146" fillId="3" borderId="3255" applyBorder="0">
      <alignment horizontal="left" vertical="center"/>
    </xf>
    <xf numFmtId="0" fontId="101" fillId="0" borderId="3255" applyBorder="0"/>
    <xf numFmtId="222" fontId="79" fillId="0" borderId="3242" applyBorder="0"/>
    <xf numFmtId="0" fontId="12" fillId="0" borderId="3255" applyNumberFormat="0" applyFill="0" applyBorder="0" applyAlignment="0" applyProtection="0">
      <alignment horizontal="center"/>
    </xf>
    <xf numFmtId="0" fontId="214" fillId="0" borderId="3189" applyNumberFormat="0" applyFont="0" applyFill="0" applyAlignment="0" applyProtection="0"/>
    <xf numFmtId="0" fontId="25" fillId="10" borderId="3192" applyNumberFormat="0" applyProtection="0">
      <alignment horizontal="left" vertical="top"/>
    </xf>
    <xf numFmtId="0" fontId="25" fillId="10" borderId="3192" applyNumberFormat="0" applyProtection="0">
      <alignment horizontal="left" vertical="top"/>
    </xf>
    <xf numFmtId="246" fontId="249" fillId="0" borderId="3255" applyFill="0" applyProtection="0">
      <alignment horizontal="center"/>
    </xf>
    <xf numFmtId="0" fontId="113" fillId="0" borderId="3255" applyNumberFormat="0" applyFill="0" applyAlignment="0" applyProtection="0"/>
    <xf numFmtId="190" fontId="159" fillId="0" borderId="2994"/>
    <xf numFmtId="190" fontId="159" fillId="67" borderId="2994"/>
    <xf numFmtId="190" fontId="165" fillId="0" borderId="3074" applyFill="0" applyProtection="0">
      <alignment horizontal="center"/>
    </xf>
    <xf numFmtId="190" fontId="166" fillId="0" borderId="3074">
      <alignment horizontal="center"/>
    </xf>
    <xf numFmtId="246" fontId="249" fillId="0" borderId="3183" applyFill="0" applyProtection="0">
      <alignment horizontal="center"/>
    </xf>
    <xf numFmtId="0" fontId="166" fillId="0" borderId="3183">
      <alignment horizontal="center"/>
    </xf>
    <xf numFmtId="0" fontId="12" fillId="0" borderId="3183" applyNumberFormat="0" applyFill="0" applyBorder="0" applyAlignment="0" applyProtection="0">
      <alignment horizontal="center"/>
    </xf>
    <xf numFmtId="0" fontId="101" fillId="0" borderId="3183" applyBorder="0"/>
    <xf numFmtId="190" fontId="25" fillId="69" borderId="2994">
      <alignment horizontal="left" vertical="center" wrapText="1"/>
    </xf>
    <xf numFmtId="0" fontId="25" fillId="10" borderId="4247" applyNumberFormat="0" applyProtection="0">
      <alignment horizontal="left" vertical="top"/>
    </xf>
    <xf numFmtId="190" fontId="184" fillId="0" borderId="2995" applyAlignment="0">
      <alignment horizontal="left" wrapText="1"/>
    </xf>
    <xf numFmtId="264" fontId="12" fillId="14" borderId="4035" applyFont="0" applyFill="0" applyBorder="0" applyAlignment="0" applyProtection="0">
      <alignment horizontal="right"/>
    </xf>
    <xf numFmtId="190" fontId="210" fillId="0" borderId="3074" applyNumberFormat="0" applyFill="0" applyBorder="0" applyAlignment="0">
      <protection locked="0"/>
    </xf>
    <xf numFmtId="190" fontId="2" fillId="0" borderId="3055" applyNumberFormat="0" applyAlignment="0" applyProtection="0"/>
    <xf numFmtId="190" fontId="214" fillId="0" borderId="3056" applyNumberFormat="0" applyFont="0" applyFill="0" applyAlignment="0" applyProtection="0"/>
    <xf numFmtId="190" fontId="225" fillId="53" borderId="2996" applyNumberFormat="0" applyProtection="0">
      <alignment horizontal="left" vertical="top" indent="1"/>
    </xf>
    <xf numFmtId="190" fontId="12" fillId="75" borderId="2996" applyNumberFormat="0" applyProtection="0">
      <alignment horizontal="left" vertical="center" indent="1"/>
    </xf>
    <xf numFmtId="190" fontId="12" fillId="75" borderId="2996" applyNumberFormat="0" applyProtection="0">
      <alignment horizontal="left" vertical="top" indent="1"/>
    </xf>
    <xf numFmtId="190" fontId="12" fillId="84" borderId="2996" applyNumberFormat="0" applyProtection="0">
      <alignment horizontal="left" vertical="center" indent="1"/>
    </xf>
    <xf numFmtId="190" fontId="12" fillId="84" borderId="2996" applyNumberFormat="0" applyProtection="0">
      <alignment horizontal="left" vertical="top" indent="1"/>
    </xf>
    <xf numFmtId="190" fontId="12" fillId="52" borderId="2996" applyNumberFormat="0" applyProtection="0">
      <alignment horizontal="left" vertical="center" indent="1"/>
    </xf>
    <xf numFmtId="190" fontId="12" fillId="52" borderId="2996" applyNumberFormat="0" applyProtection="0">
      <alignment horizontal="left" vertical="top" indent="1"/>
    </xf>
    <xf numFmtId="190" fontId="12" fillId="11" borderId="2996" applyNumberFormat="0" applyProtection="0">
      <alignment horizontal="left" vertical="center" indent="1"/>
    </xf>
    <xf numFmtId="190" fontId="12" fillId="11" borderId="2996" applyNumberFormat="0" applyProtection="0">
      <alignment horizontal="left" vertical="top" indent="1"/>
    </xf>
    <xf numFmtId="190" fontId="136" fillId="14" borderId="2996" applyNumberFormat="0" applyProtection="0">
      <alignment horizontal="left" vertical="top" indent="1"/>
    </xf>
    <xf numFmtId="190" fontId="136" fillId="84" borderId="2996" applyNumberFormat="0" applyProtection="0">
      <alignment horizontal="left" vertical="top" indent="1"/>
    </xf>
    <xf numFmtId="190" fontId="25" fillId="10" borderId="2994" applyNumberFormat="0" applyProtection="0">
      <alignment horizontal="center" vertical="top"/>
    </xf>
    <xf numFmtId="190" fontId="25" fillId="10" borderId="2994" applyNumberFormat="0" applyProtection="0">
      <alignment horizontal="center" vertical="top"/>
    </xf>
    <xf numFmtId="190" fontId="12" fillId="3" borderId="2994" applyNumberFormat="0" applyFont="0" applyAlignment="0" applyProtection="0"/>
    <xf numFmtId="190" fontId="12" fillId="10" borderId="2994" applyNumberFormat="0" applyFont="0" applyAlignment="0" applyProtection="0"/>
    <xf numFmtId="190" fontId="12" fillId="10" borderId="2994" applyNumberFormat="0" applyFont="0" applyProtection="0"/>
    <xf numFmtId="190" fontId="25" fillId="10" borderId="2999" applyNumberFormat="0" applyProtection="0">
      <alignment horizontal="left"/>
    </xf>
    <xf numFmtId="190" fontId="25" fillId="10" borderId="3000" applyNumberFormat="0" applyProtection="0">
      <alignment horizontal="left" vertical="top"/>
    </xf>
    <xf numFmtId="190" fontId="25" fillId="10" borderId="3001" applyNumberFormat="0" applyProtection="0">
      <alignment horizontal="left" vertical="top"/>
    </xf>
    <xf numFmtId="190" fontId="25" fillId="10" borderId="3057" applyNumberFormat="0" applyProtection="0">
      <alignment horizontal="left" vertical="top"/>
    </xf>
    <xf numFmtId="190" fontId="25" fillId="10" borderId="3058" applyNumberFormat="0" applyProtection="0">
      <alignment horizontal="left" vertical="top"/>
    </xf>
    <xf numFmtId="190" fontId="25" fillId="10" borderId="3002" applyNumberFormat="0" applyProtection="0">
      <alignment horizontal="left" vertical="top"/>
    </xf>
    <xf numFmtId="190" fontId="25" fillId="10" borderId="3059" applyNumberFormat="0" applyProtection="0">
      <alignment horizontal="left" vertical="top"/>
    </xf>
    <xf numFmtId="190" fontId="25" fillId="10" borderId="3003" applyNumberFormat="0" applyProtection="0">
      <alignment horizontal="left" vertical="top"/>
    </xf>
    <xf numFmtId="190" fontId="25" fillId="10" borderId="3060" applyNumberFormat="0" applyProtection="0">
      <alignment horizontal="left" vertical="top"/>
    </xf>
    <xf numFmtId="190" fontId="25" fillId="10" borderId="3004" applyNumberFormat="0" applyProtection="0">
      <alignment horizontal="left" vertical="top"/>
    </xf>
    <xf numFmtId="190" fontId="25" fillId="10" borderId="3005" applyNumberFormat="0" applyProtection="0">
      <alignment horizontal="left" vertical="top"/>
    </xf>
    <xf numFmtId="190" fontId="12" fillId="0" borderId="2993" applyNumberFormat="0" applyFill="0" applyBorder="0" applyAlignment="0" applyProtection="0"/>
    <xf numFmtId="190" fontId="241" fillId="94" borderId="3074" applyBorder="0" applyProtection="0">
      <alignment horizontal="centerContinuous" vertical="center"/>
    </xf>
    <xf numFmtId="10" fontId="12" fillId="3" borderId="3006" applyNumberFormat="0" applyFont="0" applyFill="0" applyBorder="0" applyAlignment="0">
      <protection locked="0"/>
    </xf>
    <xf numFmtId="190" fontId="12" fillId="0" borderId="2993" applyNumberFormat="0" applyFill="0" applyBorder="0" applyAlignment="0" applyProtection="0"/>
    <xf numFmtId="190" fontId="12" fillId="0" borderId="2993" applyNumberFormat="0" applyFill="0" applyBorder="0" applyAlignment="0" applyProtection="0"/>
    <xf numFmtId="190" fontId="12" fillId="0" borderId="2993" applyNumberFormat="0" applyFill="0" applyBorder="0" applyAlignment="0" applyProtection="0"/>
    <xf numFmtId="264" fontId="12" fillId="14" borderId="4191" applyFont="0" applyFill="0" applyBorder="0" applyAlignment="0" applyProtection="0">
      <alignment horizontal="right"/>
    </xf>
    <xf numFmtId="0" fontId="165" fillId="0" borderId="3183" applyFill="0" applyProtection="0">
      <alignment horizontal="center"/>
    </xf>
    <xf numFmtId="0" fontId="25" fillId="10" borderId="4200" applyNumberFormat="0" applyProtection="0">
      <alignment horizontal="left" vertical="top"/>
    </xf>
    <xf numFmtId="222" fontId="79" fillId="0" borderId="3073" applyBorder="0"/>
    <xf numFmtId="10" fontId="12" fillId="3" borderId="3006" applyNumberFormat="0" applyFont="0" applyFill="0" applyBorder="0" applyAlignment="0">
      <protection locked="0"/>
    </xf>
    <xf numFmtId="0" fontId="101" fillId="0" borderId="3074" applyBorder="0"/>
    <xf numFmtId="222" fontId="79" fillId="0" borderId="3073" applyBorder="0"/>
    <xf numFmtId="0" fontId="113" fillId="0" borderId="3074" applyNumberFormat="0" applyFill="0" applyAlignment="0" applyProtection="0"/>
    <xf numFmtId="0" fontId="75" fillId="0" borderId="3051" applyNumberFormat="0" applyFont="0" applyFill="0" applyAlignment="0" applyProtection="0"/>
    <xf numFmtId="0" fontId="12" fillId="0" borderId="3074" applyNumberFormat="0" applyFill="0" applyBorder="0" applyAlignment="0" applyProtection="0">
      <alignment horizontal="center"/>
    </xf>
    <xf numFmtId="248" fontId="46" fillId="0" borderId="3074"/>
    <xf numFmtId="192" fontId="9" fillId="3" borderId="3074">
      <alignment horizontal="right" vertical="center"/>
    </xf>
    <xf numFmtId="180" fontId="9" fillId="3" borderId="3074">
      <alignment horizontal="right" vertical="center"/>
    </xf>
    <xf numFmtId="186" fontId="146" fillId="3" borderId="3074" applyBorder="0">
      <alignment horizontal="left" vertical="center"/>
    </xf>
    <xf numFmtId="186" fontId="146" fillId="3" borderId="3053">
      <alignment horizontal="left"/>
    </xf>
    <xf numFmtId="186" fontId="140" fillId="3" borderId="3054">
      <alignment horizontal="center" vertical="center"/>
    </xf>
    <xf numFmtId="0" fontId="165" fillId="0" borderId="3074" applyFill="0" applyProtection="0">
      <alignment horizontal="center"/>
    </xf>
    <xf numFmtId="0" fontId="166" fillId="0" borderId="3074">
      <alignment horizontal="center"/>
    </xf>
    <xf numFmtId="264" fontId="12" fillId="14" borderId="3074" applyFont="0" applyFill="0" applyBorder="0" applyAlignment="0" applyProtection="0">
      <alignment horizontal="right"/>
    </xf>
    <xf numFmtId="0" fontId="210" fillId="0" borderId="3074" applyNumberFormat="0" applyFill="0" applyBorder="0" applyAlignment="0">
      <protection locked="0"/>
    </xf>
    <xf numFmtId="0" fontId="2" fillId="0" borderId="3055" applyNumberFormat="0" applyAlignment="0" applyProtection="0"/>
    <xf numFmtId="0" fontId="214" fillId="0" borderId="3056" applyNumberFormat="0" applyFont="0" applyFill="0" applyAlignment="0" applyProtection="0"/>
    <xf numFmtId="0" fontId="25" fillId="10" borderId="3057" applyNumberFormat="0" applyProtection="0">
      <alignment horizontal="left" vertical="top"/>
    </xf>
    <xf numFmtId="0" fontId="25" fillId="10" borderId="3058" applyNumberFormat="0" applyProtection="0">
      <alignment horizontal="left" vertical="top"/>
    </xf>
    <xf numFmtId="0" fontId="25" fillId="10" borderId="3059" applyNumberFormat="0" applyProtection="0">
      <alignment horizontal="left" vertical="top"/>
    </xf>
    <xf numFmtId="0" fontId="25" fillId="10" borderId="3060" applyNumberFormat="0" applyProtection="0">
      <alignment horizontal="left" vertical="top"/>
    </xf>
    <xf numFmtId="0" fontId="25" fillId="10" borderId="3057" applyNumberFormat="0" applyProtection="0">
      <alignment horizontal="left" vertical="top"/>
    </xf>
    <xf numFmtId="0" fontId="25" fillId="10" borderId="3058" applyNumberFormat="0" applyProtection="0">
      <alignment horizontal="left" vertical="top"/>
    </xf>
    <xf numFmtId="0" fontId="25" fillId="10" borderId="3059" applyNumberFormat="0" applyProtection="0">
      <alignment horizontal="left" vertical="top"/>
    </xf>
    <xf numFmtId="0" fontId="25" fillId="10" borderId="3060" applyNumberFormat="0" applyProtection="0">
      <alignment horizontal="left" vertical="top"/>
    </xf>
    <xf numFmtId="254" fontId="240" fillId="0" borderId="3074" applyBorder="0" applyProtection="0">
      <alignment horizontal="right" vertical="center"/>
    </xf>
    <xf numFmtId="0" fontId="241" fillId="94" borderId="3074" applyBorder="0" applyProtection="0">
      <alignment horizontal="centerContinuous" vertical="center"/>
    </xf>
    <xf numFmtId="246" fontId="249" fillId="0" borderId="3074" applyFill="0" applyProtection="0">
      <alignment horizontal="center"/>
    </xf>
    <xf numFmtId="246" fontId="250" fillId="0" borderId="3074" applyFill="0" applyProtection="0">
      <alignment horizontal="center"/>
    </xf>
    <xf numFmtId="264" fontId="12" fillId="14" borderId="3195" applyFont="0" applyFill="0" applyBorder="0" applyAlignment="0" applyProtection="0">
      <alignment horizontal="right"/>
    </xf>
    <xf numFmtId="0" fontId="241" fillId="94" borderId="3074" applyBorder="0" applyProtection="0">
      <alignment horizontal="centerContinuous" vertical="center"/>
    </xf>
    <xf numFmtId="0" fontId="210" fillId="0" borderId="3195" applyNumberFormat="0" applyFill="0" applyBorder="0" applyAlignment="0">
      <protection locked="0"/>
    </xf>
    <xf numFmtId="10" fontId="12" fillId="3" borderId="3006" applyNumberFormat="0" applyFont="0" applyFill="0" applyBorder="0" applyAlignment="0">
      <protection locked="0"/>
    </xf>
    <xf numFmtId="0" fontId="166" fillId="0" borderId="3255">
      <alignment horizontal="center"/>
    </xf>
    <xf numFmtId="10" fontId="12" fillId="3" borderId="3006" applyNumberFormat="0" applyFont="0" applyFill="0" applyBorder="0" applyAlignment="0">
      <protection locked="0"/>
    </xf>
    <xf numFmtId="190" fontId="214" fillId="0" borderId="3237" applyNumberFormat="0" applyFont="0" applyFill="0" applyAlignment="0" applyProtection="0"/>
    <xf numFmtId="180" fontId="9" fillId="3" borderId="4191">
      <alignment horizontal="right" vertical="center"/>
    </xf>
    <xf numFmtId="190" fontId="78" fillId="14" borderId="3245" applyFont="0" applyFill="0" applyBorder="0" applyAlignment="0" applyProtection="0"/>
    <xf numFmtId="190" fontId="101" fillId="0" borderId="3255" applyBorder="0"/>
    <xf numFmtId="254" fontId="240" fillId="0" borderId="3255" applyBorder="0" applyProtection="0">
      <alignment horizontal="right" vertical="center"/>
    </xf>
    <xf numFmtId="312" fontId="101" fillId="0" borderId="3074" applyBorder="0"/>
    <xf numFmtId="0" fontId="113" fillId="0" borderId="3255" applyNumberFormat="0" applyFill="0" applyAlignment="0" applyProtection="0"/>
    <xf numFmtId="180" fontId="9" fillId="3" borderId="3255">
      <alignment horizontal="right" vertical="center"/>
    </xf>
    <xf numFmtId="312" fontId="12" fillId="0" borderId="2993" applyNumberFormat="0" applyFill="0" applyBorder="0" applyAlignment="0" applyProtection="0"/>
    <xf numFmtId="312" fontId="46" fillId="0" borderId="2993" applyNumberFormat="0" applyFill="0" applyBorder="0" applyAlignment="0" applyProtection="0"/>
    <xf numFmtId="312" fontId="105" fillId="0" borderId="2993" applyNumberFormat="0" applyFill="0" applyBorder="0" applyAlignment="0" applyProtection="0"/>
    <xf numFmtId="312" fontId="48" fillId="0" borderId="2993" applyNumberFormat="0" applyFill="0" applyAlignment="0" applyProtection="0"/>
    <xf numFmtId="0" fontId="165" fillId="0" borderId="3255" applyFill="0" applyProtection="0">
      <alignment horizontal="center"/>
    </xf>
    <xf numFmtId="246" fontId="250" fillId="0" borderId="3255" applyFill="0" applyProtection="0">
      <alignment horizontal="center"/>
    </xf>
    <xf numFmtId="312" fontId="113" fillId="0" borderId="3074" applyNumberFormat="0" applyFill="0" applyAlignment="0" applyProtection="0"/>
    <xf numFmtId="312" fontId="75" fillId="0" borderId="3051" applyNumberFormat="0" applyFont="0" applyFill="0" applyAlignment="0" applyProtection="0"/>
    <xf numFmtId="0" fontId="2" fillId="0" borderId="3260" applyNumberFormat="0" applyAlignment="0" applyProtection="0"/>
    <xf numFmtId="0" fontId="78" fillId="14" borderId="3257" applyFont="0" applyFill="0" applyBorder="0" applyAlignment="0" applyProtection="0"/>
    <xf numFmtId="246" fontId="250" fillId="0" borderId="3243" applyFill="0" applyProtection="0">
      <alignment horizontal="center"/>
    </xf>
    <xf numFmtId="254" fontId="240" fillId="0" borderId="3243" applyBorder="0" applyProtection="0">
      <alignment horizontal="right" vertical="center"/>
    </xf>
    <xf numFmtId="0" fontId="165" fillId="0" borderId="3243" applyFill="0" applyProtection="0">
      <alignment horizontal="center"/>
    </xf>
    <xf numFmtId="0" fontId="12" fillId="0" borderId="3243" applyNumberFormat="0" applyFill="0" applyBorder="0" applyAlignment="0" applyProtection="0">
      <alignment horizontal="center"/>
    </xf>
    <xf numFmtId="0" fontId="25" fillId="10" borderId="3238" applyNumberFormat="0" applyProtection="0">
      <alignment horizontal="left" vertical="top"/>
    </xf>
    <xf numFmtId="0" fontId="2" fillId="0" borderId="3236" applyNumberFormat="0" applyAlignment="0" applyProtection="0"/>
    <xf numFmtId="312" fontId="12" fillId="0" borderId="3074" applyNumberFormat="0" applyFill="0" applyBorder="0" applyAlignment="0" applyProtection="0">
      <alignment horizontal="center"/>
    </xf>
    <xf numFmtId="222" fontId="79" fillId="0" borderId="3230" applyBorder="0"/>
    <xf numFmtId="0" fontId="166" fillId="0" borderId="3219">
      <alignment horizontal="center"/>
    </xf>
    <xf numFmtId="180" fontId="9" fillId="3" borderId="3219">
      <alignment horizontal="right" vertical="center"/>
    </xf>
    <xf numFmtId="0" fontId="12" fillId="0" borderId="3219" applyNumberFormat="0" applyFill="0" applyBorder="0" applyAlignment="0" applyProtection="0">
      <alignment horizontal="center"/>
    </xf>
    <xf numFmtId="0" fontId="101" fillId="0" borderId="3219" applyBorder="0"/>
    <xf numFmtId="186" fontId="146" fillId="3" borderId="3210">
      <alignment horizontal="left"/>
    </xf>
    <xf numFmtId="0" fontId="214" fillId="0" borderId="3213" applyNumberFormat="0" applyFont="0" applyFill="0" applyAlignment="0" applyProtection="0"/>
    <xf numFmtId="0" fontId="25" fillId="10" borderId="3216" applyNumberFormat="0" applyProtection="0">
      <alignment horizontal="left" vertical="top"/>
    </xf>
    <xf numFmtId="222" fontId="79" fillId="0" borderId="3206" applyBorder="0"/>
    <xf numFmtId="246" fontId="249" fillId="0" borderId="3195" applyFill="0" applyProtection="0">
      <alignment horizontal="center"/>
    </xf>
    <xf numFmtId="222" fontId="79" fillId="0" borderId="3073" applyBorder="0"/>
    <xf numFmtId="0" fontId="78" fillId="14" borderId="3185" applyFont="0" applyFill="0" applyBorder="0" applyAlignment="0" applyProtection="0"/>
    <xf numFmtId="0" fontId="25" fillId="10" borderId="3193" applyNumberFormat="0" applyProtection="0">
      <alignment horizontal="left" vertical="top"/>
    </xf>
    <xf numFmtId="0" fontId="25" fillId="10" borderId="3190" applyNumberFormat="0" applyProtection="0">
      <alignment horizontal="left" vertical="top"/>
    </xf>
    <xf numFmtId="186" fontId="140" fillId="3" borderId="3187">
      <alignment horizontal="center" vertical="center"/>
    </xf>
    <xf numFmtId="222" fontId="79" fillId="0" borderId="3194" applyBorder="0"/>
    <xf numFmtId="312" fontId="78" fillId="14" borderId="2971" applyFont="0" applyFill="0" applyBorder="0" applyAlignment="0" applyProtection="0"/>
    <xf numFmtId="0" fontId="12" fillId="0" borderId="3195" applyNumberFormat="0" applyFill="0" applyBorder="0" applyAlignment="0" applyProtection="0">
      <alignment horizontal="center"/>
    </xf>
    <xf numFmtId="246" fontId="250" fillId="0" borderId="3195" applyFill="0" applyProtection="0">
      <alignment horizontal="center"/>
    </xf>
    <xf numFmtId="312" fontId="74" fillId="0" borderId="2992" applyFont="0" applyFill="0" applyBorder="0" applyAlignment="0" applyProtection="0">
      <alignment horizontal="center"/>
    </xf>
    <xf numFmtId="312" fontId="48" fillId="0" borderId="2992" applyFont="0" applyFill="0" applyBorder="0" applyAlignment="0" applyProtection="0">
      <alignment horizontal="center"/>
    </xf>
    <xf numFmtId="222" fontId="79" fillId="0" borderId="3073" applyBorder="0"/>
    <xf numFmtId="0" fontId="75" fillId="0" borderId="3244" applyNumberFormat="0" applyFont="0" applyFill="0" applyAlignment="0" applyProtection="0"/>
    <xf numFmtId="0" fontId="25" fillId="10" borderId="3035" applyNumberFormat="0" applyProtection="0">
      <alignment horizontal="left" vertical="top"/>
    </xf>
    <xf numFmtId="222" fontId="79" fillId="0" borderId="3230" applyBorder="0"/>
    <xf numFmtId="312" fontId="135" fillId="0" borderId="2994"/>
    <xf numFmtId="312" fontId="135" fillId="0" borderId="2994"/>
    <xf numFmtId="0" fontId="75" fillId="0" borderId="3220" applyNumberFormat="0" applyFont="0" applyFill="0" applyAlignment="0" applyProtection="0"/>
    <xf numFmtId="0" fontId="12" fillId="0" borderId="3231" applyNumberFormat="0" applyFill="0" applyBorder="0" applyAlignment="0" applyProtection="0">
      <alignment horizontal="center"/>
    </xf>
    <xf numFmtId="264" fontId="12" fillId="14" borderId="3231" applyFont="0" applyFill="0" applyBorder="0" applyAlignment="0" applyProtection="0">
      <alignment horizontal="right"/>
    </xf>
    <xf numFmtId="246" fontId="249" fillId="0" borderId="3207" applyFill="0" applyProtection="0">
      <alignment horizontal="center"/>
    </xf>
    <xf numFmtId="0" fontId="166" fillId="0" borderId="3207">
      <alignment horizontal="center"/>
    </xf>
    <xf numFmtId="254" fontId="240" fillId="0" borderId="3255" applyBorder="0" applyProtection="0">
      <alignment horizontal="right" vertical="center"/>
    </xf>
    <xf numFmtId="180" fontId="9" fillId="3" borderId="3255">
      <alignment horizontal="right" vertical="center"/>
    </xf>
    <xf numFmtId="222" fontId="79" fillId="0" borderId="3254" applyBorder="0"/>
    <xf numFmtId="0" fontId="25" fillId="10" borderId="3190" applyNumberFormat="0" applyProtection="0">
      <alignment horizontal="left" vertical="top"/>
    </xf>
    <xf numFmtId="186" fontId="140" fillId="3" borderId="3187">
      <alignment horizontal="center" vertical="center"/>
    </xf>
    <xf numFmtId="0" fontId="25" fillId="10" borderId="3190" applyNumberFormat="0" applyProtection="0">
      <alignment horizontal="left" vertical="top"/>
    </xf>
    <xf numFmtId="0" fontId="25" fillId="10" borderId="3193" applyNumberFormat="0" applyProtection="0">
      <alignment horizontal="left" vertical="top"/>
    </xf>
    <xf numFmtId="0" fontId="25" fillId="10" borderId="3191" applyNumberFormat="0" applyProtection="0">
      <alignment horizontal="left" vertical="top"/>
    </xf>
    <xf numFmtId="264" fontId="12" fillId="14" borderId="3255" applyFont="0" applyFill="0" applyBorder="0" applyAlignment="0" applyProtection="0">
      <alignment horizontal="right"/>
    </xf>
    <xf numFmtId="312" fontId="159" fillId="0" borderId="2994"/>
    <xf numFmtId="312" fontId="159" fillId="67" borderId="2994"/>
    <xf numFmtId="312" fontId="165" fillId="0" borderId="3074" applyFill="0" applyProtection="0">
      <alignment horizontal="center"/>
    </xf>
    <xf numFmtId="312" fontId="242" fillId="0" borderId="3074">
      <alignment horizontal="center"/>
    </xf>
    <xf numFmtId="0" fontId="241" fillId="94" borderId="3183" applyBorder="0" applyProtection="0">
      <alignment horizontal="centerContinuous" vertical="center"/>
    </xf>
    <xf numFmtId="0" fontId="165" fillId="0" borderId="3183" applyFill="0" applyProtection="0">
      <alignment horizontal="center"/>
    </xf>
    <xf numFmtId="0" fontId="113" fillId="0" borderId="3183" applyNumberFormat="0" applyFill="0" applyAlignment="0" applyProtection="0"/>
    <xf numFmtId="312" fontId="25" fillId="69" borderId="2994">
      <alignment horizontal="left" vertical="center" wrapText="1"/>
    </xf>
    <xf numFmtId="312" fontId="184" fillId="0" borderId="2995" applyAlignment="0">
      <alignment horizontal="left" wrapText="1"/>
    </xf>
    <xf numFmtId="0" fontId="25" fillId="10" borderId="3035" applyNumberFormat="0" applyProtection="0">
      <alignment horizontal="left" vertical="top"/>
    </xf>
    <xf numFmtId="312" fontId="210" fillId="0" borderId="3074" applyNumberFormat="0" applyFill="0" applyBorder="0" applyAlignment="0">
      <protection locked="0"/>
    </xf>
    <xf numFmtId="312" fontId="2" fillId="0" borderId="3055" applyNumberFormat="0" applyAlignment="0" applyProtection="0"/>
    <xf numFmtId="312" fontId="214" fillId="0" borderId="3056" applyNumberFormat="0" applyFont="0" applyFill="0" applyAlignment="0" applyProtection="0"/>
    <xf numFmtId="312" fontId="225" fillId="53" borderId="2996" applyNumberFormat="0" applyProtection="0">
      <alignment horizontal="left" vertical="top" indent="1"/>
    </xf>
    <xf numFmtId="312" fontId="12" fillId="75" borderId="2996" applyNumberFormat="0" applyProtection="0">
      <alignment horizontal="left" vertical="center" indent="1"/>
    </xf>
    <xf numFmtId="312" fontId="12" fillId="75" borderId="2996" applyNumberFormat="0" applyProtection="0">
      <alignment horizontal="left" vertical="top" indent="1"/>
    </xf>
    <xf numFmtId="312" fontId="12" fillId="84" borderId="2996" applyNumberFormat="0" applyProtection="0">
      <alignment horizontal="left" vertical="center" indent="1"/>
    </xf>
    <xf numFmtId="312" fontId="12" fillId="84" borderId="2996" applyNumberFormat="0" applyProtection="0">
      <alignment horizontal="left" vertical="top" indent="1"/>
    </xf>
    <xf numFmtId="312" fontId="12" fillId="52" borderId="2996" applyNumberFormat="0" applyProtection="0">
      <alignment horizontal="left" vertical="center" indent="1"/>
    </xf>
    <xf numFmtId="312" fontId="12" fillId="52" borderId="2996" applyNumberFormat="0" applyProtection="0">
      <alignment horizontal="left" vertical="top" indent="1"/>
    </xf>
    <xf numFmtId="312" fontId="12" fillId="11" borderId="2996" applyNumberFormat="0" applyProtection="0">
      <alignment horizontal="left" vertical="center" indent="1"/>
    </xf>
    <xf numFmtId="312" fontId="12" fillId="11" borderId="2996" applyNumberFormat="0" applyProtection="0">
      <alignment horizontal="left" vertical="top" indent="1"/>
    </xf>
    <xf numFmtId="312" fontId="136" fillId="14" borderId="2996" applyNumberFormat="0" applyProtection="0">
      <alignment horizontal="left" vertical="top" indent="1"/>
    </xf>
    <xf numFmtId="312" fontId="136" fillId="84" borderId="2996" applyNumberFormat="0" applyProtection="0">
      <alignment horizontal="left" vertical="top" indent="1"/>
    </xf>
    <xf numFmtId="0" fontId="25" fillId="10" borderId="4236" applyNumberFormat="0" applyProtection="0">
      <alignment horizontal="left" vertical="top"/>
    </xf>
    <xf numFmtId="312" fontId="25" fillId="10" borderId="2994" applyNumberFormat="0" applyProtection="0">
      <alignment horizontal="center" vertical="top"/>
    </xf>
    <xf numFmtId="312" fontId="25" fillId="10" borderId="2994" applyNumberFormat="0" applyProtection="0">
      <alignment horizontal="center" vertical="top"/>
    </xf>
    <xf numFmtId="312" fontId="12" fillId="3" borderId="2994" applyNumberFormat="0" applyFont="0" applyAlignment="0" applyProtection="0"/>
    <xf numFmtId="312" fontId="12" fillId="10" borderId="2994" applyNumberFormat="0" applyFont="0" applyAlignment="0" applyProtection="0"/>
    <xf numFmtId="312" fontId="12" fillId="10" borderId="2994" applyNumberFormat="0" applyFont="0" applyProtection="0"/>
    <xf numFmtId="312" fontId="25" fillId="10" borderId="2999" applyNumberFormat="0" applyProtection="0">
      <alignment horizontal="left"/>
    </xf>
    <xf numFmtId="312" fontId="25" fillId="10" borderId="3000" applyNumberFormat="0" applyProtection="0">
      <alignment horizontal="left" vertical="top"/>
    </xf>
    <xf numFmtId="312" fontId="25" fillId="10" borderId="3001" applyNumberFormat="0" applyProtection="0">
      <alignment horizontal="left" vertical="top"/>
    </xf>
    <xf numFmtId="312" fontId="25" fillId="10" borderId="3057" applyNumberFormat="0" applyProtection="0">
      <alignment horizontal="left" vertical="top"/>
    </xf>
    <xf numFmtId="312" fontId="25" fillId="10" borderId="3058" applyNumberFormat="0" applyProtection="0">
      <alignment horizontal="left" vertical="top"/>
    </xf>
    <xf numFmtId="312" fontId="25" fillId="10" borderId="3002" applyNumberFormat="0" applyProtection="0">
      <alignment horizontal="left" vertical="top"/>
    </xf>
    <xf numFmtId="312" fontId="25" fillId="10" borderId="3059" applyNumberFormat="0" applyProtection="0">
      <alignment horizontal="left" vertical="top"/>
    </xf>
    <xf numFmtId="312" fontId="25" fillId="10" borderId="3003" applyNumberFormat="0" applyProtection="0">
      <alignment horizontal="left" vertical="top"/>
    </xf>
    <xf numFmtId="312" fontId="25" fillId="10" borderId="3060" applyNumberFormat="0" applyProtection="0">
      <alignment horizontal="left" vertical="top"/>
    </xf>
    <xf numFmtId="312" fontId="25" fillId="10" borderId="3004" applyNumberFormat="0" applyProtection="0">
      <alignment horizontal="left" vertical="top"/>
    </xf>
    <xf numFmtId="312" fontId="25" fillId="10" borderId="3005" applyNumberFormat="0" applyProtection="0">
      <alignment horizontal="left" vertical="top"/>
    </xf>
    <xf numFmtId="312" fontId="12" fillId="0" borderId="2993" applyNumberFormat="0" applyFill="0" applyBorder="0" applyAlignment="0" applyProtection="0"/>
    <xf numFmtId="312" fontId="241" fillId="94" borderId="3074" applyBorder="0" applyProtection="0">
      <alignment horizontal="centerContinuous" vertical="center"/>
    </xf>
    <xf numFmtId="246" fontId="296" fillId="0" borderId="3074" applyFill="0" applyProtection="0">
      <alignment horizontal="center"/>
    </xf>
    <xf numFmtId="10" fontId="12" fillId="3" borderId="3006" applyNumberFormat="0" applyFont="0" applyFill="0" applyBorder="0" applyAlignment="0">
      <protection locked="0"/>
    </xf>
    <xf numFmtId="312" fontId="12" fillId="0" borderId="2993" applyNumberFormat="0" applyFill="0" applyBorder="0" applyAlignment="0" applyProtection="0"/>
    <xf numFmtId="312" fontId="12" fillId="0" borderId="2993" applyNumberFormat="0" applyFill="0" applyBorder="0" applyAlignment="0" applyProtection="0"/>
    <xf numFmtId="312" fontId="12" fillId="0" borderId="2993" applyNumberFormat="0" applyFill="0" applyBorder="0" applyAlignment="0" applyProtection="0"/>
    <xf numFmtId="222" fontId="79" fillId="0" borderId="4202" applyBorder="0"/>
    <xf numFmtId="222" fontId="79" fillId="0" borderId="4094" applyBorder="0"/>
    <xf numFmtId="312" fontId="101" fillId="0" borderId="3074" applyBorder="0"/>
    <xf numFmtId="312" fontId="113" fillId="0" borderId="3074" applyNumberFormat="0" applyFill="0" applyAlignment="0" applyProtection="0"/>
    <xf numFmtId="312" fontId="75" fillId="0" borderId="3051" applyNumberFormat="0" applyFont="0" applyFill="0" applyAlignment="0" applyProtection="0"/>
    <xf numFmtId="312" fontId="12" fillId="0" borderId="3074" applyNumberFormat="0" applyFill="0" applyBorder="0" applyAlignment="0" applyProtection="0">
      <alignment horizontal="center"/>
    </xf>
    <xf numFmtId="312" fontId="78" fillId="14" borderId="2971" applyFont="0" applyFill="0" applyBorder="0" applyAlignment="0" applyProtection="0"/>
    <xf numFmtId="0" fontId="113" fillId="0" borderId="3231" applyNumberFormat="0" applyFill="0" applyAlignment="0" applyProtection="0"/>
    <xf numFmtId="312" fontId="5" fillId="0" borderId="3009">
      <alignment horizontal="left" vertical="center"/>
    </xf>
    <xf numFmtId="312" fontId="165" fillId="0" borderId="3074" applyFill="0" applyProtection="0">
      <alignment horizontal="center"/>
    </xf>
    <xf numFmtId="312" fontId="242" fillId="0" borderId="3074">
      <alignment horizontal="center"/>
    </xf>
    <xf numFmtId="0" fontId="210" fillId="0" borderId="3231" applyNumberFormat="0" applyFill="0" applyBorder="0" applyAlignment="0">
      <protection locked="0"/>
    </xf>
    <xf numFmtId="312" fontId="210" fillId="0" borderId="3074" applyNumberFormat="0" applyFill="0" applyBorder="0" applyAlignment="0">
      <protection locked="0"/>
    </xf>
    <xf numFmtId="312" fontId="2" fillId="0" borderId="3055" applyNumberFormat="0" applyAlignment="0" applyProtection="0"/>
    <xf numFmtId="312" fontId="214" fillId="0" borderId="3056" applyNumberFormat="0" applyFont="0" applyFill="0" applyAlignment="0" applyProtection="0"/>
    <xf numFmtId="312" fontId="25" fillId="10" borderId="3057" applyNumberFormat="0" applyProtection="0">
      <alignment horizontal="left" vertical="top"/>
    </xf>
    <xf numFmtId="312" fontId="25" fillId="10" borderId="3058" applyNumberFormat="0" applyProtection="0">
      <alignment horizontal="left" vertical="top"/>
    </xf>
    <xf numFmtId="312" fontId="25" fillId="10" borderId="3059" applyNumberFormat="0" applyProtection="0">
      <alignment horizontal="left" vertical="top"/>
    </xf>
    <xf numFmtId="312" fontId="25" fillId="10" borderId="3060" applyNumberFormat="0" applyProtection="0">
      <alignment horizontal="left" vertical="top"/>
    </xf>
    <xf numFmtId="312" fontId="25" fillId="10" borderId="3057" applyNumberFormat="0" applyProtection="0">
      <alignment horizontal="left" vertical="top"/>
    </xf>
    <xf numFmtId="312" fontId="25" fillId="10" borderId="3058" applyNumberFormat="0" applyProtection="0">
      <alignment horizontal="left" vertical="top"/>
    </xf>
    <xf numFmtId="312" fontId="25" fillId="10" borderId="3059" applyNumberFormat="0" applyProtection="0">
      <alignment horizontal="left" vertical="top"/>
    </xf>
    <xf numFmtId="312" fontId="25" fillId="10" borderId="3060" applyNumberFormat="0" applyProtection="0">
      <alignment horizontal="left" vertical="top"/>
    </xf>
    <xf numFmtId="312" fontId="241" fillId="94" borderId="3074" applyBorder="0" applyProtection="0">
      <alignment horizontal="centerContinuous" vertical="center"/>
    </xf>
    <xf numFmtId="246" fontId="296" fillId="0" borderId="3074" applyFill="0" applyProtection="0">
      <alignment horizontal="center"/>
    </xf>
    <xf numFmtId="0" fontId="241" fillId="94" borderId="3255" applyBorder="0" applyProtection="0">
      <alignment horizontal="centerContinuous" vertical="center"/>
    </xf>
    <xf numFmtId="186" fontId="146" fillId="3" borderId="4191" applyBorder="0">
      <alignment horizontal="left" vertical="center"/>
    </xf>
    <xf numFmtId="10" fontId="12" fillId="3" borderId="3006" applyNumberFormat="0" applyFont="0" applyFill="0" applyBorder="0" applyAlignment="0">
      <protection locked="0"/>
    </xf>
    <xf numFmtId="0" fontId="241" fillId="94" borderId="3183" applyBorder="0" applyProtection="0">
      <alignment horizontal="centerContinuous" vertical="center"/>
    </xf>
    <xf numFmtId="0" fontId="210" fillId="0" borderId="3183" applyNumberFormat="0" applyFill="0" applyBorder="0" applyAlignment="0">
      <protection locked="0"/>
    </xf>
    <xf numFmtId="246" fontId="249" fillId="0" borderId="3195" applyFill="0" applyProtection="0">
      <alignment horizontal="center"/>
    </xf>
    <xf numFmtId="186" fontId="140" fillId="3" borderId="4195">
      <alignment horizontal="center" vertical="center"/>
    </xf>
    <xf numFmtId="0" fontId="214" fillId="0" borderId="4221" applyNumberFormat="0" applyFont="0" applyFill="0" applyAlignment="0" applyProtection="0"/>
    <xf numFmtId="222" fontId="79" fillId="0" borderId="4202" applyBorder="0"/>
    <xf numFmtId="186" fontId="146" fillId="3" borderId="4194">
      <alignment horizontal="left"/>
    </xf>
    <xf numFmtId="0" fontId="25" fillId="10" borderId="4200" applyNumberFormat="0" applyProtection="0">
      <alignment horizontal="left" vertical="top"/>
    </xf>
    <xf numFmtId="0" fontId="210" fillId="0" borderId="4191" applyNumberFormat="0" applyFill="0" applyBorder="0" applyAlignment="0">
      <protection locked="0"/>
    </xf>
    <xf numFmtId="248" fontId="46" fillId="0" borderId="4191"/>
    <xf numFmtId="0" fontId="2" fillId="0" borderId="3200" applyNumberFormat="0" applyAlignment="0" applyProtection="0"/>
    <xf numFmtId="0" fontId="214" fillId="0" borderId="3189" applyNumberFormat="0" applyFont="0" applyFill="0" applyAlignment="0" applyProtection="0"/>
    <xf numFmtId="0" fontId="25" fillId="10" borderId="3192" applyNumberFormat="0" applyProtection="0">
      <alignment horizontal="left" vertical="top"/>
    </xf>
    <xf numFmtId="180" fontId="9" fillId="3" borderId="3183">
      <alignment horizontal="right" vertical="center"/>
    </xf>
    <xf numFmtId="0" fontId="165" fillId="0" borderId="3183" applyFill="0" applyProtection="0">
      <alignment horizontal="center"/>
    </xf>
    <xf numFmtId="1" fontId="154" fillId="65" borderId="2883" applyNumberFormat="0" applyBorder="0" applyAlignment="0">
      <alignment horizontal="centerContinuous" vertical="center"/>
      <protection locked="0"/>
    </xf>
    <xf numFmtId="0" fontId="12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10" fontId="12" fillId="3" borderId="3006" applyNumberFormat="0" applyFont="0" applyFill="0" applyBorder="0" applyAlignment="0">
      <protection locked="0"/>
    </xf>
    <xf numFmtId="246" fontId="250" fillId="0" borderId="3074" applyFill="0" applyProtection="0">
      <alignment horizontal="center"/>
    </xf>
    <xf numFmtId="246" fontId="249" fillId="0" borderId="3074" applyFill="0" applyProtection="0">
      <alignment horizontal="center"/>
    </xf>
    <xf numFmtId="0" fontId="241" fillId="94" borderId="3074" applyBorder="0" applyProtection="0">
      <alignment horizontal="centerContinuous" vertical="center"/>
    </xf>
    <xf numFmtId="254" fontId="240" fillId="0" borderId="3074" applyBorder="0" applyProtection="0">
      <alignment horizontal="right" vertical="center"/>
    </xf>
    <xf numFmtId="0" fontId="12" fillId="0" borderId="2993" applyNumberFormat="0" applyFill="0" applyBorder="0" applyAlignment="0" applyProtection="0"/>
    <xf numFmtId="0" fontId="25" fillId="10" borderId="3005" applyNumberFormat="0" applyProtection="0">
      <alignment horizontal="left" vertical="top"/>
    </xf>
    <xf numFmtId="0" fontId="25" fillId="10" borderId="3004" applyNumberFormat="0" applyProtection="0">
      <alignment horizontal="left" vertical="top"/>
    </xf>
    <xf numFmtId="0" fontId="25" fillId="10" borderId="3003" applyNumberFormat="0" applyProtection="0">
      <alignment horizontal="left" vertical="top"/>
    </xf>
    <xf numFmtId="0" fontId="25" fillId="10" borderId="3002" applyNumberFormat="0" applyProtection="0">
      <alignment horizontal="left" vertical="top"/>
    </xf>
    <xf numFmtId="0" fontId="25" fillId="10" borderId="3001" applyNumberFormat="0" applyProtection="0">
      <alignment horizontal="left" vertical="top"/>
    </xf>
    <xf numFmtId="0" fontId="25" fillId="10" borderId="3000" applyNumberFormat="0" applyProtection="0">
      <alignment horizontal="left" vertical="top"/>
    </xf>
    <xf numFmtId="0" fontId="25" fillId="10" borderId="2999" applyNumberFormat="0" applyProtection="0">
      <alignment horizontal="left"/>
    </xf>
    <xf numFmtId="0" fontId="12" fillId="10" borderId="2994" applyNumberFormat="0" applyFont="0" applyProtection="0"/>
    <xf numFmtId="0" fontId="12" fillId="10" borderId="2994" applyNumberFormat="0" applyFont="0" applyAlignment="0" applyProtection="0"/>
    <xf numFmtId="0" fontId="12" fillId="3" borderId="2994" applyNumberFormat="0" applyFont="0" applyAlignment="0" applyProtection="0"/>
    <xf numFmtId="293" fontId="234" fillId="10" borderId="2994" applyFont="0" applyProtection="0"/>
    <xf numFmtId="293" fontId="234" fillId="10" borderId="2994" applyFont="0" applyProtection="0"/>
    <xf numFmtId="169" fontId="234" fillId="3" borderId="2994" applyFont="0" applyProtection="0"/>
    <xf numFmtId="293" fontId="234" fillId="3" borderId="2994" applyFont="0" applyProtection="0"/>
    <xf numFmtId="169" fontId="234" fillId="10" borderId="2994" applyFont="0" applyProtection="0"/>
    <xf numFmtId="0" fontId="25" fillId="10" borderId="2994" applyNumberFormat="0" applyProtection="0">
      <alignment horizontal="center" vertical="top"/>
    </xf>
    <xf numFmtId="0" fontId="25" fillId="10" borderId="2994" applyNumberFormat="0" applyProtection="0">
      <alignment horizontal="center" vertical="top"/>
    </xf>
    <xf numFmtId="2" fontId="12" fillId="60" borderId="2998" applyFont="0" applyFill="0" applyBorder="0" applyAlignment="0" applyProtection="0"/>
    <xf numFmtId="9" fontId="12" fillId="60" borderId="2998" applyFont="0" applyFill="0" applyBorder="0" applyAlignment="0" applyProtection="0"/>
    <xf numFmtId="10" fontId="12" fillId="60" borderId="2998" applyFont="0" applyFill="0" applyBorder="0" applyAlignment="0" applyProtection="0"/>
    <xf numFmtId="183" fontId="12" fillId="60" borderId="2998" applyFont="0" applyFill="0" applyBorder="0" applyAlignment="0" applyProtection="0"/>
    <xf numFmtId="4" fontId="12" fillId="60" borderId="2998" applyFont="0" applyFill="0" applyBorder="0" applyAlignment="0" applyProtection="0"/>
    <xf numFmtId="3" fontId="12" fillId="60" borderId="2998" applyFont="0" applyFill="0" applyBorder="0" applyAlignment="0" applyProtection="0"/>
    <xf numFmtId="4" fontId="230" fillId="11" borderId="2996" applyNumberFormat="0" applyProtection="0">
      <alignment horizontal="right" vertical="center"/>
    </xf>
    <xf numFmtId="4" fontId="229" fillId="84" borderId="2997" applyNumberFormat="0" applyProtection="0">
      <alignment horizontal="left" vertical="center" indent="1"/>
    </xf>
    <xf numFmtId="0" fontId="136" fillId="84" borderId="2996" applyNumberFormat="0" applyProtection="0">
      <alignment horizontal="left" vertical="top" indent="1"/>
    </xf>
    <xf numFmtId="4" fontId="223" fillId="52" borderId="2996" applyNumberFormat="0" applyProtection="0">
      <alignment horizontal="left" vertical="center" indent="1"/>
    </xf>
    <xf numFmtId="4" fontId="228" fillId="11" borderId="2996" applyNumberFormat="0" applyProtection="0">
      <alignment horizontal="right" vertical="center"/>
    </xf>
    <xf numFmtId="4" fontId="184" fillId="11" borderId="2996" applyNumberFormat="0" applyProtection="0">
      <alignment horizontal="right" vertical="center"/>
    </xf>
    <xf numFmtId="0" fontId="136" fillId="14" borderId="2996" applyNumberFormat="0" applyProtection="0">
      <alignment horizontal="left" vertical="top" indent="1"/>
    </xf>
    <xf numFmtId="4" fontId="227" fillId="52" borderId="2997" applyNumberFormat="0" applyProtection="0">
      <alignment horizontal="left" vertical="center" indent="1"/>
    </xf>
    <xf numFmtId="4" fontId="228" fillId="11" borderId="2996" applyNumberFormat="0" applyProtection="0">
      <alignment vertical="center"/>
    </xf>
    <xf numFmtId="4" fontId="226" fillId="11" borderId="2996" applyNumberFormat="0" applyProtection="0">
      <alignment vertical="center"/>
    </xf>
    <xf numFmtId="0" fontId="12" fillId="11" borderId="2996" applyNumberFormat="0" applyProtection="0">
      <alignment horizontal="left" vertical="top" indent="1"/>
    </xf>
    <xf numFmtId="0" fontId="12" fillId="11" borderId="2996" applyNumberFormat="0" applyProtection="0">
      <alignment horizontal="left" vertical="center" indent="1"/>
    </xf>
    <xf numFmtId="0" fontId="12" fillId="52" borderId="2996" applyNumberFormat="0" applyProtection="0">
      <alignment horizontal="left" vertical="top" indent="1"/>
    </xf>
    <xf numFmtId="0" fontId="12" fillId="52" borderId="2996" applyNumberFormat="0" applyProtection="0">
      <alignment horizontal="left" vertical="center" indent="1"/>
    </xf>
    <xf numFmtId="0" fontId="12" fillId="84" borderId="2996" applyNumberFormat="0" applyProtection="0">
      <alignment horizontal="left" vertical="top" indent="1"/>
    </xf>
    <xf numFmtId="0" fontId="12" fillId="84" borderId="2996" applyNumberFormat="0" applyProtection="0">
      <alignment horizontal="left" vertical="center" indent="1"/>
    </xf>
    <xf numFmtId="0" fontId="12" fillId="75" borderId="2996" applyNumberFormat="0" applyProtection="0">
      <alignment horizontal="left" vertical="top" indent="1"/>
    </xf>
    <xf numFmtId="0" fontId="12" fillId="75" borderId="2996" applyNumberFormat="0" applyProtection="0">
      <alignment horizontal="left" vertical="center" indent="1"/>
    </xf>
    <xf numFmtId="4" fontId="184" fillId="52" borderId="2996" applyNumberFormat="0" applyProtection="0">
      <alignment horizontal="right" vertical="center"/>
    </xf>
    <xf numFmtId="4" fontId="226" fillId="82" borderId="2996" applyNumberFormat="0" applyProtection="0">
      <alignment horizontal="right" vertical="center"/>
    </xf>
    <xf numFmtId="4" fontId="226" fillId="81" borderId="2996" applyNumberFormat="0" applyProtection="0">
      <alignment horizontal="right" vertical="center"/>
    </xf>
    <xf numFmtId="4" fontId="226" fillId="80" borderId="2996" applyNumberFormat="0" applyProtection="0">
      <alignment horizontal="right" vertical="center"/>
    </xf>
    <xf numFmtId="4" fontId="226" fillId="71" borderId="2996" applyNumberFormat="0" applyProtection="0">
      <alignment horizontal="right" vertical="center"/>
    </xf>
    <xf numFmtId="4" fontId="226" fillId="79" borderId="2996" applyNumberFormat="0" applyProtection="0">
      <alignment horizontal="right" vertical="center"/>
    </xf>
    <xf numFmtId="4" fontId="226" fillId="10" borderId="2996" applyNumberFormat="0" applyProtection="0">
      <alignment horizontal="right" vertical="center"/>
    </xf>
    <xf numFmtId="4" fontId="226" fillId="78" borderId="2996" applyNumberFormat="0" applyProtection="0">
      <alignment horizontal="right" vertical="center"/>
    </xf>
    <xf numFmtId="4" fontId="226" fillId="77" borderId="2996" applyNumberFormat="0" applyProtection="0">
      <alignment horizontal="right" vertical="center"/>
    </xf>
    <xf numFmtId="4" fontId="226" fillId="76" borderId="2996" applyNumberFormat="0" applyProtection="0">
      <alignment horizontal="right" vertical="center"/>
    </xf>
    <xf numFmtId="0" fontId="225" fillId="53" borderId="2996" applyNumberFormat="0" applyProtection="0">
      <alignment horizontal="left" vertical="top" indent="1"/>
    </xf>
    <xf numFmtId="4" fontId="184" fillId="53" borderId="2996" applyNumberFormat="0" applyProtection="0">
      <alignment horizontal="left" vertical="center" indent="1"/>
    </xf>
    <xf numFmtId="4" fontId="224" fillId="53" borderId="2996" applyNumberFormat="0" applyProtection="0">
      <alignment vertical="center"/>
    </xf>
    <xf numFmtId="4" fontId="223" fillId="53" borderId="2996" applyNumberFormat="0" applyProtection="0">
      <alignment vertical="center"/>
    </xf>
    <xf numFmtId="0" fontId="12" fillId="0" borderId="2993" applyNumberFormat="0" applyFill="0" applyBorder="0" applyAlignment="0" applyProtection="0"/>
    <xf numFmtId="0" fontId="46" fillId="0" borderId="2993" applyNumberFormat="0" applyFill="0" applyBorder="0" applyAlignment="0" applyProtection="0"/>
    <xf numFmtId="0" fontId="105" fillId="0" borderId="2993" applyNumberFormat="0" applyFill="0" applyBorder="0" applyAlignment="0" applyProtection="0"/>
    <xf numFmtId="0" fontId="48" fillId="0" borderId="2993" applyNumberFormat="0" applyFill="0" applyAlignment="0" applyProtection="0"/>
    <xf numFmtId="5" fontId="114" fillId="0" borderId="2992" applyAlignment="0" applyProtection="0"/>
    <xf numFmtId="0" fontId="210" fillId="0" borderId="3074" applyNumberFormat="0" applyFill="0" applyBorder="0" applyAlignment="0">
      <protection locked="0"/>
    </xf>
    <xf numFmtId="182" fontId="145" fillId="3" borderId="2992">
      <alignment horizontal="right" vertical="center"/>
    </xf>
    <xf numFmtId="186" fontId="48" fillId="3" borderId="2992">
      <alignment vertical="center"/>
    </xf>
    <xf numFmtId="0" fontId="135" fillId="0" borderId="2994"/>
    <xf numFmtId="0" fontId="135" fillId="0" borderId="2994"/>
    <xf numFmtId="188" fontId="25" fillId="0" borderId="3009" applyFont="0" applyFill="0" applyBorder="0" applyAlignment="0" applyProtection="0">
      <alignment horizontal="center"/>
    </xf>
    <xf numFmtId="0" fontId="184" fillId="0" borderId="2995" applyAlignment="0">
      <alignment horizontal="left" wrapText="1"/>
    </xf>
    <xf numFmtId="264" fontId="12" fillId="14" borderId="3074" applyFont="0" applyFill="0" applyBorder="0" applyAlignment="0" applyProtection="0">
      <alignment horizontal="right"/>
    </xf>
    <xf numFmtId="0" fontId="25" fillId="69" borderId="2994">
      <alignment horizontal="left" vertical="center" wrapText="1"/>
    </xf>
    <xf numFmtId="0" fontId="159" fillId="0" borderId="2994"/>
    <xf numFmtId="0" fontId="159" fillId="67" borderId="2994"/>
    <xf numFmtId="192" fontId="9" fillId="3" borderId="3183">
      <alignment horizontal="right" vertical="center"/>
    </xf>
    <xf numFmtId="0" fontId="166" fillId="0" borderId="3074">
      <alignment horizontal="center"/>
    </xf>
    <xf numFmtId="0" fontId="165" fillId="0" borderId="3074" applyFill="0" applyProtection="0">
      <alignment horizontal="center"/>
    </xf>
    <xf numFmtId="0" fontId="159" fillId="67" borderId="2994"/>
    <xf numFmtId="0" fontId="159" fillId="0" borderId="2994"/>
    <xf numFmtId="0" fontId="25" fillId="69" borderId="2994">
      <alignment horizontal="left" vertical="center" wrapText="1"/>
    </xf>
    <xf numFmtId="0" fontId="184" fillId="0" borderId="2995" applyAlignment="0">
      <alignment horizontal="left" wrapText="1"/>
    </xf>
    <xf numFmtId="0" fontId="135" fillId="0" borderId="2994"/>
    <xf numFmtId="0" fontId="135" fillId="0" borderId="2994"/>
    <xf numFmtId="186" fontId="140" fillId="3" borderId="2949">
      <alignment horizontal="center" vertical="center"/>
    </xf>
    <xf numFmtId="186" fontId="48" fillId="3" borderId="2992">
      <alignment vertical="center"/>
    </xf>
    <xf numFmtId="186" fontId="146" fillId="3" borderId="2875">
      <alignment horizontal="left"/>
    </xf>
    <xf numFmtId="186" fontId="146" fillId="3" borderId="3074" applyBorder="0">
      <alignment horizontal="left" vertical="center"/>
    </xf>
    <xf numFmtId="180" fontId="9" fillId="3" borderId="3074">
      <alignment horizontal="right" vertical="center"/>
    </xf>
    <xf numFmtId="192" fontId="9" fillId="3" borderId="3074">
      <alignment horizontal="right" vertical="center"/>
    </xf>
    <xf numFmtId="0" fontId="101" fillId="0" borderId="3074" applyBorder="0"/>
    <xf numFmtId="182" fontId="145" fillId="3" borderId="2992">
      <alignment horizontal="right" vertical="center"/>
    </xf>
    <xf numFmtId="188" fontId="25" fillId="0" borderId="3009" applyFont="0" applyFill="0" applyBorder="0" applyAlignment="0" applyProtection="0">
      <alignment horizontal="center"/>
    </xf>
    <xf numFmtId="248" fontId="46" fillId="0" borderId="3231"/>
    <xf numFmtId="246" fontId="249" fillId="0" borderId="3074" applyFill="0" applyProtection="0">
      <alignment horizontal="center"/>
    </xf>
    <xf numFmtId="0" fontId="48" fillId="0" borderId="2992" applyFont="0" applyFill="0" applyBorder="0" applyAlignment="0" applyProtection="0">
      <alignment horizontal="center"/>
    </xf>
    <xf numFmtId="0" fontId="74" fillId="0" borderId="2992" applyFont="0" applyFill="0" applyBorder="0" applyAlignment="0" applyProtection="0">
      <alignment horizontal="center"/>
    </xf>
    <xf numFmtId="248" fontId="46" fillId="0" borderId="3074"/>
    <xf numFmtId="0" fontId="78" fillId="14" borderId="2983" applyFont="0" applyFill="0" applyBorder="0" applyAlignment="0" applyProtection="0"/>
    <xf numFmtId="0" fontId="12" fillId="0" borderId="3074" applyNumberFormat="0" applyFill="0" applyBorder="0" applyAlignment="0" applyProtection="0">
      <alignment horizontal="center"/>
    </xf>
    <xf numFmtId="186" fontId="146" fillId="3" borderId="3243" applyBorder="0">
      <alignment horizontal="left" vertical="center"/>
    </xf>
    <xf numFmtId="0" fontId="75" fillId="0" borderId="2873" applyNumberFormat="0" applyFont="0" applyFill="0" applyAlignment="0" applyProtection="0"/>
    <xf numFmtId="5" fontId="114" fillId="0" borderId="2992" applyAlignment="0" applyProtection="0"/>
    <xf numFmtId="0" fontId="113" fillId="0" borderId="3074" applyNumberFormat="0" applyFill="0" applyAlignment="0" applyProtection="0"/>
    <xf numFmtId="0" fontId="48" fillId="0" borderId="2993" applyNumberFormat="0" applyFill="0" applyAlignment="0" applyProtection="0"/>
    <xf numFmtId="0" fontId="105" fillId="0" borderId="2993" applyNumberFormat="0" applyFill="0" applyBorder="0" applyAlignment="0" applyProtection="0"/>
    <xf numFmtId="0" fontId="46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222" fontId="79" fillId="0" borderId="3073" applyBorder="0"/>
    <xf numFmtId="0" fontId="101" fillId="0" borderId="3074" applyBorder="0"/>
    <xf numFmtId="4" fontId="223" fillId="53" borderId="2996" applyNumberFormat="0" applyProtection="0">
      <alignment vertical="center"/>
    </xf>
    <xf numFmtId="4" fontId="224" fillId="53" borderId="2996" applyNumberFormat="0" applyProtection="0">
      <alignment vertical="center"/>
    </xf>
    <xf numFmtId="4" fontId="184" fillId="53" borderId="2996" applyNumberFormat="0" applyProtection="0">
      <alignment horizontal="left" vertical="center" indent="1"/>
    </xf>
    <xf numFmtId="0" fontId="225" fillId="53" borderId="2996" applyNumberFormat="0" applyProtection="0">
      <alignment horizontal="left" vertical="top" indent="1"/>
    </xf>
    <xf numFmtId="4" fontId="226" fillId="76" borderId="2996" applyNumberFormat="0" applyProtection="0">
      <alignment horizontal="right" vertical="center"/>
    </xf>
    <xf numFmtId="4" fontId="226" fillId="77" borderId="2996" applyNumberFormat="0" applyProtection="0">
      <alignment horizontal="right" vertical="center"/>
    </xf>
    <xf numFmtId="4" fontId="226" fillId="78" borderId="2996" applyNumberFormat="0" applyProtection="0">
      <alignment horizontal="right" vertical="center"/>
    </xf>
    <xf numFmtId="4" fontId="226" fillId="10" borderId="2996" applyNumberFormat="0" applyProtection="0">
      <alignment horizontal="right" vertical="center"/>
    </xf>
    <xf numFmtId="4" fontId="226" fillId="79" borderId="2996" applyNumberFormat="0" applyProtection="0">
      <alignment horizontal="right" vertical="center"/>
    </xf>
    <xf numFmtId="4" fontId="226" fillId="71" borderId="2996" applyNumberFormat="0" applyProtection="0">
      <alignment horizontal="right" vertical="center"/>
    </xf>
    <xf numFmtId="4" fontId="226" fillId="81" borderId="2996" applyNumberFormat="0" applyProtection="0">
      <alignment horizontal="right" vertical="center"/>
    </xf>
    <xf numFmtId="4" fontId="226" fillId="80" borderId="2996" applyNumberFormat="0" applyProtection="0">
      <alignment horizontal="right" vertical="center"/>
    </xf>
    <xf numFmtId="4" fontId="226" fillId="82" borderId="2996" applyNumberFormat="0" applyProtection="0">
      <alignment horizontal="right" vertical="center"/>
    </xf>
    <xf numFmtId="4" fontId="184" fillId="52" borderId="2996" applyNumberFormat="0" applyProtection="0">
      <alignment horizontal="right" vertical="center"/>
    </xf>
    <xf numFmtId="0" fontId="12" fillId="75" borderId="2996" applyNumberFormat="0" applyProtection="0">
      <alignment horizontal="left" vertical="center" indent="1"/>
    </xf>
    <xf numFmtId="0" fontId="12" fillId="75" borderId="2996" applyNumberFormat="0" applyProtection="0">
      <alignment horizontal="left" vertical="top" indent="1"/>
    </xf>
    <xf numFmtId="0" fontId="12" fillId="84" borderId="2996" applyNumberFormat="0" applyProtection="0">
      <alignment horizontal="left" vertical="center" indent="1"/>
    </xf>
    <xf numFmtId="0" fontId="12" fillId="84" borderId="2996" applyNumberFormat="0" applyProtection="0">
      <alignment horizontal="left" vertical="top" indent="1"/>
    </xf>
    <xf numFmtId="0" fontId="12" fillId="52" borderId="2996" applyNumberFormat="0" applyProtection="0">
      <alignment horizontal="left" vertical="center" indent="1"/>
    </xf>
    <xf numFmtId="0" fontId="12" fillId="52" borderId="2996" applyNumberFormat="0" applyProtection="0">
      <alignment horizontal="left" vertical="top" indent="1"/>
    </xf>
    <xf numFmtId="0" fontId="12" fillId="11" borderId="2996" applyNumberFormat="0" applyProtection="0">
      <alignment horizontal="left" vertical="center" indent="1"/>
    </xf>
    <xf numFmtId="0" fontId="12" fillId="11" borderId="2996" applyNumberFormat="0" applyProtection="0">
      <alignment horizontal="left" vertical="top" indent="1"/>
    </xf>
    <xf numFmtId="4" fontId="226" fillId="11" borderId="2996" applyNumberFormat="0" applyProtection="0">
      <alignment vertical="center"/>
    </xf>
    <xf numFmtId="4" fontId="228" fillId="11" borderId="2996" applyNumberFormat="0" applyProtection="0">
      <alignment vertical="center"/>
    </xf>
    <xf numFmtId="4" fontId="227" fillId="52" borderId="2997" applyNumberFormat="0" applyProtection="0">
      <alignment horizontal="left" vertical="center" indent="1"/>
    </xf>
    <xf numFmtId="0" fontId="136" fillId="14" borderId="2996" applyNumberFormat="0" applyProtection="0">
      <alignment horizontal="left" vertical="top" indent="1"/>
    </xf>
    <xf numFmtId="4" fontId="184" fillId="11" borderId="2996" applyNumberFormat="0" applyProtection="0">
      <alignment horizontal="right" vertical="center"/>
    </xf>
    <xf numFmtId="4" fontId="228" fillId="11" borderId="2996" applyNumberFormat="0" applyProtection="0">
      <alignment horizontal="right" vertical="center"/>
    </xf>
    <xf numFmtId="4" fontId="223" fillId="52" borderId="2996" applyNumberFormat="0" applyProtection="0">
      <alignment horizontal="left" vertical="center" indent="1"/>
    </xf>
    <xf numFmtId="0" fontId="136" fillId="84" borderId="2996" applyNumberFormat="0" applyProtection="0">
      <alignment horizontal="left" vertical="top" indent="1"/>
    </xf>
    <xf numFmtId="4" fontId="229" fillId="84" borderId="2997" applyNumberFormat="0" applyProtection="0">
      <alignment horizontal="left" vertical="center" indent="1"/>
    </xf>
    <xf numFmtId="4" fontId="230" fillId="11" borderId="2996" applyNumberFormat="0" applyProtection="0">
      <alignment horizontal="right" vertical="center"/>
    </xf>
    <xf numFmtId="0" fontId="25" fillId="10" borderId="3081" applyNumberFormat="0" applyProtection="0">
      <alignment horizontal="left" vertical="top"/>
    </xf>
    <xf numFmtId="0" fontId="25" fillId="10" borderId="3082" applyNumberFormat="0" applyProtection="0">
      <alignment horizontal="left" vertical="top"/>
    </xf>
    <xf numFmtId="0" fontId="25" fillId="10" borderId="3083" applyNumberFormat="0" applyProtection="0">
      <alignment horizontal="left" vertical="top"/>
    </xf>
    <xf numFmtId="0" fontId="25" fillId="10" borderId="3084" applyNumberFormat="0" applyProtection="0">
      <alignment horizontal="left" vertical="top"/>
    </xf>
    <xf numFmtId="3" fontId="12" fillId="60" borderId="2998" applyFont="0" applyFill="0" applyBorder="0" applyAlignment="0" applyProtection="0"/>
    <xf numFmtId="4" fontId="12" fillId="60" borderId="2998" applyFont="0" applyFill="0" applyBorder="0" applyAlignment="0" applyProtection="0"/>
    <xf numFmtId="183" fontId="12" fillId="60" borderId="2998" applyFont="0" applyFill="0" applyBorder="0" applyAlignment="0" applyProtection="0"/>
    <xf numFmtId="10" fontId="12" fillId="60" borderId="2998" applyFont="0" applyFill="0" applyBorder="0" applyAlignment="0" applyProtection="0"/>
    <xf numFmtId="9" fontId="12" fillId="60" borderId="2998" applyFont="0" applyFill="0" applyBorder="0" applyAlignment="0" applyProtection="0"/>
    <xf numFmtId="2" fontId="12" fillId="60" borderId="2998" applyFont="0" applyFill="0" applyBorder="0" applyAlignment="0" applyProtection="0"/>
    <xf numFmtId="0" fontId="25" fillId="10" borderId="2994" applyNumberFormat="0" applyProtection="0">
      <alignment horizontal="center" vertical="top"/>
    </xf>
    <xf numFmtId="169" fontId="234" fillId="3" borderId="2994" applyFont="0" applyProtection="0"/>
    <xf numFmtId="169" fontId="234" fillId="10" borderId="2994" applyFont="0" applyProtection="0"/>
    <xf numFmtId="293" fontId="234" fillId="3" borderId="2994" applyFont="0" applyProtection="0"/>
    <xf numFmtId="293" fontId="234" fillId="10" borderId="2994" applyFont="0" applyProtection="0"/>
    <xf numFmtId="293" fontId="234" fillId="10" borderId="2994" applyFont="0" applyProtection="0"/>
    <xf numFmtId="0" fontId="12" fillId="3" borderId="2994" applyNumberFormat="0" applyFont="0" applyAlignment="0" applyProtection="0"/>
    <xf numFmtId="0" fontId="12" fillId="10" borderId="2994" applyNumberFormat="0" applyFont="0" applyAlignment="0" applyProtection="0"/>
    <xf numFmtId="0" fontId="12" fillId="10" borderId="2994" applyNumberFormat="0" applyFont="0" applyProtection="0"/>
    <xf numFmtId="0" fontId="25" fillId="10" borderId="2999" applyNumberFormat="0" applyProtection="0">
      <alignment horizontal="left"/>
    </xf>
    <xf numFmtId="0" fontId="25" fillId="10" borderId="3000" applyNumberFormat="0" applyProtection="0">
      <alignment horizontal="left" vertical="top"/>
    </xf>
    <xf numFmtId="0" fontId="25" fillId="10" borderId="3001" applyNumberFormat="0" applyProtection="0">
      <alignment horizontal="left" vertical="top"/>
    </xf>
    <xf numFmtId="0" fontId="25" fillId="10" borderId="3002" applyNumberFormat="0" applyProtection="0">
      <alignment horizontal="left" vertical="top"/>
    </xf>
    <xf numFmtId="0" fontId="25" fillId="10" borderId="3003" applyNumberFormat="0" applyProtection="0">
      <alignment horizontal="left" vertical="top"/>
    </xf>
    <xf numFmtId="0" fontId="25" fillId="10" borderId="3004" applyNumberFormat="0" applyProtection="0">
      <alignment horizontal="left" vertical="top"/>
    </xf>
    <xf numFmtId="0" fontId="25" fillId="10" borderId="3005" applyNumberFormat="0" applyProtection="0">
      <alignment horizontal="left" vertical="top"/>
    </xf>
    <xf numFmtId="10" fontId="12" fillId="3" borderId="3006" applyNumberFormat="0" applyFont="0" applyFill="0" applyBorder="0" applyAlignment="0">
      <protection locked="0"/>
    </xf>
    <xf numFmtId="0" fontId="12" fillId="0" borderId="2993" applyNumberFormat="0" applyFill="0" applyBorder="0" applyAlignment="0" applyProtection="0"/>
    <xf numFmtId="0" fontId="25" fillId="10" borderId="2994" applyNumberFormat="0" applyProtection="0">
      <alignment horizontal="center" vertical="top"/>
    </xf>
    <xf numFmtId="0" fontId="113" fillId="0" borderId="3183" applyNumberFormat="0" applyFill="0" applyAlignment="0" applyProtection="0"/>
    <xf numFmtId="222" fontId="79" fillId="0" borderId="3194" applyBorder="0"/>
    <xf numFmtId="0" fontId="25" fillId="10" borderId="3190" applyNumberFormat="0" applyProtection="0">
      <alignment horizontal="left" vertical="top"/>
    </xf>
    <xf numFmtId="0" fontId="165" fillId="0" borderId="3195" applyFill="0" applyProtection="0">
      <alignment horizontal="center"/>
    </xf>
    <xf numFmtId="0" fontId="25" fillId="10" borderId="3203" applyNumberFormat="0" applyProtection="0">
      <alignment horizontal="left" vertical="top"/>
    </xf>
    <xf numFmtId="222" fontId="79" fillId="0" borderId="3194" applyBorder="0"/>
    <xf numFmtId="0" fontId="2" fillId="0" borderId="3188" applyNumberFormat="0" applyAlignment="0" applyProtection="0"/>
    <xf numFmtId="0" fontId="25" fillId="10" borderId="3193" applyNumberFormat="0" applyProtection="0">
      <alignment horizontal="left" vertical="top"/>
    </xf>
    <xf numFmtId="0" fontId="48" fillId="0" borderId="2992" applyFont="0" applyFill="0" applyBorder="0" applyAlignment="0" applyProtection="0">
      <alignment horizontal="center"/>
    </xf>
    <xf numFmtId="0" fontId="74" fillId="0" borderId="2992" applyFont="0" applyFill="0" applyBorder="0" applyAlignment="0" applyProtection="0">
      <alignment horizontal="center"/>
    </xf>
    <xf numFmtId="10" fontId="12" fillId="3" borderId="3006" applyNumberFormat="0" applyFont="0" applyFill="0" applyBorder="0" applyAlignment="0">
      <protection locked="0"/>
    </xf>
    <xf numFmtId="0" fontId="12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10" fontId="12" fillId="3" borderId="3006" applyNumberFormat="0" applyFont="0" applyFill="0" applyBorder="0" applyAlignment="0">
      <protection locked="0"/>
    </xf>
    <xf numFmtId="246" fontId="250" fillId="0" borderId="3023" applyFill="0" applyProtection="0">
      <alignment horizontal="center"/>
    </xf>
    <xf numFmtId="246" fontId="249" fillId="0" borderId="3023" applyFill="0" applyProtection="0">
      <alignment horizontal="center"/>
    </xf>
    <xf numFmtId="0" fontId="241" fillId="94" borderId="3023" applyBorder="0" applyProtection="0">
      <alignment horizontal="centerContinuous" vertical="center"/>
    </xf>
    <xf numFmtId="254" fontId="240" fillId="0" borderId="3023" applyBorder="0" applyProtection="0">
      <alignment horizontal="right" vertical="center"/>
    </xf>
    <xf numFmtId="0" fontId="210" fillId="0" borderId="3023" applyNumberFormat="0" applyFill="0" applyBorder="0" applyAlignment="0">
      <protection locked="0"/>
    </xf>
    <xf numFmtId="188" fontId="25" fillId="0" borderId="3009" applyFont="0" applyFill="0" applyBorder="0" applyAlignment="0" applyProtection="0">
      <alignment horizontal="center"/>
    </xf>
    <xf numFmtId="264" fontId="12" fillId="14" borderId="3023" applyFont="0" applyFill="0" applyBorder="0" applyAlignment="0" applyProtection="0">
      <alignment horizontal="right"/>
    </xf>
    <xf numFmtId="0" fontId="166" fillId="0" borderId="3023">
      <alignment horizontal="center"/>
    </xf>
    <xf numFmtId="0" fontId="165" fillId="0" borderId="3023" applyFill="0" applyProtection="0">
      <alignment horizontal="center"/>
    </xf>
    <xf numFmtId="186" fontId="146" fillId="3" borderId="3023" applyBorder="0">
      <alignment horizontal="left" vertical="center"/>
    </xf>
    <xf numFmtId="180" fontId="9" fillId="3" borderId="3023">
      <alignment horizontal="right" vertical="center"/>
    </xf>
    <xf numFmtId="192" fontId="9" fillId="3" borderId="3023">
      <alignment horizontal="right" vertical="center"/>
    </xf>
    <xf numFmtId="248" fontId="46" fillId="0" borderId="3023"/>
    <xf numFmtId="0" fontId="12" fillId="0" borderId="3023" applyNumberFormat="0" applyFill="0" applyBorder="0" applyAlignment="0" applyProtection="0">
      <alignment horizontal="center"/>
    </xf>
    <xf numFmtId="0" fontId="113" fillId="0" borderId="3023" applyNumberFormat="0" applyFill="0" applyAlignment="0" applyProtection="0"/>
    <xf numFmtId="222" fontId="79" fillId="0" borderId="2980" applyBorder="0"/>
    <xf numFmtId="0" fontId="101" fillId="0" borderId="3023" applyBorder="0"/>
    <xf numFmtId="10" fontId="12" fillId="3" borderId="3006" applyNumberFormat="0" applyFont="0" applyFill="0" applyBorder="0" applyAlignment="0">
      <protection locked="0"/>
    </xf>
    <xf numFmtId="1" fontId="154" fillId="65" borderId="2883" applyNumberFormat="0" applyBorder="0" applyAlignment="0">
      <alignment horizontal="centerContinuous" vertical="center"/>
      <protection locked="0"/>
    </xf>
    <xf numFmtId="0" fontId="12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10" fontId="12" fillId="3" borderId="3006" applyNumberFormat="0" applyFont="0" applyFill="0" applyBorder="0" applyAlignment="0">
      <protection locked="0"/>
    </xf>
    <xf numFmtId="246" fontId="250" fillId="0" borderId="3023" applyFill="0" applyProtection="0">
      <alignment horizontal="center"/>
    </xf>
    <xf numFmtId="246" fontId="249" fillId="0" borderId="3023" applyFill="0" applyProtection="0">
      <alignment horizontal="center"/>
    </xf>
    <xf numFmtId="0" fontId="241" fillId="94" borderId="3023" applyBorder="0" applyProtection="0">
      <alignment horizontal="centerContinuous" vertical="center"/>
    </xf>
    <xf numFmtId="254" fontId="240" fillId="0" borderId="3023" applyBorder="0" applyProtection="0">
      <alignment horizontal="right" vertical="center"/>
    </xf>
    <xf numFmtId="0" fontId="12" fillId="0" borderId="2993" applyNumberFormat="0" applyFill="0" applyBorder="0" applyAlignment="0" applyProtection="0"/>
    <xf numFmtId="0" fontId="25" fillId="10" borderId="3005" applyNumberFormat="0" applyProtection="0">
      <alignment horizontal="left" vertical="top"/>
    </xf>
    <xf numFmtId="0" fontId="25" fillId="10" borderId="3004" applyNumberFormat="0" applyProtection="0">
      <alignment horizontal="left" vertical="top"/>
    </xf>
    <xf numFmtId="0" fontId="25" fillId="10" borderId="3003" applyNumberFormat="0" applyProtection="0">
      <alignment horizontal="left" vertical="top"/>
    </xf>
    <xf numFmtId="0" fontId="25" fillId="10" borderId="3002" applyNumberFormat="0" applyProtection="0">
      <alignment horizontal="left" vertical="top"/>
    </xf>
    <xf numFmtId="0" fontId="25" fillId="10" borderId="3001" applyNumberFormat="0" applyProtection="0">
      <alignment horizontal="left" vertical="top"/>
    </xf>
    <xf numFmtId="0" fontId="25" fillId="10" borderId="3000" applyNumberFormat="0" applyProtection="0">
      <alignment horizontal="left" vertical="top"/>
    </xf>
    <xf numFmtId="0" fontId="25" fillId="10" borderId="2999" applyNumberFormat="0" applyProtection="0">
      <alignment horizontal="left"/>
    </xf>
    <xf numFmtId="0" fontId="12" fillId="10" borderId="2994" applyNumberFormat="0" applyFont="0" applyProtection="0"/>
    <xf numFmtId="0" fontId="12" fillId="10" borderId="2994" applyNumberFormat="0" applyFont="0" applyAlignment="0" applyProtection="0"/>
    <xf numFmtId="0" fontId="12" fillId="3" borderId="2994" applyNumberFormat="0" applyFont="0" applyAlignment="0" applyProtection="0"/>
    <xf numFmtId="293" fontId="234" fillId="10" borderId="2994" applyFont="0" applyProtection="0"/>
    <xf numFmtId="293" fontId="234" fillId="3" borderId="2994" applyFont="0" applyProtection="0"/>
    <xf numFmtId="293" fontId="234" fillId="10" borderId="2994" applyFont="0" applyProtection="0"/>
    <xf numFmtId="169" fontId="234" fillId="10" borderId="2994" applyFont="0" applyProtection="0"/>
    <xf numFmtId="169" fontId="234" fillId="3" borderId="2994" applyFont="0" applyProtection="0"/>
    <xf numFmtId="0" fontId="25" fillId="10" borderId="2994" applyNumberFormat="0" applyProtection="0">
      <alignment horizontal="center" vertical="top"/>
    </xf>
    <xf numFmtId="0" fontId="25" fillId="10" borderId="2994" applyNumberFormat="0" applyProtection="0">
      <alignment horizontal="center" vertical="top"/>
    </xf>
    <xf numFmtId="2" fontId="12" fillId="60" borderId="2998" applyFont="0" applyFill="0" applyBorder="0" applyAlignment="0" applyProtection="0"/>
    <xf numFmtId="9" fontId="12" fillId="60" borderId="2998" applyFont="0" applyFill="0" applyBorder="0" applyAlignment="0" applyProtection="0"/>
    <xf numFmtId="10" fontId="12" fillId="60" borderId="2998" applyFont="0" applyFill="0" applyBorder="0" applyAlignment="0" applyProtection="0"/>
    <xf numFmtId="183" fontId="12" fillId="60" borderId="2998" applyFont="0" applyFill="0" applyBorder="0" applyAlignment="0" applyProtection="0"/>
    <xf numFmtId="4" fontId="12" fillId="60" borderId="2998" applyFont="0" applyFill="0" applyBorder="0" applyAlignment="0" applyProtection="0"/>
    <xf numFmtId="3" fontId="12" fillId="60" borderId="2998" applyFont="0" applyFill="0" applyBorder="0" applyAlignment="0" applyProtection="0"/>
    <xf numFmtId="4" fontId="230" fillId="11" borderId="2996" applyNumberFormat="0" applyProtection="0">
      <alignment horizontal="right" vertical="center"/>
    </xf>
    <xf numFmtId="4" fontId="229" fillId="84" borderId="2997" applyNumberFormat="0" applyProtection="0">
      <alignment horizontal="left" vertical="center" indent="1"/>
    </xf>
    <xf numFmtId="0" fontId="136" fillId="84" borderId="2996" applyNumberFormat="0" applyProtection="0">
      <alignment horizontal="left" vertical="top" indent="1"/>
    </xf>
    <xf numFmtId="4" fontId="223" fillId="52" borderId="2996" applyNumberFormat="0" applyProtection="0">
      <alignment horizontal="left" vertical="center" indent="1"/>
    </xf>
    <xf numFmtId="4" fontId="228" fillId="11" borderId="2996" applyNumberFormat="0" applyProtection="0">
      <alignment horizontal="right" vertical="center"/>
    </xf>
    <xf numFmtId="4" fontId="184" fillId="11" borderId="2996" applyNumberFormat="0" applyProtection="0">
      <alignment horizontal="right" vertical="center"/>
    </xf>
    <xf numFmtId="0" fontId="136" fillId="14" borderId="2996" applyNumberFormat="0" applyProtection="0">
      <alignment horizontal="left" vertical="top" indent="1"/>
    </xf>
    <xf numFmtId="4" fontId="227" fillId="52" borderId="2997" applyNumberFormat="0" applyProtection="0">
      <alignment horizontal="left" vertical="center" indent="1"/>
    </xf>
    <xf numFmtId="4" fontId="228" fillId="11" borderId="2996" applyNumberFormat="0" applyProtection="0">
      <alignment vertical="center"/>
    </xf>
    <xf numFmtId="4" fontId="226" fillId="11" borderId="2996" applyNumberFormat="0" applyProtection="0">
      <alignment vertical="center"/>
    </xf>
    <xf numFmtId="0" fontId="12" fillId="11" borderId="2996" applyNumberFormat="0" applyProtection="0">
      <alignment horizontal="left" vertical="top" indent="1"/>
    </xf>
    <xf numFmtId="0" fontId="12" fillId="11" borderId="2996" applyNumberFormat="0" applyProtection="0">
      <alignment horizontal="left" vertical="center" indent="1"/>
    </xf>
    <xf numFmtId="0" fontId="12" fillId="52" borderId="2996" applyNumberFormat="0" applyProtection="0">
      <alignment horizontal="left" vertical="top" indent="1"/>
    </xf>
    <xf numFmtId="0" fontId="12" fillId="52" borderId="2996" applyNumberFormat="0" applyProtection="0">
      <alignment horizontal="left" vertical="center" indent="1"/>
    </xf>
    <xf numFmtId="0" fontId="12" fillId="84" borderId="2996" applyNumberFormat="0" applyProtection="0">
      <alignment horizontal="left" vertical="top" indent="1"/>
    </xf>
    <xf numFmtId="0" fontId="12" fillId="84" borderId="2996" applyNumberFormat="0" applyProtection="0">
      <alignment horizontal="left" vertical="center" indent="1"/>
    </xf>
    <xf numFmtId="0" fontId="12" fillId="75" borderId="2996" applyNumberFormat="0" applyProtection="0">
      <alignment horizontal="left" vertical="top" indent="1"/>
    </xf>
    <xf numFmtId="0" fontId="12" fillId="75" borderId="2996" applyNumberFormat="0" applyProtection="0">
      <alignment horizontal="left" vertical="center" indent="1"/>
    </xf>
    <xf numFmtId="4" fontId="184" fillId="52" borderId="2996" applyNumberFormat="0" applyProtection="0">
      <alignment horizontal="right" vertical="center"/>
    </xf>
    <xf numFmtId="4" fontId="226" fillId="82" borderId="2996" applyNumberFormat="0" applyProtection="0">
      <alignment horizontal="right" vertical="center"/>
    </xf>
    <xf numFmtId="4" fontId="226" fillId="81" borderId="2996" applyNumberFormat="0" applyProtection="0">
      <alignment horizontal="right" vertical="center"/>
    </xf>
    <xf numFmtId="4" fontId="226" fillId="80" borderId="2996" applyNumberFormat="0" applyProtection="0">
      <alignment horizontal="right" vertical="center"/>
    </xf>
    <xf numFmtId="4" fontId="226" fillId="71" borderId="2996" applyNumberFormat="0" applyProtection="0">
      <alignment horizontal="right" vertical="center"/>
    </xf>
    <xf numFmtId="4" fontId="226" fillId="79" borderId="2996" applyNumberFormat="0" applyProtection="0">
      <alignment horizontal="right" vertical="center"/>
    </xf>
    <xf numFmtId="4" fontId="226" fillId="10" borderId="2996" applyNumberFormat="0" applyProtection="0">
      <alignment horizontal="right" vertical="center"/>
    </xf>
    <xf numFmtId="4" fontId="226" fillId="78" borderId="2996" applyNumberFormat="0" applyProtection="0">
      <alignment horizontal="right" vertical="center"/>
    </xf>
    <xf numFmtId="4" fontId="226" fillId="77" borderId="2996" applyNumberFormat="0" applyProtection="0">
      <alignment horizontal="right" vertical="center"/>
    </xf>
    <xf numFmtId="4" fontId="226" fillId="76" borderId="2996" applyNumberFormat="0" applyProtection="0">
      <alignment horizontal="right" vertical="center"/>
    </xf>
    <xf numFmtId="0" fontId="225" fillId="53" borderId="2996" applyNumberFormat="0" applyProtection="0">
      <alignment horizontal="left" vertical="top" indent="1"/>
    </xf>
    <xf numFmtId="4" fontId="184" fillId="53" borderId="2996" applyNumberFormat="0" applyProtection="0">
      <alignment horizontal="left" vertical="center" indent="1"/>
    </xf>
    <xf numFmtId="4" fontId="224" fillId="53" borderId="2996" applyNumberFormat="0" applyProtection="0">
      <alignment vertical="center"/>
    </xf>
    <xf numFmtId="4" fontId="223" fillId="53" borderId="2996" applyNumberFormat="0" applyProtection="0">
      <alignment vertical="center"/>
    </xf>
    <xf numFmtId="0" fontId="210" fillId="0" borderId="3023" applyNumberFormat="0" applyFill="0" applyBorder="0" applyAlignment="0">
      <protection locked="0"/>
    </xf>
    <xf numFmtId="188" fontId="25" fillId="0" borderId="3009" applyFont="0" applyFill="0" applyBorder="0" applyAlignment="0" applyProtection="0">
      <alignment horizontal="center"/>
    </xf>
    <xf numFmtId="0" fontId="184" fillId="0" borderId="2995" applyAlignment="0">
      <alignment horizontal="left" wrapText="1"/>
    </xf>
    <xf numFmtId="264" fontId="12" fillId="14" borderId="3023" applyFont="0" applyFill="0" applyBorder="0" applyAlignment="0" applyProtection="0">
      <alignment horizontal="right"/>
    </xf>
    <xf numFmtId="0" fontId="25" fillId="69" borderId="2994">
      <alignment horizontal="left" vertical="center" wrapText="1"/>
    </xf>
    <xf numFmtId="0" fontId="166" fillId="0" borderId="3023">
      <alignment horizontal="center"/>
    </xf>
    <xf numFmtId="0" fontId="165" fillId="0" borderId="3023" applyFill="0" applyProtection="0">
      <alignment horizontal="center"/>
    </xf>
    <xf numFmtId="0" fontId="159" fillId="67" borderId="2994"/>
    <xf numFmtId="0" fontId="159" fillId="0" borderId="2994"/>
    <xf numFmtId="0" fontId="135" fillId="0" borderId="2994"/>
    <xf numFmtId="0" fontId="135" fillId="0" borderId="2994"/>
    <xf numFmtId="186" fontId="48" fillId="3" borderId="2992">
      <alignment vertical="center"/>
    </xf>
    <xf numFmtId="186" fontId="146" fillId="3" borderId="3023" applyBorder="0">
      <alignment horizontal="left" vertical="center"/>
    </xf>
    <xf numFmtId="180" fontId="9" fillId="3" borderId="3023">
      <alignment horizontal="right" vertical="center"/>
    </xf>
    <xf numFmtId="192" fontId="9" fillId="3" borderId="3023">
      <alignment horizontal="right" vertical="center"/>
    </xf>
    <xf numFmtId="182" fontId="145" fillId="3" borderId="2992">
      <alignment horizontal="right" vertical="center"/>
    </xf>
    <xf numFmtId="0" fontId="48" fillId="0" borderId="2992" applyFont="0" applyFill="0" applyBorder="0" applyAlignment="0" applyProtection="0">
      <alignment horizontal="center"/>
    </xf>
    <xf numFmtId="0" fontId="74" fillId="0" borderId="2992" applyFont="0" applyFill="0" applyBorder="0" applyAlignment="0" applyProtection="0">
      <alignment horizontal="center"/>
    </xf>
    <xf numFmtId="0" fontId="12" fillId="0" borderId="3023" applyNumberFormat="0" applyFill="0" applyBorder="0" applyAlignment="0" applyProtection="0">
      <alignment horizontal="center"/>
    </xf>
    <xf numFmtId="180" fontId="9" fillId="3" borderId="3243">
      <alignment horizontal="right" vertical="center"/>
    </xf>
    <xf numFmtId="5" fontId="114" fillId="0" borderId="2992" applyAlignment="0" applyProtection="0"/>
    <xf numFmtId="0" fontId="113" fillId="0" borderId="3023" applyNumberFormat="0" applyFill="0" applyAlignment="0" applyProtection="0"/>
    <xf numFmtId="0" fontId="48" fillId="0" borderId="2993" applyNumberFormat="0" applyFill="0" applyAlignment="0" applyProtection="0"/>
    <xf numFmtId="0" fontId="105" fillId="0" borderId="2993" applyNumberFormat="0" applyFill="0" applyBorder="0" applyAlignment="0" applyProtection="0"/>
    <xf numFmtId="0" fontId="46" fillId="0" borderId="2993" applyNumberFormat="0" applyFill="0" applyBorder="0" applyAlignment="0" applyProtection="0"/>
    <xf numFmtId="0" fontId="12" fillId="0" borderId="2993" applyNumberFormat="0" applyFill="0" applyBorder="0" applyAlignment="0" applyProtection="0"/>
    <xf numFmtId="222" fontId="79" fillId="0" borderId="2980" applyBorder="0"/>
    <xf numFmtId="0" fontId="101" fillId="0" borderId="3023" applyBorder="0"/>
    <xf numFmtId="10" fontId="12" fillId="3" borderId="3006" applyNumberFormat="0" applyFont="0" applyFill="0" applyBorder="0" applyAlignment="0">
      <protection locked="0"/>
    </xf>
    <xf numFmtId="248" fontId="46" fillId="0" borderId="3023"/>
    <xf numFmtId="10" fontId="12" fillId="3" borderId="3006" applyNumberFormat="0" applyFont="0" applyFill="0" applyBorder="0" applyAlignment="0">
      <protection locked="0"/>
    </xf>
    <xf numFmtId="10" fontId="12" fillId="3" borderId="3006" applyNumberFormat="0" applyFont="0" applyFill="0" applyBorder="0" applyAlignment="0">
      <protection locked="0"/>
    </xf>
    <xf numFmtId="246" fontId="250" fillId="0" borderId="3023" applyFill="0" applyProtection="0">
      <alignment horizontal="center"/>
    </xf>
    <xf numFmtId="246" fontId="249" fillId="0" borderId="3023" applyFill="0" applyProtection="0">
      <alignment horizontal="center"/>
    </xf>
    <xf numFmtId="0" fontId="241" fillId="94" borderId="3023" applyBorder="0" applyProtection="0">
      <alignment horizontal="centerContinuous" vertical="center"/>
    </xf>
    <xf numFmtId="254" fontId="240" fillId="0" borderId="3023" applyBorder="0" applyProtection="0">
      <alignment horizontal="right" vertical="center"/>
    </xf>
    <xf numFmtId="0" fontId="210" fillId="0" borderId="3023" applyNumberFormat="0" applyFill="0" applyBorder="0" applyAlignment="0">
      <protection locked="0"/>
    </xf>
    <xf numFmtId="188" fontId="25" fillId="0" borderId="3009" applyFont="0" applyFill="0" applyBorder="0" applyAlignment="0" applyProtection="0">
      <alignment horizontal="center"/>
    </xf>
    <xf numFmtId="264" fontId="12" fillId="14" borderId="3023" applyFont="0" applyFill="0" applyBorder="0" applyAlignment="0" applyProtection="0">
      <alignment horizontal="right"/>
    </xf>
    <xf numFmtId="0" fontId="166" fillId="0" borderId="3023">
      <alignment horizontal="center"/>
    </xf>
    <xf numFmtId="0" fontId="165" fillId="0" borderId="3023" applyFill="0" applyProtection="0">
      <alignment horizontal="center"/>
    </xf>
    <xf numFmtId="186" fontId="146" fillId="3" borderId="3023" applyBorder="0">
      <alignment horizontal="left" vertical="center"/>
    </xf>
    <xf numFmtId="180" fontId="9" fillId="3" borderId="3023">
      <alignment horizontal="right" vertical="center"/>
    </xf>
    <xf numFmtId="192" fontId="9" fillId="3" borderId="3023">
      <alignment horizontal="right" vertical="center"/>
    </xf>
    <xf numFmtId="248" fontId="46" fillId="0" borderId="3023"/>
    <xf numFmtId="0" fontId="12" fillId="0" borderId="3023" applyNumberFormat="0" applyFill="0" applyBorder="0" applyAlignment="0" applyProtection="0">
      <alignment horizontal="center"/>
    </xf>
    <xf numFmtId="0" fontId="113" fillId="0" borderId="3023" applyNumberFormat="0" applyFill="0" applyAlignment="0" applyProtection="0"/>
    <xf numFmtId="222" fontId="79" fillId="0" borderId="2980" applyBorder="0"/>
    <xf numFmtId="0" fontId="101" fillId="0" borderId="3023" applyBorder="0"/>
    <xf numFmtId="10" fontId="12" fillId="3" borderId="3006" applyNumberFormat="0" applyFont="0" applyFill="0" applyBorder="0" applyAlignment="0">
      <protection locked="0"/>
    </xf>
    <xf numFmtId="246" fontId="250" fillId="0" borderId="3183" applyFill="0" applyProtection="0">
      <alignment horizontal="center"/>
    </xf>
    <xf numFmtId="0" fontId="166" fillId="0" borderId="3255">
      <alignment horizontal="center"/>
    </xf>
    <xf numFmtId="222" fontId="79" fillId="0" borderId="3073" applyBorder="0"/>
    <xf numFmtId="222" fontId="79" fillId="0" borderId="3086" applyBorder="0"/>
    <xf numFmtId="0" fontId="101" fillId="0" borderId="3087" applyBorder="0"/>
    <xf numFmtId="222" fontId="79" fillId="0" borderId="3086" applyBorder="0"/>
    <xf numFmtId="0" fontId="113" fillId="0" borderId="3087" applyNumberFormat="0" applyFill="0" applyAlignment="0" applyProtection="0"/>
    <xf numFmtId="0" fontId="12" fillId="0" borderId="3087" applyNumberFormat="0" applyFill="0" applyBorder="0" applyAlignment="0" applyProtection="0">
      <alignment horizontal="center"/>
    </xf>
    <xf numFmtId="248" fontId="46" fillId="0" borderId="3087"/>
    <xf numFmtId="192" fontId="9" fillId="3" borderId="3087">
      <alignment horizontal="right" vertical="center"/>
    </xf>
    <xf numFmtId="180" fontId="9" fillId="3" borderId="3087">
      <alignment horizontal="right" vertical="center"/>
    </xf>
    <xf numFmtId="186" fontId="146" fillId="3" borderId="3087" applyBorder="0">
      <alignment horizontal="left" vertical="center"/>
    </xf>
    <xf numFmtId="0" fontId="165" fillId="0" borderId="3087" applyFill="0" applyProtection="0">
      <alignment horizontal="center"/>
    </xf>
    <xf numFmtId="0" fontId="166" fillId="0" borderId="3087">
      <alignment horizontal="center"/>
    </xf>
    <xf numFmtId="264" fontId="12" fillId="14" borderId="3087" applyFont="0" applyFill="0" applyBorder="0" applyAlignment="0" applyProtection="0">
      <alignment horizontal="right"/>
    </xf>
    <xf numFmtId="0" fontId="210" fillId="0" borderId="3087" applyNumberFormat="0" applyFill="0" applyBorder="0" applyAlignment="0">
      <protection locked="0"/>
    </xf>
    <xf numFmtId="254" fontId="240" fillId="0" borderId="3087" applyBorder="0" applyProtection="0">
      <alignment horizontal="right" vertical="center"/>
    </xf>
    <xf numFmtId="0" fontId="241" fillId="94" borderId="3087" applyBorder="0" applyProtection="0">
      <alignment horizontal="centerContinuous" vertical="center"/>
    </xf>
    <xf numFmtId="246" fontId="249" fillId="0" borderId="3087" applyFill="0" applyProtection="0">
      <alignment horizontal="center"/>
    </xf>
    <xf numFmtId="246" fontId="250" fillId="0" borderId="3087" applyFill="0" applyProtection="0">
      <alignment horizontal="center"/>
    </xf>
    <xf numFmtId="0" fontId="78" fillId="14" borderId="3089" applyFont="0" applyFill="0" applyBorder="0" applyAlignment="0" applyProtection="0"/>
    <xf numFmtId="0" fontId="25" fillId="10" borderId="3097" applyNumberFormat="0" applyProtection="0">
      <alignment horizontal="left" vertical="top"/>
    </xf>
    <xf numFmtId="0" fontId="25" fillId="10" borderId="3096" applyNumberFormat="0" applyProtection="0">
      <alignment horizontal="left" vertical="top"/>
    </xf>
    <xf numFmtId="0" fontId="25" fillId="10" borderId="3095" applyNumberFormat="0" applyProtection="0">
      <alignment horizontal="left" vertical="top"/>
    </xf>
    <xf numFmtId="0" fontId="25" fillId="10" borderId="3094" applyNumberFormat="0" applyProtection="0">
      <alignment horizontal="left" vertical="top"/>
    </xf>
    <xf numFmtId="0" fontId="214" fillId="0" borderId="3093" applyNumberFormat="0" applyFont="0" applyFill="0" applyAlignment="0" applyProtection="0"/>
    <xf numFmtId="0" fontId="2" fillId="0" borderId="3092" applyNumberFormat="0" applyAlignment="0" applyProtection="0"/>
    <xf numFmtId="186" fontId="140" fillId="3" borderId="3091">
      <alignment horizontal="center" vertical="center"/>
    </xf>
    <xf numFmtId="186" fontId="146" fillId="3" borderId="3090">
      <alignment horizontal="left"/>
    </xf>
    <xf numFmtId="0" fontId="75" fillId="0" borderId="3088" applyNumberFormat="0" applyFont="0" applyFill="0" applyAlignment="0" applyProtection="0"/>
    <xf numFmtId="222" fontId="79" fillId="0" borderId="3098" applyBorder="0"/>
    <xf numFmtId="0" fontId="101" fillId="0" borderId="3099" applyBorder="0"/>
    <xf numFmtId="222" fontId="79" fillId="0" borderId="3098" applyBorder="0"/>
    <xf numFmtId="0" fontId="113" fillId="0" borderId="3099" applyNumberFormat="0" applyFill="0" applyAlignment="0" applyProtection="0"/>
    <xf numFmtId="0" fontId="12" fillId="0" borderId="3099" applyNumberFormat="0" applyFill="0" applyBorder="0" applyAlignment="0" applyProtection="0">
      <alignment horizontal="center"/>
    </xf>
    <xf numFmtId="248" fontId="46" fillId="0" borderId="3099"/>
    <xf numFmtId="192" fontId="9" fillId="3" borderId="3099">
      <alignment horizontal="right" vertical="center"/>
    </xf>
    <xf numFmtId="180" fontId="9" fillId="3" borderId="3099">
      <alignment horizontal="right" vertical="center"/>
    </xf>
    <xf numFmtId="186" fontId="146" fillId="3" borderId="3099" applyBorder="0">
      <alignment horizontal="left" vertical="center"/>
    </xf>
    <xf numFmtId="0" fontId="165" fillId="0" borderId="3099" applyFill="0" applyProtection="0">
      <alignment horizontal="center"/>
    </xf>
    <xf numFmtId="0" fontId="166" fillId="0" borderId="3099">
      <alignment horizontal="center"/>
    </xf>
    <xf numFmtId="264" fontId="12" fillId="14" borderId="3099" applyFont="0" applyFill="0" applyBorder="0" applyAlignment="0" applyProtection="0">
      <alignment horizontal="right"/>
    </xf>
    <xf numFmtId="0" fontId="210" fillId="0" borderId="3099" applyNumberFormat="0" applyFill="0" applyBorder="0" applyAlignment="0">
      <protection locked="0"/>
    </xf>
    <xf numFmtId="254" fontId="240" fillId="0" borderId="3099" applyBorder="0" applyProtection="0">
      <alignment horizontal="right" vertical="center"/>
    </xf>
    <xf numFmtId="0" fontId="241" fillId="94" borderId="3099" applyBorder="0" applyProtection="0">
      <alignment horizontal="centerContinuous" vertical="center"/>
    </xf>
    <xf numFmtId="246" fontId="249" fillId="0" borderId="3099" applyFill="0" applyProtection="0">
      <alignment horizontal="center"/>
    </xf>
    <xf numFmtId="246" fontId="250" fillId="0" borderId="3099" applyFill="0" applyProtection="0">
      <alignment horizontal="center"/>
    </xf>
    <xf numFmtId="186" fontId="146" fillId="3" borderId="3102">
      <alignment horizontal="left"/>
    </xf>
    <xf numFmtId="0" fontId="75" fillId="0" borderId="3100" applyNumberFormat="0" applyFont="0" applyFill="0" applyAlignment="0" applyProtection="0"/>
    <xf numFmtId="0" fontId="113" fillId="0" borderId="3183" applyNumberFormat="0" applyFill="0" applyAlignment="0" applyProtection="0"/>
    <xf numFmtId="264" fontId="12" fillId="14" borderId="3183" applyFont="0" applyFill="0" applyBorder="0" applyAlignment="0" applyProtection="0">
      <alignment horizontal="right"/>
    </xf>
    <xf numFmtId="246" fontId="249" fillId="0" borderId="3183" applyFill="0" applyProtection="0">
      <alignment horizontal="center"/>
    </xf>
    <xf numFmtId="0" fontId="25" fillId="10" borderId="3109" applyNumberFormat="0" applyProtection="0">
      <alignment horizontal="left" vertical="top"/>
    </xf>
    <xf numFmtId="0" fontId="25" fillId="10" borderId="3107" applyNumberFormat="0" applyProtection="0">
      <alignment horizontal="left" vertical="top"/>
    </xf>
    <xf numFmtId="0" fontId="25" fillId="10" borderId="3108" applyNumberFormat="0" applyProtection="0">
      <alignment horizontal="left" vertical="top"/>
    </xf>
    <xf numFmtId="0" fontId="25" fillId="10" borderId="3106" applyNumberFormat="0" applyProtection="0">
      <alignment horizontal="left" vertical="top"/>
    </xf>
    <xf numFmtId="0" fontId="25" fillId="10" borderId="3109" applyNumberFormat="0" applyProtection="0">
      <alignment horizontal="left" vertical="top"/>
    </xf>
    <xf numFmtId="0" fontId="25" fillId="10" borderId="3108" applyNumberFormat="0" applyProtection="0">
      <alignment horizontal="left" vertical="top"/>
    </xf>
    <xf numFmtId="0" fontId="25" fillId="10" borderId="3107" applyNumberFormat="0" applyProtection="0">
      <alignment horizontal="left" vertical="top"/>
    </xf>
    <xf numFmtId="0" fontId="25" fillId="10" borderId="3106" applyNumberFormat="0" applyProtection="0">
      <alignment horizontal="left" vertical="top"/>
    </xf>
    <xf numFmtId="0" fontId="214" fillId="0" borderId="3105" applyNumberFormat="0" applyFont="0" applyFill="0" applyAlignment="0" applyProtection="0"/>
    <xf numFmtId="0" fontId="2" fillId="0" borderId="3104" applyNumberFormat="0" applyAlignment="0" applyProtection="0"/>
    <xf numFmtId="186" fontId="140" fillId="3" borderId="3103">
      <alignment horizontal="center" vertical="center"/>
    </xf>
    <xf numFmtId="186" fontId="140" fillId="3" borderId="3115">
      <alignment horizontal="center" vertical="center"/>
    </xf>
    <xf numFmtId="0" fontId="25" fillId="10" borderId="3118" applyNumberFormat="0" applyProtection="0">
      <alignment horizontal="left" vertical="top"/>
    </xf>
    <xf numFmtId="0" fontId="12" fillId="0" borderId="3183" applyNumberFormat="0" applyFill="0" applyBorder="0" applyAlignment="0" applyProtection="0">
      <alignment horizontal="center"/>
    </xf>
    <xf numFmtId="0" fontId="25" fillId="10" borderId="3180" applyNumberFormat="0" applyProtection="0">
      <alignment horizontal="left" vertical="top"/>
    </xf>
    <xf numFmtId="222" fontId="79" fillId="0" borderId="3170" applyBorder="0"/>
    <xf numFmtId="0" fontId="78" fillId="14" borderId="3173" applyFont="0" applyFill="0" applyBorder="0" applyAlignment="0" applyProtection="0"/>
    <xf numFmtId="222" fontId="79" fillId="0" borderId="3182" applyBorder="0"/>
    <xf numFmtId="0" fontId="101" fillId="0" borderId="3183" applyBorder="0"/>
    <xf numFmtId="222" fontId="79" fillId="0" borderId="3182" applyBorder="0"/>
    <xf numFmtId="248" fontId="46" fillId="0" borderId="3183"/>
    <xf numFmtId="192" fontId="9" fillId="3" borderId="3183">
      <alignment horizontal="right" vertical="center"/>
    </xf>
    <xf numFmtId="180" fontId="9" fillId="3" borderId="3183">
      <alignment horizontal="right" vertical="center"/>
    </xf>
    <xf numFmtId="186" fontId="146" fillId="3" borderId="3183" applyBorder="0">
      <alignment horizontal="left" vertical="center"/>
    </xf>
    <xf numFmtId="0" fontId="165" fillId="0" borderId="3183" applyFill="0" applyProtection="0">
      <alignment horizontal="center"/>
    </xf>
    <xf numFmtId="0" fontId="210" fillId="0" borderId="3183" applyNumberFormat="0" applyFill="0" applyBorder="0" applyAlignment="0">
      <protection locked="0"/>
    </xf>
    <xf numFmtId="254" fontId="240" fillId="0" borderId="3183" applyBorder="0" applyProtection="0">
      <alignment horizontal="right" vertical="center"/>
    </xf>
    <xf numFmtId="246" fontId="250" fillId="0" borderId="3183" applyFill="0" applyProtection="0">
      <alignment horizontal="center"/>
    </xf>
    <xf numFmtId="222" fontId="79" fillId="0" borderId="3122" applyBorder="0"/>
    <xf numFmtId="0" fontId="25" fillId="10" borderId="3119" applyNumberFormat="0" applyProtection="0">
      <alignment horizontal="left" vertical="top"/>
    </xf>
    <xf numFmtId="0" fontId="25" fillId="10" borderId="3121" applyNumberFormat="0" applyProtection="0">
      <alignment horizontal="left" vertical="top"/>
    </xf>
    <xf numFmtId="0" fontId="25" fillId="10" borderId="3118" applyNumberFormat="0" applyProtection="0">
      <alignment horizontal="left" vertical="top"/>
    </xf>
    <xf numFmtId="0" fontId="25" fillId="10" borderId="3119" applyNumberFormat="0" applyProtection="0">
      <alignment horizontal="left" vertical="top"/>
    </xf>
    <xf numFmtId="0" fontId="25" fillId="10" borderId="3120" applyNumberFormat="0" applyProtection="0">
      <alignment horizontal="left" vertical="top"/>
    </xf>
    <xf numFmtId="0" fontId="75" fillId="0" borderId="3124" applyNumberFormat="0" applyFont="0" applyFill="0" applyAlignment="0" applyProtection="0"/>
    <xf numFmtId="0" fontId="101" fillId="0" borderId="3135" applyBorder="0"/>
    <xf numFmtId="222" fontId="79" fillId="0" borderId="3134" applyBorder="0"/>
    <xf numFmtId="0" fontId="113" fillId="0" borderId="3135" applyNumberFormat="0" applyFill="0" applyAlignment="0" applyProtection="0"/>
    <xf numFmtId="0" fontId="12" fillId="0" borderId="3135" applyNumberFormat="0" applyFill="0" applyBorder="0" applyAlignment="0" applyProtection="0">
      <alignment horizontal="center"/>
    </xf>
    <xf numFmtId="248" fontId="46" fillId="0" borderId="3135"/>
    <xf numFmtId="192" fontId="9" fillId="3" borderId="3135">
      <alignment horizontal="right" vertical="center"/>
    </xf>
    <xf numFmtId="180" fontId="9" fillId="3" borderId="3135">
      <alignment horizontal="right" vertical="center"/>
    </xf>
    <xf numFmtId="186" fontId="146" fillId="3" borderId="3135" applyBorder="0">
      <alignment horizontal="left" vertical="center"/>
    </xf>
    <xf numFmtId="0" fontId="166" fillId="0" borderId="3135">
      <alignment horizontal="center"/>
    </xf>
    <xf numFmtId="0" fontId="210" fillId="0" borderId="3135" applyNumberFormat="0" applyFill="0" applyBorder="0" applyAlignment="0">
      <protection locked="0"/>
    </xf>
    <xf numFmtId="264" fontId="12" fillId="14" borderId="3135" applyFont="0" applyFill="0" applyBorder="0" applyAlignment="0" applyProtection="0">
      <alignment horizontal="right"/>
    </xf>
    <xf numFmtId="246" fontId="249" fillId="0" borderId="3135" applyFill="0" applyProtection="0">
      <alignment horizontal="center"/>
    </xf>
    <xf numFmtId="246" fontId="250" fillId="0" borderId="3135" applyFill="0" applyProtection="0">
      <alignment horizontal="center"/>
    </xf>
    <xf numFmtId="246" fontId="250" fillId="0" borderId="3159" applyFill="0" applyProtection="0">
      <alignment horizontal="center"/>
    </xf>
    <xf numFmtId="246" fontId="249" fillId="0" borderId="3159" applyFill="0" applyProtection="0">
      <alignment horizontal="center"/>
    </xf>
    <xf numFmtId="254" fontId="240" fillId="0" borderId="3159" applyBorder="0" applyProtection="0">
      <alignment horizontal="right" vertical="center"/>
    </xf>
    <xf numFmtId="264" fontId="12" fillId="14" borderId="3159" applyFont="0" applyFill="0" applyBorder="0" applyAlignment="0" applyProtection="0">
      <alignment horizontal="right"/>
    </xf>
    <xf numFmtId="0" fontId="165" fillId="0" borderId="3159" applyFill="0" applyProtection="0">
      <alignment horizontal="center"/>
    </xf>
    <xf numFmtId="180" fontId="9" fillId="3" borderId="3159">
      <alignment horizontal="right" vertical="center"/>
    </xf>
    <xf numFmtId="0" fontId="12" fillId="0" borderId="3159" applyNumberFormat="0" applyFill="0" applyBorder="0" applyAlignment="0" applyProtection="0">
      <alignment horizontal="center"/>
    </xf>
    <xf numFmtId="0" fontId="101" fillId="0" borderId="3159" applyBorder="0"/>
    <xf numFmtId="222" fontId="79" fillId="0" borderId="3158" applyBorder="0"/>
    <xf numFmtId="0" fontId="75" fillId="0" borderId="3148" applyNumberFormat="0" applyFont="0" applyFill="0" applyAlignment="0" applyProtection="0"/>
    <xf numFmtId="0" fontId="2" fillId="0" borderId="3152" applyNumberFormat="0" applyAlignment="0" applyProtection="0"/>
    <xf numFmtId="0" fontId="25" fillId="10" borderId="3154" applyNumberFormat="0" applyProtection="0">
      <alignment horizontal="left" vertical="top"/>
    </xf>
    <xf numFmtId="0" fontId="25" fillId="10" borderId="3157" applyNumberFormat="0" applyProtection="0">
      <alignment horizontal="left" vertical="top"/>
    </xf>
    <xf numFmtId="222" fontId="79" fillId="0" borderId="3146" applyBorder="0"/>
    <xf numFmtId="0" fontId="25" fillId="10" borderId="3132" applyNumberFormat="0" applyProtection="0">
      <alignment horizontal="left" vertical="top"/>
    </xf>
    <xf numFmtId="0" fontId="25" fillId="10" borderId="3130" applyNumberFormat="0" applyProtection="0">
      <alignment horizontal="left" vertical="top"/>
    </xf>
    <xf numFmtId="0" fontId="214" fillId="0" borderId="3129" applyNumberFormat="0" applyFont="0" applyFill="0" applyAlignment="0" applyProtection="0"/>
    <xf numFmtId="186" fontId="146" fillId="3" borderId="3126">
      <alignment horizontal="left"/>
    </xf>
    <xf numFmtId="222" fontId="79" fillId="0" borderId="3134" applyBorder="0"/>
    <xf numFmtId="0" fontId="101" fillId="0" borderId="3023" applyBorder="0"/>
    <xf numFmtId="0" fontId="113" fillId="0" borderId="3023" applyNumberFormat="0" applyFill="0" applyAlignment="0" applyProtection="0"/>
    <xf numFmtId="0" fontId="12" fillId="0" borderId="3023" applyNumberFormat="0" applyFill="0" applyBorder="0" applyAlignment="0" applyProtection="0">
      <alignment horizontal="center"/>
    </xf>
    <xf numFmtId="248" fontId="46" fillId="0" borderId="3023"/>
    <xf numFmtId="192" fontId="9" fillId="3" borderId="3023">
      <alignment horizontal="right" vertical="center"/>
    </xf>
    <xf numFmtId="180" fontId="9" fillId="3" borderId="3023">
      <alignment horizontal="right" vertical="center"/>
    </xf>
    <xf numFmtId="186" fontId="146" fillId="3" borderId="3023" applyBorder="0">
      <alignment horizontal="left" vertical="center"/>
    </xf>
    <xf numFmtId="0" fontId="165" fillId="0" borderId="3023" applyFill="0" applyProtection="0">
      <alignment horizontal="center"/>
    </xf>
    <xf numFmtId="0" fontId="166" fillId="0" borderId="3023">
      <alignment horizontal="center"/>
    </xf>
    <xf numFmtId="264" fontId="12" fillId="14" borderId="3023" applyFont="0" applyFill="0" applyBorder="0" applyAlignment="0" applyProtection="0">
      <alignment horizontal="right"/>
    </xf>
    <xf numFmtId="0" fontId="210" fillId="0" borderId="3023" applyNumberFormat="0" applyFill="0" applyBorder="0" applyAlignment="0">
      <protection locked="0"/>
    </xf>
    <xf numFmtId="248" fontId="46" fillId="0" borderId="3159"/>
    <xf numFmtId="222" fontId="79" fillId="0" borderId="3158" applyBorder="0"/>
    <xf numFmtId="186" fontId="140" fillId="3" borderId="3151">
      <alignment horizontal="center" vertical="center"/>
    </xf>
    <xf numFmtId="0" fontId="25" fillId="10" borderId="3156" applyNumberFormat="0" applyProtection="0">
      <alignment horizontal="left" vertical="top"/>
    </xf>
    <xf numFmtId="0" fontId="210" fillId="0" borderId="3159" applyNumberFormat="0" applyFill="0" applyBorder="0" applyAlignment="0">
      <protection locked="0"/>
    </xf>
    <xf numFmtId="192" fontId="9" fillId="3" borderId="3159">
      <alignment horizontal="right" vertical="center"/>
    </xf>
    <xf numFmtId="0" fontId="113" fillId="0" borderId="3159" applyNumberFormat="0" applyFill="0" applyAlignment="0" applyProtection="0"/>
    <xf numFmtId="186" fontId="146" fillId="3" borderId="3150">
      <alignment horizontal="left"/>
    </xf>
    <xf numFmtId="0" fontId="25" fillId="10" borderId="3155" applyNumberFormat="0" applyProtection="0">
      <alignment horizontal="left" vertical="top"/>
    </xf>
    <xf numFmtId="254" fontId="240" fillId="0" borderId="3023" applyBorder="0" applyProtection="0">
      <alignment horizontal="right" vertical="center"/>
    </xf>
    <xf numFmtId="0" fontId="241" fillId="94" borderId="3023" applyBorder="0" applyProtection="0">
      <alignment horizontal="centerContinuous" vertical="center"/>
    </xf>
    <xf numFmtId="246" fontId="249" fillId="0" borderId="3023" applyFill="0" applyProtection="0">
      <alignment horizontal="center"/>
    </xf>
    <xf numFmtId="246" fontId="250" fillId="0" borderId="3023" applyFill="0" applyProtection="0">
      <alignment horizontal="center"/>
    </xf>
    <xf numFmtId="0" fontId="25" fillId="10" borderId="3179" applyNumberFormat="0" applyProtection="0">
      <alignment horizontal="left" vertical="top"/>
    </xf>
    <xf numFmtId="0" fontId="25" fillId="10" borderId="3181" applyNumberFormat="0" applyProtection="0">
      <alignment horizontal="left" vertical="top"/>
    </xf>
    <xf numFmtId="222" fontId="79" fillId="0" borderId="3110" applyBorder="0"/>
    <xf numFmtId="0" fontId="214" fillId="0" borderId="3177" applyNumberFormat="0" applyFont="0" applyFill="0" applyAlignment="0" applyProtection="0"/>
    <xf numFmtId="0" fontId="75" fillId="0" borderId="3112" applyNumberFormat="0" applyFont="0" applyFill="0" applyAlignment="0" applyProtection="0"/>
    <xf numFmtId="0" fontId="25" fillId="10" borderId="3120" applyNumberFormat="0" applyProtection="0">
      <alignment horizontal="left" vertical="top"/>
    </xf>
    <xf numFmtId="0" fontId="25" fillId="10" borderId="3121" applyNumberFormat="0" applyProtection="0">
      <alignment horizontal="left" vertical="top"/>
    </xf>
    <xf numFmtId="0" fontId="165" fillId="0" borderId="3135" applyFill="0" applyProtection="0">
      <alignment horizontal="center"/>
    </xf>
    <xf numFmtId="254" fontId="240" fillId="0" borderId="3135" applyBorder="0" applyProtection="0">
      <alignment horizontal="right" vertical="center"/>
    </xf>
    <xf numFmtId="0" fontId="241" fillId="94" borderId="3135" applyBorder="0" applyProtection="0">
      <alignment horizontal="centerContinuous" vertical="center"/>
    </xf>
    <xf numFmtId="0" fontId="241" fillId="94" borderId="3159" applyBorder="0" applyProtection="0">
      <alignment horizontal="centerContinuous" vertical="center"/>
    </xf>
    <xf numFmtId="0" fontId="166" fillId="0" borderId="3159">
      <alignment horizontal="center"/>
    </xf>
    <xf numFmtId="186" fontId="146" fillId="3" borderId="3159" applyBorder="0">
      <alignment horizontal="left" vertical="center"/>
    </xf>
    <xf numFmtId="0" fontId="214" fillId="0" borderId="3153" applyNumberFormat="0" applyFont="0" applyFill="0" applyAlignment="0" applyProtection="0"/>
    <xf numFmtId="0" fontId="78" fillId="14" borderId="3149" applyFont="0" applyFill="0" applyBorder="0" applyAlignment="0" applyProtection="0"/>
    <xf numFmtId="0" fontId="78" fillId="14" borderId="3076" applyFont="0" applyFill="0" applyBorder="0" applyAlignment="0" applyProtection="0"/>
    <xf numFmtId="0" fontId="25" fillId="10" borderId="2979" applyNumberFormat="0" applyProtection="0">
      <alignment horizontal="left" vertical="top"/>
    </xf>
    <xf numFmtId="0" fontId="25" fillId="10" borderId="2978" applyNumberFormat="0" applyProtection="0">
      <alignment horizontal="left" vertical="top"/>
    </xf>
    <xf numFmtId="0" fontId="25" fillId="10" borderId="2977" applyNumberFormat="0" applyProtection="0">
      <alignment horizontal="left" vertical="top"/>
    </xf>
    <xf numFmtId="0" fontId="25" fillId="10" borderId="2976" applyNumberFormat="0" applyProtection="0">
      <alignment horizontal="left" vertical="top"/>
    </xf>
    <xf numFmtId="186" fontId="140" fillId="3" borderId="3175">
      <alignment horizontal="center" vertical="center"/>
    </xf>
    <xf numFmtId="0" fontId="214" fillId="0" borderId="2975" applyNumberFormat="0" applyFont="0" applyFill="0" applyAlignment="0" applyProtection="0"/>
    <xf numFmtId="186" fontId="140" fillId="3" borderId="2949">
      <alignment horizontal="center" vertical="center"/>
    </xf>
    <xf numFmtId="186" fontId="146" fillId="3" borderId="2875">
      <alignment horizontal="left"/>
    </xf>
    <xf numFmtId="186" fontId="146" fillId="3" borderId="3174">
      <alignment horizontal="left"/>
    </xf>
    <xf numFmtId="0" fontId="75" fillId="0" borderId="2873" applyNumberFormat="0" applyFont="0" applyFill="0" applyAlignment="0" applyProtection="0"/>
    <xf numFmtId="0" fontId="75" fillId="0" borderId="3172" applyNumberFormat="0" applyFont="0" applyFill="0" applyAlignment="0" applyProtection="0"/>
    <xf numFmtId="222" fontId="79" fillId="0" borderId="3086" applyBorder="0"/>
    <xf numFmtId="222" fontId="79" fillId="0" borderId="3086" applyBorder="0"/>
    <xf numFmtId="0" fontId="25" fillId="10" borderId="3178" applyNumberFormat="0" applyProtection="0">
      <alignment horizontal="left" vertical="top"/>
    </xf>
    <xf numFmtId="0" fontId="2" fillId="0" borderId="3176" applyNumberFormat="0" applyAlignment="0" applyProtection="0"/>
    <xf numFmtId="246" fontId="250" fillId="0" borderId="3111" applyFill="0" applyProtection="0">
      <alignment horizontal="center"/>
    </xf>
    <xf numFmtId="246" fontId="249" fillId="0" borderId="3111" applyFill="0" applyProtection="0">
      <alignment horizontal="center"/>
    </xf>
    <xf numFmtId="0" fontId="241" fillId="94" borderId="3111" applyBorder="0" applyProtection="0">
      <alignment horizontal="centerContinuous" vertical="center"/>
    </xf>
    <xf numFmtId="254" fontId="240" fillId="0" borderId="3111" applyBorder="0" applyProtection="0">
      <alignment horizontal="right" vertical="center"/>
    </xf>
    <xf numFmtId="0" fontId="210" fillId="0" borderId="3111" applyNumberFormat="0" applyFill="0" applyBorder="0" applyAlignment="0">
      <protection locked="0"/>
    </xf>
    <xf numFmtId="264" fontId="12" fillId="14" borderId="3111" applyFont="0" applyFill="0" applyBorder="0" applyAlignment="0" applyProtection="0">
      <alignment horizontal="right"/>
    </xf>
    <xf numFmtId="0" fontId="166" fillId="0" borderId="3111">
      <alignment horizontal="center"/>
    </xf>
    <xf numFmtId="0" fontId="165" fillId="0" borderId="3111" applyFill="0" applyProtection="0">
      <alignment horizontal="center"/>
    </xf>
    <xf numFmtId="186" fontId="146" fillId="3" borderId="3111" applyBorder="0">
      <alignment horizontal="left" vertical="center"/>
    </xf>
    <xf numFmtId="180" fontId="9" fillId="3" borderId="3111">
      <alignment horizontal="right" vertical="center"/>
    </xf>
    <xf numFmtId="192" fontId="9" fillId="3" borderId="3111">
      <alignment horizontal="right" vertical="center"/>
    </xf>
    <xf numFmtId="248" fontId="46" fillId="0" borderId="3111"/>
    <xf numFmtId="0" fontId="12" fillId="0" borderId="3111" applyNumberFormat="0" applyFill="0" applyBorder="0" applyAlignment="0" applyProtection="0">
      <alignment horizontal="center"/>
    </xf>
    <xf numFmtId="0" fontId="113" fillId="0" borderId="3111" applyNumberFormat="0" applyFill="0" applyAlignment="0" applyProtection="0"/>
    <xf numFmtId="222" fontId="79" fillId="0" borderId="3110" applyBorder="0"/>
    <xf numFmtId="0" fontId="101" fillId="0" borderId="3111" applyBorder="0"/>
    <xf numFmtId="222" fontId="79" fillId="0" borderId="3110" applyBorder="0"/>
    <xf numFmtId="0" fontId="75" fillId="0" borderId="3100" applyNumberFormat="0" applyFont="0" applyFill="0" applyAlignment="0" applyProtection="0"/>
    <xf numFmtId="186" fontId="146" fillId="3" borderId="3102">
      <alignment horizontal="left"/>
    </xf>
    <xf numFmtId="186" fontId="140" fillId="3" borderId="3103">
      <alignment horizontal="center" vertical="center"/>
    </xf>
    <xf numFmtId="0" fontId="2" fillId="0" borderId="3104" applyNumberFormat="0" applyAlignment="0" applyProtection="0"/>
    <xf numFmtId="0" fontId="214" fillId="0" borderId="3105" applyNumberFormat="0" applyFont="0" applyFill="0" applyAlignment="0" applyProtection="0"/>
    <xf numFmtId="0" fontId="25" fillId="10" borderId="3106" applyNumberFormat="0" applyProtection="0">
      <alignment horizontal="left" vertical="top"/>
    </xf>
    <xf numFmtId="0" fontId="25" fillId="10" borderId="3107" applyNumberFormat="0" applyProtection="0">
      <alignment horizontal="left" vertical="top"/>
    </xf>
    <xf numFmtId="0" fontId="25" fillId="10" borderId="3108" applyNumberFormat="0" applyProtection="0">
      <alignment horizontal="left" vertical="top"/>
    </xf>
    <xf numFmtId="0" fontId="25" fillId="10" borderId="3109" applyNumberFormat="0" applyProtection="0">
      <alignment horizontal="left" vertical="top"/>
    </xf>
    <xf numFmtId="0" fontId="78" fillId="14" borderId="3101" applyFont="0" applyFill="0" applyBorder="0" applyAlignment="0" applyProtection="0"/>
    <xf numFmtId="222" fontId="79" fillId="0" borderId="3098" applyBorder="0"/>
    <xf numFmtId="0" fontId="78" fillId="14" borderId="3076" applyFont="0" applyFill="0" applyBorder="0" applyAlignment="0" applyProtection="0"/>
    <xf numFmtId="222" fontId="79" fillId="0" borderId="3086" applyBorder="0"/>
    <xf numFmtId="0" fontId="78" fillId="14" borderId="3089" applyFont="0" applyFill="0" applyBorder="0" applyAlignment="0" applyProtection="0"/>
    <xf numFmtId="0" fontId="25" fillId="10" borderId="3097" applyNumberFormat="0" applyProtection="0">
      <alignment horizontal="left" vertical="top"/>
    </xf>
    <xf numFmtId="0" fontId="25" fillId="10" borderId="3096" applyNumberFormat="0" applyProtection="0">
      <alignment horizontal="left" vertical="top"/>
    </xf>
    <xf numFmtId="0" fontId="25" fillId="10" borderId="3095" applyNumberFormat="0" applyProtection="0">
      <alignment horizontal="left" vertical="top"/>
    </xf>
    <xf numFmtId="0" fontId="25" fillId="10" borderId="3094" applyNumberFormat="0" applyProtection="0">
      <alignment horizontal="left" vertical="top"/>
    </xf>
    <xf numFmtId="0" fontId="214" fillId="0" borderId="3093" applyNumberFormat="0" applyFont="0" applyFill="0" applyAlignment="0" applyProtection="0"/>
    <xf numFmtId="186" fontId="140" fillId="3" borderId="3091">
      <alignment horizontal="center" vertical="center"/>
    </xf>
    <xf numFmtId="186" fontId="146" fillId="3" borderId="3090">
      <alignment horizontal="left"/>
    </xf>
    <xf numFmtId="0" fontId="75" fillId="0" borderId="3088" applyNumberFormat="0" applyFont="0" applyFill="0" applyAlignment="0" applyProtection="0"/>
    <xf numFmtId="222" fontId="79" fillId="0" borderId="3098" applyBorder="0"/>
    <xf numFmtId="0" fontId="101" fillId="0" borderId="3099" applyBorder="0"/>
    <xf numFmtId="222" fontId="79" fillId="0" borderId="3098" applyBorder="0"/>
    <xf numFmtId="0" fontId="113" fillId="0" borderId="3099" applyNumberFormat="0" applyFill="0" applyAlignment="0" applyProtection="0"/>
    <xf numFmtId="0" fontId="12" fillId="0" borderId="3099" applyNumberFormat="0" applyFill="0" applyBorder="0" applyAlignment="0" applyProtection="0">
      <alignment horizontal="center"/>
    </xf>
    <xf numFmtId="248" fontId="46" fillId="0" borderId="3099"/>
    <xf numFmtId="192" fontId="9" fillId="3" borderId="3099">
      <alignment horizontal="right" vertical="center"/>
    </xf>
    <xf numFmtId="180" fontId="9" fillId="3" borderId="3099">
      <alignment horizontal="right" vertical="center"/>
    </xf>
    <xf numFmtId="186" fontId="146" fillId="3" borderId="3099" applyBorder="0">
      <alignment horizontal="left" vertical="center"/>
    </xf>
    <xf numFmtId="0" fontId="165" fillId="0" borderId="3099" applyFill="0" applyProtection="0">
      <alignment horizontal="center"/>
    </xf>
    <xf numFmtId="0" fontId="166" fillId="0" borderId="3099">
      <alignment horizontal="center"/>
    </xf>
    <xf numFmtId="264" fontId="12" fillId="14" borderId="3099" applyFont="0" applyFill="0" applyBorder="0" applyAlignment="0" applyProtection="0">
      <alignment horizontal="right"/>
    </xf>
    <xf numFmtId="0" fontId="210" fillId="0" borderId="3099" applyNumberFormat="0" applyFill="0" applyBorder="0" applyAlignment="0">
      <protection locked="0"/>
    </xf>
    <xf numFmtId="254" fontId="240" fillId="0" borderId="3099" applyBorder="0" applyProtection="0">
      <alignment horizontal="right" vertical="center"/>
    </xf>
    <xf numFmtId="0" fontId="241" fillId="94" borderId="3099" applyBorder="0" applyProtection="0">
      <alignment horizontal="centerContinuous" vertical="center"/>
    </xf>
    <xf numFmtId="246" fontId="249" fillId="0" borderId="3099" applyFill="0" applyProtection="0">
      <alignment horizontal="center"/>
    </xf>
    <xf numFmtId="246" fontId="250" fillId="0" borderId="3099" applyFill="0" applyProtection="0">
      <alignment horizontal="center"/>
    </xf>
    <xf numFmtId="0" fontId="241" fillId="94" borderId="3183" applyBorder="0" applyProtection="0">
      <alignment horizontal="centerContinuous" vertical="center"/>
    </xf>
    <xf numFmtId="0" fontId="166" fillId="0" borderId="3183">
      <alignment horizontal="center"/>
    </xf>
    <xf numFmtId="0" fontId="2" fillId="0" borderId="3116" applyNumberFormat="0" applyAlignment="0" applyProtection="0"/>
    <xf numFmtId="0" fontId="214" fillId="0" borderId="3117" applyNumberFormat="0" applyFont="0" applyFill="0" applyAlignment="0" applyProtection="0"/>
    <xf numFmtId="246" fontId="250" fillId="0" borderId="3123" applyFill="0" applyProtection="0">
      <alignment horizontal="center"/>
    </xf>
    <xf numFmtId="246" fontId="249" fillId="0" borderId="3123" applyFill="0" applyProtection="0">
      <alignment horizontal="center"/>
    </xf>
    <xf numFmtId="0" fontId="241" fillId="94" borderId="3123" applyBorder="0" applyProtection="0">
      <alignment horizontal="centerContinuous" vertical="center"/>
    </xf>
    <xf numFmtId="254" fontId="240" fillId="0" borderId="3123" applyBorder="0" applyProtection="0">
      <alignment horizontal="right" vertical="center"/>
    </xf>
    <xf numFmtId="0" fontId="210" fillId="0" borderId="3123" applyNumberFormat="0" applyFill="0" applyBorder="0" applyAlignment="0">
      <protection locked="0"/>
    </xf>
    <xf numFmtId="264" fontId="12" fillId="14" borderId="3123" applyFont="0" applyFill="0" applyBorder="0" applyAlignment="0" applyProtection="0">
      <alignment horizontal="right"/>
    </xf>
    <xf numFmtId="0" fontId="166" fillId="0" borderId="3123">
      <alignment horizontal="center"/>
    </xf>
    <xf numFmtId="0" fontId="165" fillId="0" borderId="3123" applyFill="0" applyProtection="0">
      <alignment horizontal="center"/>
    </xf>
    <xf numFmtId="186" fontId="146" fillId="3" borderId="3123" applyBorder="0">
      <alignment horizontal="left" vertical="center"/>
    </xf>
    <xf numFmtId="180" fontId="9" fillId="3" borderId="3123">
      <alignment horizontal="right" vertical="center"/>
    </xf>
    <xf numFmtId="192" fontId="9" fillId="3" borderId="3123">
      <alignment horizontal="right" vertical="center"/>
    </xf>
    <xf numFmtId="248" fontId="46" fillId="0" borderId="3123"/>
    <xf numFmtId="0" fontId="12" fillId="0" borderId="3123" applyNumberFormat="0" applyFill="0" applyBorder="0" applyAlignment="0" applyProtection="0">
      <alignment horizontal="center"/>
    </xf>
    <xf numFmtId="0" fontId="113" fillId="0" borderId="3123" applyNumberFormat="0" applyFill="0" applyAlignment="0" applyProtection="0"/>
    <xf numFmtId="222" fontId="79" fillId="0" borderId="3122" applyBorder="0"/>
    <xf numFmtId="0" fontId="101" fillId="0" borderId="3123" applyBorder="0"/>
    <xf numFmtId="222" fontId="79" fillId="0" borderId="3122" applyBorder="0"/>
    <xf numFmtId="0" fontId="75" fillId="0" borderId="3112" applyNumberFormat="0" applyFont="0" applyFill="0" applyAlignment="0" applyProtection="0"/>
    <xf numFmtId="186" fontId="146" fillId="3" borderId="3114">
      <alignment horizontal="left"/>
    </xf>
    <xf numFmtId="186" fontId="140" fillId="3" borderId="3115">
      <alignment horizontal="center" vertical="center"/>
    </xf>
    <xf numFmtId="0" fontId="2" fillId="0" borderId="3116" applyNumberFormat="0" applyAlignment="0" applyProtection="0"/>
    <xf numFmtId="0" fontId="214" fillId="0" borderId="3117" applyNumberFormat="0" applyFont="0" applyFill="0" applyAlignment="0" applyProtection="0"/>
    <xf numFmtId="0" fontId="25" fillId="10" borderId="3118" applyNumberFormat="0" applyProtection="0">
      <alignment horizontal="left" vertical="top"/>
    </xf>
    <xf numFmtId="0" fontId="25" fillId="10" borderId="3119" applyNumberFormat="0" applyProtection="0">
      <alignment horizontal="left" vertical="top"/>
    </xf>
    <xf numFmtId="0" fontId="25" fillId="10" borderId="3120" applyNumberFormat="0" applyProtection="0">
      <alignment horizontal="left" vertical="top"/>
    </xf>
    <xf numFmtId="0" fontId="25" fillId="10" borderId="3121" applyNumberFormat="0" applyProtection="0">
      <alignment horizontal="left" vertical="top"/>
    </xf>
    <xf numFmtId="0" fontId="78" fillId="14" borderId="3113" applyFont="0" applyFill="0" applyBorder="0" applyAlignment="0" applyProtection="0"/>
    <xf numFmtId="222" fontId="79" fillId="0" borderId="3110" applyBorder="0"/>
    <xf numFmtId="0" fontId="78" fillId="14" borderId="3125" applyFont="0" applyFill="0" applyBorder="0" applyAlignment="0" applyProtection="0"/>
    <xf numFmtId="186" fontId="146" fillId="3" borderId="3114">
      <alignment horizontal="left"/>
    </xf>
    <xf numFmtId="0" fontId="78" fillId="14" borderId="3101" applyFont="0" applyFill="0" applyBorder="0" applyAlignment="0" applyProtection="0"/>
    <xf numFmtId="222" fontId="79" fillId="0" borderId="3110" applyBorder="0"/>
    <xf numFmtId="0" fontId="2" fillId="0" borderId="3128" applyNumberFormat="0" applyAlignment="0" applyProtection="0"/>
    <xf numFmtId="0" fontId="78" fillId="14" borderId="3101" applyFont="0" applyFill="0" applyBorder="0" applyAlignment="0" applyProtection="0"/>
    <xf numFmtId="0" fontId="25" fillId="10" borderId="3109" applyNumberFormat="0" applyProtection="0">
      <alignment horizontal="left" vertical="top"/>
    </xf>
    <xf numFmtId="0" fontId="25" fillId="10" borderId="3108" applyNumberFormat="0" applyProtection="0">
      <alignment horizontal="left" vertical="top"/>
    </xf>
    <xf numFmtId="0" fontId="25" fillId="10" borderId="3107" applyNumberFormat="0" applyProtection="0">
      <alignment horizontal="left" vertical="top"/>
    </xf>
    <xf numFmtId="0" fontId="25" fillId="10" borderId="3106" applyNumberFormat="0" applyProtection="0">
      <alignment horizontal="left" vertical="top"/>
    </xf>
    <xf numFmtId="0" fontId="25" fillId="10" borderId="3131" applyNumberFormat="0" applyProtection="0">
      <alignment horizontal="left" vertical="top"/>
    </xf>
    <xf numFmtId="0" fontId="214" fillId="0" borderId="3105" applyNumberFormat="0" applyFont="0" applyFill="0" applyAlignment="0" applyProtection="0"/>
    <xf numFmtId="0" fontId="2" fillId="0" borderId="3104" applyNumberFormat="0" applyAlignment="0" applyProtection="0"/>
    <xf numFmtId="186" fontId="140" fillId="3" borderId="3103">
      <alignment horizontal="center" vertical="center"/>
    </xf>
    <xf numFmtId="186" fontId="146" fillId="3" borderId="3102">
      <alignment horizontal="left"/>
    </xf>
    <xf numFmtId="0" fontId="25" fillId="10" borderId="3133" applyNumberFormat="0" applyProtection="0">
      <alignment horizontal="left" vertical="top"/>
    </xf>
    <xf numFmtId="0" fontId="75" fillId="0" borderId="3100" applyNumberFormat="0" applyFont="0" applyFill="0" applyAlignment="0" applyProtection="0"/>
    <xf numFmtId="222" fontId="79" fillId="0" borderId="3110" applyBorder="0"/>
    <xf numFmtId="0" fontId="101" fillId="0" borderId="3111" applyBorder="0"/>
    <xf numFmtId="222" fontId="79" fillId="0" borderId="3110" applyBorder="0"/>
    <xf numFmtId="0" fontId="113" fillId="0" borderId="3111" applyNumberFormat="0" applyFill="0" applyAlignment="0" applyProtection="0"/>
    <xf numFmtId="0" fontId="12" fillId="0" borderId="3111" applyNumberFormat="0" applyFill="0" applyBorder="0" applyAlignment="0" applyProtection="0">
      <alignment horizontal="center"/>
    </xf>
    <xf numFmtId="248" fontId="46" fillId="0" borderId="3111"/>
    <xf numFmtId="192" fontId="9" fillId="3" borderId="3111">
      <alignment horizontal="right" vertical="center"/>
    </xf>
    <xf numFmtId="180" fontId="9" fillId="3" borderId="3111">
      <alignment horizontal="right" vertical="center"/>
    </xf>
    <xf numFmtId="186" fontId="146" fillId="3" borderId="3111" applyBorder="0">
      <alignment horizontal="left" vertical="center"/>
    </xf>
    <xf numFmtId="0" fontId="165" fillId="0" borderId="3111" applyFill="0" applyProtection="0">
      <alignment horizontal="center"/>
    </xf>
    <xf numFmtId="0" fontId="166" fillId="0" borderId="3111">
      <alignment horizontal="center"/>
    </xf>
    <xf numFmtId="264" fontId="12" fillId="14" borderId="3111" applyFont="0" applyFill="0" applyBorder="0" applyAlignment="0" applyProtection="0">
      <alignment horizontal="right"/>
    </xf>
    <xf numFmtId="0" fontId="210" fillId="0" borderId="3111" applyNumberFormat="0" applyFill="0" applyBorder="0" applyAlignment="0">
      <protection locked="0"/>
    </xf>
    <xf numFmtId="254" fontId="240" fillId="0" borderId="3111" applyBorder="0" applyProtection="0">
      <alignment horizontal="right" vertical="center"/>
    </xf>
    <xf numFmtId="0" fontId="241" fillId="94" borderId="3111" applyBorder="0" applyProtection="0">
      <alignment horizontal="centerContinuous" vertical="center"/>
    </xf>
    <xf numFmtId="246" fontId="249" fillId="0" borderId="3111" applyFill="0" applyProtection="0">
      <alignment horizontal="center"/>
    </xf>
    <xf numFmtId="246" fontId="250" fillId="0" borderId="3111" applyFill="0" applyProtection="0">
      <alignment horizontal="center"/>
    </xf>
    <xf numFmtId="186" fontId="140" fillId="3" borderId="3127">
      <alignment horizontal="center" vertical="center"/>
    </xf>
    <xf numFmtId="0" fontId="78" fillId="14" borderId="3113" applyFont="0" applyFill="0" applyBorder="0" applyAlignment="0" applyProtection="0"/>
    <xf numFmtId="222" fontId="79" fillId="0" borderId="3134" applyBorder="0"/>
    <xf numFmtId="0" fontId="78" fillId="14" borderId="3137" applyFont="0" applyFill="0" applyBorder="0" applyAlignment="0" applyProtection="0"/>
    <xf numFmtId="0" fontId="25" fillId="10" borderId="3145" applyNumberFormat="0" applyProtection="0">
      <alignment horizontal="left" vertical="top"/>
    </xf>
    <xf numFmtId="0" fontId="25" fillId="10" borderId="3144" applyNumberFormat="0" applyProtection="0">
      <alignment horizontal="left" vertical="top"/>
    </xf>
    <xf numFmtId="0" fontId="25" fillId="10" borderId="3143" applyNumberFormat="0" applyProtection="0">
      <alignment horizontal="left" vertical="top"/>
    </xf>
    <xf numFmtId="0" fontId="25" fillId="10" borderId="3142" applyNumberFormat="0" applyProtection="0">
      <alignment horizontal="left" vertical="top"/>
    </xf>
    <xf numFmtId="0" fontId="214" fillId="0" borderId="3141" applyNumberFormat="0" applyFont="0" applyFill="0" applyAlignment="0" applyProtection="0"/>
    <xf numFmtId="0" fontId="2" fillId="0" borderId="3140" applyNumberFormat="0" applyAlignment="0" applyProtection="0"/>
    <xf numFmtId="186" fontId="140" fillId="3" borderId="3139">
      <alignment horizontal="center" vertical="center"/>
    </xf>
    <xf numFmtId="186" fontId="146" fillId="3" borderId="3138">
      <alignment horizontal="left"/>
    </xf>
    <xf numFmtId="0" fontId="75" fillId="0" borderId="3136" applyNumberFormat="0" applyFont="0" applyFill="0" applyAlignment="0" applyProtection="0"/>
    <xf numFmtId="222" fontId="79" fillId="0" borderId="3146" applyBorder="0"/>
    <xf numFmtId="0" fontId="101" fillId="0" borderId="3147" applyBorder="0"/>
    <xf numFmtId="222" fontId="79" fillId="0" borderId="3146" applyBorder="0"/>
    <xf numFmtId="0" fontId="113" fillId="0" borderId="3147" applyNumberFormat="0" applyFill="0" applyAlignment="0" applyProtection="0"/>
    <xf numFmtId="0" fontId="12" fillId="0" borderId="3147" applyNumberFormat="0" applyFill="0" applyBorder="0" applyAlignment="0" applyProtection="0">
      <alignment horizontal="center"/>
    </xf>
    <xf numFmtId="248" fontId="46" fillId="0" borderId="3147"/>
    <xf numFmtId="192" fontId="9" fillId="3" borderId="3147">
      <alignment horizontal="right" vertical="center"/>
    </xf>
    <xf numFmtId="180" fontId="9" fillId="3" borderId="3147">
      <alignment horizontal="right" vertical="center"/>
    </xf>
    <xf numFmtId="186" fontId="146" fillId="3" borderId="3147" applyBorder="0">
      <alignment horizontal="left" vertical="center"/>
    </xf>
    <xf numFmtId="0" fontId="165" fillId="0" borderId="3147" applyFill="0" applyProtection="0">
      <alignment horizontal="center"/>
    </xf>
    <xf numFmtId="0" fontId="166" fillId="0" borderId="3147">
      <alignment horizontal="center"/>
    </xf>
    <xf numFmtId="264" fontId="12" fillId="14" borderId="3147" applyFont="0" applyFill="0" applyBorder="0" applyAlignment="0" applyProtection="0">
      <alignment horizontal="right"/>
    </xf>
    <xf numFmtId="0" fontId="210" fillId="0" borderId="3147" applyNumberFormat="0" applyFill="0" applyBorder="0" applyAlignment="0">
      <protection locked="0"/>
    </xf>
    <xf numFmtId="254" fontId="240" fillId="0" borderId="3147" applyBorder="0" applyProtection="0">
      <alignment horizontal="right" vertical="center"/>
    </xf>
    <xf numFmtId="0" fontId="241" fillId="94" borderId="3147" applyBorder="0" applyProtection="0">
      <alignment horizontal="centerContinuous" vertical="center"/>
    </xf>
    <xf numFmtId="246" fontId="249" fillId="0" borderId="3147" applyFill="0" applyProtection="0">
      <alignment horizontal="center"/>
    </xf>
    <xf numFmtId="246" fontId="250" fillId="0" borderId="3147" applyFill="0" applyProtection="0">
      <alignment horizontal="center"/>
    </xf>
    <xf numFmtId="222" fontId="79" fillId="0" borderId="3158" applyBorder="0"/>
    <xf numFmtId="0" fontId="78" fillId="14" borderId="3161" applyFont="0" applyFill="0" applyBorder="0" applyAlignment="0" applyProtection="0"/>
    <xf numFmtId="0" fontId="25" fillId="10" borderId="3169" applyNumberFormat="0" applyProtection="0">
      <alignment horizontal="left" vertical="top"/>
    </xf>
    <xf numFmtId="0" fontId="25" fillId="10" borderId="3168" applyNumberFormat="0" applyProtection="0">
      <alignment horizontal="left" vertical="top"/>
    </xf>
    <xf numFmtId="0" fontId="25" fillId="10" borderId="3167" applyNumberFormat="0" applyProtection="0">
      <alignment horizontal="left" vertical="top"/>
    </xf>
    <xf numFmtId="0" fontId="25" fillId="10" borderId="3166" applyNumberFormat="0" applyProtection="0">
      <alignment horizontal="left" vertical="top"/>
    </xf>
    <xf numFmtId="0" fontId="214" fillId="0" borderId="3165" applyNumberFormat="0" applyFont="0" applyFill="0" applyAlignment="0" applyProtection="0"/>
    <xf numFmtId="0" fontId="2" fillId="0" borderId="3164" applyNumberFormat="0" applyAlignment="0" applyProtection="0"/>
    <xf numFmtId="186" fontId="140" fillId="3" borderId="3163">
      <alignment horizontal="center" vertical="center"/>
    </xf>
    <xf numFmtId="186" fontId="146" fillId="3" borderId="3162">
      <alignment horizontal="left"/>
    </xf>
    <xf numFmtId="0" fontId="75" fillId="0" borderId="3160" applyNumberFormat="0" applyFont="0" applyFill="0" applyAlignment="0" applyProtection="0"/>
    <xf numFmtId="222" fontId="79" fillId="0" borderId="3170" applyBorder="0"/>
    <xf numFmtId="0" fontId="101" fillId="0" borderId="3171" applyBorder="0"/>
    <xf numFmtId="222" fontId="79" fillId="0" borderId="3170" applyBorder="0"/>
    <xf numFmtId="0" fontId="113" fillId="0" borderId="3171" applyNumberFormat="0" applyFill="0" applyAlignment="0" applyProtection="0"/>
    <xf numFmtId="0" fontId="12" fillId="0" borderId="3171" applyNumberFormat="0" applyFill="0" applyBorder="0" applyAlignment="0" applyProtection="0">
      <alignment horizontal="center"/>
    </xf>
    <xf numFmtId="248" fontId="46" fillId="0" borderId="3171"/>
    <xf numFmtId="192" fontId="9" fillId="3" borderId="3171">
      <alignment horizontal="right" vertical="center"/>
    </xf>
    <xf numFmtId="180" fontId="9" fillId="3" borderId="3171">
      <alignment horizontal="right" vertical="center"/>
    </xf>
    <xf numFmtId="186" fontId="146" fillId="3" borderId="3171" applyBorder="0">
      <alignment horizontal="left" vertical="center"/>
    </xf>
    <xf numFmtId="0" fontId="165" fillId="0" borderId="3171" applyFill="0" applyProtection="0">
      <alignment horizontal="center"/>
    </xf>
    <xf numFmtId="0" fontId="166" fillId="0" borderId="3171">
      <alignment horizontal="center"/>
    </xf>
    <xf numFmtId="264" fontId="12" fillId="14" borderId="3171" applyFont="0" applyFill="0" applyBorder="0" applyAlignment="0" applyProtection="0">
      <alignment horizontal="right"/>
    </xf>
    <xf numFmtId="0" fontId="210" fillId="0" borderId="3171" applyNumberFormat="0" applyFill="0" applyBorder="0" applyAlignment="0">
      <protection locked="0"/>
    </xf>
    <xf numFmtId="254" fontId="240" fillId="0" borderId="3171" applyBorder="0" applyProtection="0">
      <alignment horizontal="right" vertical="center"/>
    </xf>
    <xf numFmtId="0" fontId="241" fillId="94" borderId="3171" applyBorder="0" applyProtection="0">
      <alignment horizontal="centerContinuous" vertical="center"/>
    </xf>
    <xf numFmtId="246" fontId="249" fillId="0" borderId="3171" applyFill="0" applyProtection="0">
      <alignment horizontal="center"/>
    </xf>
    <xf numFmtId="246" fontId="250" fillId="0" borderId="3171" applyFill="0" applyProtection="0">
      <alignment horizontal="center"/>
    </xf>
    <xf numFmtId="0" fontId="75" fillId="0" borderId="3184" applyNumberFormat="0" applyFont="0" applyFill="0" applyAlignment="0" applyProtection="0"/>
    <xf numFmtId="0" fontId="78" fillId="14" borderId="3185" applyFont="0" applyFill="0" applyBorder="0" applyAlignment="0" applyProtection="0"/>
    <xf numFmtId="186" fontId="146" fillId="3" borderId="3186">
      <alignment horizontal="left"/>
    </xf>
    <xf numFmtId="186" fontId="140" fillId="3" borderId="3187">
      <alignment horizontal="center" vertical="center"/>
    </xf>
    <xf numFmtId="0" fontId="2" fillId="0" borderId="3188" applyNumberFormat="0" applyAlignment="0" applyProtection="0"/>
    <xf numFmtId="0" fontId="214" fillId="0" borderId="3189" applyNumberFormat="0" applyFont="0" applyFill="0" applyAlignment="0" applyProtection="0"/>
    <xf numFmtId="0" fontId="25" fillId="10" borderId="3190" applyNumberFormat="0" applyProtection="0">
      <alignment horizontal="left" vertical="top"/>
    </xf>
    <xf numFmtId="0" fontId="25" fillId="10" borderId="3191" applyNumberFormat="0" applyProtection="0">
      <alignment horizontal="left" vertical="top"/>
    </xf>
    <xf numFmtId="0" fontId="25" fillId="10" borderId="3192" applyNumberFormat="0" applyProtection="0">
      <alignment horizontal="left" vertical="top"/>
    </xf>
    <xf numFmtId="0" fontId="25" fillId="10" borderId="3193" applyNumberFormat="0" applyProtection="0">
      <alignment horizontal="left" vertical="top"/>
    </xf>
    <xf numFmtId="246" fontId="250" fillId="0" borderId="3183" applyFill="0" applyProtection="0">
      <alignment horizontal="center"/>
    </xf>
    <xf numFmtId="246" fontId="249" fillId="0" borderId="3183" applyFill="0" applyProtection="0">
      <alignment horizontal="center"/>
    </xf>
    <xf numFmtId="0" fontId="241" fillId="94" borderId="3183" applyBorder="0" applyProtection="0">
      <alignment horizontal="centerContinuous" vertical="center"/>
    </xf>
    <xf numFmtId="254" fontId="240" fillId="0" borderId="3183" applyBorder="0" applyProtection="0">
      <alignment horizontal="right" vertical="center"/>
    </xf>
    <xf numFmtId="0" fontId="210" fillId="0" borderId="3183" applyNumberFormat="0" applyFill="0" applyBorder="0" applyAlignment="0">
      <protection locked="0"/>
    </xf>
    <xf numFmtId="264" fontId="12" fillId="14" borderId="3183" applyFont="0" applyFill="0" applyBorder="0" applyAlignment="0" applyProtection="0">
      <alignment horizontal="right"/>
    </xf>
    <xf numFmtId="0" fontId="166" fillId="0" borderId="3183">
      <alignment horizontal="center"/>
    </xf>
    <xf numFmtId="0" fontId="165" fillId="0" borderId="3183" applyFill="0" applyProtection="0">
      <alignment horizontal="center"/>
    </xf>
    <xf numFmtId="186" fontId="146" fillId="3" borderId="3183" applyBorder="0">
      <alignment horizontal="left" vertical="center"/>
    </xf>
    <xf numFmtId="180" fontId="9" fillId="3" borderId="3183">
      <alignment horizontal="right" vertical="center"/>
    </xf>
    <xf numFmtId="192" fontId="9" fillId="3" borderId="3183">
      <alignment horizontal="right" vertical="center"/>
    </xf>
    <xf numFmtId="0" fontId="12" fillId="0" borderId="3183" applyNumberFormat="0" applyFill="0" applyBorder="0" applyAlignment="0" applyProtection="0">
      <alignment horizontal="center"/>
    </xf>
    <xf numFmtId="0" fontId="113" fillId="0" borderId="3183" applyNumberFormat="0" applyFill="0" applyAlignment="0" applyProtection="0"/>
    <xf numFmtId="222" fontId="79" fillId="0" borderId="3182" applyBorder="0"/>
    <xf numFmtId="0" fontId="101" fillId="0" borderId="3183" applyBorder="0"/>
    <xf numFmtId="248" fontId="46" fillId="0" borderId="3183"/>
    <xf numFmtId="0" fontId="101" fillId="0" borderId="3183" applyBorder="0"/>
    <xf numFmtId="222" fontId="79" fillId="0" borderId="3182" applyBorder="0"/>
    <xf numFmtId="0" fontId="113" fillId="0" borderId="3183" applyNumberFormat="0" applyFill="0" applyAlignment="0" applyProtection="0"/>
    <xf numFmtId="0" fontId="75" fillId="0" borderId="3184" applyNumberFormat="0" applyFont="0" applyFill="0" applyAlignment="0" applyProtection="0"/>
    <xf numFmtId="0" fontId="12" fillId="0" borderId="3183" applyNumberFormat="0" applyFill="0" applyBorder="0" applyAlignment="0" applyProtection="0">
      <alignment horizontal="center"/>
    </xf>
    <xf numFmtId="248" fontId="46" fillId="0" borderId="3183"/>
    <xf numFmtId="192" fontId="9" fillId="3" borderId="3183">
      <alignment horizontal="right" vertical="center"/>
    </xf>
    <xf numFmtId="180" fontId="9" fillId="3" borderId="3183">
      <alignment horizontal="right" vertical="center"/>
    </xf>
    <xf numFmtId="186" fontId="146" fillId="3" borderId="3183" applyBorder="0">
      <alignment horizontal="left" vertical="center"/>
    </xf>
    <xf numFmtId="186" fontId="146" fillId="3" borderId="3186">
      <alignment horizontal="left"/>
    </xf>
    <xf numFmtId="186" fontId="140" fillId="3" borderId="3187">
      <alignment horizontal="center" vertical="center"/>
    </xf>
    <xf numFmtId="0" fontId="165" fillId="0" borderId="3183" applyFill="0" applyProtection="0">
      <alignment horizontal="center"/>
    </xf>
    <xf numFmtId="0" fontId="166" fillId="0" borderId="3183">
      <alignment horizontal="center"/>
    </xf>
    <xf numFmtId="264" fontId="12" fillId="14" borderId="3183" applyFont="0" applyFill="0" applyBorder="0" applyAlignment="0" applyProtection="0">
      <alignment horizontal="right"/>
    </xf>
    <xf numFmtId="0" fontId="210" fillId="0" borderId="3183" applyNumberFormat="0" applyFill="0" applyBorder="0" applyAlignment="0">
      <protection locked="0"/>
    </xf>
    <xf numFmtId="0" fontId="2" fillId="0" borderId="3188" applyNumberFormat="0" applyAlignment="0" applyProtection="0"/>
    <xf numFmtId="0" fontId="214" fillId="0" borderId="3189" applyNumberFormat="0" applyFont="0" applyFill="0" applyAlignment="0" applyProtection="0"/>
    <xf numFmtId="0" fontId="25" fillId="10" borderId="3190" applyNumberFormat="0" applyProtection="0">
      <alignment horizontal="left" vertical="top"/>
    </xf>
    <xf numFmtId="0" fontId="25" fillId="10" borderId="3191" applyNumberFormat="0" applyProtection="0">
      <alignment horizontal="left" vertical="top"/>
    </xf>
    <xf numFmtId="0" fontId="25" fillId="10" borderId="3192" applyNumberFormat="0" applyProtection="0">
      <alignment horizontal="left" vertical="top"/>
    </xf>
    <xf numFmtId="0" fontId="25" fillId="10" borderId="3193" applyNumberFormat="0" applyProtection="0">
      <alignment horizontal="left" vertical="top"/>
    </xf>
    <xf numFmtId="0" fontId="25" fillId="10" borderId="3190" applyNumberFormat="0" applyProtection="0">
      <alignment horizontal="left" vertical="top"/>
    </xf>
    <xf numFmtId="0" fontId="25" fillId="10" borderId="3191" applyNumberFormat="0" applyProtection="0">
      <alignment horizontal="left" vertical="top"/>
    </xf>
    <xf numFmtId="0" fontId="25" fillId="10" borderId="3192" applyNumberFormat="0" applyProtection="0">
      <alignment horizontal="left" vertical="top"/>
    </xf>
    <xf numFmtId="0" fontId="25" fillId="10" borderId="3193" applyNumberFormat="0" applyProtection="0">
      <alignment horizontal="left" vertical="top"/>
    </xf>
    <xf numFmtId="254" fontId="240" fillId="0" borderId="3183" applyBorder="0" applyProtection="0">
      <alignment horizontal="right" vertical="center"/>
    </xf>
    <xf numFmtId="0" fontId="241" fillId="94" borderId="3183" applyBorder="0" applyProtection="0">
      <alignment horizontal="centerContinuous" vertical="center"/>
    </xf>
    <xf numFmtId="246" fontId="249" fillId="0" borderId="3183" applyFill="0" applyProtection="0">
      <alignment horizontal="center"/>
    </xf>
    <xf numFmtId="246" fontId="250" fillId="0" borderId="3183" applyFill="0" applyProtection="0">
      <alignment horizontal="center"/>
    </xf>
    <xf numFmtId="190" fontId="101" fillId="0" borderId="3183" applyBorder="0"/>
    <xf numFmtId="190" fontId="113" fillId="0" borderId="3183" applyNumberFormat="0" applyFill="0" applyAlignment="0" applyProtection="0"/>
    <xf numFmtId="190" fontId="75" fillId="0" borderId="3160" applyNumberFormat="0" applyFont="0" applyFill="0" applyAlignment="0" applyProtection="0"/>
    <xf numFmtId="190" fontId="12" fillId="0" borderId="3183" applyNumberFormat="0" applyFill="0" applyBorder="0" applyAlignment="0" applyProtection="0">
      <alignment horizontal="center"/>
    </xf>
    <xf numFmtId="190" fontId="78" fillId="14" borderId="3173" applyFont="0" applyFill="0" applyBorder="0" applyAlignment="0" applyProtection="0"/>
    <xf numFmtId="190" fontId="165" fillId="0" borderId="3183" applyFill="0" applyProtection="0">
      <alignment horizontal="center"/>
    </xf>
    <xf numFmtId="190" fontId="166" fillId="0" borderId="3183">
      <alignment horizontal="center"/>
    </xf>
    <xf numFmtId="190" fontId="210" fillId="0" borderId="3183" applyNumberFormat="0" applyFill="0" applyBorder="0" applyAlignment="0">
      <protection locked="0"/>
    </xf>
    <xf numFmtId="190" fontId="2" fillId="0" borderId="3164" applyNumberFormat="0" applyAlignment="0" applyProtection="0"/>
    <xf numFmtId="190" fontId="214" fillId="0" borderId="3165" applyNumberFormat="0" applyFont="0" applyFill="0" applyAlignment="0" applyProtection="0"/>
    <xf numFmtId="190" fontId="25" fillId="10" borderId="3166" applyNumberFormat="0" applyProtection="0">
      <alignment horizontal="left" vertical="top"/>
    </xf>
    <xf numFmtId="190" fontId="25" fillId="10" borderId="3167" applyNumberFormat="0" applyProtection="0">
      <alignment horizontal="left" vertical="top"/>
    </xf>
    <xf numFmtId="190" fontId="25" fillId="10" borderId="3168" applyNumberFormat="0" applyProtection="0">
      <alignment horizontal="left" vertical="top"/>
    </xf>
    <xf numFmtId="190" fontId="25" fillId="10" borderId="3169" applyNumberFormat="0" applyProtection="0">
      <alignment horizontal="left" vertical="top"/>
    </xf>
    <xf numFmtId="190" fontId="241" fillId="94" borderId="3183" applyBorder="0" applyProtection="0">
      <alignment horizontal="centerContinuous" vertical="center"/>
    </xf>
    <xf numFmtId="222" fontId="79" fillId="0" borderId="3182" applyBorder="0"/>
    <xf numFmtId="0" fontId="101" fillId="0" borderId="3183" applyBorder="0"/>
    <xf numFmtId="222" fontId="79" fillId="0" borderId="3182" applyBorder="0"/>
    <xf numFmtId="0" fontId="113" fillId="0" borderId="3183" applyNumberFormat="0" applyFill="0" applyAlignment="0" applyProtection="0"/>
    <xf numFmtId="0" fontId="75" fillId="0" borderId="3160" applyNumberFormat="0" applyFont="0" applyFill="0" applyAlignment="0" applyProtection="0"/>
    <xf numFmtId="0" fontId="12" fillId="0" borderId="3183" applyNumberFormat="0" applyFill="0" applyBorder="0" applyAlignment="0" applyProtection="0">
      <alignment horizontal="center"/>
    </xf>
    <xf numFmtId="248" fontId="46" fillId="0" borderId="3183"/>
    <xf numFmtId="192" fontId="9" fillId="3" borderId="3183">
      <alignment horizontal="right" vertical="center"/>
    </xf>
    <xf numFmtId="180" fontId="9" fillId="3" borderId="3183">
      <alignment horizontal="right" vertical="center"/>
    </xf>
    <xf numFmtId="186" fontId="146" fillId="3" borderId="3183" applyBorder="0">
      <alignment horizontal="left" vertical="center"/>
    </xf>
    <xf numFmtId="186" fontId="146" fillId="3" borderId="3162">
      <alignment horizontal="left"/>
    </xf>
    <xf numFmtId="186" fontId="140" fillId="3" borderId="3163">
      <alignment horizontal="center" vertical="center"/>
    </xf>
    <xf numFmtId="0" fontId="165" fillId="0" borderId="3183" applyFill="0" applyProtection="0">
      <alignment horizontal="center"/>
    </xf>
    <xf numFmtId="0" fontId="166" fillId="0" borderId="3183">
      <alignment horizontal="center"/>
    </xf>
    <xf numFmtId="264" fontId="12" fillId="14" borderId="3183" applyFont="0" applyFill="0" applyBorder="0" applyAlignment="0" applyProtection="0">
      <alignment horizontal="right"/>
    </xf>
    <xf numFmtId="0" fontId="210" fillId="0" borderId="3183" applyNumberFormat="0" applyFill="0" applyBorder="0" applyAlignment="0">
      <protection locked="0"/>
    </xf>
    <xf numFmtId="0" fontId="2" fillId="0" borderId="3164" applyNumberFormat="0" applyAlignment="0" applyProtection="0"/>
    <xf numFmtId="0" fontId="214" fillId="0" borderId="3165" applyNumberFormat="0" applyFont="0" applyFill="0" applyAlignment="0" applyProtection="0"/>
    <xf numFmtId="0" fontId="25" fillId="10" borderId="3166" applyNumberFormat="0" applyProtection="0">
      <alignment horizontal="left" vertical="top"/>
    </xf>
    <xf numFmtId="0" fontId="25" fillId="10" borderId="3167" applyNumberFormat="0" applyProtection="0">
      <alignment horizontal="left" vertical="top"/>
    </xf>
    <xf numFmtId="0" fontId="25" fillId="10" borderId="3168" applyNumberFormat="0" applyProtection="0">
      <alignment horizontal="left" vertical="top"/>
    </xf>
    <xf numFmtId="0" fontId="25" fillId="10" borderId="3169" applyNumberFormat="0" applyProtection="0">
      <alignment horizontal="left" vertical="top"/>
    </xf>
    <xf numFmtId="0" fontId="25" fillId="10" borderId="3166" applyNumberFormat="0" applyProtection="0">
      <alignment horizontal="left" vertical="top"/>
    </xf>
    <xf numFmtId="0" fontId="25" fillId="10" borderId="3167" applyNumberFormat="0" applyProtection="0">
      <alignment horizontal="left" vertical="top"/>
    </xf>
    <xf numFmtId="0" fontId="25" fillId="10" borderId="3168" applyNumberFormat="0" applyProtection="0">
      <alignment horizontal="left" vertical="top"/>
    </xf>
    <xf numFmtId="0" fontId="25" fillId="10" borderId="3169" applyNumberFormat="0" applyProtection="0">
      <alignment horizontal="left" vertical="top"/>
    </xf>
    <xf numFmtId="254" fontId="240" fillId="0" borderId="3183" applyBorder="0" applyProtection="0">
      <alignment horizontal="right" vertical="center"/>
    </xf>
    <xf numFmtId="0" fontId="241" fillId="94" borderId="3183" applyBorder="0" applyProtection="0">
      <alignment horizontal="centerContinuous" vertical="center"/>
    </xf>
    <xf numFmtId="246" fontId="249" fillId="0" borderId="3183" applyFill="0" applyProtection="0">
      <alignment horizontal="center"/>
    </xf>
    <xf numFmtId="246" fontId="250" fillId="0" borderId="3183" applyFill="0" applyProtection="0">
      <alignment horizontal="center"/>
    </xf>
    <xf numFmtId="312" fontId="101" fillId="0" borderId="3183" applyBorder="0"/>
    <xf numFmtId="312" fontId="113" fillId="0" borderId="3183" applyNumberFormat="0" applyFill="0" applyAlignment="0" applyProtection="0"/>
    <xf numFmtId="312" fontId="75" fillId="0" borderId="3160" applyNumberFormat="0" applyFont="0" applyFill="0" applyAlignment="0" applyProtection="0"/>
    <xf numFmtId="312" fontId="12" fillId="0" borderId="3183" applyNumberFormat="0" applyFill="0" applyBorder="0" applyAlignment="0" applyProtection="0">
      <alignment horizontal="center"/>
    </xf>
    <xf numFmtId="312" fontId="165" fillId="0" borderId="3183" applyFill="0" applyProtection="0">
      <alignment horizontal="center"/>
    </xf>
    <xf numFmtId="312" fontId="242" fillId="0" borderId="3183">
      <alignment horizontal="center"/>
    </xf>
    <xf numFmtId="312" fontId="210" fillId="0" borderId="3183" applyNumberFormat="0" applyFill="0" applyBorder="0" applyAlignment="0">
      <protection locked="0"/>
    </xf>
    <xf numFmtId="312" fontId="2" fillId="0" borderId="3164" applyNumberFormat="0" applyAlignment="0" applyProtection="0"/>
    <xf numFmtId="312" fontId="214" fillId="0" borderId="3165" applyNumberFormat="0" applyFont="0" applyFill="0" applyAlignment="0" applyProtection="0"/>
    <xf numFmtId="312" fontId="25" fillId="10" borderId="3166" applyNumberFormat="0" applyProtection="0">
      <alignment horizontal="left" vertical="top"/>
    </xf>
    <xf numFmtId="312" fontId="25" fillId="10" borderId="3167" applyNumberFormat="0" applyProtection="0">
      <alignment horizontal="left" vertical="top"/>
    </xf>
    <xf numFmtId="312" fontId="25" fillId="10" borderId="3168" applyNumberFormat="0" applyProtection="0">
      <alignment horizontal="left" vertical="top"/>
    </xf>
    <xf numFmtId="312" fontId="25" fillId="10" borderId="3169" applyNumberFormat="0" applyProtection="0">
      <alignment horizontal="left" vertical="top"/>
    </xf>
    <xf numFmtId="312" fontId="241" fillId="94" borderId="3183" applyBorder="0" applyProtection="0">
      <alignment horizontal="centerContinuous" vertical="center"/>
    </xf>
    <xf numFmtId="246" fontId="296" fillId="0" borderId="3183" applyFill="0" applyProtection="0">
      <alignment horizontal="center"/>
    </xf>
    <xf numFmtId="312" fontId="101" fillId="0" borderId="3183" applyBorder="0"/>
    <xf numFmtId="312" fontId="113" fillId="0" borderId="3183" applyNumberFormat="0" applyFill="0" applyAlignment="0" applyProtection="0"/>
    <xf numFmtId="312" fontId="75" fillId="0" borderId="3160" applyNumberFormat="0" applyFont="0" applyFill="0" applyAlignment="0" applyProtection="0"/>
    <xf numFmtId="312" fontId="12" fillId="0" borderId="3183" applyNumberFormat="0" applyFill="0" applyBorder="0" applyAlignment="0" applyProtection="0">
      <alignment horizontal="center"/>
    </xf>
    <xf numFmtId="312" fontId="165" fillId="0" borderId="3183" applyFill="0" applyProtection="0">
      <alignment horizontal="center"/>
    </xf>
    <xf numFmtId="312" fontId="242" fillId="0" borderId="3183">
      <alignment horizontal="center"/>
    </xf>
    <xf numFmtId="312" fontId="210" fillId="0" borderId="3183" applyNumberFormat="0" applyFill="0" applyBorder="0" applyAlignment="0">
      <protection locked="0"/>
    </xf>
    <xf numFmtId="312" fontId="2" fillId="0" borderId="3164" applyNumberFormat="0" applyAlignment="0" applyProtection="0"/>
    <xf numFmtId="312" fontId="214" fillId="0" borderId="3165" applyNumberFormat="0" applyFont="0" applyFill="0" applyAlignment="0" applyProtection="0"/>
    <xf numFmtId="312" fontId="25" fillId="10" borderId="3166" applyNumberFormat="0" applyProtection="0">
      <alignment horizontal="left" vertical="top"/>
    </xf>
    <xf numFmtId="312" fontId="25" fillId="10" borderId="3167" applyNumberFormat="0" applyProtection="0">
      <alignment horizontal="left" vertical="top"/>
    </xf>
    <xf numFmtId="312" fontId="25" fillId="10" borderId="3168" applyNumberFormat="0" applyProtection="0">
      <alignment horizontal="left" vertical="top"/>
    </xf>
    <xf numFmtId="312" fontId="25" fillId="10" borderId="3169" applyNumberFormat="0" applyProtection="0">
      <alignment horizontal="left" vertical="top"/>
    </xf>
    <xf numFmtId="312" fontId="25" fillId="10" borderId="3166" applyNumberFormat="0" applyProtection="0">
      <alignment horizontal="left" vertical="top"/>
    </xf>
    <xf numFmtId="312" fontId="25" fillId="10" borderId="3167" applyNumberFormat="0" applyProtection="0">
      <alignment horizontal="left" vertical="top"/>
    </xf>
    <xf numFmtId="312" fontId="25" fillId="10" borderId="3168" applyNumberFormat="0" applyProtection="0">
      <alignment horizontal="left" vertical="top"/>
    </xf>
    <xf numFmtId="312" fontId="25" fillId="10" borderId="3169" applyNumberFormat="0" applyProtection="0">
      <alignment horizontal="left" vertical="top"/>
    </xf>
    <xf numFmtId="312" fontId="241" fillId="94" borderId="3183" applyBorder="0" applyProtection="0">
      <alignment horizontal="centerContinuous" vertical="center"/>
    </xf>
    <xf numFmtId="246" fontId="296" fillId="0" borderId="3183" applyFill="0" applyProtection="0">
      <alignment horizontal="center"/>
    </xf>
    <xf numFmtId="246" fontId="250" fillId="0" borderId="3183" applyFill="0" applyProtection="0">
      <alignment horizontal="center"/>
    </xf>
    <xf numFmtId="246" fontId="249" fillId="0" borderId="3183" applyFill="0" applyProtection="0">
      <alignment horizontal="center"/>
    </xf>
    <xf numFmtId="0" fontId="241" fillId="94" borderId="3183" applyBorder="0" applyProtection="0">
      <alignment horizontal="centerContinuous" vertical="center"/>
    </xf>
    <xf numFmtId="254" fontId="240" fillId="0" borderId="3183" applyBorder="0" applyProtection="0">
      <alignment horizontal="right" vertical="center"/>
    </xf>
    <xf numFmtId="0" fontId="25" fillId="10" borderId="3181" applyNumberFormat="0" applyProtection="0">
      <alignment horizontal="left" vertical="top"/>
    </xf>
    <xf numFmtId="0" fontId="25" fillId="10" borderId="3180" applyNumberFormat="0" applyProtection="0">
      <alignment horizontal="left" vertical="top"/>
    </xf>
    <xf numFmtId="0" fontId="25" fillId="10" borderId="3179" applyNumberFormat="0" applyProtection="0">
      <alignment horizontal="left" vertical="top"/>
    </xf>
    <xf numFmtId="0" fontId="25" fillId="10" borderId="3178" applyNumberFormat="0" applyProtection="0">
      <alignment horizontal="left" vertical="top"/>
    </xf>
    <xf numFmtId="0" fontId="214" fillId="0" borderId="3177" applyNumberFormat="0" applyFont="0" applyFill="0" applyAlignment="0" applyProtection="0"/>
    <xf numFmtId="0" fontId="2" fillId="0" borderId="3176" applyNumberFormat="0" applyAlignment="0" applyProtection="0"/>
    <xf numFmtId="0" fontId="210" fillId="0" borderId="3183" applyNumberFormat="0" applyFill="0" applyBorder="0" applyAlignment="0">
      <protection locked="0"/>
    </xf>
    <xf numFmtId="264" fontId="12" fillId="14" borderId="3183" applyFont="0" applyFill="0" applyBorder="0" applyAlignment="0" applyProtection="0">
      <alignment horizontal="right"/>
    </xf>
    <xf numFmtId="0" fontId="166" fillId="0" borderId="3183">
      <alignment horizontal="center"/>
    </xf>
    <xf numFmtId="0" fontId="165" fillId="0" borderId="3183" applyFill="0" applyProtection="0">
      <alignment horizontal="center"/>
    </xf>
    <xf numFmtId="186" fontId="140" fillId="3" borderId="3175">
      <alignment horizontal="center" vertical="center"/>
    </xf>
    <xf numFmtId="186" fontId="146" fillId="3" borderId="3174">
      <alignment horizontal="left"/>
    </xf>
    <xf numFmtId="186" fontId="146" fillId="3" borderId="3183" applyBorder="0">
      <alignment horizontal="left" vertical="center"/>
    </xf>
    <xf numFmtId="180" fontId="9" fillId="3" borderId="3183">
      <alignment horizontal="right" vertical="center"/>
    </xf>
    <xf numFmtId="192" fontId="9" fillId="3" borderId="3183">
      <alignment horizontal="right" vertical="center"/>
    </xf>
    <xf numFmtId="248" fontId="46" fillId="0" borderId="3183"/>
    <xf numFmtId="0" fontId="78" fillId="14" borderId="3173" applyFont="0" applyFill="0" applyBorder="0" applyAlignment="0" applyProtection="0"/>
    <xf numFmtId="0" fontId="12" fillId="0" borderId="3183" applyNumberFormat="0" applyFill="0" applyBorder="0" applyAlignment="0" applyProtection="0">
      <alignment horizontal="center"/>
    </xf>
    <xf numFmtId="0" fontId="75" fillId="0" borderId="3172" applyNumberFormat="0" applyFont="0" applyFill="0" applyAlignment="0" applyProtection="0"/>
    <xf numFmtId="0" fontId="113" fillId="0" borderId="3183" applyNumberFormat="0" applyFill="0" applyAlignment="0" applyProtection="0"/>
    <xf numFmtId="222" fontId="79" fillId="0" borderId="3182" applyBorder="0"/>
    <xf numFmtId="0" fontId="101" fillId="0" borderId="3183" applyBorder="0"/>
    <xf numFmtId="0" fontId="25" fillId="10" borderId="3190" applyNumberFormat="0" applyProtection="0">
      <alignment horizontal="left" vertical="top"/>
    </xf>
    <xf numFmtId="0" fontId="25" fillId="10" borderId="3191" applyNumberFormat="0" applyProtection="0">
      <alignment horizontal="left" vertical="top"/>
    </xf>
    <xf numFmtId="0" fontId="25" fillId="10" borderId="3192" applyNumberFormat="0" applyProtection="0">
      <alignment horizontal="left" vertical="top"/>
    </xf>
    <xf numFmtId="0" fontId="25" fillId="10" borderId="3193" applyNumberFormat="0" applyProtection="0">
      <alignment horizontal="left" vertical="top"/>
    </xf>
    <xf numFmtId="246" fontId="250" fillId="0" borderId="3171" applyFill="0" applyProtection="0">
      <alignment horizontal="center"/>
    </xf>
    <xf numFmtId="246" fontId="249" fillId="0" borderId="3171" applyFill="0" applyProtection="0">
      <alignment horizontal="center"/>
    </xf>
    <xf numFmtId="0" fontId="241" fillId="94" borderId="3171" applyBorder="0" applyProtection="0">
      <alignment horizontal="centerContinuous" vertical="center"/>
    </xf>
    <xf numFmtId="254" fontId="240" fillId="0" borderId="3171" applyBorder="0" applyProtection="0">
      <alignment horizontal="right" vertical="center"/>
    </xf>
    <xf numFmtId="0" fontId="210" fillId="0" borderId="3171" applyNumberFormat="0" applyFill="0" applyBorder="0" applyAlignment="0">
      <protection locked="0"/>
    </xf>
    <xf numFmtId="264" fontId="12" fillId="14" borderId="3171" applyFont="0" applyFill="0" applyBorder="0" applyAlignment="0" applyProtection="0">
      <alignment horizontal="right"/>
    </xf>
    <xf numFmtId="0" fontId="166" fillId="0" borderId="3171">
      <alignment horizontal="center"/>
    </xf>
    <xf numFmtId="0" fontId="165" fillId="0" borderId="3171" applyFill="0" applyProtection="0">
      <alignment horizontal="center"/>
    </xf>
    <xf numFmtId="186" fontId="146" fillId="3" borderId="3171" applyBorder="0">
      <alignment horizontal="left" vertical="center"/>
    </xf>
    <xf numFmtId="180" fontId="9" fillId="3" borderId="3171">
      <alignment horizontal="right" vertical="center"/>
    </xf>
    <xf numFmtId="192" fontId="9" fillId="3" borderId="3171">
      <alignment horizontal="right" vertical="center"/>
    </xf>
    <xf numFmtId="248" fontId="46" fillId="0" borderId="3171"/>
    <xf numFmtId="0" fontId="12" fillId="0" borderId="3171" applyNumberFormat="0" applyFill="0" applyBorder="0" applyAlignment="0" applyProtection="0">
      <alignment horizontal="center"/>
    </xf>
    <xf numFmtId="0" fontId="113" fillId="0" borderId="3171" applyNumberFormat="0" applyFill="0" applyAlignment="0" applyProtection="0"/>
    <xf numFmtId="222" fontId="79" fillId="0" borderId="3170" applyBorder="0"/>
    <xf numFmtId="0" fontId="101" fillId="0" borderId="3171" applyBorder="0"/>
    <xf numFmtId="246" fontId="250" fillId="0" borderId="3171" applyFill="0" applyProtection="0">
      <alignment horizontal="center"/>
    </xf>
    <xf numFmtId="246" fontId="249" fillId="0" borderId="3171" applyFill="0" applyProtection="0">
      <alignment horizontal="center"/>
    </xf>
    <xf numFmtId="0" fontId="241" fillId="94" borderId="3171" applyBorder="0" applyProtection="0">
      <alignment horizontal="centerContinuous" vertical="center"/>
    </xf>
    <xf numFmtId="254" fontId="240" fillId="0" borderId="3171" applyBorder="0" applyProtection="0">
      <alignment horizontal="right" vertical="center"/>
    </xf>
    <xf numFmtId="0" fontId="210" fillId="0" borderId="3171" applyNumberFormat="0" applyFill="0" applyBorder="0" applyAlignment="0">
      <protection locked="0"/>
    </xf>
    <xf numFmtId="264" fontId="12" fillId="14" borderId="3171" applyFont="0" applyFill="0" applyBorder="0" applyAlignment="0" applyProtection="0">
      <alignment horizontal="right"/>
    </xf>
    <xf numFmtId="0" fontId="166" fillId="0" borderId="3171">
      <alignment horizontal="center"/>
    </xf>
    <xf numFmtId="0" fontId="165" fillId="0" borderId="3171" applyFill="0" applyProtection="0">
      <alignment horizontal="center"/>
    </xf>
    <xf numFmtId="186" fontId="146" fillId="3" borderId="3171" applyBorder="0">
      <alignment horizontal="left" vertical="center"/>
    </xf>
    <xf numFmtId="180" fontId="9" fillId="3" borderId="3171">
      <alignment horizontal="right" vertical="center"/>
    </xf>
    <xf numFmtId="192" fontId="9" fillId="3" borderId="3171">
      <alignment horizontal="right" vertical="center"/>
    </xf>
    <xf numFmtId="0" fontId="12" fillId="0" borderId="3171" applyNumberFormat="0" applyFill="0" applyBorder="0" applyAlignment="0" applyProtection="0">
      <alignment horizontal="center"/>
    </xf>
    <xf numFmtId="0" fontId="113" fillId="0" borderId="3171" applyNumberFormat="0" applyFill="0" applyAlignment="0" applyProtection="0"/>
    <xf numFmtId="222" fontId="79" fillId="0" borderId="3170" applyBorder="0"/>
    <xf numFmtId="0" fontId="101" fillId="0" borderId="3171" applyBorder="0"/>
    <xf numFmtId="248" fontId="46" fillId="0" borderId="3171"/>
    <xf numFmtId="246" fontId="250" fillId="0" borderId="3171" applyFill="0" applyProtection="0">
      <alignment horizontal="center"/>
    </xf>
    <xf numFmtId="246" fontId="249" fillId="0" borderId="3171" applyFill="0" applyProtection="0">
      <alignment horizontal="center"/>
    </xf>
    <xf numFmtId="0" fontId="241" fillId="94" borderId="3171" applyBorder="0" applyProtection="0">
      <alignment horizontal="centerContinuous" vertical="center"/>
    </xf>
    <xf numFmtId="254" fontId="240" fillId="0" borderId="3171" applyBorder="0" applyProtection="0">
      <alignment horizontal="right" vertical="center"/>
    </xf>
    <xf numFmtId="0" fontId="210" fillId="0" borderId="3171" applyNumberFormat="0" applyFill="0" applyBorder="0" applyAlignment="0">
      <protection locked="0"/>
    </xf>
    <xf numFmtId="264" fontId="12" fillId="14" borderId="3171" applyFont="0" applyFill="0" applyBorder="0" applyAlignment="0" applyProtection="0">
      <alignment horizontal="right"/>
    </xf>
    <xf numFmtId="0" fontId="166" fillId="0" borderId="3171">
      <alignment horizontal="center"/>
    </xf>
    <xf numFmtId="0" fontId="165" fillId="0" borderId="3171" applyFill="0" applyProtection="0">
      <alignment horizontal="center"/>
    </xf>
    <xf numFmtId="186" fontId="146" fillId="3" borderId="3171" applyBorder="0">
      <alignment horizontal="left" vertical="center"/>
    </xf>
    <xf numFmtId="180" fontId="9" fillId="3" borderId="3171">
      <alignment horizontal="right" vertical="center"/>
    </xf>
    <xf numFmtId="192" fontId="9" fillId="3" borderId="3171">
      <alignment horizontal="right" vertical="center"/>
    </xf>
    <xf numFmtId="248" fontId="46" fillId="0" borderId="3171"/>
    <xf numFmtId="0" fontId="12" fillId="0" borderId="3171" applyNumberFormat="0" applyFill="0" applyBorder="0" applyAlignment="0" applyProtection="0">
      <alignment horizontal="center"/>
    </xf>
    <xf numFmtId="0" fontId="113" fillId="0" borderId="3171" applyNumberFormat="0" applyFill="0" applyAlignment="0" applyProtection="0"/>
    <xf numFmtId="222" fontId="79" fillId="0" borderId="3170" applyBorder="0"/>
    <xf numFmtId="0" fontId="101" fillId="0" borderId="3171" applyBorder="0"/>
    <xf numFmtId="0" fontId="113" fillId="0" borderId="4191" applyNumberFormat="0" applyFill="0" applyAlignment="0" applyProtection="0"/>
    <xf numFmtId="0" fontId="101" fillId="0" borderId="4191" applyBorder="0"/>
    <xf numFmtId="0" fontId="214" fillId="0" borderId="4197" applyNumberFormat="0" applyFont="0" applyFill="0" applyAlignment="0" applyProtection="0"/>
    <xf numFmtId="222" fontId="79" fillId="0" borderId="4202" applyBorder="0"/>
    <xf numFmtId="0" fontId="25" fillId="10" borderId="4198" applyNumberFormat="0" applyProtection="0">
      <alignment horizontal="left" vertical="top"/>
    </xf>
    <xf numFmtId="186" fontId="146" fillId="3" borderId="4194">
      <alignment horizontal="left"/>
    </xf>
    <xf numFmtId="0" fontId="12" fillId="0" borderId="4191" applyNumberFormat="0" applyFill="0" applyBorder="0" applyAlignment="0" applyProtection="0">
      <alignment horizontal="center"/>
    </xf>
    <xf numFmtId="190" fontId="25" fillId="10" borderId="3238" applyNumberFormat="0" applyProtection="0">
      <alignment horizontal="left" vertical="top"/>
    </xf>
    <xf numFmtId="190" fontId="25" fillId="10" borderId="3239" applyNumberFormat="0" applyProtection="0">
      <alignment horizontal="left" vertical="top"/>
    </xf>
    <xf numFmtId="190" fontId="25" fillId="10" borderId="3240" applyNumberFormat="0" applyProtection="0">
      <alignment horizontal="left" vertical="top"/>
    </xf>
    <xf numFmtId="190" fontId="25" fillId="10" borderId="3241" applyNumberFormat="0" applyProtection="0">
      <alignment horizontal="left" vertical="top"/>
    </xf>
    <xf numFmtId="190" fontId="241" fillId="94" borderId="3255" applyBorder="0" applyProtection="0">
      <alignment horizontal="centerContinuous" vertical="center"/>
    </xf>
    <xf numFmtId="222" fontId="79" fillId="0" borderId="3254" applyBorder="0"/>
    <xf numFmtId="0" fontId="101" fillId="0" borderId="3255" applyBorder="0"/>
    <xf numFmtId="222" fontId="79" fillId="0" borderId="3254" applyBorder="0"/>
    <xf numFmtId="0" fontId="113" fillId="0" borderId="3255" applyNumberFormat="0" applyFill="0" applyAlignment="0" applyProtection="0"/>
    <xf numFmtId="0" fontId="75" fillId="0" borderId="3232" applyNumberFormat="0" applyFont="0" applyFill="0" applyAlignment="0" applyProtection="0"/>
    <xf numFmtId="0" fontId="12" fillId="0" borderId="3255" applyNumberFormat="0" applyFill="0" applyBorder="0" applyAlignment="0" applyProtection="0">
      <alignment horizontal="center"/>
    </xf>
    <xf numFmtId="248" fontId="46" fillId="0" borderId="3255"/>
    <xf numFmtId="192" fontId="9" fillId="3" borderId="3255">
      <alignment horizontal="right" vertical="center"/>
    </xf>
    <xf numFmtId="180" fontId="9" fillId="3" borderId="3255">
      <alignment horizontal="right" vertical="center"/>
    </xf>
    <xf numFmtId="186" fontId="146" fillId="3" borderId="3255" applyBorder="0">
      <alignment horizontal="left" vertical="center"/>
    </xf>
    <xf numFmtId="186" fontId="146" fillId="3" borderId="3234">
      <alignment horizontal="left"/>
    </xf>
    <xf numFmtId="186" fontId="140" fillId="3" borderId="3235">
      <alignment horizontal="center" vertical="center"/>
    </xf>
    <xf numFmtId="0" fontId="165" fillId="0" borderId="3255" applyFill="0" applyProtection="0">
      <alignment horizontal="center"/>
    </xf>
    <xf numFmtId="0" fontId="166" fillId="0" borderId="3255">
      <alignment horizontal="center"/>
    </xf>
    <xf numFmtId="264" fontId="12" fillId="14" borderId="3255" applyFont="0" applyFill="0" applyBorder="0" applyAlignment="0" applyProtection="0">
      <alignment horizontal="right"/>
    </xf>
    <xf numFmtId="0" fontId="210" fillId="0" borderId="3255" applyNumberFormat="0" applyFill="0" applyBorder="0" applyAlignment="0">
      <protection locked="0"/>
    </xf>
    <xf numFmtId="0" fontId="2" fillId="0" borderId="3236" applyNumberFormat="0" applyAlignment="0" applyProtection="0"/>
    <xf numFmtId="0" fontId="214" fillId="0" borderId="3237" applyNumberFormat="0" applyFont="0" applyFill="0" applyAlignment="0" applyProtection="0"/>
    <xf numFmtId="0" fontId="25" fillId="10" borderId="3238" applyNumberFormat="0" applyProtection="0">
      <alignment horizontal="left" vertical="top"/>
    </xf>
    <xf numFmtId="0" fontId="25" fillId="10" borderId="3239" applyNumberFormat="0" applyProtection="0">
      <alignment horizontal="left" vertical="top"/>
    </xf>
    <xf numFmtId="0" fontId="25" fillId="10" borderId="3240" applyNumberFormat="0" applyProtection="0">
      <alignment horizontal="left" vertical="top"/>
    </xf>
    <xf numFmtId="0" fontId="25" fillId="10" borderId="3241" applyNumberFormat="0" applyProtection="0">
      <alignment horizontal="left" vertical="top"/>
    </xf>
    <xf numFmtId="0" fontId="25" fillId="10" borderId="3238" applyNumberFormat="0" applyProtection="0">
      <alignment horizontal="left" vertical="top"/>
    </xf>
    <xf numFmtId="0" fontId="25" fillId="10" borderId="3239" applyNumberFormat="0" applyProtection="0">
      <alignment horizontal="left" vertical="top"/>
    </xf>
    <xf numFmtId="0" fontId="25" fillId="10" borderId="3240" applyNumberFormat="0" applyProtection="0">
      <alignment horizontal="left" vertical="top"/>
    </xf>
    <xf numFmtId="0" fontId="25" fillId="10" borderId="3241" applyNumberFormat="0" applyProtection="0">
      <alignment horizontal="left" vertical="top"/>
    </xf>
    <xf numFmtId="254" fontId="240" fillId="0" borderId="3255" applyBorder="0" applyProtection="0">
      <alignment horizontal="right" vertical="center"/>
    </xf>
    <xf numFmtId="0" fontId="241" fillId="94" borderId="3255" applyBorder="0" applyProtection="0">
      <alignment horizontal="centerContinuous" vertical="center"/>
    </xf>
    <xf numFmtId="246" fontId="249" fillId="0" borderId="3255" applyFill="0" applyProtection="0">
      <alignment horizontal="center"/>
    </xf>
    <xf numFmtId="246" fontId="250" fillId="0" borderId="3255" applyFill="0" applyProtection="0">
      <alignment horizontal="center"/>
    </xf>
    <xf numFmtId="312" fontId="101" fillId="0" borderId="3255" applyBorder="0"/>
    <xf numFmtId="312" fontId="113" fillId="0" borderId="3255" applyNumberFormat="0" applyFill="0" applyAlignment="0" applyProtection="0"/>
    <xf numFmtId="312" fontId="75" fillId="0" borderId="3232" applyNumberFormat="0" applyFont="0" applyFill="0" applyAlignment="0" applyProtection="0"/>
    <xf numFmtId="312" fontId="12" fillId="0" borderId="3255" applyNumberFormat="0" applyFill="0" applyBorder="0" applyAlignment="0" applyProtection="0">
      <alignment horizontal="center"/>
    </xf>
    <xf numFmtId="312" fontId="78" fillId="14" borderId="3064" applyFont="0" applyFill="0" applyBorder="0" applyAlignment="0" applyProtection="0"/>
    <xf numFmtId="312" fontId="165" fillId="0" borderId="3255" applyFill="0" applyProtection="0">
      <alignment horizontal="center"/>
    </xf>
    <xf numFmtId="312" fontId="242" fillId="0" borderId="3255">
      <alignment horizontal="center"/>
    </xf>
    <xf numFmtId="222" fontId="79" fillId="0" borderId="4214" applyBorder="0"/>
    <xf numFmtId="192" fontId="9" fillId="3" borderId="4191">
      <alignment horizontal="right" vertical="center"/>
    </xf>
    <xf numFmtId="312" fontId="210" fillId="0" borderId="3255" applyNumberFormat="0" applyFill="0" applyBorder="0" applyAlignment="0">
      <protection locked="0"/>
    </xf>
    <xf numFmtId="312" fontId="2" fillId="0" borderId="3236" applyNumberFormat="0" applyAlignment="0" applyProtection="0"/>
    <xf numFmtId="312" fontId="214" fillId="0" borderId="3237" applyNumberFormat="0" applyFont="0" applyFill="0" applyAlignment="0" applyProtection="0"/>
    <xf numFmtId="180" fontId="9" fillId="3" borderId="4035">
      <alignment horizontal="right" vertical="center"/>
    </xf>
    <xf numFmtId="0" fontId="113" fillId="0" borderId="4023" applyNumberFormat="0" applyFill="0" applyAlignment="0" applyProtection="0"/>
    <xf numFmtId="186" fontId="146" fillId="3" borderId="4227" applyBorder="0">
      <alignment horizontal="left" vertical="center"/>
    </xf>
    <xf numFmtId="0" fontId="25" fillId="10" borderId="4198" applyNumberFormat="0" applyProtection="0">
      <alignment horizontal="left" vertical="top"/>
    </xf>
    <xf numFmtId="254" fontId="240" fillId="0" borderId="4191" applyBorder="0" applyProtection="0">
      <alignment horizontal="right" vertical="center"/>
    </xf>
    <xf numFmtId="0" fontId="214" fillId="0" borderId="4197" applyNumberFormat="0" applyFont="0" applyFill="0" applyAlignment="0" applyProtection="0"/>
    <xf numFmtId="0" fontId="25" fillId="10" borderId="4198" applyNumberFormat="0" applyProtection="0">
      <alignment horizontal="left" vertical="top"/>
    </xf>
    <xf numFmtId="0" fontId="78" fillId="14" borderId="4193" applyFont="0" applyFill="0" applyBorder="0" applyAlignment="0" applyProtection="0"/>
    <xf numFmtId="0" fontId="25" fillId="10" borderId="4201" applyNumberFormat="0" applyProtection="0">
      <alignment horizontal="left" vertical="top"/>
    </xf>
    <xf numFmtId="0" fontId="2" fillId="0" borderId="4196" applyNumberFormat="0" applyAlignment="0" applyProtection="0"/>
    <xf numFmtId="0" fontId="25" fillId="10" borderId="4201" applyNumberFormat="0" applyProtection="0">
      <alignment horizontal="left" vertical="top"/>
    </xf>
    <xf numFmtId="312" fontId="25" fillId="10" borderId="3238" applyNumberFormat="0" applyProtection="0">
      <alignment horizontal="left" vertical="top"/>
    </xf>
    <xf numFmtId="312" fontId="25" fillId="10" borderId="3239" applyNumberFormat="0" applyProtection="0">
      <alignment horizontal="left" vertical="top"/>
    </xf>
    <xf numFmtId="312" fontId="25" fillId="10" borderId="3240" applyNumberFormat="0" applyProtection="0">
      <alignment horizontal="left" vertical="top"/>
    </xf>
    <xf numFmtId="312" fontId="25" fillId="10" borderId="3241" applyNumberFormat="0" applyProtection="0">
      <alignment horizontal="left" vertical="top"/>
    </xf>
    <xf numFmtId="312" fontId="241" fillId="94" borderId="3255" applyBorder="0" applyProtection="0">
      <alignment horizontal="centerContinuous" vertical="center"/>
    </xf>
    <xf numFmtId="246" fontId="296" fillId="0" borderId="3255" applyFill="0" applyProtection="0">
      <alignment horizontal="center"/>
    </xf>
    <xf numFmtId="312" fontId="101" fillId="0" borderId="3255" applyBorder="0"/>
    <xf numFmtId="312" fontId="113" fillId="0" borderId="3255" applyNumberFormat="0" applyFill="0" applyAlignment="0" applyProtection="0"/>
    <xf numFmtId="312" fontId="75" fillId="0" borderId="3232" applyNumberFormat="0" applyFont="0" applyFill="0" applyAlignment="0" applyProtection="0"/>
    <xf numFmtId="312" fontId="12" fillId="0" borderId="3255" applyNumberFormat="0" applyFill="0" applyBorder="0" applyAlignment="0" applyProtection="0">
      <alignment horizontal="center"/>
    </xf>
    <xf numFmtId="312" fontId="78" fillId="14" borderId="3064" applyFont="0" applyFill="0" applyBorder="0" applyAlignment="0" applyProtection="0"/>
    <xf numFmtId="312" fontId="165" fillId="0" borderId="3255" applyFill="0" applyProtection="0">
      <alignment horizontal="center"/>
    </xf>
    <xf numFmtId="312" fontId="242" fillId="0" borderId="3255">
      <alignment horizontal="center"/>
    </xf>
    <xf numFmtId="312" fontId="210" fillId="0" borderId="3255" applyNumberFormat="0" applyFill="0" applyBorder="0" applyAlignment="0">
      <protection locked="0"/>
    </xf>
    <xf numFmtId="312" fontId="2" fillId="0" borderId="3236" applyNumberFormat="0" applyAlignment="0" applyProtection="0"/>
    <xf numFmtId="312" fontId="214" fillId="0" borderId="3237" applyNumberFormat="0" applyFont="0" applyFill="0" applyAlignment="0" applyProtection="0"/>
    <xf numFmtId="312" fontId="25" fillId="10" borderId="3238" applyNumberFormat="0" applyProtection="0">
      <alignment horizontal="left" vertical="top"/>
    </xf>
    <xf numFmtId="312" fontId="25" fillId="10" borderId="3239" applyNumberFormat="0" applyProtection="0">
      <alignment horizontal="left" vertical="top"/>
    </xf>
    <xf numFmtId="312" fontId="25" fillId="10" borderId="3240" applyNumberFormat="0" applyProtection="0">
      <alignment horizontal="left" vertical="top"/>
    </xf>
    <xf numFmtId="312" fontId="25" fillId="10" borderId="3241" applyNumberFormat="0" applyProtection="0">
      <alignment horizontal="left" vertical="top"/>
    </xf>
    <xf numFmtId="312" fontId="25" fillId="10" borderId="3238" applyNumberFormat="0" applyProtection="0">
      <alignment horizontal="left" vertical="top"/>
    </xf>
    <xf numFmtId="312" fontId="25" fillId="10" borderId="3239" applyNumberFormat="0" applyProtection="0">
      <alignment horizontal="left" vertical="top"/>
    </xf>
    <xf numFmtId="312" fontId="25" fillId="10" borderId="3240" applyNumberFormat="0" applyProtection="0">
      <alignment horizontal="left" vertical="top"/>
    </xf>
    <xf numFmtId="312" fontId="25" fillId="10" borderId="3241" applyNumberFormat="0" applyProtection="0">
      <alignment horizontal="left" vertical="top"/>
    </xf>
    <xf numFmtId="312" fontId="241" fillId="94" borderId="3255" applyBorder="0" applyProtection="0">
      <alignment horizontal="centerContinuous" vertical="center"/>
    </xf>
    <xf numFmtId="246" fontId="296" fillId="0" borderId="3255" applyFill="0" applyProtection="0">
      <alignment horizontal="center"/>
    </xf>
    <xf numFmtId="264" fontId="12" fillId="14" borderId="4215" applyFont="0" applyFill="0" applyBorder="0" applyAlignment="0" applyProtection="0">
      <alignment horizontal="right"/>
    </xf>
    <xf numFmtId="0" fontId="101" fillId="0" borderId="4239" applyBorder="0"/>
    <xf numFmtId="246" fontId="250" fillId="0" borderId="3255" applyFill="0" applyProtection="0">
      <alignment horizontal="center"/>
    </xf>
    <xf numFmtId="246" fontId="249" fillId="0" borderId="3255" applyFill="0" applyProtection="0">
      <alignment horizontal="center"/>
    </xf>
    <xf numFmtId="0" fontId="241" fillId="94" borderId="3255" applyBorder="0" applyProtection="0">
      <alignment horizontal="centerContinuous" vertical="center"/>
    </xf>
    <xf numFmtId="254" fontId="240" fillId="0" borderId="3255" applyBorder="0" applyProtection="0">
      <alignment horizontal="right" vertical="center"/>
    </xf>
    <xf numFmtId="0" fontId="25" fillId="10" borderId="3193" applyNumberFormat="0" applyProtection="0">
      <alignment horizontal="left" vertical="top"/>
    </xf>
    <xf numFmtId="0" fontId="25" fillId="10" borderId="3192" applyNumberFormat="0" applyProtection="0">
      <alignment horizontal="left" vertical="top"/>
    </xf>
    <xf numFmtId="0" fontId="25" fillId="10" borderId="3191" applyNumberFormat="0" applyProtection="0">
      <alignment horizontal="left" vertical="top"/>
    </xf>
    <xf numFmtId="0" fontId="25" fillId="10" borderId="3190" applyNumberFormat="0" applyProtection="0">
      <alignment horizontal="left" vertical="top"/>
    </xf>
    <xf numFmtId="0" fontId="166" fillId="0" borderId="4191">
      <alignment horizontal="center"/>
    </xf>
    <xf numFmtId="0" fontId="2" fillId="0" borderId="4196" applyNumberFormat="0" applyAlignment="0" applyProtection="0"/>
    <xf numFmtId="222" fontId="79" fillId="0" borderId="4202" applyBorder="0"/>
    <xf numFmtId="0" fontId="25" fillId="10" borderId="4104" applyNumberFormat="0" applyProtection="0">
      <alignment horizontal="left" vertical="top"/>
    </xf>
    <xf numFmtId="0" fontId="113" fillId="0" borderId="4047" applyNumberFormat="0" applyFill="0" applyAlignment="0" applyProtection="0"/>
    <xf numFmtId="0" fontId="214" fillId="0" borderId="3189" applyNumberFormat="0" applyFont="0" applyFill="0" applyAlignment="0" applyProtection="0"/>
    <xf numFmtId="0" fontId="2" fillId="0" borderId="3188" applyNumberFormat="0" applyAlignment="0" applyProtection="0"/>
    <xf numFmtId="0" fontId="210" fillId="0" borderId="3255" applyNumberFormat="0" applyFill="0" applyBorder="0" applyAlignment="0">
      <protection locked="0"/>
    </xf>
    <xf numFmtId="186" fontId="146" fillId="3" borderId="4215" applyBorder="0">
      <alignment horizontal="left" vertical="center"/>
    </xf>
    <xf numFmtId="264" fontId="12" fillId="14" borderId="3255" applyFont="0" applyFill="0" applyBorder="0" applyAlignment="0" applyProtection="0">
      <alignment horizontal="right"/>
    </xf>
    <xf numFmtId="0" fontId="166" fillId="0" borderId="3255">
      <alignment horizontal="center"/>
    </xf>
    <xf numFmtId="0" fontId="165" fillId="0" borderId="3255" applyFill="0" applyProtection="0">
      <alignment horizontal="center"/>
    </xf>
    <xf numFmtId="186" fontId="140" fillId="3" borderId="3187">
      <alignment horizontal="center" vertical="center"/>
    </xf>
    <xf numFmtId="186" fontId="146" fillId="3" borderId="3186">
      <alignment horizontal="left"/>
    </xf>
    <xf numFmtId="186" fontId="146" fillId="3" borderId="3255" applyBorder="0">
      <alignment horizontal="left" vertical="center"/>
    </xf>
    <xf numFmtId="180" fontId="9" fillId="3" borderId="3255">
      <alignment horizontal="right" vertical="center"/>
    </xf>
    <xf numFmtId="192" fontId="9" fillId="3" borderId="3255">
      <alignment horizontal="right" vertical="center"/>
    </xf>
    <xf numFmtId="248" fontId="46" fillId="0" borderId="3255"/>
    <xf numFmtId="0" fontId="78" fillId="14" borderId="3185" applyFont="0" applyFill="0" applyBorder="0" applyAlignment="0" applyProtection="0"/>
    <xf numFmtId="0" fontId="12" fillId="0" borderId="3255" applyNumberFormat="0" applyFill="0" applyBorder="0" applyAlignment="0" applyProtection="0">
      <alignment horizontal="center"/>
    </xf>
    <xf numFmtId="0" fontId="75" fillId="0" borderId="3184" applyNumberFormat="0" applyFont="0" applyFill="0" applyAlignment="0" applyProtection="0"/>
    <xf numFmtId="0" fontId="113" fillId="0" borderId="3255" applyNumberFormat="0" applyFill="0" applyAlignment="0" applyProtection="0"/>
    <xf numFmtId="222" fontId="79" fillId="0" borderId="3254" applyBorder="0"/>
    <xf numFmtId="0" fontId="101" fillId="0" borderId="3255" applyBorder="0"/>
    <xf numFmtId="0" fontId="166" fillId="0" borderId="4023">
      <alignment horizontal="center"/>
    </xf>
    <xf numFmtId="0" fontId="25" fillId="10" borderId="3370" applyNumberFormat="0" applyProtection="0">
      <alignment horizontal="left" vertical="top"/>
    </xf>
    <xf numFmtId="0" fontId="75" fillId="0" borderId="4024" applyNumberFormat="0" applyFont="0" applyFill="0" applyAlignment="0" applyProtection="0"/>
    <xf numFmtId="254" fontId="240" fillId="0" borderId="4203" applyBorder="0" applyProtection="0">
      <alignment horizontal="right" vertical="center"/>
    </xf>
    <xf numFmtId="0" fontId="25" fillId="10" borderId="3262" applyNumberFormat="0" applyProtection="0">
      <alignment horizontal="left" vertical="top"/>
    </xf>
    <xf numFmtId="0" fontId="25" fillId="10" borderId="3263" applyNumberFormat="0" applyProtection="0">
      <alignment horizontal="left" vertical="top"/>
    </xf>
    <xf numFmtId="0" fontId="25" fillId="10" borderId="3264" applyNumberFormat="0" applyProtection="0">
      <alignment horizontal="left" vertical="top"/>
    </xf>
    <xf numFmtId="0" fontId="25" fillId="10" borderId="3265" applyNumberFormat="0" applyProtection="0">
      <alignment horizontal="left" vertical="top"/>
    </xf>
    <xf numFmtId="246" fontId="250" fillId="0" borderId="3195" applyFill="0" applyProtection="0">
      <alignment horizontal="center"/>
    </xf>
    <xf numFmtId="246" fontId="249" fillId="0" borderId="3195" applyFill="0" applyProtection="0">
      <alignment horizontal="center"/>
    </xf>
    <xf numFmtId="0" fontId="241" fillId="94" borderId="3195" applyBorder="0" applyProtection="0">
      <alignment horizontal="centerContinuous" vertical="center"/>
    </xf>
    <xf numFmtId="254" fontId="240" fillId="0" borderId="3195" applyBorder="0" applyProtection="0">
      <alignment horizontal="right" vertical="center"/>
    </xf>
    <xf numFmtId="248" fontId="46" fillId="0" borderId="4215"/>
    <xf numFmtId="0" fontId="210" fillId="0" borderId="3195" applyNumberFormat="0" applyFill="0" applyBorder="0" applyAlignment="0">
      <protection locked="0"/>
    </xf>
    <xf numFmtId="264" fontId="12" fillId="14" borderId="3195" applyFont="0" applyFill="0" applyBorder="0" applyAlignment="0" applyProtection="0">
      <alignment horizontal="right"/>
    </xf>
    <xf numFmtId="0" fontId="166" fillId="0" borderId="3195">
      <alignment horizontal="center"/>
    </xf>
    <xf numFmtId="0" fontId="165" fillId="0" borderId="3195" applyFill="0" applyProtection="0">
      <alignment horizontal="center"/>
    </xf>
    <xf numFmtId="186" fontId="146" fillId="3" borderId="3195" applyBorder="0">
      <alignment horizontal="left" vertical="center"/>
    </xf>
    <xf numFmtId="180" fontId="9" fillId="3" borderId="3195">
      <alignment horizontal="right" vertical="center"/>
    </xf>
    <xf numFmtId="192" fontId="9" fillId="3" borderId="3195">
      <alignment horizontal="right" vertical="center"/>
    </xf>
    <xf numFmtId="248" fontId="46" fillId="0" borderId="3195"/>
    <xf numFmtId="0" fontId="12" fillId="0" borderId="3195" applyNumberFormat="0" applyFill="0" applyBorder="0" applyAlignment="0" applyProtection="0">
      <alignment horizontal="center"/>
    </xf>
    <xf numFmtId="0" fontId="113" fillId="0" borderId="3195" applyNumberFormat="0" applyFill="0" applyAlignment="0" applyProtection="0"/>
    <xf numFmtId="222" fontId="79" fillId="0" borderId="3073" applyBorder="0"/>
    <xf numFmtId="0" fontId="101" fillId="0" borderId="3195" applyBorder="0"/>
    <xf numFmtId="246" fontId="250" fillId="0" borderId="3195" applyFill="0" applyProtection="0">
      <alignment horizontal="center"/>
    </xf>
    <xf numFmtId="246" fontId="249" fillId="0" borderId="3195" applyFill="0" applyProtection="0">
      <alignment horizontal="center"/>
    </xf>
    <xf numFmtId="0" fontId="241" fillId="94" borderId="3195" applyBorder="0" applyProtection="0">
      <alignment horizontal="centerContinuous" vertical="center"/>
    </xf>
    <xf numFmtId="254" fontId="240" fillId="0" borderId="3195" applyBorder="0" applyProtection="0">
      <alignment horizontal="right" vertical="center"/>
    </xf>
    <xf numFmtId="186" fontId="140" fillId="3" borderId="4195">
      <alignment horizontal="center" vertical="center"/>
    </xf>
    <xf numFmtId="0" fontId="166" fillId="0" borderId="4227">
      <alignment horizontal="center"/>
    </xf>
    <xf numFmtId="0" fontId="25" fillId="10" borderId="4069" applyNumberFormat="0" applyProtection="0">
      <alignment horizontal="left" vertical="top"/>
    </xf>
    <xf numFmtId="0" fontId="12" fillId="0" borderId="4047" applyNumberFormat="0" applyFill="0" applyBorder="0" applyAlignment="0" applyProtection="0">
      <alignment horizontal="center"/>
    </xf>
    <xf numFmtId="254" fontId="240" fillId="0" borderId="4035" applyBorder="0" applyProtection="0">
      <alignment horizontal="right" vertical="center"/>
    </xf>
    <xf numFmtId="0" fontId="210" fillId="0" borderId="3195" applyNumberFormat="0" applyFill="0" applyBorder="0" applyAlignment="0">
      <protection locked="0"/>
    </xf>
    <xf numFmtId="264" fontId="12" fillId="14" borderId="3195" applyFont="0" applyFill="0" applyBorder="0" applyAlignment="0" applyProtection="0">
      <alignment horizontal="right"/>
    </xf>
    <xf numFmtId="0" fontId="166" fillId="0" borderId="3195">
      <alignment horizontal="center"/>
    </xf>
    <xf numFmtId="0" fontId="165" fillId="0" borderId="3195" applyFill="0" applyProtection="0">
      <alignment horizontal="center"/>
    </xf>
    <xf numFmtId="186" fontId="146" fillId="3" borderId="3195" applyBorder="0">
      <alignment horizontal="left" vertical="center"/>
    </xf>
    <xf numFmtId="180" fontId="9" fillId="3" borderId="3195">
      <alignment horizontal="right" vertical="center"/>
    </xf>
    <xf numFmtId="192" fontId="9" fillId="3" borderId="3195">
      <alignment horizontal="right" vertical="center"/>
    </xf>
    <xf numFmtId="0" fontId="12" fillId="0" borderId="3195" applyNumberFormat="0" applyFill="0" applyBorder="0" applyAlignment="0" applyProtection="0">
      <alignment horizontal="center"/>
    </xf>
    <xf numFmtId="0" fontId="113" fillId="0" borderId="3195" applyNumberFormat="0" applyFill="0" applyAlignment="0" applyProtection="0"/>
    <xf numFmtId="222" fontId="79" fillId="0" borderId="3073" applyBorder="0"/>
    <xf numFmtId="0" fontId="101" fillId="0" borderId="3195" applyBorder="0"/>
    <xf numFmtId="248" fontId="46" fillId="0" borderId="3195"/>
    <xf numFmtId="246" fontId="250" fillId="0" borderId="3195" applyFill="0" applyProtection="0">
      <alignment horizontal="center"/>
    </xf>
    <xf numFmtId="246" fontId="249" fillId="0" borderId="3195" applyFill="0" applyProtection="0">
      <alignment horizontal="center"/>
    </xf>
    <xf numFmtId="0" fontId="241" fillId="94" borderId="3195" applyBorder="0" applyProtection="0">
      <alignment horizontal="centerContinuous" vertical="center"/>
    </xf>
    <xf numFmtId="254" fontId="240" fillId="0" borderId="3195" applyBorder="0" applyProtection="0">
      <alignment horizontal="right" vertical="center"/>
    </xf>
    <xf numFmtId="0" fontId="210" fillId="0" borderId="3195" applyNumberFormat="0" applyFill="0" applyBorder="0" applyAlignment="0">
      <protection locked="0"/>
    </xf>
    <xf numFmtId="264" fontId="12" fillId="14" borderId="3195" applyFont="0" applyFill="0" applyBorder="0" applyAlignment="0" applyProtection="0">
      <alignment horizontal="right"/>
    </xf>
    <xf numFmtId="0" fontId="166" fillId="0" borderId="3195">
      <alignment horizontal="center"/>
    </xf>
    <xf numFmtId="0" fontId="165" fillId="0" borderId="3195" applyFill="0" applyProtection="0">
      <alignment horizontal="center"/>
    </xf>
    <xf numFmtId="186" fontId="146" fillId="3" borderId="3195" applyBorder="0">
      <alignment horizontal="left" vertical="center"/>
    </xf>
    <xf numFmtId="180" fontId="9" fillId="3" borderId="3195">
      <alignment horizontal="right" vertical="center"/>
    </xf>
    <xf numFmtId="192" fontId="9" fillId="3" borderId="3195">
      <alignment horizontal="right" vertical="center"/>
    </xf>
    <xf numFmtId="248" fontId="46" fillId="0" borderId="3195"/>
    <xf numFmtId="0" fontId="12" fillId="0" borderId="3195" applyNumberFormat="0" applyFill="0" applyBorder="0" applyAlignment="0" applyProtection="0">
      <alignment horizontal="center"/>
    </xf>
    <xf numFmtId="0" fontId="113" fillId="0" borderId="3195" applyNumberFormat="0" applyFill="0" applyAlignment="0" applyProtection="0"/>
    <xf numFmtId="222" fontId="79" fillId="0" borderId="3073" applyBorder="0"/>
    <xf numFmtId="0" fontId="101" fillId="0" borderId="3195" applyBorder="0"/>
    <xf numFmtId="222" fontId="79" fillId="0" borderId="3266" applyBorder="0"/>
    <xf numFmtId="0" fontId="101" fillId="0" borderId="3267" applyBorder="0"/>
    <xf numFmtId="222" fontId="79" fillId="0" borderId="3266" applyBorder="0"/>
    <xf numFmtId="0" fontId="113" fillId="0" borderId="3267" applyNumberFormat="0" applyFill="0" applyAlignment="0" applyProtection="0"/>
    <xf numFmtId="0" fontId="12" fillId="0" borderId="3267" applyNumberFormat="0" applyFill="0" applyBorder="0" applyAlignment="0" applyProtection="0">
      <alignment horizontal="center"/>
    </xf>
    <xf numFmtId="248" fontId="46" fillId="0" borderId="3267"/>
    <xf numFmtId="192" fontId="9" fillId="3" borderId="3267">
      <alignment horizontal="right" vertical="center"/>
    </xf>
    <xf numFmtId="180" fontId="9" fillId="3" borderId="3267">
      <alignment horizontal="right" vertical="center"/>
    </xf>
    <xf numFmtId="186" fontId="146" fillId="3" borderId="3267" applyBorder="0">
      <alignment horizontal="left" vertical="center"/>
    </xf>
    <xf numFmtId="0" fontId="165" fillId="0" borderId="3267" applyFill="0" applyProtection="0">
      <alignment horizontal="center"/>
    </xf>
    <xf numFmtId="0" fontId="166" fillId="0" borderId="3267">
      <alignment horizontal="center"/>
    </xf>
    <xf numFmtId="264" fontId="12" fillId="14" borderId="3267" applyFont="0" applyFill="0" applyBorder="0" applyAlignment="0" applyProtection="0">
      <alignment horizontal="right"/>
    </xf>
    <xf numFmtId="0" fontId="210" fillId="0" borderId="3267" applyNumberFormat="0" applyFill="0" applyBorder="0" applyAlignment="0">
      <protection locked="0"/>
    </xf>
    <xf numFmtId="254" fontId="240" fillId="0" borderId="3267" applyBorder="0" applyProtection="0">
      <alignment horizontal="right" vertical="center"/>
    </xf>
    <xf numFmtId="0" fontId="241" fillId="94" borderId="3267" applyBorder="0" applyProtection="0">
      <alignment horizontal="centerContinuous" vertical="center"/>
    </xf>
    <xf numFmtId="246" fontId="249" fillId="0" borderId="3267" applyFill="0" applyProtection="0">
      <alignment horizontal="center"/>
    </xf>
    <xf numFmtId="246" fontId="250" fillId="0" borderId="3267" applyFill="0" applyProtection="0">
      <alignment horizontal="center"/>
    </xf>
    <xf numFmtId="0" fontId="78" fillId="14" borderId="3269" applyFont="0" applyFill="0" applyBorder="0" applyAlignment="0" applyProtection="0"/>
    <xf numFmtId="0" fontId="25" fillId="10" borderId="3277" applyNumberFormat="0" applyProtection="0">
      <alignment horizontal="left" vertical="top"/>
    </xf>
    <xf numFmtId="0" fontId="25" fillId="10" borderId="3276" applyNumberFormat="0" applyProtection="0">
      <alignment horizontal="left" vertical="top"/>
    </xf>
    <xf numFmtId="0" fontId="25" fillId="10" borderId="3275" applyNumberFormat="0" applyProtection="0">
      <alignment horizontal="left" vertical="top"/>
    </xf>
    <xf numFmtId="0" fontId="25" fillId="10" borderId="3274" applyNumberFormat="0" applyProtection="0">
      <alignment horizontal="left" vertical="top"/>
    </xf>
    <xf numFmtId="0" fontId="214" fillId="0" borderId="3273" applyNumberFormat="0" applyFont="0" applyFill="0" applyAlignment="0" applyProtection="0"/>
    <xf numFmtId="0" fontId="2" fillId="0" borderId="3272" applyNumberFormat="0" applyAlignment="0" applyProtection="0"/>
    <xf numFmtId="186" fontId="140" fillId="3" borderId="3271">
      <alignment horizontal="center" vertical="center"/>
    </xf>
    <xf numFmtId="186" fontId="146" fillId="3" borderId="3270">
      <alignment horizontal="left"/>
    </xf>
    <xf numFmtId="0" fontId="75" fillId="0" borderId="3268" applyNumberFormat="0" applyFont="0" applyFill="0" applyAlignment="0" applyProtection="0"/>
    <xf numFmtId="222" fontId="79" fillId="0" borderId="3278" applyBorder="0"/>
    <xf numFmtId="0" fontId="101" fillId="0" borderId="3279" applyBorder="0"/>
    <xf numFmtId="222" fontId="79" fillId="0" borderId="3278" applyBorder="0"/>
    <xf numFmtId="0" fontId="113" fillId="0" borderId="3279" applyNumberFormat="0" applyFill="0" applyAlignment="0" applyProtection="0"/>
    <xf numFmtId="0" fontId="12" fillId="0" borderId="3279" applyNumberFormat="0" applyFill="0" applyBorder="0" applyAlignment="0" applyProtection="0">
      <alignment horizontal="center"/>
    </xf>
    <xf numFmtId="248" fontId="46" fillId="0" borderId="3279"/>
    <xf numFmtId="192" fontId="9" fillId="3" borderId="3279">
      <alignment horizontal="right" vertical="center"/>
    </xf>
    <xf numFmtId="180" fontId="9" fillId="3" borderId="3279">
      <alignment horizontal="right" vertical="center"/>
    </xf>
    <xf numFmtId="186" fontId="146" fillId="3" borderId="3279" applyBorder="0">
      <alignment horizontal="left" vertical="center"/>
    </xf>
    <xf numFmtId="0" fontId="165" fillId="0" borderId="3279" applyFill="0" applyProtection="0">
      <alignment horizontal="center"/>
    </xf>
    <xf numFmtId="0" fontId="166" fillId="0" borderId="3279">
      <alignment horizontal="center"/>
    </xf>
    <xf numFmtId="264" fontId="12" fillId="14" borderId="3279" applyFont="0" applyFill="0" applyBorder="0" applyAlignment="0" applyProtection="0">
      <alignment horizontal="right"/>
    </xf>
    <xf numFmtId="0" fontId="210" fillId="0" borderId="3279" applyNumberFormat="0" applyFill="0" applyBorder="0" applyAlignment="0">
      <protection locked="0"/>
    </xf>
    <xf numFmtId="254" fontId="240" fillId="0" borderId="3279" applyBorder="0" applyProtection="0">
      <alignment horizontal="right" vertical="center"/>
    </xf>
    <xf numFmtId="0" fontId="241" fillId="94" borderId="3279" applyBorder="0" applyProtection="0">
      <alignment horizontal="centerContinuous" vertical="center"/>
    </xf>
    <xf numFmtId="246" fontId="249" fillId="0" borderId="3279" applyFill="0" applyProtection="0">
      <alignment horizontal="center"/>
    </xf>
    <xf numFmtId="246" fontId="250" fillId="0" borderId="3279" applyFill="0" applyProtection="0">
      <alignment horizontal="center"/>
    </xf>
    <xf numFmtId="186" fontId="146" fillId="3" borderId="3282">
      <alignment horizontal="left"/>
    </xf>
    <xf numFmtId="0" fontId="75" fillId="0" borderId="3280" applyNumberFormat="0" applyFont="0" applyFill="0" applyAlignment="0" applyProtection="0"/>
    <xf numFmtId="0" fontId="113" fillId="0" borderId="3363" applyNumberFormat="0" applyFill="0" applyAlignment="0" applyProtection="0"/>
    <xf numFmtId="264" fontId="12" fillId="14" borderId="3363" applyFont="0" applyFill="0" applyBorder="0" applyAlignment="0" applyProtection="0">
      <alignment horizontal="right"/>
    </xf>
    <xf numFmtId="246" fontId="249" fillId="0" borderId="3363" applyFill="0" applyProtection="0">
      <alignment horizontal="center"/>
    </xf>
    <xf numFmtId="0" fontId="25" fillId="10" borderId="3289" applyNumberFormat="0" applyProtection="0">
      <alignment horizontal="left" vertical="top"/>
    </xf>
    <xf numFmtId="0" fontId="25" fillId="10" borderId="3287" applyNumberFormat="0" applyProtection="0">
      <alignment horizontal="left" vertical="top"/>
    </xf>
    <xf numFmtId="0" fontId="25" fillId="10" borderId="3288" applyNumberFormat="0" applyProtection="0">
      <alignment horizontal="left" vertical="top"/>
    </xf>
    <xf numFmtId="0" fontId="25" fillId="10" borderId="3286" applyNumberFormat="0" applyProtection="0">
      <alignment horizontal="left" vertical="top"/>
    </xf>
    <xf numFmtId="0" fontId="25" fillId="10" borderId="3289" applyNumberFormat="0" applyProtection="0">
      <alignment horizontal="left" vertical="top"/>
    </xf>
    <xf numFmtId="0" fontId="25" fillId="10" borderId="3288" applyNumberFormat="0" applyProtection="0">
      <alignment horizontal="left" vertical="top"/>
    </xf>
    <xf numFmtId="0" fontId="25" fillId="10" borderId="3287" applyNumberFormat="0" applyProtection="0">
      <alignment horizontal="left" vertical="top"/>
    </xf>
    <xf numFmtId="0" fontId="25" fillId="10" borderId="3286" applyNumberFormat="0" applyProtection="0">
      <alignment horizontal="left" vertical="top"/>
    </xf>
    <xf numFmtId="0" fontId="214" fillId="0" borderId="3285" applyNumberFormat="0" applyFont="0" applyFill="0" applyAlignment="0" applyProtection="0"/>
    <xf numFmtId="0" fontId="2" fillId="0" borderId="3284" applyNumberFormat="0" applyAlignment="0" applyProtection="0"/>
    <xf numFmtId="186" fontId="140" fillId="3" borderId="3283">
      <alignment horizontal="center" vertical="center"/>
    </xf>
    <xf numFmtId="186" fontId="140" fillId="3" borderId="3295">
      <alignment horizontal="center" vertical="center"/>
    </xf>
    <xf numFmtId="0" fontId="25" fillId="10" borderId="3298" applyNumberFormat="0" applyProtection="0">
      <alignment horizontal="left" vertical="top"/>
    </xf>
    <xf numFmtId="0" fontId="12" fillId="0" borderId="3363" applyNumberFormat="0" applyFill="0" applyBorder="0" applyAlignment="0" applyProtection="0">
      <alignment horizontal="center"/>
    </xf>
    <xf numFmtId="0" fontId="25" fillId="10" borderId="3360" applyNumberFormat="0" applyProtection="0">
      <alignment horizontal="left" vertical="top"/>
    </xf>
    <xf numFmtId="222" fontId="79" fillId="0" borderId="3350" applyBorder="0"/>
    <xf numFmtId="0" fontId="78" fillId="14" borderId="3353" applyFont="0" applyFill="0" applyBorder="0" applyAlignment="0" applyProtection="0"/>
    <xf numFmtId="222" fontId="79" fillId="0" borderId="3362" applyBorder="0"/>
    <xf numFmtId="0" fontId="101" fillId="0" borderId="3363" applyBorder="0"/>
    <xf numFmtId="222" fontId="79" fillId="0" borderId="3362" applyBorder="0"/>
    <xf numFmtId="248" fontId="46" fillId="0" borderId="3363"/>
    <xf numFmtId="192" fontId="9" fillId="3" borderId="3363">
      <alignment horizontal="right" vertical="center"/>
    </xf>
    <xf numFmtId="180" fontId="9" fillId="3" borderId="3363">
      <alignment horizontal="right" vertical="center"/>
    </xf>
    <xf numFmtId="186" fontId="146" fillId="3" borderId="3363" applyBorder="0">
      <alignment horizontal="left" vertical="center"/>
    </xf>
    <xf numFmtId="0" fontId="165" fillId="0" borderId="3363" applyFill="0" applyProtection="0">
      <alignment horizontal="center"/>
    </xf>
    <xf numFmtId="0" fontId="210" fillId="0" borderId="3363" applyNumberFormat="0" applyFill="0" applyBorder="0" applyAlignment="0">
      <protection locked="0"/>
    </xf>
    <xf numFmtId="254" fontId="240" fillId="0" borderId="3363" applyBorder="0" applyProtection="0">
      <alignment horizontal="right" vertical="center"/>
    </xf>
    <xf numFmtId="246" fontId="250" fillId="0" borderId="3363" applyFill="0" applyProtection="0">
      <alignment horizontal="center"/>
    </xf>
    <xf numFmtId="222" fontId="79" fillId="0" borderId="3302" applyBorder="0"/>
    <xf numFmtId="0" fontId="25" fillId="10" borderId="3299" applyNumberFormat="0" applyProtection="0">
      <alignment horizontal="left" vertical="top"/>
    </xf>
    <xf numFmtId="0" fontId="25" fillId="10" borderId="3301" applyNumberFormat="0" applyProtection="0">
      <alignment horizontal="left" vertical="top"/>
    </xf>
    <xf numFmtId="0" fontId="25" fillId="10" borderId="3298" applyNumberFormat="0" applyProtection="0">
      <alignment horizontal="left" vertical="top"/>
    </xf>
    <xf numFmtId="0" fontId="25" fillId="10" borderId="3299" applyNumberFormat="0" applyProtection="0">
      <alignment horizontal="left" vertical="top"/>
    </xf>
    <xf numFmtId="0" fontId="25" fillId="10" borderId="3300" applyNumberFormat="0" applyProtection="0">
      <alignment horizontal="left" vertical="top"/>
    </xf>
    <xf numFmtId="0" fontId="75" fillId="0" borderId="3304" applyNumberFormat="0" applyFont="0" applyFill="0" applyAlignment="0" applyProtection="0"/>
    <xf numFmtId="0" fontId="101" fillId="0" borderId="3315" applyBorder="0"/>
    <xf numFmtId="222" fontId="79" fillId="0" borderId="3314" applyBorder="0"/>
    <xf numFmtId="0" fontId="113" fillId="0" borderId="3315" applyNumberFormat="0" applyFill="0" applyAlignment="0" applyProtection="0"/>
    <xf numFmtId="0" fontId="12" fillId="0" borderId="3315" applyNumberFormat="0" applyFill="0" applyBorder="0" applyAlignment="0" applyProtection="0">
      <alignment horizontal="center"/>
    </xf>
    <xf numFmtId="248" fontId="46" fillId="0" borderId="3315"/>
    <xf numFmtId="192" fontId="9" fillId="3" borderId="3315">
      <alignment horizontal="right" vertical="center"/>
    </xf>
    <xf numFmtId="180" fontId="9" fillId="3" borderId="3315">
      <alignment horizontal="right" vertical="center"/>
    </xf>
    <xf numFmtId="186" fontId="146" fillId="3" borderId="3315" applyBorder="0">
      <alignment horizontal="left" vertical="center"/>
    </xf>
    <xf numFmtId="0" fontId="166" fillId="0" borderId="3315">
      <alignment horizontal="center"/>
    </xf>
    <xf numFmtId="0" fontId="210" fillId="0" borderId="3315" applyNumberFormat="0" applyFill="0" applyBorder="0" applyAlignment="0">
      <protection locked="0"/>
    </xf>
    <xf numFmtId="264" fontId="12" fillId="14" borderId="3315" applyFont="0" applyFill="0" applyBorder="0" applyAlignment="0" applyProtection="0">
      <alignment horizontal="right"/>
    </xf>
    <xf numFmtId="246" fontId="249" fillId="0" borderId="3315" applyFill="0" applyProtection="0">
      <alignment horizontal="center"/>
    </xf>
    <xf numFmtId="246" fontId="250" fillId="0" borderId="3315" applyFill="0" applyProtection="0">
      <alignment horizontal="center"/>
    </xf>
    <xf numFmtId="246" fontId="250" fillId="0" borderId="3339" applyFill="0" applyProtection="0">
      <alignment horizontal="center"/>
    </xf>
    <xf numFmtId="246" fontId="249" fillId="0" borderId="3339" applyFill="0" applyProtection="0">
      <alignment horizontal="center"/>
    </xf>
    <xf numFmtId="254" fontId="240" fillId="0" borderId="3339" applyBorder="0" applyProtection="0">
      <alignment horizontal="right" vertical="center"/>
    </xf>
    <xf numFmtId="264" fontId="12" fillId="14" borderId="3339" applyFont="0" applyFill="0" applyBorder="0" applyAlignment="0" applyProtection="0">
      <alignment horizontal="right"/>
    </xf>
    <xf numFmtId="0" fontId="165" fillId="0" borderId="3339" applyFill="0" applyProtection="0">
      <alignment horizontal="center"/>
    </xf>
    <xf numFmtId="180" fontId="9" fillId="3" borderId="3339">
      <alignment horizontal="right" vertical="center"/>
    </xf>
    <xf numFmtId="0" fontId="12" fillId="0" borderId="3339" applyNumberFormat="0" applyFill="0" applyBorder="0" applyAlignment="0" applyProtection="0">
      <alignment horizontal="center"/>
    </xf>
    <xf numFmtId="0" fontId="101" fillId="0" borderId="3339" applyBorder="0"/>
    <xf numFmtId="222" fontId="79" fillId="0" borderId="3338" applyBorder="0"/>
    <xf numFmtId="0" fontId="75" fillId="0" borderId="3328" applyNumberFormat="0" applyFont="0" applyFill="0" applyAlignment="0" applyProtection="0"/>
    <xf numFmtId="0" fontId="2" fillId="0" borderId="3332" applyNumberFormat="0" applyAlignment="0" applyProtection="0"/>
    <xf numFmtId="0" fontId="25" fillId="10" borderId="3334" applyNumberFormat="0" applyProtection="0">
      <alignment horizontal="left" vertical="top"/>
    </xf>
    <xf numFmtId="0" fontId="25" fillId="10" borderId="3337" applyNumberFormat="0" applyProtection="0">
      <alignment horizontal="left" vertical="top"/>
    </xf>
    <xf numFmtId="222" fontId="79" fillId="0" borderId="3326" applyBorder="0"/>
    <xf numFmtId="0" fontId="25" fillId="10" borderId="3312" applyNumberFormat="0" applyProtection="0">
      <alignment horizontal="left" vertical="top"/>
    </xf>
    <xf numFmtId="0" fontId="25" fillId="10" borderId="3310" applyNumberFormat="0" applyProtection="0">
      <alignment horizontal="left" vertical="top"/>
    </xf>
    <xf numFmtId="0" fontId="214" fillId="0" borderId="3309" applyNumberFormat="0" applyFont="0" applyFill="0" applyAlignment="0" applyProtection="0"/>
    <xf numFmtId="186" fontId="146" fillId="3" borderId="3306">
      <alignment horizontal="left"/>
    </xf>
    <xf numFmtId="222" fontId="79" fillId="0" borderId="3314" applyBorder="0"/>
    <xf numFmtId="0" fontId="101" fillId="0" borderId="3195" applyBorder="0"/>
    <xf numFmtId="0" fontId="113" fillId="0" borderId="3195" applyNumberFormat="0" applyFill="0" applyAlignment="0" applyProtection="0"/>
    <xf numFmtId="0" fontId="12" fillId="0" borderId="3195" applyNumberFormat="0" applyFill="0" applyBorder="0" applyAlignment="0" applyProtection="0">
      <alignment horizontal="center"/>
    </xf>
    <xf numFmtId="248" fontId="46" fillId="0" borderId="3195"/>
    <xf numFmtId="192" fontId="9" fillId="3" borderId="3195">
      <alignment horizontal="right" vertical="center"/>
    </xf>
    <xf numFmtId="180" fontId="9" fillId="3" borderId="3195">
      <alignment horizontal="right" vertical="center"/>
    </xf>
    <xf numFmtId="186" fontId="146" fillId="3" borderId="3195" applyBorder="0">
      <alignment horizontal="left" vertical="center"/>
    </xf>
    <xf numFmtId="0" fontId="165" fillId="0" borderId="3195" applyFill="0" applyProtection="0">
      <alignment horizontal="center"/>
    </xf>
    <xf numFmtId="0" fontId="166" fillId="0" borderId="3195">
      <alignment horizontal="center"/>
    </xf>
    <xf numFmtId="264" fontId="12" fillId="14" borderId="3195" applyFont="0" applyFill="0" applyBorder="0" applyAlignment="0" applyProtection="0">
      <alignment horizontal="right"/>
    </xf>
    <xf numFmtId="0" fontId="210" fillId="0" borderId="3195" applyNumberFormat="0" applyFill="0" applyBorder="0" applyAlignment="0">
      <protection locked="0"/>
    </xf>
    <xf numFmtId="248" fontId="46" fillId="0" borderId="3339"/>
    <xf numFmtId="222" fontId="79" fillId="0" borderId="3338" applyBorder="0"/>
    <xf numFmtId="186" fontId="140" fillId="3" borderId="3331">
      <alignment horizontal="center" vertical="center"/>
    </xf>
    <xf numFmtId="0" fontId="25" fillId="10" borderId="3336" applyNumberFormat="0" applyProtection="0">
      <alignment horizontal="left" vertical="top"/>
    </xf>
    <xf numFmtId="0" fontId="210" fillId="0" borderId="3339" applyNumberFormat="0" applyFill="0" applyBorder="0" applyAlignment="0">
      <protection locked="0"/>
    </xf>
    <xf numFmtId="192" fontId="9" fillId="3" borderId="3339">
      <alignment horizontal="right" vertical="center"/>
    </xf>
    <xf numFmtId="0" fontId="113" fillId="0" borderId="3339" applyNumberFormat="0" applyFill="0" applyAlignment="0" applyProtection="0"/>
    <xf numFmtId="186" fontId="146" fillId="3" borderId="3330">
      <alignment horizontal="left"/>
    </xf>
    <xf numFmtId="0" fontId="25" fillId="10" borderId="3335" applyNumberFormat="0" applyProtection="0">
      <alignment horizontal="left" vertical="top"/>
    </xf>
    <xf numFmtId="254" fontId="240" fillId="0" borderId="3195" applyBorder="0" applyProtection="0">
      <alignment horizontal="right" vertical="center"/>
    </xf>
    <xf numFmtId="0" fontId="241" fillId="94" borderId="3195" applyBorder="0" applyProtection="0">
      <alignment horizontal="centerContinuous" vertical="center"/>
    </xf>
    <xf numFmtId="246" fontId="249" fillId="0" borderId="3195" applyFill="0" applyProtection="0">
      <alignment horizontal="center"/>
    </xf>
    <xf numFmtId="246" fontId="250" fillId="0" borderId="3195" applyFill="0" applyProtection="0">
      <alignment horizontal="center"/>
    </xf>
    <xf numFmtId="0" fontId="25" fillId="10" borderId="3359" applyNumberFormat="0" applyProtection="0">
      <alignment horizontal="left" vertical="top"/>
    </xf>
    <xf numFmtId="0" fontId="25" fillId="10" borderId="3361" applyNumberFormat="0" applyProtection="0">
      <alignment horizontal="left" vertical="top"/>
    </xf>
    <xf numFmtId="222" fontId="79" fillId="0" borderId="3290" applyBorder="0"/>
    <xf numFmtId="0" fontId="214" fillId="0" borderId="3357" applyNumberFormat="0" applyFont="0" applyFill="0" applyAlignment="0" applyProtection="0"/>
    <xf numFmtId="0" fontId="75" fillId="0" borderId="3292" applyNumberFormat="0" applyFont="0" applyFill="0" applyAlignment="0" applyProtection="0"/>
    <xf numFmtId="0" fontId="25" fillId="10" borderId="3300" applyNumberFormat="0" applyProtection="0">
      <alignment horizontal="left" vertical="top"/>
    </xf>
    <xf numFmtId="0" fontId="25" fillId="10" borderId="3301" applyNumberFormat="0" applyProtection="0">
      <alignment horizontal="left" vertical="top"/>
    </xf>
    <xf numFmtId="0" fontId="165" fillId="0" borderId="3315" applyFill="0" applyProtection="0">
      <alignment horizontal="center"/>
    </xf>
    <xf numFmtId="254" fontId="240" fillId="0" borderId="3315" applyBorder="0" applyProtection="0">
      <alignment horizontal="right" vertical="center"/>
    </xf>
    <xf numFmtId="0" fontId="241" fillId="94" borderId="3315" applyBorder="0" applyProtection="0">
      <alignment horizontal="centerContinuous" vertical="center"/>
    </xf>
    <xf numFmtId="0" fontId="241" fillId="94" borderId="3339" applyBorder="0" applyProtection="0">
      <alignment horizontal="centerContinuous" vertical="center"/>
    </xf>
    <xf numFmtId="0" fontId="166" fillId="0" borderId="3339">
      <alignment horizontal="center"/>
    </xf>
    <xf numFmtId="186" fontId="146" fillId="3" borderId="3339" applyBorder="0">
      <alignment horizontal="left" vertical="center"/>
    </xf>
    <xf numFmtId="0" fontId="214" fillId="0" borderId="3333" applyNumberFormat="0" applyFont="0" applyFill="0" applyAlignment="0" applyProtection="0"/>
    <xf numFmtId="0" fontId="78" fillId="14" borderId="3329" applyFont="0" applyFill="0" applyBorder="0" applyAlignment="0" applyProtection="0"/>
    <xf numFmtId="0" fontId="78" fillId="14" borderId="3257" applyFont="0" applyFill="0" applyBorder="0" applyAlignment="0" applyProtection="0"/>
    <xf numFmtId="0" fontId="25" fillId="10" borderId="3193" applyNumberFormat="0" applyProtection="0">
      <alignment horizontal="left" vertical="top"/>
    </xf>
    <xf numFmtId="0" fontId="25" fillId="10" borderId="3192" applyNumberFormat="0" applyProtection="0">
      <alignment horizontal="left" vertical="top"/>
    </xf>
    <xf numFmtId="0" fontId="25" fillId="10" borderId="3191" applyNumberFormat="0" applyProtection="0">
      <alignment horizontal="left" vertical="top"/>
    </xf>
    <xf numFmtId="0" fontId="25" fillId="10" borderId="3190" applyNumberFormat="0" applyProtection="0">
      <alignment horizontal="left" vertical="top"/>
    </xf>
    <xf numFmtId="186" fontId="140" fillId="3" borderId="3355">
      <alignment horizontal="center" vertical="center"/>
    </xf>
    <xf numFmtId="0" fontId="214" fillId="0" borderId="3189" applyNumberFormat="0" applyFont="0" applyFill="0" applyAlignment="0" applyProtection="0"/>
    <xf numFmtId="0" fontId="2" fillId="0" borderId="3188" applyNumberFormat="0" applyAlignment="0" applyProtection="0"/>
    <xf numFmtId="186" fontId="140" fillId="3" borderId="3187">
      <alignment horizontal="center" vertical="center"/>
    </xf>
    <xf numFmtId="186" fontId="146" fillId="3" borderId="3186">
      <alignment horizontal="left"/>
    </xf>
    <xf numFmtId="186" fontId="146" fillId="3" borderId="3354">
      <alignment horizontal="left"/>
    </xf>
    <xf numFmtId="0" fontId="75" fillId="0" borderId="3184" applyNumberFormat="0" applyFont="0" applyFill="0" applyAlignment="0" applyProtection="0"/>
    <xf numFmtId="0" fontId="75" fillId="0" borderId="3352" applyNumberFormat="0" applyFont="0" applyFill="0" applyAlignment="0" applyProtection="0"/>
    <xf numFmtId="222" fontId="79" fillId="0" borderId="3266" applyBorder="0"/>
    <xf numFmtId="222" fontId="79" fillId="0" borderId="3266" applyBorder="0"/>
    <xf numFmtId="0" fontId="25" fillId="10" borderId="3358" applyNumberFormat="0" applyProtection="0">
      <alignment horizontal="left" vertical="top"/>
    </xf>
    <xf numFmtId="0" fontId="2" fillId="0" borderId="3356" applyNumberFormat="0" applyAlignment="0" applyProtection="0"/>
    <xf numFmtId="246" fontId="250" fillId="0" borderId="3291" applyFill="0" applyProtection="0">
      <alignment horizontal="center"/>
    </xf>
    <xf numFmtId="246" fontId="249" fillId="0" borderId="3291" applyFill="0" applyProtection="0">
      <alignment horizontal="center"/>
    </xf>
    <xf numFmtId="0" fontId="241" fillId="94" borderId="3291" applyBorder="0" applyProtection="0">
      <alignment horizontal="centerContinuous" vertical="center"/>
    </xf>
    <xf numFmtId="254" fontId="240" fillId="0" borderId="3291" applyBorder="0" applyProtection="0">
      <alignment horizontal="right" vertical="center"/>
    </xf>
    <xf numFmtId="0" fontId="210" fillId="0" borderId="3291" applyNumberFormat="0" applyFill="0" applyBorder="0" applyAlignment="0">
      <protection locked="0"/>
    </xf>
    <xf numFmtId="264" fontId="12" fillId="14" borderId="3291" applyFont="0" applyFill="0" applyBorder="0" applyAlignment="0" applyProtection="0">
      <alignment horizontal="right"/>
    </xf>
    <xf numFmtId="0" fontId="166" fillId="0" borderId="3291">
      <alignment horizontal="center"/>
    </xf>
    <xf numFmtId="0" fontId="165" fillId="0" borderId="3291" applyFill="0" applyProtection="0">
      <alignment horizontal="center"/>
    </xf>
    <xf numFmtId="186" fontId="146" fillId="3" borderId="3291" applyBorder="0">
      <alignment horizontal="left" vertical="center"/>
    </xf>
    <xf numFmtId="180" fontId="9" fillId="3" borderId="3291">
      <alignment horizontal="right" vertical="center"/>
    </xf>
    <xf numFmtId="192" fontId="9" fillId="3" borderId="3291">
      <alignment horizontal="right" vertical="center"/>
    </xf>
    <xf numFmtId="248" fontId="46" fillId="0" borderId="3291"/>
    <xf numFmtId="0" fontId="12" fillId="0" borderId="3291" applyNumberFormat="0" applyFill="0" applyBorder="0" applyAlignment="0" applyProtection="0">
      <alignment horizontal="center"/>
    </xf>
    <xf numFmtId="0" fontId="113" fillId="0" borderId="3291" applyNumberFormat="0" applyFill="0" applyAlignment="0" applyProtection="0"/>
    <xf numFmtId="222" fontId="79" fillId="0" borderId="3290" applyBorder="0"/>
    <xf numFmtId="0" fontId="101" fillId="0" borderId="3291" applyBorder="0"/>
    <xf numFmtId="222" fontId="79" fillId="0" borderId="3290" applyBorder="0"/>
    <xf numFmtId="0" fontId="75" fillId="0" borderId="3280" applyNumberFormat="0" applyFont="0" applyFill="0" applyAlignment="0" applyProtection="0"/>
    <xf numFmtId="186" fontId="146" fillId="3" borderId="3282">
      <alignment horizontal="left"/>
    </xf>
    <xf numFmtId="186" fontId="140" fillId="3" borderId="3283">
      <alignment horizontal="center" vertical="center"/>
    </xf>
    <xf numFmtId="0" fontId="2" fillId="0" borderId="3284" applyNumberFormat="0" applyAlignment="0" applyProtection="0"/>
    <xf numFmtId="0" fontId="214" fillId="0" borderId="3285" applyNumberFormat="0" applyFont="0" applyFill="0" applyAlignment="0" applyProtection="0"/>
    <xf numFmtId="0" fontId="25" fillId="10" borderId="3286" applyNumberFormat="0" applyProtection="0">
      <alignment horizontal="left" vertical="top"/>
    </xf>
    <xf numFmtId="0" fontId="25" fillId="10" borderId="3287" applyNumberFormat="0" applyProtection="0">
      <alignment horizontal="left" vertical="top"/>
    </xf>
    <xf numFmtId="0" fontId="25" fillId="10" borderId="3288" applyNumberFormat="0" applyProtection="0">
      <alignment horizontal="left" vertical="top"/>
    </xf>
    <xf numFmtId="0" fontId="25" fillId="10" borderId="3289" applyNumberFormat="0" applyProtection="0">
      <alignment horizontal="left" vertical="top"/>
    </xf>
    <xf numFmtId="0" fontId="78" fillId="14" borderId="3281" applyFont="0" applyFill="0" applyBorder="0" applyAlignment="0" applyProtection="0"/>
    <xf numFmtId="222" fontId="79" fillId="0" borderId="3278" applyBorder="0"/>
    <xf numFmtId="0" fontId="78" fillId="14" borderId="3257" applyFont="0" applyFill="0" applyBorder="0" applyAlignment="0" applyProtection="0"/>
    <xf numFmtId="222" fontId="79" fillId="0" borderId="3266" applyBorder="0"/>
    <xf numFmtId="0" fontId="78" fillId="14" borderId="3269" applyFont="0" applyFill="0" applyBorder="0" applyAlignment="0" applyProtection="0"/>
    <xf numFmtId="0" fontId="25" fillId="10" borderId="3277" applyNumberFormat="0" applyProtection="0">
      <alignment horizontal="left" vertical="top"/>
    </xf>
    <xf numFmtId="0" fontId="25" fillId="10" borderId="3276" applyNumberFormat="0" applyProtection="0">
      <alignment horizontal="left" vertical="top"/>
    </xf>
    <xf numFmtId="0" fontId="25" fillId="10" borderId="3275" applyNumberFormat="0" applyProtection="0">
      <alignment horizontal="left" vertical="top"/>
    </xf>
    <xf numFmtId="0" fontId="25" fillId="10" borderId="3274" applyNumberFormat="0" applyProtection="0">
      <alignment horizontal="left" vertical="top"/>
    </xf>
    <xf numFmtId="0" fontId="214" fillId="0" borderId="3273" applyNumberFormat="0" applyFont="0" applyFill="0" applyAlignment="0" applyProtection="0"/>
    <xf numFmtId="0" fontId="2" fillId="0" borderId="3188" applyNumberFormat="0" applyAlignment="0" applyProtection="0"/>
    <xf numFmtId="186" fontId="140" fillId="3" borderId="3271">
      <alignment horizontal="center" vertical="center"/>
    </xf>
    <xf numFmtId="186" fontId="146" fillId="3" borderId="3270">
      <alignment horizontal="left"/>
    </xf>
    <xf numFmtId="0" fontId="75" fillId="0" borderId="3268" applyNumberFormat="0" applyFont="0" applyFill="0" applyAlignment="0" applyProtection="0"/>
    <xf numFmtId="222" fontId="79" fillId="0" borderId="3278" applyBorder="0"/>
    <xf numFmtId="0" fontId="101" fillId="0" borderId="3279" applyBorder="0"/>
    <xf numFmtId="222" fontId="79" fillId="0" borderId="3278" applyBorder="0"/>
    <xf numFmtId="0" fontId="113" fillId="0" borderId="3279" applyNumberFormat="0" applyFill="0" applyAlignment="0" applyProtection="0"/>
    <xf numFmtId="0" fontId="12" fillId="0" borderId="3279" applyNumberFormat="0" applyFill="0" applyBorder="0" applyAlignment="0" applyProtection="0">
      <alignment horizontal="center"/>
    </xf>
    <xf numFmtId="248" fontId="46" fillId="0" borderId="3279"/>
    <xf numFmtId="192" fontId="9" fillId="3" borderId="3279">
      <alignment horizontal="right" vertical="center"/>
    </xf>
    <xf numFmtId="180" fontId="9" fillId="3" borderId="3279">
      <alignment horizontal="right" vertical="center"/>
    </xf>
    <xf numFmtId="186" fontId="146" fillId="3" borderId="3279" applyBorder="0">
      <alignment horizontal="left" vertical="center"/>
    </xf>
    <xf numFmtId="0" fontId="165" fillId="0" borderId="3279" applyFill="0" applyProtection="0">
      <alignment horizontal="center"/>
    </xf>
    <xf numFmtId="0" fontId="166" fillId="0" borderId="3279">
      <alignment horizontal="center"/>
    </xf>
    <xf numFmtId="264" fontId="12" fillId="14" borderId="3279" applyFont="0" applyFill="0" applyBorder="0" applyAlignment="0" applyProtection="0">
      <alignment horizontal="right"/>
    </xf>
    <xf numFmtId="0" fontId="210" fillId="0" borderId="3279" applyNumberFormat="0" applyFill="0" applyBorder="0" applyAlignment="0">
      <protection locked="0"/>
    </xf>
    <xf numFmtId="254" fontId="240" fillId="0" borderId="3279" applyBorder="0" applyProtection="0">
      <alignment horizontal="right" vertical="center"/>
    </xf>
    <xf numFmtId="0" fontId="241" fillId="94" borderId="3279" applyBorder="0" applyProtection="0">
      <alignment horizontal="centerContinuous" vertical="center"/>
    </xf>
    <xf numFmtId="246" fontId="249" fillId="0" borderId="3279" applyFill="0" applyProtection="0">
      <alignment horizontal="center"/>
    </xf>
    <xf numFmtId="246" fontId="250" fillId="0" borderId="3279" applyFill="0" applyProtection="0">
      <alignment horizontal="center"/>
    </xf>
    <xf numFmtId="0" fontId="241" fillId="94" borderId="3363" applyBorder="0" applyProtection="0">
      <alignment horizontal="centerContinuous" vertical="center"/>
    </xf>
    <xf numFmtId="0" fontId="166" fillId="0" borderId="3363">
      <alignment horizontal="center"/>
    </xf>
    <xf numFmtId="0" fontId="2" fillId="0" borderId="3296" applyNumberFormat="0" applyAlignment="0" applyProtection="0"/>
    <xf numFmtId="0" fontId="214" fillId="0" borderId="3297" applyNumberFormat="0" applyFont="0" applyFill="0" applyAlignment="0" applyProtection="0"/>
    <xf numFmtId="246" fontId="250" fillId="0" borderId="3303" applyFill="0" applyProtection="0">
      <alignment horizontal="center"/>
    </xf>
    <xf numFmtId="246" fontId="249" fillId="0" borderId="3303" applyFill="0" applyProtection="0">
      <alignment horizontal="center"/>
    </xf>
    <xf numFmtId="0" fontId="241" fillId="94" borderId="3303" applyBorder="0" applyProtection="0">
      <alignment horizontal="centerContinuous" vertical="center"/>
    </xf>
    <xf numFmtId="254" fontId="240" fillId="0" borderId="3303" applyBorder="0" applyProtection="0">
      <alignment horizontal="right" vertical="center"/>
    </xf>
    <xf numFmtId="0" fontId="210" fillId="0" borderId="3303" applyNumberFormat="0" applyFill="0" applyBorder="0" applyAlignment="0">
      <protection locked="0"/>
    </xf>
    <xf numFmtId="264" fontId="12" fillId="14" borderId="3303" applyFont="0" applyFill="0" applyBorder="0" applyAlignment="0" applyProtection="0">
      <alignment horizontal="right"/>
    </xf>
    <xf numFmtId="0" fontId="166" fillId="0" borderId="3303">
      <alignment horizontal="center"/>
    </xf>
    <xf numFmtId="0" fontId="165" fillId="0" borderId="3303" applyFill="0" applyProtection="0">
      <alignment horizontal="center"/>
    </xf>
    <xf numFmtId="186" fontId="146" fillId="3" borderId="3303" applyBorder="0">
      <alignment horizontal="left" vertical="center"/>
    </xf>
    <xf numFmtId="180" fontId="9" fillId="3" borderId="3303">
      <alignment horizontal="right" vertical="center"/>
    </xf>
    <xf numFmtId="192" fontId="9" fillId="3" borderId="3303">
      <alignment horizontal="right" vertical="center"/>
    </xf>
    <xf numFmtId="248" fontId="46" fillId="0" borderId="3303"/>
    <xf numFmtId="0" fontId="12" fillId="0" borderId="3303" applyNumberFormat="0" applyFill="0" applyBorder="0" applyAlignment="0" applyProtection="0">
      <alignment horizontal="center"/>
    </xf>
    <xf numFmtId="0" fontId="113" fillId="0" borderId="3303" applyNumberFormat="0" applyFill="0" applyAlignment="0" applyProtection="0"/>
    <xf numFmtId="222" fontId="79" fillId="0" borderId="3302" applyBorder="0"/>
    <xf numFmtId="0" fontId="101" fillId="0" borderId="3303" applyBorder="0"/>
    <xf numFmtId="222" fontId="79" fillId="0" borderId="3302" applyBorder="0"/>
    <xf numFmtId="0" fontId="75" fillId="0" borderId="3292" applyNumberFormat="0" applyFont="0" applyFill="0" applyAlignment="0" applyProtection="0"/>
    <xf numFmtId="186" fontId="146" fillId="3" borderId="3294">
      <alignment horizontal="left"/>
    </xf>
    <xf numFmtId="186" fontId="140" fillId="3" borderId="3295">
      <alignment horizontal="center" vertical="center"/>
    </xf>
    <xf numFmtId="0" fontId="2" fillId="0" borderId="3296" applyNumberFormat="0" applyAlignment="0" applyProtection="0"/>
    <xf numFmtId="0" fontId="214" fillId="0" borderId="3297" applyNumberFormat="0" applyFont="0" applyFill="0" applyAlignment="0" applyProtection="0"/>
    <xf numFmtId="0" fontId="25" fillId="10" borderId="3298" applyNumberFormat="0" applyProtection="0">
      <alignment horizontal="left" vertical="top"/>
    </xf>
    <xf numFmtId="0" fontId="25" fillId="10" borderId="3299" applyNumberFormat="0" applyProtection="0">
      <alignment horizontal="left" vertical="top"/>
    </xf>
    <xf numFmtId="0" fontId="25" fillId="10" borderId="3300" applyNumberFormat="0" applyProtection="0">
      <alignment horizontal="left" vertical="top"/>
    </xf>
    <xf numFmtId="0" fontId="25" fillId="10" borderId="3301" applyNumberFormat="0" applyProtection="0">
      <alignment horizontal="left" vertical="top"/>
    </xf>
    <xf numFmtId="0" fontId="78" fillId="14" borderId="3293" applyFont="0" applyFill="0" applyBorder="0" applyAlignment="0" applyProtection="0"/>
    <xf numFmtId="222" fontId="79" fillId="0" borderId="3290" applyBorder="0"/>
    <xf numFmtId="0" fontId="78" fillId="14" borderId="3305" applyFont="0" applyFill="0" applyBorder="0" applyAlignment="0" applyProtection="0"/>
    <xf numFmtId="186" fontId="146" fillId="3" borderId="3294">
      <alignment horizontal="left"/>
    </xf>
    <xf numFmtId="0" fontId="78" fillId="14" borderId="3281" applyFont="0" applyFill="0" applyBorder="0" applyAlignment="0" applyProtection="0"/>
    <xf numFmtId="222" fontId="79" fillId="0" borderId="3290" applyBorder="0"/>
    <xf numFmtId="0" fontId="2" fillId="0" borderId="3308" applyNumberFormat="0" applyAlignment="0" applyProtection="0"/>
    <xf numFmtId="0" fontId="78" fillId="14" borderId="3281" applyFont="0" applyFill="0" applyBorder="0" applyAlignment="0" applyProtection="0"/>
    <xf numFmtId="0" fontId="25" fillId="10" borderId="3289" applyNumberFormat="0" applyProtection="0">
      <alignment horizontal="left" vertical="top"/>
    </xf>
    <xf numFmtId="0" fontId="25" fillId="10" borderId="3288" applyNumberFormat="0" applyProtection="0">
      <alignment horizontal="left" vertical="top"/>
    </xf>
    <xf numFmtId="0" fontId="25" fillId="10" borderId="3287" applyNumberFormat="0" applyProtection="0">
      <alignment horizontal="left" vertical="top"/>
    </xf>
    <xf numFmtId="0" fontId="25" fillId="10" borderId="3286" applyNumberFormat="0" applyProtection="0">
      <alignment horizontal="left" vertical="top"/>
    </xf>
    <xf numFmtId="0" fontId="25" fillId="10" borderId="3311" applyNumberFormat="0" applyProtection="0">
      <alignment horizontal="left" vertical="top"/>
    </xf>
    <xf numFmtId="0" fontId="214" fillId="0" borderId="3285" applyNumberFormat="0" applyFont="0" applyFill="0" applyAlignment="0" applyProtection="0"/>
    <xf numFmtId="0" fontId="2" fillId="0" borderId="3284" applyNumberFormat="0" applyAlignment="0" applyProtection="0"/>
    <xf numFmtId="186" fontId="140" fillId="3" borderId="3283">
      <alignment horizontal="center" vertical="center"/>
    </xf>
    <xf numFmtId="186" fontId="146" fillId="3" borderId="3282">
      <alignment horizontal="left"/>
    </xf>
    <xf numFmtId="0" fontId="25" fillId="10" borderId="3313" applyNumberFormat="0" applyProtection="0">
      <alignment horizontal="left" vertical="top"/>
    </xf>
    <xf numFmtId="0" fontId="75" fillId="0" borderId="3280" applyNumberFormat="0" applyFont="0" applyFill="0" applyAlignment="0" applyProtection="0"/>
    <xf numFmtId="222" fontId="79" fillId="0" borderId="3290" applyBorder="0"/>
    <xf numFmtId="0" fontId="101" fillId="0" borderId="3291" applyBorder="0"/>
    <xf numFmtId="222" fontId="79" fillId="0" borderId="3290" applyBorder="0"/>
    <xf numFmtId="0" fontId="113" fillId="0" borderId="3291" applyNumberFormat="0" applyFill="0" applyAlignment="0" applyProtection="0"/>
    <xf numFmtId="0" fontId="12" fillId="0" borderId="3291" applyNumberFormat="0" applyFill="0" applyBorder="0" applyAlignment="0" applyProtection="0">
      <alignment horizontal="center"/>
    </xf>
    <xf numFmtId="248" fontId="46" fillId="0" borderId="3291"/>
    <xf numFmtId="192" fontId="9" fillId="3" borderId="3291">
      <alignment horizontal="right" vertical="center"/>
    </xf>
    <xf numFmtId="180" fontId="9" fillId="3" borderId="3291">
      <alignment horizontal="right" vertical="center"/>
    </xf>
    <xf numFmtId="186" fontId="146" fillId="3" borderId="3291" applyBorder="0">
      <alignment horizontal="left" vertical="center"/>
    </xf>
    <xf numFmtId="0" fontId="165" fillId="0" borderId="3291" applyFill="0" applyProtection="0">
      <alignment horizontal="center"/>
    </xf>
    <xf numFmtId="0" fontId="166" fillId="0" borderId="3291">
      <alignment horizontal="center"/>
    </xf>
    <xf numFmtId="264" fontId="12" fillId="14" borderId="3291" applyFont="0" applyFill="0" applyBorder="0" applyAlignment="0" applyProtection="0">
      <alignment horizontal="right"/>
    </xf>
    <xf numFmtId="0" fontId="210" fillId="0" borderId="3291" applyNumberFormat="0" applyFill="0" applyBorder="0" applyAlignment="0">
      <protection locked="0"/>
    </xf>
    <xf numFmtId="254" fontId="240" fillId="0" borderId="3291" applyBorder="0" applyProtection="0">
      <alignment horizontal="right" vertical="center"/>
    </xf>
    <xf numFmtId="0" fontId="241" fillId="94" borderId="3291" applyBorder="0" applyProtection="0">
      <alignment horizontal="centerContinuous" vertical="center"/>
    </xf>
    <xf numFmtId="246" fontId="249" fillId="0" borderId="3291" applyFill="0" applyProtection="0">
      <alignment horizontal="center"/>
    </xf>
    <xf numFmtId="246" fontId="250" fillId="0" borderId="3291" applyFill="0" applyProtection="0">
      <alignment horizontal="center"/>
    </xf>
    <xf numFmtId="186" fontId="140" fillId="3" borderId="3307">
      <alignment horizontal="center" vertical="center"/>
    </xf>
    <xf numFmtId="0" fontId="78" fillId="14" borderId="3293" applyFont="0" applyFill="0" applyBorder="0" applyAlignment="0" applyProtection="0"/>
    <xf numFmtId="222" fontId="79" fillId="0" borderId="3314" applyBorder="0"/>
    <xf numFmtId="0" fontId="78" fillId="14" borderId="3317" applyFont="0" applyFill="0" applyBorder="0" applyAlignment="0" applyProtection="0"/>
    <xf numFmtId="0" fontId="25" fillId="10" borderId="3325" applyNumberFormat="0" applyProtection="0">
      <alignment horizontal="left" vertical="top"/>
    </xf>
    <xf numFmtId="0" fontId="25" fillId="10" borderId="3324" applyNumberFormat="0" applyProtection="0">
      <alignment horizontal="left" vertical="top"/>
    </xf>
    <xf numFmtId="0" fontId="25" fillId="10" borderId="3323" applyNumberFormat="0" applyProtection="0">
      <alignment horizontal="left" vertical="top"/>
    </xf>
    <xf numFmtId="0" fontId="25" fillId="10" borderId="3322" applyNumberFormat="0" applyProtection="0">
      <alignment horizontal="left" vertical="top"/>
    </xf>
    <xf numFmtId="0" fontId="214" fillId="0" borderId="3321" applyNumberFormat="0" applyFont="0" applyFill="0" applyAlignment="0" applyProtection="0"/>
    <xf numFmtId="0" fontId="2" fillId="0" borderId="3320" applyNumberFormat="0" applyAlignment="0" applyProtection="0"/>
    <xf numFmtId="186" fontId="140" fillId="3" borderId="3319">
      <alignment horizontal="center" vertical="center"/>
    </xf>
    <xf numFmtId="186" fontId="146" fillId="3" borderId="3318">
      <alignment horizontal="left"/>
    </xf>
    <xf numFmtId="0" fontId="75" fillId="0" borderId="3316" applyNumberFormat="0" applyFont="0" applyFill="0" applyAlignment="0" applyProtection="0"/>
    <xf numFmtId="222" fontId="79" fillId="0" borderId="3326" applyBorder="0"/>
    <xf numFmtId="0" fontId="101" fillId="0" borderId="3327" applyBorder="0"/>
    <xf numFmtId="222" fontId="79" fillId="0" borderId="3326" applyBorder="0"/>
    <xf numFmtId="0" fontId="113" fillId="0" borderId="3327" applyNumberFormat="0" applyFill="0" applyAlignment="0" applyProtection="0"/>
    <xf numFmtId="0" fontId="12" fillId="0" borderId="3327" applyNumberFormat="0" applyFill="0" applyBorder="0" applyAlignment="0" applyProtection="0">
      <alignment horizontal="center"/>
    </xf>
    <xf numFmtId="248" fontId="46" fillId="0" borderId="3327"/>
    <xf numFmtId="192" fontId="9" fillId="3" borderId="3327">
      <alignment horizontal="right" vertical="center"/>
    </xf>
    <xf numFmtId="180" fontId="9" fillId="3" borderId="3327">
      <alignment horizontal="right" vertical="center"/>
    </xf>
    <xf numFmtId="186" fontId="146" fillId="3" borderId="3327" applyBorder="0">
      <alignment horizontal="left" vertical="center"/>
    </xf>
    <xf numFmtId="0" fontId="165" fillId="0" borderId="3327" applyFill="0" applyProtection="0">
      <alignment horizontal="center"/>
    </xf>
    <xf numFmtId="0" fontId="166" fillId="0" borderId="3327">
      <alignment horizontal="center"/>
    </xf>
    <xf numFmtId="264" fontId="12" fillId="14" borderId="3327" applyFont="0" applyFill="0" applyBorder="0" applyAlignment="0" applyProtection="0">
      <alignment horizontal="right"/>
    </xf>
    <xf numFmtId="0" fontId="210" fillId="0" borderId="3327" applyNumberFormat="0" applyFill="0" applyBorder="0" applyAlignment="0">
      <protection locked="0"/>
    </xf>
    <xf numFmtId="254" fontId="240" fillId="0" borderId="3327" applyBorder="0" applyProtection="0">
      <alignment horizontal="right" vertical="center"/>
    </xf>
    <xf numFmtId="0" fontId="241" fillId="94" borderId="3327" applyBorder="0" applyProtection="0">
      <alignment horizontal="centerContinuous" vertical="center"/>
    </xf>
    <xf numFmtId="246" fontId="249" fillId="0" borderId="3327" applyFill="0" applyProtection="0">
      <alignment horizontal="center"/>
    </xf>
    <xf numFmtId="246" fontId="250" fillId="0" borderId="3327" applyFill="0" applyProtection="0">
      <alignment horizontal="center"/>
    </xf>
    <xf numFmtId="222" fontId="79" fillId="0" borderId="3338" applyBorder="0"/>
    <xf numFmtId="0" fontId="78" fillId="14" borderId="3341" applyFont="0" applyFill="0" applyBorder="0" applyAlignment="0" applyProtection="0"/>
    <xf numFmtId="0" fontId="25" fillId="10" borderId="3349" applyNumberFormat="0" applyProtection="0">
      <alignment horizontal="left" vertical="top"/>
    </xf>
    <xf numFmtId="0" fontId="25" fillId="10" borderId="3348" applyNumberFormat="0" applyProtection="0">
      <alignment horizontal="left" vertical="top"/>
    </xf>
    <xf numFmtId="0" fontId="25" fillId="10" borderId="3347" applyNumberFormat="0" applyProtection="0">
      <alignment horizontal="left" vertical="top"/>
    </xf>
    <xf numFmtId="0" fontId="25" fillId="10" borderId="3346" applyNumberFormat="0" applyProtection="0">
      <alignment horizontal="left" vertical="top"/>
    </xf>
    <xf numFmtId="0" fontId="214" fillId="0" borderId="3345" applyNumberFormat="0" applyFont="0" applyFill="0" applyAlignment="0" applyProtection="0"/>
    <xf numFmtId="0" fontId="2" fillId="0" borderId="3344" applyNumberFormat="0" applyAlignment="0" applyProtection="0"/>
    <xf numFmtId="186" fontId="140" fillId="3" borderId="3343">
      <alignment horizontal="center" vertical="center"/>
    </xf>
    <xf numFmtId="186" fontId="146" fillId="3" borderId="3342">
      <alignment horizontal="left"/>
    </xf>
    <xf numFmtId="0" fontId="75" fillId="0" borderId="3340" applyNumberFormat="0" applyFont="0" applyFill="0" applyAlignment="0" applyProtection="0"/>
    <xf numFmtId="222" fontId="79" fillId="0" borderId="3350" applyBorder="0"/>
    <xf numFmtId="0" fontId="101" fillId="0" borderId="3351" applyBorder="0"/>
    <xf numFmtId="222" fontId="79" fillId="0" borderId="3350" applyBorder="0"/>
    <xf numFmtId="0" fontId="113" fillId="0" borderId="3351" applyNumberFormat="0" applyFill="0" applyAlignment="0" applyProtection="0"/>
    <xf numFmtId="0" fontId="12" fillId="0" borderId="3351" applyNumberFormat="0" applyFill="0" applyBorder="0" applyAlignment="0" applyProtection="0">
      <alignment horizontal="center"/>
    </xf>
    <xf numFmtId="248" fontId="46" fillId="0" borderId="3351"/>
    <xf numFmtId="192" fontId="9" fillId="3" borderId="3351">
      <alignment horizontal="right" vertical="center"/>
    </xf>
    <xf numFmtId="180" fontId="9" fillId="3" borderId="3351">
      <alignment horizontal="right" vertical="center"/>
    </xf>
    <xf numFmtId="186" fontId="146" fillId="3" borderId="3351" applyBorder="0">
      <alignment horizontal="left" vertical="center"/>
    </xf>
    <xf numFmtId="0" fontId="165" fillId="0" borderId="3351" applyFill="0" applyProtection="0">
      <alignment horizontal="center"/>
    </xf>
    <xf numFmtId="0" fontId="166" fillId="0" borderId="3351">
      <alignment horizontal="center"/>
    </xf>
    <xf numFmtId="264" fontId="12" fillId="14" borderId="3351" applyFont="0" applyFill="0" applyBorder="0" applyAlignment="0" applyProtection="0">
      <alignment horizontal="right"/>
    </xf>
    <xf numFmtId="0" fontId="210" fillId="0" borderId="3351" applyNumberFormat="0" applyFill="0" applyBorder="0" applyAlignment="0">
      <protection locked="0"/>
    </xf>
    <xf numFmtId="254" fontId="240" fillId="0" borderId="3351" applyBorder="0" applyProtection="0">
      <alignment horizontal="right" vertical="center"/>
    </xf>
    <xf numFmtId="0" fontId="241" fillId="94" borderId="3351" applyBorder="0" applyProtection="0">
      <alignment horizontal="centerContinuous" vertical="center"/>
    </xf>
    <xf numFmtId="246" fontId="249" fillId="0" borderId="3351" applyFill="0" applyProtection="0">
      <alignment horizontal="center"/>
    </xf>
    <xf numFmtId="246" fontId="250" fillId="0" borderId="3351" applyFill="0" applyProtection="0">
      <alignment horizontal="center"/>
    </xf>
    <xf numFmtId="0" fontId="75" fillId="0" borderId="3364" applyNumberFormat="0" applyFont="0" applyFill="0" applyAlignment="0" applyProtection="0"/>
    <xf numFmtId="0" fontId="78" fillId="14" borderId="3365" applyFont="0" applyFill="0" applyBorder="0" applyAlignment="0" applyProtection="0"/>
    <xf numFmtId="186" fontId="146" fillId="3" borderId="3366">
      <alignment horizontal="left"/>
    </xf>
    <xf numFmtId="186" fontId="140" fillId="3" borderId="3367">
      <alignment horizontal="center" vertical="center"/>
    </xf>
    <xf numFmtId="0" fontId="2" fillId="0" borderId="3368" applyNumberFormat="0" applyAlignment="0" applyProtection="0"/>
    <xf numFmtId="0" fontId="214" fillId="0" borderId="3369" applyNumberFormat="0" applyFont="0" applyFill="0" applyAlignment="0" applyProtection="0"/>
    <xf numFmtId="0" fontId="25" fillId="10" borderId="3370" applyNumberFormat="0" applyProtection="0">
      <alignment horizontal="left" vertical="top"/>
    </xf>
    <xf numFmtId="0" fontId="25" fillId="10" borderId="3371" applyNumberFormat="0" applyProtection="0">
      <alignment horizontal="left" vertical="top"/>
    </xf>
    <xf numFmtId="0" fontId="25" fillId="10" borderId="3372" applyNumberFormat="0" applyProtection="0">
      <alignment horizontal="left" vertical="top"/>
    </xf>
    <xf numFmtId="0" fontId="25" fillId="10" borderId="3373" applyNumberFormat="0" applyProtection="0">
      <alignment horizontal="left" vertical="top"/>
    </xf>
    <xf numFmtId="246" fontId="250" fillId="0" borderId="3363" applyFill="0" applyProtection="0">
      <alignment horizontal="center"/>
    </xf>
    <xf numFmtId="246" fontId="249" fillId="0" borderId="3363" applyFill="0" applyProtection="0">
      <alignment horizontal="center"/>
    </xf>
    <xf numFmtId="0" fontId="241" fillId="94" borderId="3363" applyBorder="0" applyProtection="0">
      <alignment horizontal="centerContinuous" vertical="center"/>
    </xf>
    <xf numFmtId="254" fontId="240" fillId="0" borderId="3363" applyBorder="0" applyProtection="0">
      <alignment horizontal="right" vertical="center"/>
    </xf>
    <xf numFmtId="0" fontId="210" fillId="0" borderId="3363" applyNumberFormat="0" applyFill="0" applyBorder="0" applyAlignment="0">
      <protection locked="0"/>
    </xf>
    <xf numFmtId="264" fontId="12" fillId="14" borderId="3363" applyFont="0" applyFill="0" applyBorder="0" applyAlignment="0" applyProtection="0">
      <alignment horizontal="right"/>
    </xf>
    <xf numFmtId="0" fontId="166" fillId="0" borderId="3363">
      <alignment horizontal="center"/>
    </xf>
    <xf numFmtId="0" fontId="165" fillId="0" borderId="3363" applyFill="0" applyProtection="0">
      <alignment horizontal="center"/>
    </xf>
    <xf numFmtId="186" fontId="146" fillId="3" borderId="3363" applyBorder="0">
      <alignment horizontal="left" vertical="center"/>
    </xf>
    <xf numFmtId="180" fontId="9" fillId="3" borderId="3363">
      <alignment horizontal="right" vertical="center"/>
    </xf>
    <xf numFmtId="192" fontId="9" fillId="3" borderId="3363">
      <alignment horizontal="right" vertical="center"/>
    </xf>
    <xf numFmtId="0" fontId="12" fillId="0" borderId="3363" applyNumberFormat="0" applyFill="0" applyBorder="0" applyAlignment="0" applyProtection="0">
      <alignment horizontal="center"/>
    </xf>
    <xf numFmtId="0" fontId="113" fillId="0" borderId="3363" applyNumberFormat="0" applyFill="0" applyAlignment="0" applyProtection="0"/>
    <xf numFmtId="222" fontId="79" fillId="0" borderId="3362" applyBorder="0"/>
    <xf numFmtId="0" fontId="101" fillId="0" borderId="3363" applyBorder="0"/>
    <xf numFmtId="248" fontId="46" fillId="0" borderId="3363"/>
    <xf numFmtId="0" fontId="101" fillId="0" borderId="3363" applyBorder="0"/>
    <xf numFmtId="222" fontId="79" fillId="0" borderId="3362" applyBorder="0"/>
    <xf numFmtId="0" fontId="113" fillId="0" borderId="3363" applyNumberFormat="0" applyFill="0" applyAlignment="0" applyProtection="0"/>
    <xf numFmtId="0" fontId="75" fillId="0" borderId="3364" applyNumberFormat="0" applyFont="0" applyFill="0" applyAlignment="0" applyProtection="0"/>
    <xf numFmtId="0" fontId="12" fillId="0" borderId="3363" applyNumberFormat="0" applyFill="0" applyBorder="0" applyAlignment="0" applyProtection="0">
      <alignment horizontal="center"/>
    </xf>
    <xf numFmtId="248" fontId="46" fillId="0" borderId="3363"/>
    <xf numFmtId="192" fontId="9" fillId="3" borderId="3363">
      <alignment horizontal="right" vertical="center"/>
    </xf>
    <xf numFmtId="180" fontId="9" fillId="3" borderId="3363">
      <alignment horizontal="right" vertical="center"/>
    </xf>
    <xf numFmtId="186" fontId="146" fillId="3" borderId="3363" applyBorder="0">
      <alignment horizontal="left" vertical="center"/>
    </xf>
    <xf numFmtId="186" fontId="146" fillId="3" borderId="3366">
      <alignment horizontal="left"/>
    </xf>
    <xf numFmtId="186" fontId="140" fillId="3" borderId="3367">
      <alignment horizontal="center" vertical="center"/>
    </xf>
    <xf numFmtId="0" fontId="165" fillId="0" borderId="3363" applyFill="0" applyProtection="0">
      <alignment horizontal="center"/>
    </xf>
    <xf numFmtId="0" fontId="166" fillId="0" borderId="3363">
      <alignment horizontal="center"/>
    </xf>
    <xf numFmtId="264" fontId="12" fillId="14" borderId="3363" applyFont="0" applyFill="0" applyBorder="0" applyAlignment="0" applyProtection="0">
      <alignment horizontal="right"/>
    </xf>
    <xf numFmtId="0" fontId="210" fillId="0" borderId="3363" applyNumberFormat="0" applyFill="0" applyBorder="0" applyAlignment="0">
      <protection locked="0"/>
    </xf>
    <xf numFmtId="0" fontId="2" fillId="0" borderId="3368" applyNumberFormat="0" applyAlignment="0" applyProtection="0"/>
    <xf numFmtId="0" fontId="214" fillId="0" borderId="3369" applyNumberFormat="0" applyFont="0" applyFill="0" applyAlignment="0" applyProtection="0"/>
    <xf numFmtId="0" fontId="25" fillId="10" borderId="3370" applyNumberFormat="0" applyProtection="0">
      <alignment horizontal="left" vertical="top"/>
    </xf>
    <xf numFmtId="0" fontId="25" fillId="10" borderId="3371" applyNumberFormat="0" applyProtection="0">
      <alignment horizontal="left" vertical="top"/>
    </xf>
    <xf numFmtId="0" fontId="25" fillId="10" borderId="3372" applyNumberFormat="0" applyProtection="0">
      <alignment horizontal="left" vertical="top"/>
    </xf>
    <xf numFmtId="0" fontId="25" fillId="10" borderId="3373" applyNumberFormat="0" applyProtection="0">
      <alignment horizontal="left" vertical="top"/>
    </xf>
    <xf numFmtId="0" fontId="25" fillId="10" borderId="3370" applyNumberFormat="0" applyProtection="0">
      <alignment horizontal="left" vertical="top"/>
    </xf>
    <xf numFmtId="0" fontId="25" fillId="10" borderId="3371" applyNumberFormat="0" applyProtection="0">
      <alignment horizontal="left" vertical="top"/>
    </xf>
    <xf numFmtId="0" fontId="25" fillId="10" borderId="3372" applyNumberFormat="0" applyProtection="0">
      <alignment horizontal="left" vertical="top"/>
    </xf>
    <xf numFmtId="0" fontId="25" fillId="10" borderId="3373" applyNumberFormat="0" applyProtection="0">
      <alignment horizontal="left" vertical="top"/>
    </xf>
    <xf numFmtId="254" fontId="240" fillId="0" borderId="3363" applyBorder="0" applyProtection="0">
      <alignment horizontal="right" vertical="center"/>
    </xf>
    <xf numFmtId="0" fontId="241" fillId="94" borderId="3363" applyBorder="0" applyProtection="0">
      <alignment horizontal="centerContinuous" vertical="center"/>
    </xf>
    <xf numFmtId="246" fontId="249" fillId="0" borderId="3363" applyFill="0" applyProtection="0">
      <alignment horizontal="center"/>
    </xf>
    <xf numFmtId="246" fontId="250" fillId="0" borderId="3363" applyFill="0" applyProtection="0">
      <alignment horizontal="center"/>
    </xf>
    <xf numFmtId="190" fontId="101" fillId="0" borderId="3363" applyBorder="0"/>
    <xf numFmtId="190" fontId="113" fillId="0" borderId="3363" applyNumberFormat="0" applyFill="0" applyAlignment="0" applyProtection="0"/>
    <xf numFmtId="190" fontId="75" fillId="0" borderId="3340" applyNumberFormat="0" applyFont="0" applyFill="0" applyAlignment="0" applyProtection="0"/>
    <xf numFmtId="190" fontId="12" fillId="0" borderId="3363" applyNumberFormat="0" applyFill="0" applyBorder="0" applyAlignment="0" applyProtection="0">
      <alignment horizontal="center"/>
    </xf>
    <xf numFmtId="190" fontId="78" fillId="14" borderId="3353" applyFont="0" applyFill="0" applyBorder="0" applyAlignment="0" applyProtection="0"/>
    <xf numFmtId="190" fontId="165" fillId="0" borderId="3363" applyFill="0" applyProtection="0">
      <alignment horizontal="center"/>
    </xf>
    <xf numFmtId="190" fontId="166" fillId="0" borderId="3363">
      <alignment horizontal="center"/>
    </xf>
    <xf numFmtId="190" fontId="210" fillId="0" borderId="3363" applyNumberFormat="0" applyFill="0" applyBorder="0" applyAlignment="0">
      <protection locked="0"/>
    </xf>
    <xf numFmtId="190" fontId="2" fillId="0" borderId="3344" applyNumberFormat="0" applyAlignment="0" applyProtection="0"/>
    <xf numFmtId="190" fontId="214" fillId="0" borderId="3345" applyNumberFormat="0" applyFont="0" applyFill="0" applyAlignment="0" applyProtection="0"/>
    <xf numFmtId="190" fontId="25" fillId="10" borderId="3346" applyNumberFormat="0" applyProtection="0">
      <alignment horizontal="left" vertical="top"/>
    </xf>
    <xf numFmtId="190" fontId="25" fillId="10" borderId="3347" applyNumberFormat="0" applyProtection="0">
      <alignment horizontal="left" vertical="top"/>
    </xf>
    <xf numFmtId="190" fontId="25" fillId="10" borderId="3348" applyNumberFormat="0" applyProtection="0">
      <alignment horizontal="left" vertical="top"/>
    </xf>
    <xf numFmtId="190" fontId="25" fillId="10" borderId="3349" applyNumberFormat="0" applyProtection="0">
      <alignment horizontal="left" vertical="top"/>
    </xf>
    <xf numFmtId="190" fontId="241" fillId="94" borderId="3363" applyBorder="0" applyProtection="0">
      <alignment horizontal="centerContinuous" vertical="center"/>
    </xf>
    <xf numFmtId="222" fontId="79" fillId="0" borderId="3362" applyBorder="0"/>
    <xf numFmtId="0" fontId="101" fillId="0" borderId="3363" applyBorder="0"/>
    <xf numFmtId="222" fontId="79" fillId="0" borderId="3362" applyBorder="0"/>
    <xf numFmtId="0" fontId="113" fillId="0" borderId="3363" applyNumberFormat="0" applyFill="0" applyAlignment="0" applyProtection="0"/>
    <xf numFmtId="0" fontId="75" fillId="0" borderId="3340" applyNumberFormat="0" applyFont="0" applyFill="0" applyAlignment="0" applyProtection="0"/>
    <xf numFmtId="0" fontId="12" fillId="0" borderId="3363" applyNumberFormat="0" applyFill="0" applyBorder="0" applyAlignment="0" applyProtection="0">
      <alignment horizontal="center"/>
    </xf>
    <xf numFmtId="248" fontId="46" fillId="0" borderId="3363"/>
    <xf numFmtId="192" fontId="9" fillId="3" borderId="3363">
      <alignment horizontal="right" vertical="center"/>
    </xf>
    <xf numFmtId="180" fontId="9" fillId="3" borderId="3363">
      <alignment horizontal="right" vertical="center"/>
    </xf>
    <xf numFmtId="186" fontId="146" fillId="3" borderId="3363" applyBorder="0">
      <alignment horizontal="left" vertical="center"/>
    </xf>
    <xf numFmtId="186" fontId="146" fillId="3" borderId="3342">
      <alignment horizontal="left"/>
    </xf>
    <xf numFmtId="186" fontId="140" fillId="3" borderId="3343">
      <alignment horizontal="center" vertical="center"/>
    </xf>
    <xf numFmtId="0" fontId="165" fillId="0" borderId="3363" applyFill="0" applyProtection="0">
      <alignment horizontal="center"/>
    </xf>
    <xf numFmtId="0" fontId="166" fillId="0" borderId="3363">
      <alignment horizontal="center"/>
    </xf>
    <xf numFmtId="264" fontId="12" fillId="14" borderId="3363" applyFont="0" applyFill="0" applyBorder="0" applyAlignment="0" applyProtection="0">
      <alignment horizontal="right"/>
    </xf>
    <xf numFmtId="0" fontId="210" fillId="0" borderId="3363" applyNumberFormat="0" applyFill="0" applyBorder="0" applyAlignment="0">
      <protection locked="0"/>
    </xf>
    <xf numFmtId="0" fontId="2" fillId="0" borderId="3344" applyNumberFormat="0" applyAlignment="0" applyProtection="0"/>
    <xf numFmtId="0" fontId="214" fillId="0" borderId="3345" applyNumberFormat="0" applyFont="0" applyFill="0" applyAlignment="0" applyProtection="0"/>
    <xf numFmtId="0" fontId="25" fillId="10" borderId="3346" applyNumberFormat="0" applyProtection="0">
      <alignment horizontal="left" vertical="top"/>
    </xf>
    <xf numFmtId="0" fontId="25" fillId="10" borderId="3347" applyNumberFormat="0" applyProtection="0">
      <alignment horizontal="left" vertical="top"/>
    </xf>
    <xf numFmtId="0" fontId="25" fillId="10" borderId="3348" applyNumberFormat="0" applyProtection="0">
      <alignment horizontal="left" vertical="top"/>
    </xf>
    <xf numFmtId="0" fontId="25" fillId="10" borderId="3349" applyNumberFormat="0" applyProtection="0">
      <alignment horizontal="left" vertical="top"/>
    </xf>
    <xf numFmtId="0" fontId="25" fillId="10" borderId="3346" applyNumberFormat="0" applyProtection="0">
      <alignment horizontal="left" vertical="top"/>
    </xf>
    <xf numFmtId="0" fontId="25" fillId="10" borderId="3347" applyNumberFormat="0" applyProtection="0">
      <alignment horizontal="left" vertical="top"/>
    </xf>
    <xf numFmtId="0" fontId="25" fillId="10" borderId="3348" applyNumberFormat="0" applyProtection="0">
      <alignment horizontal="left" vertical="top"/>
    </xf>
    <xf numFmtId="0" fontId="25" fillId="10" borderId="3349" applyNumberFormat="0" applyProtection="0">
      <alignment horizontal="left" vertical="top"/>
    </xf>
    <xf numFmtId="254" fontId="240" fillId="0" borderId="3363" applyBorder="0" applyProtection="0">
      <alignment horizontal="right" vertical="center"/>
    </xf>
    <xf numFmtId="0" fontId="241" fillId="94" borderId="3363" applyBorder="0" applyProtection="0">
      <alignment horizontal="centerContinuous" vertical="center"/>
    </xf>
    <xf numFmtId="246" fontId="249" fillId="0" borderId="3363" applyFill="0" applyProtection="0">
      <alignment horizontal="center"/>
    </xf>
    <xf numFmtId="246" fontId="250" fillId="0" borderId="3363" applyFill="0" applyProtection="0">
      <alignment horizontal="center"/>
    </xf>
    <xf numFmtId="312" fontId="101" fillId="0" borderId="3363" applyBorder="0"/>
    <xf numFmtId="312" fontId="113" fillId="0" borderId="3363" applyNumberFormat="0" applyFill="0" applyAlignment="0" applyProtection="0"/>
    <xf numFmtId="312" fontId="75" fillId="0" borderId="3340" applyNumberFormat="0" applyFont="0" applyFill="0" applyAlignment="0" applyProtection="0"/>
    <xf numFmtId="312" fontId="12" fillId="0" borderId="3363" applyNumberFormat="0" applyFill="0" applyBorder="0" applyAlignment="0" applyProtection="0">
      <alignment horizontal="center"/>
    </xf>
    <xf numFmtId="312" fontId="165" fillId="0" borderId="3363" applyFill="0" applyProtection="0">
      <alignment horizontal="center"/>
    </xf>
    <xf numFmtId="312" fontId="242" fillId="0" borderId="3363">
      <alignment horizontal="center"/>
    </xf>
    <xf numFmtId="312" fontId="210" fillId="0" borderId="3363" applyNumberFormat="0" applyFill="0" applyBorder="0" applyAlignment="0">
      <protection locked="0"/>
    </xf>
    <xf numFmtId="312" fontId="2" fillId="0" borderId="3344" applyNumberFormat="0" applyAlignment="0" applyProtection="0"/>
    <xf numFmtId="312" fontId="214" fillId="0" borderId="3345" applyNumberFormat="0" applyFont="0" applyFill="0" applyAlignment="0" applyProtection="0"/>
    <xf numFmtId="312" fontId="25" fillId="10" borderId="3346" applyNumberFormat="0" applyProtection="0">
      <alignment horizontal="left" vertical="top"/>
    </xf>
    <xf numFmtId="312" fontId="25" fillId="10" borderId="3347" applyNumberFormat="0" applyProtection="0">
      <alignment horizontal="left" vertical="top"/>
    </xf>
    <xf numFmtId="312" fontId="25" fillId="10" borderId="3348" applyNumberFormat="0" applyProtection="0">
      <alignment horizontal="left" vertical="top"/>
    </xf>
    <xf numFmtId="312" fontId="25" fillId="10" borderId="3349" applyNumberFormat="0" applyProtection="0">
      <alignment horizontal="left" vertical="top"/>
    </xf>
    <xf numFmtId="312" fontId="241" fillId="94" borderId="3363" applyBorder="0" applyProtection="0">
      <alignment horizontal="centerContinuous" vertical="center"/>
    </xf>
    <xf numFmtId="246" fontId="296" fillId="0" borderId="3363" applyFill="0" applyProtection="0">
      <alignment horizontal="center"/>
    </xf>
    <xf numFmtId="312" fontId="101" fillId="0" borderId="3363" applyBorder="0"/>
    <xf numFmtId="312" fontId="113" fillId="0" borderId="3363" applyNumberFormat="0" applyFill="0" applyAlignment="0" applyProtection="0"/>
    <xf numFmtId="312" fontId="75" fillId="0" borderId="3340" applyNumberFormat="0" applyFont="0" applyFill="0" applyAlignment="0" applyProtection="0"/>
    <xf numFmtId="312" fontId="12" fillId="0" borderId="3363" applyNumberFormat="0" applyFill="0" applyBorder="0" applyAlignment="0" applyProtection="0">
      <alignment horizontal="center"/>
    </xf>
    <xf numFmtId="312" fontId="165" fillId="0" borderId="3363" applyFill="0" applyProtection="0">
      <alignment horizontal="center"/>
    </xf>
    <xf numFmtId="312" fontId="242" fillId="0" borderId="3363">
      <alignment horizontal="center"/>
    </xf>
    <xf numFmtId="312" fontId="210" fillId="0" borderId="3363" applyNumberFormat="0" applyFill="0" applyBorder="0" applyAlignment="0">
      <protection locked="0"/>
    </xf>
    <xf numFmtId="312" fontId="2" fillId="0" borderId="3344" applyNumberFormat="0" applyAlignment="0" applyProtection="0"/>
    <xf numFmtId="312" fontId="214" fillId="0" borderId="3345" applyNumberFormat="0" applyFont="0" applyFill="0" applyAlignment="0" applyProtection="0"/>
    <xf numFmtId="312" fontId="25" fillId="10" borderId="3346" applyNumberFormat="0" applyProtection="0">
      <alignment horizontal="left" vertical="top"/>
    </xf>
    <xf numFmtId="312" fontId="25" fillId="10" borderId="3347" applyNumberFormat="0" applyProtection="0">
      <alignment horizontal="left" vertical="top"/>
    </xf>
    <xf numFmtId="312" fontId="25" fillId="10" borderId="3348" applyNumberFormat="0" applyProtection="0">
      <alignment horizontal="left" vertical="top"/>
    </xf>
    <xf numFmtId="312" fontId="25" fillId="10" borderId="3349" applyNumberFormat="0" applyProtection="0">
      <alignment horizontal="left" vertical="top"/>
    </xf>
    <xf numFmtId="312" fontId="25" fillId="10" borderId="3346" applyNumberFormat="0" applyProtection="0">
      <alignment horizontal="left" vertical="top"/>
    </xf>
    <xf numFmtId="312" fontId="25" fillId="10" borderId="3347" applyNumberFormat="0" applyProtection="0">
      <alignment horizontal="left" vertical="top"/>
    </xf>
    <xf numFmtId="312" fontId="25" fillId="10" borderId="3348" applyNumberFormat="0" applyProtection="0">
      <alignment horizontal="left" vertical="top"/>
    </xf>
    <xf numFmtId="312" fontId="25" fillId="10" borderId="3349" applyNumberFormat="0" applyProtection="0">
      <alignment horizontal="left" vertical="top"/>
    </xf>
    <xf numFmtId="312" fontId="241" fillId="94" borderId="3363" applyBorder="0" applyProtection="0">
      <alignment horizontal="centerContinuous" vertical="center"/>
    </xf>
    <xf numFmtId="246" fontId="296" fillId="0" borderId="3363" applyFill="0" applyProtection="0">
      <alignment horizontal="center"/>
    </xf>
    <xf numFmtId="246" fontId="250" fillId="0" borderId="3363" applyFill="0" applyProtection="0">
      <alignment horizontal="center"/>
    </xf>
    <xf numFmtId="246" fontId="249" fillId="0" borderId="3363" applyFill="0" applyProtection="0">
      <alignment horizontal="center"/>
    </xf>
    <xf numFmtId="0" fontId="241" fillId="94" borderId="3363" applyBorder="0" applyProtection="0">
      <alignment horizontal="centerContinuous" vertical="center"/>
    </xf>
    <xf numFmtId="254" fontId="240" fillId="0" borderId="3363" applyBorder="0" applyProtection="0">
      <alignment horizontal="right" vertical="center"/>
    </xf>
    <xf numFmtId="0" fontId="25" fillId="10" borderId="3361" applyNumberFormat="0" applyProtection="0">
      <alignment horizontal="left" vertical="top"/>
    </xf>
    <xf numFmtId="0" fontId="25" fillId="10" borderId="3360" applyNumberFormat="0" applyProtection="0">
      <alignment horizontal="left" vertical="top"/>
    </xf>
    <xf numFmtId="0" fontId="25" fillId="10" borderId="3359" applyNumberFormat="0" applyProtection="0">
      <alignment horizontal="left" vertical="top"/>
    </xf>
    <xf numFmtId="0" fontId="25" fillId="10" borderId="3358" applyNumberFormat="0" applyProtection="0">
      <alignment horizontal="left" vertical="top"/>
    </xf>
    <xf numFmtId="0" fontId="214" fillId="0" borderId="3357" applyNumberFormat="0" applyFont="0" applyFill="0" applyAlignment="0" applyProtection="0"/>
    <xf numFmtId="0" fontId="2" fillId="0" borderId="3356" applyNumberFormat="0" applyAlignment="0" applyProtection="0"/>
    <xf numFmtId="0" fontId="210" fillId="0" borderId="3363" applyNumberFormat="0" applyFill="0" applyBorder="0" applyAlignment="0">
      <protection locked="0"/>
    </xf>
    <xf numFmtId="264" fontId="12" fillId="14" borderId="3363" applyFont="0" applyFill="0" applyBorder="0" applyAlignment="0" applyProtection="0">
      <alignment horizontal="right"/>
    </xf>
    <xf numFmtId="0" fontId="166" fillId="0" borderId="3363">
      <alignment horizontal="center"/>
    </xf>
    <xf numFmtId="0" fontId="165" fillId="0" borderId="3363" applyFill="0" applyProtection="0">
      <alignment horizontal="center"/>
    </xf>
    <xf numFmtId="186" fontId="140" fillId="3" borderId="3355">
      <alignment horizontal="center" vertical="center"/>
    </xf>
    <xf numFmtId="186" fontId="146" fillId="3" borderId="3354">
      <alignment horizontal="left"/>
    </xf>
    <xf numFmtId="186" fontId="146" fillId="3" borderId="3363" applyBorder="0">
      <alignment horizontal="left" vertical="center"/>
    </xf>
    <xf numFmtId="180" fontId="9" fillId="3" borderId="3363">
      <alignment horizontal="right" vertical="center"/>
    </xf>
    <xf numFmtId="192" fontId="9" fillId="3" borderId="3363">
      <alignment horizontal="right" vertical="center"/>
    </xf>
    <xf numFmtId="248" fontId="46" fillId="0" borderId="3363"/>
    <xf numFmtId="0" fontId="78" fillId="14" borderId="3353" applyFont="0" applyFill="0" applyBorder="0" applyAlignment="0" applyProtection="0"/>
    <xf numFmtId="0" fontId="12" fillId="0" borderId="3363" applyNumberFormat="0" applyFill="0" applyBorder="0" applyAlignment="0" applyProtection="0">
      <alignment horizontal="center"/>
    </xf>
    <xf numFmtId="0" fontId="75" fillId="0" borderId="3352" applyNumberFormat="0" applyFont="0" applyFill="0" applyAlignment="0" applyProtection="0"/>
    <xf numFmtId="0" fontId="113" fillId="0" borderId="3363" applyNumberFormat="0" applyFill="0" applyAlignment="0" applyProtection="0"/>
    <xf numFmtId="222" fontId="79" fillId="0" borderId="3362" applyBorder="0"/>
    <xf numFmtId="0" fontId="101" fillId="0" borderId="3363" applyBorder="0"/>
    <xf numFmtId="0" fontId="25" fillId="10" borderId="3370" applyNumberFormat="0" applyProtection="0">
      <alignment horizontal="left" vertical="top"/>
    </xf>
    <xf numFmtId="0" fontId="25" fillId="10" borderId="3371" applyNumberFormat="0" applyProtection="0">
      <alignment horizontal="left" vertical="top"/>
    </xf>
    <xf numFmtId="0" fontId="25" fillId="10" borderId="3372" applyNumberFormat="0" applyProtection="0">
      <alignment horizontal="left" vertical="top"/>
    </xf>
    <xf numFmtId="0" fontId="25" fillId="10" borderId="3373" applyNumberFormat="0" applyProtection="0">
      <alignment horizontal="left" vertical="top"/>
    </xf>
    <xf numFmtId="246" fontId="250" fillId="0" borderId="3351" applyFill="0" applyProtection="0">
      <alignment horizontal="center"/>
    </xf>
    <xf numFmtId="246" fontId="249" fillId="0" borderId="3351" applyFill="0" applyProtection="0">
      <alignment horizontal="center"/>
    </xf>
    <xf numFmtId="0" fontId="241" fillId="94" borderId="3351" applyBorder="0" applyProtection="0">
      <alignment horizontal="centerContinuous" vertical="center"/>
    </xf>
    <xf numFmtId="254" fontId="240" fillId="0" borderId="3351" applyBorder="0" applyProtection="0">
      <alignment horizontal="right" vertical="center"/>
    </xf>
    <xf numFmtId="0" fontId="210" fillId="0" borderId="3351" applyNumberFormat="0" applyFill="0" applyBorder="0" applyAlignment="0">
      <protection locked="0"/>
    </xf>
    <xf numFmtId="264" fontId="12" fillId="14" borderId="3351" applyFont="0" applyFill="0" applyBorder="0" applyAlignment="0" applyProtection="0">
      <alignment horizontal="right"/>
    </xf>
    <xf numFmtId="0" fontId="166" fillId="0" borderId="3351">
      <alignment horizontal="center"/>
    </xf>
    <xf numFmtId="0" fontId="165" fillId="0" borderId="3351" applyFill="0" applyProtection="0">
      <alignment horizontal="center"/>
    </xf>
    <xf numFmtId="186" fontId="146" fillId="3" borderId="3351" applyBorder="0">
      <alignment horizontal="left" vertical="center"/>
    </xf>
    <xf numFmtId="180" fontId="9" fillId="3" borderId="3351">
      <alignment horizontal="right" vertical="center"/>
    </xf>
    <xf numFmtId="192" fontId="9" fillId="3" borderId="3351">
      <alignment horizontal="right" vertical="center"/>
    </xf>
    <xf numFmtId="248" fontId="46" fillId="0" borderId="3351"/>
    <xf numFmtId="0" fontId="12" fillId="0" borderId="3351" applyNumberFormat="0" applyFill="0" applyBorder="0" applyAlignment="0" applyProtection="0">
      <alignment horizontal="center"/>
    </xf>
    <xf numFmtId="0" fontId="113" fillId="0" borderId="3351" applyNumberFormat="0" applyFill="0" applyAlignment="0" applyProtection="0"/>
    <xf numFmtId="222" fontId="79" fillId="0" borderId="3350" applyBorder="0"/>
    <xf numFmtId="0" fontId="101" fillId="0" borderId="3351" applyBorder="0"/>
    <xf numFmtId="246" fontId="250" fillId="0" borderId="3351" applyFill="0" applyProtection="0">
      <alignment horizontal="center"/>
    </xf>
    <xf numFmtId="246" fontId="249" fillId="0" borderId="3351" applyFill="0" applyProtection="0">
      <alignment horizontal="center"/>
    </xf>
    <xf numFmtId="0" fontId="241" fillId="94" borderId="3351" applyBorder="0" applyProtection="0">
      <alignment horizontal="centerContinuous" vertical="center"/>
    </xf>
    <xf numFmtId="254" fontId="240" fillId="0" borderId="3351" applyBorder="0" applyProtection="0">
      <alignment horizontal="right" vertical="center"/>
    </xf>
    <xf numFmtId="0" fontId="210" fillId="0" borderId="3351" applyNumberFormat="0" applyFill="0" applyBorder="0" applyAlignment="0">
      <protection locked="0"/>
    </xf>
    <xf numFmtId="264" fontId="12" fillId="14" borderId="3351" applyFont="0" applyFill="0" applyBorder="0" applyAlignment="0" applyProtection="0">
      <alignment horizontal="right"/>
    </xf>
    <xf numFmtId="0" fontId="166" fillId="0" borderId="3351">
      <alignment horizontal="center"/>
    </xf>
    <xf numFmtId="0" fontId="165" fillId="0" borderId="3351" applyFill="0" applyProtection="0">
      <alignment horizontal="center"/>
    </xf>
    <xf numFmtId="186" fontId="146" fillId="3" borderId="3351" applyBorder="0">
      <alignment horizontal="left" vertical="center"/>
    </xf>
    <xf numFmtId="180" fontId="9" fillId="3" borderId="3351">
      <alignment horizontal="right" vertical="center"/>
    </xf>
    <xf numFmtId="192" fontId="9" fillId="3" borderId="3351">
      <alignment horizontal="right" vertical="center"/>
    </xf>
    <xf numFmtId="0" fontId="12" fillId="0" borderId="3351" applyNumberFormat="0" applyFill="0" applyBorder="0" applyAlignment="0" applyProtection="0">
      <alignment horizontal="center"/>
    </xf>
    <xf numFmtId="0" fontId="113" fillId="0" borderId="3351" applyNumberFormat="0" applyFill="0" applyAlignment="0" applyProtection="0"/>
    <xf numFmtId="222" fontId="79" fillId="0" borderId="3350" applyBorder="0"/>
    <xf numFmtId="0" fontId="101" fillId="0" borderId="3351" applyBorder="0"/>
    <xf numFmtId="248" fontId="46" fillId="0" borderId="3351"/>
    <xf numFmtId="246" fontId="250" fillId="0" borderId="3351" applyFill="0" applyProtection="0">
      <alignment horizontal="center"/>
    </xf>
    <xf numFmtId="246" fontId="249" fillId="0" borderId="3351" applyFill="0" applyProtection="0">
      <alignment horizontal="center"/>
    </xf>
    <xf numFmtId="0" fontId="241" fillId="94" borderId="3351" applyBorder="0" applyProtection="0">
      <alignment horizontal="centerContinuous" vertical="center"/>
    </xf>
    <xf numFmtId="254" fontId="240" fillId="0" borderId="3351" applyBorder="0" applyProtection="0">
      <alignment horizontal="right" vertical="center"/>
    </xf>
    <xf numFmtId="0" fontId="210" fillId="0" borderId="3351" applyNumberFormat="0" applyFill="0" applyBorder="0" applyAlignment="0">
      <protection locked="0"/>
    </xf>
    <xf numFmtId="264" fontId="12" fillId="14" borderId="3351" applyFont="0" applyFill="0" applyBorder="0" applyAlignment="0" applyProtection="0">
      <alignment horizontal="right"/>
    </xf>
    <xf numFmtId="0" fontId="166" fillId="0" borderId="3351">
      <alignment horizontal="center"/>
    </xf>
    <xf numFmtId="0" fontId="165" fillId="0" borderId="3351" applyFill="0" applyProtection="0">
      <alignment horizontal="center"/>
    </xf>
    <xf numFmtId="186" fontId="146" fillId="3" borderId="3351" applyBorder="0">
      <alignment horizontal="left" vertical="center"/>
    </xf>
    <xf numFmtId="180" fontId="9" fillId="3" borderId="3351">
      <alignment horizontal="right" vertical="center"/>
    </xf>
    <xf numFmtId="192" fontId="9" fillId="3" borderId="3351">
      <alignment horizontal="right" vertical="center"/>
    </xf>
    <xf numFmtId="248" fontId="46" fillId="0" borderId="3351"/>
    <xf numFmtId="0" fontId="12" fillId="0" borderId="3351" applyNumberFormat="0" applyFill="0" applyBorder="0" applyAlignment="0" applyProtection="0">
      <alignment horizontal="center"/>
    </xf>
    <xf numFmtId="0" fontId="113" fillId="0" borderId="3351" applyNumberFormat="0" applyFill="0" applyAlignment="0" applyProtection="0"/>
    <xf numFmtId="222" fontId="79" fillId="0" borderId="3350" applyBorder="0"/>
    <xf numFmtId="0" fontId="101" fillId="0" borderId="3351" applyBorder="0"/>
    <xf numFmtId="192" fontId="9" fillId="3" borderId="4239">
      <alignment horizontal="right" vertical="center"/>
    </xf>
    <xf numFmtId="246" fontId="249" fillId="0" borderId="4239" applyFill="0" applyProtection="0">
      <alignment horizontal="center"/>
    </xf>
    <xf numFmtId="246" fontId="250" fillId="0" borderId="4239" applyFill="0" applyProtection="0">
      <alignment horizontal="center"/>
    </xf>
    <xf numFmtId="0" fontId="78" fillId="14" borderId="4253" applyFont="0" applyFill="0" applyBorder="0" applyAlignment="0" applyProtection="0"/>
    <xf numFmtId="246" fontId="249" fillId="0" borderId="4251" applyFill="0" applyProtection="0">
      <alignment horizontal="center"/>
    </xf>
    <xf numFmtId="264" fontId="12" fillId="14" borderId="4251" applyFont="0" applyFill="0" applyBorder="0" applyAlignment="0" applyProtection="0">
      <alignment horizontal="right"/>
    </xf>
    <xf numFmtId="0" fontId="166" fillId="0" borderId="4251">
      <alignment horizontal="center"/>
    </xf>
    <xf numFmtId="180" fontId="9" fillId="3" borderId="4251">
      <alignment horizontal="right" vertical="center"/>
    </xf>
    <xf numFmtId="0" fontId="113" fillId="0" borderId="4251" applyNumberFormat="0" applyFill="0" applyAlignment="0" applyProtection="0"/>
    <xf numFmtId="0" fontId="12" fillId="0" borderId="4251" applyNumberFormat="0" applyFill="0" applyBorder="0" applyAlignment="0" applyProtection="0">
      <alignment horizontal="center"/>
    </xf>
    <xf numFmtId="0" fontId="25" fillId="10" borderId="4258" applyNumberFormat="0" applyProtection="0">
      <alignment horizontal="left" vertical="top"/>
    </xf>
    <xf numFmtId="0" fontId="25" fillId="10" borderId="4259" applyNumberFormat="0" applyProtection="0">
      <alignment horizontal="left" vertical="top"/>
    </xf>
    <xf numFmtId="0" fontId="25" fillId="10" borderId="4260" applyNumberFormat="0" applyProtection="0">
      <alignment horizontal="left" vertical="top"/>
    </xf>
    <xf numFmtId="0" fontId="25" fillId="10" borderId="4261" applyNumberFormat="0" applyProtection="0">
      <alignment horizontal="left" vertical="top"/>
    </xf>
    <xf numFmtId="0" fontId="25" fillId="10" borderId="4258" applyNumberFormat="0" applyProtection="0">
      <alignment horizontal="left" vertical="top"/>
    </xf>
    <xf numFmtId="0" fontId="25" fillId="10" borderId="4259" applyNumberFormat="0" applyProtection="0">
      <alignment horizontal="left" vertical="top"/>
    </xf>
    <xf numFmtId="0" fontId="25" fillId="10" borderId="4260" applyNumberFormat="0" applyProtection="0">
      <alignment horizontal="left" vertical="top"/>
    </xf>
    <xf numFmtId="0" fontId="25" fillId="10" borderId="4261" applyNumberFormat="0" applyProtection="0">
      <alignment horizontal="left" vertical="top"/>
    </xf>
    <xf numFmtId="254" fontId="240" fillId="0" borderId="4251" applyBorder="0" applyProtection="0">
      <alignment horizontal="right" vertical="center"/>
    </xf>
    <xf numFmtId="0" fontId="241" fillId="94" borderId="4251" applyBorder="0" applyProtection="0">
      <alignment horizontal="centerContinuous" vertical="center"/>
    </xf>
    <xf numFmtId="246" fontId="249" fillId="0" borderId="4251" applyFill="0" applyProtection="0">
      <alignment horizontal="center"/>
    </xf>
    <xf numFmtId="190" fontId="101" fillId="0" borderId="4251" applyBorder="0"/>
    <xf numFmtId="190" fontId="113" fillId="0" borderId="4251" applyNumberFormat="0" applyFill="0" applyAlignment="0" applyProtection="0"/>
    <xf numFmtId="190" fontId="166" fillId="0" borderId="4251">
      <alignment horizontal="center"/>
    </xf>
    <xf numFmtId="190" fontId="2" fillId="0" borderId="4232" applyNumberFormat="0" applyAlignment="0" applyProtection="0"/>
    <xf numFmtId="190" fontId="25" fillId="10" borderId="4237" applyNumberFormat="0" applyProtection="0">
      <alignment horizontal="left" vertical="top"/>
    </xf>
    <xf numFmtId="0" fontId="101" fillId="0" borderId="4251" applyBorder="0"/>
    <xf numFmtId="222" fontId="79" fillId="0" borderId="4250" applyBorder="0"/>
    <xf numFmtId="0" fontId="113" fillId="0" borderId="4251" applyNumberFormat="0" applyFill="0" applyAlignment="0" applyProtection="0"/>
    <xf numFmtId="248" fontId="46" fillId="0" borderId="4251"/>
    <xf numFmtId="0" fontId="25" fillId="10" borderId="4235" applyNumberFormat="0" applyProtection="0">
      <alignment horizontal="left" vertical="top"/>
    </xf>
    <xf numFmtId="312" fontId="113" fillId="0" borderId="4251" applyNumberFormat="0" applyFill="0" applyAlignment="0" applyProtection="0"/>
    <xf numFmtId="312" fontId="12" fillId="0" borderId="4251" applyNumberFormat="0" applyFill="0" applyBorder="0" applyAlignment="0" applyProtection="0">
      <alignment horizontal="center"/>
    </xf>
    <xf numFmtId="312" fontId="165" fillId="0" borderId="4251" applyFill="0" applyProtection="0">
      <alignment horizontal="center"/>
    </xf>
    <xf numFmtId="312" fontId="210" fillId="0" borderId="4251" applyNumberFormat="0" applyFill="0" applyBorder="0" applyAlignment="0">
      <protection locked="0"/>
    </xf>
    <xf numFmtId="312" fontId="2" fillId="0" borderId="4232" applyNumberFormat="0" applyAlignment="0" applyProtection="0"/>
    <xf numFmtId="312" fontId="214" fillId="0" borderId="4233" applyNumberFormat="0" applyFont="0" applyFill="0" applyAlignment="0" applyProtection="0"/>
    <xf numFmtId="0" fontId="101" fillId="0" borderId="4035" applyBorder="0"/>
    <xf numFmtId="222" fontId="79" fillId="0" borderId="3434" applyBorder="0"/>
    <xf numFmtId="0" fontId="113" fillId="0" borderId="4035" applyNumberFormat="0" applyFill="0" applyAlignment="0" applyProtection="0"/>
    <xf numFmtId="180" fontId="9" fillId="3" borderId="4035">
      <alignment horizontal="right" vertical="center"/>
    </xf>
    <xf numFmtId="0" fontId="166" fillId="0" borderId="4035">
      <alignment horizontal="center"/>
    </xf>
    <xf numFmtId="0" fontId="210" fillId="0" borderId="4035" applyNumberFormat="0" applyFill="0" applyBorder="0" applyAlignment="0">
      <protection locked="0"/>
    </xf>
    <xf numFmtId="0" fontId="241" fillId="94" borderId="4035" applyBorder="0" applyProtection="0">
      <alignment horizontal="centerContinuous" vertical="center"/>
    </xf>
    <xf numFmtId="0" fontId="101" fillId="0" borderId="4035" applyBorder="0"/>
    <xf numFmtId="0" fontId="113" fillId="0" borderId="4035" applyNumberFormat="0" applyFill="0" applyAlignment="0" applyProtection="0"/>
    <xf numFmtId="0" fontId="12" fillId="0" borderId="4035" applyNumberFormat="0" applyFill="0" applyBorder="0" applyAlignment="0" applyProtection="0">
      <alignment horizontal="center"/>
    </xf>
    <xf numFmtId="192" fontId="9" fillId="3" borderId="4035">
      <alignment horizontal="right" vertical="center"/>
    </xf>
    <xf numFmtId="180" fontId="9" fillId="3" borderId="4035">
      <alignment horizontal="right" vertical="center"/>
    </xf>
    <xf numFmtId="186" fontId="146" fillId="3" borderId="4035" applyBorder="0">
      <alignment horizontal="left" vertical="center"/>
    </xf>
    <xf numFmtId="0" fontId="165" fillId="0" borderId="4035" applyFill="0" applyProtection="0">
      <alignment horizontal="center"/>
    </xf>
    <xf numFmtId="0" fontId="166" fillId="0" borderId="4035">
      <alignment horizontal="center"/>
    </xf>
    <xf numFmtId="254" fontId="240" fillId="0" borderId="4035" applyBorder="0" applyProtection="0">
      <alignment horizontal="right" vertical="center"/>
    </xf>
    <xf numFmtId="0" fontId="241" fillId="94" borderId="4035" applyBorder="0" applyProtection="0">
      <alignment horizontal="centerContinuous" vertical="center"/>
    </xf>
    <xf numFmtId="246" fontId="249" fillId="0" borderId="4035" applyFill="0" applyProtection="0">
      <alignment horizontal="center"/>
    </xf>
    <xf numFmtId="246" fontId="250" fillId="0" borderId="4035" applyFill="0" applyProtection="0">
      <alignment horizontal="center"/>
    </xf>
    <xf numFmtId="0" fontId="101" fillId="0" borderId="3363" applyBorder="0"/>
    <xf numFmtId="0" fontId="25" fillId="10" borderId="4103" applyNumberFormat="0" applyProtection="0">
      <alignment horizontal="left" vertical="top"/>
    </xf>
    <xf numFmtId="0" fontId="25" fillId="10" borderId="4102" applyNumberFormat="0" applyProtection="0">
      <alignment horizontal="left" vertical="top"/>
    </xf>
    <xf numFmtId="222" fontId="79" fillId="0" borderId="3362" applyBorder="0"/>
    <xf numFmtId="0" fontId="113" fillId="0" borderId="3363" applyNumberFormat="0" applyFill="0" applyAlignment="0" applyProtection="0"/>
    <xf numFmtId="0" fontId="25" fillId="10" borderId="4030" applyNumberFormat="0" applyProtection="0">
      <alignment horizontal="left" vertical="top"/>
    </xf>
    <xf numFmtId="0" fontId="25" fillId="10" borderId="4032" applyNumberFormat="0" applyProtection="0">
      <alignment horizontal="left" vertical="top"/>
    </xf>
    <xf numFmtId="0" fontId="25" fillId="10" borderId="4033" applyNumberFormat="0" applyProtection="0">
      <alignment horizontal="left" vertical="top"/>
    </xf>
    <xf numFmtId="0" fontId="241" fillId="94" borderId="4095" applyBorder="0" applyProtection="0">
      <alignment horizontal="centerContinuous" vertical="center"/>
    </xf>
    <xf numFmtId="246" fontId="250" fillId="0" borderId="4095" applyFill="0" applyProtection="0">
      <alignment horizontal="center"/>
    </xf>
    <xf numFmtId="0" fontId="12" fillId="0" borderId="3363" applyNumberFormat="0" applyFill="0" applyBorder="0" applyAlignment="0" applyProtection="0">
      <alignment horizontal="center"/>
    </xf>
    <xf numFmtId="0" fontId="214" fillId="0" borderId="4723" applyNumberFormat="0" applyFont="0" applyFill="0" applyAlignment="0" applyProtection="0"/>
    <xf numFmtId="246" fontId="296" fillId="0" borderId="4095" applyFill="0" applyProtection="0">
      <alignment horizontal="center"/>
    </xf>
    <xf numFmtId="248" fontId="46" fillId="0" borderId="3363"/>
    <xf numFmtId="312" fontId="214" fillId="0" borderId="4077" applyNumberFormat="0" applyFont="0" applyFill="0" applyAlignment="0" applyProtection="0"/>
    <xf numFmtId="312" fontId="2" fillId="0" borderId="4076" applyNumberFormat="0" applyAlignment="0" applyProtection="0"/>
    <xf numFmtId="312" fontId="242" fillId="0" borderId="4095">
      <alignment horizontal="center"/>
    </xf>
    <xf numFmtId="312" fontId="165" fillId="0" borderId="4095" applyFill="0" applyProtection="0">
      <alignment horizontal="center"/>
    </xf>
    <xf numFmtId="192" fontId="9" fillId="3" borderId="3363">
      <alignment horizontal="right" vertical="center"/>
    </xf>
    <xf numFmtId="180" fontId="9" fillId="3" borderId="3363">
      <alignment horizontal="right" vertical="center"/>
    </xf>
    <xf numFmtId="312" fontId="78" fillId="14" borderId="3365" applyFont="0" applyFill="0" applyBorder="0" applyAlignment="0" applyProtection="0"/>
    <xf numFmtId="186" fontId="146" fillId="3" borderId="3363" applyBorder="0">
      <alignment horizontal="left" vertical="center"/>
    </xf>
    <xf numFmtId="312" fontId="75" fillId="0" borderId="4072" applyNumberFormat="0" applyFont="0" applyFill="0" applyAlignment="0" applyProtection="0"/>
    <xf numFmtId="312" fontId="101" fillId="0" borderId="4095" applyBorder="0"/>
    <xf numFmtId="246" fontId="249" fillId="0" borderId="4095" applyFill="0" applyProtection="0">
      <alignment horizontal="center"/>
    </xf>
    <xf numFmtId="0" fontId="25" fillId="10" borderId="4081" applyNumberFormat="0" applyProtection="0">
      <alignment horizontal="left" vertical="top"/>
    </xf>
    <xf numFmtId="0" fontId="25" fillId="10" borderId="4078" applyNumberFormat="0" applyProtection="0">
      <alignment horizontal="left" vertical="top"/>
    </xf>
    <xf numFmtId="0" fontId="25" fillId="10" borderId="4079" applyNumberFormat="0" applyProtection="0">
      <alignment horizontal="left" vertical="top"/>
    </xf>
    <xf numFmtId="0" fontId="2" fillId="0" borderId="4076" applyNumberFormat="0" applyAlignment="0" applyProtection="0"/>
    <xf numFmtId="0" fontId="166" fillId="0" borderId="4095">
      <alignment horizontal="center"/>
    </xf>
    <xf numFmtId="190" fontId="241" fillId="94" borderId="4095" applyBorder="0" applyProtection="0">
      <alignment horizontal="centerContinuous" vertical="center"/>
    </xf>
    <xf numFmtId="0" fontId="165" fillId="0" borderId="3363" applyFill="0" applyProtection="0">
      <alignment horizontal="center"/>
    </xf>
    <xf numFmtId="0" fontId="166" fillId="0" borderId="3363">
      <alignment horizontal="center"/>
    </xf>
    <xf numFmtId="190" fontId="210" fillId="0" borderId="4095" applyNumberFormat="0" applyFill="0" applyBorder="0" applyAlignment="0">
      <protection locked="0"/>
    </xf>
    <xf numFmtId="190" fontId="165" fillId="0" borderId="4095" applyFill="0" applyProtection="0">
      <alignment horizontal="center"/>
    </xf>
    <xf numFmtId="264" fontId="12" fillId="14" borderId="3363" applyFont="0" applyFill="0" applyBorder="0" applyAlignment="0" applyProtection="0">
      <alignment horizontal="right"/>
    </xf>
    <xf numFmtId="190" fontId="78" fillId="14" borderId="4085" applyFont="0" applyFill="0" applyBorder="0" applyAlignment="0" applyProtection="0"/>
    <xf numFmtId="190" fontId="75" fillId="0" borderId="4072" applyNumberFormat="0" applyFont="0" applyFill="0" applyAlignment="0" applyProtection="0"/>
    <xf numFmtId="190" fontId="113" fillId="0" borderId="4095" applyNumberFormat="0" applyFill="0" applyAlignment="0" applyProtection="0"/>
    <xf numFmtId="190" fontId="101" fillId="0" borderId="4095" applyBorder="0"/>
    <xf numFmtId="0" fontId="25" fillId="10" borderId="4103" applyNumberFormat="0" applyProtection="0">
      <alignment horizontal="left" vertical="top"/>
    </xf>
    <xf numFmtId="264" fontId="12" fillId="14" borderId="4059" applyFont="0" applyFill="0" applyBorder="0" applyAlignment="0" applyProtection="0">
      <alignment horizontal="right"/>
    </xf>
    <xf numFmtId="0" fontId="78" fillId="14" borderId="4049" applyFont="0" applyFill="0" applyBorder="0" applyAlignment="0" applyProtection="0"/>
    <xf numFmtId="0" fontId="101" fillId="0" borderId="4035" applyBorder="0"/>
    <xf numFmtId="0" fontId="78" fillId="14" borderId="3365" applyFont="0" applyFill="0" applyBorder="0" applyAlignment="0" applyProtection="0"/>
    <xf numFmtId="0" fontId="25" fillId="10" borderId="4031" applyNumberFormat="0" applyProtection="0">
      <alignment horizontal="left" vertical="top"/>
    </xf>
    <xf numFmtId="0" fontId="2" fillId="0" borderId="4028" applyNumberFormat="0" applyAlignment="0" applyProtection="0"/>
    <xf numFmtId="0" fontId="75" fillId="0" borderId="4024" applyNumberFormat="0" applyFont="0" applyFill="0" applyAlignment="0" applyProtection="0"/>
    <xf numFmtId="222" fontId="79" fillId="0" borderId="4034" applyBorder="0"/>
    <xf numFmtId="0" fontId="210" fillId="0" borderId="3363" applyNumberFormat="0" applyFill="0" applyBorder="0" applyAlignment="0">
      <protection locked="0"/>
    </xf>
    <xf numFmtId="0" fontId="101" fillId="0" borderId="4035" applyBorder="0"/>
    <xf numFmtId="0" fontId="12" fillId="0" borderId="4035" applyNumberFormat="0" applyFill="0" applyBorder="0" applyAlignment="0" applyProtection="0">
      <alignment horizontal="center"/>
    </xf>
    <xf numFmtId="180" fontId="9" fillId="3" borderId="4035">
      <alignment horizontal="right" vertical="center"/>
    </xf>
    <xf numFmtId="0" fontId="166" fillId="0" borderId="4035">
      <alignment horizontal="center"/>
    </xf>
    <xf numFmtId="264" fontId="12" fillId="14" borderId="4035" applyFont="0" applyFill="0" applyBorder="0" applyAlignment="0" applyProtection="0">
      <alignment horizontal="right"/>
    </xf>
    <xf numFmtId="0" fontId="210" fillId="0" borderId="4035" applyNumberFormat="0" applyFill="0" applyBorder="0" applyAlignment="0">
      <protection locked="0"/>
    </xf>
    <xf numFmtId="246" fontId="249" fillId="0" borderId="4035" applyFill="0" applyProtection="0">
      <alignment horizontal="center"/>
    </xf>
    <xf numFmtId="0" fontId="2" fillId="0" borderId="4088" applyNumberFormat="0" applyAlignment="0" applyProtection="0"/>
    <xf numFmtId="0" fontId="25" fillId="10" borderId="3371" applyNumberFormat="0" applyProtection="0">
      <alignment horizontal="left" vertical="top"/>
    </xf>
    <xf numFmtId="0" fontId="78" fillId="14" borderId="3365" applyFont="0" applyFill="0" applyBorder="0" applyAlignment="0" applyProtection="0"/>
    <xf numFmtId="0" fontId="214" fillId="0" borderId="4065" applyNumberFormat="0" applyFont="0" applyFill="0" applyAlignment="0" applyProtection="0"/>
    <xf numFmtId="186" fontId="146" fillId="3" borderId="4071" applyBorder="0">
      <alignment horizontal="left" vertical="center"/>
    </xf>
    <xf numFmtId="0" fontId="166" fillId="0" borderId="4071">
      <alignment horizontal="center"/>
    </xf>
    <xf numFmtId="254" fontId="240" fillId="0" borderId="4047" applyBorder="0" applyProtection="0">
      <alignment horizontal="right" vertical="center"/>
    </xf>
    <xf numFmtId="0" fontId="165" fillId="0" borderId="4047" applyFill="0" applyProtection="0">
      <alignment horizontal="center"/>
    </xf>
    <xf numFmtId="0" fontId="25" fillId="10" borderId="4033" applyNumberFormat="0" applyProtection="0">
      <alignment horizontal="left" vertical="top"/>
    </xf>
    <xf numFmtId="0" fontId="25" fillId="10" borderId="4032" applyNumberFormat="0" applyProtection="0">
      <alignment horizontal="left" vertical="top"/>
    </xf>
    <xf numFmtId="0" fontId="25" fillId="10" borderId="4067" applyNumberFormat="0" applyProtection="0">
      <alignment horizontal="left" vertical="top"/>
    </xf>
    <xf numFmtId="248" fontId="46" fillId="0" borderId="4023"/>
    <xf numFmtId="222" fontId="79" fillId="0" borderId="4058" applyBorder="0"/>
    <xf numFmtId="0" fontId="25" fillId="10" borderId="4092" applyNumberFormat="0" applyProtection="0">
      <alignment horizontal="left" vertical="top"/>
    </xf>
    <xf numFmtId="0" fontId="12" fillId="0" borderId="4095" applyNumberFormat="0" applyFill="0" applyBorder="0" applyAlignment="0" applyProtection="0">
      <alignment horizontal="center"/>
    </xf>
    <xf numFmtId="0" fontId="25" fillId="10" borderId="4030" applyNumberFormat="0" applyProtection="0">
      <alignment horizontal="left" vertical="top"/>
    </xf>
    <xf numFmtId="186" fontId="140" fillId="3" borderId="4027">
      <alignment horizontal="center" vertical="center"/>
    </xf>
    <xf numFmtId="0" fontId="2" fillId="0" borderId="4028" applyNumberFormat="0" applyAlignment="0" applyProtection="0"/>
    <xf numFmtId="0" fontId="25" fillId="10" borderId="4031" applyNumberFormat="0" applyProtection="0">
      <alignment horizontal="left" vertical="top"/>
    </xf>
    <xf numFmtId="0" fontId="25" fillId="10" borderId="4032" applyNumberFormat="0" applyProtection="0">
      <alignment horizontal="left" vertical="top"/>
    </xf>
    <xf numFmtId="0" fontId="25" fillId="10" borderId="4033" applyNumberFormat="0" applyProtection="0">
      <alignment horizontal="left" vertical="top"/>
    </xf>
    <xf numFmtId="0" fontId="25" fillId="10" borderId="4031" applyNumberFormat="0" applyProtection="0">
      <alignment horizontal="left" vertical="top"/>
    </xf>
    <xf numFmtId="0" fontId="25" fillId="10" borderId="4033" applyNumberFormat="0" applyProtection="0">
      <alignment horizontal="left" vertical="top"/>
    </xf>
    <xf numFmtId="246" fontId="249" fillId="0" borderId="4095" applyFill="0" applyProtection="0">
      <alignment horizontal="center"/>
    </xf>
    <xf numFmtId="0" fontId="113" fillId="0" borderId="4095" applyNumberFormat="0" applyFill="0" applyAlignment="0" applyProtection="0"/>
    <xf numFmtId="0" fontId="75" fillId="0" borderId="4024" applyNumberFormat="0" applyFont="0" applyFill="0" applyAlignment="0" applyProtection="0"/>
    <xf numFmtId="0" fontId="210" fillId="0" borderId="4227" applyNumberFormat="0" applyFill="0" applyBorder="0" applyAlignment="0">
      <protection locked="0"/>
    </xf>
    <xf numFmtId="0" fontId="241" fillId="94" borderId="4023" applyBorder="0" applyProtection="0">
      <alignment horizontal="centerContinuous" vertical="center"/>
    </xf>
    <xf numFmtId="246" fontId="250" fillId="0" borderId="4023" applyFill="0" applyProtection="0">
      <alignment horizontal="center"/>
    </xf>
    <xf numFmtId="0" fontId="25" fillId="10" borderId="3370" applyNumberFormat="0" applyProtection="0">
      <alignment horizontal="left" vertical="top"/>
    </xf>
    <xf numFmtId="0" fontId="165" fillId="0" borderId="4023" applyFill="0" applyProtection="0">
      <alignment horizontal="center"/>
    </xf>
    <xf numFmtId="10" fontId="12" fillId="3" borderId="3006" applyNumberFormat="0" applyFont="0" applyFill="0" applyBorder="0" applyAlignment="0">
      <protection locked="0"/>
    </xf>
    <xf numFmtId="254" fontId="240" fillId="0" borderId="3363" applyBorder="0" applyProtection="0">
      <alignment horizontal="right" vertical="center"/>
    </xf>
    <xf numFmtId="0" fontId="241" fillId="94" borderId="3363" applyBorder="0" applyProtection="0">
      <alignment horizontal="centerContinuous" vertical="center"/>
    </xf>
    <xf numFmtId="246" fontId="249" fillId="0" borderId="3363" applyFill="0" applyProtection="0">
      <alignment horizontal="center"/>
    </xf>
    <xf numFmtId="246" fontId="250" fillId="0" borderId="3363" applyFill="0" applyProtection="0">
      <alignment horizontal="center"/>
    </xf>
    <xf numFmtId="0" fontId="241" fillId="94" borderId="4083" applyBorder="0" applyProtection="0">
      <alignment horizontal="centerContinuous" vertical="center"/>
    </xf>
    <xf numFmtId="0" fontId="12" fillId="0" borderId="4023" applyNumberFormat="0" applyFill="0" applyBorder="0" applyAlignment="0" applyProtection="0">
      <alignment horizontal="center"/>
    </xf>
    <xf numFmtId="0" fontId="25" fillId="10" borderId="4045" applyNumberFormat="0" applyProtection="0">
      <alignment horizontal="left" vertical="top"/>
    </xf>
    <xf numFmtId="0" fontId="25" fillId="10" borderId="4066" applyNumberFormat="0" applyProtection="0">
      <alignment horizontal="left" vertical="top"/>
    </xf>
    <xf numFmtId="0" fontId="2" fillId="0" borderId="4100" applyNumberFormat="0" applyAlignment="0" applyProtection="0"/>
    <xf numFmtId="0" fontId="25" fillId="10" borderId="4102" applyNumberFormat="0" applyProtection="0">
      <alignment horizontal="left" vertical="top"/>
    </xf>
    <xf numFmtId="312" fontId="25" fillId="10" borderId="4078" applyNumberFormat="0" applyProtection="0">
      <alignment horizontal="left" vertical="top"/>
    </xf>
    <xf numFmtId="222" fontId="79" fillId="0" borderId="4082" applyBorder="0"/>
    <xf numFmtId="0" fontId="210" fillId="0" borderId="4095" applyNumberFormat="0" applyFill="0" applyBorder="0" applyAlignment="0">
      <protection locked="0"/>
    </xf>
    <xf numFmtId="186" fontId="146" fillId="3" borderId="4062">
      <alignment horizontal="left"/>
    </xf>
    <xf numFmtId="312" fontId="75" fillId="0" borderId="4072" applyNumberFormat="0" applyFont="0" applyFill="0" applyAlignment="0" applyProtection="0"/>
    <xf numFmtId="312" fontId="25" fillId="10" borderId="4081" applyNumberFormat="0" applyProtection="0">
      <alignment horizontal="left" vertical="top"/>
    </xf>
    <xf numFmtId="0" fontId="75" fillId="0" borderId="4024" applyNumberFormat="0" applyFont="0" applyFill="0" applyAlignment="0" applyProtection="0"/>
    <xf numFmtId="0" fontId="214" fillId="0" borderId="4089" applyNumberFormat="0" applyFont="0" applyFill="0" applyAlignment="0" applyProtection="0"/>
    <xf numFmtId="0" fontId="25" fillId="10" borderId="4093" applyNumberFormat="0" applyProtection="0">
      <alignment horizontal="left" vertical="top"/>
    </xf>
    <xf numFmtId="246" fontId="250" fillId="0" borderId="4023" applyFill="0" applyProtection="0">
      <alignment horizontal="center"/>
    </xf>
    <xf numFmtId="246" fontId="249" fillId="0" borderId="4023" applyFill="0" applyProtection="0">
      <alignment horizontal="center"/>
    </xf>
    <xf numFmtId="0" fontId="241" fillId="94" borderId="4023" applyBorder="0" applyProtection="0">
      <alignment horizontal="centerContinuous" vertical="center"/>
    </xf>
    <xf numFmtId="254" fontId="240" fillId="0" borderId="4023" applyBorder="0" applyProtection="0">
      <alignment horizontal="right" vertical="center"/>
    </xf>
    <xf numFmtId="0" fontId="78" fillId="14" borderId="3365" applyFont="0" applyFill="0" applyBorder="0" applyAlignment="0" applyProtection="0"/>
    <xf numFmtId="0" fontId="25" fillId="10" borderId="3371" applyNumberFormat="0" applyProtection="0">
      <alignment horizontal="left" vertical="top"/>
    </xf>
    <xf numFmtId="222" fontId="79" fillId="0" borderId="4094" applyBorder="0"/>
    <xf numFmtId="0" fontId="25" fillId="10" borderId="4104" applyNumberFormat="0" applyProtection="0">
      <alignment horizontal="left" vertical="top"/>
    </xf>
    <xf numFmtId="186" fontId="140" fillId="3" borderId="4063">
      <alignment horizontal="center" vertical="center"/>
    </xf>
    <xf numFmtId="222" fontId="79" fillId="0" borderId="3362" applyBorder="0"/>
    <xf numFmtId="0" fontId="2" fillId="0" borderId="4040" applyNumberFormat="0" applyAlignment="0" applyProtection="0"/>
    <xf numFmtId="0" fontId="75" fillId="0" borderId="4060" applyNumberFormat="0" applyFont="0" applyFill="0" applyAlignment="0" applyProtection="0"/>
    <xf numFmtId="0" fontId="25" fillId="10" borderId="4223" applyNumberFormat="0" applyProtection="0">
      <alignment horizontal="left" vertical="top"/>
    </xf>
    <xf numFmtId="186" fontId="146" fillId="3" borderId="4083" applyBorder="0">
      <alignment horizontal="left" vertical="center"/>
    </xf>
    <xf numFmtId="186" fontId="146" fillId="3" borderId="4026">
      <alignment horizontal="left"/>
    </xf>
    <xf numFmtId="222" fontId="79" fillId="0" borderId="4034" applyBorder="0"/>
    <xf numFmtId="186" fontId="146" fillId="3" borderId="4026">
      <alignment horizontal="left"/>
    </xf>
    <xf numFmtId="222" fontId="79" fillId="0" borderId="4070" applyBorder="0"/>
    <xf numFmtId="0" fontId="101" fillId="0" borderId="4047" applyBorder="0"/>
    <xf numFmtId="0" fontId="101" fillId="0" borderId="3363" applyBorder="0"/>
    <xf numFmtId="222" fontId="79" fillId="0" borderId="3362" applyBorder="0"/>
    <xf numFmtId="0" fontId="113" fillId="0" borderId="3363" applyNumberFormat="0" applyFill="0" applyAlignment="0" applyProtection="0"/>
    <xf numFmtId="0" fontId="12" fillId="0" borderId="3363" applyNumberFormat="0" applyFill="0" applyBorder="0" applyAlignment="0" applyProtection="0">
      <alignment horizontal="center"/>
    </xf>
    <xf numFmtId="248" fontId="46" fillId="0" borderId="3363"/>
    <xf numFmtId="192" fontId="9" fillId="3" borderId="3363">
      <alignment horizontal="right" vertical="center"/>
    </xf>
    <xf numFmtId="180" fontId="9" fillId="3" borderId="3363">
      <alignment horizontal="right" vertical="center"/>
    </xf>
    <xf numFmtId="186" fontId="146" fillId="3" borderId="3363" applyBorder="0">
      <alignment horizontal="left" vertical="center"/>
    </xf>
    <xf numFmtId="0" fontId="165" fillId="0" borderId="3363" applyFill="0" applyProtection="0">
      <alignment horizontal="center"/>
    </xf>
    <xf numFmtId="0" fontId="166" fillId="0" borderId="3363">
      <alignment horizontal="center"/>
    </xf>
    <xf numFmtId="264" fontId="12" fillId="14" borderId="3363" applyFont="0" applyFill="0" applyBorder="0" applyAlignment="0" applyProtection="0">
      <alignment horizontal="right"/>
    </xf>
    <xf numFmtId="180" fontId="9" fillId="3" borderId="50">
      <alignment horizontal="right" vertical="center"/>
    </xf>
    <xf numFmtId="0" fontId="79" fillId="3" borderId="50">
      <alignment vertical="center"/>
    </xf>
    <xf numFmtId="182" fontId="144" fillId="3" borderId="50">
      <alignment vertical="center"/>
    </xf>
    <xf numFmtId="0" fontId="210" fillId="0" borderId="3363" applyNumberFormat="0" applyFill="0" applyBorder="0" applyAlignment="0">
      <protection locked="0"/>
    </xf>
    <xf numFmtId="0" fontId="25" fillId="10" borderId="3358" applyNumberFormat="0" applyProtection="0">
      <alignment horizontal="left" vertical="top"/>
    </xf>
    <xf numFmtId="0" fontId="25" fillId="10" borderId="3358" applyNumberFormat="0" applyProtection="0">
      <alignment horizontal="left" vertical="top"/>
    </xf>
    <xf numFmtId="254" fontId="240" fillId="0" borderId="3363" applyBorder="0" applyProtection="0">
      <alignment horizontal="right" vertical="center"/>
    </xf>
    <xf numFmtId="0" fontId="241" fillId="94" borderId="3363" applyBorder="0" applyProtection="0">
      <alignment horizontal="centerContinuous" vertical="center"/>
    </xf>
    <xf numFmtId="246" fontId="249" fillId="0" borderId="3363" applyFill="0" applyProtection="0">
      <alignment horizontal="center"/>
    </xf>
    <xf numFmtId="246" fontId="250" fillId="0" borderId="3363" applyFill="0" applyProtection="0">
      <alignment horizontal="center"/>
    </xf>
    <xf numFmtId="0" fontId="25" fillId="10" borderId="4031" applyNumberFormat="0" applyProtection="0">
      <alignment horizontal="left" vertical="top"/>
    </xf>
    <xf numFmtId="180" fontId="9" fillId="3" borderId="4071">
      <alignment horizontal="right" vertical="center"/>
    </xf>
    <xf numFmtId="248" fontId="46" fillId="0" borderId="4035"/>
    <xf numFmtId="0" fontId="165" fillId="0" borderId="4071" applyFill="0" applyProtection="0">
      <alignment horizontal="center"/>
    </xf>
    <xf numFmtId="0" fontId="25" fillId="10" borderId="4030" applyNumberFormat="0" applyProtection="0">
      <alignment horizontal="left" vertical="top"/>
    </xf>
    <xf numFmtId="0" fontId="2" fillId="0" borderId="4064" applyNumberFormat="0" applyAlignment="0" applyProtection="0"/>
    <xf numFmtId="222" fontId="79" fillId="0" borderId="4034" applyBorder="0"/>
    <xf numFmtId="0" fontId="12" fillId="0" borderId="4071" applyNumberFormat="0" applyFill="0" applyBorder="0" applyAlignment="0" applyProtection="0">
      <alignment horizontal="center"/>
    </xf>
    <xf numFmtId="180" fontId="9" fillId="3" borderId="4083">
      <alignment horizontal="right" vertical="center"/>
    </xf>
    <xf numFmtId="186" fontId="140" fillId="3" borderId="4027">
      <alignment horizontal="center" vertical="center"/>
    </xf>
    <xf numFmtId="0" fontId="78" fillId="14" borderId="4025" applyFont="0" applyFill="0" applyBorder="0" applyAlignment="0" applyProtection="0"/>
    <xf numFmtId="0" fontId="75" fillId="0" borderId="4024" applyNumberFormat="0" applyFont="0" applyFill="0" applyAlignment="0" applyProtection="0"/>
    <xf numFmtId="186" fontId="146" fillId="3" borderId="4023" applyBorder="0">
      <alignment horizontal="left" vertical="center"/>
    </xf>
    <xf numFmtId="0" fontId="101" fillId="0" borderId="4071" applyBorder="0"/>
    <xf numFmtId="180" fontId="9" fillId="3" borderId="4023">
      <alignment horizontal="right" vertical="center"/>
    </xf>
    <xf numFmtId="0" fontId="25" fillId="10" borderId="4104" applyNumberFormat="0" applyProtection="0">
      <alignment horizontal="left" vertical="top"/>
    </xf>
    <xf numFmtId="248" fontId="46" fillId="0" borderId="4071"/>
    <xf numFmtId="0" fontId="25" fillId="10" borderId="4057" applyNumberFormat="0" applyProtection="0">
      <alignment horizontal="left" vertical="top"/>
    </xf>
    <xf numFmtId="312" fontId="25" fillId="10" borderId="4080" applyNumberFormat="0" applyProtection="0">
      <alignment horizontal="left" vertical="top"/>
    </xf>
    <xf numFmtId="0" fontId="101" fillId="0" borderId="4095" applyBorder="0"/>
    <xf numFmtId="0" fontId="165" fillId="0" borderId="4095" applyFill="0" applyProtection="0">
      <alignment horizontal="center"/>
    </xf>
    <xf numFmtId="0" fontId="165" fillId="0" borderId="4095" applyFill="0" applyProtection="0">
      <alignment horizontal="center"/>
    </xf>
    <xf numFmtId="254" fontId="240" fillId="0" borderId="4023" applyBorder="0" applyProtection="0">
      <alignment horizontal="right" vertical="center"/>
    </xf>
    <xf numFmtId="246" fontId="249" fillId="0" borderId="4023" applyFill="0" applyProtection="0">
      <alignment horizontal="center"/>
    </xf>
    <xf numFmtId="192" fontId="9" fillId="3" borderId="4095">
      <alignment horizontal="right" vertical="center"/>
    </xf>
    <xf numFmtId="0" fontId="210" fillId="0" borderId="4023" applyNumberFormat="0" applyFill="0" applyBorder="0" applyAlignment="0">
      <protection locked="0"/>
    </xf>
    <xf numFmtId="0" fontId="78" fillId="14" borderId="3365" applyFont="0" applyFill="0" applyBorder="0" applyAlignment="0" applyProtection="0"/>
    <xf numFmtId="0" fontId="25" fillId="10" borderId="3265" applyNumberFormat="0" applyProtection="0">
      <alignment horizontal="left" vertical="top"/>
    </xf>
    <xf numFmtId="0" fontId="25" fillId="10" borderId="3372" applyNumberFormat="0" applyProtection="0">
      <alignment horizontal="left" vertical="top"/>
    </xf>
    <xf numFmtId="0" fontId="25" fillId="10" borderId="3371" applyNumberFormat="0" applyProtection="0">
      <alignment horizontal="left" vertical="top"/>
    </xf>
    <xf numFmtId="264" fontId="12" fillId="14" borderId="4023" applyFont="0" applyFill="0" applyBorder="0" applyAlignment="0" applyProtection="0">
      <alignment horizontal="right"/>
    </xf>
    <xf numFmtId="0" fontId="75" fillId="0" borderId="4096" applyNumberFormat="0" applyFont="0" applyFill="0" applyAlignment="0" applyProtection="0"/>
    <xf numFmtId="0" fontId="166" fillId="0" borderId="4023">
      <alignment horizontal="center"/>
    </xf>
    <xf numFmtId="0" fontId="165" fillId="0" borderId="4023" applyFill="0" applyProtection="0">
      <alignment horizontal="center"/>
    </xf>
    <xf numFmtId="222" fontId="79" fillId="0" borderId="3362" applyBorder="0"/>
    <xf numFmtId="0" fontId="101" fillId="0" borderId="3363" applyBorder="0"/>
    <xf numFmtId="222" fontId="79" fillId="0" borderId="3362" applyBorder="0"/>
    <xf numFmtId="0" fontId="113" fillId="0" borderId="3363" applyNumberFormat="0" applyFill="0" applyAlignment="0" applyProtection="0"/>
    <xf numFmtId="0" fontId="12" fillId="0" borderId="3363" applyNumberFormat="0" applyFill="0" applyBorder="0" applyAlignment="0" applyProtection="0">
      <alignment horizontal="center"/>
    </xf>
    <xf numFmtId="248" fontId="46" fillId="0" borderId="3363"/>
    <xf numFmtId="192" fontId="9" fillId="3" borderId="3363">
      <alignment horizontal="right" vertical="center"/>
    </xf>
    <xf numFmtId="180" fontId="9" fillId="3" borderId="3363">
      <alignment horizontal="right" vertical="center"/>
    </xf>
    <xf numFmtId="186" fontId="146" fillId="3" borderId="3363" applyBorder="0">
      <alignment horizontal="left" vertical="center"/>
    </xf>
    <xf numFmtId="0" fontId="165" fillId="0" borderId="3363" applyFill="0" applyProtection="0">
      <alignment horizontal="center"/>
    </xf>
    <xf numFmtId="0" fontId="166" fillId="0" borderId="3363">
      <alignment horizontal="center"/>
    </xf>
    <xf numFmtId="264" fontId="12" fillId="14" borderId="3363" applyFont="0" applyFill="0" applyBorder="0" applyAlignment="0" applyProtection="0">
      <alignment horizontal="right"/>
    </xf>
    <xf numFmtId="0" fontId="210" fillId="0" borderId="3363" applyNumberFormat="0" applyFill="0" applyBorder="0" applyAlignment="0">
      <protection locked="0"/>
    </xf>
    <xf numFmtId="254" fontId="240" fillId="0" borderId="3363" applyBorder="0" applyProtection="0">
      <alignment horizontal="right" vertical="center"/>
    </xf>
    <xf numFmtId="0" fontId="241" fillId="94" borderId="3363" applyBorder="0" applyProtection="0">
      <alignment horizontal="centerContinuous" vertical="center"/>
    </xf>
    <xf numFmtId="246" fontId="249" fillId="0" borderId="3363" applyFill="0" applyProtection="0">
      <alignment horizontal="center"/>
    </xf>
    <xf numFmtId="246" fontId="250" fillId="0" borderId="3363" applyFill="0" applyProtection="0">
      <alignment horizontal="center"/>
    </xf>
    <xf numFmtId="0" fontId="12" fillId="0" borderId="4095" applyNumberFormat="0" applyFill="0" applyBorder="0" applyAlignment="0" applyProtection="0">
      <alignment horizontal="center"/>
    </xf>
    <xf numFmtId="222" fontId="79" fillId="0" borderId="4070" applyBorder="0"/>
    <xf numFmtId="222" fontId="79" fillId="0" borderId="4094" applyBorder="0"/>
    <xf numFmtId="0" fontId="101" fillId="0" borderId="4095" applyBorder="0"/>
    <xf numFmtId="186" fontId="146" fillId="3" borderId="4098">
      <alignment horizontal="left"/>
    </xf>
    <xf numFmtId="0" fontId="78" fillId="14" borderId="4097" applyFont="0" applyFill="0" applyBorder="0" applyAlignment="0" applyProtection="0"/>
    <xf numFmtId="186" fontId="146" fillId="3" borderId="4023" applyBorder="0">
      <alignment horizontal="left" vertical="center"/>
    </xf>
    <xf numFmtId="180" fontId="9" fillId="3" borderId="4023">
      <alignment horizontal="right" vertical="center"/>
    </xf>
    <xf numFmtId="192" fontId="9" fillId="3" borderId="4023">
      <alignment horizontal="right" vertical="center"/>
    </xf>
    <xf numFmtId="246" fontId="249" fillId="0" borderId="4095" applyFill="0" applyProtection="0">
      <alignment horizontal="center"/>
    </xf>
    <xf numFmtId="0" fontId="166" fillId="0" borderId="4059">
      <alignment horizontal="center"/>
    </xf>
    <xf numFmtId="0" fontId="214" fillId="0" borderId="4101" applyNumberFormat="0" applyFont="0" applyFill="0" applyAlignment="0" applyProtection="0"/>
    <xf numFmtId="246" fontId="250" fillId="0" borderId="4095" applyFill="0" applyProtection="0">
      <alignment horizontal="center"/>
    </xf>
    <xf numFmtId="0" fontId="210" fillId="0" borderId="4035" applyNumberFormat="0" applyFill="0" applyBorder="0" applyAlignment="0">
      <protection locked="0"/>
    </xf>
    <xf numFmtId="0" fontId="101" fillId="0" borderId="4095" applyBorder="0"/>
    <xf numFmtId="0" fontId="210" fillId="0" borderId="3555" applyNumberFormat="0" applyFill="0" applyBorder="0" applyAlignment="0">
      <protection locked="0"/>
    </xf>
    <xf numFmtId="222" fontId="79" fillId="0" borderId="3530" applyBorder="0"/>
    <xf numFmtId="312" fontId="25" fillId="10" borderId="3563" applyNumberFormat="0" applyProtection="0">
      <alignment horizontal="left" vertical="top"/>
    </xf>
    <xf numFmtId="222" fontId="79" fillId="0" borderId="4058" applyBorder="0"/>
    <xf numFmtId="0" fontId="12" fillId="0" borderId="4095" applyNumberFormat="0" applyFill="0" applyBorder="0" applyAlignment="0" applyProtection="0">
      <alignment horizontal="center"/>
    </xf>
    <xf numFmtId="0" fontId="75" fillId="0" borderId="4072" applyNumberFormat="0" applyFont="0" applyFill="0" applyAlignment="0" applyProtection="0"/>
    <xf numFmtId="186" fontId="146" fillId="3" borderId="3354">
      <alignment horizontal="left"/>
    </xf>
    <xf numFmtId="0" fontId="75" fillId="0" borderId="3352" applyNumberFormat="0" applyFont="0" applyFill="0" applyAlignment="0" applyProtection="0"/>
    <xf numFmtId="248" fontId="46" fillId="0" borderId="4059"/>
    <xf numFmtId="312" fontId="25" fillId="10" borderId="4079" applyNumberFormat="0" applyProtection="0">
      <alignment horizontal="left" vertical="top"/>
    </xf>
    <xf numFmtId="246" fontId="249" fillId="0" borderId="4071" applyFill="0" applyProtection="0">
      <alignment horizontal="center"/>
    </xf>
    <xf numFmtId="246" fontId="250" fillId="0" borderId="4035" applyFill="0" applyProtection="0">
      <alignment horizontal="center"/>
    </xf>
    <xf numFmtId="0" fontId="25" fillId="10" borderId="4102" applyNumberFormat="0" applyProtection="0">
      <alignment horizontal="left" vertical="top"/>
    </xf>
    <xf numFmtId="0" fontId="101" fillId="0" borderId="4083" applyBorder="0"/>
    <xf numFmtId="0" fontId="113" fillId="0" borderId="3423" applyNumberFormat="0" applyFill="0" applyAlignment="0" applyProtection="0"/>
    <xf numFmtId="264" fontId="12" fillId="14" borderId="3423" applyFont="0" applyFill="0" applyBorder="0" applyAlignment="0" applyProtection="0">
      <alignment horizontal="right"/>
    </xf>
    <xf numFmtId="246" fontId="249" fillId="0" borderId="3423" applyFill="0" applyProtection="0">
      <alignment horizontal="center"/>
    </xf>
    <xf numFmtId="0" fontId="25" fillId="10" borderId="3361" applyNumberFormat="0" applyProtection="0">
      <alignment horizontal="left" vertical="top"/>
    </xf>
    <xf numFmtId="0" fontId="25" fillId="10" borderId="3359" applyNumberFormat="0" applyProtection="0">
      <alignment horizontal="left" vertical="top"/>
    </xf>
    <xf numFmtId="0" fontId="25" fillId="10" borderId="3360" applyNumberFormat="0" applyProtection="0">
      <alignment horizontal="left" vertical="top"/>
    </xf>
    <xf numFmtId="0" fontId="25" fillId="10" borderId="3358" applyNumberFormat="0" applyProtection="0">
      <alignment horizontal="left" vertical="top"/>
    </xf>
    <xf numFmtId="0" fontId="25" fillId="10" borderId="3361" applyNumberFormat="0" applyProtection="0">
      <alignment horizontal="left" vertical="top"/>
    </xf>
    <xf numFmtId="0" fontId="25" fillId="10" borderId="3360" applyNumberFormat="0" applyProtection="0">
      <alignment horizontal="left" vertical="top"/>
    </xf>
    <xf numFmtId="0" fontId="25" fillId="10" borderId="3359" applyNumberFormat="0" applyProtection="0">
      <alignment horizontal="left" vertical="top"/>
    </xf>
    <xf numFmtId="0" fontId="25" fillId="10" borderId="3358" applyNumberFormat="0" applyProtection="0">
      <alignment horizontal="left" vertical="top"/>
    </xf>
    <xf numFmtId="0" fontId="214" fillId="0" borderId="3357" applyNumberFormat="0" applyFont="0" applyFill="0" applyAlignment="0" applyProtection="0"/>
    <xf numFmtId="0" fontId="2" fillId="0" borderId="3356" applyNumberFormat="0" applyAlignment="0" applyProtection="0"/>
    <xf numFmtId="186" fontId="140" fillId="3" borderId="3355">
      <alignment horizontal="center" vertical="center"/>
    </xf>
    <xf numFmtId="186" fontId="140" fillId="3" borderId="3355">
      <alignment horizontal="center" vertical="center"/>
    </xf>
    <xf numFmtId="0" fontId="25" fillId="10" borderId="3358" applyNumberFormat="0" applyProtection="0">
      <alignment horizontal="left" vertical="top"/>
    </xf>
    <xf numFmtId="0" fontId="12" fillId="0" borderId="3423" applyNumberFormat="0" applyFill="0" applyBorder="0" applyAlignment="0" applyProtection="0">
      <alignment horizontal="center"/>
    </xf>
    <xf numFmtId="0" fontId="25" fillId="10" borderId="3420" applyNumberFormat="0" applyProtection="0">
      <alignment horizontal="left" vertical="top"/>
    </xf>
    <xf numFmtId="222" fontId="79" fillId="0" borderId="3410" applyBorder="0"/>
    <xf numFmtId="0" fontId="78" fillId="14" borderId="3413" applyFont="0" applyFill="0" applyBorder="0" applyAlignment="0" applyProtection="0"/>
    <xf numFmtId="222" fontId="79" fillId="0" borderId="3422" applyBorder="0"/>
    <xf numFmtId="0" fontId="101" fillId="0" borderId="3423" applyBorder="0"/>
    <xf numFmtId="222" fontId="79" fillId="0" borderId="3422" applyBorder="0"/>
    <xf numFmtId="248" fontId="46" fillId="0" borderId="3423"/>
    <xf numFmtId="192" fontId="9" fillId="3" borderId="3423">
      <alignment horizontal="right" vertical="center"/>
    </xf>
    <xf numFmtId="180" fontId="9" fillId="3" borderId="3423">
      <alignment horizontal="right" vertical="center"/>
    </xf>
    <xf numFmtId="186" fontId="146" fillId="3" borderId="3423" applyBorder="0">
      <alignment horizontal="left" vertical="center"/>
    </xf>
    <xf numFmtId="0" fontId="165" fillId="0" borderId="3423" applyFill="0" applyProtection="0">
      <alignment horizontal="center"/>
    </xf>
    <xf numFmtId="0" fontId="210" fillId="0" borderId="3423" applyNumberFormat="0" applyFill="0" applyBorder="0" applyAlignment="0">
      <protection locked="0"/>
    </xf>
    <xf numFmtId="254" fontId="240" fillId="0" borderId="3423" applyBorder="0" applyProtection="0">
      <alignment horizontal="right" vertical="center"/>
    </xf>
    <xf numFmtId="246" fontId="250" fillId="0" borderId="3423" applyFill="0" applyProtection="0">
      <alignment horizontal="center"/>
    </xf>
    <xf numFmtId="180" fontId="9" fillId="3" borderId="4059">
      <alignment horizontal="right" vertical="center"/>
    </xf>
    <xf numFmtId="222" fontId="79" fillId="0" borderId="4046" applyBorder="0"/>
    <xf numFmtId="254" fontId="240" fillId="0" borderId="4071" applyBorder="0" applyProtection="0">
      <alignment horizontal="right" vertical="center"/>
    </xf>
    <xf numFmtId="186" fontId="140" fillId="3" borderId="4051">
      <alignment horizontal="center" vertical="center"/>
    </xf>
    <xf numFmtId="222" fontId="79" fillId="0" borderId="3362" applyBorder="0"/>
    <xf numFmtId="0" fontId="25" fillId="10" borderId="3359" applyNumberFormat="0" applyProtection="0">
      <alignment horizontal="left" vertical="top"/>
    </xf>
    <xf numFmtId="0" fontId="25" fillId="10" borderId="3361" applyNumberFormat="0" applyProtection="0">
      <alignment horizontal="left" vertical="top"/>
    </xf>
    <xf numFmtId="0" fontId="25" fillId="10" borderId="3358" applyNumberFormat="0" applyProtection="0">
      <alignment horizontal="left" vertical="top"/>
    </xf>
    <xf numFmtId="0" fontId="25" fillId="10" borderId="3359" applyNumberFormat="0" applyProtection="0">
      <alignment horizontal="left" vertical="top"/>
    </xf>
    <xf numFmtId="0" fontId="25" fillId="10" borderId="3360" applyNumberFormat="0" applyProtection="0">
      <alignment horizontal="left" vertical="top"/>
    </xf>
    <xf numFmtId="0" fontId="75" fillId="0" borderId="3364" applyNumberFormat="0" applyFont="0" applyFill="0" applyAlignment="0" applyProtection="0"/>
    <xf numFmtId="0" fontId="101" fillId="0" borderId="3375" applyBorder="0"/>
    <xf numFmtId="222" fontId="79" fillId="0" borderId="3374" applyBorder="0"/>
    <xf numFmtId="0" fontId="113" fillId="0" borderId="3375" applyNumberFormat="0" applyFill="0" applyAlignment="0" applyProtection="0"/>
    <xf numFmtId="0" fontId="12" fillId="0" borderId="3375" applyNumberFormat="0" applyFill="0" applyBorder="0" applyAlignment="0" applyProtection="0">
      <alignment horizontal="center"/>
    </xf>
    <xf numFmtId="248" fontId="46" fillId="0" borderId="3375"/>
    <xf numFmtId="192" fontId="9" fillId="3" borderId="3375">
      <alignment horizontal="right" vertical="center"/>
    </xf>
    <xf numFmtId="180" fontId="9" fillId="3" borderId="3375">
      <alignment horizontal="right" vertical="center"/>
    </xf>
    <xf numFmtId="186" fontId="146" fillId="3" borderId="3375" applyBorder="0">
      <alignment horizontal="left" vertical="center"/>
    </xf>
    <xf numFmtId="0" fontId="166" fillId="0" borderId="3375">
      <alignment horizontal="center"/>
    </xf>
    <xf numFmtId="0" fontId="210" fillId="0" borderId="3375" applyNumberFormat="0" applyFill="0" applyBorder="0" applyAlignment="0">
      <protection locked="0"/>
    </xf>
    <xf numFmtId="264" fontId="12" fillId="14" borderId="3375" applyFont="0" applyFill="0" applyBorder="0" applyAlignment="0" applyProtection="0">
      <alignment horizontal="right"/>
    </xf>
    <xf numFmtId="246" fontId="249" fillId="0" borderId="3375" applyFill="0" applyProtection="0">
      <alignment horizontal="center"/>
    </xf>
    <xf numFmtId="246" fontId="250" fillId="0" borderId="3375" applyFill="0" applyProtection="0">
      <alignment horizontal="center"/>
    </xf>
    <xf numFmtId="246" fontId="250" fillId="0" borderId="3399" applyFill="0" applyProtection="0">
      <alignment horizontal="center"/>
    </xf>
    <xf numFmtId="246" fontId="249" fillId="0" borderId="3399" applyFill="0" applyProtection="0">
      <alignment horizontal="center"/>
    </xf>
    <xf numFmtId="254" fontId="240" fillId="0" borderId="3399" applyBorder="0" applyProtection="0">
      <alignment horizontal="right" vertical="center"/>
    </xf>
    <xf numFmtId="264" fontId="12" fillId="14" borderId="3399" applyFont="0" applyFill="0" applyBorder="0" applyAlignment="0" applyProtection="0">
      <alignment horizontal="right"/>
    </xf>
    <xf numFmtId="0" fontId="165" fillId="0" borderId="3399" applyFill="0" applyProtection="0">
      <alignment horizontal="center"/>
    </xf>
    <xf numFmtId="180" fontId="9" fillId="3" borderId="3399">
      <alignment horizontal="right" vertical="center"/>
    </xf>
    <xf numFmtId="0" fontId="12" fillId="0" borderId="3399" applyNumberFormat="0" applyFill="0" applyBorder="0" applyAlignment="0" applyProtection="0">
      <alignment horizontal="center"/>
    </xf>
    <xf numFmtId="0" fontId="101" fillId="0" borderId="3399" applyBorder="0"/>
    <xf numFmtId="222" fontId="79" fillId="0" borderId="3398" applyBorder="0"/>
    <xf numFmtId="0" fontId="75" fillId="0" borderId="3388" applyNumberFormat="0" applyFont="0" applyFill="0" applyAlignment="0" applyProtection="0"/>
    <xf numFmtId="0" fontId="2" fillId="0" borderId="3392" applyNumberFormat="0" applyAlignment="0" applyProtection="0"/>
    <xf numFmtId="0" fontId="25" fillId="10" borderId="3394" applyNumberFormat="0" applyProtection="0">
      <alignment horizontal="left" vertical="top"/>
    </xf>
    <xf numFmtId="0" fontId="25" fillId="10" borderId="3397" applyNumberFormat="0" applyProtection="0">
      <alignment horizontal="left" vertical="top"/>
    </xf>
    <xf numFmtId="222" fontId="79" fillId="0" borderId="3386" applyBorder="0"/>
    <xf numFmtId="0" fontId="25" fillId="10" borderId="3372" applyNumberFormat="0" applyProtection="0">
      <alignment horizontal="left" vertical="top"/>
    </xf>
    <xf numFmtId="0" fontId="25" fillId="10" borderId="3370" applyNumberFormat="0" applyProtection="0">
      <alignment horizontal="left" vertical="top"/>
    </xf>
    <xf numFmtId="0" fontId="214" fillId="0" borderId="3369" applyNumberFormat="0" applyFont="0" applyFill="0" applyAlignment="0" applyProtection="0"/>
    <xf numFmtId="186" fontId="146" fillId="3" borderId="3366">
      <alignment horizontal="left"/>
    </xf>
    <xf numFmtId="222" fontId="79" fillId="0" borderId="3374" applyBorder="0"/>
    <xf numFmtId="0" fontId="113" fillId="0" borderId="4095" applyNumberFormat="0" applyFill="0" applyAlignment="0" applyProtection="0"/>
    <xf numFmtId="0" fontId="75" fillId="0" borderId="4048" applyNumberFormat="0" applyFont="0" applyFill="0" applyAlignment="0" applyProtection="0"/>
    <xf numFmtId="0" fontId="241" fillId="94" borderId="4095" applyBorder="0" applyProtection="0">
      <alignment horizontal="centerContinuous" vertical="center"/>
    </xf>
    <xf numFmtId="0" fontId="25" fillId="10" borderId="4103" applyNumberFormat="0" applyProtection="0">
      <alignment horizontal="left" vertical="top"/>
    </xf>
    <xf numFmtId="0" fontId="101" fillId="0" borderId="3363" applyBorder="0"/>
    <xf numFmtId="0" fontId="113" fillId="0" borderId="3363" applyNumberFormat="0" applyFill="0" applyAlignment="0" applyProtection="0"/>
    <xf numFmtId="0" fontId="12" fillId="0" borderId="3363" applyNumberFormat="0" applyFill="0" applyBorder="0" applyAlignment="0" applyProtection="0">
      <alignment horizontal="center"/>
    </xf>
    <xf numFmtId="248" fontId="46" fillId="0" borderId="3363"/>
    <xf numFmtId="192" fontId="9" fillId="3" borderId="3363">
      <alignment horizontal="right" vertical="center"/>
    </xf>
    <xf numFmtId="180" fontId="9" fillId="3" borderId="3363">
      <alignment horizontal="right" vertical="center"/>
    </xf>
    <xf numFmtId="186" fontId="146" fillId="3" borderId="3363" applyBorder="0">
      <alignment horizontal="left" vertical="center"/>
    </xf>
    <xf numFmtId="0" fontId="165" fillId="0" borderId="3363" applyFill="0" applyProtection="0">
      <alignment horizontal="center"/>
    </xf>
    <xf numFmtId="0" fontId="166" fillId="0" borderId="3363">
      <alignment horizontal="center"/>
    </xf>
    <xf numFmtId="264" fontId="12" fillId="14" borderId="3363" applyFont="0" applyFill="0" applyBorder="0" applyAlignment="0" applyProtection="0">
      <alignment horizontal="right"/>
    </xf>
    <xf numFmtId="0" fontId="210" fillId="0" borderId="3363" applyNumberFormat="0" applyFill="0" applyBorder="0" applyAlignment="0">
      <protection locked="0"/>
    </xf>
    <xf numFmtId="248" fontId="46" fillId="0" borderId="3399"/>
    <xf numFmtId="222" fontId="79" fillId="0" borderId="3398" applyBorder="0"/>
    <xf numFmtId="186" fontId="140" fillId="3" borderId="3391">
      <alignment horizontal="center" vertical="center"/>
    </xf>
    <xf numFmtId="0" fontId="25" fillId="10" borderId="3396" applyNumberFormat="0" applyProtection="0">
      <alignment horizontal="left" vertical="top"/>
    </xf>
    <xf numFmtId="0" fontId="210" fillId="0" borderId="3399" applyNumberFormat="0" applyFill="0" applyBorder="0" applyAlignment="0">
      <protection locked="0"/>
    </xf>
    <xf numFmtId="192" fontId="9" fillId="3" borderId="3399">
      <alignment horizontal="right" vertical="center"/>
    </xf>
    <xf numFmtId="0" fontId="113" fillId="0" borderId="3399" applyNumberFormat="0" applyFill="0" applyAlignment="0" applyProtection="0"/>
    <xf numFmtId="186" fontId="146" fillId="3" borderId="3390">
      <alignment horizontal="left"/>
    </xf>
    <xf numFmtId="0" fontId="25" fillId="10" borderId="3395" applyNumberFormat="0" applyProtection="0">
      <alignment horizontal="left" vertical="top"/>
    </xf>
    <xf numFmtId="254" fontId="240" fillId="0" borderId="3363" applyBorder="0" applyProtection="0">
      <alignment horizontal="right" vertical="center"/>
    </xf>
    <xf numFmtId="0" fontId="241" fillId="94" borderId="3363" applyBorder="0" applyProtection="0">
      <alignment horizontal="centerContinuous" vertical="center"/>
    </xf>
    <xf numFmtId="246" fontId="249" fillId="0" borderId="3363" applyFill="0" applyProtection="0">
      <alignment horizontal="center"/>
    </xf>
    <xf numFmtId="246" fontId="250" fillId="0" borderId="3363" applyFill="0" applyProtection="0">
      <alignment horizontal="center"/>
    </xf>
    <xf numFmtId="0" fontId="25" fillId="10" borderId="4103" applyNumberFormat="0" applyProtection="0">
      <alignment horizontal="left" vertical="top"/>
    </xf>
    <xf numFmtId="0" fontId="25" fillId="10" borderId="3419" applyNumberFormat="0" applyProtection="0">
      <alignment horizontal="left" vertical="top"/>
    </xf>
    <xf numFmtId="0" fontId="25" fillId="10" borderId="3421" applyNumberFormat="0" applyProtection="0">
      <alignment horizontal="left" vertical="top"/>
    </xf>
    <xf numFmtId="186" fontId="140" fillId="3" borderId="4099">
      <alignment horizontal="center" vertical="center"/>
    </xf>
    <xf numFmtId="222" fontId="79" fillId="0" borderId="3362" applyBorder="0"/>
    <xf numFmtId="0" fontId="214" fillId="0" borderId="3417" applyNumberFormat="0" applyFont="0" applyFill="0" applyAlignment="0" applyProtection="0"/>
    <xf numFmtId="0" fontId="25" fillId="10" borderId="3360" applyNumberFormat="0" applyProtection="0">
      <alignment horizontal="left" vertical="top"/>
    </xf>
    <xf numFmtId="0" fontId="25" fillId="10" borderId="3361" applyNumberFormat="0" applyProtection="0">
      <alignment horizontal="left" vertical="top"/>
    </xf>
    <xf numFmtId="0" fontId="165" fillId="0" borderId="3375" applyFill="0" applyProtection="0">
      <alignment horizontal="center"/>
    </xf>
    <xf numFmtId="254" fontId="240" fillId="0" borderId="3375" applyBorder="0" applyProtection="0">
      <alignment horizontal="right" vertical="center"/>
    </xf>
    <xf numFmtId="0" fontId="241" fillId="94" borderId="3375" applyBorder="0" applyProtection="0">
      <alignment horizontal="centerContinuous" vertical="center"/>
    </xf>
    <xf numFmtId="0" fontId="241" fillId="94" borderId="3399" applyBorder="0" applyProtection="0">
      <alignment horizontal="centerContinuous" vertical="center"/>
    </xf>
    <xf numFmtId="0" fontId="166" fillId="0" borderId="3399">
      <alignment horizontal="center"/>
    </xf>
    <xf numFmtId="186" fontId="146" fillId="3" borderId="3399" applyBorder="0">
      <alignment horizontal="left" vertical="center"/>
    </xf>
    <xf numFmtId="0" fontId="214" fillId="0" borderId="3393" applyNumberFormat="0" applyFont="0" applyFill="0" applyAlignment="0" applyProtection="0"/>
    <xf numFmtId="0" fontId="78" fillId="14" borderId="3389" applyFont="0" applyFill="0" applyBorder="0" applyAlignment="0" applyProtection="0"/>
    <xf numFmtId="248" fontId="46" fillId="0" borderId="4095"/>
    <xf numFmtId="0" fontId="78" fillId="14" borderId="3365" applyFont="0" applyFill="0" applyBorder="0" applyAlignment="0" applyProtection="0"/>
    <xf numFmtId="0" fontId="25" fillId="10" borderId="3265" applyNumberFormat="0" applyProtection="0">
      <alignment horizontal="left" vertical="top"/>
    </xf>
    <xf numFmtId="0" fontId="25" fillId="10" borderId="3372" applyNumberFormat="0" applyProtection="0">
      <alignment horizontal="left" vertical="top"/>
    </xf>
    <xf numFmtId="0" fontId="25" fillId="10" borderId="3371" applyNumberFormat="0" applyProtection="0">
      <alignment horizontal="left" vertical="top"/>
    </xf>
    <xf numFmtId="0" fontId="25" fillId="10" borderId="3358" applyNumberFormat="0" applyProtection="0">
      <alignment horizontal="left" vertical="top"/>
    </xf>
    <xf numFmtId="186" fontId="140" fillId="3" borderId="3415">
      <alignment horizontal="center" vertical="center"/>
    </xf>
    <xf numFmtId="186" fontId="146" fillId="3" borderId="3414">
      <alignment horizontal="left"/>
    </xf>
    <xf numFmtId="0" fontId="113" fillId="0" borderId="4095" applyNumberFormat="0" applyFill="0" applyAlignment="0" applyProtection="0"/>
    <xf numFmtId="0" fontId="75" fillId="0" borderId="3412" applyNumberFormat="0" applyFont="0" applyFill="0" applyAlignment="0" applyProtection="0"/>
    <xf numFmtId="222" fontId="79" fillId="0" borderId="3362" applyBorder="0"/>
    <xf numFmtId="222" fontId="79" fillId="0" borderId="3362" applyBorder="0"/>
    <xf numFmtId="186" fontId="146" fillId="3" borderId="4050">
      <alignment horizontal="left"/>
    </xf>
    <xf numFmtId="0" fontId="25" fillId="10" borderId="3418" applyNumberFormat="0" applyProtection="0">
      <alignment horizontal="left" vertical="top"/>
    </xf>
    <xf numFmtId="0" fontId="2" fillId="0" borderId="3416" applyNumberFormat="0" applyAlignment="0" applyProtection="0"/>
    <xf numFmtId="246" fontId="250" fillId="0" borderId="3363" applyFill="0" applyProtection="0">
      <alignment horizontal="center"/>
    </xf>
    <xf numFmtId="246" fontId="249" fillId="0" borderId="3363" applyFill="0" applyProtection="0">
      <alignment horizontal="center"/>
    </xf>
    <xf numFmtId="0" fontId="241" fillId="94" borderId="3363" applyBorder="0" applyProtection="0">
      <alignment horizontal="centerContinuous" vertical="center"/>
    </xf>
    <xf numFmtId="254" fontId="240" fillId="0" borderId="3363" applyBorder="0" applyProtection="0">
      <alignment horizontal="right" vertical="center"/>
    </xf>
    <xf numFmtId="0" fontId="210" fillId="0" borderId="3363" applyNumberFormat="0" applyFill="0" applyBorder="0" applyAlignment="0">
      <protection locked="0"/>
    </xf>
    <xf numFmtId="264" fontId="12" fillId="14" borderId="3363" applyFont="0" applyFill="0" applyBorder="0" applyAlignment="0" applyProtection="0">
      <alignment horizontal="right"/>
    </xf>
    <xf numFmtId="0" fontId="166" fillId="0" borderId="3363">
      <alignment horizontal="center"/>
    </xf>
    <xf numFmtId="0" fontId="165" fillId="0" borderId="3363" applyFill="0" applyProtection="0">
      <alignment horizontal="center"/>
    </xf>
    <xf numFmtId="186" fontId="146" fillId="3" borderId="3363" applyBorder="0">
      <alignment horizontal="left" vertical="center"/>
    </xf>
    <xf numFmtId="180" fontId="9" fillId="3" borderId="3363">
      <alignment horizontal="right" vertical="center"/>
    </xf>
    <xf numFmtId="192" fontId="9" fillId="3" borderId="3363">
      <alignment horizontal="right" vertical="center"/>
    </xf>
    <xf numFmtId="248" fontId="46" fillId="0" borderId="3363"/>
    <xf numFmtId="0" fontId="12" fillId="0" borderId="3363" applyNumberFormat="0" applyFill="0" applyBorder="0" applyAlignment="0" applyProtection="0">
      <alignment horizontal="center"/>
    </xf>
    <xf numFmtId="0" fontId="113" fillId="0" borderId="3363" applyNumberFormat="0" applyFill="0" applyAlignment="0" applyProtection="0"/>
    <xf numFmtId="222" fontId="79" fillId="0" borderId="3362" applyBorder="0"/>
    <xf numFmtId="0" fontId="101" fillId="0" borderId="3363" applyBorder="0"/>
    <xf numFmtId="222" fontId="79" fillId="0" borderId="3362" applyBorder="0"/>
    <xf numFmtId="0" fontId="75" fillId="0" borderId="3352" applyNumberFormat="0" applyFont="0" applyFill="0" applyAlignment="0" applyProtection="0"/>
    <xf numFmtId="186" fontId="146" fillId="3" borderId="3354">
      <alignment horizontal="left"/>
    </xf>
    <xf numFmtId="186" fontId="140" fillId="3" borderId="3355">
      <alignment horizontal="center" vertical="center"/>
    </xf>
    <xf numFmtId="0" fontId="2" fillId="0" borderId="3356" applyNumberFormat="0" applyAlignment="0" applyProtection="0"/>
    <xf numFmtId="0" fontId="214" fillId="0" borderId="3357" applyNumberFormat="0" applyFont="0" applyFill="0" applyAlignment="0" applyProtection="0"/>
    <xf numFmtId="0" fontId="25" fillId="10" borderId="3358" applyNumberFormat="0" applyProtection="0">
      <alignment horizontal="left" vertical="top"/>
    </xf>
    <xf numFmtId="0" fontId="25" fillId="10" borderId="3359" applyNumberFormat="0" applyProtection="0">
      <alignment horizontal="left" vertical="top"/>
    </xf>
    <xf numFmtId="0" fontId="25" fillId="10" borderId="3360" applyNumberFormat="0" applyProtection="0">
      <alignment horizontal="left" vertical="top"/>
    </xf>
    <xf numFmtId="0" fontId="25" fillId="10" borderId="3361" applyNumberFormat="0" applyProtection="0">
      <alignment horizontal="left" vertical="top"/>
    </xf>
    <xf numFmtId="0" fontId="241" fillId="94" borderId="4059" applyBorder="0" applyProtection="0">
      <alignment horizontal="centerContinuous" vertical="center"/>
    </xf>
    <xf numFmtId="0" fontId="78" fillId="14" borderId="3353" applyFont="0" applyFill="0" applyBorder="0" applyAlignment="0" applyProtection="0"/>
    <xf numFmtId="186" fontId="146" fillId="3" borderId="4035" applyBorder="0">
      <alignment horizontal="left" vertical="center"/>
    </xf>
    <xf numFmtId="0" fontId="241" fillId="94" borderId="4035" applyBorder="0" applyProtection="0">
      <alignment horizontal="centerContinuous" vertical="center"/>
    </xf>
    <xf numFmtId="0" fontId="2" fillId="0" borderId="4028" applyNumberFormat="0" applyAlignment="0" applyProtection="0"/>
    <xf numFmtId="222" fontId="79" fillId="0" borderId="3362" applyBorder="0"/>
    <xf numFmtId="190" fontId="25" fillId="10" borderId="4079" applyNumberFormat="0" applyProtection="0">
      <alignment horizontal="left" vertical="top"/>
    </xf>
    <xf numFmtId="0" fontId="101" fillId="0" borderId="4059" applyBorder="0"/>
    <xf numFmtId="254" fontId="240" fillId="0" borderId="4059" applyBorder="0" applyProtection="0">
      <alignment horizontal="right" vertical="center"/>
    </xf>
    <xf numFmtId="0" fontId="25" fillId="10" borderId="4105" applyNumberFormat="0" applyProtection="0">
      <alignment horizontal="left" vertical="top"/>
    </xf>
    <xf numFmtId="222" fontId="79" fillId="0" borderId="4046" applyBorder="0"/>
    <xf numFmtId="0" fontId="25" fillId="10" borderId="4080" applyNumberFormat="0" applyProtection="0">
      <alignment horizontal="left" vertical="top"/>
    </xf>
    <xf numFmtId="0" fontId="78" fillId="14" borderId="4073" applyFont="0" applyFill="0" applyBorder="0" applyAlignment="0" applyProtection="0"/>
    <xf numFmtId="0" fontId="214" fillId="0" borderId="4041" applyNumberFormat="0" applyFont="0" applyFill="0" applyAlignment="0" applyProtection="0"/>
    <xf numFmtId="0" fontId="25" fillId="10" borderId="4081" applyNumberFormat="0" applyProtection="0">
      <alignment horizontal="left" vertical="top"/>
    </xf>
    <xf numFmtId="0" fontId="210" fillId="0" borderId="4059" applyNumberFormat="0" applyFill="0" applyBorder="0" applyAlignment="0">
      <protection locked="0"/>
    </xf>
    <xf numFmtId="222" fontId="79" fillId="0" borderId="4070" applyBorder="0"/>
    <xf numFmtId="246" fontId="250" fillId="0" borderId="4059" applyFill="0" applyProtection="0">
      <alignment horizontal="center"/>
    </xf>
    <xf numFmtId="0" fontId="25" fillId="10" borderId="4079" applyNumberFormat="0" applyProtection="0">
      <alignment horizontal="left" vertical="top"/>
    </xf>
    <xf numFmtId="246" fontId="249" fillId="0" borderId="4059" applyFill="0" applyProtection="0">
      <alignment horizontal="center"/>
    </xf>
    <xf numFmtId="0" fontId="25" fillId="10" borderId="4042" applyNumberFormat="0" applyProtection="0">
      <alignment horizontal="left" vertical="top"/>
    </xf>
    <xf numFmtId="186" fontId="146" fillId="3" borderId="4038">
      <alignment horizontal="left"/>
    </xf>
    <xf numFmtId="246" fontId="249" fillId="0" borderId="4047" applyFill="0" applyProtection="0">
      <alignment horizontal="center"/>
    </xf>
    <xf numFmtId="246" fontId="250" fillId="0" borderId="4071" applyFill="0" applyProtection="0">
      <alignment horizontal="center"/>
    </xf>
    <xf numFmtId="246" fontId="250" fillId="0" borderId="4047" applyFill="0" applyProtection="0">
      <alignment horizontal="center"/>
    </xf>
    <xf numFmtId="0" fontId="113" fillId="0" borderId="4071" applyNumberFormat="0" applyFill="0" applyAlignment="0" applyProtection="0"/>
    <xf numFmtId="0" fontId="78" fillId="14" borderId="3365" applyFont="0" applyFill="0" applyBorder="0" applyAlignment="0" applyProtection="0"/>
    <xf numFmtId="222" fontId="79" fillId="0" borderId="3362" applyBorder="0"/>
    <xf numFmtId="0" fontId="101" fillId="0" borderId="4035" applyBorder="0"/>
    <xf numFmtId="0" fontId="78" fillId="14" borderId="3365" applyFont="0" applyFill="0" applyBorder="0" applyAlignment="0" applyProtection="0"/>
    <xf numFmtId="0" fontId="25" fillId="10" borderId="3265" applyNumberFormat="0" applyProtection="0">
      <alignment horizontal="left" vertical="top"/>
    </xf>
    <xf numFmtId="0" fontId="25" fillId="10" borderId="3372" applyNumberFormat="0" applyProtection="0">
      <alignment horizontal="left" vertical="top"/>
    </xf>
    <xf numFmtId="0" fontId="25" fillId="10" borderId="3371" applyNumberFormat="0" applyProtection="0">
      <alignment horizontal="left" vertical="top"/>
    </xf>
    <xf numFmtId="0" fontId="25" fillId="10" borderId="3358" applyNumberFormat="0" applyProtection="0">
      <alignment horizontal="left" vertical="top"/>
    </xf>
    <xf numFmtId="222" fontId="79" fillId="0" borderId="3362" applyBorder="0"/>
    <xf numFmtId="0" fontId="101" fillId="0" borderId="3363" applyBorder="0"/>
    <xf numFmtId="222" fontId="79" fillId="0" borderId="3362" applyBorder="0"/>
    <xf numFmtId="0" fontId="113" fillId="0" borderId="3363" applyNumberFormat="0" applyFill="0" applyAlignment="0" applyProtection="0"/>
    <xf numFmtId="0" fontId="12" fillId="0" borderId="3363" applyNumberFormat="0" applyFill="0" applyBorder="0" applyAlignment="0" applyProtection="0">
      <alignment horizontal="center"/>
    </xf>
    <xf numFmtId="248" fontId="46" fillId="0" borderId="3363"/>
    <xf numFmtId="192" fontId="9" fillId="3" borderId="3363">
      <alignment horizontal="right" vertical="center"/>
    </xf>
    <xf numFmtId="180" fontId="9" fillId="3" borderId="3363">
      <alignment horizontal="right" vertical="center"/>
    </xf>
    <xf numFmtId="186" fontId="146" fillId="3" borderId="3363" applyBorder="0">
      <alignment horizontal="left" vertical="center"/>
    </xf>
    <xf numFmtId="0" fontId="165" fillId="0" borderId="3363" applyFill="0" applyProtection="0">
      <alignment horizontal="center"/>
    </xf>
    <xf numFmtId="0" fontId="166" fillId="0" borderId="3363">
      <alignment horizontal="center"/>
    </xf>
    <xf numFmtId="264" fontId="12" fillId="14" borderId="3363" applyFont="0" applyFill="0" applyBorder="0" applyAlignment="0" applyProtection="0">
      <alignment horizontal="right"/>
    </xf>
    <xf numFmtId="0" fontId="210" fillId="0" borderId="3363" applyNumberFormat="0" applyFill="0" applyBorder="0" applyAlignment="0">
      <protection locked="0"/>
    </xf>
    <xf numFmtId="254" fontId="240" fillId="0" borderId="3363" applyBorder="0" applyProtection="0">
      <alignment horizontal="right" vertical="center"/>
    </xf>
    <xf numFmtId="0" fontId="241" fillId="94" borderId="3363" applyBorder="0" applyProtection="0">
      <alignment horizontal="centerContinuous" vertical="center"/>
    </xf>
    <xf numFmtId="246" fontId="249" fillId="0" borderId="3363" applyFill="0" applyProtection="0">
      <alignment horizontal="center"/>
    </xf>
    <xf numFmtId="246" fontId="250" fillId="0" borderId="3363" applyFill="0" applyProtection="0">
      <alignment horizontal="center"/>
    </xf>
    <xf numFmtId="0" fontId="75" fillId="0" borderId="4192" applyNumberFormat="0" applyFont="0" applyFill="0" applyAlignment="0" applyProtection="0"/>
    <xf numFmtId="312" fontId="25" fillId="10" borderId="4237" applyNumberFormat="0" applyProtection="0">
      <alignment horizontal="left" vertical="top"/>
    </xf>
    <xf numFmtId="0" fontId="25" fillId="10" borderId="4044" applyNumberFormat="0" applyProtection="0">
      <alignment horizontal="left" vertical="top"/>
    </xf>
    <xf numFmtId="0" fontId="241" fillId="94" borderId="3423" applyBorder="0" applyProtection="0">
      <alignment horizontal="centerContinuous" vertical="center"/>
    </xf>
    <xf numFmtId="0" fontId="166" fillId="0" borderId="3423">
      <alignment horizontal="center"/>
    </xf>
    <xf numFmtId="0" fontId="75" fillId="0" borderId="4084" applyNumberFormat="0" applyFont="0" applyFill="0" applyAlignment="0" applyProtection="0"/>
    <xf numFmtId="0" fontId="214" fillId="0" borderId="3357" applyNumberFormat="0" applyFont="0" applyFill="0" applyAlignment="0" applyProtection="0"/>
    <xf numFmtId="246" fontId="250" fillId="0" borderId="3363" applyFill="0" applyProtection="0">
      <alignment horizontal="center"/>
    </xf>
    <xf numFmtId="246" fontId="249" fillId="0" borderId="3363" applyFill="0" applyProtection="0">
      <alignment horizontal="center"/>
    </xf>
    <xf numFmtId="0" fontId="241" fillId="94" borderId="3363" applyBorder="0" applyProtection="0">
      <alignment horizontal="centerContinuous" vertical="center"/>
    </xf>
    <xf numFmtId="254" fontId="240" fillId="0" borderId="3363" applyBorder="0" applyProtection="0">
      <alignment horizontal="right" vertical="center"/>
    </xf>
    <xf numFmtId="0" fontId="210" fillId="0" borderId="3363" applyNumberFormat="0" applyFill="0" applyBorder="0" applyAlignment="0">
      <protection locked="0"/>
    </xf>
    <xf numFmtId="264" fontId="12" fillId="14" borderId="3363" applyFont="0" applyFill="0" applyBorder="0" applyAlignment="0" applyProtection="0">
      <alignment horizontal="right"/>
    </xf>
    <xf numFmtId="0" fontId="166" fillId="0" borderId="3363">
      <alignment horizontal="center"/>
    </xf>
    <xf numFmtId="0" fontId="165" fillId="0" borderId="3363" applyFill="0" applyProtection="0">
      <alignment horizontal="center"/>
    </xf>
    <xf numFmtId="186" fontId="146" fillId="3" borderId="3363" applyBorder="0">
      <alignment horizontal="left" vertical="center"/>
    </xf>
    <xf numFmtId="180" fontId="9" fillId="3" borderId="3363">
      <alignment horizontal="right" vertical="center"/>
    </xf>
    <xf numFmtId="192" fontId="9" fillId="3" borderId="3363">
      <alignment horizontal="right" vertical="center"/>
    </xf>
    <xf numFmtId="248" fontId="46" fillId="0" borderId="3363"/>
    <xf numFmtId="0" fontId="12" fillId="0" borderId="3363" applyNumberFormat="0" applyFill="0" applyBorder="0" applyAlignment="0" applyProtection="0">
      <alignment horizontal="center"/>
    </xf>
    <xf numFmtId="0" fontId="113" fillId="0" borderId="3363" applyNumberFormat="0" applyFill="0" applyAlignment="0" applyProtection="0"/>
    <xf numFmtId="222" fontId="79" fillId="0" borderId="3362" applyBorder="0"/>
    <xf numFmtId="0" fontId="101" fillId="0" borderId="3363" applyBorder="0"/>
    <xf numFmtId="222" fontId="79" fillId="0" borderId="3362" applyBorder="0"/>
    <xf numFmtId="186" fontId="140" fillId="3" borderId="3355">
      <alignment horizontal="center" vertical="center"/>
    </xf>
    <xf numFmtId="186" fontId="146" fillId="3" borderId="4086">
      <alignment horizontal="left"/>
    </xf>
    <xf numFmtId="0" fontId="214" fillId="0" borderId="3357" applyNumberFormat="0" applyFont="0" applyFill="0" applyAlignment="0" applyProtection="0"/>
    <xf numFmtId="0" fontId="25" fillId="10" borderId="3358" applyNumberFormat="0" applyProtection="0">
      <alignment horizontal="left" vertical="top"/>
    </xf>
    <xf numFmtId="0" fontId="25" fillId="10" borderId="3359" applyNumberFormat="0" applyProtection="0">
      <alignment horizontal="left" vertical="top"/>
    </xf>
    <xf numFmtId="0" fontId="25" fillId="10" borderId="3360" applyNumberFormat="0" applyProtection="0">
      <alignment horizontal="left" vertical="top"/>
    </xf>
    <xf numFmtId="0" fontId="25" fillId="10" borderId="3361" applyNumberFormat="0" applyProtection="0">
      <alignment horizontal="left" vertical="top"/>
    </xf>
    <xf numFmtId="0" fontId="78" fillId="14" borderId="3353" applyFont="0" applyFill="0" applyBorder="0" applyAlignment="0" applyProtection="0"/>
    <xf numFmtId="222" fontId="79" fillId="0" borderId="3362" applyBorder="0"/>
    <xf numFmtId="0" fontId="78" fillId="14" borderId="3365" applyFont="0" applyFill="0" applyBorder="0" applyAlignment="0" applyProtection="0"/>
    <xf numFmtId="0" fontId="78" fillId="14" borderId="3353" applyFont="0" applyFill="0" applyBorder="0" applyAlignment="0" applyProtection="0"/>
    <xf numFmtId="222" fontId="79" fillId="0" borderId="3362" applyBorder="0"/>
    <xf numFmtId="0" fontId="2" fillId="0" borderId="3368" applyNumberFormat="0" applyAlignment="0" applyProtection="0"/>
    <xf numFmtId="0" fontId="78" fillId="14" borderId="3353" applyFont="0" applyFill="0" applyBorder="0" applyAlignment="0" applyProtection="0"/>
    <xf numFmtId="0" fontId="25" fillId="10" borderId="3361" applyNumberFormat="0" applyProtection="0">
      <alignment horizontal="left" vertical="top"/>
    </xf>
    <xf numFmtId="0" fontId="25" fillId="10" borderId="3360" applyNumberFormat="0" applyProtection="0">
      <alignment horizontal="left" vertical="top"/>
    </xf>
    <xf numFmtId="0" fontId="25" fillId="10" borderId="3359" applyNumberFormat="0" applyProtection="0">
      <alignment horizontal="left" vertical="top"/>
    </xf>
    <xf numFmtId="0" fontId="25" fillId="10" borderId="3358" applyNumberFormat="0" applyProtection="0">
      <alignment horizontal="left" vertical="top"/>
    </xf>
    <xf numFmtId="0" fontId="25" fillId="10" borderId="3371" applyNumberFormat="0" applyProtection="0">
      <alignment horizontal="left" vertical="top"/>
    </xf>
    <xf numFmtId="0" fontId="214" fillId="0" borderId="3357" applyNumberFormat="0" applyFont="0" applyFill="0" applyAlignment="0" applyProtection="0"/>
    <xf numFmtId="0" fontId="2" fillId="0" borderId="3356" applyNumberFormat="0" applyAlignment="0" applyProtection="0"/>
    <xf numFmtId="186" fontId="140" fillId="3" borderId="3355">
      <alignment horizontal="center" vertical="center"/>
    </xf>
    <xf numFmtId="186" fontId="146" fillId="3" borderId="3354">
      <alignment horizontal="left"/>
    </xf>
    <xf numFmtId="0" fontId="25" fillId="10" borderId="3373" applyNumberFormat="0" applyProtection="0">
      <alignment horizontal="left" vertical="top"/>
    </xf>
    <xf numFmtId="0" fontId="75" fillId="0" borderId="3352" applyNumberFormat="0" applyFont="0" applyFill="0" applyAlignment="0" applyProtection="0"/>
    <xf numFmtId="222" fontId="79" fillId="0" borderId="3362" applyBorder="0"/>
    <xf numFmtId="0" fontId="101" fillId="0" borderId="3363" applyBorder="0"/>
    <xf numFmtId="222" fontId="79" fillId="0" borderId="3362" applyBorder="0"/>
    <xf numFmtId="0" fontId="113" fillId="0" borderId="3363" applyNumberFormat="0" applyFill="0" applyAlignment="0" applyProtection="0"/>
    <xf numFmtId="0" fontId="12" fillId="0" borderId="3363" applyNumberFormat="0" applyFill="0" applyBorder="0" applyAlignment="0" applyProtection="0">
      <alignment horizontal="center"/>
    </xf>
    <xf numFmtId="248" fontId="46" fillId="0" borderId="3363"/>
    <xf numFmtId="192" fontId="9" fillId="3" borderId="3363">
      <alignment horizontal="right" vertical="center"/>
    </xf>
    <xf numFmtId="180" fontId="9" fillId="3" borderId="3363">
      <alignment horizontal="right" vertical="center"/>
    </xf>
    <xf numFmtId="186" fontId="146" fillId="3" borderId="3363" applyBorder="0">
      <alignment horizontal="left" vertical="center"/>
    </xf>
    <xf numFmtId="0" fontId="165" fillId="0" borderId="3363" applyFill="0" applyProtection="0">
      <alignment horizontal="center"/>
    </xf>
    <xf numFmtId="0" fontId="166" fillId="0" borderId="3363">
      <alignment horizontal="center"/>
    </xf>
    <xf numFmtId="264" fontId="12" fillId="14" borderId="3363" applyFont="0" applyFill="0" applyBorder="0" applyAlignment="0" applyProtection="0">
      <alignment horizontal="right"/>
    </xf>
    <xf numFmtId="0" fontId="210" fillId="0" borderId="3363" applyNumberFormat="0" applyFill="0" applyBorder="0" applyAlignment="0">
      <protection locked="0"/>
    </xf>
    <xf numFmtId="254" fontId="240" fillId="0" borderId="3363" applyBorder="0" applyProtection="0">
      <alignment horizontal="right" vertical="center"/>
    </xf>
    <xf numFmtId="0" fontId="241" fillId="94" borderId="3363" applyBorder="0" applyProtection="0">
      <alignment horizontal="centerContinuous" vertical="center"/>
    </xf>
    <xf numFmtId="246" fontId="249" fillId="0" borderId="3363" applyFill="0" applyProtection="0">
      <alignment horizontal="center"/>
    </xf>
    <xf numFmtId="246" fontId="250" fillId="0" borderId="3363" applyFill="0" applyProtection="0">
      <alignment horizontal="center"/>
    </xf>
    <xf numFmtId="186" fontId="140" fillId="3" borderId="3367">
      <alignment horizontal="center" vertical="center"/>
    </xf>
    <xf numFmtId="0" fontId="78" fillId="14" borderId="3353" applyFont="0" applyFill="0" applyBorder="0" applyAlignment="0" applyProtection="0"/>
    <xf numFmtId="222" fontId="79" fillId="0" borderId="3374" applyBorder="0"/>
    <xf numFmtId="0" fontId="78" fillId="14" borderId="3377" applyFont="0" applyFill="0" applyBorder="0" applyAlignment="0" applyProtection="0"/>
    <xf numFmtId="0" fontId="25" fillId="10" borderId="3385" applyNumberFormat="0" applyProtection="0">
      <alignment horizontal="left" vertical="top"/>
    </xf>
    <xf numFmtId="0" fontId="25" fillId="10" borderId="3384" applyNumberFormat="0" applyProtection="0">
      <alignment horizontal="left" vertical="top"/>
    </xf>
    <xf numFmtId="0" fontId="25" fillId="10" borderId="3383" applyNumberFormat="0" applyProtection="0">
      <alignment horizontal="left" vertical="top"/>
    </xf>
    <xf numFmtId="0" fontId="25" fillId="10" borderId="3382" applyNumberFormat="0" applyProtection="0">
      <alignment horizontal="left" vertical="top"/>
    </xf>
    <xf numFmtId="0" fontId="214" fillId="0" borderId="3381" applyNumberFormat="0" applyFont="0" applyFill="0" applyAlignment="0" applyProtection="0"/>
    <xf numFmtId="0" fontId="2" fillId="0" borderId="3380" applyNumberFormat="0" applyAlignment="0" applyProtection="0"/>
    <xf numFmtId="186" fontId="140" fillId="3" borderId="3379">
      <alignment horizontal="center" vertical="center"/>
    </xf>
    <xf numFmtId="186" fontId="146" fillId="3" borderId="3378">
      <alignment horizontal="left"/>
    </xf>
    <xf numFmtId="0" fontId="75" fillId="0" borderId="3376" applyNumberFormat="0" applyFont="0" applyFill="0" applyAlignment="0" applyProtection="0"/>
    <xf numFmtId="222" fontId="79" fillId="0" borderId="3386" applyBorder="0"/>
    <xf numFmtId="0" fontId="101" fillId="0" borderId="3387" applyBorder="0"/>
    <xf numFmtId="222" fontId="79" fillId="0" borderId="3386" applyBorder="0"/>
    <xf numFmtId="0" fontId="113" fillId="0" borderId="3387" applyNumberFormat="0" applyFill="0" applyAlignment="0" applyProtection="0"/>
    <xf numFmtId="0" fontId="12" fillId="0" borderId="3387" applyNumberFormat="0" applyFill="0" applyBorder="0" applyAlignment="0" applyProtection="0">
      <alignment horizontal="center"/>
    </xf>
    <xf numFmtId="248" fontId="46" fillId="0" borderId="3387"/>
    <xf numFmtId="192" fontId="9" fillId="3" borderId="3387">
      <alignment horizontal="right" vertical="center"/>
    </xf>
    <xf numFmtId="180" fontId="9" fillId="3" borderId="3387">
      <alignment horizontal="right" vertical="center"/>
    </xf>
    <xf numFmtId="186" fontId="146" fillId="3" borderId="3387" applyBorder="0">
      <alignment horizontal="left" vertical="center"/>
    </xf>
    <xf numFmtId="0" fontId="165" fillId="0" borderId="3387" applyFill="0" applyProtection="0">
      <alignment horizontal="center"/>
    </xf>
    <xf numFmtId="0" fontId="166" fillId="0" borderId="3387">
      <alignment horizontal="center"/>
    </xf>
    <xf numFmtId="264" fontId="12" fillId="14" borderId="3387" applyFont="0" applyFill="0" applyBorder="0" applyAlignment="0" applyProtection="0">
      <alignment horizontal="right"/>
    </xf>
    <xf numFmtId="0" fontId="210" fillId="0" borderId="3387" applyNumberFormat="0" applyFill="0" applyBorder="0" applyAlignment="0">
      <protection locked="0"/>
    </xf>
    <xf numFmtId="254" fontId="240" fillId="0" borderId="3387" applyBorder="0" applyProtection="0">
      <alignment horizontal="right" vertical="center"/>
    </xf>
    <xf numFmtId="0" fontId="241" fillId="94" borderId="3387" applyBorder="0" applyProtection="0">
      <alignment horizontal="centerContinuous" vertical="center"/>
    </xf>
    <xf numFmtId="246" fontId="249" fillId="0" borderId="3387" applyFill="0" applyProtection="0">
      <alignment horizontal="center"/>
    </xf>
    <xf numFmtId="246" fontId="250" fillId="0" borderId="3387" applyFill="0" applyProtection="0">
      <alignment horizontal="center"/>
    </xf>
    <xf numFmtId="222" fontId="79" fillId="0" borderId="3398" applyBorder="0"/>
    <xf numFmtId="0" fontId="78" fillId="14" borderId="3401" applyFont="0" applyFill="0" applyBorder="0" applyAlignment="0" applyProtection="0"/>
    <xf numFmtId="0" fontId="25" fillId="10" borderId="3409" applyNumberFormat="0" applyProtection="0">
      <alignment horizontal="left" vertical="top"/>
    </xf>
    <xf numFmtId="0" fontId="25" fillId="10" borderId="3408" applyNumberFormat="0" applyProtection="0">
      <alignment horizontal="left" vertical="top"/>
    </xf>
    <xf numFmtId="0" fontId="25" fillId="10" borderId="3407" applyNumberFormat="0" applyProtection="0">
      <alignment horizontal="left" vertical="top"/>
    </xf>
    <xf numFmtId="0" fontId="25" fillId="10" borderId="3406" applyNumberFormat="0" applyProtection="0">
      <alignment horizontal="left" vertical="top"/>
    </xf>
    <xf numFmtId="0" fontId="214" fillId="0" borderId="3405" applyNumberFormat="0" applyFont="0" applyFill="0" applyAlignment="0" applyProtection="0"/>
    <xf numFmtId="0" fontId="2" fillId="0" borderId="3404" applyNumberFormat="0" applyAlignment="0" applyProtection="0"/>
    <xf numFmtId="186" fontId="140" fillId="3" borderId="3403">
      <alignment horizontal="center" vertical="center"/>
    </xf>
    <xf numFmtId="186" fontId="146" fillId="3" borderId="3402">
      <alignment horizontal="left"/>
    </xf>
    <xf numFmtId="0" fontId="75" fillId="0" borderId="3400" applyNumberFormat="0" applyFont="0" applyFill="0" applyAlignment="0" applyProtection="0"/>
    <xf numFmtId="222" fontId="79" fillId="0" borderId="3410" applyBorder="0"/>
    <xf numFmtId="0" fontId="101" fillId="0" borderId="3411" applyBorder="0"/>
    <xf numFmtId="222" fontId="79" fillId="0" borderId="3410" applyBorder="0"/>
    <xf numFmtId="0" fontId="113" fillId="0" borderId="3411" applyNumberFormat="0" applyFill="0" applyAlignment="0" applyProtection="0"/>
    <xf numFmtId="0" fontId="12" fillId="0" borderId="3411" applyNumberFormat="0" applyFill="0" applyBorder="0" applyAlignment="0" applyProtection="0">
      <alignment horizontal="center"/>
    </xf>
    <xf numFmtId="248" fontId="46" fillId="0" borderId="3411"/>
    <xf numFmtId="192" fontId="9" fillId="3" borderId="3411">
      <alignment horizontal="right" vertical="center"/>
    </xf>
    <xf numFmtId="180" fontId="9" fillId="3" borderId="3411">
      <alignment horizontal="right" vertical="center"/>
    </xf>
    <xf numFmtId="186" fontId="146" fillId="3" borderId="3411" applyBorder="0">
      <alignment horizontal="left" vertical="center"/>
    </xf>
    <xf numFmtId="0" fontId="165" fillId="0" borderId="3411" applyFill="0" applyProtection="0">
      <alignment horizontal="center"/>
    </xf>
    <xf numFmtId="0" fontId="166" fillId="0" borderId="3411">
      <alignment horizontal="center"/>
    </xf>
    <xf numFmtId="264" fontId="12" fillId="14" borderId="3411" applyFont="0" applyFill="0" applyBorder="0" applyAlignment="0" applyProtection="0">
      <alignment horizontal="right"/>
    </xf>
    <xf numFmtId="0" fontId="210" fillId="0" borderId="3411" applyNumberFormat="0" applyFill="0" applyBorder="0" applyAlignment="0">
      <protection locked="0"/>
    </xf>
    <xf numFmtId="254" fontId="240" fillId="0" borderId="3411" applyBorder="0" applyProtection="0">
      <alignment horizontal="right" vertical="center"/>
    </xf>
    <xf numFmtId="0" fontId="241" fillId="94" borderId="3411" applyBorder="0" applyProtection="0">
      <alignment horizontal="centerContinuous" vertical="center"/>
    </xf>
    <xf numFmtId="246" fontId="249" fillId="0" borderId="3411" applyFill="0" applyProtection="0">
      <alignment horizontal="center"/>
    </xf>
    <xf numFmtId="246" fontId="250" fillId="0" borderId="3411" applyFill="0" applyProtection="0">
      <alignment horizontal="center"/>
    </xf>
    <xf numFmtId="0" fontId="2" fillId="0" borderId="4052" applyNumberFormat="0" applyAlignment="0" applyProtection="0"/>
    <xf numFmtId="264" fontId="12" fillId="14" borderId="4047" applyFont="0" applyFill="0" applyBorder="0" applyAlignment="0" applyProtection="0">
      <alignment horizontal="right"/>
    </xf>
    <xf numFmtId="0" fontId="75" fillId="0" borderId="3424" applyNumberFormat="0" applyFont="0" applyFill="0" applyAlignment="0" applyProtection="0"/>
    <xf numFmtId="0" fontId="78" fillId="14" borderId="3425" applyFont="0" applyFill="0" applyBorder="0" applyAlignment="0" applyProtection="0"/>
    <xf numFmtId="186" fontId="146" fillId="3" borderId="3426">
      <alignment horizontal="left"/>
    </xf>
    <xf numFmtId="186" fontId="140" fillId="3" borderId="3427">
      <alignment horizontal="center" vertical="center"/>
    </xf>
    <xf numFmtId="0" fontId="2" fillId="0" borderId="3428" applyNumberFormat="0" applyAlignment="0" applyProtection="0"/>
    <xf numFmtId="0" fontId="214" fillId="0" borderId="3429" applyNumberFormat="0" applyFont="0" applyFill="0" applyAlignment="0" applyProtection="0"/>
    <xf numFmtId="0" fontId="25" fillId="10" borderId="3430" applyNumberFormat="0" applyProtection="0">
      <alignment horizontal="left" vertical="top"/>
    </xf>
    <xf numFmtId="0" fontId="25" fillId="10" borderId="3431" applyNumberFormat="0" applyProtection="0">
      <alignment horizontal="left" vertical="top"/>
    </xf>
    <xf numFmtId="0" fontId="25" fillId="10" borderId="3432" applyNumberFormat="0" applyProtection="0">
      <alignment horizontal="left" vertical="top"/>
    </xf>
    <xf numFmtId="0" fontId="25" fillId="10" borderId="3433" applyNumberFormat="0" applyProtection="0">
      <alignment horizontal="left" vertical="top"/>
    </xf>
    <xf numFmtId="0" fontId="214" fillId="0" borderId="4053" applyNumberFormat="0" applyFont="0" applyFill="0" applyAlignment="0" applyProtection="0"/>
    <xf numFmtId="0" fontId="210" fillId="0" borderId="4047" applyNumberFormat="0" applyFill="0" applyBorder="0" applyAlignment="0">
      <protection locked="0"/>
    </xf>
    <xf numFmtId="254" fontId="240" fillId="0" borderId="4083" applyBorder="0" applyProtection="0">
      <alignment horizontal="right" vertical="center"/>
    </xf>
    <xf numFmtId="0" fontId="25" fillId="10" borderId="4054" applyNumberFormat="0" applyProtection="0">
      <alignment horizontal="left" vertical="top"/>
    </xf>
    <xf numFmtId="0" fontId="166" fillId="0" borderId="4047">
      <alignment horizontal="center"/>
    </xf>
    <xf numFmtId="246" fontId="250" fillId="0" borderId="3423" applyFill="0" applyProtection="0">
      <alignment horizontal="center"/>
    </xf>
    <xf numFmtId="246" fontId="249" fillId="0" borderId="3423" applyFill="0" applyProtection="0">
      <alignment horizontal="center"/>
    </xf>
    <xf numFmtId="0" fontId="241" fillId="94" borderId="3423" applyBorder="0" applyProtection="0">
      <alignment horizontal="centerContinuous" vertical="center"/>
    </xf>
    <xf numFmtId="254" fontId="240" fillId="0" borderId="3423" applyBorder="0" applyProtection="0">
      <alignment horizontal="right" vertical="center"/>
    </xf>
    <xf numFmtId="312" fontId="241" fillId="94" borderId="4095" applyBorder="0" applyProtection="0">
      <alignment horizontal="centerContinuous" vertical="center"/>
    </xf>
    <xf numFmtId="0" fontId="210" fillId="0" borderId="3423" applyNumberFormat="0" applyFill="0" applyBorder="0" applyAlignment="0">
      <protection locked="0"/>
    </xf>
    <xf numFmtId="264" fontId="12" fillId="14" borderId="3423" applyFont="0" applyFill="0" applyBorder="0" applyAlignment="0" applyProtection="0">
      <alignment horizontal="right"/>
    </xf>
    <xf numFmtId="0" fontId="166" fillId="0" borderId="3423">
      <alignment horizontal="center"/>
    </xf>
    <xf numFmtId="0" fontId="165" fillId="0" borderId="3423" applyFill="0" applyProtection="0">
      <alignment horizontal="center"/>
    </xf>
    <xf numFmtId="186" fontId="146" fillId="3" borderId="4074">
      <alignment horizontal="left"/>
    </xf>
    <xf numFmtId="186" fontId="146" fillId="3" borderId="3423" applyBorder="0">
      <alignment horizontal="left" vertical="center"/>
    </xf>
    <xf numFmtId="180" fontId="9" fillId="3" borderId="3423">
      <alignment horizontal="right" vertical="center"/>
    </xf>
    <xf numFmtId="192" fontId="9" fillId="3" borderId="3423">
      <alignment horizontal="right" vertical="center"/>
    </xf>
    <xf numFmtId="312" fontId="210" fillId="0" borderId="4095" applyNumberFormat="0" applyFill="0" applyBorder="0" applyAlignment="0">
      <protection locked="0"/>
    </xf>
    <xf numFmtId="0" fontId="12" fillId="0" borderId="3423" applyNumberFormat="0" applyFill="0" applyBorder="0" applyAlignment="0" applyProtection="0">
      <alignment horizontal="center"/>
    </xf>
    <xf numFmtId="0" fontId="113" fillId="0" borderId="3423" applyNumberFormat="0" applyFill="0" applyAlignment="0" applyProtection="0"/>
    <xf numFmtId="222" fontId="79" fillId="0" borderId="4094" applyBorder="0"/>
    <xf numFmtId="222" fontId="79" fillId="0" borderId="3422" applyBorder="0"/>
    <xf numFmtId="0" fontId="101" fillId="0" borderId="3423" applyBorder="0"/>
    <xf numFmtId="186" fontId="146" fillId="3" borderId="4047" applyBorder="0">
      <alignment horizontal="left" vertical="center"/>
    </xf>
    <xf numFmtId="0" fontId="25" fillId="10" borderId="4055" applyNumberFormat="0" applyProtection="0">
      <alignment horizontal="left" vertical="top"/>
    </xf>
    <xf numFmtId="248" fontId="46" fillId="0" borderId="3423"/>
    <xf numFmtId="0" fontId="25" fillId="10" borderId="4056" applyNumberFormat="0" applyProtection="0">
      <alignment horizontal="left" vertical="top"/>
    </xf>
    <xf numFmtId="246" fontId="296" fillId="0" borderId="4095" applyFill="0" applyProtection="0">
      <alignment horizontal="center"/>
    </xf>
    <xf numFmtId="180" fontId="9" fillId="3" borderId="4047">
      <alignment horizontal="right" vertical="center"/>
    </xf>
    <xf numFmtId="312" fontId="25" fillId="10" borderId="4080" applyNumberFormat="0" applyProtection="0">
      <alignment horizontal="left" vertical="top"/>
    </xf>
    <xf numFmtId="264" fontId="12" fillId="14" borderId="4035" applyFont="0" applyFill="0" applyBorder="0" applyAlignment="0" applyProtection="0">
      <alignment horizontal="right"/>
    </xf>
    <xf numFmtId="312" fontId="241" fillId="94" borderId="4095" applyBorder="0" applyProtection="0">
      <alignment horizontal="centerContinuous" vertical="center"/>
    </xf>
    <xf numFmtId="192" fontId="9" fillId="3" borderId="4047">
      <alignment horizontal="right" vertical="center"/>
    </xf>
    <xf numFmtId="0" fontId="166" fillId="0" borderId="4035">
      <alignment horizontal="center"/>
    </xf>
    <xf numFmtId="248" fontId="46" fillId="0" borderId="4047"/>
    <xf numFmtId="0" fontId="101" fillId="0" borderId="3423" applyBorder="0"/>
    <xf numFmtId="222" fontId="79" fillId="0" borderId="3422" applyBorder="0"/>
    <xf numFmtId="0" fontId="113" fillId="0" borderId="3423" applyNumberFormat="0" applyFill="0" applyAlignment="0" applyProtection="0"/>
    <xf numFmtId="0" fontId="75" fillId="0" borderId="3424" applyNumberFormat="0" applyFont="0" applyFill="0" applyAlignment="0" applyProtection="0"/>
    <xf numFmtId="0" fontId="12" fillId="0" borderId="3423" applyNumberFormat="0" applyFill="0" applyBorder="0" applyAlignment="0" applyProtection="0">
      <alignment horizontal="center"/>
    </xf>
    <xf numFmtId="248" fontId="46" fillId="0" borderId="3423"/>
    <xf numFmtId="192" fontId="9" fillId="3" borderId="3423">
      <alignment horizontal="right" vertical="center"/>
    </xf>
    <xf numFmtId="180" fontId="9" fillId="3" borderId="3423">
      <alignment horizontal="right" vertical="center"/>
    </xf>
    <xf numFmtId="186" fontId="146" fillId="3" borderId="3423" applyBorder="0">
      <alignment horizontal="left" vertical="center"/>
    </xf>
    <xf numFmtId="186" fontId="146" fillId="3" borderId="3426">
      <alignment horizontal="left"/>
    </xf>
    <xf numFmtId="186" fontId="140" fillId="3" borderId="3427">
      <alignment horizontal="center" vertical="center"/>
    </xf>
    <xf numFmtId="0" fontId="165" fillId="0" borderId="3423" applyFill="0" applyProtection="0">
      <alignment horizontal="center"/>
    </xf>
    <xf numFmtId="0" fontId="166" fillId="0" borderId="3423">
      <alignment horizontal="center"/>
    </xf>
    <xf numFmtId="264" fontId="12" fillId="14" borderId="3423" applyFont="0" applyFill="0" applyBorder="0" applyAlignment="0" applyProtection="0">
      <alignment horizontal="right"/>
    </xf>
    <xf numFmtId="0" fontId="210" fillId="0" borderId="3423" applyNumberFormat="0" applyFill="0" applyBorder="0" applyAlignment="0">
      <protection locked="0"/>
    </xf>
    <xf numFmtId="0" fontId="2" fillId="0" borderId="3428" applyNumberFormat="0" applyAlignment="0" applyProtection="0"/>
    <xf numFmtId="0" fontId="214" fillId="0" borderId="3429" applyNumberFormat="0" applyFont="0" applyFill="0" applyAlignment="0" applyProtection="0"/>
    <xf numFmtId="0" fontId="25" fillId="10" borderId="3430" applyNumberFormat="0" applyProtection="0">
      <alignment horizontal="left" vertical="top"/>
    </xf>
    <xf numFmtId="0" fontId="25" fillId="10" borderId="3431" applyNumberFormat="0" applyProtection="0">
      <alignment horizontal="left" vertical="top"/>
    </xf>
    <xf numFmtId="0" fontId="25" fillId="10" borderId="3432" applyNumberFormat="0" applyProtection="0">
      <alignment horizontal="left" vertical="top"/>
    </xf>
    <xf numFmtId="0" fontId="25" fillId="10" borderId="3433" applyNumberFormat="0" applyProtection="0">
      <alignment horizontal="left" vertical="top"/>
    </xf>
    <xf numFmtId="0" fontId="25" fillId="10" borderId="3430" applyNumberFormat="0" applyProtection="0">
      <alignment horizontal="left" vertical="top"/>
    </xf>
    <xf numFmtId="0" fontId="25" fillId="10" borderId="3431" applyNumberFormat="0" applyProtection="0">
      <alignment horizontal="left" vertical="top"/>
    </xf>
    <xf numFmtId="0" fontId="25" fillId="10" borderId="3432" applyNumberFormat="0" applyProtection="0">
      <alignment horizontal="left" vertical="top"/>
    </xf>
    <xf numFmtId="0" fontId="25" fillId="10" borderId="3433" applyNumberFormat="0" applyProtection="0">
      <alignment horizontal="left" vertical="top"/>
    </xf>
    <xf numFmtId="254" fontId="240" fillId="0" borderId="3423" applyBorder="0" applyProtection="0">
      <alignment horizontal="right" vertical="center"/>
    </xf>
    <xf numFmtId="0" fontId="241" fillId="94" borderId="3423" applyBorder="0" applyProtection="0">
      <alignment horizontal="centerContinuous" vertical="center"/>
    </xf>
    <xf numFmtId="246" fontId="249" fillId="0" borderId="3423" applyFill="0" applyProtection="0">
      <alignment horizontal="center"/>
    </xf>
    <xf numFmtId="246" fontId="250" fillId="0" borderId="3423" applyFill="0" applyProtection="0">
      <alignment horizontal="center"/>
    </xf>
    <xf numFmtId="0" fontId="165" fillId="0" borderId="4035" applyFill="0" applyProtection="0">
      <alignment horizontal="center"/>
    </xf>
    <xf numFmtId="312" fontId="25" fillId="10" borderId="4081" applyNumberFormat="0" applyProtection="0">
      <alignment horizontal="left" vertical="top"/>
    </xf>
    <xf numFmtId="0" fontId="25" fillId="10" borderId="4032" applyNumberFormat="0" applyProtection="0">
      <alignment horizontal="left" vertical="top"/>
    </xf>
    <xf numFmtId="186" fontId="146" fillId="3" borderId="4035" applyBorder="0">
      <alignment horizontal="left" vertical="center"/>
    </xf>
    <xf numFmtId="312" fontId="25" fillId="10" borderId="4080" applyNumberFormat="0" applyProtection="0">
      <alignment horizontal="left" vertical="top"/>
    </xf>
    <xf numFmtId="0" fontId="25" fillId="10" borderId="4031" applyNumberFormat="0" applyProtection="0">
      <alignment horizontal="left" vertical="top"/>
    </xf>
    <xf numFmtId="186" fontId="140" fillId="3" borderId="4075">
      <alignment horizontal="center" vertical="center"/>
    </xf>
    <xf numFmtId="0" fontId="214" fillId="0" borderId="4029" applyNumberFormat="0" applyFont="0" applyFill="0" applyAlignment="0" applyProtection="0"/>
    <xf numFmtId="0" fontId="78" fillId="14" borderId="4193" applyFont="0" applyFill="0" applyBorder="0" applyAlignment="0" applyProtection="0"/>
    <xf numFmtId="186" fontId="146" fillId="3" borderId="4242">
      <alignment horizontal="left"/>
    </xf>
    <xf numFmtId="246" fontId="249" fillId="0" borderId="4191" applyFill="0" applyProtection="0">
      <alignment horizontal="center"/>
    </xf>
    <xf numFmtId="0" fontId="210" fillId="0" borderId="4191" applyNumberFormat="0" applyFill="0" applyBorder="0" applyAlignment="0">
      <protection locked="0"/>
    </xf>
    <xf numFmtId="180" fontId="9" fillId="3" borderId="4191">
      <alignment horizontal="right" vertical="center"/>
    </xf>
    <xf numFmtId="0" fontId="78" fillId="14" borderId="4193" applyFont="0" applyFill="0" applyBorder="0" applyAlignment="0" applyProtection="0"/>
    <xf numFmtId="0" fontId="2" fillId="0" borderId="4196" applyNumberFormat="0" applyAlignment="0" applyProtection="0"/>
    <xf numFmtId="0" fontId="78" fillId="14" borderId="4193" applyFont="0" applyFill="0" applyBorder="0" applyAlignment="0" applyProtection="0"/>
    <xf numFmtId="0" fontId="241" fillId="94" borderId="4215" applyBorder="0" applyProtection="0">
      <alignment horizontal="centerContinuous" vertical="center"/>
    </xf>
    <xf numFmtId="0" fontId="214" fillId="0" borderId="4233" applyNumberFormat="0" applyFont="0" applyFill="0" applyAlignment="0" applyProtection="0"/>
    <xf numFmtId="222" fontId="79" fillId="0" borderId="4238" applyBorder="0"/>
    <xf numFmtId="180" fontId="9" fillId="3" borderId="4239">
      <alignment horizontal="right" vertical="center"/>
    </xf>
    <xf numFmtId="192" fontId="9" fillId="3" borderId="4251">
      <alignment horizontal="right" vertical="center"/>
    </xf>
    <xf numFmtId="222" fontId="79" fillId="0" borderId="4250" applyBorder="0"/>
    <xf numFmtId="0" fontId="165" fillId="0" borderId="4251" applyFill="0" applyProtection="0">
      <alignment horizontal="center"/>
    </xf>
    <xf numFmtId="248" fontId="46" fillId="0" borderId="4035"/>
    <xf numFmtId="186" fontId="146" fillId="3" borderId="4035" applyBorder="0">
      <alignment horizontal="left" vertical="center"/>
    </xf>
    <xf numFmtId="264" fontId="12" fillId="14" borderId="4035" applyFont="0" applyFill="0" applyBorder="0" applyAlignment="0" applyProtection="0">
      <alignment horizontal="right"/>
    </xf>
    <xf numFmtId="246" fontId="249" fillId="0" borderId="4035" applyFill="0" applyProtection="0">
      <alignment horizontal="center"/>
    </xf>
    <xf numFmtId="222" fontId="79" fillId="0" borderId="3434" applyBorder="0"/>
    <xf numFmtId="190" fontId="101" fillId="0" borderId="3423" applyBorder="0"/>
    <xf numFmtId="0" fontId="165" fillId="0" borderId="4095" applyFill="0" applyProtection="0">
      <alignment horizontal="center"/>
    </xf>
    <xf numFmtId="0" fontId="214" fillId="0" borderId="4029" applyNumberFormat="0" applyFont="0" applyFill="0" applyAlignment="0" applyProtection="0"/>
    <xf numFmtId="190" fontId="113" fillId="0" borderId="3423" applyNumberFormat="0" applyFill="0" applyAlignment="0" applyProtection="0"/>
    <xf numFmtId="190" fontId="75" fillId="0" borderId="3400" applyNumberFormat="0" applyFont="0" applyFill="0" applyAlignment="0" applyProtection="0"/>
    <xf numFmtId="0" fontId="25" fillId="10" borderId="4031" applyNumberFormat="0" applyProtection="0">
      <alignment horizontal="left" vertical="top"/>
    </xf>
    <xf numFmtId="190" fontId="12" fillId="0" borderId="3423" applyNumberFormat="0" applyFill="0" applyBorder="0" applyAlignment="0" applyProtection="0">
      <alignment horizontal="center"/>
    </xf>
    <xf numFmtId="312" fontId="25" fillId="10" borderId="4079" applyNumberFormat="0" applyProtection="0">
      <alignment horizontal="left" vertical="top"/>
    </xf>
    <xf numFmtId="190" fontId="78" fillId="14" borderId="3413" applyFont="0" applyFill="0" applyBorder="0" applyAlignment="0" applyProtection="0"/>
    <xf numFmtId="0" fontId="241" fillId="94" borderId="4095" applyBorder="0" applyProtection="0">
      <alignment horizontal="centerContinuous" vertical="center"/>
    </xf>
    <xf numFmtId="0" fontId="25" fillId="10" borderId="4080" applyNumberFormat="0" applyProtection="0">
      <alignment horizontal="left" vertical="top"/>
    </xf>
    <xf numFmtId="0" fontId="25" fillId="10" borderId="4081" applyNumberFormat="0" applyProtection="0">
      <alignment horizontal="left" vertical="top"/>
    </xf>
    <xf numFmtId="0" fontId="25" fillId="10" borderId="4078" applyNumberFormat="0" applyProtection="0">
      <alignment horizontal="left" vertical="top"/>
    </xf>
    <xf numFmtId="0" fontId="210" fillId="0" borderId="4095" applyNumberFormat="0" applyFill="0" applyBorder="0" applyAlignment="0">
      <protection locked="0"/>
    </xf>
    <xf numFmtId="180" fontId="9" fillId="3" borderId="4095">
      <alignment horizontal="right" vertical="center"/>
    </xf>
    <xf numFmtId="190" fontId="25" fillId="10" borderId="4080" applyNumberFormat="0" applyProtection="0">
      <alignment horizontal="left" vertical="top"/>
    </xf>
    <xf numFmtId="190" fontId="165" fillId="0" borderId="3423" applyFill="0" applyProtection="0">
      <alignment horizontal="center"/>
    </xf>
    <xf numFmtId="190" fontId="166" fillId="0" borderId="3423">
      <alignment horizontal="center"/>
    </xf>
    <xf numFmtId="186" fontId="146" fillId="3" borderId="4095" applyBorder="0">
      <alignment horizontal="left" vertical="center"/>
    </xf>
    <xf numFmtId="0" fontId="75" fillId="0" borderId="4096" applyNumberFormat="0" applyFont="0" applyFill="0" applyAlignment="0" applyProtection="0"/>
    <xf numFmtId="0" fontId="113" fillId="0" borderId="4059" applyNumberFormat="0" applyFill="0" applyAlignment="0" applyProtection="0"/>
    <xf numFmtId="0" fontId="241" fillId="94" borderId="4035" applyBorder="0" applyProtection="0">
      <alignment horizontal="centerContinuous" vertical="center"/>
    </xf>
    <xf numFmtId="186" fontId="146" fillId="3" borderId="4035" applyBorder="0">
      <alignment horizontal="left" vertical="center"/>
    </xf>
    <xf numFmtId="0" fontId="25" fillId="10" borderId="4033" applyNumberFormat="0" applyProtection="0">
      <alignment horizontal="left" vertical="top"/>
    </xf>
    <xf numFmtId="0" fontId="25" fillId="10" borderId="4030" applyNumberFormat="0" applyProtection="0">
      <alignment horizontal="left" vertical="top"/>
    </xf>
    <xf numFmtId="186" fontId="140" fillId="3" borderId="4027">
      <alignment horizontal="center" vertical="center"/>
    </xf>
    <xf numFmtId="190" fontId="210" fillId="0" borderId="3423" applyNumberFormat="0" applyFill="0" applyBorder="0" applyAlignment="0">
      <protection locked="0"/>
    </xf>
    <xf numFmtId="222" fontId="79" fillId="0" borderId="4034" applyBorder="0"/>
    <xf numFmtId="248" fontId="46" fillId="0" borderId="4035"/>
    <xf numFmtId="186" fontId="146" fillId="3" borderId="4035" applyBorder="0">
      <alignment horizontal="left" vertical="center"/>
    </xf>
    <xf numFmtId="254" fontId="240" fillId="0" borderId="4035" applyBorder="0" applyProtection="0">
      <alignment horizontal="right" vertical="center"/>
    </xf>
    <xf numFmtId="246" fontId="250" fillId="0" borderId="4035" applyFill="0" applyProtection="0">
      <alignment horizontal="center"/>
    </xf>
    <xf numFmtId="0" fontId="25" fillId="10" borderId="4090" applyNumberFormat="0" applyProtection="0">
      <alignment horizontal="left" vertical="top"/>
    </xf>
    <xf numFmtId="190" fontId="2" fillId="0" borderId="3404" applyNumberFormat="0" applyAlignment="0" applyProtection="0"/>
    <xf numFmtId="186" fontId="140" fillId="3" borderId="4087">
      <alignment horizontal="center" vertical="center"/>
    </xf>
    <xf numFmtId="0" fontId="25" fillId="10" borderId="3372" applyNumberFormat="0" applyProtection="0">
      <alignment horizontal="left" vertical="top"/>
    </xf>
    <xf numFmtId="0" fontId="241" fillId="94" borderId="4071" applyBorder="0" applyProtection="0">
      <alignment horizontal="centerContinuous" vertical="center"/>
    </xf>
    <xf numFmtId="222" fontId="79" fillId="0" borderId="4034" applyBorder="0"/>
    <xf numFmtId="0" fontId="25" fillId="10" borderId="4091" applyNumberFormat="0" applyProtection="0">
      <alignment horizontal="left" vertical="top"/>
    </xf>
    <xf numFmtId="192" fontId="9" fillId="3" borderId="4071">
      <alignment horizontal="right" vertical="center"/>
    </xf>
    <xf numFmtId="0" fontId="214" fillId="0" borderId="4029" applyNumberFormat="0" applyFont="0" applyFill="0" applyAlignment="0" applyProtection="0"/>
    <xf numFmtId="0" fontId="25" fillId="10" borderId="4030" applyNumberFormat="0" applyProtection="0">
      <alignment horizontal="left" vertical="top"/>
    </xf>
    <xf numFmtId="264" fontId="12" fillId="14" borderId="4095" applyFont="0" applyFill="0" applyBorder="0" applyAlignment="0" applyProtection="0">
      <alignment horizontal="right"/>
    </xf>
    <xf numFmtId="190" fontId="214" fillId="0" borderId="3405" applyNumberFormat="0" applyFont="0" applyFill="0" applyAlignment="0" applyProtection="0"/>
    <xf numFmtId="186" fontId="146" fillId="3" borderId="4026">
      <alignment horizontal="left"/>
    </xf>
    <xf numFmtId="246" fontId="250" fillId="0" borderId="4023" applyFill="0" applyProtection="0">
      <alignment horizontal="center"/>
    </xf>
    <xf numFmtId="0" fontId="241" fillId="94" borderId="4023" applyBorder="0" applyProtection="0">
      <alignment horizontal="centerContinuous" vertical="center"/>
    </xf>
    <xf numFmtId="0" fontId="78" fillId="14" borderId="3365" applyFont="0" applyFill="0" applyBorder="0" applyAlignment="0" applyProtection="0"/>
    <xf numFmtId="190" fontId="25" fillId="10" borderId="3406" applyNumberFormat="0" applyProtection="0">
      <alignment horizontal="left" vertical="top"/>
    </xf>
    <xf numFmtId="190" fontId="25" fillId="10" borderId="3407" applyNumberFormat="0" applyProtection="0">
      <alignment horizontal="left" vertical="top"/>
    </xf>
    <xf numFmtId="190" fontId="25" fillId="10" borderId="3408" applyNumberFormat="0" applyProtection="0">
      <alignment horizontal="left" vertical="top"/>
    </xf>
    <xf numFmtId="190" fontId="25" fillId="10" borderId="3409" applyNumberFormat="0" applyProtection="0">
      <alignment horizontal="left" vertical="top"/>
    </xf>
    <xf numFmtId="190" fontId="241" fillId="94" borderId="3423" applyBorder="0" applyProtection="0">
      <alignment horizontal="centerContinuous" vertical="center"/>
    </xf>
    <xf numFmtId="0" fontId="2" fillId="0" borderId="3067" applyNumberFormat="0" applyAlignment="0" applyProtection="0"/>
    <xf numFmtId="264" fontId="12" fillId="14" borderId="4083" applyFont="0" applyFill="0" applyBorder="0" applyAlignment="0" applyProtection="0">
      <alignment horizontal="right"/>
    </xf>
    <xf numFmtId="0" fontId="25" fillId="10" borderId="4032" applyNumberFormat="0" applyProtection="0">
      <alignment horizontal="left" vertical="top"/>
    </xf>
    <xf numFmtId="0" fontId="210" fillId="0" borderId="4095" applyNumberFormat="0" applyFill="0" applyBorder="0" applyAlignment="0">
      <protection locked="0"/>
    </xf>
    <xf numFmtId="0" fontId="25" fillId="10" borderId="3372" applyNumberFormat="0" applyProtection="0">
      <alignment horizontal="left" vertical="top"/>
    </xf>
    <xf numFmtId="180" fontId="9" fillId="3" borderId="4035">
      <alignment horizontal="right" vertical="center"/>
    </xf>
    <xf numFmtId="0" fontId="25" fillId="10" borderId="4030" applyNumberFormat="0" applyProtection="0">
      <alignment horizontal="left" vertical="top"/>
    </xf>
    <xf numFmtId="222" fontId="79" fillId="0" borderId="3422" applyBorder="0"/>
    <xf numFmtId="312" fontId="25" fillId="10" borderId="4078" applyNumberFormat="0" applyProtection="0">
      <alignment horizontal="left" vertical="top"/>
    </xf>
    <xf numFmtId="0" fontId="101" fillId="0" borderId="3423" applyBorder="0"/>
    <xf numFmtId="222" fontId="79" fillId="0" borderId="3422" applyBorder="0"/>
    <xf numFmtId="0" fontId="113" fillId="0" borderId="3423" applyNumberFormat="0" applyFill="0" applyAlignment="0" applyProtection="0"/>
    <xf numFmtId="0" fontId="75" fillId="0" borderId="3400" applyNumberFormat="0" applyFont="0" applyFill="0" applyAlignment="0" applyProtection="0"/>
    <xf numFmtId="0" fontId="12" fillId="0" borderId="3423" applyNumberFormat="0" applyFill="0" applyBorder="0" applyAlignment="0" applyProtection="0">
      <alignment horizontal="center"/>
    </xf>
    <xf numFmtId="248" fontId="46" fillId="0" borderId="3423"/>
    <xf numFmtId="192" fontId="9" fillId="3" borderId="3423">
      <alignment horizontal="right" vertical="center"/>
    </xf>
    <xf numFmtId="180" fontId="9" fillId="3" borderId="3423">
      <alignment horizontal="right" vertical="center"/>
    </xf>
    <xf numFmtId="186" fontId="146" fillId="3" borderId="3423" applyBorder="0">
      <alignment horizontal="left" vertical="center"/>
    </xf>
    <xf numFmtId="186" fontId="146" fillId="3" borderId="3402">
      <alignment horizontal="left"/>
    </xf>
    <xf numFmtId="186" fontId="140" fillId="3" borderId="3403">
      <alignment horizontal="center" vertical="center"/>
    </xf>
    <xf numFmtId="0" fontId="165" fillId="0" borderId="3423" applyFill="0" applyProtection="0">
      <alignment horizontal="center"/>
    </xf>
    <xf numFmtId="0" fontId="166" fillId="0" borderId="3423">
      <alignment horizontal="center"/>
    </xf>
    <xf numFmtId="264" fontId="12" fillId="14" borderId="3423" applyFont="0" applyFill="0" applyBorder="0" applyAlignment="0" applyProtection="0">
      <alignment horizontal="right"/>
    </xf>
    <xf numFmtId="0" fontId="210" fillId="0" borderId="3423" applyNumberFormat="0" applyFill="0" applyBorder="0" applyAlignment="0">
      <protection locked="0"/>
    </xf>
    <xf numFmtId="0" fontId="2" fillId="0" borderId="3404" applyNumberFormat="0" applyAlignment="0" applyProtection="0"/>
    <xf numFmtId="0" fontId="214" fillId="0" borderId="3405" applyNumberFormat="0" applyFont="0" applyFill="0" applyAlignment="0" applyProtection="0"/>
    <xf numFmtId="0" fontId="25" fillId="10" borderId="3406" applyNumberFormat="0" applyProtection="0">
      <alignment horizontal="left" vertical="top"/>
    </xf>
    <xf numFmtId="0" fontId="25" fillId="10" borderId="3407" applyNumberFormat="0" applyProtection="0">
      <alignment horizontal="left" vertical="top"/>
    </xf>
    <xf numFmtId="0" fontId="25" fillId="10" borderId="3408" applyNumberFormat="0" applyProtection="0">
      <alignment horizontal="left" vertical="top"/>
    </xf>
    <xf numFmtId="0" fontId="25" fillId="10" borderId="3409" applyNumberFormat="0" applyProtection="0">
      <alignment horizontal="left" vertical="top"/>
    </xf>
    <xf numFmtId="0" fontId="25" fillId="10" borderId="3406" applyNumberFormat="0" applyProtection="0">
      <alignment horizontal="left" vertical="top"/>
    </xf>
    <xf numFmtId="0" fontId="25" fillId="10" borderId="3407" applyNumberFormat="0" applyProtection="0">
      <alignment horizontal="left" vertical="top"/>
    </xf>
    <xf numFmtId="0" fontId="25" fillId="10" borderId="3408" applyNumberFormat="0" applyProtection="0">
      <alignment horizontal="left" vertical="top"/>
    </xf>
    <xf numFmtId="0" fontId="25" fillId="10" borderId="3409" applyNumberFormat="0" applyProtection="0">
      <alignment horizontal="left" vertical="top"/>
    </xf>
    <xf numFmtId="254" fontId="240" fillId="0" borderId="3423" applyBorder="0" applyProtection="0">
      <alignment horizontal="right" vertical="center"/>
    </xf>
    <xf numFmtId="0" fontId="241" fillId="94" borderId="3423" applyBorder="0" applyProtection="0">
      <alignment horizontal="centerContinuous" vertical="center"/>
    </xf>
    <xf numFmtId="246" fontId="249" fillId="0" borderId="3423" applyFill="0" applyProtection="0">
      <alignment horizontal="center"/>
    </xf>
    <xf numFmtId="246" fontId="250" fillId="0" borderId="3423" applyFill="0" applyProtection="0">
      <alignment horizontal="center"/>
    </xf>
    <xf numFmtId="190" fontId="25" fillId="10" borderId="4081" applyNumberFormat="0" applyProtection="0">
      <alignment horizontal="left" vertical="top"/>
    </xf>
    <xf numFmtId="222" fontId="79" fillId="0" borderId="4082" applyBorder="0"/>
    <xf numFmtId="0" fontId="78" fillId="14" borderId="4025" applyFont="0" applyFill="0" applyBorder="0" applyAlignment="0" applyProtection="0"/>
    <xf numFmtId="0" fontId="25" fillId="10" borderId="4043" applyNumberFormat="0" applyProtection="0">
      <alignment horizontal="left" vertical="top"/>
    </xf>
    <xf numFmtId="0" fontId="25" fillId="10" borderId="4032" applyNumberFormat="0" applyProtection="0">
      <alignment horizontal="left" vertical="top"/>
    </xf>
    <xf numFmtId="0" fontId="78" fillId="14" borderId="4037" applyFont="0" applyFill="0" applyBorder="0" applyAlignment="0" applyProtection="0"/>
    <xf numFmtId="0" fontId="12" fillId="0" borderId="4035" applyNumberFormat="0" applyFill="0" applyBorder="0" applyAlignment="0" applyProtection="0">
      <alignment horizontal="center"/>
    </xf>
    <xf numFmtId="0" fontId="12" fillId="0" borderId="4023" applyNumberFormat="0" applyFill="0" applyBorder="0" applyAlignment="0" applyProtection="0">
      <alignment horizontal="center"/>
    </xf>
    <xf numFmtId="192" fontId="9" fillId="3" borderId="4035">
      <alignment horizontal="right" vertical="center"/>
    </xf>
    <xf numFmtId="312" fontId="25" fillId="10" borderId="4079" applyNumberFormat="0" applyProtection="0">
      <alignment horizontal="left" vertical="top"/>
    </xf>
    <xf numFmtId="0" fontId="25" fillId="10" borderId="4033" applyNumberFormat="0" applyProtection="0">
      <alignment horizontal="left" vertical="top"/>
    </xf>
    <xf numFmtId="248" fontId="46" fillId="0" borderId="4035"/>
    <xf numFmtId="312" fontId="214" fillId="0" borderId="4077" applyNumberFormat="0" applyFont="0" applyFill="0" applyAlignment="0" applyProtection="0"/>
    <xf numFmtId="0" fontId="25" fillId="10" borderId="4031" applyNumberFormat="0" applyProtection="0">
      <alignment horizontal="left" vertical="top"/>
    </xf>
    <xf numFmtId="0" fontId="12" fillId="0" borderId="4035" applyNumberFormat="0" applyFill="0" applyBorder="0" applyAlignment="0" applyProtection="0">
      <alignment horizontal="center"/>
    </xf>
    <xf numFmtId="222" fontId="79" fillId="0" borderId="4034" applyBorder="0"/>
    <xf numFmtId="0" fontId="214" fillId="0" borderId="4077" applyNumberFormat="0" applyFont="0" applyFill="0" applyAlignment="0" applyProtection="0"/>
    <xf numFmtId="0" fontId="25" fillId="10" borderId="4199" applyNumberFormat="0" applyProtection="0">
      <alignment horizontal="left" vertical="top"/>
    </xf>
    <xf numFmtId="0" fontId="75" fillId="0" borderId="4192" applyNumberFormat="0" applyFont="0" applyFill="0" applyAlignment="0" applyProtection="0"/>
    <xf numFmtId="0" fontId="241" fillId="94" borderId="4191" applyBorder="0" applyProtection="0">
      <alignment horizontal="centerContinuous" vertical="center"/>
    </xf>
    <xf numFmtId="264" fontId="12" fillId="14" borderId="4191" applyFont="0" applyFill="0" applyBorder="0" applyAlignment="0" applyProtection="0">
      <alignment horizontal="right"/>
    </xf>
    <xf numFmtId="192" fontId="9" fillId="3" borderId="4191">
      <alignment horizontal="right" vertical="center"/>
    </xf>
    <xf numFmtId="0" fontId="25" fillId="10" borderId="4200" applyNumberFormat="0" applyProtection="0">
      <alignment horizontal="left" vertical="top"/>
    </xf>
    <xf numFmtId="222" fontId="79" fillId="0" borderId="4202" applyBorder="0"/>
    <xf numFmtId="0" fontId="2" fillId="0" borderId="4208" applyNumberFormat="0" applyAlignment="0" applyProtection="0"/>
    <xf numFmtId="222" fontId="79" fillId="0" borderId="4226" applyBorder="0"/>
    <xf numFmtId="186" fontId="146" fillId="3" borderId="4230">
      <alignment horizontal="left"/>
    </xf>
    <xf numFmtId="0" fontId="113" fillId="0" borderId="4239" applyNumberFormat="0" applyFill="0" applyAlignment="0" applyProtection="0"/>
    <xf numFmtId="0" fontId="166" fillId="0" borderId="4239">
      <alignment horizontal="center"/>
    </xf>
    <xf numFmtId="0" fontId="12" fillId="0" borderId="4251" applyNumberFormat="0" applyFill="0" applyBorder="0" applyAlignment="0" applyProtection="0">
      <alignment horizontal="center"/>
    </xf>
    <xf numFmtId="248" fontId="46" fillId="0" borderId="4251"/>
    <xf numFmtId="0" fontId="166" fillId="0" borderId="4251">
      <alignment horizontal="center"/>
    </xf>
    <xf numFmtId="192" fontId="9" fillId="3" borderId="4035">
      <alignment horizontal="right" vertical="center"/>
    </xf>
    <xf numFmtId="0" fontId="165" fillId="0" borderId="4035" applyFill="0" applyProtection="0">
      <alignment horizontal="center"/>
    </xf>
    <xf numFmtId="254" fontId="240" fillId="0" borderId="4035" applyBorder="0" applyProtection="0">
      <alignment horizontal="right" vertical="center"/>
    </xf>
    <xf numFmtId="246" fontId="250" fillId="0" borderId="4035" applyFill="0" applyProtection="0">
      <alignment horizontal="center"/>
    </xf>
    <xf numFmtId="248" fontId="46" fillId="0" borderId="4035"/>
    <xf numFmtId="312" fontId="101" fillId="0" borderId="3423" applyBorder="0"/>
    <xf numFmtId="192" fontId="9" fillId="3" borderId="4095">
      <alignment horizontal="right" vertical="center"/>
    </xf>
    <xf numFmtId="312" fontId="113" fillId="0" borderId="3423" applyNumberFormat="0" applyFill="0" applyAlignment="0" applyProtection="0"/>
    <xf numFmtId="312" fontId="75" fillId="0" borderId="3400" applyNumberFormat="0" applyFont="0" applyFill="0" applyAlignment="0" applyProtection="0"/>
    <xf numFmtId="254" fontId="240" fillId="0" borderId="4095" applyBorder="0" applyProtection="0">
      <alignment horizontal="right" vertical="center"/>
    </xf>
    <xf numFmtId="246" fontId="249" fillId="0" borderId="4095" applyFill="0" applyProtection="0">
      <alignment horizontal="center"/>
    </xf>
    <xf numFmtId="312" fontId="12" fillId="0" borderId="3423" applyNumberFormat="0" applyFill="0" applyBorder="0" applyAlignment="0" applyProtection="0">
      <alignment horizontal="center"/>
    </xf>
    <xf numFmtId="312" fontId="78" fillId="14" borderId="3365" applyFont="0" applyFill="0" applyBorder="0" applyAlignment="0" applyProtection="0"/>
    <xf numFmtId="246" fontId="250" fillId="0" borderId="4095" applyFill="0" applyProtection="0">
      <alignment horizontal="center"/>
    </xf>
    <xf numFmtId="254" fontId="240" fillId="0" borderId="4095" applyBorder="0" applyProtection="0">
      <alignment horizontal="right" vertical="center"/>
    </xf>
    <xf numFmtId="0" fontId="25" fillId="10" borderId="4079" applyNumberFormat="0" applyProtection="0">
      <alignment horizontal="left" vertical="top"/>
    </xf>
    <xf numFmtId="0" fontId="25" fillId="10" borderId="4080" applyNumberFormat="0" applyProtection="0">
      <alignment horizontal="left" vertical="top"/>
    </xf>
    <xf numFmtId="0" fontId="214" fillId="0" borderId="4077" applyNumberFormat="0" applyFont="0" applyFill="0" applyAlignment="0" applyProtection="0"/>
    <xf numFmtId="264" fontId="12" fillId="14" borderId="4095" applyFont="0" applyFill="0" applyBorder="0" applyAlignment="0" applyProtection="0">
      <alignment horizontal="right"/>
    </xf>
    <xf numFmtId="248" fontId="46" fillId="0" borderId="4095"/>
    <xf numFmtId="312" fontId="165" fillId="0" borderId="3423" applyFill="0" applyProtection="0">
      <alignment horizontal="center"/>
    </xf>
    <xf numFmtId="312" fontId="242" fillId="0" borderId="3423">
      <alignment horizontal="center"/>
    </xf>
    <xf numFmtId="190" fontId="214" fillId="0" borderId="4077" applyNumberFormat="0" applyFont="0" applyFill="0" applyAlignment="0" applyProtection="0"/>
    <xf numFmtId="190" fontId="2" fillId="0" borderId="4076" applyNumberFormat="0" applyAlignment="0" applyProtection="0"/>
    <xf numFmtId="190" fontId="166" fillId="0" borderId="4095">
      <alignment horizontal="center"/>
    </xf>
    <xf numFmtId="222" fontId="79" fillId="0" borderId="4058" applyBorder="0"/>
    <xf numFmtId="0" fontId="25" fillId="10" borderId="4032" applyNumberFormat="0" applyProtection="0">
      <alignment horizontal="left" vertical="top"/>
    </xf>
    <xf numFmtId="0" fontId="214" fillId="0" borderId="4029" applyNumberFormat="0" applyFont="0" applyFill="0" applyAlignment="0" applyProtection="0"/>
    <xf numFmtId="186" fontId="146" fillId="3" borderId="4026">
      <alignment horizontal="left"/>
    </xf>
    <xf numFmtId="312" fontId="210" fillId="0" borderId="3423" applyNumberFormat="0" applyFill="0" applyBorder="0" applyAlignment="0">
      <protection locked="0"/>
    </xf>
    <xf numFmtId="0" fontId="113" fillId="0" borderId="4035" applyNumberFormat="0" applyFill="0" applyAlignment="0" applyProtection="0"/>
    <xf numFmtId="192" fontId="9" fillId="3" borderId="4035">
      <alignment horizontal="right" vertical="center"/>
    </xf>
    <xf numFmtId="0" fontId="165" fillId="0" borderId="4035" applyFill="0" applyProtection="0">
      <alignment horizontal="center"/>
    </xf>
    <xf numFmtId="0" fontId="241" fillId="94" borderId="4035" applyBorder="0" applyProtection="0">
      <alignment horizontal="centerContinuous" vertical="center"/>
    </xf>
    <xf numFmtId="312" fontId="2" fillId="0" borderId="3404" applyNumberFormat="0" applyAlignment="0" applyProtection="0"/>
    <xf numFmtId="0" fontId="25" fillId="10" borderId="3370" applyNumberFormat="0" applyProtection="0">
      <alignment horizontal="left" vertical="top"/>
    </xf>
    <xf numFmtId="0" fontId="78" fillId="14" borderId="4061" applyFont="0" applyFill="0" applyBorder="0" applyAlignment="0" applyProtection="0"/>
    <xf numFmtId="0" fontId="241" fillId="94" borderId="4047" applyBorder="0" applyProtection="0">
      <alignment horizontal="centerContinuous" vertical="center"/>
    </xf>
    <xf numFmtId="0" fontId="210" fillId="0" borderId="4071" applyNumberFormat="0" applyFill="0" applyBorder="0" applyAlignment="0">
      <protection locked="0"/>
    </xf>
    <xf numFmtId="186" fontId="140" fillId="3" borderId="4027">
      <alignment horizontal="center" vertical="center"/>
    </xf>
    <xf numFmtId="0" fontId="25" fillId="10" borderId="4030" applyNumberFormat="0" applyProtection="0">
      <alignment horizontal="left" vertical="top"/>
    </xf>
    <xf numFmtId="0" fontId="25" fillId="10" borderId="4032" applyNumberFormat="0" applyProtection="0">
      <alignment horizontal="left" vertical="top"/>
    </xf>
    <xf numFmtId="312" fontId="214" fillId="0" borderId="3405" applyNumberFormat="0" applyFont="0" applyFill="0" applyAlignment="0" applyProtection="0"/>
    <xf numFmtId="246" fontId="249" fillId="0" borderId="4023" applyFill="0" applyProtection="0">
      <alignment horizontal="center"/>
    </xf>
    <xf numFmtId="312" fontId="25" fillId="10" borderId="3406" applyNumberFormat="0" applyProtection="0">
      <alignment horizontal="left" vertical="top"/>
    </xf>
    <xf numFmtId="312" fontId="25" fillId="10" borderId="3407" applyNumberFormat="0" applyProtection="0">
      <alignment horizontal="left" vertical="top"/>
    </xf>
    <xf numFmtId="312" fontId="25" fillId="10" borderId="3408" applyNumberFormat="0" applyProtection="0">
      <alignment horizontal="left" vertical="top"/>
    </xf>
    <xf numFmtId="312" fontId="25" fillId="10" borderId="3409" applyNumberFormat="0" applyProtection="0">
      <alignment horizontal="left" vertical="top"/>
    </xf>
    <xf numFmtId="312" fontId="241" fillId="94" borderId="3423" applyBorder="0" applyProtection="0">
      <alignment horizontal="centerContinuous" vertical="center"/>
    </xf>
    <xf numFmtId="246" fontId="296" fillId="0" borderId="3423" applyFill="0" applyProtection="0">
      <alignment horizontal="center"/>
    </xf>
    <xf numFmtId="0" fontId="2" fillId="0" borderId="4028" applyNumberFormat="0" applyAlignment="0" applyProtection="0"/>
    <xf numFmtId="254" fontId="240" fillId="0" borderId="4035" applyBorder="0" applyProtection="0">
      <alignment horizontal="right" vertical="center"/>
    </xf>
    <xf numFmtId="0" fontId="166" fillId="0" borderId="4035">
      <alignment horizontal="center"/>
    </xf>
    <xf numFmtId="0" fontId="165" fillId="0" borderId="4083" applyFill="0" applyProtection="0">
      <alignment horizontal="center"/>
    </xf>
    <xf numFmtId="0" fontId="25" fillId="10" borderId="4033" applyNumberFormat="0" applyProtection="0">
      <alignment horizontal="left" vertical="top"/>
    </xf>
    <xf numFmtId="0" fontId="25" fillId="10" borderId="4033" applyNumberFormat="0" applyProtection="0">
      <alignment horizontal="left" vertical="top"/>
    </xf>
    <xf numFmtId="246" fontId="249" fillId="0" borderId="4191" applyFill="0" applyProtection="0">
      <alignment horizontal="center"/>
    </xf>
    <xf numFmtId="0" fontId="214" fillId="0" borderId="4101" applyNumberFormat="0" applyFont="0" applyFill="0" applyAlignment="0" applyProtection="0"/>
    <xf numFmtId="248" fontId="46" fillId="0" borderId="4083"/>
    <xf numFmtId="0" fontId="214" fillId="0" borderId="4029" applyNumberFormat="0" applyFont="0" applyFill="0" applyAlignment="0" applyProtection="0"/>
    <xf numFmtId="186" fontId="146" fillId="3" borderId="4026">
      <alignment horizontal="left"/>
    </xf>
    <xf numFmtId="0" fontId="101" fillId="0" borderId="4035" applyBorder="0"/>
    <xf numFmtId="312" fontId="101" fillId="0" borderId="3423" applyBorder="0"/>
    <xf numFmtId="312" fontId="113" fillId="0" borderId="3423" applyNumberFormat="0" applyFill="0" applyAlignment="0" applyProtection="0"/>
    <xf numFmtId="312" fontId="75" fillId="0" borderId="3400" applyNumberFormat="0" applyFont="0" applyFill="0" applyAlignment="0" applyProtection="0"/>
    <xf numFmtId="312" fontId="12" fillId="0" borderId="3423" applyNumberFormat="0" applyFill="0" applyBorder="0" applyAlignment="0" applyProtection="0">
      <alignment horizontal="center"/>
    </xf>
    <xf numFmtId="312" fontId="78" fillId="14" borderId="3365" applyFont="0" applyFill="0" applyBorder="0" applyAlignment="0" applyProtection="0"/>
    <xf numFmtId="312" fontId="165" fillId="0" borderId="3423" applyFill="0" applyProtection="0">
      <alignment horizontal="center"/>
    </xf>
    <xf numFmtId="312" fontId="242" fillId="0" borderId="3423">
      <alignment horizontal="center"/>
    </xf>
    <xf numFmtId="312" fontId="79" fillId="3" borderId="50">
      <alignment vertical="center"/>
    </xf>
    <xf numFmtId="312" fontId="210" fillId="0" borderId="3423" applyNumberFormat="0" applyFill="0" applyBorder="0" applyAlignment="0">
      <protection locked="0"/>
    </xf>
    <xf numFmtId="312" fontId="2" fillId="0" borderId="3404" applyNumberFormat="0" applyAlignment="0" applyProtection="0"/>
    <xf numFmtId="312" fontId="214" fillId="0" borderId="3405" applyNumberFormat="0" applyFont="0" applyFill="0" applyAlignment="0" applyProtection="0"/>
    <xf numFmtId="312" fontId="25" fillId="10" borderId="3406" applyNumberFormat="0" applyProtection="0">
      <alignment horizontal="left" vertical="top"/>
    </xf>
    <xf numFmtId="312" fontId="25" fillId="10" borderId="3407" applyNumberFormat="0" applyProtection="0">
      <alignment horizontal="left" vertical="top"/>
    </xf>
    <xf numFmtId="312" fontId="25" fillId="10" borderId="3408" applyNumberFormat="0" applyProtection="0">
      <alignment horizontal="left" vertical="top"/>
    </xf>
    <xf numFmtId="312" fontId="25" fillId="10" borderId="3409" applyNumberFormat="0" applyProtection="0">
      <alignment horizontal="left" vertical="top"/>
    </xf>
    <xf numFmtId="312" fontId="25" fillId="10" borderId="3406" applyNumberFormat="0" applyProtection="0">
      <alignment horizontal="left" vertical="top"/>
    </xf>
    <xf numFmtId="312" fontId="25" fillId="10" borderId="3407" applyNumberFormat="0" applyProtection="0">
      <alignment horizontal="left" vertical="top"/>
    </xf>
    <xf numFmtId="312" fontId="25" fillId="10" borderId="3408" applyNumberFormat="0" applyProtection="0">
      <alignment horizontal="left" vertical="top"/>
    </xf>
    <xf numFmtId="312" fontId="25" fillId="10" borderId="3409" applyNumberFormat="0" applyProtection="0">
      <alignment horizontal="left" vertical="top"/>
    </xf>
    <xf numFmtId="312" fontId="241" fillId="94" borderId="3423" applyBorder="0" applyProtection="0">
      <alignment horizontal="centerContinuous" vertical="center"/>
    </xf>
    <xf numFmtId="246" fontId="296" fillId="0" borderId="3423" applyFill="0" applyProtection="0">
      <alignment horizontal="center"/>
    </xf>
    <xf numFmtId="0" fontId="25" fillId="10" borderId="4030" applyNumberFormat="0" applyProtection="0">
      <alignment horizontal="left" vertical="top"/>
    </xf>
    <xf numFmtId="192" fontId="9" fillId="3" borderId="4035">
      <alignment horizontal="right" vertical="center"/>
    </xf>
    <xf numFmtId="0" fontId="25" fillId="10" borderId="4031" applyNumberFormat="0" applyProtection="0">
      <alignment horizontal="left" vertical="top"/>
    </xf>
    <xf numFmtId="0" fontId="78" fillId="14" borderId="4025" applyFont="0" applyFill="0" applyBorder="0" applyAlignment="0" applyProtection="0"/>
    <xf numFmtId="192" fontId="9" fillId="3" borderId="4083">
      <alignment horizontal="right" vertical="center"/>
    </xf>
    <xf numFmtId="0" fontId="2" fillId="0" borderId="4028" applyNumberFormat="0" applyAlignment="0" applyProtection="0"/>
    <xf numFmtId="222" fontId="79" fillId="0" borderId="4034" applyBorder="0"/>
    <xf numFmtId="248" fontId="46" fillId="0" borderId="4023"/>
    <xf numFmtId="312" fontId="2" fillId="0" borderId="4076" applyNumberFormat="0" applyAlignment="0" applyProtection="0"/>
    <xf numFmtId="0" fontId="78" fillId="14" borderId="3365" applyFont="0" applyFill="0" applyBorder="0" applyAlignment="0" applyProtection="0"/>
    <xf numFmtId="0" fontId="75" fillId="0" borderId="3520" applyNumberFormat="0" applyFont="0" applyFill="0" applyAlignment="0" applyProtection="0"/>
    <xf numFmtId="312" fontId="25" fillId="10" borderId="3565" applyNumberFormat="0" applyProtection="0">
      <alignment horizontal="left" vertical="top"/>
    </xf>
    <xf numFmtId="0" fontId="113" fillId="0" borderId="4035" applyNumberFormat="0" applyFill="0" applyAlignment="0" applyProtection="0"/>
    <xf numFmtId="312" fontId="210" fillId="0" borderId="4095" applyNumberFormat="0" applyFill="0" applyBorder="0" applyAlignment="0">
      <protection locked="0"/>
    </xf>
    <xf numFmtId="246" fontId="249" fillId="0" borderId="4035" applyFill="0" applyProtection="0">
      <alignment horizontal="center"/>
    </xf>
    <xf numFmtId="186" fontId="140" fillId="3" borderId="4027">
      <alignment horizontal="center" vertical="center"/>
    </xf>
    <xf numFmtId="0" fontId="12" fillId="0" borderId="4059" applyNumberFormat="0" applyFill="0" applyBorder="0" applyAlignment="0" applyProtection="0">
      <alignment horizontal="center"/>
    </xf>
    <xf numFmtId="0" fontId="2" fillId="0" borderId="4076" applyNumberFormat="0" applyAlignment="0" applyProtection="0"/>
    <xf numFmtId="246" fontId="250" fillId="0" borderId="4083" applyFill="0" applyProtection="0">
      <alignment horizontal="center"/>
    </xf>
    <xf numFmtId="0" fontId="166" fillId="0" borderId="4083">
      <alignment horizontal="center"/>
    </xf>
    <xf numFmtId="246" fontId="249" fillId="0" borderId="4035" applyFill="0" applyProtection="0">
      <alignment horizontal="center"/>
    </xf>
    <xf numFmtId="186" fontId="146" fillId="3" borderId="4095" applyBorder="0">
      <alignment horizontal="left" vertical="center"/>
    </xf>
    <xf numFmtId="0" fontId="25" fillId="10" borderId="4102" applyNumberFormat="0" applyProtection="0">
      <alignment horizontal="left" vertical="top"/>
    </xf>
    <xf numFmtId="180" fontId="9" fillId="3" borderId="4035">
      <alignment horizontal="right" vertical="center"/>
    </xf>
    <xf numFmtId="222" fontId="79" fillId="0" borderId="4034" applyBorder="0"/>
    <xf numFmtId="0" fontId="165" fillId="0" borderId="4095" applyFill="0" applyProtection="0">
      <alignment horizontal="center"/>
    </xf>
    <xf numFmtId="264" fontId="12" fillId="14" borderId="4095" applyFont="0" applyFill="0" applyBorder="0" applyAlignment="0" applyProtection="0">
      <alignment horizontal="right"/>
    </xf>
    <xf numFmtId="0" fontId="210" fillId="0" borderId="4095" applyNumberFormat="0" applyFill="0" applyBorder="0" applyAlignment="0">
      <protection locked="0"/>
    </xf>
    <xf numFmtId="0" fontId="78" fillId="14" borderId="4025" applyFont="0" applyFill="0" applyBorder="0" applyAlignment="0" applyProtection="0"/>
    <xf numFmtId="0" fontId="165" fillId="0" borderId="4059" applyFill="0" applyProtection="0">
      <alignment horizontal="center"/>
    </xf>
    <xf numFmtId="312" fontId="25" fillId="10" borderId="4081" applyNumberFormat="0" applyProtection="0">
      <alignment horizontal="left" vertical="top"/>
    </xf>
    <xf numFmtId="312" fontId="101" fillId="0" borderId="4095" applyBorder="0"/>
    <xf numFmtId="312" fontId="113" fillId="0" borderId="4095" applyNumberFormat="0" applyFill="0" applyAlignment="0" applyProtection="0"/>
    <xf numFmtId="0" fontId="113" fillId="0" borderId="4023" applyNumberFormat="0" applyFill="0" applyAlignment="0" applyProtection="0"/>
    <xf numFmtId="192" fontId="9" fillId="3" borderId="4023">
      <alignment horizontal="right" vertical="center"/>
    </xf>
    <xf numFmtId="0" fontId="210" fillId="0" borderId="4083" applyNumberFormat="0" applyFill="0" applyBorder="0" applyAlignment="0">
      <protection locked="0"/>
    </xf>
    <xf numFmtId="192" fontId="9" fillId="3" borderId="4059">
      <alignment horizontal="right" vertical="center"/>
    </xf>
    <xf numFmtId="222" fontId="79" fillId="0" borderId="4046" applyBorder="0"/>
    <xf numFmtId="0" fontId="101" fillId="0" borderId="4023" applyBorder="0"/>
    <xf numFmtId="0" fontId="12" fillId="0" borderId="4083" applyNumberFormat="0" applyFill="0" applyBorder="0" applyAlignment="0" applyProtection="0">
      <alignment horizontal="center"/>
    </xf>
    <xf numFmtId="254" fontId="240" fillId="0" borderId="4095" applyBorder="0" applyProtection="0">
      <alignment horizontal="right" vertical="center"/>
    </xf>
    <xf numFmtId="0" fontId="241" fillId="94" borderId="4095" applyBorder="0" applyProtection="0">
      <alignment horizontal="centerContinuous" vertical="center"/>
    </xf>
    <xf numFmtId="246" fontId="249" fillId="0" borderId="4095" applyFill="0" applyProtection="0">
      <alignment horizontal="center"/>
    </xf>
    <xf numFmtId="186" fontId="140" fillId="3" borderId="4099">
      <alignment horizontal="center" vertical="center"/>
    </xf>
    <xf numFmtId="246" fontId="250" fillId="0" borderId="4095" applyFill="0" applyProtection="0">
      <alignment horizontal="center"/>
    </xf>
    <xf numFmtId="222" fontId="79" fillId="0" borderId="4082" applyBorder="0"/>
    <xf numFmtId="0" fontId="2" fillId="0" borderId="4100" applyNumberFormat="0" applyAlignment="0" applyProtection="0"/>
    <xf numFmtId="186" fontId="146" fillId="3" borderId="4074">
      <alignment horizontal="left"/>
    </xf>
    <xf numFmtId="248" fontId="46" fillId="0" borderId="4095"/>
    <xf numFmtId="180" fontId="9" fillId="3" borderId="4095">
      <alignment horizontal="right" vertical="center"/>
    </xf>
    <xf numFmtId="192" fontId="9" fillId="3" borderId="4095">
      <alignment horizontal="right" vertical="center"/>
    </xf>
    <xf numFmtId="254" fontId="240" fillId="0" borderId="4095" applyBorder="0" applyProtection="0">
      <alignment horizontal="right" vertical="center"/>
    </xf>
    <xf numFmtId="0" fontId="165" fillId="0" borderId="4035" applyFill="0" applyProtection="0">
      <alignment horizontal="center"/>
    </xf>
    <xf numFmtId="264" fontId="12" fillId="14" borderId="4035" applyFont="0" applyFill="0" applyBorder="0" applyAlignment="0" applyProtection="0">
      <alignment horizontal="right"/>
    </xf>
    <xf numFmtId="222" fontId="79" fillId="0" borderId="4034" applyBorder="0"/>
    <xf numFmtId="246" fontId="250" fillId="0" borderId="3423" applyFill="0" applyProtection="0">
      <alignment horizontal="center"/>
    </xf>
    <xf numFmtId="246" fontId="249" fillId="0" borderId="3423" applyFill="0" applyProtection="0">
      <alignment horizontal="center"/>
    </xf>
    <xf numFmtId="0" fontId="241" fillId="94" borderId="3423" applyBorder="0" applyProtection="0">
      <alignment horizontal="centerContinuous" vertical="center"/>
    </xf>
    <xf numFmtId="254" fontId="240" fillId="0" borderId="3423" applyBorder="0" applyProtection="0">
      <alignment horizontal="right" vertical="center"/>
    </xf>
    <xf numFmtId="0" fontId="25" fillId="10" borderId="3361" applyNumberFormat="0" applyProtection="0">
      <alignment horizontal="left" vertical="top"/>
    </xf>
    <xf numFmtId="0" fontId="25" fillId="10" borderId="3360" applyNumberFormat="0" applyProtection="0">
      <alignment horizontal="left" vertical="top"/>
    </xf>
    <xf numFmtId="0" fontId="25" fillId="10" borderId="3359" applyNumberFormat="0" applyProtection="0">
      <alignment horizontal="left" vertical="top"/>
    </xf>
    <xf numFmtId="0" fontId="25" fillId="10" borderId="3358" applyNumberFormat="0" applyProtection="0">
      <alignment horizontal="left" vertical="top"/>
    </xf>
    <xf numFmtId="180" fontId="9" fillId="3" borderId="4023">
      <alignment horizontal="right" vertical="center"/>
    </xf>
    <xf numFmtId="0" fontId="12" fillId="0" borderId="4023" applyNumberFormat="0" applyFill="0" applyBorder="0" applyAlignment="0" applyProtection="0">
      <alignment horizontal="center"/>
    </xf>
    <xf numFmtId="264" fontId="12" fillId="14" borderId="4023" applyFont="0" applyFill="0" applyBorder="0" applyAlignment="0" applyProtection="0">
      <alignment horizontal="right"/>
    </xf>
    <xf numFmtId="312" fontId="25" fillId="10" borderId="4235" applyNumberFormat="0" applyProtection="0">
      <alignment horizontal="left" vertical="top"/>
    </xf>
    <xf numFmtId="0" fontId="214" fillId="0" borderId="3357" applyNumberFormat="0" applyFont="0" applyFill="0" applyAlignment="0" applyProtection="0"/>
    <xf numFmtId="0" fontId="210" fillId="0" borderId="3423" applyNumberFormat="0" applyFill="0" applyBorder="0" applyAlignment="0">
      <protection locked="0"/>
    </xf>
    <xf numFmtId="264" fontId="12" fillId="14" borderId="3423" applyFont="0" applyFill="0" applyBorder="0" applyAlignment="0" applyProtection="0">
      <alignment horizontal="right"/>
    </xf>
    <xf numFmtId="222" fontId="79" fillId="0" borderId="4094" applyBorder="0"/>
    <xf numFmtId="0" fontId="166" fillId="0" borderId="3423">
      <alignment horizontal="center"/>
    </xf>
    <xf numFmtId="0" fontId="165" fillId="0" borderId="3423" applyFill="0" applyProtection="0">
      <alignment horizontal="center"/>
    </xf>
    <xf numFmtId="0" fontId="75" fillId="0" borderId="4072" applyNumberFormat="0" applyFont="0" applyFill="0" applyAlignment="0" applyProtection="0"/>
    <xf numFmtId="186" fontId="140" fillId="3" borderId="3355">
      <alignment horizontal="center" vertical="center"/>
    </xf>
    <xf numFmtId="186" fontId="146" fillId="3" borderId="3423" applyBorder="0">
      <alignment horizontal="left" vertical="center"/>
    </xf>
    <xf numFmtId="180" fontId="9" fillId="3" borderId="3423">
      <alignment horizontal="right" vertical="center"/>
    </xf>
    <xf numFmtId="192" fontId="9" fillId="3" borderId="3423">
      <alignment horizontal="right" vertical="center"/>
    </xf>
    <xf numFmtId="248" fontId="46" fillId="0" borderId="3423"/>
    <xf numFmtId="0" fontId="78" fillId="14" borderId="3353" applyFont="0" applyFill="0" applyBorder="0" applyAlignment="0" applyProtection="0"/>
    <xf numFmtId="0" fontId="12" fillId="0" borderId="3423" applyNumberFormat="0" applyFill="0" applyBorder="0" applyAlignment="0" applyProtection="0">
      <alignment horizontal="center"/>
    </xf>
    <xf numFmtId="0" fontId="113" fillId="0" borderId="3423" applyNumberFormat="0" applyFill="0" applyAlignment="0" applyProtection="0"/>
    <xf numFmtId="186" fontId="146" fillId="3" borderId="4095" applyBorder="0">
      <alignment horizontal="left" vertical="center"/>
    </xf>
    <xf numFmtId="222" fontId="79" fillId="0" borderId="3422" applyBorder="0"/>
    <xf numFmtId="0" fontId="101" fillId="0" borderId="3423" applyBorder="0"/>
    <xf numFmtId="0" fontId="165" fillId="0" borderId="4023" applyFill="0" applyProtection="0">
      <alignment horizontal="center"/>
    </xf>
    <xf numFmtId="0" fontId="25" fillId="10" borderId="3370" applyNumberFormat="0" applyProtection="0">
      <alignment horizontal="left" vertical="top"/>
    </xf>
    <xf numFmtId="0" fontId="25" fillId="10" borderId="3430" applyNumberFormat="0" applyProtection="0">
      <alignment horizontal="left" vertical="top"/>
    </xf>
    <xf numFmtId="0" fontId="25" fillId="10" borderId="3431" applyNumberFormat="0" applyProtection="0">
      <alignment horizontal="left" vertical="top"/>
    </xf>
    <xf numFmtId="0" fontId="25" fillId="10" borderId="3432" applyNumberFormat="0" applyProtection="0">
      <alignment horizontal="left" vertical="top"/>
    </xf>
    <xf numFmtId="0" fontId="25" fillId="10" borderId="3433" applyNumberFormat="0" applyProtection="0">
      <alignment horizontal="left" vertical="top"/>
    </xf>
    <xf numFmtId="312" fontId="242" fillId="0" borderId="4095">
      <alignment horizontal="center"/>
    </xf>
    <xf numFmtId="246" fontId="250" fillId="0" borderId="4035" applyFill="0" applyProtection="0">
      <alignment horizontal="center"/>
    </xf>
    <xf numFmtId="264" fontId="12" fillId="14" borderId="4095" applyFont="0" applyFill="0" applyBorder="0" applyAlignment="0" applyProtection="0">
      <alignment horizontal="right"/>
    </xf>
    <xf numFmtId="0" fontId="113" fillId="0" borderId="4083" applyNumberFormat="0" applyFill="0" applyAlignment="0" applyProtection="0"/>
    <xf numFmtId="186" fontId="146" fillId="3" borderId="4059" applyBorder="0">
      <alignment horizontal="left" vertical="center"/>
    </xf>
    <xf numFmtId="264" fontId="12" fillId="14" borderId="4023" applyFont="0" applyFill="0" applyBorder="0" applyAlignment="0" applyProtection="0">
      <alignment horizontal="right"/>
    </xf>
    <xf numFmtId="312" fontId="25" fillId="10" borderId="4078" applyNumberFormat="0" applyProtection="0">
      <alignment horizontal="left" vertical="top"/>
    </xf>
    <xf numFmtId="0" fontId="25" fillId="10" borderId="4105" applyNumberFormat="0" applyProtection="0">
      <alignment horizontal="left" vertical="top"/>
    </xf>
    <xf numFmtId="0" fontId="166" fillId="0" borderId="4095">
      <alignment horizontal="center"/>
    </xf>
    <xf numFmtId="186" fontId="146" fillId="3" borderId="4098">
      <alignment horizontal="left"/>
    </xf>
    <xf numFmtId="0" fontId="166" fillId="0" borderId="4095">
      <alignment horizontal="center"/>
    </xf>
    <xf numFmtId="186" fontId="140" fillId="3" borderId="4039">
      <alignment horizontal="center" vertical="center"/>
    </xf>
    <xf numFmtId="0" fontId="113" fillId="0" borderId="4035" applyNumberFormat="0" applyFill="0" applyAlignment="0" applyProtection="0"/>
    <xf numFmtId="0" fontId="101" fillId="0" borderId="4023" applyBorder="0"/>
    <xf numFmtId="264" fontId="12" fillId="14" borderId="4071" applyFont="0" applyFill="0" applyBorder="0" applyAlignment="0" applyProtection="0">
      <alignment horizontal="right"/>
    </xf>
    <xf numFmtId="0" fontId="75" fillId="0" borderId="4036" applyNumberFormat="0" applyFont="0" applyFill="0" applyAlignment="0" applyProtection="0"/>
    <xf numFmtId="180" fontId="9" fillId="3" borderId="4095">
      <alignment horizontal="right" vertical="center"/>
    </xf>
    <xf numFmtId="312" fontId="78" fillId="14" borderId="3365" applyFont="0" applyFill="0" applyBorder="0" applyAlignment="0" applyProtection="0"/>
    <xf numFmtId="312" fontId="165" fillId="0" borderId="4095" applyFill="0" applyProtection="0">
      <alignment horizontal="center"/>
    </xf>
    <xf numFmtId="0" fontId="214" fillId="0" borderId="4029" applyNumberFormat="0" applyFont="0" applyFill="0" applyAlignment="0" applyProtection="0"/>
    <xf numFmtId="0" fontId="2" fillId="0" borderId="4028" applyNumberFormat="0" applyAlignment="0" applyProtection="0"/>
    <xf numFmtId="246" fontId="250" fillId="0" borderId="3363" applyFill="0" applyProtection="0">
      <alignment horizontal="center"/>
    </xf>
    <xf numFmtId="246" fontId="249" fillId="0" borderId="3363" applyFill="0" applyProtection="0">
      <alignment horizontal="center"/>
    </xf>
    <xf numFmtId="0" fontId="241" fillId="94" borderId="3363" applyBorder="0" applyProtection="0">
      <alignment horizontal="centerContinuous" vertical="center"/>
    </xf>
    <xf numFmtId="254" fontId="240" fillId="0" borderId="3363" applyBorder="0" applyProtection="0">
      <alignment horizontal="right" vertical="center"/>
    </xf>
    <xf numFmtId="0" fontId="210" fillId="0" borderId="3363" applyNumberFormat="0" applyFill="0" applyBorder="0" applyAlignment="0">
      <protection locked="0"/>
    </xf>
    <xf numFmtId="264" fontId="12" fillId="14" borderId="3363" applyFont="0" applyFill="0" applyBorder="0" applyAlignment="0" applyProtection="0">
      <alignment horizontal="right"/>
    </xf>
    <xf numFmtId="0" fontId="166" fillId="0" borderId="3363">
      <alignment horizontal="center"/>
    </xf>
    <xf numFmtId="0" fontId="165" fillId="0" borderId="3363" applyFill="0" applyProtection="0">
      <alignment horizontal="center"/>
    </xf>
    <xf numFmtId="186" fontId="146" fillId="3" borderId="3363" applyBorder="0">
      <alignment horizontal="left" vertical="center"/>
    </xf>
    <xf numFmtId="180" fontId="9" fillId="3" borderId="3363">
      <alignment horizontal="right" vertical="center"/>
    </xf>
    <xf numFmtId="192" fontId="9" fillId="3" borderId="3363">
      <alignment horizontal="right" vertical="center"/>
    </xf>
    <xf numFmtId="248" fontId="46" fillId="0" borderId="3363"/>
    <xf numFmtId="0" fontId="12" fillId="0" borderId="3363" applyNumberFormat="0" applyFill="0" applyBorder="0" applyAlignment="0" applyProtection="0">
      <alignment horizontal="center"/>
    </xf>
    <xf numFmtId="0" fontId="113" fillId="0" borderId="3363" applyNumberFormat="0" applyFill="0" applyAlignment="0" applyProtection="0"/>
    <xf numFmtId="222" fontId="79" fillId="0" borderId="3362" applyBorder="0"/>
    <xf numFmtId="0" fontId="101" fillId="0" borderId="3363" applyBorder="0"/>
    <xf numFmtId="0" fontId="166" fillId="0" borderId="4095">
      <alignment horizontal="center"/>
    </xf>
    <xf numFmtId="0" fontId="241" fillId="94" borderId="4095" applyBorder="0" applyProtection="0">
      <alignment horizontal="centerContinuous" vertical="center"/>
    </xf>
    <xf numFmtId="312" fontId="12" fillId="0" borderId="4095" applyNumberFormat="0" applyFill="0" applyBorder="0" applyAlignment="0" applyProtection="0">
      <alignment horizontal="center"/>
    </xf>
    <xf numFmtId="246" fontId="250" fillId="0" borderId="4095" applyFill="0" applyProtection="0">
      <alignment horizontal="center"/>
    </xf>
    <xf numFmtId="246" fontId="250" fillId="0" borderId="3363" applyFill="0" applyProtection="0">
      <alignment horizontal="center"/>
    </xf>
    <xf numFmtId="246" fontId="249" fillId="0" borderId="3363" applyFill="0" applyProtection="0">
      <alignment horizontal="center"/>
    </xf>
    <xf numFmtId="0" fontId="241" fillId="94" borderId="3363" applyBorder="0" applyProtection="0">
      <alignment horizontal="centerContinuous" vertical="center"/>
    </xf>
    <xf numFmtId="254" fontId="240" fillId="0" borderId="3363" applyBorder="0" applyProtection="0">
      <alignment horizontal="right" vertical="center"/>
    </xf>
    <xf numFmtId="264" fontId="12" fillId="14" borderId="4023" applyFont="0" applyFill="0" applyBorder="0" applyAlignment="0" applyProtection="0">
      <alignment horizontal="right"/>
    </xf>
    <xf numFmtId="180" fontId="9" fillId="3" borderId="4023">
      <alignment horizontal="right" vertical="center"/>
    </xf>
    <xf numFmtId="222" fontId="79" fillId="0" borderId="4202" applyBorder="0"/>
    <xf numFmtId="0" fontId="210" fillId="0" borderId="3363" applyNumberFormat="0" applyFill="0" applyBorder="0" applyAlignment="0">
      <protection locked="0"/>
    </xf>
    <xf numFmtId="264" fontId="12" fillId="14" borderId="3363" applyFont="0" applyFill="0" applyBorder="0" applyAlignment="0" applyProtection="0">
      <alignment horizontal="right"/>
    </xf>
    <xf numFmtId="0" fontId="166" fillId="0" borderId="3363">
      <alignment horizontal="center"/>
    </xf>
    <xf numFmtId="0" fontId="165" fillId="0" borderId="3363" applyFill="0" applyProtection="0">
      <alignment horizontal="center"/>
    </xf>
    <xf numFmtId="312" fontId="12" fillId="0" borderId="4095" applyNumberFormat="0" applyFill="0" applyBorder="0" applyAlignment="0" applyProtection="0">
      <alignment horizontal="center"/>
    </xf>
    <xf numFmtId="186" fontId="146" fillId="3" borderId="3363" applyBorder="0">
      <alignment horizontal="left" vertical="center"/>
    </xf>
    <xf numFmtId="180" fontId="9" fillId="3" borderId="3363">
      <alignment horizontal="right" vertical="center"/>
    </xf>
    <xf numFmtId="192" fontId="9" fillId="3" borderId="3363">
      <alignment horizontal="right" vertical="center"/>
    </xf>
    <xf numFmtId="0" fontId="12" fillId="0" borderId="3363" applyNumberFormat="0" applyFill="0" applyBorder="0" applyAlignment="0" applyProtection="0">
      <alignment horizontal="center"/>
    </xf>
    <xf numFmtId="0" fontId="113" fillId="0" borderId="3363" applyNumberFormat="0" applyFill="0" applyAlignment="0" applyProtection="0"/>
    <xf numFmtId="222" fontId="79" fillId="0" borderId="3362" applyBorder="0"/>
    <xf numFmtId="0" fontId="101" fillId="0" borderId="3363" applyBorder="0"/>
    <xf numFmtId="254" fontId="240" fillId="0" borderId="4095" applyBorder="0" applyProtection="0">
      <alignment horizontal="right" vertical="center"/>
    </xf>
    <xf numFmtId="248" fontId="46" fillId="0" borderId="3363"/>
    <xf numFmtId="0" fontId="210" fillId="0" borderId="4095" applyNumberFormat="0" applyFill="0" applyBorder="0" applyAlignment="0">
      <protection locked="0"/>
    </xf>
    <xf numFmtId="246" fontId="250" fillId="0" borderId="3363" applyFill="0" applyProtection="0">
      <alignment horizontal="center"/>
    </xf>
    <xf numFmtId="246" fontId="249" fillId="0" borderId="3363" applyFill="0" applyProtection="0">
      <alignment horizontal="center"/>
    </xf>
    <xf numFmtId="0" fontId="241" fillId="94" borderId="3363" applyBorder="0" applyProtection="0">
      <alignment horizontal="centerContinuous" vertical="center"/>
    </xf>
    <xf numFmtId="254" fontId="240" fillId="0" borderId="3363" applyBorder="0" applyProtection="0">
      <alignment horizontal="right" vertical="center"/>
    </xf>
    <xf numFmtId="0" fontId="210" fillId="0" borderId="3363" applyNumberFormat="0" applyFill="0" applyBorder="0" applyAlignment="0">
      <protection locked="0"/>
    </xf>
    <xf numFmtId="264" fontId="12" fillId="14" borderId="3363" applyFont="0" applyFill="0" applyBorder="0" applyAlignment="0" applyProtection="0">
      <alignment horizontal="right"/>
    </xf>
    <xf numFmtId="0" fontId="166" fillId="0" borderId="3363">
      <alignment horizontal="center"/>
    </xf>
    <xf numFmtId="0" fontId="165" fillId="0" borderId="3363" applyFill="0" applyProtection="0">
      <alignment horizontal="center"/>
    </xf>
    <xf numFmtId="186" fontId="146" fillId="3" borderId="3363" applyBorder="0">
      <alignment horizontal="left" vertical="center"/>
    </xf>
    <xf numFmtId="180" fontId="9" fillId="3" borderId="3363">
      <alignment horizontal="right" vertical="center"/>
    </xf>
    <xf numFmtId="192" fontId="9" fillId="3" borderId="3363">
      <alignment horizontal="right" vertical="center"/>
    </xf>
    <xf numFmtId="248" fontId="46" fillId="0" borderId="3363"/>
    <xf numFmtId="0" fontId="12" fillId="0" borderId="3363" applyNumberFormat="0" applyFill="0" applyBorder="0" applyAlignment="0" applyProtection="0">
      <alignment horizontal="center"/>
    </xf>
    <xf numFmtId="0" fontId="113" fillId="0" borderId="3363" applyNumberFormat="0" applyFill="0" applyAlignment="0" applyProtection="0"/>
    <xf numFmtId="222" fontId="79" fillId="0" borderId="3362" applyBorder="0"/>
    <xf numFmtId="0" fontId="101" fillId="0" borderId="3363" applyBorder="0"/>
    <xf numFmtId="0" fontId="165" fillId="0" borderId="4095" applyFill="0" applyProtection="0">
      <alignment horizontal="center"/>
    </xf>
    <xf numFmtId="312" fontId="214" fillId="0" borderId="3561" applyNumberFormat="0" applyFont="0" applyFill="0" applyAlignment="0" applyProtection="0"/>
    <xf numFmtId="312" fontId="2" fillId="0" borderId="3560" applyNumberFormat="0" applyAlignment="0" applyProtection="0"/>
    <xf numFmtId="312" fontId="210" fillId="0" borderId="3579" applyNumberFormat="0" applyFill="0" applyBorder="0" applyAlignment="0">
      <protection locked="0"/>
    </xf>
    <xf numFmtId="312" fontId="165" fillId="0" borderId="3579" applyFill="0" applyProtection="0">
      <alignment horizontal="center"/>
    </xf>
    <xf numFmtId="312" fontId="12" fillId="0" borderId="3579" applyNumberFormat="0" applyFill="0" applyBorder="0" applyAlignment="0" applyProtection="0">
      <alignment horizontal="center"/>
    </xf>
    <xf numFmtId="312" fontId="113" fillId="0" borderId="3579" applyNumberFormat="0" applyFill="0" applyAlignment="0" applyProtection="0"/>
    <xf numFmtId="0" fontId="25" fillId="10" borderId="3563" applyNumberFormat="0" applyProtection="0">
      <alignment horizontal="left" vertical="top"/>
    </xf>
    <xf numFmtId="248" fontId="46" fillId="0" borderId="3579"/>
    <xf numFmtId="0" fontId="113" fillId="0" borderId="3579" applyNumberFormat="0" applyFill="0" applyAlignment="0" applyProtection="0"/>
    <xf numFmtId="222" fontId="79" fillId="0" borderId="3578" applyBorder="0"/>
    <xf numFmtId="0" fontId="101" fillId="0" borderId="3579" applyBorder="0"/>
    <xf numFmtId="190" fontId="25" fillId="10" borderId="3565" applyNumberFormat="0" applyProtection="0">
      <alignment horizontal="left" vertical="top"/>
    </xf>
    <xf numFmtId="190" fontId="2" fillId="0" borderId="3560" applyNumberFormat="0" applyAlignment="0" applyProtection="0"/>
    <xf numFmtId="190" fontId="166" fillId="0" borderId="3579">
      <alignment horizontal="center"/>
    </xf>
    <xf numFmtId="190" fontId="113" fillId="0" borderId="3579" applyNumberFormat="0" applyFill="0" applyAlignment="0" applyProtection="0"/>
    <xf numFmtId="190" fontId="101" fillId="0" borderId="3579" applyBorder="0"/>
    <xf numFmtId="246" fontId="249" fillId="0" borderId="3579" applyFill="0" applyProtection="0">
      <alignment horizontal="center"/>
    </xf>
    <xf numFmtId="0" fontId="241" fillId="94" borderId="3579" applyBorder="0" applyProtection="0">
      <alignment horizontal="centerContinuous" vertical="center"/>
    </xf>
    <xf numFmtId="254" fontId="240" fillId="0" borderId="3579" applyBorder="0" applyProtection="0">
      <alignment horizontal="right" vertical="center"/>
    </xf>
    <xf numFmtId="0" fontId="25" fillId="10" borderId="3589" applyNumberFormat="0" applyProtection="0">
      <alignment horizontal="left" vertical="top"/>
    </xf>
    <xf numFmtId="0" fontId="25" fillId="10" borderId="3588" applyNumberFormat="0" applyProtection="0">
      <alignment horizontal="left" vertical="top"/>
    </xf>
    <xf numFmtId="0" fontId="25" fillId="10" borderId="3587" applyNumberFormat="0" applyProtection="0">
      <alignment horizontal="left" vertical="top"/>
    </xf>
    <xf numFmtId="0" fontId="25" fillId="10" borderId="3586" applyNumberFormat="0" applyProtection="0">
      <alignment horizontal="left" vertical="top"/>
    </xf>
    <xf numFmtId="0" fontId="25" fillId="10" borderId="3589" applyNumberFormat="0" applyProtection="0">
      <alignment horizontal="left" vertical="top"/>
    </xf>
    <xf numFmtId="0" fontId="25" fillId="10" borderId="3588" applyNumberFormat="0" applyProtection="0">
      <alignment horizontal="left" vertical="top"/>
    </xf>
    <xf numFmtId="0" fontId="25" fillId="10" borderId="3587" applyNumberFormat="0" applyProtection="0">
      <alignment horizontal="left" vertical="top"/>
    </xf>
    <xf numFmtId="0" fontId="25" fillId="10" borderId="3586" applyNumberFormat="0" applyProtection="0">
      <alignment horizontal="left" vertical="top"/>
    </xf>
    <xf numFmtId="0" fontId="214" fillId="0" borderId="3585" applyNumberFormat="0" applyFont="0" applyFill="0" applyAlignment="0" applyProtection="0"/>
    <xf numFmtId="0" fontId="2" fillId="0" borderId="3584" applyNumberFormat="0" applyAlignment="0" applyProtection="0"/>
    <xf numFmtId="0" fontId="210" fillId="0" borderId="3579" applyNumberFormat="0" applyFill="0" applyBorder="0" applyAlignment="0">
      <protection locked="0"/>
    </xf>
    <xf numFmtId="264" fontId="12" fillId="14" borderId="3579" applyFont="0" applyFill="0" applyBorder="0" applyAlignment="0" applyProtection="0">
      <alignment horizontal="right"/>
    </xf>
    <xf numFmtId="0" fontId="166" fillId="0" borderId="3579">
      <alignment horizontal="center"/>
    </xf>
    <xf numFmtId="0" fontId="165" fillId="0" borderId="3579" applyFill="0" applyProtection="0">
      <alignment horizontal="center"/>
    </xf>
    <xf numFmtId="0" fontId="12" fillId="0" borderId="3579" applyNumberFormat="0" applyFill="0" applyBorder="0" applyAlignment="0" applyProtection="0">
      <alignment horizontal="center"/>
    </xf>
    <xf numFmtId="248" fontId="46" fillId="0" borderId="3579"/>
    <xf numFmtId="222" fontId="79" fillId="0" borderId="3578" applyBorder="0"/>
    <xf numFmtId="0" fontId="113" fillId="0" borderId="3579" applyNumberFormat="0" applyFill="0" applyAlignment="0" applyProtection="0"/>
    <xf numFmtId="0" fontId="12" fillId="0" borderId="3579" applyNumberFormat="0" applyFill="0" applyBorder="0" applyAlignment="0" applyProtection="0">
      <alignment horizontal="center"/>
    </xf>
    <xf numFmtId="192" fontId="9" fillId="3" borderId="3579">
      <alignment horizontal="right" vertical="center"/>
    </xf>
    <xf numFmtId="180" fontId="9" fillId="3" borderId="3579">
      <alignment horizontal="right" vertical="center"/>
    </xf>
    <xf numFmtId="0" fontId="166" fillId="0" borderId="3579">
      <alignment horizontal="center"/>
    </xf>
    <xf numFmtId="264" fontId="12" fillId="14" borderId="3579" applyFont="0" applyFill="0" applyBorder="0" applyAlignment="0" applyProtection="0">
      <alignment horizontal="right"/>
    </xf>
    <xf numFmtId="246" fontId="249" fillId="0" borderId="3579" applyFill="0" applyProtection="0">
      <alignment horizontal="center"/>
    </xf>
    <xf numFmtId="0" fontId="78" fillId="14" borderId="3581" applyFont="0" applyFill="0" applyBorder="0" applyAlignment="0" applyProtection="0"/>
    <xf numFmtId="246" fontId="250" fillId="0" borderId="3567" applyFill="0" applyProtection="0">
      <alignment horizontal="center"/>
    </xf>
    <xf numFmtId="246" fontId="249" fillId="0" borderId="3567" applyFill="0" applyProtection="0">
      <alignment horizontal="center"/>
    </xf>
    <xf numFmtId="0" fontId="166" fillId="0" borderId="3567">
      <alignment horizontal="center"/>
    </xf>
    <xf numFmtId="180" fontId="9" fillId="3" borderId="3567">
      <alignment horizontal="right" vertical="center"/>
    </xf>
    <xf numFmtId="192" fontId="9" fillId="3" borderId="3567">
      <alignment horizontal="right" vertical="center"/>
    </xf>
    <xf numFmtId="0" fontId="113" fillId="0" borderId="3567" applyNumberFormat="0" applyFill="0" applyAlignment="0" applyProtection="0"/>
    <xf numFmtId="222" fontId="79" fillId="0" borderId="3566" applyBorder="0"/>
    <xf numFmtId="0" fontId="101" fillId="0" borderId="3567" applyBorder="0"/>
    <xf numFmtId="186" fontId="146" fillId="3" borderId="3558">
      <alignment horizontal="left"/>
    </xf>
    <xf numFmtId="0" fontId="214" fillId="0" borderId="3561" applyNumberFormat="0" applyFont="0" applyFill="0" applyAlignment="0" applyProtection="0"/>
    <xf numFmtId="0" fontId="25" fillId="10" borderId="3564" applyNumberFormat="0" applyProtection="0">
      <alignment horizontal="left" vertical="top"/>
    </xf>
    <xf numFmtId="222" fontId="79" fillId="0" borderId="3554" applyBorder="0"/>
    <xf numFmtId="0" fontId="241" fillId="94" borderId="3543" applyBorder="0" applyProtection="0">
      <alignment horizontal="centerContinuous" vertical="center"/>
    </xf>
    <xf numFmtId="264" fontId="12" fillId="14" borderId="3543" applyFont="0" applyFill="0" applyBorder="0" applyAlignment="0" applyProtection="0">
      <alignment horizontal="right"/>
    </xf>
    <xf numFmtId="186" fontId="146" fillId="3" borderId="3543" applyBorder="0">
      <alignment horizontal="left" vertical="center"/>
    </xf>
    <xf numFmtId="248" fontId="46" fillId="0" borderId="3543"/>
    <xf numFmtId="222" fontId="79" fillId="0" borderId="3542" applyBorder="0"/>
    <xf numFmtId="0" fontId="75" fillId="0" borderId="3532" applyNumberFormat="0" applyFont="0" applyFill="0" applyAlignment="0" applyProtection="0"/>
    <xf numFmtId="0" fontId="2" fillId="0" borderId="3536" applyNumberFormat="0" applyAlignment="0" applyProtection="0"/>
    <xf numFmtId="0" fontId="78" fillId="14" borderId="3521" applyFont="0" applyFill="0" applyBorder="0" applyAlignment="0" applyProtection="0"/>
    <xf numFmtId="0" fontId="166" fillId="0" borderId="3519">
      <alignment horizontal="center"/>
    </xf>
    <xf numFmtId="180" fontId="9" fillId="3" borderId="3519">
      <alignment horizontal="right" vertical="center"/>
    </xf>
    <xf numFmtId="192" fontId="9" fillId="3" borderId="3519">
      <alignment horizontal="right" vertical="center"/>
    </xf>
    <xf numFmtId="248" fontId="46" fillId="0" borderId="3519"/>
    <xf numFmtId="0" fontId="12" fillId="0" borderId="3519" applyNumberFormat="0" applyFill="0" applyBorder="0" applyAlignment="0" applyProtection="0">
      <alignment horizontal="center"/>
    </xf>
    <xf numFmtId="0" fontId="113" fillId="0" borderId="3519" applyNumberFormat="0" applyFill="0" applyAlignment="0" applyProtection="0"/>
    <xf numFmtId="222" fontId="79" fillId="0" borderId="3530" applyBorder="0"/>
    <xf numFmtId="0" fontId="25" fillId="10" borderId="3529" applyNumberFormat="0" applyProtection="0">
      <alignment horizontal="left" vertical="top"/>
    </xf>
    <xf numFmtId="186" fontId="146" fillId="3" borderId="3522">
      <alignment horizontal="left"/>
    </xf>
    <xf numFmtId="186" fontId="140" fillId="3" borderId="3523">
      <alignment horizontal="center" vertical="center"/>
    </xf>
    <xf numFmtId="0" fontId="2" fillId="0" borderId="3524" applyNumberFormat="0" applyAlignment="0" applyProtection="0"/>
    <xf numFmtId="0" fontId="25" fillId="10" borderId="3526" applyNumberFormat="0" applyProtection="0">
      <alignment horizontal="left" vertical="top"/>
    </xf>
    <xf numFmtId="0" fontId="25" fillId="10" borderId="3528" applyNumberFormat="0" applyProtection="0">
      <alignment horizontal="left" vertical="top"/>
    </xf>
    <xf numFmtId="0" fontId="25" fillId="10" borderId="3529" applyNumberFormat="0" applyProtection="0">
      <alignment horizontal="left" vertical="top"/>
    </xf>
    <xf numFmtId="222" fontId="79" fillId="0" borderId="3530" applyBorder="0"/>
    <xf numFmtId="0" fontId="78" fillId="14" borderId="3521" applyFont="0" applyFill="0" applyBorder="0" applyAlignment="0" applyProtection="0"/>
    <xf numFmtId="222" fontId="79" fillId="0" borderId="3530" applyBorder="0"/>
    <xf numFmtId="0" fontId="25" fillId="10" borderId="3528" applyNumberFormat="0" applyProtection="0">
      <alignment horizontal="left" vertical="top"/>
    </xf>
    <xf numFmtId="0" fontId="25" fillId="10" borderId="3526" applyNumberFormat="0" applyProtection="0">
      <alignment horizontal="left" vertical="top"/>
    </xf>
    <xf numFmtId="0" fontId="214" fillId="0" borderId="3525" applyNumberFormat="0" applyFont="0" applyFill="0" applyAlignment="0" applyProtection="0"/>
    <xf numFmtId="186" fontId="146" fillId="3" borderId="3522">
      <alignment horizontal="left"/>
    </xf>
    <xf numFmtId="0" fontId="101" fillId="0" borderId="3519" applyBorder="0"/>
    <xf numFmtId="180" fontId="9" fillId="3" borderId="3519">
      <alignment horizontal="right" vertical="center"/>
    </xf>
    <xf numFmtId="0" fontId="166" fillId="0" borderId="3519">
      <alignment horizontal="center"/>
    </xf>
    <xf numFmtId="264" fontId="12" fillId="14" borderId="3519" applyFont="0" applyFill="0" applyBorder="0" applyAlignment="0" applyProtection="0">
      <alignment horizontal="right"/>
    </xf>
    <xf numFmtId="0" fontId="210" fillId="0" borderId="3519" applyNumberFormat="0" applyFill="0" applyBorder="0" applyAlignment="0">
      <protection locked="0"/>
    </xf>
    <xf numFmtId="222" fontId="79" fillId="0" borderId="3530" applyBorder="0"/>
    <xf numFmtId="0" fontId="2" fillId="0" borderId="3524" applyNumberFormat="0" applyAlignment="0" applyProtection="0"/>
    <xf numFmtId="0" fontId="214" fillId="0" borderId="3525" applyNumberFormat="0" applyFont="0" applyFill="0" applyAlignment="0" applyProtection="0"/>
    <xf numFmtId="0" fontId="25" fillId="10" borderId="3528" applyNumberFormat="0" applyProtection="0">
      <alignment horizontal="left" vertical="top"/>
    </xf>
    <xf numFmtId="0" fontId="78" fillId="14" borderId="3521" applyFont="0" applyFill="0" applyBorder="0" applyAlignment="0" applyProtection="0"/>
    <xf numFmtId="0" fontId="113" fillId="0" borderId="3519" applyNumberFormat="0" applyFill="0" applyAlignment="0" applyProtection="0"/>
    <xf numFmtId="192" fontId="9" fillId="3" borderId="3519">
      <alignment horizontal="right" vertical="center"/>
    </xf>
    <xf numFmtId="180" fontId="9" fillId="3" borderId="3519">
      <alignment horizontal="right" vertical="center"/>
    </xf>
    <xf numFmtId="186" fontId="146" fillId="3" borderId="3519" applyBorder="0">
      <alignment horizontal="left" vertical="center"/>
    </xf>
    <xf numFmtId="264" fontId="12" fillId="14" borderId="3519" applyFont="0" applyFill="0" applyBorder="0" applyAlignment="0" applyProtection="0">
      <alignment horizontal="right"/>
    </xf>
    <xf numFmtId="0" fontId="210" fillId="0" borderId="3519" applyNumberFormat="0" applyFill="0" applyBorder="0" applyAlignment="0">
      <protection locked="0"/>
    </xf>
    <xf numFmtId="254" fontId="240" fillId="0" borderId="3519" applyBorder="0" applyProtection="0">
      <alignment horizontal="right" vertical="center"/>
    </xf>
    <xf numFmtId="0" fontId="241" fillId="94" borderId="3519" applyBorder="0" applyProtection="0">
      <alignment horizontal="centerContinuous" vertical="center"/>
    </xf>
    <xf numFmtId="246" fontId="249" fillId="0" borderId="3519" applyFill="0" applyProtection="0">
      <alignment horizontal="center"/>
    </xf>
    <xf numFmtId="246" fontId="250" fillId="0" borderId="3519" applyFill="0" applyProtection="0">
      <alignment horizontal="center"/>
    </xf>
    <xf numFmtId="0" fontId="75" fillId="0" borderId="3520" applyNumberFormat="0" applyFont="0" applyFill="0" applyAlignment="0" applyProtection="0"/>
    <xf numFmtId="186" fontId="146" fillId="3" borderId="3570">
      <alignment horizontal="left"/>
    </xf>
    <xf numFmtId="186" fontId="146" fillId="3" borderId="3522">
      <alignment horizontal="left"/>
    </xf>
    <xf numFmtId="186" fontId="140" fillId="3" borderId="3523">
      <alignment horizontal="center" vertical="center"/>
    </xf>
    <xf numFmtId="0" fontId="2" fillId="0" borderId="3524" applyNumberFormat="0" applyAlignment="0" applyProtection="0"/>
    <xf numFmtId="0" fontId="25" fillId="10" borderId="3526" applyNumberFormat="0" applyProtection="0">
      <alignment horizontal="left" vertical="top"/>
    </xf>
    <xf numFmtId="0" fontId="25" fillId="10" borderId="3527" applyNumberFormat="0" applyProtection="0">
      <alignment horizontal="left" vertical="top"/>
    </xf>
    <xf numFmtId="0" fontId="78" fillId="14" borderId="3521" applyFont="0" applyFill="0" applyBorder="0" applyAlignment="0" applyProtection="0"/>
    <xf numFmtId="0" fontId="78" fillId="14" borderId="3545" applyFont="0" applyFill="0" applyBorder="0" applyAlignment="0" applyProtection="0"/>
    <xf numFmtId="0" fontId="214" fillId="0" borderId="3549" applyNumberFormat="0" applyFont="0" applyFill="0" applyAlignment="0" applyProtection="0"/>
    <xf numFmtId="186" fontId="146" fillId="3" borderId="3555" applyBorder="0">
      <alignment horizontal="left" vertical="center"/>
    </xf>
    <xf numFmtId="0" fontId="166" fillId="0" borderId="3555">
      <alignment horizontal="center"/>
    </xf>
    <xf numFmtId="254" fontId="240" fillId="0" borderId="3531" applyBorder="0" applyProtection="0">
      <alignment horizontal="right" vertical="center"/>
    </xf>
    <xf numFmtId="222" fontId="79" fillId="0" borderId="3530" applyBorder="0"/>
    <xf numFmtId="0" fontId="25" fillId="10" borderId="3575" applyNumberFormat="0" applyProtection="0">
      <alignment horizontal="left" vertical="top"/>
    </xf>
    <xf numFmtId="246" fontId="249" fillId="0" borderId="3519" applyFill="0" applyProtection="0">
      <alignment horizontal="center"/>
    </xf>
    <xf numFmtId="0" fontId="25" fillId="10" borderId="3551" applyNumberFormat="0" applyProtection="0">
      <alignment horizontal="left" vertical="top"/>
    </xf>
    <xf numFmtId="186" fontId="146" fillId="3" borderId="3546">
      <alignment horizontal="left"/>
    </xf>
    <xf numFmtId="0" fontId="25" fillId="10" borderId="3552" applyNumberFormat="0" applyProtection="0">
      <alignment horizontal="left" vertical="top"/>
    </xf>
    <xf numFmtId="186" fontId="140" fillId="3" borderId="3547">
      <alignment horizontal="center" vertical="center"/>
    </xf>
    <xf numFmtId="222" fontId="79" fillId="0" borderId="3554" applyBorder="0"/>
    <xf numFmtId="248" fontId="46" fillId="0" borderId="3555"/>
    <xf numFmtId="264" fontId="12" fillId="14" borderId="3519" applyFont="0" applyFill="0" applyBorder="0" applyAlignment="0" applyProtection="0">
      <alignment horizontal="right"/>
    </xf>
    <xf numFmtId="0" fontId="166" fillId="0" borderId="3519">
      <alignment horizontal="center"/>
    </xf>
    <xf numFmtId="0" fontId="25" fillId="10" borderId="3529" applyNumberFormat="0" applyProtection="0">
      <alignment horizontal="left" vertical="top"/>
    </xf>
    <xf numFmtId="0" fontId="25" fillId="10" borderId="3527" applyNumberFormat="0" applyProtection="0">
      <alignment horizontal="left" vertical="top"/>
    </xf>
    <xf numFmtId="0" fontId="25" fillId="10" borderId="3526" applyNumberFormat="0" applyProtection="0">
      <alignment horizontal="left" vertical="top"/>
    </xf>
    <xf numFmtId="0" fontId="25" fillId="10" borderId="3529" applyNumberFormat="0" applyProtection="0">
      <alignment horizontal="left" vertical="top"/>
    </xf>
    <xf numFmtId="0" fontId="214" fillId="0" borderId="3525" applyNumberFormat="0" applyFont="0" applyFill="0" applyAlignment="0" applyProtection="0"/>
    <xf numFmtId="0" fontId="2" fillId="0" borderId="3524" applyNumberFormat="0" applyAlignment="0" applyProtection="0"/>
    <xf numFmtId="186" fontId="146" fillId="3" borderId="3522">
      <alignment horizontal="left"/>
    </xf>
    <xf numFmtId="0" fontId="75" fillId="0" borderId="3520" applyNumberFormat="0" applyFont="0" applyFill="0" applyAlignment="0" applyProtection="0"/>
    <xf numFmtId="0" fontId="25" fillId="10" borderId="4068" applyNumberFormat="0" applyProtection="0">
      <alignment horizontal="left" vertical="top"/>
    </xf>
    <xf numFmtId="186" fontId="146" fillId="3" borderId="3915" applyBorder="0">
      <alignment horizontal="left" vertical="center"/>
    </xf>
    <xf numFmtId="0" fontId="25" fillId="10" borderId="3922" applyNumberFormat="0" applyProtection="0">
      <alignment horizontal="left" vertical="top"/>
    </xf>
    <xf numFmtId="0" fontId="25" fillId="10" borderId="3924" applyNumberFormat="0" applyProtection="0">
      <alignment horizontal="left" vertical="top"/>
    </xf>
    <xf numFmtId="0" fontId="113" fillId="0" borderId="3915" applyNumberFormat="0" applyFill="0" applyAlignment="0" applyProtection="0"/>
    <xf numFmtId="0" fontId="165" fillId="0" borderId="3915" applyFill="0" applyProtection="0">
      <alignment horizontal="center"/>
    </xf>
    <xf numFmtId="0" fontId="25" fillId="10" borderId="3924" applyNumberFormat="0" applyProtection="0">
      <alignment horizontal="left" vertical="top"/>
    </xf>
    <xf numFmtId="248" fontId="46" fillId="0" borderId="3915"/>
    <xf numFmtId="0" fontId="2" fillId="0" borderId="3920" applyNumberFormat="0" applyAlignment="0" applyProtection="0"/>
    <xf numFmtId="254" fontId="240" fillId="0" borderId="3843" applyBorder="0" applyProtection="0">
      <alignment horizontal="right" vertical="center"/>
    </xf>
    <xf numFmtId="0" fontId="25" fillId="10" borderId="3922" applyNumberFormat="0" applyProtection="0">
      <alignment horizontal="left" vertical="top"/>
    </xf>
    <xf numFmtId="254" fontId="240" fillId="0" borderId="3879" applyBorder="0" applyProtection="0">
      <alignment horizontal="right" vertical="center"/>
    </xf>
    <xf numFmtId="0" fontId="101" fillId="0" borderId="3903" applyBorder="0"/>
    <xf numFmtId="186" fontId="146" fillId="3" borderId="3843" applyBorder="0">
      <alignment horizontal="left" vertical="center"/>
    </xf>
    <xf numFmtId="0" fontId="12" fillId="0" borderId="3555" applyNumberFormat="0" applyFill="0" applyBorder="0" applyAlignment="0" applyProtection="0">
      <alignment horizontal="center"/>
    </xf>
    <xf numFmtId="248" fontId="46" fillId="0" borderId="3519"/>
    <xf numFmtId="0" fontId="210" fillId="0" borderId="3579" applyNumberFormat="0" applyFill="0" applyBorder="0" applyAlignment="0">
      <protection locked="0"/>
    </xf>
    <xf numFmtId="186" fontId="140" fillId="3" borderId="3559">
      <alignment horizontal="center" vertical="center"/>
    </xf>
    <xf numFmtId="180" fontId="9" fillId="3" borderId="3519">
      <alignment horizontal="right" vertical="center"/>
    </xf>
    <xf numFmtId="0" fontId="25" fillId="10" borderId="3527" applyNumberFormat="0" applyProtection="0">
      <alignment horizontal="left" vertical="top"/>
    </xf>
    <xf numFmtId="222" fontId="79" fillId="0" borderId="3530" applyBorder="0"/>
    <xf numFmtId="0" fontId="12" fillId="0" borderId="3519" applyNumberFormat="0" applyFill="0" applyBorder="0" applyAlignment="0" applyProtection="0">
      <alignment horizontal="center"/>
    </xf>
    <xf numFmtId="0" fontId="165" fillId="0" borderId="3579" applyFill="0" applyProtection="0">
      <alignment horizontal="center"/>
    </xf>
    <xf numFmtId="222" fontId="79" fillId="0" borderId="3434" applyBorder="0"/>
    <xf numFmtId="0" fontId="101" fillId="0" borderId="3435" applyBorder="0"/>
    <xf numFmtId="222" fontId="79" fillId="0" borderId="3434" applyBorder="0"/>
    <xf numFmtId="0" fontId="113" fillId="0" borderId="3435" applyNumberFormat="0" applyFill="0" applyAlignment="0" applyProtection="0"/>
    <xf numFmtId="0" fontId="12" fillId="0" borderId="3435" applyNumberFormat="0" applyFill="0" applyBorder="0" applyAlignment="0" applyProtection="0">
      <alignment horizontal="center"/>
    </xf>
    <xf numFmtId="248" fontId="46" fillId="0" borderId="3435"/>
    <xf numFmtId="186" fontId="140" fillId="3" borderId="3583">
      <alignment horizontal="center" vertical="center"/>
    </xf>
    <xf numFmtId="0" fontId="75" fillId="0" borderId="3580" applyNumberFormat="0" applyFont="0" applyFill="0" applyAlignment="0" applyProtection="0"/>
    <xf numFmtId="192" fontId="9" fillId="3" borderId="3435">
      <alignment horizontal="right" vertical="center"/>
    </xf>
    <xf numFmtId="180" fontId="9" fillId="3" borderId="3435">
      <alignment horizontal="right" vertical="center"/>
    </xf>
    <xf numFmtId="186" fontId="146" fillId="3" borderId="3435" applyBorder="0">
      <alignment horizontal="left" vertical="center"/>
    </xf>
    <xf numFmtId="0" fontId="165" fillId="0" borderId="3579" applyFill="0" applyProtection="0">
      <alignment horizontal="center"/>
    </xf>
    <xf numFmtId="0" fontId="101" fillId="0" borderId="3519" applyBorder="0"/>
    <xf numFmtId="222" fontId="79" fillId="0" borderId="3530" applyBorder="0"/>
    <xf numFmtId="0" fontId="165" fillId="0" borderId="3435" applyFill="0" applyProtection="0">
      <alignment horizontal="center"/>
    </xf>
    <xf numFmtId="0" fontId="166" fillId="0" borderId="3435">
      <alignment horizontal="center"/>
    </xf>
    <xf numFmtId="222" fontId="79" fillId="0" borderId="3530" applyBorder="0"/>
    <xf numFmtId="264" fontId="12" fillId="14" borderId="3435" applyFont="0" applyFill="0" applyBorder="0" applyAlignment="0" applyProtection="0">
      <alignment horizontal="right"/>
    </xf>
    <xf numFmtId="0" fontId="25" fillId="10" borderId="3574" applyNumberFormat="0" applyProtection="0">
      <alignment horizontal="left" vertical="top"/>
    </xf>
    <xf numFmtId="0" fontId="101" fillId="0" borderId="3579" applyBorder="0"/>
    <xf numFmtId="186" fontId="146" fillId="3" borderId="3579" applyBorder="0">
      <alignment horizontal="left" vertical="center"/>
    </xf>
    <xf numFmtId="0" fontId="210" fillId="0" borderId="3435" applyNumberFormat="0" applyFill="0" applyBorder="0" applyAlignment="0">
      <protection locked="0"/>
    </xf>
    <xf numFmtId="222" fontId="79" fillId="0" borderId="3530" applyBorder="0"/>
    <xf numFmtId="254" fontId="240" fillId="0" borderId="3435" applyBorder="0" applyProtection="0">
      <alignment horizontal="right" vertical="center"/>
    </xf>
    <xf numFmtId="0" fontId="241" fillId="94" borderId="3435" applyBorder="0" applyProtection="0">
      <alignment horizontal="centerContinuous" vertical="center"/>
    </xf>
    <xf numFmtId="246" fontId="249" fillId="0" borderId="3435" applyFill="0" applyProtection="0">
      <alignment horizontal="center"/>
    </xf>
    <xf numFmtId="246" fontId="250" fillId="0" borderId="3435" applyFill="0" applyProtection="0">
      <alignment horizontal="center"/>
    </xf>
    <xf numFmtId="0" fontId="2" fillId="0" borderId="3548" applyNumberFormat="0" applyAlignment="0" applyProtection="0"/>
    <xf numFmtId="222" fontId="79" fillId="0" borderId="3530" applyBorder="0"/>
    <xf numFmtId="186" fontId="146" fillId="3" borderId="3522">
      <alignment horizontal="left"/>
    </xf>
    <xf numFmtId="254" fontId="240" fillId="0" borderId="3555" applyBorder="0" applyProtection="0">
      <alignment horizontal="right" vertical="center"/>
    </xf>
    <xf numFmtId="0" fontId="25" fillId="10" borderId="3562" applyNumberFormat="0" applyProtection="0">
      <alignment horizontal="left" vertical="top"/>
    </xf>
    <xf numFmtId="186" fontId="146" fillId="3" borderId="3579" applyBorder="0">
      <alignment horizontal="left" vertical="center"/>
    </xf>
    <xf numFmtId="0" fontId="210" fillId="0" borderId="3579" applyNumberFormat="0" applyFill="0" applyBorder="0" applyAlignment="0">
      <protection locked="0"/>
    </xf>
    <xf numFmtId="0" fontId="241" fillId="94" borderId="3567" applyBorder="0" applyProtection="0">
      <alignment horizontal="centerContinuous" vertical="center"/>
    </xf>
    <xf numFmtId="0" fontId="214" fillId="0" borderId="3537" applyNumberFormat="0" applyFont="0" applyFill="0" applyAlignment="0" applyProtection="0"/>
    <xf numFmtId="186" fontId="140" fillId="3" borderId="3523">
      <alignment horizontal="center" vertical="center"/>
    </xf>
    <xf numFmtId="264" fontId="12" fillId="14" borderId="3531" applyFont="0" applyFill="0" applyBorder="0" applyAlignment="0" applyProtection="0">
      <alignment horizontal="right"/>
    </xf>
    <xf numFmtId="0" fontId="78" fillId="14" borderId="3437" applyFont="0" applyFill="0" applyBorder="0" applyAlignment="0" applyProtection="0"/>
    <xf numFmtId="0" fontId="25" fillId="10" borderId="3445" applyNumberFormat="0" applyProtection="0">
      <alignment horizontal="left" vertical="top"/>
    </xf>
    <xf numFmtId="0" fontId="25" fillId="10" borderId="3444" applyNumberFormat="0" applyProtection="0">
      <alignment horizontal="left" vertical="top"/>
    </xf>
    <xf numFmtId="0" fontId="25" fillId="10" borderId="3443" applyNumberFormat="0" applyProtection="0">
      <alignment horizontal="left" vertical="top"/>
    </xf>
    <xf numFmtId="0" fontId="25" fillId="10" borderId="3442" applyNumberFormat="0" applyProtection="0">
      <alignment horizontal="left" vertical="top"/>
    </xf>
    <xf numFmtId="0" fontId="214" fillId="0" borderId="3441" applyNumberFormat="0" applyFont="0" applyFill="0" applyAlignment="0" applyProtection="0"/>
    <xf numFmtId="0" fontId="2" fillId="0" borderId="3440" applyNumberFormat="0" applyAlignment="0" applyProtection="0"/>
    <xf numFmtId="0" fontId="75" fillId="0" borderId="3568" applyNumberFormat="0" applyFont="0" applyFill="0" applyAlignment="0" applyProtection="0"/>
    <xf numFmtId="186" fontId="140" fillId="3" borderId="3439">
      <alignment horizontal="center" vertical="center"/>
    </xf>
    <xf numFmtId="186" fontId="146" fillId="3" borderId="3438">
      <alignment horizontal="left"/>
    </xf>
    <xf numFmtId="180" fontId="9" fillId="3" borderId="3579">
      <alignment horizontal="right" vertical="center"/>
    </xf>
    <xf numFmtId="0" fontId="75" fillId="0" borderId="3436" applyNumberFormat="0" applyFont="0" applyFill="0" applyAlignment="0" applyProtection="0"/>
    <xf numFmtId="186" fontId="146" fillId="3" borderId="3531" applyBorder="0">
      <alignment horizontal="left" vertical="center"/>
    </xf>
    <xf numFmtId="222" fontId="79" fillId="0" borderId="3446" applyBorder="0"/>
    <xf numFmtId="0" fontId="101" fillId="0" borderId="3447" applyBorder="0"/>
    <xf numFmtId="222" fontId="79" fillId="0" borderId="3446" applyBorder="0"/>
    <xf numFmtId="0" fontId="113" fillId="0" borderId="3447" applyNumberFormat="0" applyFill="0" applyAlignment="0" applyProtection="0"/>
    <xf numFmtId="0" fontId="12" fillId="0" borderId="3447" applyNumberFormat="0" applyFill="0" applyBorder="0" applyAlignment="0" applyProtection="0">
      <alignment horizontal="center"/>
    </xf>
    <xf numFmtId="248" fontId="46" fillId="0" borderId="3447"/>
    <xf numFmtId="186" fontId="146" fillId="3" borderId="3582">
      <alignment horizontal="left"/>
    </xf>
    <xf numFmtId="0" fontId="113" fillId="0" borderId="3579" applyNumberFormat="0" applyFill="0" applyAlignment="0" applyProtection="0"/>
    <xf numFmtId="192" fontId="9" fillId="3" borderId="3447">
      <alignment horizontal="right" vertical="center"/>
    </xf>
    <xf numFmtId="180" fontId="9" fillId="3" borderId="3447">
      <alignment horizontal="right" vertical="center"/>
    </xf>
    <xf numFmtId="186" fontId="146" fillId="3" borderId="3447" applyBorder="0">
      <alignment horizontal="left" vertical="center"/>
    </xf>
    <xf numFmtId="0" fontId="165" fillId="0" borderId="3447" applyFill="0" applyProtection="0">
      <alignment horizontal="center"/>
    </xf>
    <xf numFmtId="0" fontId="166" fillId="0" borderId="3447">
      <alignment horizontal="center"/>
    </xf>
    <xf numFmtId="264" fontId="12" fillId="14" borderId="3447" applyFont="0" applyFill="0" applyBorder="0" applyAlignment="0" applyProtection="0">
      <alignment horizontal="right"/>
    </xf>
    <xf numFmtId="0" fontId="210" fillId="0" borderId="3447" applyNumberFormat="0" applyFill="0" applyBorder="0" applyAlignment="0">
      <protection locked="0"/>
    </xf>
    <xf numFmtId="254" fontId="240" fillId="0" borderId="3447" applyBorder="0" applyProtection="0">
      <alignment horizontal="right" vertical="center"/>
    </xf>
    <xf numFmtId="0" fontId="241" fillId="94" borderId="3447" applyBorder="0" applyProtection="0">
      <alignment horizontal="centerContinuous" vertical="center"/>
    </xf>
    <xf numFmtId="246" fontId="249" fillId="0" borderId="3447" applyFill="0" applyProtection="0">
      <alignment horizontal="center"/>
    </xf>
    <xf numFmtId="246" fontId="250" fillId="0" borderId="3447" applyFill="0" applyProtection="0">
      <alignment horizontal="center"/>
    </xf>
    <xf numFmtId="0" fontId="166" fillId="0" borderId="3531">
      <alignment horizontal="center"/>
    </xf>
    <xf numFmtId="192" fontId="9" fillId="3" borderId="3531">
      <alignment horizontal="right" vertical="center"/>
    </xf>
    <xf numFmtId="248" fontId="46" fillId="0" borderId="3531"/>
    <xf numFmtId="0" fontId="12" fillId="0" borderId="3531" applyNumberFormat="0" applyFill="0" applyBorder="0" applyAlignment="0" applyProtection="0">
      <alignment horizontal="center"/>
    </xf>
    <xf numFmtId="0" fontId="113" fillId="0" borderId="3531" applyNumberFormat="0" applyFill="0" applyAlignment="0" applyProtection="0"/>
    <xf numFmtId="222" fontId="79" fillId="0" borderId="3530" applyBorder="0"/>
    <xf numFmtId="0" fontId="101" fillId="0" borderId="3531" applyBorder="0"/>
    <xf numFmtId="186" fontId="146" fillId="3" borderId="3522">
      <alignment horizontal="left"/>
    </xf>
    <xf numFmtId="0" fontId="113" fillId="0" borderId="3579" applyNumberFormat="0" applyFill="0" applyAlignment="0" applyProtection="0"/>
    <xf numFmtId="0" fontId="25" fillId="10" borderId="3526" applyNumberFormat="0" applyProtection="0">
      <alignment horizontal="left" vertical="top"/>
    </xf>
    <xf numFmtId="186" fontId="140" fillId="3" borderId="3583">
      <alignment horizontal="center" vertical="center"/>
    </xf>
    <xf numFmtId="0" fontId="25" fillId="10" borderId="3589" applyNumberFormat="0" applyProtection="0">
      <alignment horizontal="left" vertical="top"/>
    </xf>
    <xf numFmtId="0" fontId="2" fillId="0" borderId="3584" applyNumberFormat="0" applyAlignment="0" applyProtection="0"/>
    <xf numFmtId="0" fontId="101" fillId="0" borderId="3555" applyBorder="0"/>
    <xf numFmtId="0" fontId="214" fillId="0" borderId="3525" applyNumberFormat="0" applyFont="0" applyFill="0" applyAlignment="0" applyProtection="0"/>
    <xf numFmtId="186" fontId="146" fillId="3" borderId="3582">
      <alignment horizontal="left"/>
    </xf>
    <xf numFmtId="0" fontId="25" fillId="10" borderId="3586" applyNumberFormat="0" applyProtection="0">
      <alignment horizontal="left" vertical="top"/>
    </xf>
    <xf numFmtId="0" fontId="25" fillId="10" borderId="3588" applyNumberFormat="0" applyProtection="0">
      <alignment horizontal="left" vertical="top"/>
    </xf>
    <xf numFmtId="0" fontId="25" fillId="10" borderId="3587" applyNumberFormat="0" applyProtection="0">
      <alignment horizontal="left" vertical="top"/>
    </xf>
    <xf numFmtId="0" fontId="214" fillId="0" borderId="3585" applyNumberFormat="0" applyFont="0" applyFill="0" applyAlignment="0" applyProtection="0"/>
    <xf numFmtId="0" fontId="210" fillId="0" borderId="3579" applyNumberFormat="0" applyFill="0" applyBorder="0" applyAlignment="0">
      <protection locked="0"/>
    </xf>
    <xf numFmtId="254" fontId="240" fillId="0" borderId="3519" applyBorder="0" applyProtection="0">
      <alignment horizontal="right" vertical="center"/>
    </xf>
    <xf numFmtId="246" fontId="249" fillId="0" borderId="3519" applyFill="0" applyProtection="0">
      <alignment horizontal="center"/>
    </xf>
    <xf numFmtId="0" fontId="214" fillId="0" borderId="3525" applyNumberFormat="0" applyFont="0" applyFill="0" applyAlignment="0" applyProtection="0"/>
    <xf numFmtId="0" fontId="166" fillId="0" borderId="3579">
      <alignment horizontal="center"/>
    </xf>
    <xf numFmtId="222" fontId="79" fillId="0" borderId="3530" applyBorder="0"/>
    <xf numFmtId="0" fontId="12" fillId="0" borderId="3579" applyNumberFormat="0" applyFill="0" applyBorder="0" applyAlignment="0" applyProtection="0">
      <alignment horizontal="center"/>
    </xf>
    <xf numFmtId="190" fontId="25" fillId="10" borderId="3564" applyNumberFormat="0" applyProtection="0">
      <alignment horizontal="left" vertical="top"/>
    </xf>
    <xf numFmtId="246" fontId="250" fillId="0" borderId="3843" applyFill="0" applyProtection="0">
      <alignment horizontal="center"/>
    </xf>
    <xf numFmtId="222" fontId="79" fillId="0" borderId="3578" applyBorder="0"/>
    <xf numFmtId="192" fontId="9" fillId="3" borderId="3579">
      <alignment horizontal="right" vertical="center"/>
    </xf>
    <xf numFmtId="186" fontId="146" fillId="3" borderId="3450">
      <alignment horizontal="left"/>
    </xf>
    <xf numFmtId="0" fontId="75" fillId="0" borderId="3448" applyNumberFormat="0" applyFont="0" applyFill="0" applyAlignment="0" applyProtection="0"/>
    <xf numFmtId="0" fontId="25" fillId="10" borderId="3526" applyNumberFormat="0" applyProtection="0">
      <alignment horizontal="left" vertical="top"/>
    </xf>
    <xf numFmtId="0" fontId="75" fillId="0" borderId="3520" applyNumberFormat="0" applyFont="0" applyFill="0" applyAlignment="0" applyProtection="0"/>
    <xf numFmtId="0" fontId="25" fillId="10" borderId="3553" applyNumberFormat="0" applyProtection="0">
      <alignment horizontal="left" vertical="top"/>
    </xf>
    <xf numFmtId="0" fontId="113" fillId="0" borderId="3531" applyNumberFormat="0" applyFill="0" applyAlignment="0" applyProtection="0"/>
    <xf numFmtId="264" fontId="12" fillId="14" borderId="3531" applyFont="0" applyFill="0" applyBorder="0" applyAlignment="0" applyProtection="0">
      <alignment horizontal="right"/>
    </xf>
    <xf numFmtId="246" fontId="249" fillId="0" borderId="3531" applyFill="0" applyProtection="0">
      <alignment horizontal="center"/>
    </xf>
    <xf numFmtId="0" fontId="25" fillId="10" borderId="3457" applyNumberFormat="0" applyProtection="0">
      <alignment horizontal="left" vertical="top"/>
    </xf>
    <xf numFmtId="0" fontId="25" fillId="10" borderId="3455" applyNumberFormat="0" applyProtection="0">
      <alignment horizontal="left" vertical="top"/>
    </xf>
    <xf numFmtId="0" fontId="25" fillId="10" borderId="3456" applyNumberFormat="0" applyProtection="0">
      <alignment horizontal="left" vertical="top"/>
    </xf>
    <xf numFmtId="0" fontId="25" fillId="10" borderId="3454" applyNumberFormat="0" applyProtection="0">
      <alignment horizontal="left" vertical="top"/>
    </xf>
    <xf numFmtId="0" fontId="25" fillId="10" borderId="3457" applyNumberFormat="0" applyProtection="0">
      <alignment horizontal="left" vertical="top"/>
    </xf>
    <xf numFmtId="0" fontId="25" fillId="10" borderId="3456" applyNumberFormat="0" applyProtection="0">
      <alignment horizontal="left" vertical="top"/>
    </xf>
    <xf numFmtId="0" fontId="25" fillId="10" borderId="3455" applyNumberFormat="0" applyProtection="0">
      <alignment horizontal="left" vertical="top"/>
    </xf>
    <xf numFmtId="0" fontId="25" fillId="10" borderId="3454" applyNumberFormat="0" applyProtection="0">
      <alignment horizontal="left" vertical="top"/>
    </xf>
    <xf numFmtId="0" fontId="214" fillId="0" borderId="3453" applyNumberFormat="0" applyFont="0" applyFill="0" applyAlignment="0" applyProtection="0"/>
    <xf numFmtId="0" fontId="2" fillId="0" borderId="3452" applyNumberFormat="0" applyAlignment="0" applyProtection="0"/>
    <xf numFmtId="186" fontId="140" fillId="3" borderId="3451">
      <alignment horizontal="center" vertical="center"/>
    </xf>
    <xf numFmtId="186" fontId="140" fillId="3" borderId="3463">
      <alignment horizontal="center" vertical="center"/>
    </xf>
    <xf numFmtId="0" fontId="25" fillId="10" borderId="3466" applyNumberFormat="0" applyProtection="0">
      <alignment horizontal="left" vertical="top"/>
    </xf>
    <xf numFmtId="0" fontId="12" fillId="0" borderId="3531" applyNumberFormat="0" applyFill="0" applyBorder="0" applyAlignment="0" applyProtection="0">
      <alignment horizontal="center"/>
    </xf>
    <xf numFmtId="0" fontId="25" fillId="10" borderId="3528" applyNumberFormat="0" applyProtection="0">
      <alignment horizontal="left" vertical="top"/>
    </xf>
    <xf numFmtId="222" fontId="79" fillId="0" borderId="3518" applyBorder="0"/>
    <xf numFmtId="0" fontId="78" fillId="14" borderId="3521" applyFont="0" applyFill="0" applyBorder="0" applyAlignment="0" applyProtection="0"/>
    <xf numFmtId="222" fontId="79" fillId="0" borderId="3530" applyBorder="0"/>
    <xf numFmtId="0" fontId="101" fillId="0" borderId="3531" applyBorder="0"/>
    <xf numFmtId="222" fontId="79" fillId="0" borderId="3530" applyBorder="0"/>
    <xf numFmtId="248" fontId="46" fillId="0" borderId="3531"/>
    <xf numFmtId="192" fontId="9" fillId="3" borderId="3531">
      <alignment horizontal="right" vertical="center"/>
    </xf>
    <xf numFmtId="180" fontId="9" fillId="3" borderId="3531">
      <alignment horizontal="right" vertical="center"/>
    </xf>
    <xf numFmtId="186" fontId="146" fillId="3" borderId="3531" applyBorder="0">
      <alignment horizontal="left" vertical="center"/>
    </xf>
    <xf numFmtId="0" fontId="165" fillId="0" borderId="3531" applyFill="0" applyProtection="0">
      <alignment horizontal="center"/>
    </xf>
    <xf numFmtId="0" fontId="210" fillId="0" borderId="3531" applyNumberFormat="0" applyFill="0" applyBorder="0" applyAlignment="0">
      <protection locked="0"/>
    </xf>
    <xf numFmtId="254" fontId="240" fillId="0" borderId="3531" applyBorder="0" applyProtection="0">
      <alignment horizontal="right" vertical="center"/>
    </xf>
    <xf numFmtId="246" fontId="250" fillId="0" borderId="3531" applyFill="0" applyProtection="0">
      <alignment horizontal="center"/>
    </xf>
    <xf numFmtId="222" fontId="79" fillId="0" borderId="3470" applyBorder="0"/>
    <xf numFmtId="0" fontId="25" fillId="10" borderId="3467" applyNumberFormat="0" applyProtection="0">
      <alignment horizontal="left" vertical="top"/>
    </xf>
    <xf numFmtId="0" fontId="25" fillId="10" borderId="3469" applyNumberFormat="0" applyProtection="0">
      <alignment horizontal="left" vertical="top"/>
    </xf>
    <xf numFmtId="0" fontId="25" fillId="10" borderId="3466" applyNumberFormat="0" applyProtection="0">
      <alignment horizontal="left" vertical="top"/>
    </xf>
    <xf numFmtId="0" fontId="25" fillId="10" borderId="3467" applyNumberFormat="0" applyProtection="0">
      <alignment horizontal="left" vertical="top"/>
    </xf>
    <xf numFmtId="0" fontId="25" fillId="10" borderId="3468" applyNumberFormat="0" applyProtection="0">
      <alignment horizontal="left" vertical="top"/>
    </xf>
    <xf numFmtId="0" fontId="75" fillId="0" borderId="3472" applyNumberFormat="0" applyFont="0" applyFill="0" applyAlignment="0" applyProtection="0"/>
    <xf numFmtId="0" fontId="101" fillId="0" borderId="3483" applyBorder="0"/>
    <xf numFmtId="222" fontId="79" fillId="0" borderId="3482" applyBorder="0"/>
    <xf numFmtId="0" fontId="113" fillId="0" borderId="3483" applyNumberFormat="0" applyFill="0" applyAlignment="0" applyProtection="0"/>
    <xf numFmtId="0" fontId="12" fillId="0" borderId="3483" applyNumberFormat="0" applyFill="0" applyBorder="0" applyAlignment="0" applyProtection="0">
      <alignment horizontal="center"/>
    </xf>
    <xf numFmtId="248" fontId="46" fillId="0" borderId="3483"/>
    <xf numFmtId="192" fontId="9" fillId="3" borderId="3483">
      <alignment horizontal="right" vertical="center"/>
    </xf>
    <xf numFmtId="180" fontId="9" fillId="3" borderId="3483">
      <alignment horizontal="right" vertical="center"/>
    </xf>
    <xf numFmtId="186" fontId="146" fillId="3" borderId="3483" applyBorder="0">
      <alignment horizontal="left" vertical="center"/>
    </xf>
    <xf numFmtId="0" fontId="166" fillId="0" borderId="3483">
      <alignment horizontal="center"/>
    </xf>
    <xf numFmtId="0" fontId="210" fillId="0" borderId="3483" applyNumberFormat="0" applyFill="0" applyBorder="0" applyAlignment="0">
      <protection locked="0"/>
    </xf>
    <xf numFmtId="264" fontId="12" fillId="14" borderId="3483" applyFont="0" applyFill="0" applyBorder="0" applyAlignment="0" applyProtection="0">
      <alignment horizontal="right"/>
    </xf>
    <xf numFmtId="246" fontId="249" fillId="0" borderId="3483" applyFill="0" applyProtection="0">
      <alignment horizontal="center"/>
    </xf>
    <xf numFmtId="246" fontId="250" fillId="0" borderId="3483" applyFill="0" applyProtection="0">
      <alignment horizontal="center"/>
    </xf>
    <xf numFmtId="246" fontId="250" fillId="0" borderId="3507" applyFill="0" applyProtection="0">
      <alignment horizontal="center"/>
    </xf>
    <xf numFmtId="246" fontId="249" fillId="0" borderId="3507" applyFill="0" applyProtection="0">
      <alignment horizontal="center"/>
    </xf>
    <xf numFmtId="254" fontId="240" fillId="0" borderId="3507" applyBorder="0" applyProtection="0">
      <alignment horizontal="right" vertical="center"/>
    </xf>
    <xf numFmtId="264" fontId="12" fillId="14" borderId="3507" applyFont="0" applyFill="0" applyBorder="0" applyAlignment="0" applyProtection="0">
      <alignment horizontal="right"/>
    </xf>
    <xf numFmtId="0" fontId="165" fillId="0" borderId="3507" applyFill="0" applyProtection="0">
      <alignment horizontal="center"/>
    </xf>
    <xf numFmtId="180" fontId="9" fillId="3" borderId="3507">
      <alignment horizontal="right" vertical="center"/>
    </xf>
    <xf numFmtId="0" fontId="12" fillId="0" borderId="3507" applyNumberFormat="0" applyFill="0" applyBorder="0" applyAlignment="0" applyProtection="0">
      <alignment horizontal="center"/>
    </xf>
    <xf numFmtId="0" fontId="101" fillId="0" borderId="3507" applyBorder="0"/>
    <xf numFmtId="222" fontId="79" fillId="0" borderId="3506" applyBorder="0"/>
    <xf numFmtId="0" fontId="75" fillId="0" borderId="3496" applyNumberFormat="0" applyFont="0" applyFill="0" applyAlignment="0" applyProtection="0"/>
    <xf numFmtId="0" fontId="2" fillId="0" borderId="3500" applyNumberFormat="0" applyAlignment="0" applyProtection="0"/>
    <xf numFmtId="0" fontId="25" fillId="10" borderId="3502" applyNumberFormat="0" applyProtection="0">
      <alignment horizontal="left" vertical="top"/>
    </xf>
    <xf numFmtId="0" fontId="25" fillId="10" borderId="3505" applyNumberFormat="0" applyProtection="0">
      <alignment horizontal="left" vertical="top"/>
    </xf>
    <xf numFmtId="222" fontId="79" fillId="0" borderId="3494" applyBorder="0"/>
    <xf numFmtId="0" fontId="25" fillId="10" borderId="3480" applyNumberFormat="0" applyProtection="0">
      <alignment horizontal="left" vertical="top"/>
    </xf>
    <xf numFmtId="0" fontId="25" fillId="10" borderId="3478" applyNumberFormat="0" applyProtection="0">
      <alignment horizontal="left" vertical="top"/>
    </xf>
    <xf numFmtId="0" fontId="214" fillId="0" borderId="3477" applyNumberFormat="0" applyFont="0" applyFill="0" applyAlignment="0" applyProtection="0"/>
    <xf numFmtId="186" fontId="146" fillId="3" borderId="3474">
      <alignment horizontal="left"/>
    </xf>
    <xf numFmtId="222" fontId="79" fillId="0" borderId="3482" applyBorder="0"/>
    <xf numFmtId="222" fontId="79" fillId="0" borderId="3578" applyBorder="0"/>
    <xf numFmtId="186" fontId="140" fillId="3" borderId="3523">
      <alignment horizontal="center" vertical="center"/>
    </xf>
    <xf numFmtId="222" fontId="79" fillId="0" borderId="3542" applyBorder="0"/>
    <xf numFmtId="0" fontId="101" fillId="0" borderId="3363" applyBorder="0"/>
    <xf numFmtId="0" fontId="113" fillId="0" borderId="3363" applyNumberFormat="0" applyFill="0" applyAlignment="0" applyProtection="0"/>
    <xf numFmtId="0" fontId="12" fillId="0" borderId="3363" applyNumberFormat="0" applyFill="0" applyBorder="0" applyAlignment="0" applyProtection="0">
      <alignment horizontal="center"/>
    </xf>
    <xf numFmtId="248" fontId="46" fillId="0" borderId="3363"/>
    <xf numFmtId="192" fontId="9" fillId="3" borderId="3363">
      <alignment horizontal="right" vertical="center"/>
    </xf>
    <xf numFmtId="180" fontId="9" fillId="3" borderId="3363">
      <alignment horizontal="right" vertical="center"/>
    </xf>
    <xf numFmtId="186" fontId="146" fillId="3" borderId="3363" applyBorder="0">
      <alignment horizontal="left" vertical="center"/>
    </xf>
    <xf numFmtId="0" fontId="165" fillId="0" borderId="3363" applyFill="0" applyProtection="0">
      <alignment horizontal="center"/>
    </xf>
    <xf numFmtId="0" fontId="166" fillId="0" borderId="3363">
      <alignment horizontal="center"/>
    </xf>
    <xf numFmtId="264" fontId="12" fillId="14" borderId="3363" applyFont="0" applyFill="0" applyBorder="0" applyAlignment="0" applyProtection="0">
      <alignment horizontal="right"/>
    </xf>
    <xf numFmtId="0" fontId="210" fillId="0" borderId="3363" applyNumberFormat="0" applyFill="0" applyBorder="0" applyAlignment="0">
      <protection locked="0"/>
    </xf>
    <xf numFmtId="222" fontId="79" fillId="0" borderId="3578" applyBorder="0"/>
    <xf numFmtId="248" fontId="46" fillId="0" borderId="3507"/>
    <xf numFmtId="222" fontId="79" fillId="0" borderId="3506" applyBorder="0"/>
    <xf numFmtId="186" fontId="140" fillId="3" borderId="3499">
      <alignment horizontal="center" vertical="center"/>
    </xf>
    <xf numFmtId="0" fontId="25" fillId="10" borderId="3504" applyNumberFormat="0" applyProtection="0">
      <alignment horizontal="left" vertical="top"/>
    </xf>
    <xf numFmtId="0" fontId="210" fillId="0" borderId="3507" applyNumberFormat="0" applyFill="0" applyBorder="0" applyAlignment="0">
      <protection locked="0"/>
    </xf>
    <xf numFmtId="192" fontId="9" fillId="3" borderId="3507">
      <alignment horizontal="right" vertical="center"/>
    </xf>
    <xf numFmtId="0" fontId="113" fillId="0" borderId="3507" applyNumberFormat="0" applyFill="0" applyAlignment="0" applyProtection="0"/>
    <xf numFmtId="186" fontId="146" fillId="3" borderId="3498">
      <alignment horizontal="left"/>
    </xf>
    <xf numFmtId="0" fontId="25" fillId="10" borderId="3503" applyNumberFormat="0" applyProtection="0">
      <alignment horizontal="left" vertical="top"/>
    </xf>
    <xf numFmtId="254" fontId="240" fillId="0" borderId="3363" applyBorder="0" applyProtection="0">
      <alignment horizontal="right" vertical="center"/>
    </xf>
    <xf numFmtId="0" fontId="241" fillId="94" borderId="3363" applyBorder="0" applyProtection="0">
      <alignment horizontal="centerContinuous" vertical="center"/>
    </xf>
    <xf numFmtId="246" fontId="249" fillId="0" borderId="3363" applyFill="0" applyProtection="0">
      <alignment horizontal="center"/>
    </xf>
    <xf numFmtId="246" fontId="250" fillId="0" borderId="3363" applyFill="0" applyProtection="0">
      <alignment horizontal="center"/>
    </xf>
    <xf numFmtId="0" fontId="75" fillId="0" borderId="3544" applyNumberFormat="0" applyFont="0" applyFill="0" applyAlignment="0" applyProtection="0"/>
    <xf numFmtId="0" fontId="25" fillId="10" borderId="3527" applyNumberFormat="0" applyProtection="0">
      <alignment horizontal="left" vertical="top"/>
    </xf>
    <xf numFmtId="0" fontId="25" fillId="10" borderId="3529" applyNumberFormat="0" applyProtection="0">
      <alignment horizontal="left" vertical="top"/>
    </xf>
    <xf numFmtId="246" fontId="249" fillId="0" borderId="3555" applyFill="0" applyProtection="0">
      <alignment horizontal="center"/>
    </xf>
    <xf numFmtId="222" fontId="79" fillId="0" borderId="3458" applyBorder="0"/>
    <xf numFmtId="0" fontId="214" fillId="0" borderId="3525" applyNumberFormat="0" applyFont="0" applyFill="0" applyAlignment="0" applyProtection="0"/>
    <xf numFmtId="0" fontId="75" fillId="0" borderId="3460" applyNumberFormat="0" applyFont="0" applyFill="0" applyAlignment="0" applyProtection="0"/>
    <xf numFmtId="0" fontId="25" fillId="10" borderId="3468" applyNumberFormat="0" applyProtection="0">
      <alignment horizontal="left" vertical="top"/>
    </xf>
    <xf numFmtId="0" fontId="25" fillId="10" borderId="3469" applyNumberFormat="0" applyProtection="0">
      <alignment horizontal="left" vertical="top"/>
    </xf>
    <xf numFmtId="0" fontId="165" fillId="0" borderId="3483" applyFill="0" applyProtection="0">
      <alignment horizontal="center"/>
    </xf>
    <xf numFmtId="254" fontId="240" fillId="0" borderId="3483" applyBorder="0" applyProtection="0">
      <alignment horizontal="right" vertical="center"/>
    </xf>
    <xf numFmtId="0" fontId="241" fillId="94" borderId="3483" applyBorder="0" applyProtection="0">
      <alignment horizontal="centerContinuous" vertical="center"/>
    </xf>
    <xf numFmtId="0" fontId="241" fillId="94" borderId="3507" applyBorder="0" applyProtection="0">
      <alignment horizontal="centerContinuous" vertical="center"/>
    </xf>
    <xf numFmtId="0" fontId="166" fillId="0" borderId="3507">
      <alignment horizontal="center"/>
    </xf>
    <xf numFmtId="186" fontId="146" fillId="3" borderId="3507" applyBorder="0">
      <alignment horizontal="left" vertical="center"/>
    </xf>
    <xf numFmtId="0" fontId="214" fillId="0" borderId="3501" applyNumberFormat="0" applyFont="0" applyFill="0" applyAlignment="0" applyProtection="0"/>
    <xf numFmtId="0" fontId="78" fillId="14" borderId="3497" applyFont="0" applyFill="0" applyBorder="0" applyAlignment="0" applyProtection="0"/>
    <xf numFmtId="0" fontId="210" fillId="0" borderId="3531" applyNumberFormat="0" applyFill="0" applyBorder="0" applyAlignment="0">
      <protection locked="0"/>
    </xf>
    <xf numFmtId="0" fontId="78" fillId="14" borderId="3425" applyFont="0" applyFill="0" applyBorder="0" applyAlignment="0" applyProtection="0"/>
    <xf numFmtId="0" fontId="25" fillId="10" borderId="3361" applyNumberFormat="0" applyProtection="0">
      <alignment horizontal="left" vertical="top"/>
    </xf>
    <xf numFmtId="0" fontId="25" fillId="10" borderId="3360" applyNumberFormat="0" applyProtection="0">
      <alignment horizontal="left" vertical="top"/>
    </xf>
    <xf numFmtId="0" fontId="25" fillId="10" borderId="3359" applyNumberFormat="0" applyProtection="0">
      <alignment horizontal="left" vertical="top"/>
    </xf>
    <xf numFmtId="0" fontId="25" fillId="10" borderId="3358" applyNumberFormat="0" applyProtection="0">
      <alignment horizontal="left" vertical="top"/>
    </xf>
    <xf numFmtId="186" fontId="140" fillId="3" borderId="3523">
      <alignment horizontal="center" vertical="center"/>
    </xf>
    <xf numFmtId="0" fontId="214" fillId="0" borderId="3357" applyNumberFormat="0" applyFont="0" applyFill="0" applyAlignment="0" applyProtection="0"/>
    <xf numFmtId="186" fontId="140" fillId="3" borderId="3355">
      <alignment horizontal="center" vertical="center"/>
    </xf>
    <xf numFmtId="186" fontId="146" fillId="3" borderId="3522">
      <alignment horizontal="left"/>
    </xf>
    <xf numFmtId="180" fontId="9" fillId="3" borderId="3531">
      <alignment horizontal="right" vertical="center"/>
    </xf>
    <xf numFmtId="0" fontId="75" fillId="0" borderId="3520" applyNumberFormat="0" applyFont="0" applyFill="0" applyAlignment="0" applyProtection="0"/>
    <xf numFmtId="0" fontId="75" fillId="0" borderId="3520" applyNumberFormat="0" applyFont="0" applyFill="0" applyAlignment="0" applyProtection="0"/>
    <xf numFmtId="222" fontId="79" fillId="0" borderId="3434" applyBorder="0"/>
    <xf numFmtId="222" fontId="79" fillId="0" borderId="3434" applyBorder="0"/>
    <xf numFmtId="0" fontId="25" fillId="10" borderId="3526" applyNumberFormat="0" applyProtection="0">
      <alignment horizontal="left" vertical="top"/>
    </xf>
    <xf numFmtId="0" fontId="2" fillId="0" borderId="3524" applyNumberFormat="0" applyAlignment="0" applyProtection="0"/>
    <xf numFmtId="246" fontId="250" fillId="0" borderId="3459" applyFill="0" applyProtection="0">
      <alignment horizontal="center"/>
    </xf>
    <xf numFmtId="246" fontId="249" fillId="0" borderId="3459" applyFill="0" applyProtection="0">
      <alignment horizontal="center"/>
    </xf>
    <xf numFmtId="0" fontId="241" fillId="94" borderId="3459" applyBorder="0" applyProtection="0">
      <alignment horizontal="centerContinuous" vertical="center"/>
    </xf>
    <xf numFmtId="254" fontId="240" fillId="0" borderId="3459" applyBorder="0" applyProtection="0">
      <alignment horizontal="right" vertical="center"/>
    </xf>
    <xf numFmtId="0" fontId="210" fillId="0" borderId="3459" applyNumberFormat="0" applyFill="0" applyBorder="0" applyAlignment="0">
      <protection locked="0"/>
    </xf>
    <xf numFmtId="264" fontId="12" fillId="14" borderId="3459" applyFont="0" applyFill="0" applyBorder="0" applyAlignment="0" applyProtection="0">
      <alignment horizontal="right"/>
    </xf>
    <xf numFmtId="0" fontId="166" fillId="0" borderId="3459">
      <alignment horizontal="center"/>
    </xf>
    <xf numFmtId="0" fontId="165" fillId="0" borderId="3459" applyFill="0" applyProtection="0">
      <alignment horizontal="center"/>
    </xf>
    <xf numFmtId="186" fontId="146" fillId="3" borderId="3459" applyBorder="0">
      <alignment horizontal="left" vertical="center"/>
    </xf>
    <xf numFmtId="180" fontId="9" fillId="3" borderId="3459">
      <alignment horizontal="right" vertical="center"/>
    </xf>
    <xf numFmtId="192" fontId="9" fillId="3" borderId="3459">
      <alignment horizontal="right" vertical="center"/>
    </xf>
    <xf numFmtId="248" fontId="46" fillId="0" borderId="3459"/>
    <xf numFmtId="0" fontId="12" fillId="0" borderId="3459" applyNumberFormat="0" applyFill="0" applyBorder="0" applyAlignment="0" applyProtection="0">
      <alignment horizontal="center"/>
    </xf>
    <xf numFmtId="0" fontId="113" fillId="0" borderId="3459" applyNumberFormat="0" applyFill="0" applyAlignment="0" applyProtection="0"/>
    <xf numFmtId="222" fontId="79" fillId="0" borderId="3458" applyBorder="0"/>
    <xf numFmtId="0" fontId="101" fillId="0" borderId="3459" applyBorder="0"/>
    <xf numFmtId="222" fontId="79" fillId="0" borderId="3866" applyBorder="0"/>
    <xf numFmtId="222" fontId="79" fillId="0" borderId="3458" applyBorder="0"/>
    <xf numFmtId="0" fontId="75" fillId="0" borderId="3448" applyNumberFormat="0" applyFont="0" applyFill="0" applyAlignment="0" applyProtection="0"/>
    <xf numFmtId="186" fontId="146" fillId="3" borderId="3450">
      <alignment horizontal="left"/>
    </xf>
    <xf numFmtId="186" fontId="140" fillId="3" borderId="3451">
      <alignment horizontal="center" vertical="center"/>
    </xf>
    <xf numFmtId="0" fontId="2" fillId="0" borderId="3452" applyNumberFormat="0" applyAlignment="0" applyProtection="0"/>
    <xf numFmtId="0" fontId="214" fillId="0" borderId="3453" applyNumberFormat="0" applyFont="0" applyFill="0" applyAlignment="0" applyProtection="0"/>
    <xf numFmtId="0" fontId="25" fillId="10" borderId="3454" applyNumberFormat="0" applyProtection="0">
      <alignment horizontal="left" vertical="top"/>
    </xf>
    <xf numFmtId="0" fontId="25" fillId="10" borderId="3455" applyNumberFormat="0" applyProtection="0">
      <alignment horizontal="left" vertical="top"/>
    </xf>
    <xf numFmtId="0" fontId="25" fillId="10" borderId="3456" applyNumberFormat="0" applyProtection="0">
      <alignment horizontal="left" vertical="top"/>
    </xf>
    <xf numFmtId="0" fontId="25" fillId="10" borderId="3457" applyNumberFormat="0" applyProtection="0">
      <alignment horizontal="left" vertical="top"/>
    </xf>
    <xf numFmtId="246" fontId="250" fillId="0" borderId="3519" applyFill="0" applyProtection="0">
      <alignment horizontal="center"/>
    </xf>
    <xf numFmtId="0" fontId="78" fillId="14" borderId="3449" applyFont="0" applyFill="0" applyBorder="0" applyAlignment="0" applyProtection="0"/>
    <xf numFmtId="264" fontId="12" fillId="14" borderId="3579" applyFont="0" applyFill="0" applyBorder="0" applyAlignment="0" applyProtection="0">
      <alignment horizontal="right"/>
    </xf>
    <xf numFmtId="186" fontId="146" fillId="3" borderId="3558">
      <alignment horizontal="left"/>
    </xf>
    <xf numFmtId="222" fontId="79" fillId="0" borderId="3446" applyBorder="0"/>
    <xf numFmtId="312" fontId="101" fillId="0" borderId="3579" applyBorder="0"/>
    <xf numFmtId="0" fontId="75" fillId="0" borderId="3556" applyNumberFormat="0" applyFont="0" applyFill="0" applyAlignment="0" applyProtection="0"/>
    <xf numFmtId="0" fontId="75" fillId="0" borderId="3520" applyNumberFormat="0" applyFont="0" applyFill="0" applyAlignment="0" applyProtection="0"/>
    <xf numFmtId="0" fontId="241" fillId="94" borderId="3519" applyBorder="0" applyProtection="0">
      <alignment horizontal="centerContinuous" vertical="center"/>
    </xf>
    <xf numFmtId="0" fontId="241" fillId="94" borderId="3579" applyBorder="0" applyProtection="0">
      <alignment horizontal="centerContinuous" vertical="center"/>
    </xf>
    <xf numFmtId="186" fontId="146" fillId="3" borderId="3522">
      <alignment horizontal="left"/>
    </xf>
    <xf numFmtId="186" fontId="140" fillId="3" borderId="3523">
      <alignment horizontal="center" vertical="center"/>
    </xf>
    <xf numFmtId="192" fontId="9" fillId="3" borderId="3519">
      <alignment horizontal="right" vertical="center"/>
    </xf>
    <xf numFmtId="0" fontId="78" fillId="14" borderId="3425" applyFont="0" applyFill="0" applyBorder="0" applyAlignment="0" applyProtection="0"/>
    <xf numFmtId="222" fontId="79" fillId="0" borderId="3434" applyBorder="0"/>
    <xf numFmtId="0" fontId="214" fillId="0" borderId="3573" applyNumberFormat="0" applyFont="0" applyFill="0" applyAlignment="0" applyProtection="0"/>
    <xf numFmtId="0" fontId="2" fillId="0" borderId="3524" applyNumberFormat="0" applyAlignment="0" applyProtection="0"/>
    <xf numFmtId="0" fontId="78" fillId="14" borderId="3437" applyFont="0" applyFill="0" applyBorder="0" applyAlignment="0" applyProtection="0"/>
    <xf numFmtId="0" fontId="25" fillId="10" borderId="3445" applyNumberFormat="0" applyProtection="0">
      <alignment horizontal="left" vertical="top"/>
    </xf>
    <xf numFmtId="0" fontId="25" fillId="10" borderId="3444" applyNumberFormat="0" applyProtection="0">
      <alignment horizontal="left" vertical="top"/>
    </xf>
    <xf numFmtId="0" fontId="25" fillId="10" borderId="3443" applyNumberFormat="0" applyProtection="0">
      <alignment horizontal="left" vertical="top"/>
    </xf>
    <xf numFmtId="0" fontId="25" fillId="10" borderId="3442" applyNumberFormat="0" applyProtection="0">
      <alignment horizontal="left" vertical="top"/>
    </xf>
    <xf numFmtId="0" fontId="214" fillId="0" borderId="3441" applyNumberFormat="0" applyFont="0" applyFill="0" applyAlignment="0" applyProtection="0"/>
    <xf numFmtId="186" fontId="140" fillId="3" borderId="3439">
      <alignment horizontal="center" vertical="center"/>
    </xf>
    <xf numFmtId="186" fontId="146" fillId="3" borderId="3438">
      <alignment horizontal="left"/>
    </xf>
    <xf numFmtId="0" fontId="75" fillId="0" borderId="3436" applyNumberFormat="0" applyFont="0" applyFill="0" applyAlignment="0" applyProtection="0"/>
    <xf numFmtId="222" fontId="79" fillId="0" borderId="3446" applyBorder="0"/>
    <xf numFmtId="0" fontId="101" fillId="0" borderId="3447" applyBorder="0"/>
    <xf numFmtId="222" fontId="79" fillId="0" borderId="3446" applyBorder="0"/>
    <xf numFmtId="0" fontId="113" fillId="0" borderId="3447" applyNumberFormat="0" applyFill="0" applyAlignment="0" applyProtection="0"/>
    <xf numFmtId="0" fontId="12" fillId="0" borderId="3447" applyNumberFormat="0" applyFill="0" applyBorder="0" applyAlignment="0" applyProtection="0">
      <alignment horizontal="center"/>
    </xf>
    <xf numFmtId="248" fontId="46" fillId="0" borderId="3447"/>
    <xf numFmtId="192" fontId="9" fillId="3" borderId="3447">
      <alignment horizontal="right" vertical="center"/>
    </xf>
    <xf numFmtId="180" fontId="9" fillId="3" borderId="3447">
      <alignment horizontal="right" vertical="center"/>
    </xf>
    <xf numFmtId="186" fontId="146" fillId="3" borderId="3447" applyBorder="0">
      <alignment horizontal="left" vertical="center"/>
    </xf>
    <xf numFmtId="0" fontId="165" fillId="0" borderId="3447" applyFill="0" applyProtection="0">
      <alignment horizontal="center"/>
    </xf>
    <xf numFmtId="0" fontId="166" fillId="0" borderId="3447">
      <alignment horizontal="center"/>
    </xf>
    <xf numFmtId="264" fontId="12" fillId="14" borderId="3447" applyFont="0" applyFill="0" applyBorder="0" applyAlignment="0" applyProtection="0">
      <alignment horizontal="right"/>
    </xf>
    <xf numFmtId="0" fontId="210" fillId="0" borderId="3447" applyNumberFormat="0" applyFill="0" applyBorder="0" applyAlignment="0">
      <protection locked="0"/>
    </xf>
    <xf numFmtId="254" fontId="240" fillId="0" borderId="3447" applyBorder="0" applyProtection="0">
      <alignment horizontal="right" vertical="center"/>
    </xf>
    <xf numFmtId="0" fontId="241" fillId="94" borderId="3447" applyBorder="0" applyProtection="0">
      <alignment horizontal="centerContinuous" vertical="center"/>
    </xf>
    <xf numFmtId="246" fontId="249" fillId="0" borderId="3447" applyFill="0" applyProtection="0">
      <alignment horizontal="center"/>
    </xf>
    <xf numFmtId="246" fontId="250" fillId="0" borderId="3447" applyFill="0" applyProtection="0">
      <alignment horizontal="center"/>
    </xf>
    <xf numFmtId="0" fontId="241" fillId="94" borderId="3531" applyBorder="0" applyProtection="0">
      <alignment horizontal="centerContinuous" vertical="center"/>
    </xf>
    <xf numFmtId="0" fontId="166" fillId="0" borderId="3531">
      <alignment horizontal="center"/>
    </xf>
    <xf numFmtId="0" fontId="2" fillId="0" borderId="3464" applyNumberFormat="0" applyAlignment="0" applyProtection="0"/>
    <xf numFmtId="0" fontId="214" fillId="0" borderId="3465" applyNumberFormat="0" applyFont="0" applyFill="0" applyAlignment="0" applyProtection="0"/>
    <xf numFmtId="246" fontId="250" fillId="0" borderId="3471" applyFill="0" applyProtection="0">
      <alignment horizontal="center"/>
    </xf>
    <xf numFmtId="246" fontId="249" fillId="0" borderId="3471" applyFill="0" applyProtection="0">
      <alignment horizontal="center"/>
    </xf>
    <xf numFmtId="0" fontId="241" fillId="94" borderId="3471" applyBorder="0" applyProtection="0">
      <alignment horizontal="centerContinuous" vertical="center"/>
    </xf>
    <xf numFmtId="254" fontId="240" fillId="0" borderId="3471" applyBorder="0" applyProtection="0">
      <alignment horizontal="right" vertical="center"/>
    </xf>
    <xf numFmtId="0" fontId="210" fillId="0" borderId="3471" applyNumberFormat="0" applyFill="0" applyBorder="0" applyAlignment="0">
      <protection locked="0"/>
    </xf>
    <xf numFmtId="264" fontId="12" fillId="14" borderId="3471" applyFont="0" applyFill="0" applyBorder="0" applyAlignment="0" applyProtection="0">
      <alignment horizontal="right"/>
    </xf>
    <xf numFmtId="0" fontId="166" fillId="0" borderId="3471">
      <alignment horizontal="center"/>
    </xf>
    <xf numFmtId="0" fontId="165" fillId="0" borderId="3471" applyFill="0" applyProtection="0">
      <alignment horizontal="center"/>
    </xf>
    <xf numFmtId="186" fontId="146" fillId="3" borderId="3471" applyBorder="0">
      <alignment horizontal="left" vertical="center"/>
    </xf>
    <xf numFmtId="180" fontId="9" fillId="3" borderId="3471">
      <alignment horizontal="right" vertical="center"/>
    </xf>
    <xf numFmtId="192" fontId="9" fillId="3" borderId="3471">
      <alignment horizontal="right" vertical="center"/>
    </xf>
    <xf numFmtId="248" fontId="46" fillId="0" borderId="3471"/>
    <xf numFmtId="0" fontId="12" fillId="0" borderId="3471" applyNumberFormat="0" applyFill="0" applyBorder="0" applyAlignment="0" applyProtection="0">
      <alignment horizontal="center"/>
    </xf>
    <xf numFmtId="0" fontId="113" fillId="0" borderId="3471" applyNumberFormat="0" applyFill="0" applyAlignment="0" applyProtection="0"/>
    <xf numFmtId="222" fontId="79" fillId="0" borderId="3470" applyBorder="0"/>
    <xf numFmtId="0" fontId="101" fillId="0" borderId="3471" applyBorder="0"/>
    <xf numFmtId="222" fontId="79" fillId="0" borderId="3470" applyBorder="0"/>
    <xf numFmtId="0" fontId="75" fillId="0" borderId="3460" applyNumberFormat="0" applyFont="0" applyFill="0" applyAlignment="0" applyProtection="0"/>
    <xf numFmtId="186" fontId="146" fillId="3" borderId="3462">
      <alignment horizontal="left"/>
    </xf>
    <xf numFmtId="186" fontId="140" fillId="3" borderId="3463">
      <alignment horizontal="center" vertical="center"/>
    </xf>
    <xf numFmtId="0" fontId="2" fillId="0" borderId="3464" applyNumberFormat="0" applyAlignment="0" applyProtection="0"/>
    <xf numFmtId="0" fontId="214" fillId="0" borderId="3465" applyNumberFormat="0" applyFont="0" applyFill="0" applyAlignment="0" applyProtection="0"/>
    <xf numFmtId="0" fontId="25" fillId="10" borderId="3466" applyNumberFormat="0" applyProtection="0">
      <alignment horizontal="left" vertical="top"/>
    </xf>
    <xf numFmtId="0" fontId="25" fillId="10" borderId="3467" applyNumberFormat="0" applyProtection="0">
      <alignment horizontal="left" vertical="top"/>
    </xf>
    <xf numFmtId="0" fontId="25" fillId="10" borderId="3468" applyNumberFormat="0" applyProtection="0">
      <alignment horizontal="left" vertical="top"/>
    </xf>
    <xf numFmtId="0" fontId="25" fillId="10" borderId="3469" applyNumberFormat="0" applyProtection="0">
      <alignment horizontal="left" vertical="top"/>
    </xf>
    <xf numFmtId="0" fontId="78" fillId="14" borderId="3461" applyFont="0" applyFill="0" applyBorder="0" applyAlignment="0" applyProtection="0"/>
    <xf numFmtId="222" fontId="79" fillId="0" borderId="3458" applyBorder="0"/>
    <xf numFmtId="0" fontId="78" fillId="14" borderId="3473" applyFont="0" applyFill="0" applyBorder="0" applyAlignment="0" applyProtection="0"/>
    <xf numFmtId="186" fontId="146" fillId="3" borderId="3462">
      <alignment horizontal="left"/>
    </xf>
    <xf numFmtId="0" fontId="78" fillId="14" borderId="3449" applyFont="0" applyFill="0" applyBorder="0" applyAlignment="0" applyProtection="0"/>
    <xf numFmtId="222" fontId="79" fillId="0" borderId="3458" applyBorder="0"/>
    <xf numFmtId="0" fontId="2" fillId="0" borderId="3476" applyNumberFormat="0" applyAlignment="0" applyProtection="0"/>
    <xf numFmtId="0" fontId="78" fillId="14" borderId="3449" applyFont="0" applyFill="0" applyBorder="0" applyAlignment="0" applyProtection="0"/>
    <xf numFmtId="0" fontId="25" fillId="10" borderId="3457" applyNumberFormat="0" applyProtection="0">
      <alignment horizontal="left" vertical="top"/>
    </xf>
    <xf numFmtId="0" fontId="25" fillId="10" borderId="3456" applyNumberFormat="0" applyProtection="0">
      <alignment horizontal="left" vertical="top"/>
    </xf>
    <xf numFmtId="0" fontId="25" fillId="10" borderId="3455" applyNumberFormat="0" applyProtection="0">
      <alignment horizontal="left" vertical="top"/>
    </xf>
    <xf numFmtId="0" fontId="25" fillId="10" borderId="3454" applyNumberFormat="0" applyProtection="0">
      <alignment horizontal="left" vertical="top"/>
    </xf>
    <xf numFmtId="0" fontId="25" fillId="10" borderId="3479" applyNumberFormat="0" applyProtection="0">
      <alignment horizontal="left" vertical="top"/>
    </xf>
    <xf numFmtId="0" fontId="214" fillId="0" borderId="3453" applyNumberFormat="0" applyFont="0" applyFill="0" applyAlignment="0" applyProtection="0"/>
    <xf numFmtId="0" fontId="2" fillId="0" borderId="3452" applyNumberFormat="0" applyAlignment="0" applyProtection="0"/>
    <xf numFmtId="186" fontId="140" fillId="3" borderId="3451">
      <alignment horizontal="center" vertical="center"/>
    </xf>
    <xf numFmtId="186" fontId="146" fillId="3" borderId="3450">
      <alignment horizontal="left"/>
    </xf>
    <xf numFmtId="0" fontId="25" fillId="10" borderId="3481" applyNumberFormat="0" applyProtection="0">
      <alignment horizontal="left" vertical="top"/>
    </xf>
    <xf numFmtId="0" fontId="75" fillId="0" borderId="3448" applyNumberFormat="0" applyFont="0" applyFill="0" applyAlignment="0" applyProtection="0"/>
    <xf numFmtId="222" fontId="79" fillId="0" borderId="3458" applyBorder="0"/>
    <xf numFmtId="0" fontId="101" fillId="0" borderId="3459" applyBorder="0"/>
    <xf numFmtId="222" fontId="79" fillId="0" borderId="3458" applyBorder="0"/>
    <xf numFmtId="0" fontId="113" fillId="0" borderId="3459" applyNumberFormat="0" applyFill="0" applyAlignment="0" applyProtection="0"/>
    <xf numFmtId="0" fontId="12" fillId="0" borderId="3459" applyNumberFormat="0" applyFill="0" applyBorder="0" applyAlignment="0" applyProtection="0">
      <alignment horizontal="center"/>
    </xf>
    <xf numFmtId="248" fontId="46" fillId="0" borderId="3459"/>
    <xf numFmtId="192" fontId="9" fillId="3" borderId="3459">
      <alignment horizontal="right" vertical="center"/>
    </xf>
    <xf numFmtId="180" fontId="9" fillId="3" borderId="3459">
      <alignment horizontal="right" vertical="center"/>
    </xf>
    <xf numFmtId="186" fontId="146" fillId="3" borderId="3459" applyBorder="0">
      <alignment horizontal="left" vertical="center"/>
    </xf>
    <xf numFmtId="0" fontId="165" fillId="0" borderId="3459" applyFill="0" applyProtection="0">
      <alignment horizontal="center"/>
    </xf>
    <xf numFmtId="0" fontId="166" fillId="0" borderId="3459">
      <alignment horizontal="center"/>
    </xf>
    <xf numFmtId="264" fontId="12" fillId="14" borderId="3459" applyFont="0" applyFill="0" applyBorder="0" applyAlignment="0" applyProtection="0">
      <alignment horizontal="right"/>
    </xf>
    <xf numFmtId="0" fontId="210" fillId="0" borderId="3459" applyNumberFormat="0" applyFill="0" applyBorder="0" applyAlignment="0">
      <protection locked="0"/>
    </xf>
    <xf numFmtId="254" fontId="240" fillId="0" borderId="3459" applyBorder="0" applyProtection="0">
      <alignment horizontal="right" vertical="center"/>
    </xf>
    <xf numFmtId="0" fontId="241" fillId="94" borderId="3459" applyBorder="0" applyProtection="0">
      <alignment horizontal="centerContinuous" vertical="center"/>
    </xf>
    <xf numFmtId="246" fontId="249" fillId="0" borderId="3459" applyFill="0" applyProtection="0">
      <alignment horizontal="center"/>
    </xf>
    <xf numFmtId="246" fontId="250" fillId="0" borderId="3459" applyFill="0" applyProtection="0">
      <alignment horizontal="center"/>
    </xf>
    <xf numFmtId="186" fontId="140" fillId="3" borderId="3475">
      <alignment horizontal="center" vertical="center"/>
    </xf>
    <xf numFmtId="0" fontId="78" fillId="14" borderId="3461" applyFont="0" applyFill="0" applyBorder="0" applyAlignment="0" applyProtection="0"/>
    <xf numFmtId="222" fontId="79" fillId="0" borderId="3482" applyBorder="0"/>
    <xf numFmtId="0" fontId="78" fillId="14" borderId="3485" applyFont="0" applyFill="0" applyBorder="0" applyAlignment="0" applyProtection="0"/>
    <xf numFmtId="0" fontId="25" fillId="10" borderId="3493" applyNumberFormat="0" applyProtection="0">
      <alignment horizontal="left" vertical="top"/>
    </xf>
    <xf numFmtId="0" fontId="25" fillId="10" borderId="3492" applyNumberFormat="0" applyProtection="0">
      <alignment horizontal="left" vertical="top"/>
    </xf>
    <xf numFmtId="0" fontId="25" fillId="10" borderId="3491" applyNumberFormat="0" applyProtection="0">
      <alignment horizontal="left" vertical="top"/>
    </xf>
    <xf numFmtId="0" fontId="25" fillId="10" borderId="3490" applyNumberFormat="0" applyProtection="0">
      <alignment horizontal="left" vertical="top"/>
    </xf>
    <xf numFmtId="0" fontId="214" fillId="0" borderId="3489" applyNumberFormat="0" applyFont="0" applyFill="0" applyAlignment="0" applyProtection="0"/>
    <xf numFmtId="0" fontId="2" fillId="0" borderId="3488" applyNumberFormat="0" applyAlignment="0" applyProtection="0"/>
    <xf numFmtId="186" fontId="140" fillId="3" borderId="3487">
      <alignment horizontal="center" vertical="center"/>
    </xf>
    <xf numFmtId="186" fontId="146" fillId="3" borderId="3486">
      <alignment horizontal="left"/>
    </xf>
    <xf numFmtId="0" fontId="75" fillId="0" borderId="3484" applyNumberFormat="0" applyFont="0" applyFill="0" applyAlignment="0" applyProtection="0"/>
    <xf numFmtId="222" fontId="79" fillId="0" borderId="3494" applyBorder="0"/>
    <xf numFmtId="0" fontId="101" fillId="0" borderId="3495" applyBorder="0"/>
    <xf numFmtId="222" fontId="79" fillId="0" borderId="3494" applyBorder="0"/>
    <xf numFmtId="0" fontId="113" fillId="0" borderId="3495" applyNumberFormat="0" applyFill="0" applyAlignment="0" applyProtection="0"/>
    <xf numFmtId="0" fontId="12" fillId="0" borderId="3495" applyNumberFormat="0" applyFill="0" applyBorder="0" applyAlignment="0" applyProtection="0">
      <alignment horizontal="center"/>
    </xf>
    <xf numFmtId="248" fontId="46" fillId="0" borderId="3495"/>
    <xf numFmtId="192" fontId="9" fillId="3" borderId="3495">
      <alignment horizontal="right" vertical="center"/>
    </xf>
    <xf numFmtId="180" fontId="9" fillId="3" borderId="3495">
      <alignment horizontal="right" vertical="center"/>
    </xf>
    <xf numFmtId="186" fontId="146" fillId="3" borderId="3495" applyBorder="0">
      <alignment horizontal="left" vertical="center"/>
    </xf>
    <xf numFmtId="0" fontId="165" fillId="0" borderId="3495" applyFill="0" applyProtection="0">
      <alignment horizontal="center"/>
    </xf>
    <xf numFmtId="0" fontId="166" fillId="0" borderId="3495">
      <alignment horizontal="center"/>
    </xf>
    <xf numFmtId="264" fontId="12" fillId="14" borderId="3495" applyFont="0" applyFill="0" applyBorder="0" applyAlignment="0" applyProtection="0">
      <alignment horizontal="right"/>
    </xf>
    <xf numFmtId="0" fontId="210" fillId="0" borderId="3495" applyNumberFormat="0" applyFill="0" applyBorder="0" applyAlignment="0">
      <protection locked="0"/>
    </xf>
    <xf numFmtId="254" fontId="240" fillId="0" borderId="3495" applyBorder="0" applyProtection="0">
      <alignment horizontal="right" vertical="center"/>
    </xf>
    <xf numFmtId="0" fontId="241" fillId="94" borderId="3495" applyBorder="0" applyProtection="0">
      <alignment horizontal="centerContinuous" vertical="center"/>
    </xf>
    <xf numFmtId="246" fontId="249" fillId="0" borderId="3495" applyFill="0" applyProtection="0">
      <alignment horizontal="center"/>
    </xf>
    <xf numFmtId="246" fontId="250" fillId="0" borderId="3495" applyFill="0" applyProtection="0">
      <alignment horizontal="center"/>
    </xf>
    <xf numFmtId="222" fontId="79" fillId="0" borderId="3506" applyBorder="0"/>
    <xf numFmtId="0" fontId="78" fillId="14" borderId="3509" applyFont="0" applyFill="0" applyBorder="0" applyAlignment="0" applyProtection="0"/>
    <xf numFmtId="0" fontId="25" fillId="10" borderId="3517" applyNumberFormat="0" applyProtection="0">
      <alignment horizontal="left" vertical="top"/>
    </xf>
    <xf numFmtId="0" fontId="25" fillId="10" borderId="3516" applyNumberFormat="0" applyProtection="0">
      <alignment horizontal="left" vertical="top"/>
    </xf>
    <xf numFmtId="0" fontId="25" fillId="10" borderId="3515" applyNumberFormat="0" applyProtection="0">
      <alignment horizontal="left" vertical="top"/>
    </xf>
    <xf numFmtId="0" fontId="25" fillId="10" borderId="3514" applyNumberFormat="0" applyProtection="0">
      <alignment horizontal="left" vertical="top"/>
    </xf>
    <xf numFmtId="0" fontId="214" fillId="0" borderId="3513" applyNumberFormat="0" applyFont="0" applyFill="0" applyAlignment="0" applyProtection="0"/>
    <xf numFmtId="0" fontId="2" fillId="0" borderId="3512" applyNumberFormat="0" applyAlignment="0" applyProtection="0"/>
    <xf numFmtId="186" fontId="140" fillId="3" borderId="3511">
      <alignment horizontal="center" vertical="center"/>
    </xf>
    <xf numFmtId="186" fontId="146" fillId="3" borderId="3510">
      <alignment horizontal="left"/>
    </xf>
    <xf numFmtId="0" fontId="75" fillId="0" borderId="3508" applyNumberFormat="0" applyFont="0" applyFill="0" applyAlignment="0" applyProtection="0"/>
    <xf numFmtId="222" fontId="79" fillId="0" borderId="3518" applyBorder="0"/>
    <xf numFmtId="0" fontId="101" fillId="0" borderId="3519" applyBorder="0"/>
    <xf numFmtId="222" fontId="79" fillId="0" borderId="3518" applyBorder="0"/>
    <xf numFmtId="0" fontId="113" fillId="0" borderId="3519" applyNumberFormat="0" applyFill="0" applyAlignment="0" applyProtection="0"/>
    <xf numFmtId="0" fontId="12" fillId="0" borderId="3519" applyNumberFormat="0" applyFill="0" applyBorder="0" applyAlignment="0" applyProtection="0">
      <alignment horizontal="center"/>
    </xf>
    <xf numFmtId="248" fontId="46" fillId="0" borderId="3519"/>
    <xf numFmtId="192" fontId="9" fillId="3" borderId="3519">
      <alignment horizontal="right" vertical="center"/>
    </xf>
    <xf numFmtId="180" fontId="9" fillId="3" borderId="3519">
      <alignment horizontal="right" vertical="center"/>
    </xf>
    <xf numFmtId="186" fontId="146" fillId="3" borderId="3519" applyBorder="0">
      <alignment horizontal="left" vertical="center"/>
    </xf>
    <xf numFmtId="0" fontId="165" fillId="0" borderId="3519" applyFill="0" applyProtection="0">
      <alignment horizontal="center"/>
    </xf>
    <xf numFmtId="0" fontId="166" fillId="0" borderId="3519">
      <alignment horizontal="center"/>
    </xf>
    <xf numFmtId="264" fontId="12" fillId="14" borderId="3519" applyFont="0" applyFill="0" applyBorder="0" applyAlignment="0" applyProtection="0">
      <alignment horizontal="right"/>
    </xf>
    <xf numFmtId="0" fontId="210" fillId="0" borderId="3519" applyNumberFormat="0" applyFill="0" applyBorder="0" applyAlignment="0">
      <protection locked="0"/>
    </xf>
    <xf numFmtId="254" fontId="240" fillId="0" borderId="3519" applyBorder="0" applyProtection="0">
      <alignment horizontal="right" vertical="center"/>
    </xf>
    <xf numFmtId="0" fontId="241" fillId="94" borderId="3519" applyBorder="0" applyProtection="0">
      <alignment horizontal="centerContinuous" vertical="center"/>
    </xf>
    <xf numFmtId="246" fontId="249" fillId="0" borderId="3519" applyFill="0" applyProtection="0">
      <alignment horizontal="center"/>
    </xf>
    <xf numFmtId="246" fontId="250" fillId="0" borderId="3519" applyFill="0" applyProtection="0">
      <alignment horizontal="center"/>
    </xf>
    <xf numFmtId="0" fontId="75" fillId="0" borderId="3532" applyNumberFormat="0" applyFont="0" applyFill="0" applyAlignment="0" applyProtection="0"/>
    <xf numFmtId="0" fontId="78" fillId="14" borderId="3533" applyFont="0" applyFill="0" applyBorder="0" applyAlignment="0" applyProtection="0"/>
    <xf numFmtId="186" fontId="146" fillId="3" borderId="3534">
      <alignment horizontal="left"/>
    </xf>
    <xf numFmtId="186" fontId="140" fillId="3" borderId="3535">
      <alignment horizontal="center" vertical="center"/>
    </xf>
    <xf numFmtId="0" fontId="2" fillId="0" borderId="3536" applyNumberFormat="0" applyAlignment="0" applyProtection="0"/>
    <xf numFmtId="0" fontId="214" fillId="0" borderId="3537" applyNumberFormat="0" applyFont="0" applyFill="0" applyAlignment="0" applyProtection="0"/>
    <xf numFmtId="0" fontId="25" fillId="10" borderId="3538" applyNumberFormat="0" applyProtection="0">
      <alignment horizontal="left" vertical="top"/>
    </xf>
    <xf numFmtId="0" fontId="25" fillId="10" borderId="3539" applyNumberFormat="0" applyProtection="0">
      <alignment horizontal="left" vertical="top"/>
    </xf>
    <xf numFmtId="0" fontId="25" fillId="10" borderId="3540" applyNumberFormat="0" applyProtection="0">
      <alignment horizontal="left" vertical="top"/>
    </xf>
    <xf numFmtId="0" fontId="25" fillId="10" borderId="3541" applyNumberFormat="0" applyProtection="0">
      <alignment horizontal="left" vertical="top"/>
    </xf>
    <xf numFmtId="0" fontId="25" fillId="10" borderId="3528" applyNumberFormat="0" applyProtection="0">
      <alignment horizontal="left" vertical="top"/>
    </xf>
    <xf numFmtId="190" fontId="210" fillId="0" borderId="3579" applyNumberFormat="0" applyFill="0" applyBorder="0" applyAlignment="0">
      <protection locked="0"/>
    </xf>
    <xf numFmtId="254" fontId="240" fillId="0" borderId="3567" applyBorder="0" applyProtection="0">
      <alignment horizontal="right" vertical="center"/>
    </xf>
    <xf numFmtId="246" fontId="250" fillId="0" borderId="3531" applyFill="0" applyProtection="0">
      <alignment horizontal="center"/>
    </xf>
    <xf numFmtId="246" fontId="249" fillId="0" borderId="3531" applyFill="0" applyProtection="0">
      <alignment horizontal="center"/>
    </xf>
    <xf numFmtId="0" fontId="241" fillId="94" borderId="3531" applyBorder="0" applyProtection="0">
      <alignment horizontal="centerContinuous" vertical="center"/>
    </xf>
    <xf numFmtId="254" fontId="240" fillId="0" borderId="3531" applyBorder="0" applyProtection="0">
      <alignment horizontal="right" vertical="center"/>
    </xf>
    <xf numFmtId="0" fontId="210" fillId="0" borderId="3531" applyNumberFormat="0" applyFill="0" applyBorder="0" applyAlignment="0">
      <protection locked="0"/>
    </xf>
    <xf numFmtId="264" fontId="12" fillId="14" borderId="3531" applyFont="0" applyFill="0" applyBorder="0" applyAlignment="0" applyProtection="0">
      <alignment horizontal="right"/>
    </xf>
    <xf numFmtId="0" fontId="166" fillId="0" borderId="3531">
      <alignment horizontal="center"/>
    </xf>
    <xf numFmtId="0" fontId="165" fillId="0" borderId="3531" applyFill="0" applyProtection="0">
      <alignment horizontal="center"/>
    </xf>
    <xf numFmtId="246" fontId="250" fillId="0" borderId="3519" applyFill="0" applyProtection="0">
      <alignment horizontal="center"/>
    </xf>
    <xf numFmtId="0" fontId="25" fillId="10" borderId="3538" applyNumberFormat="0" applyProtection="0">
      <alignment horizontal="left" vertical="top"/>
    </xf>
    <xf numFmtId="186" fontId="146" fillId="3" borderId="3531" applyBorder="0">
      <alignment horizontal="left" vertical="center"/>
    </xf>
    <xf numFmtId="180" fontId="9" fillId="3" borderId="3531">
      <alignment horizontal="right" vertical="center"/>
    </xf>
    <xf numFmtId="192" fontId="9" fillId="3" borderId="3531">
      <alignment horizontal="right" vertical="center"/>
    </xf>
    <xf numFmtId="0" fontId="12" fillId="0" borderId="3531" applyNumberFormat="0" applyFill="0" applyBorder="0" applyAlignment="0" applyProtection="0">
      <alignment horizontal="center"/>
    </xf>
    <xf numFmtId="0" fontId="113" fillId="0" borderId="3531" applyNumberFormat="0" applyFill="0" applyAlignment="0" applyProtection="0"/>
    <xf numFmtId="0" fontId="25" fillId="10" borderId="3565" applyNumberFormat="0" applyProtection="0">
      <alignment horizontal="left" vertical="top"/>
    </xf>
    <xf numFmtId="246" fontId="250" fillId="0" borderId="3579" applyFill="0" applyProtection="0">
      <alignment horizontal="center"/>
    </xf>
    <xf numFmtId="222" fontId="79" fillId="0" borderId="3530" applyBorder="0"/>
    <xf numFmtId="0" fontId="101" fillId="0" borderId="3531" applyBorder="0"/>
    <xf numFmtId="248" fontId="46" fillId="0" borderId="3531"/>
    <xf numFmtId="0" fontId="101" fillId="0" borderId="3531" applyBorder="0"/>
    <xf numFmtId="222" fontId="79" fillId="0" borderId="3530" applyBorder="0"/>
    <xf numFmtId="0" fontId="113" fillId="0" borderId="3531" applyNumberFormat="0" applyFill="0" applyAlignment="0" applyProtection="0"/>
    <xf numFmtId="0" fontId="75" fillId="0" borderId="3532" applyNumberFormat="0" applyFont="0" applyFill="0" applyAlignment="0" applyProtection="0"/>
    <xf numFmtId="0" fontId="12" fillId="0" borderId="3531" applyNumberFormat="0" applyFill="0" applyBorder="0" applyAlignment="0" applyProtection="0">
      <alignment horizontal="center"/>
    </xf>
    <xf numFmtId="248" fontId="46" fillId="0" borderId="3531"/>
    <xf numFmtId="192" fontId="9" fillId="3" borderId="3531">
      <alignment horizontal="right" vertical="center"/>
    </xf>
    <xf numFmtId="180" fontId="9" fillId="3" borderId="3531">
      <alignment horizontal="right" vertical="center"/>
    </xf>
    <xf numFmtId="186" fontId="146" fillId="3" borderId="3531" applyBorder="0">
      <alignment horizontal="left" vertical="center"/>
    </xf>
    <xf numFmtId="186" fontId="146" fillId="3" borderId="3534">
      <alignment horizontal="left"/>
    </xf>
    <xf numFmtId="186" fontId="140" fillId="3" borderId="3535">
      <alignment horizontal="center" vertical="center"/>
    </xf>
    <xf numFmtId="0" fontId="165" fillId="0" borderId="3531" applyFill="0" applyProtection="0">
      <alignment horizontal="center"/>
    </xf>
    <xf numFmtId="0" fontId="166" fillId="0" borderId="3531">
      <alignment horizontal="center"/>
    </xf>
    <xf numFmtId="264" fontId="12" fillId="14" borderId="3531" applyFont="0" applyFill="0" applyBorder="0" applyAlignment="0" applyProtection="0">
      <alignment horizontal="right"/>
    </xf>
    <xf numFmtId="0" fontId="210" fillId="0" borderId="3531" applyNumberFormat="0" applyFill="0" applyBorder="0" applyAlignment="0">
      <protection locked="0"/>
    </xf>
    <xf numFmtId="0" fontId="2" fillId="0" borderId="3536" applyNumberFormat="0" applyAlignment="0" applyProtection="0"/>
    <xf numFmtId="0" fontId="214" fillId="0" borderId="3537" applyNumberFormat="0" applyFont="0" applyFill="0" applyAlignment="0" applyProtection="0"/>
    <xf numFmtId="0" fontId="25" fillId="10" borderId="3538" applyNumberFormat="0" applyProtection="0">
      <alignment horizontal="left" vertical="top"/>
    </xf>
    <xf numFmtId="0" fontId="25" fillId="10" borderId="3539" applyNumberFormat="0" applyProtection="0">
      <alignment horizontal="left" vertical="top"/>
    </xf>
    <xf numFmtId="0" fontId="25" fillId="10" borderId="3540" applyNumberFormat="0" applyProtection="0">
      <alignment horizontal="left" vertical="top"/>
    </xf>
    <xf numFmtId="0" fontId="25" fillId="10" borderId="3541" applyNumberFormat="0" applyProtection="0">
      <alignment horizontal="left" vertical="top"/>
    </xf>
    <xf numFmtId="0" fontId="25" fillId="10" borderId="3538" applyNumberFormat="0" applyProtection="0">
      <alignment horizontal="left" vertical="top"/>
    </xf>
    <xf numFmtId="0" fontId="25" fillId="10" borderId="3539" applyNumberFormat="0" applyProtection="0">
      <alignment horizontal="left" vertical="top"/>
    </xf>
    <xf numFmtId="0" fontId="25" fillId="10" borderId="3540" applyNumberFormat="0" applyProtection="0">
      <alignment horizontal="left" vertical="top"/>
    </xf>
    <xf numFmtId="0" fontId="25" fillId="10" borderId="3541" applyNumberFormat="0" applyProtection="0">
      <alignment horizontal="left" vertical="top"/>
    </xf>
    <xf numFmtId="254" fontId="240" fillId="0" borderId="3531" applyBorder="0" applyProtection="0">
      <alignment horizontal="right" vertical="center"/>
    </xf>
    <xf numFmtId="0" fontId="241" fillId="94" borderId="3531" applyBorder="0" applyProtection="0">
      <alignment horizontal="centerContinuous" vertical="center"/>
    </xf>
    <xf numFmtId="246" fontId="249" fillId="0" borderId="3531" applyFill="0" applyProtection="0">
      <alignment horizontal="center"/>
    </xf>
    <xf numFmtId="246" fontId="250" fillId="0" borderId="3531" applyFill="0" applyProtection="0">
      <alignment horizontal="center"/>
    </xf>
    <xf numFmtId="0" fontId="25" fillId="10" borderId="3527" applyNumberFormat="0" applyProtection="0">
      <alignment horizontal="left" vertical="top"/>
    </xf>
    <xf numFmtId="312" fontId="25" fillId="10" borderId="3562" applyNumberFormat="0" applyProtection="0">
      <alignment horizontal="left" vertical="top"/>
    </xf>
    <xf numFmtId="190" fontId="101" fillId="0" borderId="3531" applyBorder="0"/>
    <xf numFmtId="246" fontId="249" fillId="0" borderId="3579" applyFill="0" applyProtection="0">
      <alignment horizontal="center"/>
    </xf>
    <xf numFmtId="0" fontId="25" fillId="10" borderId="3564" applyNumberFormat="0" applyProtection="0">
      <alignment horizontal="left" vertical="top"/>
    </xf>
    <xf numFmtId="0" fontId="166" fillId="0" borderId="3579">
      <alignment horizontal="center"/>
    </xf>
    <xf numFmtId="186" fontId="146" fillId="3" borderId="3579" applyBorder="0">
      <alignment horizontal="left" vertical="center"/>
    </xf>
    <xf numFmtId="190" fontId="113" fillId="0" borderId="3531" applyNumberFormat="0" applyFill="0" applyAlignment="0" applyProtection="0"/>
    <xf numFmtId="190" fontId="75" fillId="0" borderId="3508" applyNumberFormat="0" applyFont="0" applyFill="0" applyAlignment="0" applyProtection="0"/>
    <xf numFmtId="190" fontId="241" fillId="94" borderId="3579" applyBorder="0" applyProtection="0">
      <alignment horizontal="centerContinuous" vertical="center"/>
    </xf>
    <xf numFmtId="190" fontId="25" fillId="10" borderId="3563" applyNumberFormat="0" applyProtection="0">
      <alignment horizontal="left" vertical="top"/>
    </xf>
    <xf numFmtId="190" fontId="12" fillId="0" borderId="3531" applyNumberFormat="0" applyFill="0" applyBorder="0" applyAlignment="0" applyProtection="0">
      <alignment horizontal="center"/>
    </xf>
    <xf numFmtId="190" fontId="75" fillId="0" borderId="3556" applyNumberFormat="0" applyFont="0" applyFill="0" applyAlignment="0" applyProtection="0"/>
    <xf numFmtId="190" fontId="78" fillId="14" borderId="3521" applyFont="0" applyFill="0" applyBorder="0" applyAlignment="0" applyProtection="0"/>
    <xf numFmtId="254" fontId="240" fillId="0" borderId="3579" applyBorder="0" applyProtection="0">
      <alignment horizontal="right" vertical="center"/>
    </xf>
    <xf numFmtId="246" fontId="250" fillId="0" borderId="3579" applyFill="0" applyProtection="0">
      <alignment horizontal="center"/>
    </xf>
    <xf numFmtId="0" fontId="165" fillId="0" borderId="3567" applyFill="0" applyProtection="0">
      <alignment horizontal="center"/>
    </xf>
    <xf numFmtId="248" fontId="46" fillId="0" borderId="3567"/>
    <xf numFmtId="222" fontId="79" fillId="0" borderId="3566" applyBorder="0"/>
    <xf numFmtId="186" fontId="140" fillId="3" borderId="3559">
      <alignment horizontal="center" vertical="center"/>
    </xf>
    <xf numFmtId="0" fontId="25" fillId="10" borderId="3562" applyNumberFormat="0" applyProtection="0">
      <alignment horizontal="left" vertical="top"/>
    </xf>
    <xf numFmtId="0" fontId="25" fillId="10" borderId="3565" applyNumberFormat="0" applyProtection="0">
      <alignment horizontal="left" vertical="top"/>
    </xf>
    <xf numFmtId="246" fontId="250" fillId="0" borderId="3543" applyFill="0" applyProtection="0">
      <alignment horizontal="center"/>
    </xf>
    <xf numFmtId="254" fontId="240" fillId="0" borderId="3543" applyBorder="0" applyProtection="0">
      <alignment horizontal="right" vertical="center"/>
    </xf>
    <xf numFmtId="0" fontId="166" fillId="0" borderId="3543">
      <alignment horizontal="center"/>
    </xf>
    <xf numFmtId="180" fontId="9" fillId="3" borderId="3543">
      <alignment horizontal="right" vertical="center"/>
    </xf>
    <xf numFmtId="0" fontId="12" fillId="0" borderId="3543" applyNumberFormat="0" applyFill="0" applyBorder="0" applyAlignment="0" applyProtection="0">
      <alignment horizontal="center"/>
    </xf>
    <xf numFmtId="0" fontId="101" fillId="0" borderId="3543" applyBorder="0"/>
    <xf numFmtId="186" fontId="146" fillId="3" borderId="3534">
      <alignment horizontal="left"/>
    </xf>
    <xf numFmtId="0" fontId="25" fillId="10" borderId="3539" applyNumberFormat="0" applyProtection="0">
      <alignment horizontal="left" vertical="top"/>
    </xf>
    <xf numFmtId="246" fontId="249" fillId="0" borderId="3519" applyFill="0" applyProtection="0">
      <alignment horizontal="center"/>
    </xf>
    <xf numFmtId="0" fontId="165" fillId="0" borderId="3519" applyFill="0" applyProtection="0">
      <alignment horizontal="center"/>
    </xf>
    <xf numFmtId="0" fontId="214" fillId="0" borderId="3525" applyNumberFormat="0" applyFont="0" applyFill="0" applyAlignment="0" applyProtection="0"/>
    <xf numFmtId="0" fontId="78" fillId="14" borderId="3521" applyFont="0" applyFill="0" applyBorder="0" applyAlignment="0" applyProtection="0"/>
    <xf numFmtId="0" fontId="2" fillId="0" borderId="3524" applyNumberFormat="0" applyAlignment="0" applyProtection="0"/>
    <xf numFmtId="0" fontId="75" fillId="0" borderId="3520" applyNumberFormat="0" applyFont="0" applyFill="0" applyAlignment="0" applyProtection="0"/>
    <xf numFmtId="0" fontId="12" fillId="0" borderId="3519" applyNumberFormat="0" applyFill="0" applyBorder="0" applyAlignment="0" applyProtection="0">
      <alignment horizontal="center"/>
    </xf>
    <xf numFmtId="186" fontId="146" fillId="3" borderId="3519" applyBorder="0">
      <alignment horizontal="left" vertical="center"/>
    </xf>
    <xf numFmtId="190" fontId="165" fillId="0" borderId="3531" applyFill="0" applyProtection="0">
      <alignment horizontal="center"/>
    </xf>
    <xf numFmtId="190" fontId="166" fillId="0" borderId="3531">
      <alignment horizontal="center"/>
    </xf>
    <xf numFmtId="0" fontId="25" fillId="10" borderId="3526" applyNumberFormat="0" applyProtection="0">
      <alignment horizontal="left" vertical="top"/>
    </xf>
    <xf numFmtId="0" fontId="25" fillId="10" borderId="3529" applyNumberFormat="0" applyProtection="0">
      <alignment horizontal="left" vertical="top"/>
    </xf>
    <xf numFmtId="222" fontId="79" fillId="0" borderId="3530" applyBorder="0"/>
    <xf numFmtId="0" fontId="101" fillId="0" borderId="3519" applyBorder="0"/>
    <xf numFmtId="0" fontId="12" fillId="0" borderId="3519" applyNumberFormat="0" applyFill="0" applyBorder="0" applyAlignment="0" applyProtection="0">
      <alignment horizontal="center"/>
    </xf>
    <xf numFmtId="0" fontId="165" fillId="0" borderId="3519" applyFill="0" applyProtection="0">
      <alignment horizontal="center"/>
    </xf>
    <xf numFmtId="0" fontId="214" fillId="0" borderId="3525" applyNumberFormat="0" applyFont="0" applyFill="0" applyAlignment="0" applyProtection="0"/>
    <xf numFmtId="0" fontId="25" fillId="10" borderId="3528" applyNumberFormat="0" applyProtection="0">
      <alignment horizontal="left" vertical="top"/>
    </xf>
    <xf numFmtId="0" fontId="241" fillId="94" borderId="3555" applyBorder="0" applyProtection="0">
      <alignment horizontal="centerContinuous" vertical="center"/>
    </xf>
    <xf numFmtId="0" fontId="165" fillId="0" borderId="3531" applyFill="0" applyProtection="0">
      <alignment horizontal="center"/>
    </xf>
    <xf numFmtId="0" fontId="25" fillId="10" borderId="3577" applyNumberFormat="0" applyProtection="0">
      <alignment horizontal="left" vertical="top"/>
    </xf>
    <xf numFmtId="0" fontId="241" fillId="94" borderId="3519" applyBorder="0" applyProtection="0">
      <alignment horizontal="centerContinuous" vertical="center"/>
    </xf>
    <xf numFmtId="0" fontId="113" fillId="0" borderId="3555" applyNumberFormat="0" applyFill="0" applyAlignment="0" applyProtection="0"/>
    <xf numFmtId="0" fontId="165" fillId="0" borderId="3519" applyFill="0" applyProtection="0">
      <alignment horizontal="center"/>
    </xf>
    <xf numFmtId="0" fontId="25" fillId="10" borderId="3576" applyNumberFormat="0" applyProtection="0">
      <alignment horizontal="left" vertical="top"/>
    </xf>
    <xf numFmtId="0" fontId="25" fillId="10" borderId="3529" applyNumberFormat="0" applyProtection="0">
      <alignment horizontal="left" vertical="top"/>
    </xf>
    <xf numFmtId="0" fontId="25" fillId="10" borderId="3528" applyNumberFormat="0" applyProtection="0">
      <alignment horizontal="left" vertical="top"/>
    </xf>
    <xf numFmtId="190" fontId="210" fillId="0" borderId="3531" applyNumberFormat="0" applyFill="0" applyBorder="0" applyAlignment="0">
      <protection locked="0"/>
    </xf>
    <xf numFmtId="190" fontId="2" fillId="0" borderId="3512" applyNumberFormat="0" applyAlignment="0" applyProtection="0"/>
    <xf numFmtId="190" fontId="214" fillId="0" borderId="3513" applyNumberFormat="0" applyFont="0" applyFill="0" applyAlignment="0" applyProtection="0"/>
    <xf numFmtId="190" fontId="25" fillId="10" borderId="3514" applyNumberFormat="0" applyProtection="0">
      <alignment horizontal="left" vertical="top"/>
    </xf>
    <xf numFmtId="190" fontId="25" fillId="10" borderId="3515" applyNumberFormat="0" applyProtection="0">
      <alignment horizontal="left" vertical="top"/>
    </xf>
    <xf numFmtId="190" fontId="25" fillId="10" borderId="3516" applyNumberFormat="0" applyProtection="0">
      <alignment horizontal="left" vertical="top"/>
    </xf>
    <xf numFmtId="190" fontId="25" fillId="10" borderId="3517" applyNumberFormat="0" applyProtection="0">
      <alignment horizontal="left" vertical="top"/>
    </xf>
    <xf numFmtId="190" fontId="241" fillId="94" borderId="3531" applyBorder="0" applyProtection="0">
      <alignment horizontal="centerContinuous" vertical="center"/>
    </xf>
    <xf numFmtId="264" fontId="12" fillId="14" borderId="3915" applyFont="0" applyFill="0" applyBorder="0" applyAlignment="0" applyProtection="0">
      <alignment horizontal="right"/>
    </xf>
    <xf numFmtId="0" fontId="75" fillId="0" borderId="3916" applyNumberFormat="0" applyFont="0" applyFill="0" applyAlignment="0" applyProtection="0"/>
    <xf numFmtId="0" fontId="25" fillId="10" borderId="3528" applyNumberFormat="0" applyProtection="0">
      <alignment horizontal="left" vertical="top"/>
    </xf>
    <xf numFmtId="180" fontId="9" fillId="3" borderId="3555">
      <alignment horizontal="right" vertical="center"/>
    </xf>
    <xf numFmtId="222" fontId="79" fillId="0" borderId="3530" applyBorder="0"/>
    <xf numFmtId="0" fontId="101" fillId="0" borderId="3531" applyBorder="0"/>
    <xf numFmtId="222" fontId="79" fillId="0" borderId="3530" applyBorder="0"/>
    <xf numFmtId="0" fontId="113" fillId="0" borderId="3531" applyNumberFormat="0" applyFill="0" applyAlignment="0" applyProtection="0"/>
    <xf numFmtId="0" fontId="75" fillId="0" borderId="3508" applyNumberFormat="0" applyFont="0" applyFill="0" applyAlignment="0" applyProtection="0"/>
    <xf numFmtId="0" fontId="12" fillId="0" borderId="3531" applyNumberFormat="0" applyFill="0" applyBorder="0" applyAlignment="0" applyProtection="0">
      <alignment horizontal="center"/>
    </xf>
    <xf numFmtId="248" fontId="46" fillId="0" borderId="3531"/>
    <xf numFmtId="192" fontId="9" fillId="3" borderId="3531">
      <alignment horizontal="right" vertical="center"/>
    </xf>
    <xf numFmtId="180" fontId="9" fillId="3" borderId="3531">
      <alignment horizontal="right" vertical="center"/>
    </xf>
    <xf numFmtId="186" fontId="146" fillId="3" borderId="3531" applyBorder="0">
      <alignment horizontal="left" vertical="center"/>
    </xf>
    <xf numFmtId="186" fontId="146" fillId="3" borderId="3510">
      <alignment horizontal="left"/>
    </xf>
    <xf numFmtId="186" fontId="140" fillId="3" borderId="3511">
      <alignment horizontal="center" vertical="center"/>
    </xf>
    <xf numFmtId="0" fontId="165" fillId="0" borderId="3531" applyFill="0" applyProtection="0">
      <alignment horizontal="center"/>
    </xf>
    <xf numFmtId="0" fontId="166" fillId="0" borderId="3531">
      <alignment horizontal="center"/>
    </xf>
    <xf numFmtId="264" fontId="12" fillId="14" borderId="3531" applyFont="0" applyFill="0" applyBorder="0" applyAlignment="0" applyProtection="0">
      <alignment horizontal="right"/>
    </xf>
    <xf numFmtId="0" fontId="210" fillId="0" borderId="3531" applyNumberFormat="0" applyFill="0" applyBorder="0" applyAlignment="0">
      <protection locked="0"/>
    </xf>
    <xf numFmtId="0" fontId="2" fillId="0" borderId="3512" applyNumberFormat="0" applyAlignment="0" applyProtection="0"/>
    <xf numFmtId="0" fontId="214" fillId="0" borderId="3513" applyNumberFormat="0" applyFont="0" applyFill="0" applyAlignment="0" applyProtection="0"/>
    <xf numFmtId="0" fontId="25" fillId="10" borderId="3514" applyNumberFormat="0" applyProtection="0">
      <alignment horizontal="left" vertical="top"/>
    </xf>
    <xf numFmtId="0" fontId="25" fillId="10" borderId="3515" applyNumberFormat="0" applyProtection="0">
      <alignment horizontal="left" vertical="top"/>
    </xf>
    <xf numFmtId="0" fontId="25" fillId="10" borderId="3516" applyNumberFormat="0" applyProtection="0">
      <alignment horizontal="left" vertical="top"/>
    </xf>
    <xf numFmtId="0" fontId="25" fillId="10" borderId="3517" applyNumberFormat="0" applyProtection="0">
      <alignment horizontal="left" vertical="top"/>
    </xf>
    <xf numFmtId="0" fontId="25" fillId="10" borderId="3514" applyNumberFormat="0" applyProtection="0">
      <alignment horizontal="left" vertical="top"/>
    </xf>
    <xf numFmtId="0" fontId="25" fillId="10" borderId="3515" applyNumberFormat="0" applyProtection="0">
      <alignment horizontal="left" vertical="top"/>
    </xf>
    <xf numFmtId="0" fontId="25" fillId="10" borderId="3516" applyNumberFormat="0" applyProtection="0">
      <alignment horizontal="left" vertical="top"/>
    </xf>
    <xf numFmtId="0" fontId="25" fillId="10" borderId="3517" applyNumberFormat="0" applyProtection="0">
      <alignment horizontal="left" vertical="top"/>
    </xf>
    <xf numFmtId="254" fontId="240" fillId="0" borderId="3531" applyBorder="0" applyProtection="0">
      <alignment horizontal="right" vertical="center"/>
    </xf>
    <xf numFmtId="0" fontId="241" fillId="94" borderId="3531" applyBorder="0" applyProtection="0">
      <alignment horizontal="centerContinuous" vertical="center"/>
    </xf>
    <xf numFmtId="246" fontId="249" fillId="0" borderId="3531" applyFill="0" applyProtection="0">
      <alignment horizontal="center"/>
    </xf>
    <xf numFmtId="246" fontId="250" fillId="0" borderId="3531" applyFill="0" applyProtection="0">
      <alignment horizontal="center"/>
    </xf>
    <xf numFmtId="248" fontId="46" fillId="0" borderId="3579"/>
    <xf numFmtId="0" fontId="101" fillId="0" borderId="3579" applyBorder="0"/>
    <xf numFmtId="192" fontId="9" fillId="3" borderId="3519">
      <alignment horizontal="right" vertical="center"/>
    </xf>
    <xf numFmtId="0" fontId="25" fillId="10" borderId="3526" applyNumberFormat="0" applyProtection="0">
      <alignment horizontal="left" vertical="top"/>
    </xf>
    <xf numFmtId="312" fontId="25" fillId="10" borderId="3564" applyNumberFormat="0" applyProtection="0">
      <alignment horizontal="left" vertical="top"/>
    </xf>
    <xf numFmtId="312" fontId="75" fillId="0" borderId="3556" applyNumberFormat="0" applyFont="0" applyFill="0" applyAlignment="0" applyProtection="0"/>
    <xf numFmtId="312" fontId="101" fillId="0" borderId="3531" applyBorder="0"/>
    <xf numFmtId="0" fontId="241" fillId="94" borderId="3579" applyBorder="0" applyProtection="0">
      <alignment horizontal="centerContinuous" vertical="center"/>
    </xf>
    <xf numFmtId="0" fontId="25" fillId="10" borderId="3563" applyNumberFormat="0" applyProtection="0">
      <alignment horizontal="left" vertical="top"/>
    </xf>
    <xf numFmtId="0" fontId="165" fillId="0" borderId="3579" applyFill="0" applyProtection="0">
      <alignment horizontal="center"/>
    </xf>
    <xf numFmtId="180" fontId="9" fillId="3" borderId="3579">
      <alignment horizontal="right" vertical="center"/>
    </xf>
    <xf numFmtId="312" fontId="113" fillId="0" borderId="3531" applyNumberFormat="0" applyFill="0" applyAlignment="0" applyProtection="0"/>
    <xf numFmtId="312" fontId="75" fillId="0" borderId="3508" applyNumberFormat="0" applyFont="0" applyFill="0" applyAlignment="0" applyProtection="0"/>
    <xf numFmtId="190" fontId="25" fillId="10" borderId="3562" applyNumberFormat="0" applyProtection="0">
      <alignment horizontal="left" vertical="top"/>
    </xf>
    <xf numFmtId="312" fontId="12" fillId="0" borderId="3531" applyNumberFormat="0" applyFill="0" applyBorder="0" applyAlignment="0" applyProtection="0">
      <alignment horizontal="center"/>
    </xf>
    <xf numFmtId="246" fontId="250" fillId="0" borderId="3579" applyFill="0" applyProtection="0">
      <alignment horizontal="center"/>
    </xf>
    <xf numFmtId="0" fontId="241" fillId="94" borderId="3579" applyBorder="0" applyProtection="0">
      <alignment horizontal="centerContinuous" vertical="center"/>
    </xf>
    <xf numFmtId="0" fontId="75" fillId="0" borderId="3580" applyNumberFormat="0" applyFont="0" applyFill="0" applyAlignment="0" applyProtection="0"/>
    <xf numFmtId="186" fontId="146" fillId="3" borderId="3567" applyBorder="0">
      <alignment horizontal="left" vertical="center"/>
    </xf>
    <xf numFmtId="0" fontId="12" fillId="0" borderId="3567" applyNumberFormat="0" applyFill="0" applyBorder="0" applyAlignment="0" applyProtection="0">
      <alignment horizontal="center"/>
    </xf>
    <xf numFmtId="0" fontId="75" fillId="0" borderId="3556" applyNumberFormat="0" applyFont="0" applyFill="0" applyAlignment="0" applyProtection="0"/>
    <xf numFmtId="0" fontId="2" fillId="0" borderId="3560" applyNumberFormat="0" applyAlignment="0" applyProtection="0"/>
    <xf numFmtId="0" fontId="25" fillId="10" borderId="3563" applyNumberFormat="0" applyProtection="0">
      <alignment horizontal="left" vertical="top"/>
    </xf>
    <xf numFmtId="0" fontId="78" fillId="14" borderId="3557" applyFont="0" applyFill="0" applyBorder="0" applyAlignment="0" applyProtection="0"/>
    <xf numFmtId="246" fontId="249" fillId="0" borderId="3543" applyFill="0" applyProtection="0">
      <alignment horizontal="center"/>
    </xf>
    <xf numFmtId="0" fontId="210" fillId="0" borderId="3543" applyNumberFormat="0" applyFill="0" applyBorder="0" applyAlignment="0">
      <protection locked="0"/>
    </xf>
    <xf numFmtId="0" fontId="165" fillId="0" borderId="3543" applyFill="0" applyProtection="0">
      <alignment horizontal="center"/>
    </xf>
    <xf numFmtId="192" fontId="9" fillId="3" borderId="3543">
      <alignment horizontal="right" vertical="center"/>
    </xf>
    <xf numFmtId="0" fontId="113" fillId="0" borderId="3543" applyNumberFormat="0" applyFill="0" applyAlignment="0" applyProtection="0"/>
    <xf numFmtId="222" fontId="79" fillId="0" borderId="3542" applyBorder="0"/>
    <xf numFmtId="186" fontId="140" fillId="3" borderId="3535">
      <alignment horizontal="center" vertical="center"/>
    </xf>
    <xf numFmtId="0" fontId="25" fillId="10" borderId="3540" applyNumberFormat="0" applyProtection="0">
      <alignment horizontal="left" vertical="top"/>
    </xf>
    <xf numFmtId="0" fontId="241" fillId="94" borderId="3519" applyBorder="0" applyProtection="0">
      <alignment horizontal="centerContinuous" vertical="center"/>
    </xf>
    <xf numFmtId="186" fontId="146" fillId="3" borderId="3519" applyBorder="0">
      <alignment horizontal="left" vertical="center"/>
    </xf>
    <xf numFmtId="0" fontId="25" fillId="10" borderId="3527" applyNumberFormat="0" applyProtection="0">
      <alignment horizontal="left" vertical="top"/>
    </xf>
    <xf numFmtId="0" fontId="2" fillId="0" borderId="3524" applyNumberFormat="0" applyAlignment="0" applyProtection="0"/>
    <xf numFmtId="186" fontId="140" fillId="3" borderId="3523">
      <alignment horizontal="center" vertical="center"/>
    </xf>
    <xf numFmtId="222" fontId="79" fillId="0" borderId="3530" applyBorder="0"/>
    <xf numFmtId="248" fontId="46" fillId="0" borderId="3519"/>
    <xf numFmtId="0" fontId="165" fillId="0" borderId="3519" applyFill="0" applyProtection="0">
      <alignment horizontal="center"/>
    </xf>
    <xf numFmtId="312" fontId="165" fillId="0" borderId="3531" applyFill="0" applyProtection="0">
      <alignment horizontal="center"/>
    </xf>
    <xf numFmtId="312" fontId="242" fillId="0" borderId="3531">
      <alignment horizontal="center"/>
    </xf>
    <xf numFmtId="222" fontId="79" fillId="0" borderId="3530" applyBorder="0"/>
    <xf numFmtId="0" fontId="25" fillId="10" borderId="3527" applyNumberFormat="0" applyProtection="0">
      <alignment horizontal="left" vertical="top"/>
    </xf>
    <xf numFmtId="0" fontId="78" fillId="14" borderId="3521" applyFont="0" applyFill="0" applyBorder="0" applyAlignment="0" applyProtection="0"/>
    <xf numFmtId="222" fontId="79" fillId="0" borderId="3530" applyBorder="0"/>
    <xf numFmtId="248" fontId="46" fillId="0" borderId="3519"/>
    <xf numFmtId="0" fontId="166" fillId="0" borderId="3519">
      <alignment horizontal="center"/>
    </xf>
    <xf numFmtId="186" fontId="140" fillId="3" borderId="3571">
      <alignment horizontal="center" vertical="center"/>
    </xf>
    <xf numFmtId="0" fontId="25" fillId="10" borderId="3529" applyNumberFormat="0" applyProtection="0">
      <alignment horizontal="left" vertical="top"/>
    </xf>
    <xf numFmtId="0" fontId="241" fillId="94" borderId="3531" applyBorder="0" applyProtection="0">
      <alignment horizontal="centerContinuous" vertical="center"/>
    </xf>
    <xf numFmtId="0" fontId="25" fillId="10" borderId="3529" applyNumberFormat="0" applyProtection="0">
      <alignment horizontal="left" vertical="top"/>
    </xf>
    <xf numFmtId="246" fontId="250" fillId="0" borderId="3519" applyFill="0" applyProtection="0">
      <alignment horizontal="center"/>
    </xf>
    <xf numFmtId="254" fontId="240" fillId="0" borderId="3519" applyBorder="0" applyProtection="0">
      <alignment horizontal="right" vertical="center"/>
    </xf>
    <xf numFmtId="192" fontId="9" fillId="3" borderId="3555">
      <alignment horizontal="right" vertical="center"/>
    </xf>
    <xf numFmtId="0" fontId="210" fillId="0" borderId="3519" applyNumberFormat="0" applyFill="0" applyBorder="0" applyAlignment="0">
      <protection locked="0"/>
    </xf>
    <xf numFmtId="186" fontId="146" fillId="3" borderId="3519" applyBorder="0">
      <alignment horizontal="left" vertical="center"/>
    </xf>
    <xf numFmtId="0" fontId="25" fillId="10" borderId="3528" applyNumberFormat="0" applyProtection="0">
      <alignment horizontal="left" vertical="top"/>
    </xf>
    <xf numFmtId="0" fontId="25" fillId="10" borderId="3527" applyNumberFormat="0" applyProtection="0">
      <alignment horizontal="left" vertical="top"/>
    </xf>
    <xf numFmtId="186" fontId="140" fillId="3" borderId="3523">
      <alignment horizontal="center" vertical="center"/>
    </xf>
    <xf numFmtId="312" fontId="210" fillId="0" borderId="3531" applyNumberFormat="0" applyFill="0" applyBorder="0" applyAlignment="0">
      <protection locked="0"/>
    </xf>
    <xf numFmtId="312" fontId="2" fillId="0" borderId="3512" applyNumberFormat="0" applyAlignment="0" applyProtection="0"/>
    <xf numFmtId="312" fontId="214" fillId="0" borderId="3513" applyNumberFormat="0" applyFont="0" applyFill="0" applyAlignment="0" applyProtection="0"/>
    <xf numFmtId="312" fontId="25" fillId="10" borderId="3514" applyNumberFormat="0" applyProtection="0">
      <alignment horizontal="left" vertical="top"/>
    </xf>
    <xf numFmtId="312" fontId="25" fillId="10" borderId="3515" applyNumberFormat="0" applyProtection="0">
      <alignment horizontal="left" vertical="top"/>
    </xf>
    <xf numFmtId="312" fontId="25" fillId="10" borderId="3516" applyNumberFormat="0" applyProtection="0">
      <alignment horizontal="left" vertical="top"/>
    </xf>
    <xf numFmtId="312" fontId="25" fillId="10" borderId="3517" applyNumberFormat="0" applyProtection="0">
      <alignment horizontal="left" vertical="top"/>
    </xf>
    <xf numFmtId="312" fontId="241" fillId="94" borderId="3531" applyBorder="0" applyProtection="0">
      <alignment horizontal="centerContinuous" vertical="center"/>
    </xf>
    <xf numFmtId="246" fontId="296" fillId="0" borderId="3531" applyFill="0" applyProtection="0">
      <alignment horizontal="center"/>
    </xf>
    <xf numFmtId="248" fontId="46" fillId="0" borderId="3915"/>
    <xf numFmtId="0" fontId="25" fillId="10" borderId="3526" applyNumberFormat="0" applyProtection="0">
      <alignment horizontal="left" vertical="top"/>
    </xf>
    <xf numFmtId="0" fontId="25" fillId="10" borderId="3526" applyNumberFormat="0" applyProtection="0">
      <alignment horizontal="left" vertical="top"/>
    </xf>
    <xf numFmtId="254" fontId="240" fillId="0" borderId="3579" applyBorder="0" applyProtection="0">
      <alignment horizontal="right" vertical="center"/>
    </xf>
    <xf numFmtId="312" fontId="241" fillId="94" borderId="3579" applyBorder="0" applyProtection="0">
      <alignment horizontal="centerContinuous" vertical="center"/>
    </xf>
    <xf numFmtId="312" fontId="101" fillId="0" borderId="3531" applyBorder="0"/>
    <xf numFmtId="312" fontId="113" fillId="0" borderId="3531" applyNumberFormat="0" applyFill="0" applyAlignment="0" applyProtection="0"/>
    <xf numFmtId="312" fontId="75" fillId="0" borderId="3508" applyNumberFormat="0" applyFont="0" applyFill="0" applyAlignment="0" applyProtection="0"/>
    <xf numFmtId="312" fontId="12" fillId="0" borderId="3531" applyNumberFormat="0" applyFill="0" applyBorder="0" applyAlignment="0" applyProtection="0">
      <alignment horizontal="center"/>
    </xf>
    <xf numFmtId="222" fontId="79" fillId="0" borderId="3578" applyBorder="0"/>
    <xf numFmtId="0" fontId="113" fillId="0" borderId="3519" applyNumberFormat="0" applyFill="0" applyAlignment="0" applyProtection="0"/>
    <xf numFmtId="312" fontId="165" fillId="0" borderId="3531" applyFill="0" applyProtection="0">
      <alignment horizontal="center"/>
    </xf>
    <xf numFmtId="312" fontId="242" fillId="0" borderId="3531">
      <alignment horizontal="center"/>
    </xf>
    <xf numFmtId="312" fontId="210" fillId="0" borderId="3531" applyNumberFormat="0" applyFill="0" applyBorder="0" applyAlignment="0">
      <protection locked="0"/>
    </xf>
    <xf numFmtId="312" fontId="2" fillId="0" borderId="3512" applyNumberFormat="0" applyAlignment="0" applyProtection="0"/>
    <xf numFmtId="312" fontId="214" fillId="0" borderId="3513" applyNumberFormat="0" applyFont="0" applyFill="0" applyAlignment="0" applyProtection="0"/>
    <xf numFmtId="312" fontId="25" fillId="10" borderId="3514" applyNumberFormat="0" applyProtection="0">
      <alignment horizontal="left" vertical="top"/>
    </xf>
    <xf numFmtId="312" fontId="25" fillId="10" borderId="3515" applyNumberFormat="0" applyProtection="0">
      <alignment horizontal="left" vertical="top"/>
    </xf>
    <xf numFmtId="312" fontId="25" fillId="10" borderId="3516" applyNumberFormat="0" applyProtection="0">
      <alignment horizontal="left" vertical="top"/>
    </xf>
    <xf numFmtId="312" fontId="25" fillId="10" borderId="3517" applyNumberFormat="0" applyProtection="0">
      <alignment horizontal="left" vertical="top"/>
    </xf>
    <xf numFmtId="312" fontId="25" fillId="10" borderId="3514" applyNumberFormat="0" applyProtection="0">
      <alignment horizontal="left" vertical="top"/>
    </xf>
    <xf numFmtId="312" fontId="25" fillId="10" borderId="3515" applyNumberFormat="0" applyProtection="0">
      <alignment horizontal="left" vertical="top"/>
    </xf>
    <xf numFmtId="312" fontId="25" fillId="10" borderId="3516" applyNumberFormat="0" applyProtection="0">
      <alignment horizontal="left" vertical="top"/>
    </xf>
    <xf numFmtId="312" fontId="25" fillId="10" borderId="3517" applyNumberFormat="0" applyProtection="0">
      <alignment horizontal="left" vertical="top"/>
    </xf>
    <xf numFmtId="312" fontId="241" fillId="94" borderId="3531" applyBorder="0" applyProtection="0">
      <alignment horizontal="centerContinuous" vertical="center"/>
    </xf>
    <xf numFmtId="246" fontId="296" fillId="0" borderId="3531" applyFill="0" applyProtection="0">
      <alignment horizontal="center"/>
    </xf>
    <xf numFmtId="0" fontId="113" fillId="0" borderId="3519" applyNumberFormat="0" applyFill="0" applyAlignment="0" applyProtection="0"/>
    <xf numFmtId="0" fontId="25" fillId="10" borderId="3528" applyNumberFormat="0" applyProtection="0">
      <alignment horizontal="left" vertical="top"/>
    </xf>
    <xf numFmtId="192" fontId="9" fillId="3" borderId="3579">
      <alignment horizontal="right" vertical="center"/>
    </xf>
    <xf numFmtId="0" fontId="25" fillId="10" borderId="3527" applyNumberFormat="0" applyProtection="0">
      <alignment horizontal="left" vertical="top"/>
    </xf>
    <xf numFmtId="246" fontId="250" fillId="0" borderId="3579" applyFill="0" applyProtection="0">
      <alignment horizontal="center"/>
    </xf>
    <xf numFmtId="0" fontId="101" fillId="0" borderId="3579" applyBorder="0"/>
    <xf numFmtId="0" fontId="78" fillId="14" borderId="3569" applyFont="0" applyFill="0" applyBorder="0" applyAlignment="0" applyProtection="0"/>
    <xf numFmtId="264" fontId="12" fillId="14" borderId="3579" applyFont="0" applyFill="0" applyBorder="0" applyAlignment="0" applyProtection="0">
      <alignment horizontal="right"/>
    </xf>
    <xf numFmtId="246" fontId="250" fillId="0" borderId="3531" applyFill="0" applyProtection="0">
      <alignment horizontal="center"/>
    </xf>
    <xf numFmtId="222" fontId="79" fillId="0" borderId="3554" applyBorder="0"/>
    <xf numFmtId="0" fontId="2" fillId="0" borderId="3524" applyNumberFormat="0" applyAlignment="0" applyProtection="0"/>
    <xf numFmtId="0" fontId="25" fillId="10" borderId="3527" applyNumberFormat="0" applyProtection="0">
      <alignment horizontal="left" vertical="top"/>
    </xf>
    <xf numFmtId="0" fontId="25" fillId="10" borderId="3529" applyNumberFormat="0" applyProtection="0">
      <alignment horizontal="left" vertical="top"/>
    </xf>
    <xf numFmtId="246" fontId="249" fillId="0" borderId="3579" applyFill="0" applyProtection="0">
      <alignment horizontal="center"/>
    </xf>
    <xf numFmtId="186" fontId="146" fillId="3" borderId="3579" applyBorder="0">
      <alignment horizontal="left" vertical="center"/>
    </xf>
    <xf numFmtId="0" fontId="25" fillId="10" borderId="3528" applyNumberFormat="0" applyProtection="0">
      <alignment horizontal="left" vertical="top"/>
    </xf>
    <xf numFmtId="0" fontId="25" fillId="10" borderId="3527" applyNumberFormat="0" applyProtection="0">
      <alignment horizontal="left" vertical="top"/>
    </xf>
    <xf numFmtId="248" fontId="46" fillId="0" borderId="3579"/>
    <xf numFmtId="0" fontId="101" fillId="0" borderId="3519" applyBorder="0"/>
    <xf numFmtId="190" fontId="78" fillId="14" borderId="3569" applyFont="0" applyFill="0" applyBorder="0" applyAlignment="0" applyProtection="0"/>
    <xf numFmtId="0" fontId="25" fillId="10" borderId="3529" applyNumberFormat="0" applyProtection="0">
      <alignment horizontal="left" vertical="top"/>
    </xf>
    <xf numFmtId="0" fontId="12" fillId="0" borderId="3579" applyNumberFormat="0" applyFill="0" applyBorder="0" applyAlignment="0" applyProtection="0">
      <alignment horizontal="center"/>
    </xf>
    <xf numFmtId="222" fontId="79" fillId="0" borderId="3566" applyBorder="0"/>
    <xf numFmtId="186" fontId="140" fillId="3" borderId="3523">
      <alignment horizontal="center" vertical="center"/>
    </xf>
    <xf numFmtId="0" fontId="25" fillId="10" borderId="3528" applyNumberFormat="0" applyProtection="0">
      <alignment horizontal="left" vertical="top"/>
    </xf>
    <xf numFmtId="0" fontId="210" fillId="0" borderId="3567" applyNumberFormat="0" applyFill="0" applyBorder="0" applyAlignment="0">
      <protection locked="0"/>
    </xf>
    <xf numFmtId="246" fontId="250" fillId="0" borderId="3531" applyFill="0" applyProtection="0">
      <alignment horizontal="center"/>
    </xf>
    <xf numFmtId="246" fontId="249" fillId="0" borderId="3531" applyFill="0" applyProtection="0">
      <alignment horizontal="center"/>
    </xf>
    <xf numFmtId="0" fontId="241" fillId="94" borderId="3531" applyBorder="0" applyProtection="0">
      <alignment horizontal="centerContinuous" vertical="center"/>
    </xf>
    <xf numFmtId="254" fontId="240" fillId="0" borderId="3531" applyBorder="0" applyProtection="0">
      <alignment horizontal="right" vertical="center"/>
    </xf>
    <xf numFmtId="0" fontId="25" fillId="10" borderId="3529" applyNumberFormat="0" applyProtection="0">
      <alignment horizontal="left" vertical="top"/>
    </xf>
    <xf numFmtId="0" fontId="25" fillId="10" borderId="3528" applyNumberFormat="0" applyProtection="0">
      <alignment horizontal="left" vertical="top"/>
    </xf>
    <xf numFmtId="0" fontId="25" fillId="10" borderId="3527" applyNumberFormat="0" applyProtection="0">
      <alignment horizontal="left" vertical="top"/>
    </xf>
    <xf numFmtId="0" fontId="25" fillId="10" borderId="3526" applyNumberFormat="0" applyProtection="0">
      <alignment horizontal="left" vertical="top"/>
    </xf>
    <xf numFmtId="0" fontId="25" fillId="10" borderId="3565" applyNumberFormat="0" applyProtection="0">
      <alignment horizontal="left" vertical="top"/>
    </xf>
    <xf numFmtId="0" fontId="214" fillId="0" borderId="3561" applyNumberFormat="0" applyFont="0" applyFill="0" applyAlignment="0" applyProtection="0"/>
    <xf numFmtId="0" fontId="214" fillId="0" borderId="3525" applyNumberFormat="0" applyFont="0" applyFill="0" applyAlignment="0" applyProtection="0"/>
    <xf numFmtId="0" fontId="2" fillId="0" borderId="3524" applyNumberFormat="0" applyAlignment="0" applyProtection="0"/>
    <xf numFmtId="0" fontId="210" fillId="0" borderId="3531" applyNumberFormat="0" applyFill="0" applyBorder="0" applyAlignment="0">
      <protection locked="0"/>
    </xf>
    <xf numFmtId="0" fontId="25" fillId="10" borderId="3526" applyNumberFormat="0" applyProtection="0">
      <alignment horizontal="left" vertical="top"/>
    </xf>
    <xf numFmtId="264" fontId="12" fillId="14" borderId="3531" applyFont="0" applyFill="0" applyBorder="0" applyAlignment="0" applyProtection="0">
      <alignment horizontal="right"/>
    </xf>
    <xf numFmtId="0" fontId="78" fillId="14" borderId="3533" applyFont="0" applyFill="0" applyBorder="0" applyAlignment="0" applyProtection="0"/>
    <xf numFmtId="0" fontId="210" fillId="0" borderId="3519" applyNumberFormat="0" applyFill="0" applyBorder="0" applyAlignment="0">
      <protection locked="0"/>
    </xf>
    <xf numFmtId="0" fontId="75" fillId="0" borderId="3520" applyNumberFormat="0" applyFont="0" applyFill="0" applyAlignment="0" applyProtection="0"/>
    <xf numFmtId="0" fontId="166" fillId="0" borderId="3531">
      <alignment horizontal="center"/>
    </xf>
    <xf numFmtId="0" fontId="165" fillId="0" borderId="3531" applyFill="0" applyProtection="0">
      <alignment horizontal="center"/>
    </xf>
    <xf numFmtId="0" fontId="78" fillId="14" borderId="3521" applyFont="0" applyFill="0" applyBorder="0" applyAlignment="0" applyProtection="0"/>
    <xf numFmtId="186" fontId="146" fillId="3" borderId="3522">
      <alignment horizontal="left"/>
    </xf>
    <xf numFmtId="254" fontId="240" fillId="0" borderId="3519" applyBorder="0" applyProtection="0">
      <alignment horizontal="right" vertical="center"/>
    </xf>
    <xf numFmtId="0" fontId="25" fillId="10" borderId="3541" applyNumberFormat="0" applyProtection="0">
      <alignment horizontal="left" vertical="top"/>
    </xf>
    <xf numFmtId="186" fontId="140" fillId="3" borderId="3523">
      <alignment horizontal="center" vertical="center"/>
    </xf>
    <xf numFmtId="186" fontId="146" fillId="3" borderId="3522">
      <alignment horizontal="left"/>
    </xf>
    <xf numFmtId="186" fontId="146" fillId="3" borderId="3531" applyBorder="0">
      <alignment horizontal="left" vertical="center"/>
    </xf>
    <xf numFmtId="180" fontId="9" fillId="3" borderId="3531">
      <alignment horizontal="right" vertical="center"/>
    </xf>
    <xf numFmtId="192" fontId="9" fillId="3" borderId="3531">
      <alignment horizontal="right" vertical="center"/>
    </xf>
    <xf numFmtId="192" fontId="9" fillId="3" borderId="3579">
      <alignment horizontal="right" vertical="center"/>
    </xf>
    <xf numFmtId="248" fontId="46" fillId="0" borderId="3531"/>
    <xf numFmtId="0" fontId="78" fillId="14" borderId="3521" applyFont="0" applyFill="0" applyBorder="0" applyAlignment="0" applyProtection="0"/>
    <xf numFmtId="0" fontId="12" fillId="0" borderId="3531" applyNumberFormat="0" applyFill="0" applyBorder="0" applyAlignment="0" applyProtection="0">
      <alignment horizontal="center"/>
    </xf>
    <xf numFmtId="0" fontId="75" fillId="0" borderId="3520" applyNumberFormat="0" applyFont="0" applyFill="0" applyAlignment="0" applyProtection="0"/>
    <xf numFmtId="0" fontId="113" fillId="0" borderId="3531" applyNumberFormat="0" applyFill="0" applyAlignment="0" applyProtection="0"/>
    <xf numFmtId="0" fontId="25" fillId="10" borderId="3562" applyNumberFormat="0" applyProtection="0">
      <alignment horizontal="left" vertical="top"/>
    </xf>
    <xf numFmtId="254" fontId="240" fillId="0" borderId="3579" applyBorder="0" applyProtection="0">
      <alignment horizontal="right" vertical="center"/>
    </xf>
    <xf numFmtId="222" fontId="79" fillId="0" borderId="3530" applyBorder="0"/>
    <xf numFmtId="0" fontId="101" fillId="0" borderId="3531" applyBorder="0"/>
    <xf numFmtId="0" fontId="25" fillId="10" borderId="3538" applyNumberFormat="0" applyProtection="0">
      <alignment horizontal="left" vertical="top"/>
    </xf>
    <xf numFmtId="0" fontId="25" fillId="10" borderId="3539" applyNumberFormat="0" applyProtection="0">
      <alignment horizontal="left" vertical="top"/>
    </xf>
    <xf numFmtId="0" fontId="25" fillId="10" borderId="3540" applyNumberFormat="0" applyProtection="0">
      <alignment horizontal="left" vertical="top"/>
    </xf>
    <xf numFmtId="0" fontId="25" fillId="10" borderId="3541" applyNumberFormat="0" applyProtection="0">
      <alignment horizontal="left" vertical="top"/>
    </xf>
    <xf numFmtId="190" fontId="12" fillId="0" borderId="3579" applyNumberFormat="0" applyFill="0" applyBorder="0" applyAlignment="0" applyProtection="0">
      <alignment horizontal="center"/>
    </xf>
    <xf numFmtId="0" fontId="165" fillId="0" borderId="3555" applyFill="0" applyProtection="0">
      <alignment horizontal="center"/>
    </xf>
    <xf numFmtId="190" fontId="214" fillId="0" borderId="3561" applyNumberFormat="0" applyFont="0" applyFill="0" applyAlignment="0" applyProtection="0"/>
    <xf numFmtId="312" fontId="242" fillId="0" borderId="3579">
      <alignment horizontal="center"/>
    </xf>
    <xf numFmtId="190" fontId="165" fillId="0" borderId="3579" applyFill="0" applyProtection="0">
      <alignment horizontal="center"/>
    </xf>
    <xf numFmtId="0" fontId="25" fillId="10" borderId="3527" applyNumberFormat="0" applyProtection="0">
      <alignment horizontal="left" vertical="top"/>
    </xf>
    <xf numFmtId="0" fontId="25" fillId="10" borderId="3550" applyNumberFormat="0" applyProtection="0">
      <alignment horizontal="left" vertical="top"/>
    </xf>
    <xf numFmtId="264" fontId="12" fillId="14" borderId="3555" applyFont="0" applyFill="0" applyBorder="0" applyAlignment="0" applyProtection="0">
      <alignment horizontal="right"/>
    </xf>
    <xf numFmtId="246" fontId="250" fillId="0" borderId="3555" applyFill="0" applyProtection="0">
      <alignment horizontal="center"/>
    </xf>
    <xf numFmtId="180" fontId="9" fillId="3" borderId="3579">
      <alignment horizontal="right" vertical="center"/>
    </xf>
    <xf numFmtId="0" fontId="214" fillId="0" borderId="3525" applyNumberFormat="0" applyFont="0" applyFill="0" applyAlignment="0" applyProtection="0"/>
    <xf numFmtId="246" fontId="249" fillId="0" borderId="3531" applyFill="0" applyProtection="0">
      <alignment horizontal="center"/>
    </xf>
    <xf numFmtId="246" fontId="250" fillId="0" borderId="3519" applyFill="0" applyProtection="0">
      <alignment horizontal="center"/>
    </xf>
    <xf numFmtId="246" fontId="249" fillId="0" borderId="3519" applyFill="0" applyProtection="0">
      <alignment horizontal="center"/>
    </xf>
    <xf numFmtId="0" fontId="241" fillId="94" borderId="3519" applyBorder="0" applyProtection="0">
      <alignment horizontal="centerContinuous" vertical="center"/>
    </xf>
    <xf numFmtId="254" fontId="240" fillId="0" borderId="3519" applyBorder="0" applyProtection="0">
      <alignment horizontal="right" vertical="center"/>
    </xf>
    <xf numFmtId="0" fontId="210" fillId="0" borderId="3519" applyNumberFormat="0" applyFill="0" applyBorder="0" applyAlignment="0">
      <protection locked="0"/>
    </xf>
    <xf numFmtId="0" fontId="2" fillId="0" borderId="3572" applyNumberFormat="0" applyAlignment="0" applyProtection="0"/>
    <xf numFmtId="264" fontId="12" fillId="14" borderId="3519" applyFont="0" applyFill="0" applyBorder="0" applyAlignment="0" applyProtection="0">
      <alignment horizontal="right"/>
    </xf>
    <xf numFmtId="0" fontId="166" fillId="0" borderId="3519">
      <alignment horizontal="center"/>
    </xf>
    <xf numFmtId="0" fontId="165" fillId="0" borderId="3519" applyFill="0" applyProtection="0">
      <alignment horizontal="center"/>
    </xf>
    <xf numFmtId="186" fontId="146" fillId="3" borderId="3519" applyBorder="0">
      <alignment horizontal="left" vertical="center"/>
    </xf>
    <xf numFmtId="180" fontId="9" fillId="3" borderId="3519">
      <alignment horizontal="right" vertical="center"/>
    </xf>
    <xf numFmtId="192" fontId="9" fillId="3" borderId="3519">
      <alignment horizontal="right" vertical="center"/>
    </xf>
    <xf numFmtId="248" fontId="46" fillId="0" borderId="3519"/>
    <xf numFmtId="0" fontId="12" fillId="0" borderId="3519" applyNumberFormat="0" applyFill="0" applyBorder="0" applyAlignment="0" applyProtection="0">
      <alignment horizontal="center"/>
    </xf>
    <xf numFmtId="0" fontId="113" fillId="0" borderId="3519" applyNumberFormat="0" applyFill="0" applyAlignment="0" applyProtection="0"/>
    <xf numFmtId="222" fontId="79" fillId="0" borderId="3518" applyBorder="0"/>
    <xf numFmtId="0" fontId="101" fillId="0" borderId="3519" applyBorder="0"/>
    <xf numFmtId="264" fontId="12" fillId="14" borderId="3567" applyFont="0" applyFill="0" applyBorder="0" applyAlignment="0" applyProtection="0">
      <alignment horizontal="right"/>
    </xf>
    <xf numFmtId="246" fontId="250" fillId="0" borderId="3519" applyFill="0" applyProtection="0">
      <alignment horizontal="center"/>
    </xf>
    <xf numFmtId="246" fontId="249" fillId="0" borderId="3519" applyFill="0" applyProtection="0">
      <alignment horizontal="center"/>
    </xf>
    <xf numFmtId="0" fontId="241" fillId="94" borderId="3519" applyBorder="0" applyProtection="0">
      <alignment horizontal="centerContinuous" vertical="center"/>
    </xf>
    <xf numFmtId="254" fontId="240" fillId="0" borderId="3519" applyBorder="0" applyProtection="0">
      <alignment horizontal="right" vertical="center"/>
    </xf>
    <xf numFmtId="0" fontId="210" fillId="0" borderId="3519" applyNumberFormat="0" applyFill="0" applyBorder="0" applyAlignment="0">
      <protection locked="0"/>
    </xf>
    <xf numFmtId="264" fontId="12" fillId="14" borderId="3519" applyFont="0" applyFill="0" applyBorder="0" applyAlignment="0" applyProtection="0">
      <alignment horizontal="right"/>
    </xf>
    <xf numFmtId="0" fontId="166" fillId="0" borderId="3519">
      <alignment horizontal="center"/>
    </xf>
    <xf numFmtId="0" fontId="165" fillId="0" borderId="3519" applyFill="0" applyProtection="0">
      <alignment horizontal="center"/>
    </xf>
    <xf numFmtId="0" fontId="25" fillId="10" borderId="3529" applyNumberFormat="0" applyProtection="0">
      <alignment horizontal="left" vertical="top"/>
    </xf>
    <xf numFmtId="0" fontId="78" fillId="14" borderId="3521" applyFont="0" applyFill="0" applyBorder="0" applyAlignment="0" applyProtection="0"/>
    <xf numFmtId="264" fontId="12" fillId="14" borderId="3519" applyFont="0" applyFill="0" applyBorder="0" applyAlignment="0" applyProtection="0">
      <alignment horizontal="right"/>
    </xf>
    <xf numFmtId="222" fontId="79" fillId="0" borderId="3530" applyBorder="0"/>
    <xf numFmtId="186" fontId="146" fillId="3" borderId="3519" applyBorder="0">
      <alignment horizontal="left" vertical="center"/>
    </xf>
    <xf numFmtId="180" fontId="9" fillId="3" borderId="3519">
      <alignment horizontal="right" vertical="center"/>
    </xf>
    <xf numFmtId="192" fontId="9" fillId="3" borderId="3519">
      <alignment horizontal="right" vertical="center"/>
    </xf>
    <xf numFmtId="0" fontId="12" fillId="0" borderId="3519" applyNumberFormat="0" applyFill="0" applyBorder="0" applyAlignment="0" applyProtection="0">
      <alignment horizontal="center"/>
    </xf>
    <xf numFmtId="0" fontId="113" fillId="0" borderId="3519" applyNumberFormat="0" applyFill="0" applyAlignment="0" applyProtection="0"/>
    <xf numFmtId="0" fontId="2" fillId="0" borderId="3560" applyNumberFormat="0" applyAlignment="0" applyProtection="0"/>
    <xf numFmtId="0" fontId="25" fillId="10" borderId="3564" applyNumberFormat="0" applyProtection="0">
      <alignment horizontal="left" vertical="top"/>
    </xf>
    <xf numFmtId="222" fontId="79" fillId="0" borderId="3518" applyBorder="0"/>
    <xf numFmtId="0" fontId="101" fillId="0" borderId="3519" applyBorder="0"/>
    <xf numFmtId="248" fontId="46" fillId="0" borderId="3519"/>
    <xf numFmtId="246" fontId="250" fillId="0" borderId="3519" applyFill="0" applyProtection="0">
      <alignment horizontal="center"/>
    </xf>
    <xf numFmtId="246" fontId="249" fillId="0" borderId="3519" applyFill="0" applyProtection="0">
      <alignment horizontal="center"/>
    </xf>
    <xf numFmtId="0" fontId="241" fillId="94" borderId="3519" applyBorder="0" applyProtection="0">
      <alignment horizontal="centerContinuous" vertical="center"/>
    </xf>
    <xf numFmtId="254" fontId="240" fillId="0" borderId="3519" applyBorder="0" applyProtection="0">
      <alignment horizontal="right" vertical="center"/>
    </xf>
    <xf numFmtId="0" fontId="210" fillId="0" borderId="3519" applyNumberFormat="0" applyFill="0" applyBorder="0" applyAlignment="0">
      <protection locked="0"/>
    </xf>
    <xf numFmtId="264" fontId="12" fillId="14" borderId="3519" applyFont="0" applyFill="0" applyBorder="0" applyAlignment="0" applyProtection="0">
      <alignment horizontal="right"/>
    </xf>
    <xf numFmtId="0" fontId="166" fillId="0" borderId="3519">
      <alignment horizontal="center"/>
    </xf>
    <xf numFmtId="0" fontId="165" fillId="0" borderId="3519" applyFill="0" applyProtection="0">
      <alignment horizontal="center"/>
    </xf>
    <xf numFmtId="186" fontId="146" fillId="3" borderId="3519" applyBorder="0">
      <alignment horizontal="left" vertical="center"/>
    </xf>
    <xf numFmtId="180" fontId="9" fillId="3" borderId="3519">
      <alignment horizontal="right" vertical="center"/>
    </xf>
    <xf numFmtId="192" fontId="9" fillId="3" borderId="3519">
      <alignment horizontal="right" vertical="center"/>
    </xf>
    <xf numFmtId="248" fontId="46" fillId="0" borderId="3519"/>
    <xf numFmtId="0" fontId="12" fillId="0" borderId="3519" applyNumberFormat="0" applyFill="0" applyBorder="0" applyAlignment="0" applyProtection="0">
      <alignment horizontal="center"/>
    </xf>
    <xf numFmtId="0" fontId="113" fillId="0" borderId="3519" applyNumberFormat="0" applyFill="0" applyAlignment="0" applyProtection="0"/>
    <xf numFmtId="222" fontId="79" fillId="0" borderId="3518" applyBorder="0"/>
    <xf numFmtId="0" fontId="101" fillId="0" borderId="3519" applyBorder="0"/>
    <xf numFmtId="246" fontId="296" fillId="0" borderId="3579" applyFill="0" applyProtection="0">
      <alignment horizontal="center"/>
    </xf>
    <xf numFmtId="312" fontId="101" fillId="0" borderId="3579" applyBorder="0"/>
    <xf numFmtId="312" fontId="113" fillId="0" borderId="3579" applyNumberFormat="0" applyFill="0" applyAlignment="0" applyProtection="0"/>
    <xf numFmtId="312" fontId="75" fillId="0" borderId="3556" applyNumberFormat="0" applyFont="0" applyFill="0" applyAlignment="0" applyProtection="0"/>
    <xf numFmtId="312" fontId="12" fillId="0" borderId="3579" applyNumberFormat="0" applyFill="0" applyBorder="0" applyAlignment="0" applyProtection="0">
      <alignment horizontal="center"/>
    </xf>
    <xf numFmtId="312" fontId="165" fillId="0" borderId="3579" applyFill="0" applyProtection="0">
      <alignment horizontal="center"/>
    </xf>
    <xf numFmtId="312" fontId="242" fillId="0" borderId="3579">
      <alignment horizontal="center"/>
    </xf>
    <xf numFmtId="312" fontId="210" fillId="0" borderId="3579" applyNumberFormat="0" applyFill="0" applyBorder="0" applyAlignment="0">
      <protection locked="0"/>
    </xf>
    <xf numFmtId="312" fontId="2" fillId="0" borderId="3560" applyNumberFormat="0" applyAlignment="0" applyProtection="0"/>
    <xf numFmtId="312" fontId="214" fillId="0" borderId="3561" applyNumberFormat="0" applyFont="0" applyFill="0" applyAlignment="0" applyProtection="0"/>
    <xf numFmtId="312" fontId="25" fillId="10" borderId="3562" applyNumberFormat="0" applyProtection="0">
      <alignment horizontal="left" vertical="top"/>
    </xf>
    <xf numFmtId="312" fontId="25" fillId="10" borderId="3563" applyNumberFormat="0" applyProtection="0">
      <alignment horizontal="left" vertical="top"/>
    </xf>
    <xf numFmtId="312" fontId="25" fillId="10" borderId="3564" applyNumberFormat="0" applyProtection="0">
      <alignment horizontal="left" vertical="top"/>
    </xf>
    <xf numFmtId="312" fontId="25" fillId="10" borderId="3565" applyNumberFormat="0" applyProtection="0">
      <alignment horizontal="left" vertical="top"/>
    </xf>
    <xf numFmtId="312" fontId="25" fillId="10" borderId="3562" applyNumberFormat="0" applyProtection="0">
      <alignment horizontal="left" vertical="top"/>
    </xf>
    <xf numFmtId="312" fontId="25" fillId="10" borderId="3563" applyNumberFormat="0" applyProtection="0">
      <alignment horizontal="left" vertical="top"/>
    </xf>
    <xf numFmtId="312" fontId="25" fillId="10" borderId="3564" applyNumberFormat="0" applyProtection="0">
      <alignment horizontal="left" vertical="top"/>
    </xf>
    <xf numFmtId="312" fontId="25" fillId="10" borderId="3565" applyNumberFormat="0" applyProtection="0">
      <alignment horizontal="left" vertical="top"/>
    </xf>
    <xf numFmtId="312" fontId="241" fillId="94" borderId="3579" applyBorder="0" applyProtection="0">
      <alignment horizontal="centerContinuous" vertical="center"/>
    </xf>
    <xf numFmtId="246" fontId="296" fillId="0" borderId="3579" applyFill="0" applyProtection="0">
      <alignment horizontal="center"/>
    </xf>
    <xf numFmtId="246" fontId="250" fillId="0" borderId="3579" applyFill="0" applyProtection="0">
      <alignment horizontal="center"/>
    </xf>
    <xf numFmtId="246" fontId="249" fillId="0" borderId="3579" applyFill="0" applyProtection="0">
      <alignment horizontal="center"/>
    </xf>
    <xf numFmtId="0" fontId="241" fillId="94" borderId="3579" applyBorder="0" applyProtection="0">
      <alignment horizontal="centerContinuous" vertical="center"/>
    </xf>
    <xf numFmtId="254" fontId="240" fillId="0" borderId="3579" applyBorder="0" applyProtection="0">
      <alignment horizontal="right" vertical="center"/>
    </xf>
    <xf numFmtId="0" fontId="210" fillId="0" borderId="3579" applyNumberFormat="0" applyFill="0" applyBorder="0" applyAlignment="0">
      <protection locked="0"/>
    </xf>
    <xf numFmtId="264" fontId="12" fillId="14" borderId="3579" applyFont="0" applyFill="0" applyBorder="0" applyAlignment="0" applyProtection="0">
      <alignment horizontal="right"/>
    </xf>
    <xf numFmtId="0" fontId="166" fillId="0" borderId="3579">
      <alignment horizontal="center"/>
    </xf>
    <xf numFmtId="0" fontId="165" fillId="0" borderId="3579" applyFill="0" applyProtection="0">
      <alignment horizontal="center"/>
    </xf>
    <xf numFmtId="186" fontId="146" fillId="3" borderId="3579" applyBorder="0">
      <alignment horizontal="left" vertical="center"/>
    </xf>
    <xf numFmtId="180" fontId="9" fillId="3" borderId="3579">
      <alignment horizontal="right" vertical="center"/>
    </xf>
    <xf numFmtId="192" fontId="9" fillId="3" borderId="3579">
      <alignment horizontal="right" vertical="center"/>
    </xf>
    <xf numFmtId="248" fontId="46" fillId="0" borderId="3579"/>
    <xf numFmtId="0" fontId="12" fillId="0" borderId="3579" applyNumberFormat="0" applyFill="0" applyBorder="0" applyAlignment="0" applyProtection="0">
      <alignment horizontal="center"/>
    </xf>
    <xf numFmtId="0" fontId="113" fillId="0" borderId="3579" applyNumberFormat="0" applyFill="0" applyAlignment="0" applyProtection="0"/>
    <xf numFmtId="222" fontId="79" fillId="0" borderId="3578" applyBorder="0"/>
    <xf numFmtId="0" fontId="101" fillId="0" borderId="3579" applyBorder="0"/>
    <xf numFmtId="0" fontId="25" fillId="10" borderId="3586" applyNumberFormat="0" applyProtection="0">
      <alignment horizontal="left" vertical="top"/>
    </xf>
    <xf numFmtId="0" fontId="25" fillId="10" borderId="3587" applyNumberFormat="0" applyProtection="0">
      <alignment horizontal="left" vertical="top"/>
    </xf>
    <xf numFmtId="0" fontId="25" fillId="10" borderId="3588" applyNumberFormat="0" applyProtection="0">
      <alignment horizontal="left" vertical="top"/>
    </xf>
    <xf numFmtId="0" fontId="25" fillId="10" borderId="3589" applyNumberFormat="0" applyProtection="0">
      <alignment horizontal="left" vertical="top"/>
    </xf>
    <xf numFmtId="222" fontId="79" fillId="0" borderId="3590" applyBorder="0"/>
    <xf numFmtId="0" fontId="101" fillId="0" borderId="3591" applyBorder="0"/>
    <xf numFmtId="222" fontId="79" fillId="0" borderId="3590" applyBorder="0"/>
    <xf numFmtId="0" fontId="113" fillId="0" borderId="3591" applyNumberFormat="0" applyFill="0" applyAlignment="0" applyProtection="0"/>
    <xf numFmtId="0" fontId="12" fillId="0" borderId="3591" applyNumberFormat="0" applyFill="0" applyBorder="0" applyAlignment="0" applyProtection="0">
      <alignment horizontal="center"/>
    </xf>
    <xf numFmtId="248" fontId="46" fillId="0" borderId="3591"/>
    <xf numFmtId="192" fontId="9" fillId="3" borderId="3591">
      <alignment horizontal="right" vertical="center"/>
    </xf>
    <xf numFmtId="180" fontId="9" fillId="3" borderId="3591">
      <alignment horizontal="right" vertical="center"/>
    </xf>
    <xf numFmtId="186" fontId="146" fillId="3" borderId="3591" applyBorder="0">
      <alignment horizontal="left" vertical="center"/>
    </xf>
    <xf numFmtId="0" fontId="165" fillId="0" borderId="3591" applyFill="0" applyProtection="0">
      <alignment horizontal="center"/>
    </xf>
    <xf numFmtId="0" fontId="166" fillId="0" borderId="3591">
      <alignment horizontal="center"/>
    </xf>
    <xf numFmtId="264" fontId="12" fillId="14" borderId="3591" applyFont="0" applyFill="0" applyBorder="0" applyAlignment="0" applyProtection="0">
      <alignment horizontal="right"/>
    </xf>
    <xf numFmtId="0" fontId="210" fillId="0" borderId="3591" applyNumberFormat="0" applyFill="0" applyBorder="0" applyAlignment="0">
      <protection locked="0"/>
    </xf>
    <xf numFmtId="254" fontId="240" fillId="0" borderId="3591" applyBorder="0" applyProtection="0">
      <alignment horizontal="right" vertical="center"/>
    </xf>
    <xf numFmtId="0" fontId="241" fillId="94" borderId="3591" applyBorder="0" applyProtection="0">
      <alignment horizontal="centerContinuous" vertical="center"/>
    </xf>
    <xf numFmtId="246" fontId="249" fillId="0" borderId="3591" applyFill="0" applyProtection="0">
      <alignment horizontal="center"/>
    </xf>
    <xf numFmtId="246" fontId="250" fillId="0" borderId="3591" applyFill="0" applyProtection="0">
      <alignment horizontal="center"/>
    </xf>
    <xf numFmtId="0" fontId="78" fillId="14" borderId="3593" applyFont="0" applyFill="0" applyBorder="0" applyAlignment="0" applyProtection="0"/>
    <xf numFmtId="0" fontId="25" fillId="10" borderId="3601" applyNumberFormat="0" applyProtection="0">
      <alignment horizontal="left" vertical="top"/>
    </xf>
    <xf numFmtId="0" fontId="25" fillId="10" borderId="3600" applyNumberFormat="0" applyProtection="0">
      <alignment horizontal="left" vertical="top"/>
    </xf>
    <xf numFmtId="0" fontId="25" fillId="10" borderId="3599" applyNumberFormat="0" applyProtection="0">
      <alignment horizontal="left" vertical="top"/>
    </xf>
    <xf numFmtId="0" fontId="25" fillId="10" borderId="3598" applyNumberFormat="0" applyProtection="0">
      <alignment horizontal="left" vertical="top"/>
    </xf>
    <xf numFmtId="0" fontId="214" fillId="0" borderId="3597" applyNumberFormat="0" applyFont="0" applyFill="0" applyAlignment="0" applyProtection="0"/>
    <xf numFmtId="0" fontId="2" fillId="0" borderId="3596" applyNumberFormat="0" applyAlignment="0" applyProtection="0"/>
    <xf numFmtId="186" fontId="140" fillId="3" borderId="3595">
      <alignment horizontal="center" vertical="center"/>
    </xf>
    <xf numFmtId="186" fontId="146" fillId="3" borderId="3594">
      <alignment horizontal="left"/>
    </xf>
    <xf numFmtId="0" fontId="75" fillId="0" borderId="3592" applyNumberFormat="0" applyFont="0" applyFill="0" applyAlignment="0" applyProtection="0"/>
    <xf numFmtId="222" fontId="79" fillId="0" borderId="3602" applyBorder="0"/>
    <xf numFmtId="0" fontId="101" fillId="0" borderId="3603" applyBorder="0"/>
    <xf numFmtId="222" fontId="79" fillId="0" borderId="3602" applyBorder="0"/>
    <xf numFmtId="0" fontId="113" fillId="0" borderId="3603" applyNumberFormat="0" applyFill="0" applyAlignment="0" applyProtection="0"/>
    <xf numFmtId="0" fontId="12" fillId="0" borderId="3603" applyNumberFormat="0" applyFill="0" applyBorder="0" applyAlignment="0" applyProtection="0">
      <alignment horizontal="center"/>
    </xf>
    <xf numFmtId="248" fontId="46" fillId="0" borderId="3603"/>
    <xf numFmtId="192" fontId="9" fillId="3" borderId="3603">
      <alignment horizontal="right" vertical="center"/>
    </xf>
    <xf numFmtId="180" fontId="9" fillId="3" borderId="3603">
      <alignment horizontal="right" vertical="center"/>
    </xf>
    <xf numFmtId="186" fontId="146" fillId="3" borderId="3603" applyBorder="0">
      <alignment horizontal="left" vertical="center"/>
    </xf>
    <xf numFmtId="0" fontId="165" fillId="0" borderId="3603" applyFill="0" applyProtection="0">
      <alignment horizontal="center"/>
    </xf>
    <xf numFmtId="0" fontId="166" fillId="0" borderId="3603">
      <alignment horizontal="center"/>
    </xf>
    <xf numFmtId="264" fontId="12" fillId="14" borderId="3603" applyFont="0" applyFill="0" applyBorder="0" applyAlignment="0" applyProtection="0">
      <alignment horizontal="right"/>
    </xf>
    <xf numFmtId="0" fontId="210" fillId="0" borderId="3603" applyNumberFormat="0" applyFill="0" applyBorder="0" applyAlignment="0">
      <protection locked="0"/>
    </xf>
    <xf numFmtId="254" fontId="240" fillId="0" borderId="3603" applyBorder="0" applyProtection="0">
      <alignment horizontal="right" vertical="center"/>
    </xf>
    <xf numFmtId="0" fontId="241" fillId="94" borderId="3603" applyBorder="0" applyProtection="0">
      <alignment horizontal="centerContinuous" vertical="center"/>
    </xf>
    <xf numFmtId="246" fontId="249" fillId="0" borderId="3603" applyFill="0" applyProtection="0">
      <alignment horizontal="center"/>
    </xf>
    <xf numFmtId="246" fontId="250" fillId="0" borderId="3603" applyFill="0" applyProtection="0">
      <alignment horizontal="center"/>
    </xf>
    <xf numFmtId="186" fontId="146" fillId="3" borderId="3606">
      <alignment horizontal="left"/>
    </xf>
    <xf numFmtId="0" fontId="75" fillId="0" borderId="3604" applyNumberFormat="0" applyFont="0" applyFill="0" applyAlignment="0" applyProtection="0"/>
    <xf numFmtId="0" fontId="113" fillId="0" borderId="3687" applyNumberFormat="0" applyFill="0" applyAlignment="0" applyProtection="0"/>
    <xf numFmtId="264" fontId="12" fillId="14" borderId="3687" applyFont="0" applyFill="0" applyBorder="0" applyAlignment="0" applyProtection="0">
      <alignment horizontal="right"/>
    </xf>
    <xf numFmtId="246" fontId="249" fillId="0" borderId="3687" applyFill="0" applyProtection="0">
      <alignment horizontal="center"/>
    </xf>
    <xf numFmtId="0" fontId="25" fillId="10" borderId="3613" applyNumberFormat="0" applyProtection="0">
      <alignment horizontal="left" vertical="top"/>
    </xf>
    <xf numFmtId="0" fontId="25" fillId="10" borderId="3611" applyNumberFormat="0" applyProtection="0">
      <alignment horizontal="left" vertical="top"/>
    </xf>
    <xf numFmtId="0" fontId="25" fillId="10" borderId="3612" applyNumberFormat="0" applyProtection="0">
      <alignment horizontal="left" vertical="top"/>
    </xf>
    <xf numFmtId="0" fontId="25" fillId="10" borderId="3610" applyNumberFormat="0" applyProtection="0">
      <alignment horizontal="left" vertical="top"/>
    </xf>
    <xf numFmtId="0" fontId="25" fillId="10" borderId="3613" applyNumberFormat="0" applyProtection="0">
      <alignment horizontal="left" vertical="top"/>
    </xf>
    <xf numFmtId="0" fontId="25" fillId="10" borderId="3612" applyNumberFormat="0" applyProtection="0">
      <alignment horizontal="left" vertical="top"/>
    </xf>
    <xf numFmtId="0" fontId="25" fillId="10" borderId="3611" applyNumberFormat="0" applyProtection="0">
      <alignment horizontal="left" vertical="top"/>
    </xf>
    <xf numFmtId="0" fontId="25" fillId="10" borderId="3610" applyNumberFormat="0" applyProtection="0">
      <alignment horizontal="left" vertical="top"/>
    </xf>
    <xf numFmtId="0" fontId="214" fillId="0" borderId="3609" applyNumberFormat="0" applyFont="0" applyFill="0" applyAlignment="0" applyProtection="0"/>
    <xf numFmtId="0" fontId="2" fillId="0" borderId="3608" applyNumberFormat="0" applyAlignment="0" applyProtection="0"/>
    <xf numFmtId="186" fontId="140" fillId="3" borderId="3607">
      <alignment horizontal="center" vertical="center"/>
    </xf>
    <xf numFmtId="186" fontId="140" fillId="3" borderId="3619">
      <alignment horizontal="center" vertical="center"/>
    </xf>
    <xf numFmtId="0" fontId="25" fillId="10" borderId="3622" applyNumberFormat="0" applyProtection="0">
      <alignment horizontal="left" vertical="top"/>
    </xf>
    <xf numFmtId="0" fontId="12" fillId="0" borderId="3687" applyNumberFormat="0" applyFill="0" applyBorder="0" applyAlignment="0" applyProtection="0">
      <alignment horizontal="center"/>
    </xf>
    <xf numFmtId="0" fontId="25" fillId="10" borderId="3684" applyNumberFormat="0" applyProtection="0">
      <alignment horizontal="left" vertical="top"/>
    </xf>
    <xf numFmtId="222" fontId="79" fillId="0" borderId="3674" applyBorder="0"/>
    <xf numFmtId="0" fontId="78" fillId="14" borderId="3677" applyFont="0" applyFill="0" applyBorder="0" applyAlignment="0" applyProtection="0"/>
    <xf numFmtId="222" fontId="79" fillId="0" borderId="3686" applyBorder="0"/>
    <xf numFmtId="0" fontId="101" fillId="0" borderId="3687" applyBorder="0"/>
    <xf numFmtId="222" fontId="79" fillId="0" borderId="3686" applyBorder="0"/>
    <xf numFmtId="248" fontId="46" fillId="0" borderId="3687"/>
    <xf numFmtId="192" fontId="9" fillId="3" borderId="3687">
      <alignment horizontal="right" vertical="center"/>
    </xf>
    <xf numFmtId="180" fontId="9" fillId="3" borderId="3687">
      <alignment horizontal="right" vertical="center"/>
    </xf>
    <xf numFmtId="186" fontId="146" fillId="3" borderId="3687" applyBorder="0">
      <alignment horizontal="left" vertical="center"/>
    </xf>
    <xf numFmtId="0" fontId="165" fillId="0" borderId="3687" applyFill="0" applyProtection="0">
      <alignment horizontal="center"/>
    </xf>
    <xf numFmtId="0" fontId="210" fillId="0" borderId="3687" applyNumberFormat="0" applyFill="0" applyBorder="0" applyAlignment="0">
      <protection locked="0"/>
    </xf>
    <xf numFmtId="254" fontId="240" fillId="0" borderId="3687" applyBorder="0" applyProtection="0">
      <alignment horizontal="right" vertical="center"/>
    </xf>
    <xf numFmtId="246" fontId="250" fillId="0" borderId="3687" applyFill="0" applyProtection="0">
      <alignment horizontal="center"/>
    </xf>
    <xf numFmtId="222" fontId="79" fillId="0" borderId="3626" applyBorder="0"/>
    <xf numFmtId="0" fontId="25" fillId="10" borderId="3623" applyNumberFormat="0" applyProtection="0">
      <alignment horizontal="left" vertical="top"/>
    </xf>
    <xf numFmtId="0" fontId="25" fillId="10" borderId="3625" applyNumberFormat="0" applyProtection="0">
      <alignment horizontal="left" vertical="top"/>
    </xf>
    <xf numFmtId="0" fontId="25" fillId="10" borderId="3622" applyNumberFormat="0" applyProtection="0">
      <alignment horizontal="left" vertical="top"/>
    </xf>
    <xf numFmtId="0" fontId="25" fillId="10" borderId="3623" applyNumberFormat="0" applyProtection="0">
      <alignment horizontal="left" vertical="top"/>
    </xf>
    <xf numFmtId="0" fontId="25" fillId="10" borderId="3624" applyNumberFormat="0" applyProtection="0">
      <alignment horizontal="left" vertical="top"/>
    </xf>
    <xf numFmtId="0" fontId="75" fillId="0" borderId="3628" applyNumberFormat="0" applyFont="0" applyFill="0" applyAlignment="0" applyProtection="0"/>
    <xf numFmtId="0" fontId="101" fillId="0" borderId="3639" applyBorder="0"/>
    <xf numFmtId="222" fontId="79" fillId="0" borderId="3638" applyBorder="0"/>
    <xf numFmtId="0" fontId="113" fillId="0" borderId="3639" applyNumberFormat="0" applyFill="0" applyAlignment="0" applyProtection="0"/>
    <xf numFmtId="0" fontId="12" fillId="0" borderId="3639" applyNumberFormat="0" applyFill="0" applyBorder="0" applyAlignment="0" applyProtection="0">
      <alignment horizontal="center"/>
    </xf>
    <xf numFmtId="248" fontId="46" fillId="0" borderId="3639"/>
    <xf numFmtId="192" fontId="9" fillId="3" borderId="3639">
      <alignment horizontal="right" vertical="center"/>
    </xf>
    <xf numFmtId="180" fontId="9" fillId="3" borderId="3639">
      <alignment horizontal="right" vertical="center"/>
    </xf>
    <xf numFmtId="186" fontId="146" fillId="3" borderId="3639" applyBorder="0">
      <alignment horizontal="left" vertical="center"/>
    </xf>
    <xf numFmtId="0" fontId="166" fillId="0" borderId="3639">
      <alignment horizontal="center"/>
    </xf>
    <xf numFmtId="0" fontId="210" fillId="0" borderId="3639" applyNumberFormat="0" applyFill="0" applyBorder="0" applyAlignment="0">
      <protection locked="0"/>
    </xf>
    <xf numFmtId="264" fontId="12" fillId="14" borderId="3639" applyFont="0" applyFill="0" applyBorder="0" applyAlignment="0" applyProtection="0">
      <alignment horizontal="right"/>
    </xf>
    <xf numFmtId="246" fontId="249" fillId="0" borderId="3639" applyFill="0" applyProtection="0">
      <alignment horizontal="center"/>
    </xf>
    <xf numFmtId="246" fontId="250" fillId="0" borderId="3639" applyFill="0" applyProtection="0">
      <alignment horizontal="center"/>
    </xf>
    <xf numFmtId="246" fontId="250" fillId="0" borderId="3663" applyFill="0" applyProtection="0">
      <alignment horizontal="center"/>
    </xf>
    <xf numFmtId="246" fontId="249" fillId="0" borderId="3663" applyFill="0" applyProtection="0">
      <alignment horizontal="center"/>
    </xf>
    <xf numFmtId="254" fontId="240" fillId="0" borderId="3663" applyBorder="0" applyProtection="0">
      <alignment horizontal="right" vertical="center"/>
    </xf>
    <xf numFmtId="264" fontId="12" fillId="14" borderId="3663" applyFont="0" applyFill="0" applyBorder="0" applyAlignment="0" applyProtection="0">
      <alignment horizontal="right"/>
    </xf>
    <xf numFmtId="0" fontId="165" fillId="0" borderId="3663" applyFill="0" applyProtection="0">
      <alignment horizontal="center"/>
    </xf>
    <xf numFmtId="180" fontId="9" fillId="3" borderId="3663">
      <alignment horizontal="right" vertical="center"/>
    </xf>
    <xf numFmtId="0" fontId="12" fillId="0" borderId="3663" applyNumberFormat="0" applyFill="0" applyBorder="0" applyAlignment="0" applyProtection="0">
      <alignment horizontal="center"/>
    </xf>
    <xf numFmtId="0" fontId="101" fillId="0" borderId="3663" applyBorder="0"/>
    <xf numFmtId="222" fontId="79" fillId="0" borderId="3662" applyBorder="0"/>
    <xf numFmtId="0" fontId="75" fillId="0" borderId="3652" applyNumberFormat="0" applyFont="0" applyFill="0" applyAlignment="0" applyProtection="0"/>
    <xf numFmtId="0" fontId="2" fillId="0" borderId="3656" applyNumberFormat="0" applyAlignment="0" applyProtection="0"/>
    <xf numFmtId="0" fontId="25" fillId="10" borderId="3658" applyNumberFormat="0" applyProtection="0">
      <alignment horizontal="left" vertical="top"/>
    </xf>
    <xf numFmtId="0" fontId="25" fillId="10" borderId="3661" applyNumberFormat="0" applyProtection="0">
      <alignment horizontal="left" vertical="top"/>
    </xf>
    <xf numFmtId="222" fontId="79" fillId="0" borderId="3650" applyBorder="0"/>
    <xf numFmtId="0" fontId="25" fillId="10" borderId="3636" applyNumberFormat="0" applyProtection="0">
      <alignment horizontal="left" vertical="top"/>
    </xf>
    <xf numFmtId="0" fontId="25" fillId="10" borderId="3634" applyNumberFormat="0" applyProtection="0">
      <alignment horizontal="left" vertical="top"/>
    </xf>
    <xf numFmtId="0" fontId="214" fillId="0" borderId="3633" applyNumberFormat="0" applyFont="0" applyFill="0" applyAlignment="0" applyProtection="0"/>
    <xf numFmtId="186" fontId="146" fillId="3" borderId="3630">
      <alignment horizontal="left"/>
    </xf>
    <xf numFmtId="222" fontId="79" fillId="0" borderId="3638" applyBorder="0"/>
    <xf numFmtId="0" fontId="101" fillId="0" borderId="3519" applyBorder="0"/>
    <xf numFmtId="0" fontId="113" fillId="0" borderId="3519" applyNumberFormat="0" applyFill="0" applyAlignment="0" applyProtection="0"/>
    <xf numFmtId="0" fontId="12" fillId="0" borderId="3519" applyNumberFormat="0" applyFill="0" applyBorder="0" applyAlignment="0" applyProtection="0">
      <alignment horizontal="center"/>
    </xf>
    <xf numFmtId="248" fontId="46" fillId="0" borderId="3519"/>
    <xf numFmtId="192" fontId="9" fillId="3" borderId="3519">
      <alignment horizontal="right" vertical="center"/>
    </xf>
    <xf numFmtId="180" fontId="9" fillId="3" borderId="3519">
      <alignment horizontal="right" vertical="center"/>
    </xf>
    <xf numFmtId="186" fontId="146" fillId="3" borderId="3519" applyBorder="0">
      <alignment horizontal="left" vertical="center"/>
    </xf>
    <xf numFmtId="0" fontId="165" fillId="0" borderId="3519" applyFill="0" applyProtection="0">
      <alignment horizontal="center"/>
    </xf>
    <xf numFmtId="0" fontId="166" fillId="0" borderId="3519">
      <alignment horizontal="center"/>
    </xf>
    <xf numFmtId="264" fontId="12" fillId="14" borderId="3519" applyFont="0" applyFill="0" applyBorder="0" applyAlignment="0" applyProtection="0">
      <alignment horizontal="right"/>
    </xf>
    <xf numFmtId="0" fontId="210" fillId="0" borderId="3519" applyNumberFormat="0" applyFill="0" applyBorder="0" applyAlignment="0">
      <protection locked="0"/>
    </xf>
    <xf numFmtId="248" fontId="46" fillId="0" borderId="3663"/>
    <xf numFmtId="222" fontId="79" fillId="0" borderId="3662" applyBorder="0"/>
    <xf numFmtId="186" fontId="140" fillId="3" borderId="3655">
      <alignment horizontal="center" vertical="center"/>
    </xf>
    <xf numFmtId="0" fontId="25" fillId="10" borderId="3660" applyNumberFormat="0" applyProtection="0">
      <alignment horizontal="left" vertical="top"/>
    </xf>
    <xf numFmtId="0" fontId="210" fillId="0" borderId="3663" applyNumberFormat="0" applyFill="0" applyBorder="0" applyAlignment="0">
      <protection locked="0"/>
    </xf>
    <xf numFmtId="192" fontId="9" fillId="3" borderId="3663">
      <alignment horizontal="right" vertical="center"/>
    </xf>
    <xf numFmtId="0" fontId="113" fillId="0" borderId="3663" applyNumberFormat="0" applyFill="0" applyAlignment="0" applyProtection="0"/>
    <xf numFmtId="186" fontId="146" fillId="3" borderId="3654">
      <alignment horizontal="left"/>
    </xf>
    <xf numFmtId="0" fontId="25" fillId="10" borderId="3659" applyNumberFormat="0" applyProtection="0">
      <alignment horizontal="left" vertical="top"/>
    </xf>
    <xf numFmtId="254" fontId="240" fillId="0" borderId="3519" applyBorder="0" applyProtection="0">
      <alignment horizontal="right" vertical="center"/>
    </xf>
    <xf numFmtId="0" fontId="241" fillId="94" borderId="3519" applyBorder="0" applyProtection="0">
      <alignment horizontal="centerContinuous" vertical="center"/>
    </xf>
    <xf numFmtId="246" fontId="249" fillId="0" borderId="3519" applyFill="0" applyProtection="0">
      <alignment horizontal="center"/>
    </xf>
    <xf numFmtId="246" fontId="250" fillId="0" borderId="3519" applyFill="0" applyProtection="0">
      <alignment horizontal="center"/>
    </xf>
    <xf numFmtId="0" fontId="25" fillId="10" borderId="3683" applyNumberFormat="0" applyProtection="0">
      <alignment horizontal="left" vertical="top"/>
    </xf>
    <xf numFmtId="0" fontId="25" fillId="10" borderId="3685" applyNumberFormat="0" applyProtection="0">
      <alignment horizontal="left" vertical="top"/>
    </xf>
    <xf numFmtId="222" fontId="79" fillId="0" borderId="3614" applyBorder="0"/>
    <xf numFmtId="0" fontId="214" fillId="0" borderId="3681" applyNumberFormat="0" applyFont="0" applyFill="0" applyAlignment="0" applyProtection="0"/>
    <xf numFmtId="0" fontId="75" fillId="0" borderId="3616" applyNumberFormat="0" applyFont="0" applyFill="0" applyAlignment="0" applyProtection="0"/>
    <xf numFmtId="0" fontId="25" fillId="10" borderId="3624" applyNumberFormat="0" applyProtection="0">
      <alignment horizontal="left" vertical="top"/>
    </xf>
    <xf numFmtId="0" fontId="25" fillId="10" borderId="3625" applyNumberFormat="0" applyProtection="0">
      <alignment horizontal="left" vertical="top"/>
    </xf>
    <xf numFmtId="0" fontId="165" fillId="0" borderId="3639" applyFill="0" applyProtection="0">
      <alignment horizontal="center"/>
    </xf>
    <xf numFmtId="254" fontId="240" fillId="0" borderId="3639" applyBorder="0" applyProtection="0">
      <alignment horizontal="right" vertical="center"/>
    </xf>
    <xf numFmtId="0" fontId="241" fillId="94" borderId="3639" applyBorder="0" applyProtection="0">
      <alignment horizontal="centerContinuous" vertical="center"/>
    </xf>
    <xf numFmtId="0" fontId="241" fillId="94" borderId="3663" applyBorder="0" applyProtection="0">
      <alignment horizontal="centerContinuous" vertical="center"/>
    </xf>
    <xf numFmtId="0" fontId="166" fillId="0" borderId="3663">
      <alignment horizontal="center"/>
    </xf>
    <xf numFmtId="186" fontId="146" fillId="3" borderId="3663" applyBorder="0">
      <alignment horizontal="left" vertical="center"/>
    </xf>
    <xf numFmtId="0" fontId="214" fillId="0" borderId="3657" applyNumberFormat="0" applyFont="0" applyFill="0" applyAlignment="0" applyProtection="0"/>
    <xf numFmtId="0" fontId="78" fillId="14" borderId="3653" applyFont="0" applyFill="0" applyBorder="0" applyAlignment="0" applyProtection="0"/>
    <xf numFmtId="0" fontId="78" fillId="14" borderId="3581" applyFont="0" applyFill="0" applyBorder="0" applyAlignment="0" applyProtection="0"/>
    <xf numFmtId="0" fontId="25" fillId="10" borderId="3529" applyNumberFormat="0" applyProtection="0">
      <alignment horizontal="left" vertical="top"/>
    </xf>
    <xf numFmtId="0" fontId="25" fillId="10" borderId="3528" applyNumberFormat="0" applyProtection="0">
      <alignment horizontal="left" vertical="top"/>
    </xf>
    <xf numFmtId="0" fontId="25" fillId="10" borderId="3527" applyNumberFormat="0" applyProtection="0">
      <alignment horizontal="left" vertical="top"/>
    </xf>
    <xf numFmtId="0" fontId="25" fillId="10" borderId="3526" applyNumberFormat="0" applyProtection="0">
      <alignment horizontal="left" vertical="top"/>
    </xf>
    <xf numFmtId="186" fontId="140" fillId="3" borderId="3679">
      <alignment horizontal="center" vertical="center"/>
    </xf>
    <xf numFmtId="0" fontId="214" fillId="0" borderId="3525" applyNumberFormat="0" applyFont="0" applyFill="0" applyAlignment="0" applyProtection="0"/>
    <xf numFmtId="0" fontId="2" fillId="0" borderId="3524" applyNumberFormat="0" applyAlignment="0" applyProtection="0"/>
    <xf numFmtId="186" fontId="140" fillId="3" borderId="3523">
      <alignment horizontal="center" vertical="center"/>
    </xf>
    <xf numFmtId="186" fontId="146" fillId="3" borderId="3522">
      <alignment horizontal="left"/>
    </xf>
    <xf numFmtId="186" fontId="146" fillId="3" borderId="3678">
      <alignment horizontal="left"/>
    </xf>
    <xf numFmtId="0" fontId="75" fillId="0" borderId="3520" applyNumberFormat="0" applyFont="0" applyFill="0" applyAlignment="0" applyProtection="0"/>
    <xf numFmtId="0" fontId="75" fillId="0" borderId="3676" applyNumberFormat="0" applyFont="0" applyFill="0" applyAlignment="0" applyProtection="0"/>
    <xf numFmtId="222" fontId="79" fillId="0" borderId="3590" applyBorder="0"/>
    <xf numFmtId="222" fontId="79" fillId="0" borderId="3590" applyBorder="0"/>
    <xf numFmtId="0" fontId="25" fillId="10" borderId="3682" applyNumberFormat="0" applyProtection="0">
      <alignment horizontal="left" vertical="top"/>
    </xf>
    <xf numFmtId="0" fontId="2" fillId="0" borderId="3680" applyNumberFormat="0" applyAlignment="0" applyProtection="0"/>
    <xf numFmtId="246" fontId="250" fillId="0" borderId="3615" applyFill="0" applyProtection="0">
      <alignment horizontal="center"/>
    </xf>
    <xf numFmtId="246" fontId="249" fillId="0" borderId="3615" applyFill="0" applyProtection="0">
      <alignment horizontal="center"/>
    </xf>
    <xf numFmtId="0" fontId="241" fillId="94" borderId="3615" applyBorder="0" applyProtection="0">
      <alignment horizontal="centerContinuous" vertical="center"/>
    </xf>
    <xf numFmtId="254" fontId="240" fillId="0" borderId="3615" applyBorder="0" applyProtection="0">
      <alignment horizontal="right" vertical="center"/>
    </xf>
    <xf numFmtId="0" fontId="210" fillId="0" borderId="3615" applyNumberFormat="0" applyFill="0" applyBorder="0" applyAlignment="0">
      <protection locked="0"/>
    </xf>
    <xf numFmtId="264" fontId="12" fillId="14" borderId="3615" applyFont="0" applyFill="0" applyBorder="0" applyAlignment="0" applyProtection="0">
      <alignment horizontal="right"/>
    </xf>
    <xf numFmtId="0" fontId="166" fillId="0" borderId="3615">
      <alignment horizontal="center"/>
    </xf>
    <xf numFmtId="0" fontId="165" fillId="0" borderId="3615" applyFill="0" applyProtection="0">
      <alignment horizontal="center"/>
    </xf>
    <xf numFmtId="186" fontId="146" fillId="3" borderId="3615" applyBorder="0">
      <alignment horizontal="left" vertical="center"/>
    </xf>
    <xf numFmtId="180" fontId="9" fillId="3" borderId="3615">
      <alignment horizontal="right" vertical="center"/>
    </xf>
    <xf numFmtId="192" fontId="9" fillId="3" borderId="3615">
      <alignment horizontal="right" vertical="center"/>
    </xf>
    <xf numFmtId="248" fontId="46" fillId="0" borderId="3615"/>
    <xf numFmtId="0" fontId="12" fillId="0" borderId="3615" applyNumberFormat="0" applyFill="0" applyBorder="0" applyAlignment="0" applyProtection="0">
      <alignment horizontal="center"/>
    </xf>
    <xf numFmtId="0" fontId="113" fillId="0" borderId="3615" applyNumberFormat="0" applyFill="0" applyAlignment="0" applyProtection="0"/>
    <xf numFmtId="222" fontId="79" fillId="0" borderId="3614" applyBorder="0"/>
    <xf numFmtId="0" fontId="101" fillId="0" borderId="3615" applyBorder="0"/>
    <xf numFmtId="222" fontId="79" fillId="0" borderId="3614" applyBorder="0"/>
    <xf numFmtId="0" fontId="75" fillId="0" borderId="3604" applyNumberFormat="0" applyFont="0" applyFill="0" applyAlignment="0" applyProtection="0"/>
    <xf numFmtId="186" fontId="146" fillId="3" borderId="3606">
      <alignment horizontal="left"/>
    </xf>
    <xf numFmtId="186" fontId="140" fillId="3" borderId="3607">
      <alignment horizontal="center" vertical="center"/>
    </xf>
    <xf numFmtId="0" fontId="2" fillId="0" borderId="3608" applyNumberFormat="0" applyAlignment="0" applyProtection="0"/>
    <xf numFmtId="0" fontId="214" fillId="0" borderId="3609" applyNumberFormat="0" applyFont="0" applyFill="0" applyAlignment="0" applyProtection="0"/>
    <xf numFmtId="0" fontId="25" fillId="10" borderId="3610" applyNumberFormat="0" applyProtection="0">
      <alignment horizontal="left" vertical="top"/>
    </xf>
    <xf numFmtId="0" fontId="25" fillId="10" borderId="3611" applyNumberFormat="0" applyProtection="0">
      <alignment horizontal="left" vertical="top"/>
    </xf>
    <xf numFmtId="0" fontId="25" fillId="10" borderId="3612" applyNumberFormat="0" applyProtection="0">
      <alignment horizontal="left" vertical="top"/>
    </xf>
    <xf numFmtId="0" fontId="25" fillId="10" borderId="3613" applyNumberFormat="0" applyProtection="0">
      <alignment horizontal="left" vertical="top"/>
    </xf>
    <xf numFmtId="0" fontId="78" fillId="14" borderId="3605" applyFont="0" applyFill="0" applyBorder="0" applyAlignment="0" applyProtection="0"/>
    <xf numFmtId="222" fontId="79" fillId="0" borderId="3602" applyBorder="0"/>
    <xf numFmtId="0" fontId="78" fillId="14" borderId="3581" applyFont="0" applyFill="0" applyBorder="0" applyAlignment="0" applyProtection="0"/>
    <xf numFmtId="222" fontId="79" fillId="0" borderId="3590" applyBorder="0"/>
    <xf numFmtId="0" fontId="78" fillId="14" borderId="3593" applyFont="0" applyFill="0" applyBorder="0" applyAlignment="0" applyProtection="0"/>
    <xf numFmtId="0" fontId="25" fillId="10" borderId="3601" applyNumberFormat="0" applyProtection="0">
      <alignment horizontal="left" vertical="top"/>
    </xf>
    <xf numFmtId="0" fontId="25" fillId="10" borderId="3600" applyNumberFormat="0" applyProtection="0">
      <alignment horizontal="left" vertical="top"/>
    </xf>
    <xf numFmtId="0" fontId="25" fillId="10" borderId="3599" applyNumberFormat="0" applyProtection="0">
      <alignment horizontal="left" vertical="top"/>
    </xf>
    <xf numFmtId="0" fontId="25" fillId="10" borderId="3598" applyNumberFormat="0" applyProtection="0">
      <alignment horizontal="left" vertical="top"/>
    </xf>
    <xf numFmtId="0" fontId="214" fillId="0" borderId="3597" applyNumberFormat="0" applyFont="0" applyFill="0" applyAlignment="0" applyProtection="0"/>
    <xf numFmtId="0" fontId="2" fillId="0" borderId="3524" applyNumberFormat="0" applyAlignment="0" applyProtection="0"/>
    <xf numFmtId="186" fontId="140" fillId="3" borderId="3595">
      <alignment horizontal="center" vertical="center"/>
    </xf>
    <xf numFmtId="186" fontId="146" fillId="3" borderId="3594">
      <alignment horizontal="left"/>
    </xf>
    <xf numFmtId="0" fontId="75" fillId="0" borderId="3592" applyNumberFormat="0" applyFont="0" applyFill="0" applyAlignment="0" applyProtection="0"/>
    <xf numFmtId="222" fontId="79" fillId="0" borderId="3602" applyBorder="0"/>
    <xf numFmtId="0" fontId="101" fillId="0" borderId="3603" applyBorder="0"/>
    <xf numFmtId="222" fontId="79" fillId="0" borderId="3602" applyBorder="0"/>
    <xf numFmtId="0" fontId="113" fillId="0" borderId="3603" applyNumberFormat="0" applyFill="0" applyAlignment="0" applyProtection="0"/>
    <xf numFmtId="0" fontId="12" fillId="0" borderId="3603" applyNumberFormat="0" applyFill="0" applyBorder="0" applyAlignment="0" applyProtection="0">
      <alignment horizontal="center"/>
    </xf>
    <xf numFmtId="248" fontId="46" fillId="0" borderId="3603"/>
    <xf numFmtId="192" fontId="9" fillId="3" borderId="3603">
      <alignment horizontal="right" vertical="center"/>
    </xf>
    <xf numFmtId="180" fontId="9" fillId="3" borderId="3603">
      <alignment horizontal="right" vertical="center"/>
    </xf>
    <xf numFmtId="186" fontId="146" fillId="3" borderId="3603" applyBorder="0">
      <alignment horizontal="left" vertical="center"/>
    </xf>
    <xf numFmtId="0" fontId="165" fillId="0" borderId="3603" applyFill="0" applyProtection="0">
      <alignment horizontal="center"/>
    </xf>
    <xf numFmtId="0" fontId="166" fillId="0" borderId="3603">
      <alignment horizontal="center"/>
    </xf>
    <xf numFmtId="264" fontId="12" fillId="14" borderId="3603" applyFont="0" applyFill="0" applyBorder="0" applyAlignment="0" applyProtection="0">
      <alignment horizontal="right"/>
    </xf>
    <xf numFmtId="0" fontId="210" fillId="0" borderId="3603" applyNumberFormat="0" applyFill="0" applyBorder="0" applyAlignment="0">
      <protection locked="0"/>
    </xf>
    <xf numFmtId="254" fontId="240" fillId="0" borderId="3603" applyBorder="0" applyProtection="0">
      <alignment horizontal="right" vertical="center"/>
    </xf>
    <xf numFmtId="0" fontId="241" fillId="94" borderId="3603" applyBorder="0" applyProtection="0">
      <alignment horizontal="centerContinuous" vertical="center"/>
    </xf>
    <xf numFmtId="246" fontId="249" fillId="0" borderId="3603" applyFill="0" applyProtection="0">
      <alignment horizontal="center"/>
    </xf>
    <xf numFmtId="246" fontId="250" fillId="0" borderId="3603" applyFill="0" applyProtection="0">
      <alignment horizontal="center"/>
    </xf>
    <xf numFmtId="0" fontId="241" fillId="94" borderId="3687" applyBorder="0" applyProtection="0">
      <alignment horizontal="centerContinuous" vertical="center"/>
    </xf>
    <xf numFmtId="0" fontId="166" fillId="0" borderId="3687">
      <alignment horizontal="center"/>
    </xf>
    <xf numFmtId="0" fontId="2" fillId="0" borderId="3620" applyNumberFormat="0" applyAlignment="0" applyProtection="0"/>
    <xf numFmtId="0" fontId="214" fillId="0" borderId="3621" applyNumberFormat="0" applyFont="0" applyFill="0" applyAlignment="0" applyProtection="0"/>
    <xf numFmtId="246" fontId="250" fillId="0" borderId="3627" applyFill="0" applyProtection="0">
      <alignment horizontal="center"/>
    </xf>
    <xf numFmtId="246" fontId="249" fillId="0" borderId="3627" applyFill="0" applyProtection="0">
      <alignment horizontal="center"/>
    </xf>
    <xf numFmtId="0" fontId="241" fillId="94" borderId="3627" applyBorder="0" applyProtection="0">
      <alignment horizontal="centerContinuous" vertical="center"/>
    </xf>
    <xf numFmtId="254" fontId="240" fillId="0" borderId="3627" applyBorder="0" applyProtection="0">
      <alignment horizontal="right" vertical="center"/>
    </xf>
    <xf numFmtId="0" fontId="210" fillId="0" borderId="3627" applyNumberFormat="0" applyFill="0" applyBorder="0" applyAlignment="0">
      <protection locked="0"/>
    </xf>
    <xf numFmtId="264" fontId="12" fillId="14" borderId="3627" applyFont="0" applyFill="0" applyBorder="0" applyAlignment="0" applyProtection="0">
      <alignment horizontal="right"/>
    </xf>
    <xf numFmtId="0" fontId="166" fillId="0" borderId="3627">
      <alignment horizontal="center"/>
    </xf>
    <xf numFmtId="0" fontId="165" fillId="0" borderId="3627" applyFill="0" applyProtection="0">
      <alignment horizontal="center"/>
    </xf>
    <xf numFmtId="186" fontId="146" fillId="3" borderId="3627" applyBorder="0">
      <alignment horizontal="left" vertical="center"/>
    </xf>
    <xf numFmtId="180" fontId="9" fillId="3" borderId="3627">
      <alignment horizontal="right" vertical="center"/>
    </xf>
    <xf numFmtId="192" fontId="9" fillId="3" borderId="3627">
      <alignment horizontal="right" vertical="center"/>
    </xf>
    <xf numFmtId="248" fontId="46" fillId="0" borderId="3627"/>
    <xf numFmtId="0" fontId="12" fillId="0" borderId="3627" applyNumberFormat="0" applyFill="0" applyBorder="0" applyAlignment="0" applyProtection="0">
      <alignment horizontal="center"/>
    </xf>
    <xf numFmtId="0" fontId="113" fillId="0" borderId="3627" applyNumberFormat="0" applyFill="0" applyAlignment="0" applyProtection="0"/>
    <xf numFmtId="222" fontId="79" fillId="0" borderId="3626" applyBorder="0"/>
    <xf numFmtId="0" fontId="101" fillId="0" borderId="3627" applyBorder="0"/>
    <xf numFmtId="222" fontId="79" fillId="0" borderId="3626" applyBorder="0"/>
    <xf numFmtId="0" fontId="75" fillId="0" borderId="3616" applyNumberFormat="0" applyFont="0" applyFill="0" applyAlignment="0" applyProtection="0"/>
    <xf numFmtId="186" fontId="146" fillId="3" borderId="3618">
      <alignment horizontal="left"/>
    </xf>
    <xf numFmtId="186" fontId="140" fillId="3" borderId="3619">
      <alignment horizontal="center" vertical="center"/>
    </xf>
    <xf numFmtId="0" fontId="2" fillId="0" borderId="3620" applyNumberFormat="0" applyAlignment="0" applyProtection="0"/>
    <xf numFmtId="0" fontId="214" fillId="0" borderId="3621" applyNumberFormat="0" applyFont="0" applyFill="0" applyAlignment="0" applyProtection="0"/>
    <xf numFmtId="0" fontId="25" fillId="10" borderId="3622" applyNumberFormat="0" applyProtection="0">
      <alignment horizontal="left" vertical="top"/>
    </xf>
    <xf numFmtId="0" fontId="25" fillId="10" borderId="3623" applyNumberFormat="0" applyProtection="0">
      <alignment horizontal="left" vertical="top"/>
    </xf>
    <xf numFmtId="0" fontId="25" fillId="10" borderId="3624" applyNumberFormat="0" applyProtection="0">
      <alignment horizontal="left" vertical="top"/>
    </xf>
    <xf numFmtId="0" fontId="25" fillId="10" borderId="3625" applyNumberFormat="0" applyProtection="0">
      <alignment horizontal="left" vertical="top"/>
    </xf>
    <xf numFmtId="0" fontId="78" fillId="14" borderId="3617" applyFont="0" applyFill="0" applyBorder="0" applyAlignment="0" applyProtection="0"/>
    <xf numFmtId="222" fontId="79" fillId="0" borderId="3614" applyBorder="0"/>
    <xf numFmtId="0" fontId="78" fillId="14" borderId="3629" applyFont="0" applyFill="0" applyBorder="0" applyAlignment="0" applyProtection="0"/>
    <xf numFmtId="186" fontId="146" fillId="3" borderId="3618">
      <alignment horizontal="left"/>
    </xf>
    <xf numFmtId="0" fontId="78" fillId="14" borderId="3605" applyFont="0" applyFill="0" applyBorder="0" applyAlignment="0" applyProtection="0"/>
    <xf numFmtId="222" fontId="79" fillId="0" borderId="3614" applyBorder="0"/>
    <xf numFmtId="0" fontId="2" fillId="0" borderId="3632" applyNumberFormat="0" applyAlignment="0" applyProtection="0"/>
    <xf numFmtId="0" fontId="78" fillId="14" borderId="3605" applyFont="0" applyFill="0" applyBorder="0" applyAlignment="0" applyProtection="0"/>
    <xf numFmtId="0" fontId="25" fillId="10" borderId="3613" applyNumberFormat="0" applyProtection="0">
      <alignment horizontal="left" vertical="top"/>
    </xf>
    <xf numFmtId="0" fontId="25" fillId="10" borderId="3612" applyNumberFormat="0" applyProtection="0">
      <alignment horizontal="left" vertical="top"/>
    </xf>
    <xf numFmtId="0" fontId="25" fillId="10" borderId="3611" applyNumberFormat="0" applyProtection="0">
      <alignment horizontal="left" vertical="top"/>
    </xf>
    <xf numFmtId="0" fontId="25" fillId="10" borderId="3610" applyNumberFormat="0" applyProtection="0">
      <alignment horizontal="left" vertical="top"/>
    </xf>
    <xf numFmtId="0" fontId="25" fillId="10" borderId="3635" applyNumberFormat="0" applyProtection="0">
      <alignment horizontal="left" vertical="top"/>
    </xf>
    <xf numFmtId="0" fontId="214" fillId="0" borderId="3609" applyNumberFormat="0" applyFont="0" applyFill="0" applyAlignment="0" applyProtection="0"/>
    <xf numFmtId="0" fontId="2" fillId="0" borderId="3608" applyNumberFormat="0" applyAlignment="0" applyProtection="0"/>
    <xf numFmtId="186" fontId="140" fillId="3" borderId="3607">
      <alignment horizontal="center" vertical="center"/>
    </xf>
    <xf numFmtId="186" fontId="146" fillId="3" borderId="3606">
      <alignment horizontal="left"/>
    </xf>
    <xf numFmtId="0" fontId="25" fillId="10" borderId="3637" applyNumberFormat="0" applyProtection="0">
      <alignment horizontal="left" vertical="top"/>
    </xf>
    <xf numFmtId="0" fontId="75" fillId="0" borderId="3604" applyNumberFormat="0" applyFont="0" applyFill="0" applyAlignment="0" applyProtection="0"/>
    <xf numFmtId="222" fontId="79" fillId="0" borderId="3614" applyBorder="0"/>
    <xf numFmtId="0" fontId="101" fillId="0" borderId="3615" applyBorder="0"/>
    <xf numFmtId="222" fontId="79" fillId="0" borderId="3614" applyBorder="0"/>
    <xf numFmtId="0" fontId="113" fillId="0" borderId="3615" applyNumberFormat="0" applyFill="0" applyAlignment="0" applyProtection="0"/>
    <xf numFmtId="0" fontId="12" fillId="0" borderId="3615" applyNumberFormat="0" applyFill="0" applyBorder="0" applyAlignment="0" applyProtection="0">
      <alignment horizontal="center"/>
    </xf>
    <xf numFmtId="248" fontId="46" fillId="0" borderId="3615"/>
    <xf numFmtId="192" fontId="9" fillId="3" borderId="3615">
      <alignment horizontal="right" vertical="center"/>
    </xf>
    <xf numFmtId="180" fontId="9" fillId="3" borderId="3615">
      <alignment horizontal="right" vertical="center"/>
    </xf>
    <xf numFmtId="186" fontId="146" fillId="3" borderId="3615" applyBorder="0">
      <alignment horizontal="left" vertical="center"/>
    </xf>
    <xf numFmtId="0" fontId="165" fillId="0" borderId="3615" applyFill="0" applyProtection="0">
      <alignment horizontal="center"/>
    </xf>
    <xf numFmtId="0" fontId="166" fillId="0" borderId="3615">
      <alignment horizontal="center"/>
    </xf>
    <xf numFmtId="264" fontId="12" fillId="14" borderId="3615" applyFont="0" applyFill="0" applyBorder="0" applyAlignment="0" applyProtection="0">
      <alignment horizontal="right"/>
    </xf>
    <xf numFmtId="0" fontId="210" fillId="0" borderId="3615" applyNumberFormat="0" applyFill="0" applyBorder="0" applyAlignment="0">
      <protection locked="0"/>
    </xf>
    <xf numFmtId="254" fontId="240" fillId="0" borderId="3615" applyBorder="0" applyProtection="0">
      <alignment horizontal="right" vertical="center"/>
    </xf>
    <xf numFmtId="0" fontId="241" fillId="94" borderId="3615" applyBorder="0" applyProtection="0">
      <alignment horizontal="centerContinuous" vertical="center"/>
    </xf>
    <xf numFmtId="246" fontId="249" fillId="0" borderId="3615" applyFill="0" applyProtection="0">
      <alignment horizontal="center"/>
    </xf>
    <xf numFmtId="246" fontId="250" fillId="0" borderId="3615" applyFill="0" applyProtection="0">
      <alignment horizontal="center"/>
    </xf>
    <xf numFmtId="186" fontId="140" fillId="3" borderId="3631">
      <alignment horizontal="center" vertical="center"/>
    </xf>
    <xf numFmtId="0" fontId="78" fillId="14" borderId="3617" applyFont="0" applyFill="0" applyBorder="0" applyAlignment="0" applyProtection="0"/>
    <xf numFmtId="222" fontId="79" fillId="0" borderId="3638" applyBorder="0"/>
    <xf numFmtId="0" fontId="78" fillId="14" borderId="3641" applyFont="0" applyFill="0" applyBorder="0" applyAlignment="0" applyProtection="0"/>
    <xf numFmtId="0" fontId="25" fillId="10" borderId="3649" applyNumberFormat="0" applyProtection="0">
      <alignment horizontal="left" vertical="top"/>
    </xf>
    <xf numFmtId="0" fontId="25" fillId="10" borderId="3648" applyNumberFormat="0" applyProtection="0">
      <alignment horizontal="left" vertical="top"/>
    </xf>
    <xf numFmtId="0" fontId="25" fillId="10" borderId="3647" applyNumberFormat="0" applyProtection="0">
      <alignment horizontal="left" vertical="top"/>
    </xf>
    <xf numFmtId="0" fontId="25" fillId="10" borderId="3646" applyNumberFormat="0" applyProtection="0">
      <alignment horizontal="left" vertical="top"/>
    </xf>
    <xf numFmtId="0" fontId="214" fillId="0" borderId="3645" applyNumberFormat="0" applyFont="0" applyFill="0" applyAlignment="0" applyProtection="0"/>
    <xf numFmtId="0" fontId="2" fillId="0" borderId="3644" applyNumberFormat="0" applyAlignment="0" applyProtection="0"/>
    <xf numFmtId="186" fontId="140" fillId="3" borderId="3643">
      <alignment horizontal="center" vertical="center"/>
    </xf>
    <xf numFmtId="186" fontId="146" fillId="3" borderId="3642">
      <alignment horizontal="left"/>
    </xf>
    <xf numFmtId="0" fontId="75" fillId="0" borderId="3640" applyNumberFormat="0" applyFont="0" applyFill="0" applyAlignment="0" applyProtection="0"/>
    <xf numFmtId="222" fontId="79" fillId="0" borderId="3650" applyBorder="0"/>
    <xf numFmtId="0" fontId="101" fillId="0" borderId="3651" applyBorder="0"/>
    <xf numFmtId="222" fontId="79" fillId="0" borderId="3650" applyBorder="0"/>
    <xf numFmtId="0" fontId="113" fillId="0" borderId="3651" applyNumberFormat="0" applyFill="0" applyAlignment="0" applyProtection="0"/>
    <xf numFmtId="0" fontId="12" fillId="0" borderId="3651" applyNumberFormat="0" applyFill="0" applyBorder="0" applyAlignment="0" applyProtection="0">
      <alignment horizontal="center"/>
    </xf>
    <xf numFmtId="248" fontId="46" fillId="0" borderId="3651"/>
    <xf numFmtId="192" fontId="9" fillId="3" borderId="3651">
      <alignment horizontal="right" vertical="center"/>
    </xf>
    <xf numFmtId="180" fontId="9" fillId="3" borderId="3651">
      <alignment horizontal="right" vertical="center"/>
    </xf>
    <xf numFmtId="186" fontId="146" fillId="3" borderId="3651" applyBorder="0">
      <alignment horizontal="left" vertical="center"/>
    </xf>
    <xf numFmtId="0" fontId="165" fillId="0" borderId="3651" applyFill="0" applyProtection="0">
      <alignment horizontal="center"/>
    </xf>
    <xf numFmtId="0" fontId="166" fillId="0" borderId="3651">
      <alignment horizontal="center"/>
    </xf>
    <xf numFmtId="264" fontId="12" fillId="14" borderId="3651" applyFont="0" applyFill="0" applyBorder="0" applyAlignment="0" applyProtection="0">
      <alignment horizontal="right"/>
    </xf>
    <xf numFmtId="0" fontId="210" fillId="0" borderId="3651" applyNumberFormat="0" applyFill="0" applyBorder="0" applyAlignment="0">
      <protection locked="0"/>
    </xf>
    <xf numFmtId="254" fontId="240" fillId="0" borderId="3651" applyBorder="0" applyProtection="0">
      <alignment horizontal="right" vertical="center"/>
    </xf>
    <xf numFmtId="0" fontId="241" fillId="94" borderId="3651" applyBorder="0" applyProtection="0">
      <alignment horizontal="centerContinuous" vertical="center"/>
    </xf>
    <xf numFmtId="246" fontId="249" fillId="0" borderId="3651" applyFill="0" applyProtection="0">
      <alignment horizontal="center"/>
    </xf>
    <xf numFmtId="246" fontId="250" fillId="0" borderId="3651" applyFill="0" applyProtection="0">
      <alignment horizontal="center"/>
    </xf>
    <xf numFmtId="222" fontId="79" fillId="0" borderId="3662" applyBorder="0"/>
    <xf numFmtId="0" fontId="78" fillId="14" borderId="3665" applyFont="0" applyFill="0" applyBorder="0" applyAlignment="0" applyProtection="0"/>
    <xf numFmtId="0" fontId="25" fillId="10" borderId="3673" applyNumberFormat="0" applyProtection="0">
      <alignment horizontal="left" vertical="top"/>
    </xf>
    <xf numFmtId="0" fontId="25" fillId="10" borderId="3672" applyNumberFormat="0" applyProtection="0">
      <alignment horizontal="left" vertical="top"/>
    </xf>
    <xf numFmtId="0" fontId="25" fillId="10" borderId="3671" applyNumberFormat="0" applyProtection="0">
      <alignment horizontal="left" vertical="top"/>
    </xf>
    <xf numFmtId="0" fontId="25" fillId="10" borderId="3670" applyNumberFormat="0" applyProtection="0">
      <alignment horizontal="left" vertical="top"/>
    </xf>
    <xf numFmtId="0" fontId="214" fillId="0" borderId="3669" applyNumberFormat="0" applyFont="0" applyFill="0" applyAlignment="0" applyProtection="0"/>
    <xf numFmtId="0" fontId="2" fillId="0" borderId="3668" applyNumberFormat="0" applyAlignment="0" applyProtection="0"/>
    <xf numFmtId="186" fontId="140" fillId="3" borderId="3667">
      <alignment horizontal="center" vertical="center"/>
    </xf>
    <xf numFmtId="186" fontId="146" fillId="3" borderId="3666">
      <alignment horizontal="left"/>
    </xf>
    <xf numFmtId="0" fontId="75" fillId="0" borderId="3664" applyNumberFormat="0" applyFont="0" applyFill="0" applyAlignment="0" applyProtection="0"/>
    <xf numFmtId="222" fontId="79" fillId="0" borderId="3674" applyBorder="0"/>
    <xf numFmtId="0" fontId="101" fillId="0" borderId="3675" applyBorder="0"/>
    <xf numFmtId="222" fontId="79" fillId="0" borderId="3674" applyBorder="0"/>
    <xf numFmtId="0" fontId="113" fillId="0" borderId="3675" applyNumberFormat="0" applyFill="0" applyAlignment="0" applyProtection="0"/>
    <xf numFmtId="0" fontId="12" fillId="0" borderId="3675" applyNumberFormat="0" applyFill="0" applyBorder="0" applyAlignment="0" applyProtection="0">
      <alignment horizontal="center"/>
    </xf>
    <xf numFmtId="248" fontId="46" fillId="0" borderId="3675"/>
    <xf numFmtId="192" fontId="9" fillId="3" borderId="3675">
      <alignment horizontal="right" vertical="center"/>
    </xf>
    <xf numFmtId="180" fontId="9" fillId="3" borderId="3675">
      <alignment horizontal="right" vertical="center"/>
    </xf>
    <xf numFmtId="186" fontId="146" fillId="3" borderId="3675" applyBorder="0">
      <alignment horizontal="left" vertical="center"/>
    </xf>
    <xf numFmtId="0" fontId="165" fillId="0" borderId="3675" applyFill="0" applyProtection="0">
      <alignment horizontal="center"/>
    </xf>
    <xf numFmtId="0" fontId="166" fillId="0" borderId="3675">
      <alignment horizontal="center"/>
    </xf>
    <xf numFmtId="264" fontId="12" fillId="14" borderId="3675" applyFont="0" applyFill="0" applyBorder="0" applyAlignment="0" applyProtection="0">
      <alignment horizontal="right"/>
    </xf>
    <xf numFmtId="0" fontId="210" fillId="0" borderId="3675" applyNumberFormat="0" applyFill="0" applyBorder="0" applyAlignment="0">
      <protection locked="0"/>
    </xf>
    <xf numFmtId="254" fontId="240" fillId="0" borderId="3675" applyBorder="0" applyProtection="0">
      <alignment horizontal="right" vertical="center"/>
    </xf>
    <xf numFmtId="0" fontId="241" fillId="94" borderId="3675" applyBorder="0" applyProtection="0">
      <alignment horizontal="centerContinuous" vertical="center"/>
    </xf>
    <xf numFmtId="246" fontId="249" fillId="0" borderId="3675" applyFill="0" applyProtection="0">
      <alignment horizontal="center"/>
    </xf>
    <xf numFmtId="246" fontId="250" fillId="0" borderId="3675" applyFill="0" applyProtection="0">
      <alignment horizontal="center"/>
    </xf>
    <xf numFmtId="0" fontId="75" fillId="0" borderId="3688" applyNumberFormat="0" applyFont="0" applyFill="0" applyAlignment="0" applyProtection="0"/>
    <xf numFmtId="0" fontId="78" fillId="14" borderId="3689" applyFont="0" applyFill="0" applyBorder="0" applyAlignment="0" applyProtection="0"/>
    <xf numFmtId="186" fontId="146" fillId="3" borderId="3690">
      <alignment horizontal="left"/>
    </xf>
    <xf numFmtId="186" fontId="140" fillId="3" borderId="3691">
      <alignment horizontal="center" vertical="center"/>
    </xf>
    <xf numFmtId="0" fontId="2" fillId="0" borderId="3692" applyNumberFormat="0" applyAlignment="0" applyProtection="0"/>
    <xf numFmtId="0" fontId="214" fillId="0" borderId="3693" applyNumberFormat="0" applyFont="0" applyFill="0" applyAlignment="0" applyProtection="0"/>
    <xf numFmtId="0" fontId="25" fillId="10" borderId="3694" applyNumberFormat="0" applyProtection="0">
      <alignment horizontal="left" vertical="top"/>
    </xf>
    <xf numFmtId="0" fontId="25" fillId="10" borderId="3695" applyNumberFormat="0" applyProtection="0">
      <alignment horizontal="left" vertical="top"/>
    </xf>
    <xf numFmtId="0" fontId="25" fillId="10" borderId="3696" applyNumberFormat="0" applyProtection="0">
      <alignment horizontal="left" vertical="top"/>
    </xf>
    <xf numFmtId="0" fontId="25" fillId="10" borderId="3697" applyNumberFormat="0" applyProtection="0">
      <alignment horizontal="left" vertical="top"/>
    </xf>
    <xf numFmtId="246" fontId="250" fillId="0" borderId="3687" applyFill="0" applyProtection="0">
      <alignment horizontal="center"/>
    </xf>
    <xf numFmtId="246" fontId="249" fillId="0" borderId="3687" applyFill="0" applyProtection="0">
      <alignment horizontal="center"/>
    </xf>
    <xf numFmtId="0" fontId="241" fillId="94" borderId="3687" applyBorder="0" applyProtection="0">
      <alignment horizontal="centerContinuous" vertical="center"/>
    </xf>
    <xf numFmtId="254" fontId="240" fillId="0" borderId="3687" applyBorder="0" applyProtection="0">
      <alignment horizontal="right" vertical="center"/>
    </xf>
    <xf numFmtId="0" fontId="210" fillId="0" borderId="3687" applyNumberFormat="0" applyFill="0" applyBorder="0" applyAlignment="0">
      <protection locked="0"/>
    </xf>
    <xf numFmtId="264" fontId="12" fillId="14" borderId="3687" applyFont="0" applyFill="0" applyBorder="0" applyAlignment="0" applyProtection="0">
      <alignment horizontal="right"/>
    </xf>
    <xf numFmtId="0" fontId="166" fillId="0" borderId="3687">
      <alignment horizontal="center"/>
    </xf>
    <xf numFmtId="0" fontId="165" fillId="0" borderId="3687" applyFill="0" applyProtection="0">
      <alignment horizontal="center"/>
    </xf>
    <xf numFmtId="186" fontId="146" fillId="3" borderId="3687" applyBorder="0">
      <alignment horizontal="left" vertical="center"/>
    </xf>
    <xf numFmtId="180" fontId="9" fillId="3" borderId="3687">
      <alignment horizontal="right" vertical="center"/>
    </xf>
    <xf numFmtId="192" fontId="9" fillId="3" borderId="3687">
      <alignment horizontal="right" vertical="center"/>
    </xf>
    <xf numFmtId="0" fontId="12" fillId="0" borderId="3687" applyNumberFormat="0" applyFill="0" applyBorder="0" applyAlignment="0" applyProtection="0">
      <alignment horizontal="center"/>
    </xf>
    <xf numFmtId="0" fontId="113" fillId="0" borderId="3687" applyNumberFormat="0" applyFill="0" applyAlignment="0" applyProtection="0"/>
    <xf numFmtId="222" fontId="79" fillId="0" borderId="3686" applyBorder="0"/>
    <xf numFmtId="0" fontId="101" fillId="0" borderId="3687" applyBorder="0"/>
    <xf numFmtId="248" fontId="46" fillId="0" borderId="3687"/>
    <xf numFmtId="0" fontId="101" fillId="0" borderId="3687" applyBorder="0"/>
    <xf numFmtId="222" fontId="79" fillId="0" borderId="3686" applyBorder="0"/>
    <xf numFmtId="0" fontId="113" fillId="0" borderId="3687" applyNumberFormat="0" applyFill="0" applyAlignment="0" applyProtection="0"/>
    <xf numFmtId="0" fontId="75" fillId="0" borderId="3688" applyNumberFormat="0" applyFont="0" applyFill="0" applyAlignment="0" applyProtection="0"/>
    <xf numFmtId="0" fontId="12" fillId="0" borderId="3687" applyNumberFormat="0" applyFill="0" applyBorder="0" applyAlignment="0" applyProtection="0">
      <alignment horizontal="center"/>
    </xf>
    <xf numFmtId="248" fontId="46" fillId="0" borderId="3687"/>
    <xf numFmtId="192" fontId="9" fillId="3" borderId="3687">
      <alignment horizontal="right" vertical="center"/>
    </xf>
    <xf numFmtId="180" fontId="9" fillId="3" borderId="3687">
      <alignment horizontal="right" vertical="center"/>
    </xf>
    <xf numFmtId="186" fontId="146" fillId="3" borderId="3687" applyBorder="0">
      <alignment horizontal="left" vertical="center"/>
    </xf>
    <xf numFmtId="186" fontId="146" fillId="3" borderId="3690">
      <alignment horizontal="left"/>
    </xf>
    <xf numFmtId="186" fontId="140" fillId="3" borderId="3691">
      <alignment horizontal="center" vertical="center"/>
    </xf>
    <xf numFmtId="0" fontId="165" fillId="0" borderId="3687" applyFill="0" applyProtection="0">
      <alignment horizontal="center"/>
    </xf>
    <xf numFmtId="0" fontId="166" fillId="0" borderId="3687">
      <alignment horizontal="center"/>
    </xf>
    <xf numFmtId="264" fontId="12" fillId="14" borderId="3687" applyFont="0" applyFill="0" applyBorder="0" applyAlignment="0" applyProtection="0">
      <alignment horizontal="right"/>
    </xf>
    <xf numFmtId="0" fontId="210" fillId="0" borderId="3687" applyNumberFormat="0" applyFill="0" applyBorder="0" applyAlignment="0">
      <protection locked="0"/>
    </xf>
    <xf numFmtId="0" fontId="2" fillId="0" borderId="3692" applyNumberFormat="0" applyAlignment="0" applyProtection="0"/>
    <xf numFmtId="0" fontId="214" fillId="0" borderId="3693" applyNumberFormat="0" applyFont="0" applyFill="0" applyAlignment="0" applyProtection="0"/>
    <xf numFmtId="0" fontId="25" fillId="10" borderId="3694" applyNumberFormat="0" applyProtection="0">
      <alignment horizontal="left" vertical="top"/>
    </xf>
    <xf numFmtId="0" fontId="25" fillId="10" borderId="3695" applyNumberFormat="0" applyProtection="0">
      <alignment horizontal="left" vertical="top"/>
    </xf>
    <xf numFmtId="0" fontId="25" fillId="10" borderId="3696" applyNumberFormat="0" applyProtection="0">
      <alignment horizontal="left" vertical="top"/>
    </xf>
    <xf numFmtId="0" fontId="25" fillId="10" borderId="3697" applyNumberFormat="0" applyProtection="0">
      <alignment horizontal="left" vertical="top"/>
    </xf>
    <xf numFmtId="0" fontId="25" fillId="10" borderId="3694" applyNumberFormat="0" applyProtection="0">
      <alignment horizontal="left" vertical="top"/>
    </xf>
    <xf numFmtId="0" fontId="25" fillId="10" borderId="3695" applyNumberFormat="0" applyProtection="0">
      <alignment horizontal="left" vertical="top"/>
    </xf>
    <xf numFmtId="0" fontId="25" fillId="10" borderId="3696" applyNumberFormat="0" applyProtection="0">
      <alignment horizontal="left" vertical="top"/>
    </xf>
    <xf numFmtId="0" fontId="25" fillId="10" borderId="3697" applyNumberFormat="0" applyProtection="0">
      <alignment horizontal="left" vertical="top"/>
    </xf>
    <xf numFmtId="254" fontId="240" fillId="0" borderId="3687" applyBorder="0" applyProtection="0">
      <alignment horizontal="right" vertical="center"/>
    </xf>
    <xf numFmtId="0" fontId="241" fillId="94" borderId="3687" applyBorder="0" applyProtection="0">
      <alignment horizontal="centerContinuous" vertical="center"/>
    </xf>
    <xf numFmtId="246" fontId="249" fillId="0" borderId="3687" applyFill="0" applyProtection="0">
      <alignment horizontal="center"/>
    </xf>
    <xf numFmtId="246" fontId="250" fillId="0" borderId="3687" applyFill="0" applyProtection="0">
      <alignment horizontal="center"/>
    </xf>
    <xf numFmtId="190" fontId="101" fillId="0" borderId="3687" applyBorder="0"/>
    <xf numFmtId="190" fontId="113" fillId="0" borderId="3687" applyNumberFormat="0" applyFill="0" applyAlignment="0" applyProtection="0"/>
    <xf numFmtId="190" fontId="75" fillId="0" borderId="3664" applyNumberFormat="0" applyFont="0" applyFill="0" applyAlignment="0" applyProtection="0"/>
    <xf numFmtId="190" fontId="12" fillId="0" borderId="3687" applyNumberFormat="0" applyFill="0" applyBorder="0" applyAlignment="0" applyProtection="0">
      <alignment horizontal="center"/>
    </xf>
    <xf numFmtId="190" fontId="78" fillId="14" borderId="3677" applyFont="0" applyFill="0" applyBorder="0" applyAlignment="0" applyProtection="0"/>
    <xf numFmtId="190" fontId="165" fillId="0" borderId="3687" applyFill="0" applyProtection="0">
      <alignment horizontal="center"/>
    </xf>
    <xf numFmtId="190" fontId="166" fillId="0" borderId="3687">
      <alignment horizontal="center"/>
    </xf>
    <xf numFmtId="190" fontId="210" fillId="0" borderId="3687" applyNumberFormat="0" applyFill="0" applyBorder="0" applyAlignment="0">
      <protection locked="0"/>
    </xf>
    <xf numFmtId="190" fontId="2" fillId="0" borderId="3668" applyNumberFormat="0" applyAlignment="0" applyProtection="0"/>
    <xf numFmtId="190" fontId="214" fillId="0" borderId="3669" applyNumberFormat="0" applyFont="0" applyFill="0" applyAlignment="0" applyProtection="0"/>
    <xf numFmtId="190" fontId="25" fillId="10" borderId="3670" applyNumberFormat="0" applyProtection="0">
      <alignment horizontal="left" vertical="top"/>
    </xf>
    <xf numFmtId="190" fontId="25" fillId="10" borderId="3671" applyNumberFormat="0" applyProtection="0">
      <alignment horizontal="left" vertical="top"/>
    </xf>
    <xf numFmtId="190" fontId="25" fillId="10" borderId="3672" applyNumberFormat="0" applyProtection="0">
      <alignment horizontal="left" vertical="top"/>
    </xf>
    <xf numFmtId="190" fontId="25" fillId="10" borderId="3673" applyNumberFormat="0" applyProtection="0">
      <alignment horizontal="left" vertical="top"/>
    </xf>
    <xf numFmtId="190" fontId="241" fillId="94" borderId="3687" applyBorder="0" applyProtection="0">
      <alignment horizontal="centerContinuous" vertical="center"/>
    </xf>
    <xf numFmtId="222" fontId="79" fillId="0" borderId="3686" applyBorder="0"/>
    <xf numFmtId="0" fontId="101" fillId="0" borderId="3687" applyBorder="0"/>
    <xf numFmtId="222" fontId="79" fillId="0" borderId="3686" applyBorder="0"/>
    <xf numFmtId="0" fontId="113" fillId="0" borderId="3687" applyNumberFormat="0" applyFill="0" applyAlignment="0" applyProtection="0"/>
    <xf numFmtId="0" fontId="75" fillId="0" borderId="3664" applyNumberFormat="0" applyFont="0" applyFill="0" applyAlignment="0" applyProtection="0"/>
    <xf numFmtId="0" fontId="12" fillId="0" borderId="3687" applyNumberFormat="0" applyFill="0" applyBorder="0" applyAlignment="0" applyProtection="0">
      <alignment horizontal="center"/>
    </xf>
    <xf numFmtId="248" fontId="46" fillId="0" borderId="3687"/>
    <xf numFmtId="192" fontId="9" fillId="3" borderId="3687">
      <alignment horizontal="right" vertical="center"/>
    </xf>
    <xf numFmtId="180" fontId="9" fillId="3" borderId="3687">
      <alignment horizontal="right" vertical="center"/>
    </xf>
    <xf numFmtId="186" fontId="146" fillId="3" borderId="3687" applyBorder="0">
      <alignment horizontal="left" vertical="center"/>
    </xf>
    <xf numFmtId="186" fontId="146" fillId="3" borderId="3666">
      <alignment horizontal="left"/>
    </xf>
    <xf numFmtId="186" fontId="140" fillId="3" borderId="3667">
      <alignment horizontal="center" vertical="center"/>
    </xf>
    <xf numFmtId="0" fontId="165" fillId="0" borderId="3687" applyFill="0" applyProtection="0">
      <alignment horizontal="center"/>
    </xf>
    <xf numFmtId="0" fontId="166" fillId="0" borderId="3687">
      <alignment horizontal="center"/>
    </xf>
    <xf numFmtId="264" fontId="12" fillId="14" borderId="3687" applyFont="0" applyFill="0" applyBorder="0" applyAlignment="0" applyProtection="0">
      <alignment horizontal="right"/>
    </xf>
    <xf numFmtId="0" fontId="210" fillId="0" borderId="3687" applyNumberFormat="0" applyFill="0" applyBorder="0" applyAlignment="0">
      <protection locked="0"/>
    </xf>
    <xf numFmtId="0" fontId="2" fillId="0" borderId="3668" applyNumberFormat="0" applyAlignment="0" applyProtection="0"/>
    <xf numFmtId="0" fontId="214" fillId="0" borderId="3669" applyNumberFormat="0" applyFont="0" applyFill="0" applyAlignment="0" applyProtection="0"/>
    <xf numFmtId="0" fontId="25" fillId="10" borderId="3670" applyNumberFormat="0" applyProtection="0">
      <alignment horizontal="left" vertical="top"/>
    </xf>
    <xf numFmtId="0" fontId="25" fillId="10" borderId="3671" applyNumberFormat="0" applyProtection="0">
      <alignment horizontal="left" vertical="top"/>
    </xf>
    <xf numFmtId="0" fontId="25" fillId="10" borderId="3672" applyNumberFormat="0" applyProtection="0">
      <alignment horizontal="left" vertical="top"/>
    </xf>
    <xf numFmtId="0" fontId="25" fillId="10" borderId="3673" applyNumberFormat="0" applyProtection="0">
      <alignment horizontal="left" vertical="top"/>
    </xf>
    <xf numFmtId="0" fontId="25" fillId="10" borderId="3670" applyNumberFormat="0" applyProtection="0">
      <alignment horizontal="left" vertical="top"/>
    </xf>
    <xf numFmtId="0" fontId="25" fillId="10" borderId="3671" applyNumberFormat="0" applyProtection="0">
      <alignment horizontal="left" vertical="top"/>
    </xf>
    <xf numFmtId="0" fontId="25" fillId="10" borderId="3672" applyNumberFormat="0" applyProtection="0">
      <alignment horizontal="left" vertical="top"/>
    </xf>
    <xf numFmtId="0" fontId="25" fillId="10" borderId="3673" applyNumberFormat="0" applyProtection="0">
      <alignment horizontal="left" vertical="top"/>
    </xf>
    <xf numFmtId="254" fontId="240" fillId="0" borderId="3687" applyBorder="0" applyProtection="0">
      <alignment horizontal="right" vertical="center"/>
    </xf>
    <xf numFmtId="0" fontId="241" fillId="94" borderId="3687" applyBorder="0" applyProtection="0">
      <alignment horizontal="centerContinuous" vertical="center"/>
    </xf>
    <xf numFmtId="246" fontId="249" fillId="0" borderId="3687" applyFill="0" applyProtection="0">
      <alignment horizontal="center"/>
    </xf>
    <xf numFmtId="246" fontId="250" fillId="0" borderId="3687" applyFill="0" applyProtection="0">
      <alignment horizontal="center"/>
    </xf>
    <xf numFmtId="312" fontId="101" fillId="0" borderId="3687" applyBorder="0"/>
    <xf numFmtId="312" fontId="113" fillId="0" borderId="3687" applyNumberFormat="0" applyFill="0" applyAlignment="0" applyProtection="0"/>
    <xf numFmtId="312" fontId="75" fillId="0" borderId="3664" applyNumberFormat="0" applyFont="0" applyFill="0" applyAlignment="0" applyProtection="0"/>
    <xf numFmtId="312" fontId="12" fillId="0" borderId="3687" applyNumberFormat="0" applyFill="0" applyBorder="0" applyAlignment="0" applyProtection="0">
      <alignment horizontal="center"/>
    </xf>
    <xf numFmtId="312" fontId="165" fillId="0" borderId="3687" applyFill="0" applyProtection="0">
      <alignment horizontal="center"/>
    </xf>
    <xf numFmtId="312" fontId="242" fillId="0" borderId="3687">
      <alignment horizontal="center"/>
    </xf>
    <xf numFmtId="312" fontId="210" fillId="0" borderId="3687" applyNumberFormat="0" applyFill="0" applyBorder="0" applyAlignment="0">
      <protection locked="0"/>
    </xf>
    <xf numFmtId="312" fontId="2" fillId="0" borderId="3668" applyNumberFormat="0" applyAlignment="0" applyProtection="0"/>
    <xf numFmtId="312" fontId="214" fillId="0" borderId="3669" applyNumberFormat="0" applyFont="0" applyFill="0" applyAlignment="0" applyProtection="0"/>
    <xf numFmtId="312" fontId="25" fillId="10" borderId="3670" applyNumberFormat="0" applyProtection="0">
      <alignment horizontal="left" vertical="top"/>
    </xf>
    <xf numFmtId="312" fontId="25" fillId="10" borderId="3671" applyNumberFormat="0" applyProtection="0">
      <alignment horizontal="left" vertical="top"/>
    </xf>
    <xf numFmtId="312" fontId="25" fillId="10" borderId="3672" applyNumberFormat="0" applyProtection="0">
      <alignment horizontal="left" vertical="top"/>
    </xf>
    <xf numFmtId="312" fontId="25" fillId="10" borderId="3673" applyNumberFormat="0" applyProtection="0">
      <alignment horizontal="left" vertical="top"/>
    </xf>
    <xf numFmtId="312" fontId="241" fillId="94" borderId="3687" applyBorder="0" applyProtection="0">
      <alignment horizontal="centerContinuous" vertical="center"/>
    </xf>
    <xf numFmtId="246" fontId="296" fillId="0" borderId="3687" applyFill="0" applyProtection="0">
      <alignment horizontal="center"/>
    </xf>
    <xf numFmtId="312" fontId="101" fillId="0" borderId="3687" applyBorder="0"/>
    <xf numFmtId="312" fontId="113" fillId="0" borderId="3687" applyNumberFormat="0" applyFill="0" applyAlignment="0" applyProtection="0"/>
    <xf numFmtId="312" fontId="75" fillId="0" borderId="3664" applyNumberFormat="0" applyFont="0" applyFill="0" applyAlignment="0" applyProtection="0"/>
    <xf numFmtId="312" fontId="12" fillId="0" borderId="3687" applyNumberFormat="0" applyFill="0" applyBorder="0" applyAlignment="0" applyProtection="0">
      <alignment horizontal="center"/>
    </xf>
    <xf numFmtId="312" fontId="165" fillId="0" borderId="3687" applyFill="0" applyProtection="0">
      <alignment horizontal="center"/>
    </xf>
    <xf numFmtId="312" fontId="242" fillId="0" borderId="3687">
      <alignment horizontal="center"/>
    </xf>
    <xf numFmtId="312" fontId="210" fillId="0" borderId="3687" applyNumberFormat="0" applyFill="0" applyBorder="0" applyAlignment="0">
      <protection locked="0"/>
    </xf>
    <xf numFmtId="312" fontId="2" fillId="0" borderId="3668" applyNumberFormat="0" applyAlignment="0" applyProtection="0"/>
    <xf numFmtId="312" fontId="214" fillId="0" borderId="3669" applyNumberFormat="0" applyFont="0" applyFill="0" applyAlignment="0" applyProtection="0"/>
    <xf numFmtId="312" fontId="25" fillId="10" borderId="3670" applyNumberFormat="0" applyProtection="0">
      <alignment horizontal="left" vertical="top"/>
    </xf>
    <xf numFmtId="312" fontId="25" fillId="10" borderId="3671" applyNumberFormat="0" applyProtection="0">
      <alignment horizontal="left" vertical="top"/>
    </xf>
    <xf numFmtId="312" fontId="25" fillId="10" borderId="3672" applyNumberFormat="0" applyProtection="0">
      <alignment horizontal="left" vertical="top"/>
    </xf>
    <xf numFmtId="312" fontId="25" fillId="10" borderId="3673" applyNumberFormat="0" applyProtection="0">
      <alignment horizontal="left" vertical="top"/>
    </xf>
    <xf numFmtId="312" fontId="25" fillId="10" borderId="3670" applyNumberFormat="0" applyProtection="0">
      <alignment horizontal="left" vertical="top"/>
    </xf>
    <xf numFmtId="312" fontId="25" fillId="10" borderId="3671" applyNumberFormat="0" applyProtection="0">
      <alignment horizontal="left" vertical="top"/>
    </xf>
    <xf numFmtId="312" fontId="25" fillId="10" borderId="3672" applyNumberFormat="0" applyProtection="0">
      <alignment horizontal="left" vertical="top"/>
    </xf>
    <xf numFmtId="312" fontId="25" fillId="10" borderId="3673" applyNumberFormat="0" applyProtection="0">
      <alignment horizontal="left" vertical="top"/>
    </xf>
    <xf numFmtId="312" fontId="241" fillId="94" borderId="3687" applyBorder="0" applyProtection="0">
      <alignment horizontal="centerContinuous" vertical="center"/>
    </xf>
    <xf numFmtId="246" fontId="296" fillId="0" borderId="3687" applyFill="0" applyProtection="0">
      <alignment horizontal="center"/>
    </xf>
    <xf numFmtId="246" fontId="250" fillId="0" borderId="3687" applyFill="0" applyProtection="0">
      <alignment horizontal="center"/>
    </xf>
    <xf numFmtId="246" fontId="249" fillId="0" borderId="3687" applyFill="0" applyProtection="0">
      <alignment horizontal="center"/>
    </xf>
    <xf numFmtId="0" fontId="241" fillId="94" borderId="3687" applyBorder="0" applyProtection="0">
      <alignment horizontal="centerContinuous" vertical="center"/>
    </xf>
    <xf numFmtId="254" fontId="240" fillId="0" borderId="3687" applyBorder="0" applyProtection="0">
      <alignment horizontal="right" vertical="center"/>
    </xf>
    <xf numFmtId="0" fontId="25" fillId="10" borderId="3685" applyNumberFormat="0" applyProtection="0">
      <alignment horizontal="left" vertical="top"/>
    </xf>
    <xf numFmtId="0" fontId="25" fillId="10" borderId="3684" applyNumberFormat="0" applyProtection="0">
      <alignment horizontal="left" vertical="top"/>
    </xf>
    <xf numFmtId="0" fontId="25" fillId="10" borderId="3683" applyNumberFormat="0" applyProtection="0">
      <alignment horizontal="left" vertical="top"/>
    </xf>
    <xf numFmtId="0" fontId="25" fillId="10" borderId="3682" applyNumberFormat="0" applyProtection="0">
      <alignment horizontal="left" vertical="top"/>
    </xf>
    <xf numFmtId="0" fontId="214" fillId="0" borderId="3681" applyNumberFormat="0" applyFont="0" applyFill="0" applyAlignment="0" applyProtection="0"/>
    <xf numFmtId="0" fontId="2" fillId="0" borderId="3680" applyNumberFormat="0" applyAlignment="0" applyProtection="0"/>
    <xf numFmtId="0" fontId="210" fillId="0" borderId="3687" applyNumberFormat="0" applyFill="0" applyBorder="0" applyAlignment="0">
      <protection locked="0"/>
    </xf>
    <xf numFmtId="264" fontId="12" fillId="14" borderId="3687" applyFont="0" applyFill="0" applyBorder="0" applyAlignment="0" applyProtection="0">
      <alignment horizontal="right"/>
    </xf>
    <xf numFmtId="0" fontId="166" fillId="0" borderId="3687">
      <alignment horizontal="center"/>
    </xf>
    <xf numFmtId="0" fontId="165" fillId="0" borderId="3687" applyFill="0" applyProtection="0">
      <alignment horizontal="center"/>
    </xf>
    <xf numFmtId="186" fontId="140" fillId="3" borderId="3679">
      <alignment horizontal="center" vertical="center"/>
    </xf>
    <xf numFmtId="186" fontId="146" fillId="3" borderId="3678">
      <alignment horizontal="left"/>
    </xf>
    <xf numFmtId="186" fontId="146" fillId="3" borderId="3687" applyBorder="0">
      <alignment horizontal="left" vertical="center"/>
    </xf>
    <xf numFmtId="180" fontId="9" fillId="3" borderId="3687">
      <alignment horizontal="right" vertical="center"/>
    </xf>
    <xf numFmtId="192" fontId="9" fillId="3" borderId="3687">
      <alignment horizontal="right" vertical="center"/>
    </xf>
    <xf numFmtId="248" fontId="46" fillId="0" borderId="3687"/>
    <xf numFmtId="0" fontId="78" fillId="14" borderId="3677" applyFont="0" applyFill="0" applyBorder="0" applyAlignment="0" applyProtection="0"/>
    <xf numFmtId="0" fontId="12" fillId="0" borderId="3687" applyNumberFormat="0" applyFill="0" applyBorder="0" applyAlignment="0" applyProtection="0">
      <alignment horizontal="center"/>
    </xf>
    <xf numFmtId="0" fontId="75" fillId="0" borderId="3676" applyNumberFormat="0" applyFont="0" applyFill="0" applyAlignment="0" applyProtection="0"/>
    <xf numFmtId="0" fontId="113" fillId="0" borderId="3687" applyNumberFormat="0" applyFill="0" applyAlignment="0" applyProtection="0"/>
    <xf numFmtId="222" fontId="79" fillId="0" borderId="3686" applyBorder="0"/>
    <xf numFmtId="0" fontId="101" fillId="0" borderId="3687" applyBorder="0"/>
    <xf numFmtId="0" fontId="25" fillId="10" borderId="3694" applyNumberFormat="0" applyProtection="0">
      <alignment horizontal="left" vertical="top"/>
    </xf>
    <xf numFmtId="0" fontId="25" fillId="10" borderId="3695" applyNumberFormat="0" applyProtection="0">
      <alignment horizontal="left" vertical="top"/>
    </xf>
    <xf numFmtId="0" fontId="25" fillId="10" borderId="3696" applyNumberFormat="0" applyProtection="0">
      <alignment horizontal="left" vertical="top"/>
    </xf>
    <xf numFmtId="0" fontId="25" fillId="10" borderId="3697" applyNumberFormat="0" applyProtection="0">
      <alignment horizontal="left" vertical="top"/>
    </xf>
    <xf numFmtId="246" fontId="250" fillId="0" borderId="3675" applyFill="0" applyProtection="0">
      <alignment horizontal="center"/>
    </xf>
    <xf numFmtId="246" fontId="249" fillId="0" borderId="3675" applyFill="0" applyProtection="0">
      <alignment horizontal="center"/>
    </xf>
    <xf numFmtId="0" fontId="241" fillId="94" borderId="3675" applyBorder="0" applyProtection="0">
      <alignment horizontal="centerContinuous" vertical="center"/>
    </xf>
    <xf numFmtId="254" fontId="240" fillId="0" borderId="3675" applyBorder="0" applyProtection="0">
      <alignment horizontal="right" vertical="center"/>
    </xf>
    <xf numFmtId="0" fontId="210" fillId="0" borderId="3675" applyNumberFormat="0" applyFill="0" applyBorder="0" applyAlignment="0">
      <protection locked="0"/>
    </xf>
    <xf numFmtId="264" fontId="12" fillId="14" borderId="3675" applyFont="0" applyFill="0" applyBorder="0" applyAlignment="0" applyProtection="0">
      <alignment horizontal="right"/>
    </xf>
    <xf numFmtId="0" fontId="166" fillId="0" borderId="3675">
      <alignment horizontal="center"/>
    </xf>
    <xf numFmtId="0" fontId="165" fillId="0" borderId="3675" applyFill="0" applyProtection="0">
      <alignment horizontal="center"/>
    </xf>
    <xf numFmtId="186" fontId="146" fillId="3" borderId="3675" applyBorder="0">
      <alignment horizontal="left" vertical="center"/>
    </xf>
    <xf numFmtId="180" fontId="9" fillId="3" borderId="3675">
      <alignment horizontal="right" vertical="center"/>
    </xf>
    <xf numFmtId="192" fontId="9" fillId="3" borderId="3675">
      <alignment horizontal="right" vertical="center"/>
    </xf>
    <xf numFmtId="248" fontId="46" fillId="0" borderId="3675"/>
    <xf numFmtId="0" fontId="12" fillId="0" borderId="3675" applyNumberFormat="0" applyFill="0" applyBorder="0" applyAlignment="0" applyProtection="0">
      <alignment horizontal="center"/>
    </xf>
    <xf numFmtId="0" fontId="113" fillId="0" borderId="3675" applyNumberFormat="0" applyFill="0" applyAlignment="0" applyProtection="0"/>
    <xf numFmtId="222" fontId="79" fillId="0" borderId="3674" applyBorder="0"/>
    <xf numFmtId="0" fontId="101" fillId="0" borderId="3675" applyBorder="0"/>
    <xf numFmtId="246" fontId="250" fillId="0" borderId="3675" applyFill="0" applyProtection="0">
      <alignment horizontal="center"/>
    </xf>
    <xf numFmtId="246" fontId="249" fillId="0" borderId="3675" applyFill="0" applyProtection="0">
      <alignment horizontal="center"/>
    </xf>
    <xf numFmtId="0" fontId="241" fillId="94" borderId="3675" applyBorder="0" applyProtection="0">
      <alignment horizontal="centerContinuous" vertical="center"/>
    </xf>
    <xf numFmtId="254" fontId="240" fillId="0" borderId="3675" applyBorder="0" applyProtection="0">
      <alignment horizontal="right" vertical="center"/>
    </xf>
    <xf numFmtId="0" fontId="210" fillId="0" borderId="3675" applyNumberFormat="0" applyFill="0" applyBorder="0" applyAlignment="0">
      <protection locked="0"/>
    </xf>
    <xf numFmtId="264" fontId="12" fillId="14" borderId="3675" applyFont="0" applyFill="0" applyBorder="0" applyAlignment="0" applyProtection="0">
      <alignment horizontal="right"/>
    </xf>
    <xf numFmtId="0" fontId="166" fillId="0" borderId="3675">
      <alignment horizontal="center"/>
    </xf>
    <xf numFmtId="0" fontId="165" fillId="0" borderId="3675" applyFill="0" applyProtection="0">
      <alignment horizontal="center"/>
    </xf>
    <xf numFmtId="186" fontId="146" fillId="3" borderId="3675" applyBorder="0">
      <alignment horizontal="left" vertical="center"/>
    </xf>
    <xf numFmtId="180" fontId="9" fillId="3" borderId="3675">
      <alignment horizontal="right" vertical="center"/>
    </xf>
    <xf numFmtId="192" fontId="9" fillId="3" borderId="3675">
      <alignment horizontal="right" vertical="center"/>
    </xf>
    <xf numFmtId="0" fontId="12" fillId="0" borderId="3675" applyNumberFormat="0" applyFill="0" applyBorder="0" applyAlignment="0" applyProtection="0">
      <alignment horizontal="center"/>
    </xf>
    <xf numFmtId="0" fontId="113" fillId="0" borderId="3675" applyNumberFormat="0" applyFill="0" applyAlignment="0" applyProtection="0"/>
    <xf numFmtId="222" fontId="79" fillId="0" borderId="3674" applyBorder="0"/>
    <xf numFmtId="0" fontId="101" fillId="0" borderId="3675" applyBorder="0"/>
    <xf numFmtId="248" fontId="46" fillId="0" borderId="3675"/>
    <xf numFmtId="246" fontId="250" fillId="0" borderId="3675" applyFill="0" applyProtection="0">
      <alignment horizontal="center"/>
    </xf>
    <xf numFmtId="246" fontId="249" fillId="0" borderId="3675" applyFill="0" applyProtection="0">
      <alignment horizontal="center"/>
    </xf>
    <xf numFmtId="0" fontId="241" fillId="94" borderId="3675" applyBorder="0" applyProtection="0">
      <alignment horizontal="centerContinuous" vertical="center"/>
    </xf>
    <xf numFmtId="254" fontId="240" fillId="0" borderId="3675" applyBorder="0" applyProtection="0">
      <alignment horizontal="right" vertical="center"/>
    </xf>
    <xf numFmtId="0" fontId="210" fillId="0" borderId="3675" applyNumberFormat="0" applyFill="0" applyBorder="0" applyAlignment="0">
      <protection locked="0"/>
    </xf>
    <xf numFmtId="264" fontId="12" fillId="14" borderId="3675" applyFont="0" applyFill="0" applyBorder="0" applyAlignment="0" applyProtection="0">
      <alignment horizontal="right"/>
    </xf>
    <xf numFmtId="0" fontId="166" fillId="0" borderId="3675">
      <alignment horizontal="center"/>
    </xf>
    <xf numFmtId="0" fontId="165" fillId="0" borderId="3675" applyFill="0" applyProtection="0">
      <alignment horizontal="center"/>
    </xf>
    <xf numFmtId="186" fontId="146" fillId="3" borderId="3675" applyBorder="0">
      <alignment horizontal="left" vertical="center"/>
    </xf>
    <xf numFmtId="180" fontId="9" fillId="3" borderId="3675">
      <alignment horizontal="right" vertical="center"/>
    </xf>
    <xf numFmtId="192" fontId="9" fillId="3" borderId="3675">
      <alignment horizontal="right" vertical="center"/>
    </xf>
    <xf numFmtId="248" fontId="46" fillId="0" borderId="3675"/>
    <xf numFmtId="0" fontId="12" fillId="0" borderId="3675" applyNumberFormat="0" applyFill="0" applyBorder="0" applyAlignment="0" applyProtection="0">
      <alignment horizontal="center"/>
    </xf>
    <xf numFmtId="0" fontId="113" fillId="0" borderId="3675" applyNumberFormat="0" applyFill="0" applyAlignment="0" applyProtection="0"/>
    <xf numFmtId="222" fontId="79" fillId="0" borderId="3674" applyBorder="0"/>
    <xf numFmtId="0" fontId="101" fillId="0" borderId="3675" applyBorder="0"/>
    <xf numFmtId="222" fontId="79" fillId="0" borderId="3734" applyBorder="0"/>
    <xf numFmtId="0" fontId="113" fillId="0" borderId="3855" applyNumberFormat="0" applyFill="0" applyAlignment="0" applyProtection="0"/>
    <xf numFmtId="0" fontId="210" fillId="0" borderId="3843" applyNumberFormat="0" applyFill="0" applyBorder="0" applyAlignment="0">
      <protection locked="0"/>
    </xf>
    <xf numFmtId="0" fontId="241" fillId="94" borderId="3855" applyBorder="0" applyProtection="0">
      <alignment horizontal="centerContinuous" vertical="center"/>
    </xf>
    <xf numFmtId="246" fontId="249" fillId="0" borderId="4023" applyFill="0" applyProtection="0">
      <alignment horizontal="center"/>
    </xf>
    <xf numFmtId="190" fontId="2" fillId="0" borderId="3896" applyNumberFormat="0" applyAlignment="0" applyProtection="0"/>
    <xf numFmtId="190" fontId="210" fillId="0" borderId="3915" applyNumberFormat="0" applyFill="0" applyBorder="0" applyAlignment="0">
      <protection locked="0"/>
    </xf>
    <xf numFmtId="190" fontId="166" fillId="0" borderId="3915">
      <alignment horizontal="center"/>
    </xf>
    <xf numFmtId="190" fontId="165" fillId="0" borderId="3915" applyFill="0" applyProtection="0">
      <alignment horizontal="center"/>
    </xf>
    <xf numFmtId="190" fontId="12" fillId="0" borderId="3915" applyNumberFormat="0" applyFill="0" applyBorder="0" applyAlignment="0" applyProtection="0">
      <alignment horizontal="center"/>
    </xf>
    <xf numFmtId="190" fontId="75" fillId="0" borderId="3892" applyNumberFormat="0" applyFont="0" applyFill="0" applyAlignment="0" applyProtection="0"/>
    <xf numFmtId="246" fontId="249" fillId="0" borderId="3915" applyFill="0" applyProtection="0">
      <alignment horizontal="center"/>
    </xf>
    <xf numFmtId="0" fontId="25" fillId="10" borderId="3925" applyNumberFormat="0" applyProtection="0">
      <alignment horizontal="left" vertical="top"/>
    </xf>
    <xf numFmtId="186" fontId="146" fillId="3" borderId="4095" applyBorder="0">
      <alignment horizontal="left" vertical="center"/>
    </xf>
    <xf numFmtId="0" fontId="101" fillId="0" borderId="3915" applyBorder="0"/>
    <xf numFmtId="222" fontId="79" fillId="0" borderId="3914" applyBorder="0"/>
    <xf numFmtId="0" fontId="12" fillId="0" borderId="3915" applyNumberFormat="0" applyFill="0" applyBorder="0" applyAlignment="0" applyProtection="0">
      <alignment horizontal="center"/>
    </xf>
    <xf numFmtId="248" fontId="46" fillId="0" borderId="4095"/>
    <xf numFmtId="0" fontId="241" fillId="94" borderId="3915" applyBorder="0" applyProtection="0">
      <alignment horizontal="centerContinuous" vertical="center"/>
    </xf>
    <xf numFmtId="0" fontId="25" fillId="10" borderId="3925" applyNumberFormat="0" applyProtection="0">
      <alignment horizontal="left" vertical="top"/>
    </xf>
    <xf numFmtId="0" fontId="25" fillId="10" borderId="3924" applyNumberFormat="0" applyProtection="0">
      <alignment horizontal="left" vertical="top"/>
    </xf>
    <xf numFmtId="0" fontId="25" fillId="10" borderId="3923" applyNumberFormat="0" applyProtection="0">
      <alignment horizontal="left" vertical="top"/>
    </xf>
    <xf numFmtId="0" fontId="25" fillId="10" borderId="3922" applyNumberFormat="0" applyProtection="0">
      <alignment horizontal="left" vertical="top"/>
    </xf>
    <xf numFmtId="186" fontId="140" fillId="3" borderId="3919">
      <alignment horizontal="center" vertical="center"/>
    </xf>
    <xf numFmtId="246" fontId="249" fillId="0" borderId="3903" applyFill="0" applyProtection="0">
      <alignment horizontal="center"/>
    </xf>
    <xf numFmtId="0" fontId="210" fillId="0" borderId="3903" applyNumberFormat="0" applyFill="0" applyBorder="0" applyAlignment="0">
      <protection locked="0"/>
    </xf>
    <xf numFmtId="264" fontId="12" fillId="14" borderId="3903" applyFont="0" applyFill="0" applyBorder="0" applyAlignment="0" applyProtection="0">
      <alignment horizontal="right"/>
    </xf>
    <xf numFmtId="192" fontId="9" fillId="3" borderId="3903">
      <alignment horizontal="right" vertical="center"/>
    </xf>
    <xf numFmtId="0" fontId="113" fillId="0" borderId="3903" applyNumberFormat="0" applyFill="0" applyAlignment="0" applyProtection="0"/>
    <xf numFmtId="222" fontId="79" fillId="0" borderId="3902" applyBorder="0"/>
    <xf numFmtId="0" fontId="75" fillId="0" borderId="3892" applyNumberFormat="0" applyFont="0" applyFill="0" applyAlignment="0" applyProtection="0"/>
    <xf numFmtId="186" fontId="146" fillId="3" borderId="3894">
      <alignment horizontal="left"/>
    </xf>
    <xf numFmtId="0" fontId="25" fillId="10" borderId="3899" applyNumberFormat="0" applyProtection="0">
      <alignment horizontal="left" vertical="top"/>
    </xf>
    <xf numFmtId="0" fontId="25" fillId="10" borderId="3900" applyNumberFormat="0" applyProtection="0">
      <alignment horizontal="left" vertical="top"/>
    </xf>
    <xf numFmtId="0" fontId="25" fillId="10" borderId="3901" applyNumberFormat="0" applyProtection="0">
      <alignment horizontal="left" vertical="top"/>
    </xf>
    <xf numFmtId="246" fontId="250" fillId="0" borderId="3879" applyFill="0" applyProtection="0">
      <alignment horizontal="center"/>
    </xf>
    <xf numFmtId="246" fontId="249" fillId="0" borderId="3879" applyFill="0" applyProtection="0">
      <alignment horizontal="center"/>
    </xf>
    <xf numFmtId="0" fontId="241" fillId="94" borderId="3879" applyBorder="0" applyProtection="0">
      <alignment horizontal="centerContinuous" vertical="center"/>
    </xf>
    <xf numFmtId="0" fontId="210" fillId="0" borderId="3879" applyNumberFormat="0" applyFill="0" applyBorder="0" applyAlignment="0">
      <protection locked="0"/>
    </xf>
    <xf numFmtId="0" fontId="165" fillId="0" borderId="3879" applyFill="0" applyProtection="0">
      <alignment horizontal="center"/>
    </xf>
    <xf numFmtId="192" fontId="9" fillId="3" borderId="3879">
      <alignment horizontal="right" vertical="center"/>
    </xf>
    <xf numFmtId="0" fontId="113" fillId="0" borderId="3879" applyNumberFormat="0" applyFill="0" applyAlignment="0" applyProtection="0"/>
    <xf numFmtId="222" fontId="79" fillId="0" borderId="3878" applyBorder="0"/>
    <xf numFmtId="186" fontId="140" fillId="3" borderId="3871">
      <alignment horizontal="center" vertical="center"/>
    </xf>
    <xf numFmtId="0" fontId="25" fillId="10" borderId="3874" applyNumberFormat="0" applyProtection="0">
      <alignment horizontal="left" vertical="top"/>
    </xf>
    <xf numFmtId="0" fontId="25" fillId="10" borderId="3877" applyNumberFormat="0" applyProtection="0">
      <alignment horizontal="left" vertical="top"/>
    </xf>
    <xf numFmtId="0" fontId="78" fillId="14" borderId="3845" applyFont="0" applyFill="0" applyBorder="0" applyAlignment="0" applyProtection="0"/>
    <xf numFmtId="186" fontId="140" fillId="3" borderId="3859">
      <alignment horizontal="center" vertical="center"/>
    </xf>
    <xf numFmtId="0" fontId="241" fillId="94" borderId="3855" applyBorder="0" applyProtection="0">
      <alignment horizontal="centerContinuous" vertical="center"/>
    </xf>
    <xf numFmtId="254" fontId="240" fillId="0" borderId="3855" applyBorder="0" applyProtection="0">
      <alignment horizontal="right" vertical="center"/>
    </xf>
    <xf numFmtId="0" fontId="210" fillId="0" borderId="3855" applyNumberFormat="0" applyFill="0" applyBorder="0" applyAlignment="0">
      <protection locked="0"/>
    </xf>
    <xf numFmtId="264" fontId="12" fillId="14" borderId="3855" applyFont="0" applyFill="0" applyBorder="0" applyAlignment="0" applyProtection="0">
      <alignment horizontal="right"/>
    </xf>
    <xf numFmtId="186" fontId="140" fillId="3" borderId="3847">
      <alignment horizontal="center" vertical="center"/>
    </xf>
    <xf numFmtId="186" fontId="146" fillId="3" borderId="3846">
      <alignment horizontal="left"/>
    </xf>
    <xf numFmtId="222" fontId="79" fillId="0" borderId="3854" applyBorder="0"/>
    <xf numFmtId="180" fontId="9" fillId="3" borderId="3843">
      <alignment horizontal="right" vertical="center"/>
    </xf>
    <xf numFmtId="192" fontId="9" fillId="3" borderId="3843">
      <alignment horizontal="right" vertical="center"/>
    </xf>
    <xf numFmtId="248" fontId="46" fillId="0" borderId="3843"/>
    <xf numFmtId="0" fontId="12" fillId="0" borderId="3843" applyNumberFormat="0" applyFill="0" applyBorder="0" applyAlignment="0" applyProtection="0">
      <alignment horizontal="center"/>
    </xf>
    <xf numFmtId="0" fontId="101" fillId="0" borderId="3843" applyBorder="0"/>
    <xf numFmtId="222" fontId="79" fillId="0" borderId="3734" applyBorder="0"/>
    <xf numFmtId="0" fontId="78" fillId="14" borderId="3725" applyFont="0" applyFill="0" applyBorder="0" applyAlignment="0" applyProtection="0"/>
    <xf numFmtId="222" fontId="79" fillId="0" borderId="3734" applyBorder="0"/>
    <xf numFmtId="0" fontId="25" fillId="10" borderId="3852" applyNumberFormat="0" applyProtection="0">
      <alignment horizontal="left" vertical="top"/>
    </xf>
    <xf numFmtId="0" fontId="214" fillId="0" borderId="3849" applyNumberFormat="0" applyFont="0" applyFill="0" applyAlignment="0" applyProtection="0"/>
    <xf numFmtId="186" fontId="146" fillId="3" borderId="3846">
      <alignment horizontal="left"/>
    </xf>
    <xf numFmtId="0" fontId="75" fillId="0" borderId="3844" applyNumberFormat="0" applyFont="0" applyFill="0" applyAlignment="0" applyProtection="0"/>
    <xf numFmtId="0" fontId="25" fillId="10" borderId="4104" applyNumberFormat="0" applyProtection="0">
      <alignment horizontal="left" vertical="top"/>
    </xf>
    <xf numFmtId="222" fontId="79" fillId="0" borderId="3854" applyBorder="0"/>
    <xf numFmtId="248" fontId="46" fillId="0" borderId="3855"/>
    <xf numFmtId="192" fontId="9" fillId="3" borderId="3855">
      <alignment horizontal="right" vertical="center"/>
    </xf>
    <xf numFmtId="180" fontId="9" fillId="3" borderId="3855">
      <alignment horizontal="right" vertical="center"/>
    </xf>
    <xf numFmtId="186" fontId="146" fillId="3" borderId="3855" applyBorder="0">
      <alignment horizontal="left" vertical="center"/>
    </xf>
    <xf numFmtId="0" fontId="165" fillId="0" borderId="3855" applyFill="0" applyProtection="0">
      <alignment horizontal="center"/>
    </xf>
    <xf numFmtId="0" fontId="166" fillId="0" borderId="3855">
      <alignment horizontal="center"/>
    </xf>
    <xf numFmtId="264" fontId="12" fillId="14" borderId="3855" applyFont="0" applyFill="0" applyBorder="0" applyAlignment="0" applyProtection="0">
      <alignment horizontal="right"/>
    </xf>
    <xf numFmtId="0" fontId="210" fillId="0" borderId="3855" applyNumberFormat="0" applyFill="0" applyBorder="0" applyAlignment="0">
      <protection locked="0"/>
    </xf>
    <xf numFmtId="254" fontId="240" fillId="0" borderId="3855" applyBorder="0" applyProtection="0">
      <alignment horizontal="right" vertical="center"/>
    </xf>
    <xf numFmtId="0" fontId="241" fillId="94" borderId="3855" applyBorder="0" applyProtection="0">
      <alignment horizontal="centerContinuous" vertical="center"/>
    </xf>
    <xf numFmtId="0" fontId="2" fillId="0" borderId="3908" applyNumberFormat="0" applyAlignment="0" applyProtection="0"/>
    <xf numFmtId="0" fontId="25" fillId="10" borderId="3910" applyNumberFormat="0" applyProtection="0">
      <alignment horizontal="left" vertical="top"/>
    </xf>
    <xf numFmtId="222" fontId="79" fillId="0" borderId="3734" applyBorder="0"/>
    <xf numFmtId="186" fontId="146" fillId="3" borderId="3906">
      <alignment horizontal="left"/>
    </xf>
    <xf numFmtId="186" fontId="140" fillId="3" borderId="3907">
      <alignment horizontal="center" vertical="center"/>
    </xf>
    <xf numFmtId="0" fontId="25" fillId="10" borderId="3694" applyNumberFormat="0" applyProtection="0">
      <alignment horizontal="left" vertical="top"/>
    </xf>
    <xf numFmtId="0" fontId="25" fillId="10" borderId="3697" applyNumberFormat="0" applyProtection="0">
      <alignment horizontal="left" vertical="top"/>
    </xf>
    <xf numFmtId="0" fontId="78" fillId="14" borderId="3725" applyFont="0" applyFill="0" applyBorder="0" applyAlignment="0" applyProtection="0"/>
    <xf numFmtId="0" fontId="78" fillId="14" borderId="3881" applyFont="0" applyFill="0" applyBorder="0" applyAlignment="0" applyProtection="0"/>
    <xf numFmtId="0" fontId="214" fillId="0" borderId="3885" applyNumberFormat="0" applyFont="0" applyFill="0" applyAlignment="0" applyProtection="0"/>
    <xf numFmtId="186" fontId="146" fillId="3" borderId="3891" applyBorder="0">
      <alignment horizontal="left" vertical="center"/>
    </xf>
    <xf numFmtId="0" fontId="166" fillId="0" borderId="3891">
      <alignment horizontal="center"/>
    </xf>
    <xf numFmtId="0" fontId="241" fillId="94" borderId="3891" applyBorder="0" applyProtection="0">
      <alignment horizontal="centerContinuous" vertical="center"/>
    </xf>
    <xf numFmtId="0" fontId="241" fillId="94" borderId="3867" applyBorder="0" applyProtection="0">
      <alignment horizontal="centerContinuous" vertical="center"/>
    </xf>
    <xf numFmtId="254" fontId="240" fillId="0" borderId="3867" applyBorder="0" applyProtection="0">
      <alignment horizontal="right" vertical="center"/>
    </xf>
    <xf numFmtId="0" fontId="165" fillId="0" borderId="3867" applyFill="0" applyProtection="0">
      <alignment horizontal="center"/>
    </xf>
    <xf numFmtId="0" fontId="25" fillId="10" borderId="3853" applyNumberFormat="0" applyProtection="0">
      <alignment horizontal="left" vertical="top"/>
    </xf>
    <xf numFmtId="0" fontId="25" fillId="10" borderId="3852" applyNumberFormat="0" applyProtection="0">
      <alignment horizontal="left" vertical="top"/>
    </xf>
    <xf numFmtId="0" fontId="75" fillId="0" borderId="3844" applyNumberFormat="0" applyFont="0" applyFill="0" applyAlignment="0" applyProtection="0"/>
    <xf numFmtId="0" fontId="214" fillId="0" borderId="3909" applyNumberFormat="0" applyFont="0" applyFill="0" applyAlignment="0" applyProtection="0"/>
    <xf numFmtId="222" fontId="79" fillId="0" borderId="3854" applyBorder="0"/>
    <xf numFmtId="0" fontId="25" fillId="10" borderId="3913" applyNumberFormat="0" applyProtection="0">
      <alignment horizontal="left" vertical="top"/>
    </xf>
    <xf numFmtId="254" fontId="240" fillId="0" borderId="3735" applyBorder="0" applyProtection="0">
      <alignment horizontal="right" vertical="center"/>
    </xf>
    <xf numFmtId="0" fontId="210" fillId="0" borderId="3735" applyNumberFormat="0" applyFill="0" applyBorder="0" applyAlignment="0">
      <protection locked="0"/>
    </xf>
    <xf numFmtId="264" fontId="12" fillId="14" borderId="3735" applyFont="0" applyFill="0" applyBorder="0" applyAlignment="0" applyProtection="0">
      <alignment horizontal="right"/>
    </xf>
    <xf numFmtId="0" fontId="166" fillId="0" borderId="3735">
      <alignment horizontal="center"/>
    </xf>
    <xf numFmtId="0" fontId="165" fillId="0" borderId="3735" applyFill="0" applyProtection="0">
      <alignment horizontal="center"/>
    </xf>
    <xf numFmtId="186" fontId="146" fillId="3" borderId="3735" applyBorder="0">
      <alignment horizontal="left" vertical="center"/>
    </xf>
    <xf numFmtId="180" fontId="9" fillId="3" borderId="3735">
      <alignment horizontal="right" vertical="center"/>
    </xf>
    <xf numFmtId="186" fontId="146" fillId="3" borderId="3858">
      <alignment horizontal="left"/>
    </xf>
    <xf numFmtId="0" fontId="214" fillId="0" borderId="3861" applyNumberFormat="0" applyFont="0" applyFill="0" applyAlignment="0" applyProtection="0"/>
    <xf numFmtId="0" fontId="25" fillId="10" borderId="3862" applyNumberFormat="0" applyProtection="0">
      <alignment horizontal="left" vertical="top"/>
    </xf>
    <xf numFmtId="0" fontId="25" fillId="10" borderId="3864" applyNumberFormat="0" applyProtection="0">
      <alignment horizontal="left" vertical="top"/>
    </xf>
    <xf numFmtId="222" fontId="79" fillId="0" borderId="3878" applyBorder="0"/>
    <xf numFmtId="0" fontId="25" fillId="10" borderId="3889" applyNumberFormat="0" applyProtection="0">
      <alignment horizontal="left" vertical="top"/>
    </xf>
    <xf numFmtId="0" fontId="25" fillId="10" borderId="3886" applyNumberFormat="0" applyProtection="0">
      <alignment horizontal="left" vertical="top"/>
    </xf>
    <xf numFmtId="222" fontId="79" fillId="0" borderId="3890" applyBorder="0"/>
    <xf numFmtId="180" fontId="9" fillId="3" borderId="3891">
      <alignment horizontal="right" vertical="center"/>
    </xf>
    <xf numFmtId="254" fontId="240" fillId="0" borderId="3891" applyBorder="0" applyProtection="0">
      <alignment horizontal="right" vertical="center"/>
    </xf>
    <xf numFmtId="246" fontId="249" fillId="0" borderId="3891" applyFill="0" applyProtection="0">
      <alignment horizontal="center"/>
    </xf>
    <xf numFmtId="246" fontId="250" fillId="0" borderId="3891" applyFill="0" applyProtection="0">
      <alignment horizontal="center"/>
    </xf>
    <xf numFmtId="264" fontId="12" fillId="14" borderId="3867" applyFont="0" applyFill="0" applyBorder="0" applyAlignment="0" applyProtection="0">
      <alignment horizontal="right"/>
    </xf>
    <xf numFmtId="186" fontId="146" fillId="3" borderId="3867" applyBorder="0">
      <alignment horizontal="left" vertical="center"/>
    </xf>
    <xf numFmtId="180" fontId="9" fillId="3" borderId="3867">
      <alignment horizontal="right" vertical="center"/>
    </xf>
    <xf numFmtId="192" fontId="9" fillId="3" borderId="3867">
      <alignment horizontal="right" vertical="center"/>
    </xf>
    <xf numFmtId="248" fontId="46" fillId="0" borderId="3867"/>
    <xf numFmtId="0" fontId="12" fillId="0" borderId="3867" applyNumberFormat="0" applyFill="0" applyBorder="0" applyAlignment="0" applyProtection="0">
      <alignment horizontal="center"/>
    </xf>
    <xf numFmtId="0" fontId="113" fillId="0" borderId="3867" applyNumberFormat="0" applyFill="0" applyAlignment="0" applyProtection="0"/>
    <xf numFmtId="0" fontId="210" fillId="0" borderId="3915" applyNumberFormat="0" applyFill="0" applyBorder="0" applyAlignment="0">
      <protection locked="0"/>
    </xf>
    <xf numFmtId="0" fontId="165" fillId="0" borderId="3915" applyFill="0" applyProtection="0">
      <alignment horizontal="center"/>
    </xf>
    <xf numFmtId="192" fontId="9" fillId="3" borderId="3915">
      <alignment horizontal="right" vertical="center"/>
    </xf>
    <xf numFmtId="248" fontId="46" fillId="0" borderId="3915"/>
    <xf numFmtId="222" fontId="79" fillId="0" borderId="3914" applyBorder="0"/>
    <xf numFmtId="0" fontId="78" fillId="14" borderId="3905" applyFont="0" applyFill="0" applyBorder="0" applyAlignment="0" applyProtection="0"/>
    <xf numFmtId="0" fontId="25" fillId="10" borderId="3912" applyNumberFormat="0" applyProtection="0">
      <alignment horizontal="left" vertical="top"/>
    </xf>
    <xf numFmtId="186" fontId="140" fillId="3" borderId="3847">
      <alignment horizontal="center" vertical="center"/>
    </xf>
    <xf numFmtId="0" fontId="2" fillId="0" borderId="3848" applyNumberFormat="0" applyAlignment="0" applyProtection="0"/>
    <xf numFmtId="0" fontId="25" fillId="10" borderId="3851" applyNumberFormat="0" applyProtection="0">
      <alignment horizontal="left" vertical="top"/>
    </xf>
    <xf numFmtId="0" fontId="25" fillId="10" borderId="3850" applyNumberFormat="0" applyProtection="0">
      <alignment horizontal="left" vertical="top"/>
    </xf>
    <xf numFmtId="0" fontId="25" fillId="10" borderId="3853" applyNumberFormat="0" applyProtection="0">
      <alignment horizontal="left" vertical="top"/>
    </xf>
    <xf numFmtId="222" fontId="79" fillId="0" borderId="4094" applyBorder="0"/>
    <xf numFmtId="0" fontId="75" fillId="0" borderId="3844" applyNumberFormat="0" applyFont="0" applyFill="0" applyAlignment="0" applyProtection="0"/>
    <xf numFmtId="186" fontId="146" fillId="3" borderId="3846">
      <alignment horizontal="left"/>
    </xf>
    <xf numFmtId="0" fontId="210" fillId="0" borderId="4023" applyNumberFormat="0" applyFill="0" applyBorder="0" applyAlignment="0">
      <protection locked="0"/>
    </xf>
    <xf numFmtId="246" fontId="250" fillId="0" borderId="3843" applyFill="0" applyProtection="0">
      <alignment horizontal="center"/>
    </xf>
    <xf numFmtId="0" fontId="210" fillId="0" borderId="3843" applyNumberFormat="0" applyFill="0" applyBorder="0" applyAlignment="0">
      <protection locked="0"/>
    </xf>
    <xf numFmtId="264" fontId="12" fillId="14" borderId="3843" applyFont="0" applyFill="0" applyBorder="0" applyAlignment="0" applyProtection="0">
      <alignment horizontal="right"/>
    </xf>
    <xf numFmtId="180" fontId="9" fillId="3" borderId="3843">
      <alignment horizontal="right" vertical="center"/>
    </xf>
    <xf numFmtId="248" fontId="46" fillId="0" borderId="3843"/>
    <xf numFmtId="0" fontId="78" fillId="14" borderId="4025" applyFont="0" applyFill="0" applyBorder="0" applyAlignment="0" applyProtection="0"/>
    <xf numFmtId="0" fontId="165" fillId="0" borderId="4023" applyFill="0" applyProtection="0">
      <alignment horizontal="center"/>
    </xf>
    <xf numFmtId="246" fontId="249" fillId="0" borderId="3843" applyFill="0" applyProtection="0">
      <alignment horizontal="center"/>
    </xf>
    <xf numFmtId="0" fontId="241" fillId="94" borderId="3843" applyBorder="0" applyProtection="0">
      <alignment horizontal="centerContinuous" vertical="center"/>
    </xf>
    <xf numFmtId="254" fontId="240" fillId="0" borderId="3843" applyBorder="0" applyProtection="0">
      <alignment horizontal="right" vertical="center"/>
    </xf>
    <xf numFmtId="0" fontId="25" fillId="10" borderId="3371" applyNumberFormat="0" applyProtection="0">
      <alignment horizontal="left" vertical="top"/>
    </xf>
    <xf numFmtId="0" fontId="166" fillId="0" borderId="4023">
      <alignment horizontal="center"/>
    </xf>
    <xf numFmtId="0" fontId="12" fillId="0" borderId="3843" applyNumberFormat="0" applyFill="0" applyBorder="0" applyAlignment="0" applyProtection="0">
      <alignment horizontal="center"/>
    </xf>
    <xf numFmtId="254" fontId="240" fillId="0" borderId="3855" applyBorder="0" applyProtection="0">
      <alignment horizontal="right" vertical="center"/>
    </xf>
    <xf numFmtId="264" fontId="12" fillId="14" borderId="3915" applyFont="0" applyFill="0" applyBorder="0" applyAlignment="0" applyProtection="0">
      <alignment horizontal="right"/>
    </xf>
    <xf numFmtId="0" fontId="25" fillId="10" borderId="3696" applyNumberFormat="0" applyProtection="0">
      <alignment horizontal="left" vertical="top"/>
    </xf>
    <xf numFmtId="254" fontId="240" fillId="0" borderId="3915" applyBorder="0" applyProtection="0">
      <alignment horizontal="right" vertical="center"/>
    </xf>
    <xf numFmtId="0" fontId="166" fillId="0" borderId="3855">
      <alignment horizontal="center"/>
    </xf>
    <xf numFmtId="186" fontId="146" fillId="3" borderId="3846">
      <alignment horizontal="left"/>
    </xf>
    <xf numFmtId="0" fontId="78" fillId="14" borderId="3725" applyFont="0" applyFill="0" applyBorder="0" applyAlignment="0" applyProtection="0"/>
    <xf numFmtId="246" fontId="249" fillId="0" borderId="3843" applyFill="0" applyProtection="0">
      <alignment horizontal="center"/>
    </xf>
    <xf numFmtId="0" fontId="78" fillId="14" borderId="3677" applyFont="0" applyFill="0" applyBorder="0" applyAlignment="0" applyProtection="0"/>
    <xf numFmtId="192" fontId="9" fillId="3" borderId="3843">
      <alignment horizontal="right" vertical="center"/>
    </xf>
    <xf numFmtId="222" fontId="79" fillId="0" borderId="3434" applyBorder="0"/>
    <xf numFmtId="248" fontId="46" fillId="0" borderId="4095"/>
    <xf numFmtId="0" fontId="101" fillId="0" borderId="3615" applyBorder="0"/>
    <xf numFmtId="222" fontId="79" fillId="0" borderId="3434" applyBorder="0"/>
    <xf numFmtId="0" fontId="113" fillId="0" borderId="3615" applyNumberFormat="0" applyFill="0" applyAlignment="0" applyProtection="0"/>
    <xf numFmtId="0" fontId="12" fillId="0" borderId="3615" applyNumberFormat="0" applyFill="0" applyBorder="0" applyAlignment="0" applyProtection="0">
      <alignment horizontal="center"/>
    </xf>
    <xf numFmtId="0" fontId="75" fillId="0" borderId="3844" applyNumberFormat="0" applyFont="0" applyFill="0" applyAlignment="0" applyProtection="0"/>
    <xf numFmtId="248" fontId="46" fillId="0" borderId="3615"/>
    <xf numFmtId="0" fontId="25" fillId="10" borderId="3887" applyNumberFormat="0" applyProtection="0">
      <alignment horizontal="left" vertical="top"/>
    </xf>
    <xf numFmtId="192" fontId="9" fillId="3" borderId="3735">
      <alignment horizontal="right" vertical="center"/>
    </xf>
    <xf numFmtId="192" fontId="9" fillId="3" borderId="3615">
      <alignment horizontal="right" vertical="center"/>
    </xf>
    <xf numFmtId="180" fontId="9" fillId="3" borderId="3615">
      <alignment horizontal="right" vertical="center"/>
    </xf>
    <xf numFmtId="186" fontId="146" fillId="3" borderId="3615" applyBorder="0">
      <alignment horizontal="left" vertical="center"/>
    </xf>
    <xf numFmtId="222" fontId="79" fillId="0" borderId="3866" applyBorder="0"/>
    <xf numFmtId="186" fontId="140" fillId="3" borderId="3655">
      <alignment horizontal="center" vertical="center"/>
    </xf>
    <xf numFmtId="0" fontId="165" fillId="0" borderId="3615" applyFill="0" applyProtection="0">
      <alignment horizontal="center"/>
    </xf>
    <xf numFmtId="0" fontId="166" fillId="0" borderId="3615">
      <alignment horizontal="center"/>
    </xf>
    <xf numFmtId="190" fontId="12" fillId="0" borderId="4095" applyNumberFormat="0" applyFill="0" applyBorder="0" applyAlignment="0" applyProtection="0">
      <alignment horizontal="center"/>
    </xf>
    <xf numFmtId="264" fontId="12" fillId="14" borderId="3615" applyFont="0" applyFill="0" applyBorder="0" applyAlignment="0" applyProtection="0">
      <alignment horizontal="right"/>
    </xf>
    <xf numFmtId="0" fontId="12" fillId="0" borderId="3735" applyNumberFormat="0" applyFill="0" applyBorder="0" applyAlignment="0" applyProtection="0">
      <alignment horizontal="center"/>
    </xf>
    <xf numFmtId="192" fontId="9" fillId="3" borderId="3891">
      <alignment horizontal="right" vertical="center"/>
    </xf>
    <xf numFmtId="0" fontId="210" fillId="0" borderId="3615" applyNumberFormat="0" applyFill="0" applyBorder="0" applyAlignment="0">
      <protection locked="0"/>
    </xf>
    <xf numFmtId="0" fontId="214" fillId="0" borderId="3681" applyNumberFormat="0" applyFont="0" applyFill="0" applyAlignment="0" applyProtection="0"/>
    <xf numFmtId="0" fontId="25" fillId="10" borderId="3682" applyNumberFormat="0" applyProtection="0">
      <alignment horizontal="left" vertical="top"/>
    </xf>
    <xf numFmtId="0" fontId="25" fillId="10" borderId="3683" applyNumberFormat="0" applyProtection="0">
      <alignment horizontal="left" vertical="top"/>
    </xf>
    <xf numFmtId="0" fontId="25" fillId="10" borderId="3684" applyNumberFormat="0" applyProtection="0">
      <alignment horizontal="left" vertical="top"/>
    </xf>
    <xf numFmtId="0" fontId="25" fillId="10" borderId="3685" applyNumberFormat="0" applyProtection="0">
      <alignment horizontal="left" vertical="top"/>
    </xf>
    <xf numFmtId="0" fontId="25" fillId="10" borderId="3682" applyNumberFormat="0" applyProtection="0">
      <alignment horizontal="left" vertical="top"/>
    </xf>
    <xf numFmtId="0" fontId="25" fillId="10" borderId="3683" applyNumberFormat="0" applyProtection="0">
      <alignment horizontal="left" vertical="top"/>
    </xf>
    <xf numFmtId="0" fontId="25" fillId="10" borderId="3684" applyNumberFormat="0" applyProtection="0">
      <alignment horizontal="left" vertical="top"/>
    </xf>
    <xf numFmtId="0" fontId="25" fillId="10" borderId="3685" applyNumberFormat="0" applyProtection="0">
      <alignment horizontal="left" vertical="top"/>
    </xf>
    <xf numFmtId="254" fontId="240" fillId="0" borderId="3615" applyBorder="0" applyProtection="0">
      <alignment horizontal="right" vertical="center"/>
    </xf>
    <xf numFmtId="0" fontId="241" fillId="94" borderId="3615" applyBorder="0" applyProtection="0">
      <alignment horizontal="centerContinuous" vertical="center"/>
    </xf>
    <xf numFmtId="246" fontId="249" fillId="0" borderId="3615" applyFill="0" applyProtection="0">
      <alignment horizontal="center"/>
    </xf>
    <xf numFmtId="246" fontId="250" fillId="0" borderId="3615" applyFill="0" applyProtection="0">
      <alignment horizontal="center"/>
    </xf>
    <xf numFmtId="264" fontId="12" fillId="14" borderId="3843" applyFont="0" applyFill="0" applyBorder="0" applyAlignment="0" applyProtection="0">
      <alignment horizontal="right"/>
    </xf>
    <xf numFmtId="248" fontId="46" fillId="0" borderId="3843"/>
    <xf numFmtId="264" fontId="12" fillId="14" borderId="3843" applyFont="0" applyFill="0" applyBorder="0" applyAlignment="0" applyProtection="0">
      <alignment horizontal="right"/>
    </xf>
    <xf numFmtId="246" fontId="250" fillId="0" borderId="3855" applyFill="0" applyProtection="0">
      <alignment horizontal="center"/>
    </xf>
    <xf numFmtId="0" fontId="101" fillId="0" borderId="3843" applyBorder="0"/>
    <xf numFmtId="0" fontId="166" fillId="0" borderId="3843">
      <alignment horizontal="center"/>
    </xf>
    <xf numFmtId="0" fontId="101" fillId="0" borderId="4095" applyBorder="0"/>
    <xf numFmtId="312" fontId="113" fillId="0" borderId="4095" applyNumberFormat="0" applyFill="0" applyAlignment="0" applyProtection="0"/>
    <xf numFmtId="186" fontId="140" fillId="3" borderId="4075">
      <alignment horizontal="center" vertical="center"/>
    </xf>
    <xf numFmtId="0" fontId="210" fillId="0" borderId="4023" applyNumberFormat="0" applyFill="0" applyBorder="0" applyAlignment="0">
      <protection locked="0"/>
    </xf>
    <xf numFmtId="248" fontId="46" fillId="0" borderId="4023"/>
    <xf numFmtId="0" fontId="12" fillId="0" borderId="4023" applyNumberFormat="0" applyFill="0" applyBorder="0" applyAlignment="0" applyProtection="0">
      <alignment horizontal="center"/>
    </xf>
    <xf numFmtId="186" fontId="146" fillId="3" borderId="3843" applyBorder="0">
      <alignment horizontal="left" vertical="center"/>
    </xf>
    <xf numFmtId="0" fontId="101" fillId="0" borderId="3855" applyBorder="0"/>
    <xf numFmtId="186" fontId="146" fillId="3" borderId="3582">
      <alignment horizontal="left"/>
    </xf>
    <xf numFmtId="0" fontId="113" fillId="0" borderId="3735" applyNumberFormat="0" applyFill="0" applyAlignment="0" applyProtection="0"/>
    <xf numFmtId="0" fontId="25" fillId="10" borderId="3888" applyNumberFormat="0" applyProtection="0">
      <alignment horizontal="left" vertical="top"/>
    </xf>
    <xf numFmtId="246" fontId="250" fillId="0" borderId="3735" applyFill="0" applyProtection="0">
      <alignment horizontal="center"/>
    </xf>
    <xf numFmtId="0" fontId="75" fillId="0" borderId="3580" applyNumberFormat="0" applyFont="0" applyFill="0" applyAlignment="0" applyProtection="0"/>
    <xf numFmtId="186" fontId="146" fillId="3" borderId="3855" applyBorder="0">
      <alignment horizontal="left" vertical="center"/>
    </xf>
    <xf numFmtId="180" fontId="9" fillId="3" borderId="3855">
      <alignment horizontal="right" vertical="center"/>
    </xf>
    <xf numFmtId="222" fontId="79" fillId="0" borderId="3434" applyBorder="0"/>
    <xf numFmtId="190" fontId="113" fillId="0" borderId="3915" applyNumberFormat="0" applyFill="0" applyAlignment="0" applyProtection="0"/>
    <xf numFmtId="0" fontId="101" fillId="0" borderId="3615" applyBorder="0"/>
    <xf numFmtId="222" fontId="79" fillId="0" borderId="3434" applyBorder="0"/>
    <xf numFmtId="0" fontId="113" fillId="0" borderId="3615" applyNumberFormat="0" applyFill="0" applyAlignment="0" applyProtection="0"/>
    <xf numFmtId="0" fontId="12" fillId="0" borderId="3615" applyNumberFormat="0" applyFill="0" applyBorder="0" applyAlignment="0" applyProtection="0">
      <alignment horizontal="center"/>
    </xf>
    <xf numFmtId="248" fontId="46" fillId="0" borderId="3615"/>
    <xf numFmtId="0" fontId="25" fillId="10" borderId="3911" applyNumberFormat="0" applyProtection="0">
      <alignment horizontal="left" vertical="top"/>
    </xf>
    <xf numFmtId="186" fontId="146" fillId="3" borderId="3882">
      <alignment horizontal="left"/>
    </xf>
    <xf numFmtId="248" fontId="46" fillId="0" borderId="3735"/>
    <xf numFmtId="192" fontId="9" fillId="3" borderId="3615">
      <alignment horizontal="right" vertical="center"/>
    </xf>
    <xf numFmtId="180" fontId="9" fillId="3" borderId="3615">
      <alignment horizontal="right" vertical="center"/>
    </xf>
    <xf numFmtId="186" fontId="146" fillId="3" borderId="3615" applyBorder="0">
      <alignment horizontal="left" vertical="center"/>
    </xf>
    <xf numFmtId="0" fontId="165" fillId="0" borderId="3615" applyFill="0" applyProtection="0">
      <alignment horizontal="center"/>
    </xf>
    <xf numFmtId="0" fontId="166" fillId="0" borderId="3615">
      <alignment horizontal="center"/>
    </xf>
    <xf numFmtId="264" fontId="12" fillId="14" borderId="3615" applyFont="0" applyFill="0" applyBorder="0" applyAlignment="0" applyProtection="0">
      <alignment horizontal="right"/>
    </xf>
    <xf numFmtId="0" fontId="210" fillId="0" borderId="3615" applyNumberFormat="0" applyFill="0" applyBorder="0" applyAlignment="0">
      <protection locked="0"/>
    </xf>
    <xf numFmtId="254" fontId="240" fillId="0" borderId="3615" applyBorder="0" applyProtection="0">
      <alignment horizontal="right" vertical="center"/>
    </xf>
    <xf numFmtId="0" fontId="241" fillId="94" borderId="3615" applyBorder="0" applyProtection="0">
      <alignment horizontal="centerContinuous" vertical="center"/>
    </xf>
    <xf numFmtId="246" fontId="249" fillId="0" borderId="3615" applyFill="0" applyProtection="0">
      <alignment horizontal="center"/>
    </xf>
    <xf numFmtId="246" fontId="250" fillId="0" borderId="3615" applyFill="0" applyProtection="0">
      <alignment horizontal="center"/>
    </xf>
    <xf numFmtId="248" fontId="46" fillId="0" borderId="3855"/>
    <xf numFmtId="0" fontId="12" fillId="0" borderId="3855" applyNumberFormat="0" applyFill="0" applyBorder="0" applyAlignment="0" applyProtection="0">
      <alignment horizontal="center"/>
    </xf>
    <xf numFmtId="192" fontId="9" fillId="3" borderId="3855">
      <alignment horizontal="right" vertical="center"/>
    </xf>
    <xf numFmtId="0" fontId="78" fillId="14" borderId="3725" applyFont="0" applyFill="0" applyBorder="0" applyAlignment="0" applyProtection="0"/>
    <xf numFmtId="0" fontId="2" fillId="0" borderId="3848" applyNumberFormat="0" applyAlignment="0" applyProtection="0"/>
    <xf numFmtId="222" fontId="79" fillId="0" borderId="3854" applyBorder="0"/>
    <xf numFmtId="0" fontId="101" fillId="0" borderId="3855" applyBorder="0"/>
    <xf numFmtId="222" fontId="79" fillId="0" borderId="3854" applyBorder="0"/>
    <xf numFmtId="0" fontId="25" fillId="10" borderId="3851" applyNumberFormat="0" applyProtection="0">
      <alignment horizontal="left" vertical="top"/>
    </xf>
    <xf numFmtId="0" fontId="25" fillId="10" borderId="3852" applyNumberFormat="0" applyProtection="0">
      <alignment horizontal="left" vertical="top"/>
    </xf>
    <xf numFmtId="0" fontId="25" fillId="10" borderId="3853" applyNumberFormat="0" applyProtection="0">
      <alignment horizontal="left" vertical="top"/>
    </xf>
    <xf numFmtId="0" fontId="75" fillId="0" borderId="3856" applyNumberFormat="0" applyFont="0" applyFill="0" applyAlignment="0" applyProtection="0"/>
    <xf numFmtId="222" fontId="79" fillId="0" borderId="3854" applyBorder="0"/>
    <xf numFmtId="0" fontId="25" fillId="10" borderId="3851" applyNumberFormat="0" applyProtection="0">
      <alignment horizontal="left" vertical="top"/>
    </xf>
    <xf numFmtId="0" fontId="25" fillId="10" borderId="3850" applyNumberFormat="0" applyProtection="0">
      <alignment horizontal="left" vertical="top"/>
    </xf>
    <xf numFmtId="0" fontId="25" fillId="10" borderId="3851" applyNumberFormat="0" applyProtection="0">
      <alignment horizontal="left" vertical="top"/>
    </xf>
    <xf numFmtId="0" fontId="210" fillId="0" borderId="4251" applyNumberFormat="0" applyFill="0" applyBorder="0" applyAlignment="0">
      <protection locked="0"/>
    </xf>
    <xf numFmtId="186" fontId="146" fillId="3" borderId="3690">
      <alignment horizontal="left"/>
    </xf>
    <xf numFmtId="0" fontId="75" fillId="0" borderId="3688" applyNumberFormat="0" applyFont="0" applyFill="0" applyAlignment="0" applyProtection="0"/>
    <xf numFmtId="0" fontId="214" fillId="0" borderId="3849" applyNumberFormat="0" applyFont="0" applyFill="0" applyAlignment="0" applyProtection="0"/>
    <xf numFmtId="0" fontId="78" fillId="14" borderId="3845" applyFont="0" applyFill="0" applyBorder="0" applyAlignment="0" applyProtection="0"/>
    <xf numFmtId="186" fontId="140" fillId="3" borderId="3919">
      <alignment horizontal="center" vertical="center"/>
    </xf>
    <xf numFmtId="180" fontId="9" fillId="3" borderId="3915">
      <alignment horizontal="right" vertical="center"/>
    </xf>
    <xf numFmtId="0" fontId="12" fillId="0" borderId="3915" applyNumberFormat="0" applyFill="0" applyBorder="0" applyAlignment="0" applyProtection="0">
      <alignment horizontal="center"/>
    </xf>
    <xf numFmtId="222" fontId="79" fillId="0" borderId="3914" applyBorder="0"/>
    <xf numFmtId="0" fontId="113" fillId="0" borderId="3735" applyNumberFormat="0" applyFill="0" applyAlignment="0" applyProtection="0"/>
    <xf numFmtId="264" fontId="12" fillId="14" borderId="3735" applyFont="0" applyFill="0" applyBorder="0" applyAlignment="0" applyProtection="0">
      <alignment horizontal="right"/>
    </xf>
    <xf numFmtId="246" fontId="249" fillId="0" borderId="3735" applyFill="0" applyProtection="0">
      <alignment horizontal="center"/>
    </xf>
    <xf numFmtId="0" fontId="25" fillId="10" borderId="3697" applyNumberFormat="0" applyProtection="0">
      <alignment horizontal="left" vertical="top"/>
    </xf>
    <xf numFmtId="0" fontId="25" fillId="10" borderId="3695" applyNumberFormat="0" applyProtection="0">
      <alignment horizontal="left" vertical="top"/>
    </xf>
    <xf numFmtId="0" fontId="25" fillId="10" borderId="3696" applyNumberFormat="0" applyProtection="0">
      <alignment horizontal="left" vertical="top"/>
    </xf>
    <xf numFmtId="0" fontId="25" fillId="10" borderId="3694" applyNumberFormat="0" applyProtection="0">
      <alignment horizontal="left" vertical="top"/>
    </xf>
    <xf numFmtId="0" fontId="25" fillId="10" borderId="3697" applyNumberFormat="0" applyProtection="0">
      <alignment horizontal="left" vertical="top"/>
    </xf>
    <xf numFmtId="0" fontId="25" fillId="10" borderId="3696" applyNumberFormat="0" applyProtection="0">
      <alignment horizontal="left" vertical="top"/>
    </xf>
    <xf numFmtId="0" fontId="25" fillId="10" borderId="3695" applyNumberFormat="0" applyProtection="0">
      <alignment horizontal="left" vertical="top"/>
    </xf>
    <xf numFmtId="0" fontId="25" fillId="10" borderId="3694" applyNumberFormat="0" applyProtection="0">
      <alignment horizontal="left" vertical="top"/>
    </xf>
    <xf numFmtId="0" fontId="214" fillId="0" borderId="3693" applyNumberFormat="0" applyFont="0" applyFill="0" applyAlignment="0" applyProtection="0"/>
    <xf numFmtId="0" fontId="2" fillId="0" borderId="3692" applyNumberFormat="0" applyAlignment="0" applyProtection="0"/>
    <xf numFmtId="186" fontId="140" fillId="3" borderId="3691">
      <alignment horizontal="center" vertical="center"/>
    </xf>
    <xf numFmtId="186" fontId="140" fillId="3" borderId="3655">
      <alignment horizontal="center" vertical="center"/>
    </xf>
    <xf numFmtId="0" fontId="25" fillId="10" borderId="3682" applyNumberFormat="0" applyProtection="0">
      <alignment horizontal="left" vertical="top"/>
    </xf>
    <xf numFmtId="0" fontId="12" fillId="0" borderId="3735" applyNumberFormat="0" applyFill="0" applyBorder="0" applyAlignment="0" applyProtection="0">
      <alignment horizontal="center"/>
    </xf>
    <xf numFmtId="0" fontId="25" fillId="10" borderId="3732" applyNumberFormat="0" applyProtection="0">
      <alignment horizontal="left" vertical="top"/>
    </xf>
    <xf numFmtId="0" fontId="78" fillId="14" borderId="3845" applyFont="0" applyFill="0" applyBorder="0" applyAlignment="0" applyProtection="0"/>
    <xf numFmtId="222" fontId="79" fillId="0" borderId="3722" applyBorder="0"/>
    <xf numFmtId="0" fontId="78" fillId="14" borderId="3725" applyFont="0" applyFill="0" applyBorder="0" applyAlignment="0" applyProtection="0"/>
    <xf numFmtId="222" fontId="79" fillId="0" borderId="3734" applyBorder="0"/>
    <xf numFmtId="0" fontId="101" fillId="0" borderId="3735" applyBorder="0"/>
    <xf numFmtId="222" fontId="79" fillId="0" borderId="3734" applyBorder="0"/>
    <xf numFmtId="248" fontId="46" fillId="0" borderId="3735"/>
    <xf numFmtId="192" fontId="9" fillId="3" borderId="3735">
      <alignment horizontal="right" vertical="center"/>
    </xf>
    <xf numFmtId="180" fontId="9" fillId="3" borderId="3735">
      <alignment horizontal="right" vertical="center"/>
    </xf>
    <xf numFmtId="186" fontId="146" fillId="3" borderId="3735" applyBorder="0">
      <alignment horizontal="left" vertical="center"/>
    </xf>
    <xf numFmtId="0" fontId="165" fillId="0" borderId="3735" applyFill="0" applyProtection="0">
      <alignment horizontal="center"/>
    </xf>
    <xf numFmtId="0" fontId="210" fillId="0" borderId="3735" applyNumberFormat="0" applyFill="0" applyBorder="0" applyAlignment="0">
      <protection locked="0"/>
    </xf>
    <xf numFmtId="254" fontId="240" fillId="0" borderId="3735" applyBorder="0" applyProtection="0">
      <alignment horizontal="right" vertical="center"/>
    </xf>
    <xf numFmtId="246" fontId="250" fillId="0" borderId="3735" applyFill="0" applyProtection="0">
      <alignment horizontal="center"/>
    </xf>
    <xf numFmtId="222" fontId="79" fillId="0" borderId="3434" applyBorder="0"/>
    <xf numFmtId="0" fontId="25" fillId="10" borderId="3683" applyNumberFormat="0" applyProtection="0">
      <alignment horizontal="left" vertical="top"/>
    </xf>
    <xf numFmtId="0" fontId="25" fillId="10" borderId="3685" applyNumberFormat="0" applyProtection="0">
      <alignment horizontal="left" vertical="top"/>
    </xf>
    <xf numFmtId="0" fontId="25" fillId="10" borderId="3682" applyNumberFormat="0" applyProtection="0">
      <alignment horizontal="left" vertical="top"/>
    </xf>
    <xf numFmtId="0" fontId="25" fillId="10" borderId="3683" applyNumberFormat="0" applyProtection="0">
      <alignment horizontal="left" vertical="top"/>
    </xf>
    <xf numFmtId="0" fontId="25" fillId="10" borderId="3684" applyNumberFormat="0" applyProtection="0">
      <alignment horizontal="left" vertical="top"/>
    </xf>
    <xf numFmtId="0" fontId="75" fillId="0" borderId="3688" applyNumberFormat="0" applyFont="0" applyFill="0" applyAlignment="0" applyProtection="0"/>
    <xf numFmtId="0" fontId="101" fillId="0" borderId="3699" applyBorder="0"/>
    <xf numFmtId="222" fontId="79" fillId="0" borderId="3698" applyBorder="0"/>
    <xf numFmtId="0" fontId="113" fillId="0" borderId="3699" applyNumberFormat="0" applyFill="0" applyAlignment="0" applyProtection="0"/>
    <xf numFmtId="0" fontId="12" fillId="0" borderId="3699" applyNumberFormat="0" applyFill="0" applyBorder="0" applyAlignment="0" applyProtection="0">
      <alignment horizontal="center"/>
    </xf>
    <xf numFmtId="248" fontId="46" fillId="0" borderId="3699"/>
    <xf numFmtId="192" fontId="9" fillId="3" borderId="3699">
      <alignment horizontal="right" vertical="center"/>
    </xf>
    <xf numFmtId="180" fontId="9" fillId="3" borderId="3699">
      <alignment horizontal="right" vertical="center"/>
    </xf>
    <xf numFmtId="186" fontId="146" fillId="3" borderId="3699" applyBorder="0">
      <alignment horizontal="left" vertical="center"/>
    </xf>
    <xf numFmtId="0" fontId="166" fillId="0" borderId="3699">
      <alignment horizontal="center"/>
    </xf>
    <xf numFmtId="0" fontId="210" fillId="0" borderId="3699" applyNumberFormat="0" applyFill="0" applyBorder="0" applyAlignment="0">
      <protection locked="0"/>
    </xf>
    <xf numFmtId="264" fontId="12" fillId="14" borderId="3699" applyFont="0" applyFill="0" applyBorder="0" applyAlignment="0" applyProtection="0">
      <alignment horizontal="right"/>
    </xf>
    <xf numFmtId="246" fontId="249" fillId="0" borderId="3699" applyFill="0" applyProtection="0">
      <alignment horizontal="center"/>
    </xf>
    <xf numFmtId="246" fontId="250" fillId="0" borderId="3699" applyFill="0" applyProtection="0">
      <alignment horizontal="center"/>
    </xf>
    <xf numFmtId="246" fontId="250" fillId="0" borderId="3711" applyFill="0" applyProtection="0">
      <alignment horizontal="center"/>
    </xf>
    <xf numFmtId="246" fontId="249" fillId="0" borderId="3711" applyFill="0" applyProtection="0">
      <alignment horizontal="center"/>
    </xf>
    <xf numFmtId="254" fontId="240" fillId="0" borderId="3711" applyBorder="0" applyProtection="0">
      <alignment horizontal="right" vertical="center"/>
    </xf>
    <xf numFmtId="264" fontId="12" fillId="14" borderId="3711" applyFont="0" applyFill="0" applyBorder="0" applyAlignment="0" applyProtection="0">
      <alignment horizontal="right"/>
    </xf>
    <xf numFmtId="0" fontId="165" fillId="0" borderId="3711" applyFill="0" applyProtection="0">
      <alignment horizontal="center"/>
    </xf>
    <xf numFmtId="180" fontId="9" fillId="3" borderId="3711">
      <alignment horizontal="right" vertical="center"/>
    </xf>
    <xf numFmtId="0" fontId="12" fillId="0" borderId="3711" applyNumberFormat="0" applyFill="0" applyBorder="0" applyAlignment="0" applyProtection="0">
      <alignment horizontal="center"/>
    </xf>
    <xf numFmtId="0" fontId="101" fillId="0" borderId="3711" applyBorder="0"/>
    <xf numFmtId="222" fontId="79" fillId="0" borderId="3710" applyBorder="0"/>
    <xf numFmtId="0" fontId="75" fillId="0" borderId="3700" applyNumberFormat="0" applyFont="0" applyFill="0" applyAlignment="0" applyProtection="0"/>
    <xf numFmtId="0" fontId="2" fillId="0" borderId="3704" applyNumberFormat="0" applyAlignment="0" applyProtection="0"/>
    <xf numFmtId="0" fontId="25" fillId="10" borderId="3706" applyNumberFormat="0" applyProtection="0">
      <alignment horizontal="left" vertical="top"/>
    </xf>
    <xf numFmtId="0" fontId="25" fillId="10" borderId="3709" applyNumberFormat="0" applyProtection="0">
      <alignment horizontal="left" vertical="top"/>
    </xf>
    <xf numFmtId="222" fontId="79" fillId="0" borderId="3698" applyBorder="0"/>
    <xf numFmtId="0" fontId="25" fillId="10" borderId="3696" applyNumberFormat="0" applyProtection="0">
      <alignment horizontal="left" vertical="top"/>
    </xf>
    <xf numFmtId="0" fontId="25" fillId="10" borderId="3694" applyNumberFormat="0" applyProtection="0">
      <alignment horizontal="left" vertical="top"/>
    </xf>
    <xf numFmtId="0" fontId="214" fillId="0" borderId="3693" applyNumberFormat="0" applyFont="0" applyFill="0" applyAlignment="0" applyProtection="0"/>
    <xf numFmtId="186" fontId="146" fillId="3" borderId="3690">
      <alignment horizontal="left"/>
    </xf>
    <xf numFmtId="222" fontId="79" fillId="0" borderId="3698" applyBorder="0"/>
    <xf numFmtId="0" fontId="214" fillId="0" borderId="4257" applyNumberFormat="0" applyFont="0" applyFill="0" applyAlignment="0" applyProtection="0"/>
    <xf numFmtId="186" fontId="146" fillId="3" borderId="3843" applyBorder="0">
      <alignment horizontal="left" vertical="center"/>
    </xf>
    <xf numFmtId="0" fontId="101" fillId="0" borderId="3687" applyBorder="0"/>
    <xf numFmtId="0" fontId="113" fillId="0" borderId="3687" applyNumberFormat="0" applyFill="0" applyAlignment="0" applyProtection="0"/>
    <xf numFmtId="0" fontId="12" fillId="0" borderId="3687" applyNumberFormat="0" applyFill="0" applyBorder="0" applyAlignment="0" applyProtection="0">
      <alignment horizontal="center"/>
    </xf>
    <xf numFmtId="248" fontId="46" fillId="0" borderId="3687"/>
    <xf numFmtId="192" fontId="9" fillId="3" borderId="3687">
      <alignment horizontal="right" vertical="center"/>
    </xf>
    <xf numFmtId="180" fontId="9" fillId="3" borderId="3687">
      <alignment horizontal="right" vertical="center"/>
    </xf>
    <xf numFmtId="186" fontId="146" fillId="3" borderId="3687" applyBorder="0">
      <alignment horizontal="left" vertical="center"/>
    </xf>
    <xf numFmtId="0" fontId="165" fillId="0" borderId="3687" applyFill="0" applyProtection="0">
      <alignment horizontal="center"/>
    </xf>
    <xf numFmtId="0" fontId="166" fillId="0" borderId="3687">
      <alignment horizontal="center"/>
    </xf>
    <xf numFmtId="264" fontId="12" fillId="14" borderId="3687" applyFont="0" applyFill="0" applyBorder="0" applyAlignment="0" applyProtection="0">
      <alignment horizontal="right"/>
    </xf>
    <xf numFmtId="0" fontId="210" fillId="0" borderId="3687" applyNumberFormat="0" applyFill="0" applyBorder="0" applyAlignment="0">
      <protection locked="0"/>
    </xf>
    <xf numFmtId="248" fontId="46" fillId="0" borderId="3711"/>
    <xf numFmtId="222" fontId="79" fillId="0" borderId="3710" applyBorder="0"/>
    <xf numFmtId="186" fontId="140" fillId="3" borderId="3703">
      <alignment horizontal="center" vertical="center"/>
    </xf>
    <xf numFmtId="0" fontId="25" fillId="10" borderId="3708" applyNumberFormat="0" applyProtection="0">
      <alignment horizontal="left" vertical="top"/>
    </xf>
    <xf numFmtId="0" fontId="210" fillId="0" borderId="3711" applyNumberFormat="0" applyFill="0" applyBorder="0" applyAlignment="0">
      <protection locked="0"/>
    </xf>
    <xf numFmtId="192" fontId="9" fillId="3" borderId="3711">
      <alignment horizontal="right" vertical="center"/>
    </xf>
    <xf numFmtId="0" fontId="113" fillId="0" borderId="3711" applyNumberFormat="0" applyFill="0" applyAlignment="0" applyProtection="0"/>
    <xf numFmtId="186" fontId="146" fillId="3" borderId="3702">
      <alignment horizontal="left"/>
    </xf>
    <xf numFmtId="0" fontId="25" fillId="10" borderId="3707" applyNumberFormat="0" applyProtection="0">
      <alignment horizontal="left" vertical="top"/>
    </xf>
    <xf numFmtId="254" fontId="240" fillId="0" borderId="3687" applyBorder="0" applyProtection="0">
      <alignment horizontal="right" vertical="center"/>
    </xf>
    <xf numFmtId="0" fontId="241" fillId="94" borderId="3687" applyBorder="0" applyProtection="0">
      <alignment horizontal="centerContinuous" vertical="center"/>
    </xf>
    <xf numFmtId="246" fontId="249" fillId="0" borderId="3687" applyFill="0" applyProtection="0">
      <alignment horizontal="center"/>
    </xf>
    <xf numFmtId="246" fontId="250" fillId="0" borderId="3687" applyFill="0" applyProtection="0">
      <alignment horizontal="center"/>
    </xf>
    <xf numFmtId="0" fontId="25" fillId="10" borderId="3731" applyNumberFormat="0" applyProtection="0">
      <alignment horizontal="left" vertical="top"/>
    </xf>
    <xf numFmtId="0" fontId="25" fillId="10" borderId="3733" applyNumberFormat="0" applyProtection="0">
      <alignment horizontal="left" vertical="top"/>
    </xf>
    <xf numFmtId="222" fontId="79" fillId="0" borderId="3698" applyBorder="0"/>
    <xf numFmtId="0" fontId="214" fillId="0" borderId="3729" applyNumberFormat="0" applyFont="0" applyFill="0" applyAlignment="0" applyProtection="0"/>
    <xf numFmtId="0" fontId="75" fillId="0" borderId="3580" applyNumberFormat="0" applyFont="0" applyFill="0" applyAlignment="0" applyProtection="0"/>
    <xf numFmtId="0" fontId="25" fillId="10" borderId="3684" applyNumberFormat="0" applyProtection="0">
      <alignment horizontal="left" vertical="top"/>
    </xf>
    <xf numFmtId="0" fontId="25" fillId="10" borderId="3685" applyNumberFormat="0" applyProtection="0">
      <alignment horizontal="left" vertical="top"/>
    </xf>
    <xf numFmtId="0" fontId="165" fillId="0" borderId="3699" applyFill="0" applyProtection="0">
      <alignment horizontal="center"/>
    </xf>
    <xf numFmtId="254" fontId="240" fillId="0" borderId="3699" applyBorder="0" applyProtection="0">
      <alignment horizontal="right" vertical="center"/>
    </xf>
    <xf numFmtId="0" fontId="241" fillId="94" borderId="3699" applyBorder="0" applyProtection="0">
      <alignment horizontal="centerContinuous" vertical="center"/>
    </xf>
    <xf numFmtId="0" fontId="241" fillId="94" borderId="3711" applyBorder="0" applyProtection="0">
      <alignment horizontal="centerContinuous" vertical="center"/>
    </xf>
    <xf numFmtId="0" fontId="166" fillId="0" borderId="3711">
      <alignment horizontal="center"/>
    </xf>
    <xf numFmtId="186" fontId="146" fillId="3" borderId="3711" applyBorder="0">
      <alignment horizontal="left" vertical="center"/>
    </xf>
    <xf numFmtId="0" fontId="214" fillId="0" borderId="3705" applyNumberFormat="0" applyFont="0" applyFill="0" applyAlignment="0" applyProtection="0"/>
    <xf numFmtId="0" fontId="78" fillId="14" borderId="3701" applyFont="0" applyFill="0" applyBorder="0" applyAlignment="0" applyProtection="0"/>
    <xf numFmtId="0" fontId="78" fillId="14" borderId="3677" applyFont="0" applyFill="0" applyBorder="0" applyAlignment="0" applyProtection="0"/>
    <xf numFmtId="0" fontId="25" fillId="10" borderId="3685" applyNumberFormat="0" applyProtection="0">
      <alignment horizontal="left" vertical="top"/>
    </xf>
    <xf numFmtId="0" fontId="25" fillId="10" borderId="3684" applyNumberFormat="0" applyProtection="0">
      <alignment horizontal="left" vertical="top"/>
    </xf>
    <xf numFmtId="0" fontId="25" fillId="10" borderId="3683" applyNumberFormat="0" applyProtection="0">
      <alignment horizontal="left" vertical="top"/>
    </xf>
    <xf numFmtId="0" fontId="25" fillId="10" borderId="3682" applyNumberFormat="0" applyProtection="0">
      <alignment horizontal="left" vertical="top"/>
    </xf>
    <xf numFmtId="186" fontId="140" fillId="3" borderId="3727">
      <alignment horizontal="center" vertical="center"/>
    </xf>
    <xf numFmtId="0" fontId="214" fillId="0" borderId="3681" applyNumberFormat="0" applyFont="0" applyFill="0" applyAlignment="0" applyProtection="0"/>
    <xf numFmtId="186" fontId="140" fillId="3" borderId="3655">
      <alignment horizontal="center" vertical="center"/>
    </xf>
    <xf numFmtId="186" fontId="146" fillId="3" borderId="3582">
      <alignment horizontal="left"/>
    </xf>
    <xf numFmtId="186" fontId="146" fillId="3" borderId="3726">
      <alignment horizontal="left"/>
    </xf>
    <xf numFmtId="0" fontId="75" fillId="0" borderId="3580" applyNumberFormat="0" applyFont="0" applyFill="0" applyAlignment="0" applyProtection="0"/>
    <xf numFmtId="0" fontId="75" fillId="0" borderId="3724" applyNumberFormat="0" applyFont="0" applyFill="0" applyAlignment="0" applyProtection="0"/>
    <xf numFmtId="222" fontId="79" fillId="0" borderId="3434" applyBorder="0"/>
    <xf numFmtId="222" fontId="79" fillId="0" borderId="3434" applyBorder="0"/>
    <xf numFmtId="0" fontId="25" fillId="10" borderId="3730" applyNumberFormat="0" applyProtection="0">
      <alignment horizontal="left" vertical="top"/>
    </xf>
    <xf numFmtId="0" fontId="2" fillId="0" borderId="3728" applyNumberFormat="0" applyAlignment="0" applyProtection="0"/>
    <xf numFmtId="246" fontId="250" fillId="0" borderId="3699" applyFill="0" applyProtection="0">
      <alignment horizontal="center"/>
    </xf>
    <xf numFmtId="246" fontId="249" fillId="0" borderId="3699" applyFill="0" applyProtection="0">
      <alignment horizontal="center"/>
    </xf>
    <xf numFmtId="0" fontId="241" fillId="94" borderId="3699" applyBorder="0" applyProtection="0">
      <alignment horizontal="centerContinuous" vertical="center"/>
    </xf>
    <xf numFmtId="254" fontId="240" fillId="0" borderId="3699" applyBorder="0" applyProtection="0">
      <alignment horizontal="right" vertical="center"/>
    </xf>
    <xf numFmtId="0" fontId="210" fillId="0" borderId="3699" applyNumberFormat="0" applyFill="0" applyBorder="0" applyAlignment="0">
      <protection locked="0"/>
    </xf>
    <xf numFmtId="264" fontId="12" fillId="14" borderId="3699" applyFont="0" applyFill="0" applyBorder="0" applyAlignment="0" applyProtection="0">
      <alignment horizontal="right"/>
    </xf>
    <xf numFmtId="0" fontId="166" fillId="0" borderId="3699">
      <alignment horizontal="center"/>
    </xf>
    <xf numFmtId="0" fontId="165" fillId="0" borderId="3699" applyFill="0" applyProtection="0">
      <alignment horizontal="center"/>
    </xf>
    <xf numFmtId="186" fontId="146" fillId="3" borderId="3699" applyBorder="0">
      <alignment horizontal="left" vertical="center"/>
    </xf>
    <xf numFmtId="180" fontId="9" fillId="3" borderId="3699">
      <alignment horizontal="right" vertical="center"/>
    </xf>
    <xf numFmtId="192" fontId="9" fillId="3" borderId="3699">
      <alignment horizontal="right" vertical="center"/>
    </xf>
    <xf numFmtId="248" fontId="46" fillId="0" borderId="3699"/>
    <xf numFmtId="0" fontId="12" fillId="0" borderId="3699" applyNumberFormat="0" applyFill="0" applyBorder="0" applyAlignment="0" applyProtection="0">
      <alignment horizontal="center"/>
    </xf>
    <xf numFmtId="0" fontId="113" fillId="0" borderId="3699" applyNumberFormat="0" applyFill="0" applyAlignment="0" applyProtection="0"/>
    <xf numFmtId="222" fontId="79" fillId="0" borderId="3698" applyBorder="0"/>
    <xf numFmtId="0" fontId="101" fillId="0" borderId="3699" applyBorder="0"/>
    <xf numFmtId="222" fontId="79" fillId="0" borderId="3698" applyBorder="0"/>
    <xf numFmtId="0" fontId="75" fillId="0" borderId="3688" applyNumberFormat="0" applyFont="0" applyFill="0" applyAlignment="0" applyProtection="0"/>
    <xf numFmtId="186" fontId="146" fillId="3" borderId="3690">
      <alignment horizontal="left"/>
    </xf>
    <xf numFmtId="186" fontId="140" fillId="3" borderId="3691">
      <alignment horizontal="center" vertical="center"/>
    </xf>
    <xf numFmtId="0" fontId="2" fillId="0" borderId="3692" applyNumberFormat="0" applyAlignment="0" applyProtection="0"/>
    <xf numFmtId="0" fontId="214" fillId="0" borderId="3693" applyNumberFormat="0" applyFont="0" applyFill="0" applyAlignment="0" applyProtection="0"/>
    <xf numFmtId="0" fontId="25" fillId="10" borderId="3694" applyNumberFormat="0" applyProtection="0">
      <alignment horizontal="left" vertical="top"/>
    </xf>
    <xf numFmtId="0" fontId="25" fillId="10" borderId="3695" applyNumberFormat="0" applyProtection="0">
      <alignment horizontal="left" vertical="top"/>
    </xf>
    <xf numFmtId="0" fontId="25" fillId="10" borderId="3696" applyNumberFormat="0" applyProtection="0">
      <alignment horizontal="left" vertical="top"/>
    </xf>
    <xf numFmtId="0" fontId="25" fillId="10" borderId="3697" applyNumberFormat="0" applyProtection="0">
      <alignment horizontal="left" vertical="top"/>
    </xf>
    <xf numFmtId="0" fontId="78" fillId="14" borderId="3689" applyFont="0" applyFill="0" applyBorder="0" applyAlignment="0" applyProtection="0"/>
    <xf numFmtId="246" fontId="250" fillId="0" borderId="3915" applyFill="0" applyProtection="0">
      <alignment horizontal="center"/>
    </xf>
    <xf numFmtId="0" fontId="25" fillId="10" borderId="3925" applyNumberFormat="0" applyProtection="0">
      <alignment horizontal="left" vertical="top"/>
    </xf>
    <xf numFmtId="222" fontId="79" fillId="0" borderId="3434" applyBorder="0"/>
    <xf numFmtId="0" fontId="75" fillId="0" borderId="3916" applyNumberFormat="0" applyFont="0" applyFill="0" applyAlignment="0" applyProtection="0"/>
    <xf numFmtId="222" fontId="79" fillId="0" borderId="3902" applyBorder="0"/>
    <xf numFmtId="0" fontId="101" fillId="0" borderId="3867" applyBorder="0"/>
    <xf numFmtId="0" fontId="78" fillId="14" borderId="3857" applyFont="0" applyFill="0" applyBorder="0" applyAlignment="0" applyProtection="0"/>
    <xf numFmtId="222" fontId="79" fillId="0" borderId="3854" applyBorder="0"/>
    <xf numFmtId="0" fontId="2" fillId="0" borderId="3848" applyNumberFormat="0" applyAlignment="0" applyProtection="0"/>
    <xf numFmtId="0" fontId="214" fillId="0" borderId="3849" applyNumberFormat="0" applyFont="0" applyFill="0" applyAlignment="0" applyProtection="0"/>
    <xf numFmtId="0" fontId="78" fillId="14" borderId="3845" applyFont="0" applyFill="0" applyBorder="0" applyAlignment="0" applyProtection="0"/>
    <xf numFmtId="0" fontId="101" fillId="0" borderId="3915" applyBorder="0"/>
    <xf numFmtId="0" fontId="78" fillId="14" borderId="3677" applyFont="0" applyFill="0" applyBorder="0" applyAlignment="0" applyProtection="0"/>
    <xf numFmtId="222" fontId="79" fillId="0" borderId="3434" applyBorder="0"/>
    <xf numFmtId="186" fontId="146" fillId="3" borderId="3846">
      <alignment horizontal="left"/>
    </xf>
    <xf numFmtId="0" fontId="25" fillId="10" borderId="3923" applyNumberFormat="0" applyProtection="0">
      <alignment horizontal="left" vertical="top"/>
    </xf>
    <xf numFmtId="0" fontId="214" fillId="0" borderId="3921" applyNumberFormat="0" applyFont="0" applyFill="0" applyAlignment="0" applyProtection="0"/>
    <xf numFmtId="0" fontId="25" fillId="10" borderId="3865" applyNumberFormat="0" applyProtection="0">
      <alignment horizontal="left" vertical="top"/>
    </xf>
    <xf numFmtId="0" fontId="78" fillId="14" borderId="3677" applyFont="0" applyFill="0" applyBorder="0" applyAlignment="0" applyProtection="0"/>
    <xf numFmtId="0" fontId="25" fillId="10" borderId="3685" applyNumberFormat="0" applyProtection="0">
      <alignment horizontal="left" vertical="top"/>
    </xf>
    <xf numFmtId="0" fontId="25" fillId="10" borderId="3684" applyNumberFormat="0" applyProtection="0">
      <alignment horizontal="left" vertical="top"/>
    </xf>
    <xf numFmtId="0" fontId="25" fillId="10" borderId="3683" applyNumberFormat="0" applyProtection="0">
      <alignment horizontal="left" vertical="top"/>
    </xf>
    <xf numFmtId="0" fontId="25" fillId="10" borderId="3682" applyNumberFormat="0" applyProtection="0">
      <alignment horizontal="left" vertical="top"/>
    </xf>
    <xf numFmtId="0" fontId="166" fillId="0" borderId="3915">
      <alignment horizontal="center"/>
    </xf>
    <xf numFmtId="0" fontId="214" fillId="0" borderId="3681" applyNumberFormat="0" applyFont="0" applyFill="0" applyAlignment="0" applyProtection="0"/>
    <xf numFmtId="186" fontId="140" fillId="3" borderId="3655">
      <alignment horizontal="center" vertical="center"/>
    </xf>
    <xf numFmtId="186" fontId="146" fillId="3" borderId="3582">
      <alignment horizontal="left"/>
    </xf>
    <xf numFmtId="186" fontId="146" fillId="3" borderId="3918">
      <alignment horizontal="left"/>
    </xf>
    <xf numFmtId="0" fontId="75" fillId="0" borderId="3580" applyNumberFormat="0" applyFont="0" applyFill="0" applyAlignment="0" applyProtection="0"/>
    <xf numFmtId="192" fontId="9" fillId="3" borderId="3915">
      <alignment horizontal="right" vertical="center"/>
    </xf>
    <xf numFmtId="222" fontId="79" fillId="0" borderId="3434" applyBorder="0"/>
    <xf numFmtId="0" fontId="101" fillId="0" borderId="3615" applyBorder="0"/>
    <xf numFmtId="222" fontId="79" fillId="0" borderId="3434" applyBorder="0"/>
    <xf numFmtId="0" fontId="113" fillId="0" borderId="3615" applyNumberFormat="0" applyFill="0" applyAlignment="0" applyProtection="0"/>
    <xf numFmtId="0" fontId="12" fillId="0" borderId="3615" applyNumberFormat="0" applyFill="0" applyBorder="0" applyAlignment="0" applyProtection="0">
      <alignment horizontal="center"/>
    </xf>
    <xf numFmtId="248" fontId="46" fillId="0" borderId="3615"/>
    <xf numFmtId="192" fontId="9" fillId="3" borderId="3615">
      <alignment horizontal="right" vertical="center"/>
    </xf>
    <xf numFmtId="180" fontId="9" fillId="3" borderId="3615">
      <alignment horizontal="right" vertical="center"/>
    </xf>
    <xf numFmtId="186" fontId="146" fillId="3" borderId="3615" applyBorder="0">
      <alignment horizontal="left" vertical="center"/>
    </xf>
    <xf numFmtId="0" fontId="165" fillId="0" borderId="3615" applyFill="0" applyProtection="0">
      <alignment horizontal="center"/>
    </xf>
    <xf numFmtId="0" fontId="166" fillId="0" borderId="3615">
      <alignment horizontal="center"/>
    </xf>
    <xf numFmtId="264" fontId="12" fillId="14" borderId="3615" applyFont="0" applyFill="0" applyBorder="0" applyAlignment="0" applyProtection="0">
      <alignment horizontal="right"/>
    </xf>
    <xf numFmtId="0" fontId="210" fillId="0" borderId="3615" applyNumberFormat="0" applyFill="0" applyBorder="0" applyAlignment="0">
      <protection locked="0"/>
    </xf>
    <xf numFmtId="254" fontId="240" fillId="0" borderId="3615" applyBorder="0" applyProtection="0">
      <alignment horizontal="right" vertical="center"/>
    </xf>
    <xf numFmtId="0" fontId="241" fillId="94" borderId="3615" applyBorder="0" applyProtection="0">
      <alignment horizontal="centerContinuous" vertical="center"/>
    </xf>
    <xf numFmtId="246" fontId="249" fillId="0" borderId="3615" applyFill="0" applyProtection="0">
      <alignment horizontal="center"/>
    </xf>
    <xf numFmtId="246" fontId="250" fillId="0" borderId="3615" applyFill="0" applyProtection="0">
      <alignment horizontal="center"/>
    </xf>
    <xf numFmtId="0" fontId="25" fillId="10" borderId="3923" applyNumberFormat="0" applyProtection="0">
      <alignment horizontal="left" vertical="top"/>
    </xf>
    <xf numFmtId="0" fontId="75" fillId="0" borderId="3844" applyNumberFormat="0" applyFont="0" applyFill="0" applyAlignment="0" applyProtection="0"/>
    <xf numFmtId="0" fontId="210" fillId="0" borderId="3915" applyNumberFormat="0" applyFill="0" applyBorder="0" applyAlignment="0">
      <protection locked="0"/>
    </xf>
    <xf numFmtId="0" fontId="25" fillId="10" borderId="3853" applyNumberFormat="0" applyProtection="0">
      <alignment horizontal="left" vertical="top"/>
    </xf>
    <xf numFmtId="0" fontId="25" fillId="10" borderId="3851" applyNumberFormat="0" applyProtection="0">
      <alignment horizontal="left" vertical="top"/>
    </xf>
    <xf numFmtId="0" fontId="25" fillId="10" borderId="3852" applyNumberFormat="0" applyProtection="0">
      <alignment horizontal="left" vertical="top"/>
    </xf>
    <xf numFmtId="0" fontId="25" fillId="10" borderId="3850" applyNumberFormat="0" applyProtection="0">
      <alignment horizontal="left" vertical="top"/>
    </xf>
    <xf numFmtId="186" fontId="140" fillId="3" borderId="3847">
      <alignment horizontal="center" vertical="center"/>
    </xf>
    <xf numFmtId="0" fontId="241" fillId="94" borderId="3735" applyBorder="0" applyProtection="0">
      <alignment horizontal="centerContinuous" vertical="center"/>
    </xf>
    <xf numFmtId="0" fontId="166" fillId="0" borderId="3735">
      <alignment horizontal="center"/>
    </xf>
    <xf numFmtId="0" fontId="214" fillId="0" borderId="3681" applyNumberFormat="0" applyFont="0" applyFill="0" applyAlignment="0" applyProtection="0"/>
    <xf numFmtId="246" fontId="250" fillId="0" borderId="3615" applyFill="0" applyProtection="0">
      <alignment horizontal="center"/>
    </xf>
    <xf numFmtId="246" fontId="249" fillId="0" borderId="3615" applyFill="0" applyProtection="0">
      <alignment horizontal="center"/>
    </xf>
    <xf numFmtId="0" fontId="241" fillId="94" borderId="3615" applyBorder="0" applyProtection="0">
      <alignment horizontal="centerContinuous" vertical="center"/>
    </xf>
    <xf numFmtId="254" fontId="240" fillId="0" borderId="3615" applyBorder="0" applyProtection="0">
      <alignment horizontal="right" vertical="center"/>
    </xf>
    <xf numFmtId="0" fontId="210" fillId="0" borderId="3615" applyNumberFormat="0" applyFill="0" applyBorder="0" applyAlignment="0">
      <protection locked="0"/>
    </xf>
    <xf numFmtId="264" fontId="12" fillId="14" borderId="3615" applyFont="0" applyFill="0" applyBorder="0" applyAlignment="0" applyProtection="0">
      <alignment horizontal="right"/>
    </xf>
    <xf numFmtId="0" fontId="166" fillId="0" borderId="3615">
      <alignment horizontal="center"/>
    </xf>
    <xf numFmtId="0" fontId="165" fillId="0" borderId="3615" applyFill="0" applyProtection="0">
      <alignment horizontal="center"/>
    </xf>
    <xf numFmtId="186" fontId="146" fillId="3" borderId="3615" applyBorder="0">
      <alignment horizontal="left" vertical="center"/>
    </xf>
    <xf numFmtId="180" fontId="9" fillId="3" borderId="3615">
      <alignment horizontal="right" vertical="center"/>
    </xf>
    <xf numFmtId="192" fontId="9" fillId="3" borderId="3615">
      <alignment horizontal="right" vertical="center"/>
    </xf>
    <xf numFmtId="248" fontId="46" fillId="0" borderId="3615"/>
    <xf numFmtId="0" fontId="12" fillId="0" borderId="3615" applyNumberFormat="0" applyFill="0" applyBorder="0" applyAlignment="0" applyProtection="0">
      <alignment horizontal="center"/>
    </xf>
    <xf numFmtId="0" fontId="113" fillId="0" borderId="3615" applyNumberFormat="0" applyFill="0" applyAlignment="0" applyProtection="0"/>
    <xf numFmtId="222" fontId="79" fillId="0" borderId="3434" applyBorder="0"/>
    <xf numFmtId="0" fontId="101" fillId="0" borderId="3615" applyBorder="0"/>
    <xf numFmtId="222" fontId="79" fillId="0" borderId="3434" applyBorder="0"/>
    <xf numFmtId="0" fontId="75" fillId="0" borderId="3580" applyNumberFormat="0" applyFont="0" applyFill="0" applyAlignment="0" applyProtection="0"/>
    <xf numFmtId="186" fontId="146" fillId="3" borderId="3582">
      <alignment horizontal="left"/>
    </xf>
    <xf numFmtId="186" fontId="140" fillId="3" borderId="3655">
      <alignment horizontal="center" vertical="center"/>
    </xf>
    <xf numFmtId="0" fontId="214" fillId="0" borderId="3681" applyNumberFormat="0" applyFont="0" applyFill="0" applyAlignment="0" applyProtection="0"/>
    <xf numFmtId="0" fontId="25" fillId="10" borderId="3682" applyNumberFormat="0" applyProtection="0">
      <alignment horizontal="left" vertical="top"/>
    </xf>
    <xf numFmtId="0" fontId="25" fillId="10" borderId="3683" applyNumberFormat="0" applyProtection="0">
      <alignment horizontal="left" vertical="top"/>
    </xf>
    <xf numFmtId="0" fontId="25" fillId="10" borderId="3684" applyNumberFormat="0" applyProtection="0">
      <alignment horizontal="left" vertical="top"/>
    </xf>
    <xf numFmtId="0" fontId="25" fillId="10" borderId="3685" applyNumberFormat="0" applyProtection="0">
      <alignment horizontal="left" vertical="top"/>
    </xf>
    <xf numFmtId="0" fontId="78" fillId="14" borderId="3689" applyFont="0" applyFill="0" applyBorder="0" applyAlignment="0" applyProtection="0"/>
    <xf numFmtId="222" fontId="79" fillId="0" borderId="3698" applyBorder="0"/>
    <xf numFmtId="0" fontId="78" fillId="14" borderId="3689" applyFont="0" applyFill="0" applyBorder="0" applyAlignment="0" applyProtection="0"/>
    <xf numFmtId="186" fontId="146" fillId="3" borderId="3582">
      <alignment horizontal="left"/>
    </xf>
    <xf numFmtId="0" fontId="78" fillId="14" borderId="3689" applyFont="0" applyFill="0" applyBorder="0" applyAlignment="0" applyProtection="0"/>
    <xf numFmtId="222" fontId="79" fillId="0" borderId="3698" applyBorder="0"/>
    <xf numFmtId="0" fontId="2" fillId="0" borderId="3692" applyNumberFormat="0" applyAlignment="0" applyProtection="0"/>
    <xf numFmtId="0" fontId="78" fillId="14" borderId="3689" applyFont="0" applyFill="0" applyBorder="0" applyAlignment="0" applyProtection="0"/>
    <xf numFmtId="0" fontId="25" fillId="10" borderId="3697" applyNumberFormat="0" applyProtection="0">
      <alignment horizontal="left" vertical="top"/>
    </xf>
    <xf numFmtId="0" fontId="25" fillId="10" borderId="3696" applyNumberFormat="0" applyProtection="0">
      <alignment horizontal="left" vertical="top"/>
    </xf>
    <xf numFmtId="0" fontId="25" fillId="10" borderId="3695" applyNumberFormat="0" applyProtection="0">
      <alignment horizontal="left" vertical="top"/>
    </xf>
    <xf numFmtId="0" fontId="25" fillId="10" borderId="3694" applyNumberFormat="0" applyProtection="0">
      <alignment horizontal="left" vertical="top"/>
    </xf>
    <xf numFmtId="0" fontId="25" fillId="10" borderId="3695" applyNumberFormat="0" applyProtection="0">
      <alignment horizontal="left" vertical="top"/>
    </xf>
    <xf numFmtId="0" fontId="214" fillId="0" borderId="3693" applyNumberFormat="0" applyFont="0" applyFill="0" applyAlignment="0" applyProtection="0"/>
    <xf numFmtId="0" fontId="2" fillId="0" borderId="3692" applyNumberFormat="0" applyAlignment="0" applyProtection="0"/>
    <xf numFmtId="186" fontId="140" fillId="3" borderId="3691">
      <alignment horizontal="center" vertical="center"/>
    </xf>
    <xf numFmtId="186" fontId="146" fillId="3" borderId="3690">
      <alignment horizontal="left"/>
    </xf>
    <xf numFmtId="0" fontId="25" fillId="10" borderId="3697" applyNumberFormat="0" applyProtection="0">
      <alignment horizontal="left" vertical="top"/>
    </xf>
    <xf numFmtId="0" fontId="75" fillId="0" borderId="3688" applyNumberFormat="0" applyFont="0" applyFill="0" applyAlignment="0" applyProtection="0"/>
    <xf numFmtId="222" fontId="79" fillId="0" borderId="3698" applyBorder="0"/>
    <xf numFmtId="0" fontId="101" fillId="0" borderId="3699" applyBorder="0"/>
    <xf numFmtId="222" fontId="79" fillId="0" borderId="3698" applyBorder="0"/>
    <xf numFmtId="0" fontId="113" fillId="0" borderId="3699" applyNumberFormat="0" applyFill="0" applyAlignment="0" applyProtection="0"/>
    <xf numFmtId="0" fontId="12" fillId="0" borderId="3699" applyNumberFormat="0" applyFill="0" applyBorder="0" applyAlignment="0" applyProtection="0">
      <alignment horizontal="center"/>
    </xf>
    <xf numFmtId="248" fontId="46" fillId="0" borderId="3699"/>
    <xf numFmtId="192" fontId="9" fillId="3" borderId="3699">
      <alignment horizontal="right" vertical="center"/>
    </xf>
    <xf numFmtId="180" fontId="9" fillId="3" borderId="3699">
      <alignment horizontal="right" vertical="center"/>
    </xf>
    <xf numFmtId="186" fontId="146" fillId="3" borderId="3699" applyBorder="0">
      <alignment horizontal="left" vertical="center"/>
    </xf>
    <xf numFmtId="0" fontId="165" fillId="0" borderId="3699" applyFill="0" applyProtection="0">
      <alignment horizontal="center"/>
    </xf>
    <xf numFmtId="0" fontId="166" fillId="0" borderId="3699">
      <alignment horizontal="center"/>
    </xf>
    <xf numFmtId="264" fontId="12" fillId="14" borderId="3699" applyFont="0" applyFill="0" applyBorder="0" applyAlignment="0" applyProtection="0">
      <alignment horizontal="right"/>
    </xf>
    <xf numFmtId="0" fontId="210" fillId="0" borderId="3699" applyNumberFormat="0" applyFill="0" applyBorder="0" applyAlignment="0">
      <protection locked="0"/>
    </xf>
    <xf numFmtId="254" fontId="240" fillId="0" borderId="3699" applyBorder="0" applyProtection="0">
      <alignment horizontal="right" vertical="center"/>
    </xf>
    <xf numFmtId="0" fontId="241" fillId="94" borderId="3699" applyBorder="0" applyProtection="0">
      <alignment horizontal="centerContinuous" vertical="center"/>
    </xf>
    <xf numFmtId="246" fontId="249" fillId="0" borderId="3699" applyFill="0" applyProtection="0">
      <alignment horizontal="center"/>
    </xf>
    <xf numFmtId="246" fontId="250" fillId="0" borderId="3699" applyFill="0" applyProtection="0">
      <alignment horizontal="center"/>
    </xf>
    <xf numFmtId="186" fontId="140" fillId="3" borderId="3691">
      <alignment horizontal="center" vertical="center"/>
    </xf>
    <xf numFmtId="0" fontId="78" fillId="14" borderId="3689" applyFont="0" applyFill="0" applyBorder="0" applyAlignment="0" applyProtection="0"/>
    <xf numFmtId="222" fontId="79" fillId="0" borderId="3698" applyBorder="0"/>
    <xf numFmtId="0" fontId="78" fillId="14" borderId="3689" applyFont="0" applyFill="0" applyBorder="0" applyAlignment="0" applyProtection="0"/>
    <xf numFmtId="0" fontId="25" fillId="10" borderId="3697" applyNumberFormat="0" applyProtection="0">
      <alignment horizontal="left" vertical="top"/>
    </xf>
    <xf numFmtId="0" fontId="25" fillId="10" borderId="3696" applyNumberFormat="0" applyProtection="0">
      <alignment horizontal="left" vertical="top"/>
    </xf>
    <xf numFmtId="0" fontId="25" fillId="10" borderId="3695" applyNumberFormat="0" applyProtection="0">
      <alignment horizontal="left" vertical="top"/>
    </xf>
    <xf numFmtId="0" fontId="25" fillId="10" borderId="3694" applyNumberFormat="0" applyProtection="0">
      <alignment horizontal="left" vertical="top"/>
    </xf>
    <xf numFmtId="0" fontId="214" fillId="0" borderId="3693" applyNumberFormat="0" applyFont="0" applyFill="0" applyAlignment="0" applyProtection="0"/>
    <xf numFmtId="0" fontId="2" fillId="0" borderId="3692" applyNumberFormat="0" applyAlignment="0" applyProtection="0"/>
    <xf numFmtId="186" fontId="140" fillId="3" borderId="3691">
      <alignment horizontal="center" vertical="center"/>
    </xf>
    <xf numFmtId="186" fontId="146" fillId="3" borderId="3690">
      <alignment horizontal="left"/>
    </xf>
    <xf numFmtId="0" fontId="75" fillId="0" borderId="3688" applyNumberFormat="0" applyFont="0" applyFill="0" applyAlignment="0" applyProtection="0"/>
    <xf numFmtId="222" fontId="79" fillId="0" borderId="3698" applyBorder="0"/>
    <xf numFmtId="0" fontId="101" fillId="0" borderId="3699" applyBorder="0"/>
    <xf numFmtId="222" fontId="79" fillId="0" borderId="3698" applyBorder="0"/>
    <xf numFmtId="0" fontId="113" fillId="0" borderId="3699" applyNumberFormat="0" applyFill="0" applyAlignment="0" applyProtection="0"/>
    <xf numFmtId="0" fontId="12" fillId="0" borderId="3699" applyNumberFormat="0" applyFill="0" applyBorder="0" applyAlignment="0" applyProtection="0">
      <alignment horizontal="center"/>
    </xf>
    <xf numFmtId="248" fontId="46" fillId="0" borderId="3699"/>
    <xf numFmtId="192" fontId="9" fillId="3" borderId="3699">
      <alignment horizontal="right" vertical="center"/>
    </xf>
    <xf numFmtId="180" fontId="9" fillId="3" borderId="3699">
      <alignment horizontal="right" vertical="center"/>
    </xf>
    <xf numFmtId="186" fontId="146" fillId="3" borderId="3699" applyBorder="0">
      <alignment horizontal="left" vertical="center"/>
    </xf>
    <xf numFmtId="0" fontId="165" fillId="0" borderId="3699" applyFill="0" applyProtection="0">
      <alignment horizontal="center"/>
    </xf>
    <xf numFmtId="0" fontId="166" fillId="0" borderId="3699">
      <alignment horizontal="center"/>
    </xf>
    <xf numFmtId="264" fontId="12" fillId="14" borderId="3699" applyFont="0" applyFill="0" applyBorder="0" applyAlignment="0" applyProtection="0">
      <alignment horizontal="right"/>
    </xf>
    <xf numFmtId="0" fontId="210" fillId="0" borderId="3699" applyNumberFormat="0" applyFill="0" applyBorder="0" applyAlignment="0">
      <protection locked="0"/>
    </xf>
    <xf numFmtId="254" fontId="240" fillId="0" borderId="3699" applyBorder="0" applyProtection="0">
      <alignment horizontal="right" vertical="center"/>
    </xf>
    <xf numFmtId="0" fontId="241" fillId="94" borderId="3699" applyBorder="0" applyProtection="0">
      <alignment horizontal="centerContinuous" vertical="center"/>
    </xf>
    <xf numFmtId="246" fontId="249" fillId="0" borderId="3699" applyFill="0" applyProtection="0">
      <alignment horizontal="center"/>
    </xf>
    <xf numFmtId="246" fontId="250" fillId="0" borderId="3699" applyFill="0" applyProtection="0">
      <alignment horizontal="center"/>
    </xf>
    <xf numFmtId="222" fontId="79" fillId="0" borderId="3710" applyBorder="0"/>
    <xf numFmtId="0" fontId="78" fillId="14" borderId="3713" applyFont="0" applyFill="0" applyBorder="0" applyAlignment="0" applyProtection="0"/>
    <xf numFmtId="0" fontId="25" fillId="10" borderId="3721" applyNumberFormat="0" applyProtection="0">
      <alignment horizontal="left" vertical="top"/>
    </xf>
    <xf numFmtId="0" fontId="25" fillId="10" borderId="3720" applyNumberFormat="0" applyProtection="0">
      <alignment horizontal="left" vertical="top"/>
    </xf>
    <xf numFmtId="0" fontId="25" fillId="10" borderId="3719" applyNumberFormat="0" applyProtection="0">
      <alignment horizontal="left" vertical="top"/>
    </xf>
    <xf numFmtId="0" fontId="25" fillId="10" borderId="3718" applyNumberFormat="0" applyProtection="0">
      <alignment horizontal="left" vertical="top"/>
    </xf>
    <xf numFmtId="0" fontId="214" fillId="0" borderId="3717" applyNumberFormat="0" applyFont="0" applyFill="0" applyAlignment="0" applyProtection="0"/>
    <xf numFmtId="0" fontId="2" fillId="0" borderId="3716" applyNumberFormat="0" applyAlignment="0" applyProtection="0"/>
    <xf numFmtId="186" fontId="140" fillId="3" borderId="3715">
      <alignment horizontal="center" vertical="center"/>
    </xf>
    <xf numFmtId="186" fontId="146" fillId="3" borderId="3714">
      <alignment horizontal="left"/>
    </xf>
    <xf numFmtId="0" fontId="75" fillId="0" borderId="3712" applyNumberFormat="0" applyFont="0" applyFill="0" applyAlignment="0" applyProtection="0"/>
    <xf numFmtId="222" fontId="79" fillId="0" borderId="3722" applyBorder="0"/>
    <xf numFmtId="0" fontId="101" fillId="0" borderId="3723" applyBorder="0"/>
    <xf numFmtId="222" fontId="79" fillId="0" borderId="3722" applyBorder="0"/>
    <xf numFmtId="0" fontId="113" fillId="0" borderId="3723" applyNumberFormat="0" applyFill="0" applyAlignment="0" applyProtection="0"/>
    <xf numFmtId="0" fontId="12" fillId="0" borderId="3723" applyNumberFormat="0" applyFill="0" applyBorder="0" applyAlignment="0" applyProtection="0">
      <alignment horizontal="center"/>
    </xf>
    <xf numFmtId="248" fontId="46" fillId="0" borderId="3723"/>
    <xf numFmtId="192" fontId="9" fillId="3" borderId="3723">
      <alignment horizontal="right" vertical="center"/>
    </xf>
    <xf numFmtId="180" fontId="9" fillId="3" borderId="3723">
      <alignment horizontal="right" vertical="center"/>
    </xf>
    <xf numFmtId="186" fontId="146" fillId="3" borderId="3723" applyBorder="0">
      <alignment horizontal="left" vertical="center"/>
    </xf>
    <xf numFmtId="0" fontId="165" fillId="0" borderId="3723" applyFill="0" applyProtection="0">
      <alignment horizontal="center"/>
    </xf>
    <xf numFmtId="0" fontId="166" fillId="0" borderId="3723">
      <alignment horizontal="center"/>
    </xf>
    <xf numFmtId="264" fontId="12" fillId="14" borderId="3723" applyFont="0" applyFill="0" applyBorder="0" applyAlignment="0" applyProtection="0">
      <alignment horizontal="right"/>
    </xf>
    <xf numFmtId="0" fontId="210" fillId="0" borderId="3723" applyNumberFormat="0" applyFill="0" applyBorder="0" applyAlignment="0">
      <protection locked="0"/>
    </xf>
    <xf numFmtId="254" fontId="240" fillId="0" borderId="3723" applyBorder="0" applyProtection="0">
      <alignment horizontal="right" vertical="center"/>
    </xf>
    <xf numFmtId="0" fontId="241" fillId="94" borderId="3723" applyBorder="0" applyProtection="0">
      <alignment horizontal="centerContinuous" vertical="center"/>
    </xf>
    <xf numFmtId="246" fontId="249" fillId="0" borderId="3723" applyFill="0" applyProtection="0">
      <alignment horizontal="center"/>
    </xf>
    <xf numFmtId="246" fontId="250" fillId="0" borderId="3723" applyFill="0" applyProtection="0">
      <alignment horizontal="center"/>
    </xf>
    <xf numFmtId="0" fontId="113" fillId="0" borderId="3855" applyNumberFormat="0" applyFill="0" applyAlignment="0" applyProtection="0"/>
    <xf numFmtId="0" fontId="75" fillId="0" borderId="3736" applyNumberFormat="0" applyFont="0" applyFill="0" applyAlignment="0" applyProtection="0"/>
    <xf numFmtId="0" fontId="78" fillId="14" borderId="3737" applyFont="0" applyFill="0" applyBorder="0" applyAlignment="0" applyProtection="0"/>
    <xf numFmtId="186" fontId="146" fillId="3" borderId="3738">
      <alignment horizontal="left"/>
    </xf>
    <xf numFmtId="186" fontId="140" fillId="3" borderId="3739">
      <alignment horizontal="center" vertical="center"/>
    </xf>
    <xf numFmtId="0" fontId="2" fillId="0" borderId="3740" applyNumberFormat="0" applyAlignment="0" applyProtection="0"/>
    <xf numFmtId="0" fontId="214" fillId="0" borderId="3741" applyNumberFormat="0" applyFont="0" applyFill="0" applyAlignment="0" applyProtection="0"/>
    <xf numFmtId="0" fontId="25" fillId="10" borderId="3742" applyNumberFormat="0" applyProtection="0">
      <alignment horizontal="left" vertical="top"/>
    </xf>
    <xf numFmtId="0" fontId="25" fillId="10" borderId="3743" applyNumberFormat="0" applyProtection="0">
      <alignment horizontal="left" vertical="top"/>
    </xf>
    <xf numFmtId="0" fontId="25" fillId="10" borderId="3744" applyNumberFormat="0" applyProtection="0">
      <alignment horizontal="left" vertical="top"/>
    </xf>
    <xf numFmtId="0" fontId="25" fillId="10" borderId="3745" applyNumberFormat="0" applyProtection="0">
      <alignment horizontal="left" vertical="top"/>
    </xf>
    <xf numFmtId="0" fontId="12" fillId="0" borderId="3855" applyNumberFormat="0" applyFill="0" applyBorder="0" applyAlignment="0" applyProtection="0">
      <alignment horizontal="center"/>
    </xf>
    <xf numFmtId="0" fontId="101" fillId="0" borderId="3855" applyBorder="0"/>
    <xf numFmtId="248" fontId="46" fillId="0" borderId="3855"/>
    <xf numFmtId="246" fontId="250" fillId="0" borderId="3735" applyFill="0" applyProtection="0">
      <alignment horizontal="center"/>
    </xf>
    <xf numFmtId="246" fontId="249" fillId="0" borderId="3735" applyFill="0" applyProtection="0">
      <alignment horizontal="center"/>
    </xf>
    <xf numFmtId="0" fontId="241" fillId="94" borderId="3735" applyBorder="0" applyProtection="0">
      <alignment horizontal="centerContinuous" vertical="center"/>
    </xf>
    <xf numFmtId="254" fontId="240" fillId="0" borderId="3735" applyBorder="0" applyProtection="0">
      <alignment horizontal="right" vertical="center"/>
    </xf>
    <xf numFmtId="0" fontId="210" fillId="0" borderId="3735" applyNumberFormat="0" applyFill="0" applyBorder="0" applyAlignment="0">
      <protection locked="0"/>
    </xf>
    <xf numFmtId="264" fontId="12" fillId="14" borderId="3735" applyFont="0" applyFill="0" applyBorder="0" applyAlignment="0" applyProtection="0">
      <alignment horizontal="right"/>
    </xf>
    <xf numFmtId="0" fontId="166" fillId="0" borderId="3735">
      <alignment horizontal="center"/>
    </xf>
    <xf numFmtId="0" fontId="165" fillId="0" borderId="3735" applyFill="0" applyProtection="0">
      <alignment horizontal="center"/>
    </xf>
    <xf numFmtId="186" fontId="146" fillId="3" borderId="4095" applyBorder="0">
      <alignment horizontal="left" vertical="center"/>
    </xf>
    <xf numFmtId="186" fontId="146" fillId="3" borderId="3735" applyBorder="0">
      <alignment horizontal="left" vertical="center"/>
    </xf>
    <xf numFmtId="180" fontId="9" fillId="3" borderId="3735">
      <alignment horizontal="right" vertical="center"/>
    </xf>
    <xf numFmtId="192" fontId="9" fillId="3" borderId="3735">
      <alignment horizontal="right" vertical="center"/>
    </xf>
    <xf numFmtId="0" fontId="12" fillId="0" borderId="3735" applyNumberFormat="0" applyFill="0" applyBorder="0" applyAlignment="0" applyProtection="0">
      <alignment horizontal="center"/>
    </xf>
    <xf numFmtId="0" fontId="113" fillId="0" borderId="3735" applyNumberFormat="0" applyFill="0" applyAlignment="0" applyProtection="0"/>
    <xf numFmtId="222" fontId="79" fillId="0" borderId="3734" applyBorder="0"/>
    <xf numFmtId="0" fontId="101" fillId="0" borderId="3735" applyBorder="0"/>
    <xf numFmtId="192" fontId="9" fillId="3" borderId="3855">
      <alignment horizontal="right" vertical="center"/>
    </xf>
    <xf numFmtId="248" fontId="46" fillId="0" borderId="3735"/>
    <xf numFmtId="180" fontId="9" fillId="3" borderId="3855">
      <alignment horizontal="right" vertical="center"/>
    </xf>
    <xf numFmtId="0" fontId="166" fillId="0" borderId="3843">
      <alignment horizontal="center"/>
    </xf>
    <xf numFmtId="186" fontId="146" fillId="3" borderId="3855" applyBorder="0">
      <alignment horizontal="left" vertical="center"/>
    </xf>
    <xf numFmtId="254" fontId="240" fillId="0" borderId="3843" applyBorder="0" applyProtection="0">
      <alignment horizontal="right" vertical="center"/>
    </xf>
    <xf numFmtId="0" fontId="101" fillId="0" borderId="3735" applyBorder="0"/>
    <xf numFmtId="222" fontId="79" fillId="0" borderId="3734" applyBorder="0"/>
    <xf numFmtId="0" fontId="113" fillId="0" borderId="3735" applyNumberFormat="0" applyFill="0" applyAlignment="0" applyProtection="0"/>
    <xf numFmtId="0" fontId="75" fillId="0" borderId="3736" applyNumberFormat="0" applyFont="0" applyFill="0" applyAlignment="0" applyProtection="0"/>
    <xf numFmtId="0" fontId="12" fillId="0" borderId="3735" applyNumberFormat="0" applyFill="0" applyBorder="0" applyAlignment="0" applyProtection="0">
      <alignment horizontal="center"/>
    </xf>
    <xf numFmtId="248" fontId="46" fillId="0" borderId="3735"/>
    <xf numFmtId="192" fontId="9" fillId="3" borderId="3735">
      <alignment horizontal="right" vertical="center"/>
    </xf>
    <xf numFmtId="180" fontId="9" fillId="3" borderId="3735">
      <alignment horizontal="right" vertical="center"/>
    </xf>
    <xf numFmtId="186" fontId="146" fillId="3" borderId="3735" applyBorder="0">
      <alignment horizontal="left" vertical="center"/>
    </xf>
    <xf numFmtId="186" fontId="146" fillId="3" borderId="3738">
      <alignment horizontal="left"/>
    </xf>
    <xf numFmtId="186" fontId="140" fillId="3" borderId="3739">
      <alignment horizontal="center" vertical="center"/>
    </xf>
    <xf numFmtId="0" fontId="165" fillId="0" borderId="3735" applyFill="0" applyProtection="0">
      <alignment horizontal="center"/>
    </xf>
    <xf numFmtId="0" fontId="166" fillId="0" borderId="3735">
      <alignment horizontal="center"/>
    </xf>
    <xf numFmtId="264" fontId="12" fillId="14" borderId="3735" applyFont="0" applyFill="0" applyBorder="0" applyAlignment="0" applyProtection="0">
      <alignment horizontal="right"/>
    </xf>
    <xf numFmtId="0" fontId="210" fillId="0" borderId="3735" applyNumberFormat="0" applyFill="0" applyBorder="0" applyAlignment="0">
      <protection locked="0"/>
    </xf>
    <xf numFmtId="0" fontId="2" fillId="0" borderId="3740" applyNumberFormat="0" applyAlignment="0" applyProtection="0"/>
    <xf numFmtId="0" fontId="214" fillId="0" borderId="3741" applyNumberFormat="0" applyFont="0" applyFill="0" applyAlignment="0" applyProtection="0"/>
    <xf numFmtId="0" fontId="25" fillId="10" borderId="3742" applyNumberFormat="0" applyProtection="0">
      <alignment horizontal="left" vertical="top"/>
    </xf>
    <xf numFmtId="0" fontId="25" fillId="10" borderId="3743" applyNumberFormat="0" applyProtection="0">
      <alignment horizontal="left" vertical="top"/>
    </xf>
    <xf numFmtId="0" fontId="25" fillId="10" borderId="3744" applyNumberFormat="0" applyProtection="0">
      <alignment horizontal="left" vertical="top"/>
    </xf>
    <xf numFmtId="0" fontId="25" fillId="10" borderId="3745" applyNumberFormat="0" applyProtection="0">
      <alignment horizontal="left" vertical="top"/>
    </xf>
    <xf numFmtId="0" fontId="25" fillId="10" borderId="3742" applyNumberFormat="0" applyProtection="0">
      <alignment horizontal="left" vertical="top"/>
    </xf>
    <xf numFmtId="0" fontId="25" fillId="10" borderId="3743" applyNumberFormat="0" applyProtection="0">
      <alignment horizontal="left" vertical="top"/>
    </xf>
    <xf numFmtId="0" fontId="25" fillId="10" borderId="3744" applyNumberFormat="0" applyProtection="0">
      <alignment horizontal="left" vertical="top"/>
    </xf>
    <xf numFmtId="0" fontId="25" fillId="10" borderId="3745" applyNumberFormat="0" applyProtection="0">
      <alignment horizontal="left" vertical="top"/>
    </xf>
    <xf numFmtId="254" fontId="240" fillId="0" borderId="3735" applyBorder="0" applyProtection="0">
      <alignment horizontal="right" vertical="center"/>
    </xf>
    <xf numFmtId="0" fontId="241" fillId="94" borderId="3735" applyBorder="0" applyProtection="0">
      <alignment horizontal="centerContinuous" vertical="center"/>
    </xf>
    <xf numFmtId="246" fontId="249" fillId="0" borderId="3735" applyFill="0" applyProtection="0">
      <alignment horizontal="center"/>
    </xf>
    <xf numFmtId="246" fontId="250" fillId="0" borderId="3735" applyFill="0" applyProtection="0">
      <alignment horizontal="center"/>
    </xf>
    <xf numFmtId="0" fontId="165" fillId="0" borderId="3855" applyFill="0" applyProtection="0">
      <alignment horizontal="center"/>
    </xf>
    <xf numFmtId="0" fontId="166" fillId="0" borderId="3855">
      <alignment horizontal="center"/>
    </xf>
    <xf numFmtId="0" fontId="241" fillId="94" borderId="4023" applyBorder="0" applyProtection="0">
      <alignment horizontal="centerContinuous" vertical="center"/>
    </xf>
    <xf numFmtId="0" fontId="241" fillId="94" borderId="3915" applyBorder="0" applyProtection="0">
      <alignment horizontal="centerContinuous" vertical="center"/>
    </xf>
    <xf numFmtId="190" fontId="101" fillId="0" borderId="3735" applyBorder="0"/>
    <xf numFmtId="186" fontId="146" fillId="3" borderId="3915" applyBorder="0">
      <alignment horizontal="left" vertical="center"/>
    </xf>
    <xf numFmtId="192" fontId="9" fillId="3" borderId="3915">
      <alignment horizontal="right" vertical="center"/>
    </xf>
    <xf numFmtId="0" fontId="166" fillId="0" borderId="4095">
      <alignment horizontal="center"/>
    </xf>
    <xf numFmtId="0" fontId="210" fillId="0" borderId="3915" applyNumberFormat="0" applyFill="0" applyBorder="0" applyAlignment="0">
      <protection locked="0"/>
    </xf>
    <xf numFmtId="246" fontId="249" fillId="0" borderId="3915" applyFill="0" applyProtection="0">
      <alignment horizontal="center"/>
    </xf>
    <xf numFmtId="190" fontId="113" fillId="0" borderId="3735" applyNumberFormat="0" applyFill="0" applyAlignment="0" applyProtection="0"/>
    <xf numFmtId="190" fontId="75" fillId="0" borderId="3712" applyNumberFormat="0" applyFont="0" applyFill="0" applyAlignment="0" applyProtection="0"/>
    <xf numFmtId="0" fontId="214" fillId="0" borderId="3921" applyNumberFormat="0" applyFont="0" applyFill="0" applyAlignment="0" applyProtection="0"/>
    <xf numFmtId="186" fontId="146" fillId="3" borderId="3918">
      <alignment horizontal="left"/>
    </xf>
    <xf numFmtId="0" fontId="241" fillId="94" borderId="3903" applyBorder="0" applyProtection="0">
      <alignment horizontal="centerContinuous" vertical="center"/>
    </xf>
    <xf numFmtId="0" fontId="166" fillId="0" borderId="3903">
      <alignment horizontal="center"/>
    </xf>
    <xf numFmtId="248" fontId="46" fillId="0" borderId="3903"/>
    <xf numFmtId="0" fontId="214" fillId="0" borderId="3897" applyNumberFormat="0" applyFont="0" applyFill="0" applyAlignment="0" applyProtection="0"/>
    <xf numFmtId="186" fontId="140" fillId="3" borderId="3895">
      <alignment horizontal="center" vertical="center"/>
    </xf>
    <xf numFmtId="190" fontId="12" fillId="0" borderId="3735" applyNumberFormat="0" applyFill="0" applyBorder="0" applyAlignment="0" applyProtection="0">
      <alignment horizontal="center"/>
    </xf>
    <xf numFmtId="0" fontId="78" fillId="14" borderId="3893" applyFont="0" applyFill="0" applyBorder="0" applyAlignment="0" applyProtection="0"/>
    <xf numFmtId="264" fontId="12" fillId="14" borderId="3879" applyFont="0" applyFill="0" applyBorder="0" applyAlignment="0" applyProtection="0">
      <alignment horizontal="right"/>
    </xf>
    <xf numFmtId="186" fontId="146" fillId="3" borderId="3879" applyBorder="0">
      <alignment horizontal="left" vertical="center"/>
    </xf>
    <xf numFmtId="248" fontId="46" fillId="0" borderId="3879"/>
    <xf numFmtId="222" fontId="79" fillId="0" borderId="3878" applyBorder="0"/>
    <xf numFmtId="0" fontId="75" fillId="0" borderId="3868" applyNumberFormat="0" applyFont="0" applyFill="0" applyAlignment="0" applyProtection="0"/>
    <xf numFmtId="0" fontId="2" fillId="0" borderId="3872" applyNumberFormat="0" applyAlignment="0" applyProtection="0"/>
    <xf numFmtId="0" fontId="25" fillId="10" borderId="3875" applyNumberFormat="0" applyProtection="0">
      <alignment horizontal="left" vertical="top"/>
    </xf>
    <xf numFmtId="0" fontId="78" fillId="14" borderId="3869" applyFont="0" applyFill="0" applyBorder="0" applyAlignment="0" applyProtection="0"/>
    <xf numFmtId="246" fontId="250" fillId="0" borderId="3855" applyFill="0" applyProtection="0">
      <alignment horizontal="center"/>
    </xf>
    <xf numFmtId="0" fontId="113" fillId="0" borderId="3843" applyNumberFormat="0" applyFill="0" applyAlignment="0" applyProtection="0"/>
    <xf numFmtId="0" fontId="25" fillId="10" borderId="3851" applyNumberFormat="0" applyProtection="0">
      <alignment horizontal="left" vertical="top"/>
    </xf>
    <xf numFmtId="0" fontId="2" fillId="0" borderId="3848" applyNumberFormat="0" applyAlignment="0" applyProtection="0"/>
    <xf numFmtId="190" fontId="78" fillId="14" borderId="3725" applyFont="0" applyFill="0" applyBorder="0" applyAlignment="0" applyProtection="0"/>
    <xf numFmtId="0" fontId="113" fillId="0" borderId="3855" applyNumberFormat="0" applyFill="0" applyAlignment="0" applyProtection="0"/>
    <xf numFmtId="246" fontId="249" fillId="0" borderId="3855" applyFill="0" applyProtection="0">
      <alignment horizontal="center"/>
    </xf>
    <xf numFmtId="0" fontId="25" fillId="10" borderId="3695" applyNumberFormat="0" applyProtection="0">
      <alignment horizontal="left" vertical="top"/>
    </xf>
    <xf numFmtId="186" fontId="140" fillId="3" borderId="3883">
      <alignment horizontal="center" vertical="center"/>
    </xf>
    <xf numFmtId="0" fontId="2" fillId="0" borderId="3884" applyNumberFormat="0" applyAlignment="0" applyProtection="0"/>
    <xf numFmtId="0" fontId="101" fillId="0" borderId="3891" applyBorder="0"/>
    <xf numFmtId="0" fontId="165" fillId="0" borderId="3891" applyFill="0" applyProtection="0">
      <alignment horizontal="center"/>
    </xf>
    <xf numFmtId="246" fontId="250" fillId="0" borderId="3867" applyFill="0" applyProtection="0">
      <alignment horizontal="center"/>
    </xf>
    <xf numFmtId="0" fontId="210" fillId="0" borderId="3867" applyNumberFormat="0" applyFill="0" applyBorder="0" applyAlignment="0">
      <protection locked="0"/>
    </xf>
    <xf numFmtId="246" fontId="250" fillId="0" borderId="3915" applyFill="0" applyProtection="0">
      <alignment horizontal="center"/>
    </xf>
    <xf numFmtId="186" fontId="146" fillId="3" borderId="3915" applyBorder="0">
      <alignment horizontal="left" vertical="center"/>
    </xf>
    <xf numFmtId="0" fontId="101" fillId="0" borderId="3915" applyBorder="0"/>
    <xf numFmtId="222" fontId="79" fillId="0" borderId="3902" applyBorder="0"/>
    <xf numFmtId="0" fontId="12" fillId="0" borderId="3915" applyNumberFormat="0" applyFill="0" applyBorder="0" applyAlignment="0" applyProtection="0">
      <alignment horizontal="center"/>
    </xf>
    <xf numFmtId="0" fontId="214" fillId="0" borderId="3849" applyNumberFormat="0" applyFont="0" applyFill="0" applyAlignment="0" applyProtection="0"/>
    <xf numFmtId="0" fontId="25" fillId="10" borderId="3852" applyNumberFormat="0" applyProtection="0">
      <alignment horizontal="left" vertical="top"/>
    </xf>
    <xf numFmtId="0" fontId="25" fillId="10" borderId="3852" applyNumberFormat="0" applyProtection="0">
      <alignment horizontal="left" vertical="top"/>
    </xf>
    <xf numFmtId="246" fontId="249" fillId="0" borderId="3915" applyFill="0" applyProtection="0">
      <alignment horizontal="center"/>
    </xf>
    <xf numFmtId="0" fontId="113" fillId="0" borderId="3915" applyNumberFormat="0" applyFill="0" applyAlignment="0" applyProtection="0"/>
    <xf numFmtId="192" fontId="9" fillId="3" borderId="4095">
      <alignment horizontal="right" vertical="center"/>
    </xf>
    <xf numFmtId="190" fontId="165" fillId="0" borderId="3735" applyFill="0" applyProtection="0">
      <alignment horizontal="center"/>
    </xf>
    <xf numFmtId="190" fontId="166" fillId="0" borderId="3735">
      <alignment horizontal="center"/>
    </xf>
    <xf numFmtId="246" fontId="249" fillId="0" borderId="3843" applyFill="0" applyProtection="0">
      <alignment horizontal="center"/>
    </xf>
    <xf numFmtId="0" fontId="166" fillId="0" borderId="3843">
      <alignment horizontal="center"/>
    </xf>
    <xf numFmtId="0" fontId="12" fillId="0" borderId="3843" applyNumberFormat="0" applyFill="0" applyBorder="0" applyAlignment="0" applyProtection="0">
      <alignment horizontal="center"/>
    </xf>
    <xf numFmtId="0" fontId="101" fillId="0" borderId="3843" applyBorder="0"/>
    <xf numFmtId="0" fontId="25" fillId="10" borderId="4105" applyNumberFormat="0" applyProtection="0">
      <alignment horizontal="left" vertical="top"/>
    </xf>
    <xf numFmtId="190" fontId="210" fillId="0" borderId="3735" applyNumberFormat="0" applyFill="0" applyBorder="0" applyAlignment="0">
      <protection locked="0"/>
    </xf>
    <xf numFmtId="190" fontId="2" fillId="0" borderId="3716" applyNumberFormat="0" applyAlignment="0" applyProtection="0"/>
    <xf numFmtId="190" fontId="214" fillId="0" borderId="3717" applyNumberFormat="0" applyFont="0" applyFill="0" applyAlignment="0" applyProtection="0"/>
    <xf numFmtId="254" fontId="240" fillId="0" borderId="4023" applyBorder="0" applyProtection="0">
      <alignment horizontal="right" vertical="center"/>
    </xf>
    <xf numFmtId="0" fontId="113" fillId="0" borderId="4023" applyNumberFormat="0" applyFill="0" applyAlignment="0" applyProtection="0"/>
    <xf numFmtId="190" fontId="25" fillId="10" borderId="3718" applyNumberFormat="0" applyProtection="0">
      <alignment horizontal="left" vertical="top"/>
    </xf>
    <xf numFmtId="190" fontId="25" fillId="10" borderId="3719" applyNumberFormat="0" applyProtection="0">
      <alignment horizontal="left" vertical="top"/>
    </xf>
    <xf numFmtId="190" fontId="25" fillId="10" borderId="3720" applyNumberFormat="0" applyProtection="0">
      <alignment horizontal="left" vertical="top"/>
    </xf>
    <xf numFmtId="190" fontId="25" fillId="10" borderId="3721" applyNumberFormat="0" applyProtection="0">
      <alignment horizontal="left" vertical="top"/>
    </xf>
    <xf numFmtId="190" fontId="241" fillId="94" borderId="3735" applyBorder="0" applyProtection="0">
      <alignment horizontal="centerContinuous" vertical="center"/>
    </xf>
    <xf numFmtId="0" fontId="165" fillId="0" borderId="3843" applyFill="0" applyProtection="0">
      <alignment horizontal="center"/>
    </xf>
    <xf numFmtId="222" fontId="79" fillId="0" borderId="3734" applyBorder="0"/>
    <xf numFmtId="0" fontId="101" fillId="0" borderId="3735" applyBorder="0"/>
    <xf numFmtId="222" fontId="79" fillId="0" borderId="3734" applyBorder="0"/>
    <xf numFmtId="0" fontId="113" fillId="0" borderId="3735" applyNumberFormat="0" applyFill="0" applyAlignment="0" applyProtection="0"/>
    <xf numFmtId="0" fontId="75" fillId="0" borderId="3712" applyNumberFormat="0" applyFont="0" applyFill="0" applyAlignment="0" applyProtection="0"/>
    <xf numFmtId="0" fontId="12" fillId="0" borderId="3735" applyNumberFormat="0" applyFill="0" applyBorder="0" applyAlignment="0" applyProtection="0">
      <alignment horizontal="center"/>
    </xf>
    <xf numFmtId="248" fontId="46" fillId="0" borderId="3735"/>
    <xf numFmtId="192" fontId="9" fillId="3" borderId="3735">
      <alignment horizontal="right" vertical="center"/>
    </xf>
    <xf numFmtId="180" fontId="9" fillId="3" borderId="3735">
      <alignment horizontal="right" vertical="center"/>
    </xf>
    <xf numFmtId="186" fontId="146" fillId="3" borderId="3735" applyBorder="0">
      <alignment horizontal="left" vertical="center"/>
    </xf>
    <xf numFmtId="186" fontId="146" fillId="3" borderId="3714">
      <alignment horizontal="left"/>
    </xf>
    <xf numFmtId="186" fontId="140" fillId="3" borderId="3715">
      <alignment horizontal="center" vertical="center"/>
    </xf>
    <xf numFmtId="0" fontId="165" fillId="0" borderId="3735" applyFill="0" applyProtection="0">
      <alignment horizontal="center"/>
    </xf>
    <xf numFmtId="0" fontId="166" fillId="0" borderId="3735">
      <alignment horizontal="center"/>
    </xf>
    <xf numFmtId="264" fontId="12" fillId="14" borderId="3735" applyFont="0" applyFill="0" applyBorder="0" applyAlignment="0" applyProtection="0">
      <alignment horizontal="right"/>
    </xf>
    <xf numFmtId="0" fontId="210" fillId="0" borderId="3735" applyNumberFormat="0" applyFill="0" applyBorder="0" applyAlignment="0">
      <protection locked="0"/>
    </xf>
    <xf numFmtId="0" fontId="2" fillId="0" borderId="3716" applyNumberFormat="0" applyAlignment="0" applyProtection="0"/>
    <xf numFmtId="0" fontId="214" fillId="0" borderId="3717" applyNumberFormat="0" applyFont="0" applyFill="0" applyAlignment="0" applyProtection="0"/>
    <xf numFmtId="0" fontId="25" fillId="10" borderId="3718" applyNumberFormat="0" applyProtection="0">
      <alignment horizontal="left" vertical="top"/>
    </xf>
    <xf numFmtId="0" fontId="25" fillId="10" borderId="3719" applyNumberFormat="0" applyProtection="0">
      <alignment horizontal="left" vertical="top"/>
    </xf>
    <xf numFmtId="0" fontId="25" fillId="10" borderId="3720" applyNumberFormat="0" applyProtection="0">
      <alignment horizontal="left" vertical="top"/>
    </xf>
    <xf numFmtId="0" fontId="25" fillId="10" borderId="3721" applyNumberFormat="0" applyProtection="0">
      <alignment horizontal="left" vertical="top"/>
    </xf>
    <xf numFmtId="0" fontId="25" fillId="10" borderId="3718" applyNumberFormat="0" applyProtection="0">
      <alignment horizontal="left" vertical="top"/>
    </xf>
    <xf numFmtId="0" fontId="25" fillId="10" borderId="3719" applyNumberFormat="0" applyProtection="0">
      <alignment horizontal="left" vertical="top"/>
    </xf>
    <xf numFmtId="0" fontId="25" fillId="10" borderId="3720" applyNumberFormat="0" applyProtection="0">
      <alignment horizontal="left" vertical="top"/>
    </xf>
    <xf numFmtId="0" fontId="25" fillId="10" borderId="3721" applyNumberFormat="0" applyProtection="0">
      <alignment horizontal="left" vertical="top"/>
    </xf>
    <xf numFmtId="254" fontId="240" fillId="0" borderId="3735" applyBorder="0" applyProtection="0">
      <alignment horizontal="right" vertical="center"/>
    </xf>
    <xf numFmtId="0" fontId="241" fillId="94" borderId="3735" applyBorder="0" applyProtection="0">
      <alignment horizontal="centerContinuous" vertical="center"/>
    </xf>
    <xf numFmtId="246" fontId="249" fillId="0" borderId="3735" applyFill="0" applyProtection="0">
      <alignment horizontal="center"/>
    </xf>
    <xf numFmtId="246" fontId="250" fillId="0" borderId="3735" applyFill="0" applyProtection="0">
      <alignment horizontal="center"/>
    </xf>
    <xf numFmtId="264" fontId="12" fillId="14" borderId="3855" applyFont="0" applyFill="0" applyBorder="0" applyAlignment="0" applyProtection="0">
      <alignment horizontal="right"/>
    </xf>
    <xf numFmtId="0" fontId="241" fillId="94" borderId="3735" applyBorder="0" applyProtection="0">
      <alignment horizontal="centerContinuous" vertical="center"/>
    </xf>
    <xf numFmtId="0" fontId="210" fillId="0" borderId="3855" applyNumberFormat="0" applyFill="0" applyBorder="0" applyAlignment="0">
      <protection locked="0"/>
    </xf>
    <xf numFmtId="0" fontId="166" fillId="0" borderId="3915">
      <alignment horizontal="center"/>
    </xf>
    <xf numFmtId="190" fontId="214" fillId="0" borderId="3897" applyNumberFormat="0" applyFont="0" applyFill="0" applyAlignment="0" applyProtection="0"/>
    <xf numFmtId="190" fontId="78" fillId="14" borderId="3905" applyFont="0" applyFill="0" applyBorder="0" applyAlignment="0" applyProtection="0"/>
    <xf numFmtId="190" fontId="101" fillId="0" borderId="3915" applyBorder="0"/>
    <xf numFmtId="254" fontId="240" fillId="0" borderId="3915" applyBorder="0" applyProtection="0">
      <alignment horizontal="right" vertical="center"/>
    </xf>
    <xf numFmtId="312" fontId="101" fillId="0" borderId="3735" applyBorder="0"/>
    <xf numFmtId="0" fontId="113" fillId="0" borderId="3915" applyNumberFormat="0" applyFill="0" applyAlignment="0" applyProtection="0"/>
    <xf numFmtId="180" fontId="9" fillId="3" borderId="3915">
      <alignment horizontal="right" vertical="center"/>
    </xf>
    <xf numFmtId="0" fontId="113" fillId="0" borderId="4095" applyNumberFormat="0" applyFill="0" applyAlignment="0" applyProtection="0"/>
    <xf numFmtId="180" fontId="9" fillId="3" borderId="4095">
      <alignment horizontal="right" vertical="center"/>
    </xf>
    <xf numFmtId="0" fontId="165" fillId="0" borderId="3915" applyFill="0" applyProtection="0">
      <alignment horizontal="center"/>
    </xf>
    <xf numFmtId="246" fontId="250" fillId="0" borderId="3915" applyFill="0" applyProtection="0">
      <alignment horizontal="center"/>
    </xf>
    <xf numFmtId="312" fontId="113" fillId="0" borderId="3735" applyNumberFormat="0" applyFill="0" applyAlignment="0" applyProtection="0"/>
    <xf numFmtId="312" fontId="75" fillId="0" borderId="3712" applyNumberFormat="0" applyFont="0" applyFill="0" applyAlignment="0" applyProtection="0"/>
    <xf numFmtId="0" fontId="2" fillId="0" borderId="3920" applyNumberFormat="0" applyAlignment="0" applyProtection="0"/>
    <xf numFmtId="0" fontId="78" fillId="14" borderId="3917" applyFont="0" applyFill="0" applyBorder="0" applyAlignment="0" applyProtection="0"/>
    <xf numFmtId="246" fontId="250" fillId="0" borderId="3903" applyFill="0" applyProtection="0">
      <alignment horizontal="center"/>
    </xf>
    <xf numFmtId="254" fontId="240" fillId="0" borderId="3903" applyBorder="0" applyProtection="0">
      <alignment horizontal="right" vertical="center"/>
    </xf>
    <xf numFmtId="0" fontId="165" fillId="0" borderId="3903" applyFill="0" applyProtection="0">
      <alignment horizontal="center"/>
    </xf>
    <xf numFmtId="0" fontId="12" fillId="0" borderId="3903" applyNumberFormat="0" applyFill="0" applyBorder="0" applyAlignment="0" applyProtection="0">
      <alignment horizontal="center"/>
    </xf>
    <xf numFmtId="0" fontId="25" fillId="10" borderId="3898" applyNumberFormat="0" applyProtection="0">
      <alignment horizontal="left" vertical="top"/>
    </xf>
    <xf numFmtId="0" fontId="2" fillId="0" borderId="3896" applyNumberFormat="0" applyAlignment="0" applyProtection="0"/>
    <xf numFmtId="312" fontId="12" fillId="0" borderId="3735" applyNumberFormat="0" applyFill="0" applyBorder="0" applyAlignment="0" applyProtection="0">
      <alignment horizontal="center"/>
    </xf>
    <xf numFmtId="222" fontId="79" fillId="0" borderId="3890" applyBorder="0"/>
    <xf numFmtId="0" fontId="166" fillId="0" borderId="3879">
      <alignment horizontal="center"/>
    </xf>
    <xf numFmtId="180" fontId="9" fillId="3" borderId="3879">
      <alignment horizontal="right" vertical="center"/>
    </xf>
    <xf numFmtId="0" fontId="12" fillId="0" borderId="3879" applyNumberFormat="0" applyFill="0" applyBorder="0" applyAlignment="0" applyProtection="0">
      <alignment horizontal="center"/>
    </xf>
    <xf numFmtId="0" fontId="101" fillId="0" borderId="3879" applyBorder="0"/>
    <xf numFmtId="186" fontId="146" fillId="3" borderId="3870">
      <alignment horizontal="left"/>
    </xf>
    <xf numFmtId="0" fontId="214" fillId="0" borderId="3873" applyNumberFormat="0" applyFont="0" applyFill="0" applyAlignment="0" applyProtection="0"/>
    <xf numFmtId="0" fontId="25" fillId="10" borderId="3876" applyNumberFormat="0" applyProtection="0">
      <alignment horizontal="left" vertical="top"/>
    </xf>
    <xf numFmtId="222" fontId="79" fillId="0" borderId="3866" applyBorder="0"/>
    <xf numFmtId="246" fontId="249" fillId="0" borderId="3855" applyFill="0" applyProtection="0">
      <alignment horizontal="center"/>
    </xf>
    <xf numFmtId="222" fontId="79" fillId="0" borderId="3734" applyBorder="0"/>
    <xf numFmtId="0" fontId="78" fillId="14" borderId="3845" applyFont="0" applyFill="0" applyBorder="0" applyAlignment="0" applyProtection="0"/>
    <xf numFmtId="0" fontId="25" fillId="10" borderId="3853" applyNumberFormat="0" applyProtection="0">
      <alignment horizontal="left" vertical="top"/>
    </xf>
    <xf numFmtId="0" fontId="25" fillId="10" borderId="3850" applyNumberFormat="0" applyProtection="0">
      <alignment horizontal="left" vertical="top"/>
    </xf>
    <xf numFmtId="186" fontId="140" fillId="3" borderId="3847">
      <alignment horizontal="center" vertical="center"/>
    </xf>
    <xf numFmtId="222" fontId="79" fillId="0" borderId="3854" applyBorder="0"/>
    <xf numFmtId="312" fontId="78" fillId="14" borderId="3677" applyFont="0" applyFill="0" applyBorder="0" applyAlignment="0" applyProtection="0"/>
    <xf numFmtId="0" fontId="12" fillId="0" borderId="3855" applyNumberFormat="0" applyFill="0" applyBorder="0" applyAlignment="0" applyProtection="0">
      <alignment horizontal="center"/>
    </xf>
    <xf numFmtId="246" fontId="250" fillId="0" borderId="3855" applyFill="0" applyProtection="0">
      <alignment horizontal="center"/>
    </xf>
    <xf numFmtId="222" fontId="79" fillId="0" borderId="3734" applyBorder="0"/>
    <xf numFmtId="0" fontId="75" fillId="0" borderId="3904" applyNumberFormat="0" applyFont="0" applyFill="0" applyAlignment="0" applyProtection="0"/>
    <xf numFmtId="0" fontId="25" fillId="10" borderId="3696" applyNumberFormat="0" applyProtection="0">
      <alignment horizontal="left" vertical="top"/>
    </xf>
    <xf numFmtId="222" fontId="79" fillId="0" borderId="3890" applyBorder="0"/>
    <xf numFmtId="0" fontId="75" fillId="0" borderId="3880" applyNumberFormat="0" applyFont="0" applyFill="0" applyAlignment="0" applyProtection="0"/>
    <xf numFmtId="0" fontId="12" fillId="0" borderId="3891" applyNumberFormat="0" applyFill="0" applyBorder="0" applyAlignment="0" applyProtection="0">
      <alignment horizontal="center"/>
    </xf>
    <xf numFmtId="264" fontId="12" fillId="14" borderId="3891" applyFont="0" applyFill="0" applyBorder="0" applyAlignment="0" applyProtection="0">
      <alignment horizontal="right"/>
    </xf>
    <xf numFmtId="246" fontId="249" fillId="0" borderId="3867" applyFill="0" applyProtection="0">
      <alignment horizontal="center"/>
    </xf>
    <xf numFmtId="0" fontId="166" fillId="0" borderId="3867">
      <alignment horizontal="center"/>
    </xf>
    <xf numFmtId="254" fontId="240" fillId="0" borderId="3915" applyBorder="0" applyProtection="0">
      <alignment horizontal="right" vertical="center"/>
    </xf>
    <xf numFmtId="180" fontId="9" fillId="3" borderId="3915">
      <alignment horizontal="right" vertical="center"/>
    </xf>
    <xf numFmtId="222" fontId="79" fillId="0" borderId="3914" applyBorder="0"/>
    <xf numFmtId="0" fontId="25" fillId="10" borderId="3850" applyNumberFormat="0" applyProtection="0">
      <alignment horizontal="left" vertical="top"/>
    </xf>
    <xf numFmtId="186" fontId="140" fillId="3" borderId="3847">
      <alignment horizontal="center" vertical="center"/>
    </xf>
    <xf numFmtId="0" fontId="25" fillId="10" borderId="3850" applyNumberFormat="0" applyProtection="0">
      <alignment horizontal="left" vertical="top"/>
    </xf>
    <xf numFmtId="0" fontId="25" fillId="10" borderId="3853" applyNumberFormat="0" applyProtection="0">
      <alignment horizontal="left" vertical="top"/>
    </xf>
    <xf numFmtId="0" fontId="25" fillId="10" borderId="3851" applyNumberFormat="0" applyProtection="0">
      <alignment horizontal="left" vertical="top"/>
    </xf>
    <xf numFmtId="264" fontId="12" fillId="14" borderId="3915" applyFont="0" applyFill="0" applyBorder="0" applyAlignment="0" applyProtection="0">
      <alignment horizontal="right"/>
    </xf>
    <xf numFmtId="0" fontId="12" fillId="0" borderId="4095" applyNumberFormat="0" applyFill="0" applyBorder="0" applyAlignment="0" applyProtection="0">
      <alignment horizontal="center"/>
    </xf>
    <xf numFmtId="312" fontId="165" fillId="0" borderId="3735" applyFill="0" applyProtection="0">
      <alignment horizontal="center"/>
    </xf>
    <xf numFmtId="312" fontId="242" fillId="0" borderId="3735">
      <alignment horizontal="center"/>
    </xf>
    <xf numFmtId="0" fontId="241" fillId="94" borderId="3843" applyBorder="0" applyProtection="0">
      <alignment horizontal="centerContinuous" vertical="center"/>
    </xf>
    <xf numFmtId="0" fontId="165" fillId="0" borderId="3843" applyFill="0" applyProtection="0">
      <alignment horizontal="center"/>
    </xf>
    <xf numFmtId="0" fontId="113" fillId="0" borderId="3843" applyNumberFormat="0" applyFill="0" applyAlignment="0" applyProtection="0"/>
    <xf numFmtId="0" fontId="25" fillId="10" borderId="3696" applyNumberFormat="0" applyProtection="0">
      <alignment horizontal="left" vertical="top"/>
    </xf>
    <xf numFmtId="254" fontId="240" fillId="0" borderId="4035" applyBorder="0" applyProtection="0">
      <alignment horizontal="right" vertical="center"/>
    </xf>
    <xf numFmtId="312" fontId="210" fillId="0" borderId="3735" applyNumberFormat="0" applyFill="0" applyBorder="0" applyAlignment="0">
      <protection locked="0"/>
    </xf>
    <xf numFmtId="312" fontId="2" fillId="0" borderId="3716" applyNumberFormat="0" applyAlignment="0" applyProtection="0"/>
    <xf numFmtId="312" fontId="214" fillId="0" borderId="3717" applyNumberFormat="0" applyFont="0" applyFill="0" applyAlignment="0" applyProtection="0"/>
    <xf numFmtId="0" fontId="25" fillId="10" borderId="3372" applyNumberFormat="0" applyProtection="0">
      <alignment horizontal="left" vertical="top"/>
    </xf>
    <xf numFmtId="0" fontId="210" fillId="0" borderId="4023" applyNumberFormat="0" applyFill="0" applyBorder="0" applyAlignment="0">
      <protection locked="0"/>
    </xf>
    <xf numFmtId="186" fontId="146" fillId="3" borderId="4023" applyBorder="0">
      <alignment horizontal="left" vertical="center"/>
    </xf>
    <xf numFmtId="0" fontId="101" fillId="0" borderId="4023" applyBorder="0"/>
    <xf numFmtId="312" fontId="25" fillId="10" borderId="3718" applyNumberFormat="0" applyProtection="0">
      <alignment horizontal="left" vertical="top"/>
    </xf>
    <xf numFmtId="312" fontId="25" fillId="10" borderId="3719" applyNumberFormat="0" applyProtection="0">
      <alignment horizontal="left" vertical="top"/>
    </xf>
    <xf numFmtId="312" fontId="25" fillId="10" borderId="3720" applyNumberFormat="0" applyProtection="0">
      <alignment horizontal="left" vertical="top"/>
    </xf>
    <xf numFmtId="312" fontId="25" fillId="10" borderId="3721" applyNumberFormat="0" applyProtection="0">
      <alignment horizontal="left" vertical="top"/>
    </xf>
    <xf numFmtId="312" fontId="241" fillId="94" borderId="3735" applyBorder="0" applyProtection="0">
      <alignment horizontal="centerContinuous" vertical="center"/>
    </xf>
    <xf numFmtId="246" fontId="296" fillId="0" borderId="3735" applyFill="0" applyProtection="0">
      <alignment horizontal="center"/>
    </xf>
    <xf numFmtId="0" fontId="25" fillId="10" borderId="4105" applyNumberFormat="0" applyProtection="0">
      <alignment horizontal="left" vertical="top"/>
    </xf>
    <xf numFmtId="190" fontId="25" fillId="10" borderId="4078" applyNumberFormat="0" applyProtection="0">
      <alignment horizontal="left" vertical="top"/>
    </xf>
    <xf numFmtId="312" fontId="101" fillId="0" borderId="3735" applyBorder="0"/>
    <xf numFmtId="312" fontId="113" fillId="0" borderId="3735" applyNumberFormat="0" applyFill="0" applyAlignment="0" applyProtection="0"/>
    <xf numFmtId="312" fontId="75" fillId="0" borderId="3712" applyNumberFormat="0" applyFont="0" applyFill="0" applyAlignment="0" applyProtection="0"/>
    <xf numFmtId="312" fontId="12" fillId="0" borderId="3735" applyNumberFormat="0" applyFill="0" applyBorder="0" applyAlignment="0" applyProtection="0">
      <alignment horizontal="center"/>
    </xf>
    <xf numFmtId="312" fontId="78" fillId="14" borderId="3677" applyFont="0" applyFill="0" applyBorder="0" applyAlignment="0" applyProtection="0"/>
    <xf numFmtId="0" fontId="113" fillId="0" borderId="3891" applyNumberFormat="0" applyFill="0" applyAlignment="0" applyProtection="0"/>
    <xf numFmtId="312" fontId="165" fillId="0" borderId="3735" applyFill="0" applyProtection="0">
      <alignment horizontal="center"/>
    </xf>
    <xf numFmtId="312" fontId="242" fillId="0" borderId="3735">
      <alignment horizontal="center"/>
    </xf>
    <xf numFmtId="0" fontId="210" fillId="0" borderId="3891" applyNumberFormat="0" applyFill="0" applyBorder="0" applyAlignment="0">
      <protection locked="0"/>
    </xf>
    <xf numFmtId="312" fontId="210" fillId="0" borderId="3735" applyNumberFormat="0" applyFill="0" applyBorder="0" applyAlignment="0">
      <protection locked="0"/>
    </xf>
    <xf numFmtId="312" fontId="2" fillId="0" borderId="3716" applyNumberFormat="0" applyAlignment="0" applyProtection="0"/>
    <xf numFmtId="312" fontId="214" fillId="0" borderId="3717" applyNumberFormat="0" applyFont="0" applyFill="0" applyAlignment="0" applyProtection="0"/>
    <xf numFmtId="312" fontId="25" fillId="10" borderId="3718" applyNumberFormat="0" applyProtection="0">
      <alignment horizontal="left" vertical="top"/>
    </xf>
    <xf numFmtId="312" fontId="25" fillId="10" borderId="3719" applyNumberFormat="0" applyProtection="0">
      <alignment horizontal="left" vertical="top"/>
    </xf>
    <xf numFmtId="312" fontId="25" fillId="10" borderId="3720" applyNumberFormat="0" applyProtection="0">
      <alignment horizontal="left" vertical="top"/>
    </xf>
    <xf numFmtId="312" fontId="25" fillId="10" borderId="3721" applyNumberFormat="0" applyProtection="0">
      <alignment horizontal="left" vertical="top"/>
    </xf>
    <xf numFmtId="312" fontId="25" fillId="10" borderId="3718" applyNumberFormat="0" applyProtection="0">
      <alignment horizontal="left" vertical="top"/>
    </xf>
    <xf numFmtId="312" fontId="25" fillId="10" borderId="3719" applyNumberFormat="0" applyProtection="0">
      <alignment horizontal="left" vertical="top"/>
    </xf>
    <xf numFmtId="312" fontId="25" fillId="10" borderId="3720" applyNumberFormat="0" applyProtection="0">
      <alignment horizontal="left" vertical="top"/>
    </xf>
    <xf numFmtId="312" fontId="25" fillId="10" borderId="3721" applyNumberFormat="0" applyProtection="0">
      <alignment horizontal="left" vertical="top"/>
    </xf>
    <xf numFmtId="312" fontId="241" fillId="94" borderId="3735" applyBorder="0" applyProtection="0">
      <alignment horizontal="centerContinuous" vertical="center"/>
    </xf>
    <xf numFmtId="246" fontId="296" fillId="0" borderId="3735" applyFill="0" applyProtection="0">
      <alignment horizontal="center"/>
    </xf>
    <xf numFmtId="0" fontId="241" fillId="94" borderId="3915" applyBorder="0" applyProtection="0">
      <alignment horizontal="centerContinuous" vertical="center"/>
    </xf>
    <xf numFmtId="0" fontId="241" fillId="94" borderId="3843" applyBorder="0" applyProtection="0">
      <alignment horizontal="centerContinuous" vertical="center"/>
    </xf>
    <xf numFmtId="0" fontId="210" fillId="0" borderId="3843" applyNumberFormat="0" applyFill="0" applyBorder="0" applyAlignment="0">
      <protection locked="0"/>
    </xf>
    <xf numFmtId="0" fontId="2" fillId="0" borderId="4256" applyNumberFormat="0" applyAlignment="0" applyProtection="0"/>
    <xf numFmtId="264" fontId="12" fillId="14" borderId="4035" applyFont="0" applyFill="0" applyBorder="0" applyAlignment="0" applyProtection="0">
      <alignment horizontal="right"/>
    </xf>
    <xf numFmtId="0" fontId="210" fillId="0" borderId="4035" applyNumberFormat="0" applyFill="0" applyBorder="0" applyAlignment="0">
      <protection locked="0"/>
    </xf>
    <xf numFmtId="246" fontId="249" fillId="0" borderId="3855" applyFill="0" applyProtection="0">
      <alignment horizontal="center"/>
    </xf>
    <xf numFmtId="192" fontId="9" fillId="3" borderId="4035">
      <alignment horizontal="right" vertical="center"/>
    </xf>
    <xf numFmtId="0" fontId="166" fillId="0" borderId="4035">
      <alignment horizontal="center"/>
    </xf>
    <xf numFmtId="0" fontId="165" fillId="0" borderId="4035" applyFill="0" applyProtection="0">
      <alignment horizontal="center"/>
    </xf>
    <xf numFmtId="0" fontId="2" fillId="0" borderId="3860" applyNumberFormat="0" applyAlignment="0" applyProtection="0"/>
    <xf numFmtId="0" fontId="214" fillId="0" borderId="3849" applyNumberFormat="0" applyFont="0" applyFill="0" applyAlignment="0" applyProtection="0"/>
    <xf numFmtId="0" fontId="25" fillId="10" borderId="3852" applyNumberFormat="0" applyProtection="0">
      <alignment horizontal="left" vertical="top"/>
    </xf>
    <xf numFmtId="180" fontId="9" fillId="3" borderId="3843">
      <alignment horizontal="right" vertical="center"/>
    </xf>
    <xf numFmtId="0" fontId="165" fillId="0" borderId="3843" applyFill="0" applyProtection="0">
      <alignment horizontal="center"/>
    </xf>
    <xf numFmtId="246" fontId="250" fillId="0" borderId="3735" applyFill="0" applyProtection="0">
      <alignment horizontal="center"/>
    </xf>
    <xf numFmtId="246" fontId="249" fillId="0" borderId="3735" applyFill="0" applyProtection="0">
      <alignment horizontal="center"/>
    </xf>
    <xf numFmtId="0" fontId="241" fillId="94" borderId="3735" applyBorder="0" applyProtection="0">
      <alignment horizontal="centerContinuous" vertical="center"/>
    </xf>
    <xf numFmtId="254" fontId="240" fillId="0" borderId="3735" applyBorder="0" applyProtection="0">
      <alignment horizontal="right" vertical="center"/>
    </xf>
    <xf numFmtId="192" fontId="9" fillId="3" borderId="4023">
      <alignment horizontal="right" vertical="center"/>
    </xf>
    <xf numFmtId="0" fontId="25" fillId="10" borderId="3371" applyNumberFormat="0" applyProtection="0">
      <alignment horizontal="left" vertical="top"/>
    </xf>
    <xf numFmtId="0" fontId="113" fillId="0" borderId="4023" applyNumberFormat="0" applyFill="0" applyAlignment="0" applyProtection="0"/>
    <xf numFmtId="0" fontId="166" fillId="0" borderId="4023">
      <alignment horizontal="center"/>
    </xf>
    <xf numFmtId="0" fontId="12" fillId="0" borderId="4095" applyNumberFormat="0" applyFill="0" applyBorder="0" applyAlignment="0" applyProtection="0">
      <alignment horizontal="center"/>
    </xf>
    <xf numFmtId="186" fontId="140" fillId="3" borderId="4027">
      <alignment horizontal="center" vertical="center"/>
    </xf>
    <xf numFmtId="0" fontId="210" fillId="0" borderId="3735" applyNumberFormat="0" applyFill="0" applyBorder="0" applyAlignment="0">
      <protection locked="0"/>
    </xf>
    <xf numFmtId="264" fontId="12" fillId="14" borderId="3735" applyFont="0" applyFill="0" applyBorder="0" applyAlignment="0" applyProtection="0">
      <alignment horizontal="right"/>
    </xf>
    <xf numFmtId="0" fontId="101" fillId="0" borderId="4095" applyBorder="0"/>
    <xf numFmtId="192" fontId="9" fillId="3" borderId="3843">
      <alignment horizontal="right" vertical="center"/>
    </xf>
    <xf numFmtId="0" fontId="166" fillId="0" borderId="3735">
      <alignment horizontal="center"/>
    </xf>
    <xf numFmtId="0" fontId="165" fillId="0" borderId="3735" applyFill="0" applyProtection="0">
      <alignment horizontal="center"/>
    </xf>
    <xf numFmtId="0" fontId="113" fillId="0" borderId="4095" applyNumberFormat="0" applyFill="0" applyAlignment="0" applyProtection="0"/>
    <xf numFmtId="186" fontId="140" fillId="3" borderId="3655">
      <alignment horizontal="center" vertical="center"/>
    </xf>
    <xf numFmtId="186" fontId="146" fillId="3" borderId="3582">
      <alignment horizontal="left"/>
    </xf>
    <xf numFmtId="186" fontId="146" fillId="3" borderId="3735" applyBorder="0">
      <alignment horizontal="left" vertical="center"/>
    </xf>
    <xf numFmtId="180" fontId="9" fillId="3" borderId="3735">
      <alignment horizontal="right" vertical="center"/>
    </xf>
    <xf numFmtId="192" fontId="9" fillId="3" borderId="3735">
      <alignment horizontal="right" vertical="center"/>
    </xf>
    <xf numFmtId="0" fontId="101" fillId="0" borderId="3735" applyBorder="0"/>
    <xf numFmtId="248" fontId="46" fillId="0" borderId="3891"/>
    <xf numFmtId="246" fontId="249" fillId="0" borderId="3735" applyFill="0" applyProtection="0">
      <alignment horizontal="center"/>
    </xf>
    <xf numFmtId="248" fontId="46" fillId="0" borderId="3735"/>
    <xf numFmtId="0" fontId="78" fillId="14" borderId="3689" applyFont="0" applyFill="0" applyBorder="0" applyAlignment="0" applyProtection="0"/>
    <xf numFmtId="0" fontId="12" fillId="0" borderId="3735" applyNumberFormat="0" applyFill="0" applyBorder="0" applyAlignment="0" applyProtection="0">
      <alignment horizontal="center"/>
    </xf>
    <xf numFmtId="186" fontId="146" fillId="3" borderId="3903" applyBorder="0">
      <alignment horizontal="left" vertical="center"/>
    </xf>
    <xf numFmtId="0" fontId="75" fillId="0" borderId="3580" applyNumberFormat="0" applyFont="0" applyFill="0" applyAlignment="0" applyProtection="0"/>
    <xf numFmtId="0" fontId="113" fillId="0" borderId="3735" applyNumberFormat="0" applyFill="0" applyAlignment="0" applyProtection="0"/>
    <xf numFmtId="186" fontId="146" fillId="3" borderId="4026">
      <alignment horizontal="left"/>
    </xf>
    <xf numFmtId="0" fontId="75" fillId="0" borderId="4024" applyNumberFormat="0" applyFont="0" applyFill="0" applyAlignment="0" applyProtection="0"/>
    <xf numFmtId="222" fontId="79" fillId="0" borderId="3734" applyBorder="0"/>
    <xf numFmtId="0" fontId="101" fillId="0" borderId="3735" applyBorder="0"/>
    <xf numFmtId="186" fontId="146" fillId="3" borderId="4023" applyBorder="0">
      <alignment horizontal="left" vertical="center"/>
    </xf>
    <xf numFmtId="0" fontId="101" fillId="0" borderId="4023" applyBorder="0"/>
    <xf numFmtId="0" fontId="25" fillId="10" borderId="3742" applyNumberFormat="0" applyProtection="0">
      <alignment horizontal="left" vertical="top"/>
    </xf>
    <xf numFmtId="0" fontId="25" fillId="10" borderId="3743" applyNumberFormat="0" applyProtection="0">
      <alignment horizontal="left" vertical="top"/>
    </xf>
    <xf numFmtId="0" fontId="25" fillId="10" borderId="3744" applyNumberFormat="0" applyProtection="0">
      <alignment horizontal="left" vertical="top"/>
    </xf>
    <xf numFmtId="0" fontId="25" fillId="10" borderId="3745" applyNumberFormat="0" applyProtection="0">
      <alignment horizontal="left" vertical="top"/>
    </xf>
    <xf numFmtId="0" fontId="113" fillId="0" borderId="3843" applyNumberFormat="0" applyFill="0" applyAlignment="0" applyProtection="0"/>
    <xf numFmtId="222" fontId="79" fillId="0" borderId="3854" applyBorder="0"/>
    <xf numFmtId="0" fontId="25" fillId="10" borderId="3850" applyNumberFormat="0" applyProtection="0">
      <alignment horizontal="left" vertical="top"/>
    </xf>
    <xf numFmtId="0" fontId="165" fillId="0" borderId="3855" applyFill="0" applyProtection="0">
      <alignment horizontal="center"/>
    </xf>
    <xf numFmtId="0" fontId="25" fillId="10" borderId="3863" applyNumberFormat="0" applyProtection="0">
      <alignment horizontal="left" vertical="top"/>
    </xf>
    <xf numFmtId="222" fontId="79" fillId="0" borderId="3854" applyBorder="0"/>
    <xf numFmtId="0" fontId="2" fillId="0" borderId="3848" applyNumberFormat="0" applyAlignment="0" applyProtection="0"/>
    <xf numFmtId="0" fontId="25" fillId="10" borderId="3853" applyNumberFormat="0" applyProtection="0">
      <alignment horizontal="left" vertical="top"/>
    </xf>
    <xf numFmtId="246" fontId="250" fillId="0" borderId="3699" applyFill="0" applyProtection="0">
      <alignment horizontal="center"/>
    </xf>
    <xf numFmtId="246" fontId="249" fillId="0" borderId="3699" applyFill="0" applyProtection="0">
      <alignment horizontal="center"/>
    </xf>
    <xf numFmtId="0" fontId="241" fillId="94" borderId="3699" applyBorder="0" applyProtection="0">
      <alignment horizontal="centerContinuous" vertical="center"/>
    </xf>
    <xf numFmtId="254" fontId="240" fillId="0" borderId="3699" applyBorder="0" applyProtection="0">
      <alignment horizontal="right" vertical="center"/>
    </xf>
    <xf numFmtId="0" fontId="210" fillId="0" borderId="3699" applyNumberFormat="0" applyFill="0" applyBorder="0" applyAlignment="0">
      <protection locked="0"/>
    </xf>
    <xf numFmtId="264" fontId="12" fillId="14" borderId="3699" applyFont="0" applyFill="0" applyBorder="0" applyAlignment="0" applyProtection="0">
      <alignment horizontal="right"/>
    </xf>
    <xf numFmtId="0" fontId="166" fillId="0" borderId="3699">
      <alignment horizontal="center"/>
    </xf>
    <xf numFmtId="0" fontId="165" fillId="0" borderId="3699" applyFill="0" applyProtection="0">
      <alignment horizontal="center"/>
    </xf>
    <xf numFmtId="186" fontId="146" fillId="3" borderId="3699" applyBorder="0">
      <alignment horizontal="left" vertical="center"/>
    </xf>
    <xf numFmtId="180" fontId="9" fillId="3" borderId="3699">
      <alignment horizontal="right" vertical="center"/>
    </xf>
    <xf numFmtId="192" fontId="9" fillId="3" borderId="3699">
      <alignment horizontal="right" vertical="center"/>
    </xf>
    <xf numFmtId="248" fontId="46" fillId="0" borderId="3699"/>
    <xf numFmtId="0" fontId="12" fillId="0" borderId="3699" applyNumberFormat="0" applyFill="0" applyBorder="0" applyAlignment="0" applyProtection="0">
      <alignment horizontal="center"/>
    </xf>
    <xf numFmtId="0" fontId="113" fillId="0" borderId="3699" applyNumberFormat="0" applyFill="0" applyAlignment="0" applyProtection="0"/>
    <xf numFmtId="222" fontId="79" fillId="0" borderId="3686" applyBorder="0"/>
    <xf numFmtId="0" fontId="101" fillId="0" borderId="3699" applyBorder="0"/>
    <xf numFmtId="246" fontId="250" fillId="0" borderId="3699" applyFill="0" applyProtection="0">
      <alignment horizontal="center"/>
    </xf>
    <xf numFmtId="246" fontId="249" fillId="0" borderId="3699" applyFill="0" applyProtection="0">
      <alignment horizontal="center"/>
    </xf>
    <xf numFmtId="0" fontId="241" fillId="94" borderId="3699" applyBorder="0" applyProtection="0">
      <alignment horizontal="centerContinuous" vertical="center"/>
    </xf>
    <xf numFmtId="254" fontId="240" fillId="0" borderId="3699" applyBorder="0" applyProtection="0">
      <alignment horizontal="right" vertical="center"/>
    </xf>
    <xf numFmtId="248" fontId="46" fillId="0" borderId="4023"/>
    <xf numFmtId="0" fontId="25" fillId="10" borderId="3372" applyNumberFormat="0" applyProtection="0">
      <alignment horizontal="left" vertical="top"/>
    </xf>
    <xf numFmtId="192" fontId="9" fillId="3" borderId="4023">
      <alignment horizontal="right" vertical="center"/>
    </xf>
    <xf numFmtId="0" fontId="210" fillId="0" borderId="3699" applyNumberFormat="0" applyFill="0" applyBorder="0" applyAlignment="0">
      <protection locked="0"/>
    </xf>
    <xf numFmtId="264" fontId="12" fillId="14" borderId="3699" applyFont="0" applyFill="0" applyBorder="0" applyAlignment="0" applyProtection="0">
      <alignment horizontal="right"/>
    </xf>
    <xf numFmtId="0" fontId="166" fillId="0" borderId="3699">
      <alignment horizontal="center"/>
    </xf>
    <xf numFmtId="0" fontId="165" fillId="0" borderId="3699" applyFill="0" applyProtection="0">
      <alignment horizontal="center"/>
    </xf>
    <xf numFmtId="186" fontId="146" fillId="3" borderId="3699" applyBorder="0">
      <alignment horizontal="left" vertical="center"/>
    </xf>
    <xf numFmtId="180" fontId="9" fillId="3" borderId="3699">
      <alignment horizontal="right" vertical="center"/>
    </xf>
    <xf numFmtId="192" fontId="9" fillId="3" borderId="3699">
      <alignment horizontal="right" vertical="center"/>
    </xf>
    <xf numFmtId="0" fontId="12" fillId="0" borderId="3699" applyNumberFormat="0" applyFill="0" applyBorder="0" applyAlignment="0" applyProtection="0">
      <alignment horizontal="center"/>
    </xf>
    <xf numFmtId="180" fontId="9" fillId="3" borderId="3903">
      <alignment horizontal="right" vertical="center"/>
    </xf>
    <xf numFmtId="0" fontId="113" fillId="0" borderId="3699" applyNumberFormat="0" applyFill="0" applyAlignment="0" applyProtection="0"/>
    <xf numFmtId="264" fontId="12" fillId="14" borderId="4095" applyFont="0" applyFill="0" applyBorder="0" applyAlignment="0" applyProtection="0">
      <alignment horizontal="right"/>
    </xf>
    <xf numFmtId="0" fontId="78" fillId="14" borderId="4025" applyFont="0" applyFill="0" applyBorder="0" applyAlignment="0" applyProtection="0"/>
    <xf numFmtId="222" fontId="79" fillId="0" borderId="3686" applyBorder="0"/>
    <xf numFmtId="0" fontId="101" fillId="0" borderId="3699" applyBorder="0"/>
    <xf numFmtId="248" fontId="46" fillId="0" borderId="3699"/>
    <xf numFmtId="246" fontId="250" fillId="0" borderId="3699" applyFill="0" applyProtection="0">
      <alignment horizontal="center"/>
    </xf>
    <xf numFmtId="246" fontId="249" fillId="0" borderId="3699" applyFill="0" applyProtection="0">
      <alignment horizontal="center"/>
    </xf>
    <xf numFmtId="0" fontId="241" fillId="94" borderId="3699" applyBorder="0" applyProtection="0">
      <alignment horizontal="centerContinuous" vertical="center"/>
    </xf>
    <xf numFmtId="254" fontId="240" fillId="0" borderId="3699" applyBorder="0" applyProtection="0">
      <alignment horizontal="right" vertical="center"/>
    </xf>
    <xf numFmtId="0" fontId="210" fillId="0" borderId="3699" applyNumberFormat="0" applyFill="0" applyBorder="0" applyAlignment="0">
      <protection locked="0"/>
    </xf>
    <xf numFmtId="264" fontId="12" fillId="14" borderId="3699" applyFont="0" applyFill="0" applyBorder="0" applyAlignment="0" applyProtection="0">
      <alignment horizontal="right"/>
    </xf>
    <xf numFmtId="0" fontId="166" fillId="0" borderId="3699">
      <alignment horizontal="center"/>
    </xf>
    <xf numFmtId="0" fontId="165" fillId="0" borderId="3699" applyFill="0" applyProtection="0">
      <alignment horizontal="center"/>
    </xf>
    <xf numFmtId="186" fontId="146" fillId="3" borderId="3699" applyBorder="0">
      <alignment horizontal="left" vertical="center"/>
    </xf>
    <xf numFmtId="180" fontId="9" fillId="3" borderId="3699">
      <alignment horizontal="right" vertical="center"/>
    </xf>
    <xf numFmtId="192" fontId="9" fillId="3" borderId="3699">
      <alignment horizontal="right" vertical="center"/>
    </xf>
    <xf numFmtId="248" fontId="46" fillId="0" borderId="3699"/>
    <xf numFmtId="0" fontId="12" fillId="0" borderId="3699" applyNumberFormat="0" applyFill="0" applyBorder="0" applyAlignment="0" applyProtection="0">
      <alignment horizontal="center"/>
    </xf>
    <xf numFmtId="0" fontId="113" fillId="0" borderId="3699" applyNumberFormat="0" applyFill="0" applyAlignment="0" applyProtection="0"/>
    <xf numFmtId="222" fontId="79" fillId="0" borderId="3686" applyBorder="0"/>
    <xf numFmtId="0" fontId="101" fillId="0" borderId="3699" applyBorder="0"/>
    <xf numFmtId="246" fontId="250" fillId="0" borderId="3843" applyFill="0" applyProtection="0">
      <alignment horizontal="center"/>
    </xf>
    <xf numFmtId="0" fontId="166" fillId="0" borderId="3915">
      <alignment horizontal="center"/>
    </xf>
    <xf numFmtId="222" fontId="79" fillId="0" borderId="3734" applyBorder="0"/>
    <xf numFmtId="192" fontId="9" fillId="3" borderId="4095">
      <alignment horizontal="right" vertical="center"/>
    </xf>
    <xf numFmtId="222" fontId="79" fillId="0" borderId="3746" applyBorder="0"/>
    <xf numFmtId="0" fontId="101" fillId="0" borderId="3747" applyBorder="0"/>
    <xf numFmtId="222" fontId="79" fillId="0" borderId="3746" applyBorder="0"/>
    <xf numFmtId="0" fontId="113" fillId="0" borderId="3747" applyNumberFormat="0" applyFill="0" applyAlignment="0" applyProtection="0"/>
    <xf numFmtId="0" fontId="12" fillId="0" borderId="3747" applyNumberFormat="0" applyFill="0" applyBorder="0" applyAlignment="0" applyProtection="0">
      <alignment horizontal="center"/>
    </xf>
    <xf numFmtId="248" fontId="46" fillId="0" borderId="3747"/>
    <xf numFmtId="192" fontId="9" fillId="3" borderId="3747">
      <alignment horizontal="right" vertical="center"/>
    </xf>
    <xf numFmtId="180" fontId="9" fillId="3" borderId="3747">
      <alignment horizontal="right" vertical="center"/>
    </xf>
    <xf numFmtId="186" fontId="146" fillId="3" borderId="3747" applyBorder="0">
      <alignment horizontal="left" vertical="center"/>
    </xf>
    <xf numFmtId="0" fontId="165" fillId="0" borderId="3747" applyFill="0" applyProtection="0">
      <alignment horizontal="center"/>
    </xf>
    <xf numFmtId="0" fontId="166" fillId="0" borderId="3747">
      <alignment horizontal="center"/>
    </xf>
    <xf numFmtId="264" fontId="12" fillId="14" borderId="3747" applyFont="0" applyFill="0" applyBorder="0" applyAlignment="0" applyProtection="0">
      <alignment horizontal="right"/>
    </xf>
    <xf numFmtId="0" fontId="210" fillId="0" borderId="3747" applyNumberFormat="0" applyFill="0" applyBorder="0" applyAlignment="0">
      <protection locked="0"/>
    </xf>
    <xf numFmtId="254" fontId="240" fillId="0" borderId="3747" applyBorder="0" applyProtection="0">
      <alignment horizontal="right" vertical="center"/>
    </xf>
    <xf numFmtId="0" fontId="241" fillId="94" borderId="3747" applyBorder="0" applyProtection="0">
      <alignment horizontal="centerContinuous" vertical="center"/>
    </xf>
    <xf numFmtId="246" fontId="249" fillId="0" borderId="3747" applyFill="0" applyProtection="0">
      <alignment horizontal="center"/>
    </xf>
    <xf numFmtId="246" fontId="250" fillId="0" borderId="3747" applyFill="0" applyProtection="0">
      <alignment horizontal="center"/>
    </xf>
    <xf numFmtId="0" fontId="78" fillId="14" borderId="3749" applyFont="0" applyFill="0" applyBorder="0" applyAlignment="0" applyProtection="0"/>
    <xf numFmtId="0" fontId="25" fillId="10" borderId="3757" applyNumberFormat="0" applyProtection="0">
      <alignment horizontal="left" vertical="top"/>
    </xf>
    <xf numFmtId="0" fontId="25" fillId="10" borderId="3756" applyNumberFormat="0" applyProtection="0">
      <alignment horizontal="left" vertical="top"/>
    </xf>
    <xf numFmtId="0" fontId="25" fillId="10" borderId="3755" applyNumberFormat="0" applyProtection="0">
      <alignment horizontal="left" vertical="top"/>
    </xf>
    <xf numFmtId="0" fontId="25" fillId="10" borderId="3754" applyNumberFormat="0" applyProtection="0">
      <alignment horizontal="left" vertical="top"/>
    </xf>
    <xf numFmtId="0" fontId="214" fillId="0" borderId="3753" applyNumberFormat="0" applyFont="0" applyFill="0" applyAlignment="0" applyProtection="0"/>
    <xf numFmtId="0" fontId="2" fillId="0" borderId="3752" applyNumberFormat="0" applyAlignment="0" applyProtection="0"/>
    <xf numFmtId="186" fontId="140" fillId="3" borderId="3751">
      <alignment horizontal="center" vertical="center"/>
    </xf>
    <xf numFmtId="186" fontId="146" fillId="3" borderId="3750">
      <alignment horizontal="left"/>
    </xf>
    <xf numFmtId="0" fontId="75" fillId="0" borderId="3748" applyNumberFormat="0" applyFont="0" applyFill="0" applyAlignment="0" applyProtection="0"/>
    <xf numFmtId="222" fontId="79" fillId="0" borderId="3758" applyBorder="0"/>
    <xf numFmtId="0" fontId="101" fillId="0" borderId="3759" applyBorder="0"/>
    <xf numFmtId="222" fontId="79" fillId="0" borderId="3758" applyBorder="0"/>
    <xf numFmtId="0" fontId="113" fillId="0" borderId="3759" applyNumberFormat="0" applyFill="0" applyAlignment="0" applyProtection="0"/>
    <xf numFmtId="0" fontId="12" fillId="0" borderId="3759" applyNumberFormat="0" applyFill="0" applyBorder="0" applyAlignment="0" applyProtection="0">
      <alignment horizontal="center"/>
    </xf>
    <xf numFmtId="248" fontId="46" fillId="0" borderId="3759"/>
    <xf numFmtId="192" fontId="9" fillId="3" borderId="3759">
      <alignment horizontal="right" vertical="center"/>
    </xf>
    <xf numFmtId="180" fontId="9" fillId="3" borderId="3759">
      <alignment horizontal="right" vertical="center"/>
    </xf>
    <xf numFmtId="186" fontId="146" fillId="3" borderId="3759" applyBorder="0">
      <alignment horizontal="left" vertical="center"/>
    </xf>
    <xf numFmtId="0" fontId="165" fillId="0" borderId="3759" applyFill="0" applyProtection="0">
      <alignment horizontal="center"/>
    </xf>
    <xf numFmtId="0" fontId="166" fillId="0" borderId="3759">
      <alignment horizontal="center"/>
    </xf>
    <xf numFmtId="264" fontId="12" fillId="14" borderId="3759" applyFont="0" applyFill="0" applyBorder="0" applyAlignment="0" applyProtection="0">
      <alignment horizontal="right"/>
    </xf>
    <xf numFmtId="0" fontId="210" fillId="0" borderId="3759" applyNumberFormat="0" applyFill="0" applyBorder="0" applyAlignment="0">
      <protection locked="0"/>
    </xf>
    <xf numFmtId="254" fontId="240" fillId="0" borderId="3759" applyBorder="0" applyProtection="0">
      <alignment horizontal="right" vertical="center"/>
    </xf>
    <xf numFmtId="0" fontId="241" fillId="94" borderId="3759" applyBorder="0" applyProtection="0">
      <alignment horizontal="centerContinuous" vertical="center"/>
    </xf>
    <xf numFmtId="246" fontId="249" fillId="0" borderId="3759" applyFill="0" applyProtection="0">
      <alignment horizontal="center"/>
    </xf>
    <xf numFmtId="246" fontId="250" fillId="0" borderId="3759" applyFill="0" applyProtection="0">
      <alignment horizontal="center"/>
    </xf>
    <xf numFmtId="186" fontId="146" fillId="3" borderId="3762">
      <alignment horizontal="left"/>
    </xf>
    <xf numFmtId="0" fontId="75" fillId="0" borderId="3760" applyNumberFormat="0" applyFont="0" applyFill="0" applyAlignment="0" applyProtection="0"/>
    <xf numFmtId="0" fontId="113" fillId="0" borderId="3843" applyNumberFormat="0" applyFill="0" applyAlignment="0" applyProtection="0"/>
    <xf numFmtId="264" fontId="12" fillId="14" borderId="3843" applyFont="0" applyFill="0" applyBorder="0" applyAlignment="0" applyProtection="0">
      <alignment horizontal="right"/>
    </xf>
    <xf numFmtId="246" fontId="249" fillId="0" borderId="3843" applyFill="0" applyProtection="0">
      <alignment horizontal="center"/>
    </xf>
    <xf numFmtId="0" fontId="25" fillId="10" borderId="3769" applyNumberFormat="0" applyProtection="0">
      <alignment horizontal="left" vertical="top"/>
    </xf>
    <xf numFmtId="0" fontId="25" fillId="10" borderId="3767" applyNumberFormat="0" applyProtection="0">
      <alignment horizontal="left" vertical="top"/>
    </xf>
    <xf numFmtId="0" fontId="25" fillId="10" borderId="3768" applyNumberFormat="0" applyProtection="0">
      <alignment horizontal="left" vertical="top"/>
    </xf>
    <xf numFmtId="0" fontId="25" fillId="10" borderId="3766" applyNumberFormat="0" applyProtection="0">
      <alignment horizontal="left" vertical="top"/>
    </xf>
    <xf numFmtId="0" fontId="25" fillId="10" borderId="3769" applyNumberFormat="0" applyProtection="0">
      <alignment horizontal="left" vertical="top"/>
    </xf>
    <xf numFmtId="0" fontId="25" fillId="10" borderId="3768" applyNumberFormat="0" applyProtection="0">
      <alignment horizontal="left" vertical="top"/>
    </xf>
    <xf numFmtId="0" fontId="25" fillId="10" borderId="3767" applyNumberFormat="0" applyProtection="0">
      <alignment horizontal="left" vertical="top"/>
    </xf>
    <xf numFmtId="0" fontId="25" fillId="10" borderId="3766" applyNumberFormat="0" applyProtection="0">
      <alignment horizontal="left" vertical="top"/>
    </xf>
    <xf numFmtId="0" fontId="214" fillId="0" borderId="3765" applyNumberFormat="0" applyFont="0" applyFill="0" applyAlignment="0" applyProtection="0"/>
    <xf numFmtId="0" fontId="2" fillId="0" borderId="3764" applyNumberFormat="0" applyAlignment="0" applyProtection="0"/>
    <xf numFmtId="186" fontId="140" fillId="3" borderId="3763">
      <alignment horizontal="center" vertical="center"/>
    </xf>
    <xf numFmtId="186" fontId="140" fillId="3" borderId="3775">
      <alignment horizontal="center" vertical="center"/>
    </xf>
    <xf numFmtId="0" fontId="25" fillId="10" borderId="3778" applyNumberFormat="0" applyProtection="0">
      <alignment horizontal="left" vertical="top"/>
    </xf>
    <xf numFmtId="0" fontId="12" fillId="0" borderId="3843" applyNumberFormat="0" applyFill="0" applyBorder="0" applyAlignment="0" applyProtection="0">
      <alignment horizontal="center"/>
    </xf>
    <xf numFmtId="0" fontId="25" fillId="10" borderId="3840" applyNumberFormat="0" applyProtection="0">
      <alignment horizontal="left" vertical="top"/>
    </xf>
    <xf numFmtId="222" fontId="79" fillId="0" borderId="3830" applyBorder="0"/>
    <xf numFmtId="0" fontId="78" fillId="14" borderId="3833" applyFont="0" applyFill="0" applyBorder="0" applyAlignment="0" applyProtection="0"/>
    <xf numFmtId="222" fontId="79" fillId="0" borderId="3842" applyBorder="0"/>
    <xf numFmtId="0" fontId="101" fillId="0" borderId="3843" applyBorder="0"/>
    <xf numFmtId="222" fontId="79" fillId="0" borderId="3842" applyBorder="0"/>
    <xf numFmtId="248" fontId="46" fillId="0" borderId="3843"/>
    <xf numFmtId="192" fontId="9" fillId="3" borderId="3843">
      <alignment horizontal="right" vertical="center"/>
    </xf>
    <xf numFmtId="180" fontId="9" fillId="3" borderId="3843">
      <alignment horizontal="right" vertical="center"/>
    </xf>
    <xf numFmtId="186" fontId="146" fillId="3" borderId="3843" applyBorder="0">
      <alignment horizontal="left" vertical="center"/>
    </xf>
    <xf numFmtId="0" fontId="165" fillId="0" borderId="3843" applyFill="0" applyProtection="0">
      <alignment horizontal="center"/>
    </xf>
    <xf numFmtId="0" fontId="210" fillId="0" borderId="3843" applyNumberFormat="0" applyFill="0" applyBorder="0" applyAlignment="0">
      <protection locked="0"/>
    </xf>
    <xf numFmtId="254" fontId="240" fillId="0" borderId="3843" applyBorder="0" applyProtection="0">
      <alignment horizontal="right" vertical="center"/>
    </xf>
    <xf numFmtId="246" fontId="250" fillId="0" borderId="3843" applyFill="0" applyProtection="0">
      <alignment horizontal="center"/>
    </xf>
    <xf numFmtId="222" fontId="79" fillId="0" borderId="3782" applyBorder="0"/>
    <xf numFmtId="0" fontId="25" fillId="10" borderId="3779" applyNumberFormat="0" applyProtection="0">
      <alignment horizontal="left" vertical="top"/>
    </xf>
    <xf numFmtId="0" fontId="25" fillId="10" borderId="3781" applyNumberFormat="0" applyProtection="0">
      <alignment horizontal="left" vertical="top"/>
    </xf>
    <xf numFmtId="0" fontId="25" fillId="10" borderId="3778" applyNumberFormat="0" applyProtection="0">
      <alignment horizontal="left" vertical="top"/>
    </xf>
    <xf numFmtId="0" fontId="25" fillId="10" borderId="3779" applyNumberFormat="0" applyProtection="0">
      <alignment horizontal="left" vertical="top"/>
    </xf>
    <xf numFmtId="0" fontId="25" fillId="10" borderId="3780" applyNumberFormat="0" applyProtection="0">
      <alignment horizontal="left" vertical="top"/>
    </xf>
    <xf numFmtId="0" fontId="75" fillId="0" borderId="3784" applyNumberFormat="0" applyFont="0" applyFill="0" applyAlignment="0" applyProtection="0"/>
    <xf numFmtId="0" fontId="101" fillId="0" borderId="3795" applyBorder="0"/>
    <xf numFmtId="222" fontId="79" fillId="0" borderId="3794" applyBorder="0"/>
    <xf numFmtId="0" fontId="113" fillId="0" borderId="3795" applyNumberFormat="0" applyFill="0" applyAlignment="0" applyProtection="0"/>
    <xf numFmtId="0" fontId="12" fillId="0" borderId="3795" applyNumberFormat="0" applyFill="0" applyBorder="0" applyAlignment="0" applyProtection="0">
      <alignment horizontal="center"/>
    </xf>
    <xf numFmtId="248" fontId="46" fillId="0" borderId="3795"/>
    <xf numFmtId="192" fontId="9" fillId="3" borderId="3795">
      <alignment horizontal="right" vertical="center"/>
    </xf>
    <xf numFmtId="180" fontId="9" fillId="3" borderId="3795">
      <alignment horizontal="right" vertical="center"/>
    </xf>
    <xf numFmtId="186" fontId="146" fillId="3" borderId="3795" applyBorder="0">
      <alignment horizontal="left" vertical="center"/>
    </xf>
    <xf numFmtId="0" fontId="166" fillId="0" borderId="3795">
      <alignment horizontal="center"/>
    </xf>
    <xf numFmtId="0" fontId="210" fillId="0" borderId="3795" applyNumberFormat="0" applyFill="0" applyBorder="0" applyAlignment="0">
      <protection locked="0"/>
    </xf>
    <xf numFmtId="264" fontId="12" fillId="14" borderId="3795" applyFont="0" applyFill="0" applyBorder="0" applyAlignment="0" applyProtection="0">
      <alignment horizontal="right"/>
    </xf>
    <xf numFmtId="246" fontId="249" fillId="0" borderId="3795" applyFill="0" applyProtection="0">
      <alignment horizontal="center"/>
    </xf>
    <xf numFmtId="246" fontId="250" fillId="0" borderId="3795" applyFill="0" applyProtection="0">
      <alignment horizontal="center"/>
    </xf>
    <xf numFmtId="246" fontId="250" fillId="0" borderId="3819" applyFill="0" applyProtection="0">
      <alignment horizontal="center"/>
    </xf>
    <xf numFmtId="246" fontId="249" fillId="0" borderId="3819" applyFill="0" applyProtection="0">
      <alignment horizontal="center"/>
    </xf>
    <xf numFmtId="254" fontId="240" fillId="0" borderId="3819" applyBorder="0" applyProtection="0">
      <alignment horizontal="right" vertical="center"/>
    </xf>
    <xf numFmtId="264" fontId="12" fillId="14" borderId="3819" applyFont="0" applyFill="0" applyBorder="0" applyAlignment="0" applyProtection="0">
      <alignment horizontal="right"/>
    </xf>
    <xf numFmtId="0" fontId="165" fillId="0" borderId="3819" applyFill="0" applyProtection="0">
      <alignment horizontal="center"/>
    </xf>
    <xf numFmtId="180" fontId="9" fillId="3" borderId="3819">
      <alignment horizontal="right" vertical="center"/>
    </xf>
    <xf numFmtId="0" fontId="12" fillId="0" borderId="3819" applyNumberFormat="0" applyFill="0" applyBorder="0" applyAlignment="0" applyProtection="0">
      <alignment horizontal="center"/>
    </xf>
    <xf numFmtId="0" fontId="101" fillId="0" borderId="3819" applyBorder="0"/>
    <xf numFmtId="222" fontId="79" fillId="0" borderId="3818" applyBorder="0"/>
    <xf numFmtId="0" fontId="75" fillId="0" borderId="3808" applyNumberFormat="0" applyFont="0" applyFill="0" applyAlignment="0" applyProtection="0"/>
    <xf numFmtId="0" fontId="2" fillId="0" borderId="3812" applyNumberFormat="0" applyAlignment="0" applyProtection="0"/>
    <xf numFmtId="0" fontId="25" fillId="10" borderId="3814" applyNumberFormat="0" applyProtection="0">
      <alignment horizontal="left" vertical="top"/>
    </xf>
    <xf numFmtId="0" fontId="25" fillId="10" borderId="3817" applyNumberFormat="0" applyProtection="0">
      <alignment horizontal="left" vertical="top"/>
    </xf>
    <xf numFmtId="222" fontId="79" fillId="0" borderId="3806" applyBorder="0"/>
    <xf numFmtId="0" fontId="25" fillId="10" borderId="3792" applyNumberFormat="0" applyProtection="0">
      <alignment horizontal="left" vertical="top"/>
    </xf>
    <xf numFmtId="0" fontId="25" fillId="10" borderId="3790" applyNumberFormat="0" applyProtection="0">
      <alignment horizontal="left" vertical="top"/>
    </xf>
    <xf numFmtId="0" fontId="214" fillId="0" borderId="3789" applyNumberFormat="0" applyFont="0" applyFill="0" applyAlignment="0" applyProtection="0"/>
    <xf numFmtId="186" fontId="146" fillId="3" borderId="3786">
      <alignment horizontal="left"/>
    </xf>
    <xf numFmtId="222" fontId="79" fillId="0" borderId="3794" applyBorder="0"/>
    <xf numFmtId="0" fontId="101" fillId="0" borderId="3699" applyBorder="0"/>
    <xf numFmtId="0" fontId="113" fillId="0" borderId="3699" applyNumberFormat="0" applyFill="0" applyAlignment="0" applyProtection="0"/>
    <xf numFmtId="0" fontId="12" fillId="0" borderId="3699" applyNumberFormat="0" applyFill="0" applyBorder="0" applyAlignment="0" applyProtection="0">
      <alignment horizontal="center"/>
    </xf>
    <xf numFmtId="248" fontId="46" fillId="0" borderId="3699"/>
    <xf numFmtId="192" fontId="9" fillId="3" borderId="3699">
      <alignment horizontal="right" vertical="center"/>
    </xf>
    <xf numFmtId="180" fontId="9" fillId="3" borderId="3699">
      <alignment horizontal="right" vertical="center"/>
    </xf>
    <xf numFmtId="186" fontId="146" fillId="3" borderId="3699" applyBorder="0">
      <alignment horizontal="left" vertical="center"/>
    </xf>
    <xf numFmtId="0" fontId="165" fillId="0" borderId="3699" applyFill="0" applyProtection="0">
      <alignment horizontal="center"/>
    </xf>
    <xf numFmtId="0" fontId="166" fillId="0" borderId="3699">
      <alignment horizontal="center"/>
    </xf>
    <xf numFmtId="264" fontId="12" fillId="14" borderId="3699" applyFont="0" applyFill="0" applyBorder="0" applyAlignment="0" applyProtection="0">
      <alignment horizontal="right"/>
    </xf>
    <xf numFmtId="0" fontId="210" fillId="0" borderId="3699" applyNumberFormat="0" applyFill="0" applyBorder="0" applyAlignment="0">
      <protection locked="0"/>
    </xf>
    <xf numFmtId="248" fontId="46" fillId="0" borderId="3819"/>
    <xf numFmtId="222" fontId="79" fillId="0" borderId="3818" applyBorder="0"/>
    <xf numFmtId="186" fontId="140" fillId="3" borderId="3811">
      <alignment horizontal="center" vertical="center"/>
    </xf>
    <xf numFmtId="0" fontId="25" fillId="10" borderId="3816" applyNumberFormat="0" applyProtection="0">
      <alignment horizontal="left" vertical="top"/>
    </xf>
    <xf numFmtId="0" fontId="210" fillId="0" borderId="3819" applyNumberFormat="0" applyFill="0" applyBorder="0" applyAlignment="0">
      <protection locked="0"/>
    </xf>
    <xf numFmtId="192" fontId="9" fillId="3" borderId="3819">
      <alignment horizontal="right" vertical="center"/>
    </xf>
    <xf numFmtId="0" fontId="113" fillId="0" borderId="3819" applyNumberFormat="0" applyFill="0" applyAlignment="0" applyProtection="0"/>
    <xf numFmtId="186" fontId="146" fillId="3" borderId="3810">
      <alignment horizontal="left"/>
    </xf>
    <xf numFmtId="0" fontId="25" fillId="10" borderId="3815" applyNumberFormat="0" applyProtection="0">
      <alignment horizontal="left" vertical="top"/>
    </xf>
    <xf numFmtId="254" fontId="240" fillId="0" borderId="3699" applyBorder="0" applyProtection="0">
      <alignment horizontal="right" vertical="center"/>
    </xf>
    <xf numFmtId="0" fontId="241" fillId="94" borderId="3699" applyBorder="0" applyProtection="0">
      <alignment horizontal="centerContinuous" vertical="center"/>
    </xf>
    <xf numFmtId="246" fontId="249" fillId="0" borderId="3699" applyFill="0" applyProtection="0">
      <alignment horizontal="center"/>
    </xf>
    <xf numFmtId="246" fontId="250" fillId="0" borderId="3699" applyFill="0" applyProtection="0">
      <alignment horizontal="center"/>
    </xf>
    <xf numFmtId="0" fontId="25" fillId="10" borderId="3839" applyNumberFormat="0" applyProtection="0">
      <alignment horizontal="left" vertical="top"/>
    </xf>
    <xf numFmtId="0" fontId="25" fillId="10" borderId="3841" applyNumberFormat="0" applyProtection="0">
      <alignment horizontal="left" vertical="top"/>
    </xf>
    <xf numFmtId="222" fontId="79" fillId="0" borderId="3770" applyBorder="0"/>
    <xf numFmtId="0" fontId="214" fillId="0" borderId="3837" applyNumberFormat="0" applyFont="0" applyFill="0" applyAlignment="0" applyProtection="0"/>
    <xf numFmtId="0" fontId="75" fillId="0" borderId="3772" applyNumberFormat="0" applyFont="0" applyFill="0" applyAlignment="0" applyProtection="0"/>
    <xf numFmtId="0" fontId="25" fillId="10" borderId="3780" applyNumberFormat="0" applyProtection="0">
      <alignment horizontal="left" vertical="top"/>
    </xf>
    <xf numFmtId="0" fontId="25" fillId="10" borderId="3781" applyNumberFormat="0" applyProtection="0">
      <alignment horizontal="left" vertical="top"/>
    </xf>
    <xf numFmtId="0" fontId="165" fillId="0" borderId="3795" applyFill="0" applyProtection="0">
      <alignment horizontal="center"/>
    </xf>
    <xf numFmtId="254" fontId="240" fillId="0" borderId="3795" applyBorder="0" applyProtection="0">
      <alignment horizontal="right" vertical="center"/>
    </xf>
    <xf numFmtId="0" fontId="241" fillId="94" borderId="3795" applyBorder="0" applyProtection="0">
      <alignment horizontal="centerContinuous" vertical="center"/>
    </xf>
    <xf numFmtId="0" fontId="241" fillId="94" borderId="3819" applyBorder="0" applyProtection="0">
      <alignment horizontal="centerContinuous" vertical="center"/>
    </xf>
    <xf numFmtId="0" fontId="166" fillId="0" borderId="3819">
      <alignment horizontal="center"/>
    </xf>
    <xf numFmtId="186" fontId="146" fillId="3" borderId="3819" applyBorder="0">
      <alignment horizontal="left" vertical="center"/>
    </xf>
    <xf numFmtId="0" fontId="214" fillId="0" borderId="3813" applyNumberFormat="0" applyFont="0" applyFill="0" applyAlignment="0" applyProtection="0"/>
    <xf numFmtId="0" fontId="78" fillId="14" borderId="3809" applyFont="0" applyFill="0" applyBorder="0" applyAlignment="0" applyProtection="0"/>
    <xf numFmtId="0" fontId="78" fillId="14" borderId="3737" applyFont="0" applyFill="0" applyBorder="0" applyAlignment="0" applyProtection="0"/>
    <xf numFmtId="0" fontId="25" fillId="10" borderId="3685" applyNumberFormat="0" applyProtection="0">
      <alignment horizontal="left" vertical="top"/>
    </xf>
    <xf numFmtId="0" fontId="25" fillId="10" borderId="3684" applyNumberFormat="0" applyProtection="0">
      <alignment horizontal="left" vertical="top"/>
    </xf>
    <xf numFmtId="0" fontId="25" fillId="10" borderId="3683" applyNumberFormat="0" applyProtection="0">
      <alignment horizontal="left" vertical="top"/>
    </xf>
    <xf numFmtId="0" fontId="25" fillId="10" borderId="3682" applyNumberFormat="0" applyProtection="0">
      <alignment horizontal="left" vertical="top"/>
    </xf>
    <xf numFmtId="186" fontId="140" fillId="3" borderId="3835">
      <alignment horizontal="center" vertical="center"/>
    </xf>
    <xf numFmtId="0" fontId="214" fillId="0" borderId="3681" applyNumberFormat="0" applyFont="0" applyFill="0" applyAlignment="0" applyProtection="0"/>
    <xf numFmtId="186" fontId="140" fillId="3" borderId="3655">
      <alignment horizontal="center" vertical="center"/>
    </xf>
    <xf numFmtId="186" fontId="146" fillId="3" borderId="3582">
      <alignment horizontal="left"/>
    </xf>
    <xf numFmtId="186" fontId="146" fillId="3" borderId="3834">
      <alignment horizontal="left"/>
    </xf>
    <xf numFmtId="0" fontId="75" fillId="0" borderId="3580" applyNumberFormat="0" applyFont="0" applyFill="0" applyAlignment="0" applyProtection="0"/>
    <xf numFmtId="0" fontId="75" fillId="0" borderId="3832" applyNumberFormat="0" applyFont="0" applyFill="0" applyAlignment="0" applyProtection="0"/>
    <xf numFmtId="222" fontId="79" fillId="0" borderId="3746" applyBorder="0"/>
    <xf numFmtId="222" fontId="79" fillId="0" borderId="3746" applyBorder="0"/>
    <xf numFmtId="0" fontId="25" fillId="10" borderId="3838" applyNumberFormat="0" applyProtection="0">
      <alignment horizontal="left" vertical="top"/>
    </xf>
    <xf numFmtId="0" fontId="2" fillId="0" borderId="3836" applyNumberFormat="0" applyAlignment="0" applyProtection="0"/>
    <xf numFmtId="246" fontId="250" fillId="0" borderId="3771" applyFill="0" applyProtection="0">
      <alignment horizontal="center"/>
    </xf>
    <xf numFmtId="246" fontId="249" fillId="0" borderId="3771" applyFill="0" applyProtection="0">
      <alignment horizontal="center"/>
    </xf>
    <xf numFmtId="0" fontId="241" fillId="94" borderId="3771" applyBorder="0" applyProtection="0">
      <alignment horizontal="centerContinuous" vertical="center"/>
    </xf>
    <xf numFmtId="254" fontId="240" fillId="0" borderId="3771" applyBorder="0" applyProtection="0">
      <alignment horizontal="right" vertical="center"/>
    </xf>
    <xf numFmtId="0" fontId="210" fillId="0" borderId="3771" applyNumberFormat="0" applyFill="0" applyBorder="0" applyAlignment="0">
      <protection locked="0"/>
    </xf>
    <xf numFmtId="264" fontId="12" fillId="14" borderId="3771" applyFont="0" applyFill="0" applyBorder="0" applyAlignment="0" applyProtection="0">
      <alignment horizontal="right"/>
    </xf>
    <xf numFmtId="0" fontId="166" fillId="0" borderId="3771">
      <alignment horizontal="center"/>
    </xf>
    <xf numFmtId="0" fontId="165" fillId="0" borderId="3771" applyFill="0" applyProtection="0">
      <alignment horizontal="center"/>
    </xf>
    <xf numFmtId="186" fontId="146" fillId="3" borderId="3771" applyBorder="0">
      <alignment horizontal="left" vertical="center"/>
    </xf>
    <xf numFmtId="180" fontId="9" fillId="3" borderId="3771">
      <alignment horizontal="right" vertical="center"/>
    </xf>
    <xf numFmtId="192" fontId="9" fillId="3" borderId="3771">
      <alignment horizontal="right" vertical="center"/>
    </xf>
    <xf numFmtId="248" fontId="46" fillId="0" borderId="3771"/>
    <xf numFmtId="0" fontId="12" fillId="0" borderId="3771" applyNumberFormat="0" applyFill="0" applyBorder="0" applyAlignment="0" applyProtection="0">
      <alignment horizontal="center"/>
    </xf>
    <xf numFmtId="0" fontId="113" fillId="0" borderId="3771" applyNumberFormat="0" applyFill="0" applyAlignment="0" applyProtection="0"/>
    <xf numFmtId="222" fontId="79" fillId="0" borderId="3770" applyBorder="0"/>
    <xf numFmtId="0" fontId="101" fillId="0" borderId="3771" applyBorder="0"/>
    <xf numFmtId="222" fontId="79" fillId="0" borderId="3770" applyBorder="0"/>
    <xf numFmtId="0" fontId="75" fillId="0" borderId="3760" applyNumberFormat="0" applyFont="0" applyFill="0" applyAlignment="0" applyProtection="0"/>
    <xf numFmtId="186" fontId="146" fillId="3" borderId="3762">
      <alignment horizontal="left"/>
    </xf>
    <xf numFmtId="186" fontId="140" fillId="3" borderId="3763">
      <alignment horizontal="center" vertical="center"/>
    </xf>
    <xf numFmtId="0" fontId="2" fillId="0" borderId="3764" applyNumberFormat="0" applyAlignment="0" applyProtection="0"/>
    <xf numFmtId="0" fontId="214" fillId="0" borderId="3765" applyNumberFormat="0" applyFont="0" applyFill="0" applyAlignment="0" applyProtection="0"/>
    <xf numFmtId="0" fontId="25" fillId="10" borderId="3766" applyNumberFormat="0" applyProtection="0">
      <alignment horizontal="left" vertical="top"/>
    </xf>
    <xf numFmtId="0" fontId="25" fillId="10" borderId="3767" applyNumberFormat="0" applyProtection="0">
      <alignment horizontal="left" vertical="top"/>
    </xf>
    <xf numFmtId="0" fontId="25" fillId="10" borderId="3768" applyNumberFormat="0" applyProtection="0">
      <alignment horizontal="left" vertical="top"/>
    </xf>
    <xf numFmtId="0" fontId="25" fillId="10" borderId="3769" applyNumberFormat="0" applyProtection="0">
      <alignment horizontal="left" vertical="top"/>
    </xf>
    <xf numFmtId="0" fontId="78" fillId="14" borderId="3761" applyFont="0" applyFill="0" applyBorder="0" applyAlignment="0" applyProtection="0"/>
    <xf numFmtId="222" fontId="79" fillId="0" borderId="3758" applyBorder="0"/>
    <xf numFmtId="0" fontId="78" fillId="14" borderId="3737" applyFont="0" applyFill="0" applyBorder="0" applyAlignment="0" applyProtection="0"/>
    <xf numFmtId="222" fontId="79" fillId="0" borderId="3746" applyBorder="0"/>
    <xf numFmtId="0" fontId="78" fillId="14" borderId="3749" applyFont="0" applyFill="0" applyBorder="0" applyAlignment="0" applyProtection="0"/>
    <xf numFmtId="0" fontId="25" fillId="10" borderId="3757" applyNumberFormat="0" applyProtection="0">
      <alignment horizontal="left" vertical="top"/>
    </xf>
    <xf numFmtId="0" fontId="25" fillId="10" borderId="3756" applyNumberFormat="0" applyProtection="0">
      <alignment horizontal="left" vertical="top"/>
    </xf>
    <xf numFmtId="0" fontId="25" fillId="10" borderId="3755" applyNumberFormat="0" applyProtection="0">
      <alignment horizontal="left" vertical="top"/>
    </xf>
    <xf numFmtId="0" fontId="25" fillId="10" borderId="3754" applyNumberFormat="0" applyProtection="0">
      <alignment horizontal="left" vertical="top"/>
    </xf>
    <xf numFmtId="0" fontId="214" fillId="0" borderId="3753" applyNumberFormat="0" applyFont="0" applyFill="0" applyAlignment="0" applyProtection="0"/>
    <xf numFmtId="186" fontId="140" fillId="3" borderId="3751">
      <alignment horizontal="center" vertical="center"/>
    </xf>
    <xf numFmtId="186" fontId="146" fillId="3" borderId="3750">
      <alignment horizontal="left"/>
    </xf>
    <xf numFmtId="0" fontId="75" fillId="0" borderId="3748" applyNumberFormat="0" applyFont="0" applyFill="0" applyAlignment="0" applyProtection="0"/>
    <xf numFmtId="222" fontId="79" fillId="0" borderId="3758" applyBorder="0"/>
    <xf numFmtId="0" fontId="101" fillId="0" borderId="3759" applyBorder="0"/>
    <xf numFmtId="222" fontId="79" fillId="0" borderId="3758" applyBorder="0"/>
    <xf numFmtId="0" fontId="113" fillId="0" borderId="3759" applyNumberFormat="0" applyFill="0" applyAlignment="0" applyProtection="0"/>
    <xf numFmtId="0" fontId="12" fillId="0" borderId="3759" applyNumberFormat="0" applyFill="0" applyBorder="0" applyAlignment="0" applyProtection="0">
      <alignment horizontal="center"/>
    </xf>
    <xf numFmtId="248" fontId="46" fillId="0" borderId="3759"/>
    <xf numFmtId="192" fontId="9" fillId="3" borderId="3759">
      <alignment horizontal="right" vertical="center"/>
    </xf>
    <xf numFmtId="180" fontId="9" fillId="3" borderId="3759">
      <alignment horizontal="right" vertical="center"/>
    </xf>
    <xf numFmtId="186" fontId="146" fillId="3" borderId="3759" applyBorder="0">
      <alignment horizontal="left" vertical="center"/>
    </xf>
    <xf numFmtId="0" fontId="165" fillId="0" borderId="3759" applyFill="0" applyProtection="0">
      <alignment horizontal="center"/>
    </xf>
    <xf numFmtId="0" fontId="166" fillId="0" borderId="3759">
      <alignment horizontal="center"/>
    </xf>
    <xf numFmtId="264" fontId="12" fillId="14" borderId="3759" applyFont="0" applyFill="0" applyBorder="0" applyAlignment="0" applyProtection="0">
      <alignment horizontal="right"/>
    </xf>
    <xf numFmtId="0" fontId="210" fillId="0" borderId="3759" applyNumberFormat="0" applyFill="0" applyBorder="0" applyAlignment="0">
      <protection locked="0"/>
    </xf>
    <xf numFmtId="254" fontId="240" fillId="0" borderId="3759" applyBorder="0" applyProtection="0">
      <alignment horizontal="right" vertical="center"/>
    </xf>
    <xf numFmtId="0" fontId="241" fillId="94" borderId="3759" applyBorder="0" applyProtection="0">
      <alignment horizontal="centerContinuous" vertical="center"/>
    </xf>
    <xf numFmtId="246" fontId="249" fillId="0" borderId="3759" applyFill="0" applyProtection="0">
      <alignment horizontal="center"/>
    </xf>
    <xf numFmtId="246" fontId="250" fillId="0" borderId="3759" applyFill="0" applyProtection="0">
      <alignment horizontal="center"/>
    </xf>
    <xf numFmtId="0" fontId="241" fillId="94" borderId="3843" applyBorder="0" applyProtection="0">
      <alignment horizontal="centerContinuous" vertical="center"/>
    </xf>
    <xf numFmtId="0" fontId="166" fillId="0" borderId="3843">
      <alignment horizontal="center"/>
    </xf>
    <xf numFmtId="0" fontId="2" fillId="0" borderId="3776" applyNumberFormat="0" applyAlignment="0" applyProtection="0"/>
    <xf numFmtId="0" fontId="214" fillId="0" borderId="3777" applyNumberFormat="0" applyFont="0" applyFill="0" applyAlignment="0" applyProtection="0"/>
    <xf numFmtId="246" fontId="250" fillId="0" borderId="3783" applyFill="0" applyProtection="0">
      <alignment horizontal="center"/>
    </xf>
    <xf numFmtId="246" fontId="249" fillId="0" borderId="3783" applyFill="0" applyProtection="0">
      <alignment horizontal="center"/>
    </xf>
    <xf numFmtId="0" fontId="241" fillId="94" borderId="3783" applyBorder="0" applyProtection="0">
      <alignment horizontal="centerContinuous" vertical="center"/>
    </xf>
    <xf numFmtId="254" fontId="240" fillId="0" borderId="3783" applyBorder="0" applyProtection="0">
      <alignment horizontal="right" vertical="center"/>
    </xf>
    <xf numFmtId="0" fontId="210" fillId="0" borderId="3783" applyNumberFormat="0" applyFill="0" applyBorder="0" applyAlignment="0">
      <protection locked="0"/>
    </xf>
    <xf numFmtId="264" fontId="12" fillId="14" borderId="3783" applyFont="0" applyFill="0" applyBorder="0" applyAlignment="0" applyProtection="0">
      <alignment horizontal="right"/>
    </xf>
    <xf numFmtId="0" fontId="166" fillId="0" borderId="3783">
      <alignment horizontal="center"/>
    </xf>
    <xf numFmtId="0" fontId="165" fillId="0" borderId="3783" applyFill="0" applyProtection="0">
      <alignment horizontal="center"/>
    </xf>
    <xf numFmtId="186" fontId="146" fillId="3" borderId="3783" applyBorder="0">
      <alignment horizontal="left" vertical="center"/>
    </xf>
    <xf numFmtId="180" fontId="9" fillId="3" borderId="3783">
      <alignment horizontal="right" vertical="center"/>
    </xf>
    <xf numFmtId="192" fontId="9" fillId="3" borderId="3783">
      <alignment horizontal="right" vertical="center"/>
    </xf>
    <xf numFmtId="248" fontId="46" fillId="0" borderId="3783"/>
    <xf numFmtId="0" fontId="12" fillId="0" borderId="3783" applyNumberFormat="0" applyFill="0" applyBorder="0" applyAlignment="0" applyProtection="0">
      <alignment horizontal="center"/>
    </xf>
    <xf numFmtId="0" fontId="113" fillId="0" borderId="3783" applyNumberFormat="0" applyFill="0" applyAlignment="0" applyProtection="0"/>
    <xf numFmtId="222" fontId="79" fillId="0" borderId="3782" applyBorder="0"/>
    <xf numFmtId="0" fontId="101" fillId="0" borderId="3783" applyBorder="0"/>
    <xf numFmtId="222" fontId="79" fillId="0" borderId="3782" applyBorder="0"/>
    <xf numFmtId="0" fontId="75" fillId="0" borderId="3772" applyNumberFormat="0" applyFont="0" applyFill="0" applyAlignment="0" applyProtection="0"/>
    <xf numFmtId="186" fontId="146" fillId="3" borderId="3774">
      <alignment horizontal="left"/>
    </xf>
    <xf numFmtId="186" fontId="140" fillId="3" borderId="3775">
      <alignment horizontal="center" vertical="center"/>
    </xf>
    <xf numFmtId="0" fontId="2" fillId="0" borderId="3776" applyNumberFormat="0" applyAlignment="0" applyProtection="0"/>
    <xf numFmtId="0" fontId="214" fillId="0" borderId="3777" applyNumberFormat="0" applyFont="0" applyFill="0" applyAlignment="0" applyProtection="0"/>
    <xf numFmtId="0" fontId="25" fillId="10" borderId="3778" applyNumberFormat="0" applyProtection="0">
      <alignment horizontal="left" vertical="top"/>
    </xf>
    <xf numFmtId="0" fontId="25" fillId="10" borderId="3779" applyNumberFormat="0" applyProtection="0">
      <alignment horizontal="left" vertical="top"/>
    </xf>
    <xf numFmtId="0" fontId="25" fillId="10" borderId="3780" applyNumberFormat="0" applyProtection="0">
      <alignment horizontal="left" vertical="top"/>
    </xf>
    <xf numFmtId="0" fontId="25" fillId="10" borderId="3781" applyNumberFormat="0" applyProtection="0">
      <alignment horizontal="left" vertical="top"/>
    </xf>
    <xf numFmtId="0" fontId="78" fillId="14" borderId="3773" applyFont="0" applyFill="0" applyBorder="0" applyAlignment="0" applyProtection="0"/>
    <xf numFmtId="222" fontId="79" fillId="0" borderId="3770" applyBorder="0"/>
    <xf numFmtId="0" fontId="78" fillId="14" borderId="3785" applyFont="0" applyFill="0" applyBorder="0" applyAlignment="0" applyProtection="0"/>
    <xf numFmtId="186" fontId="146" fillId="3" borderId="3774">
      <alignment horizontal="left"/>
    </xf>
    <xf numFmtId="0" fontId="78" fillId="14" borderId="3761" applyFont="0" applyFill="0" applyBorder="0" applyAlignment="0" applyProtection="0"/>
    <xf numFmtId="222" fontId="79" fillId="0" borderId="3770" applyBorder="0"/>
    <xf numFmtId="0" fontId="2" fillId="0" borderId="3788" applyNumberFormat="0" applyAlignment="0" applyProtection="0"/>
    <xf numFmtId="0" fontId="78" fillId="14" borderId="3761" applyFont="0" applyFill="0" applyBorder="0" applyAlignment="0" applyProtection="0"/>
    <xf numFmtId="0" fontId="25" fillId="10" borderId="3769" applyNumberFormat="0" applyProtection="0">
      <alignment horizontal="left" vertical="top"/>
    </xf>
    <xf numFmtId="0" fontId="25" fillId="10" borderId="3768" applyNumberFormat="0" applyProtection="0">
      <alignment horizontal="left" vertical="top"/>
    </xf>
    <xf numFmtId="0" fontId="25" fillId="10" borderId="3767" applyNumberFormat="0" applyProtection="0">
      <alignment horizontal="left" vertical="top"/>
    </xf>
    <xf numFmtId="0" fontId="25" fillId="10" borderId="3766" applyNumberFormat="0" applyProtection="0">
      <alignment horizontal="left" vertical="top"/>
    </xf>
    <xf numFmtId="0" fontId="25" fillId="10" borderId="3791" applyNumberFormat="0" applyProtection="0">
      <alignment horizontal="left" vertical="top"/>
    </xf>
    <xf numFmtId="0" fontId="214" fillId="0" borderId="3765" applyNumberFormat="0" applyFont="0" applyFill="0" applyAlignment="0" applyProtection="0"/>
    <xf numFmtId="0" fontId="2" fillId="0" borderId="3764" applyNumberFormat="0" applyAlignment="0" applyProtection="0"/>
    <xf numFmtId="186" fontId="140" fillId="3" borderId="3763">
      <alignment horizontal="center" vertical="center"/>
    </xf>
    <xf numFmtId="186" fontId="146" fillId="3" borderId="3762">
      <alignment horizontal="left"/>
    </xf>
    <xf numFmtId="0" fontId="25" fillId="10" borderId="3793" applyNumberFormat="0" applyProtection="0">
      <alignment horizontal="left" vertical="top"/>
    </xf>
    <xf numFmtId="0" fontId="75" fillId="0" borderId="3760" applyNumberFormat="0" applyFont="0" applyFill="0" applyAlignment="0" applyProtection="0"/>
    <xf numFmtId="222" fontId="79" fillId="0" borderId="3770" applyBorder="0"/>
    <xf numFmtId="0" fontId="101" fillId="0" borderId="3771" applyBorder="0"/>
    <xf numFmtId="222" fontId="79" fillId="0" borderId="3770" applyBorder="0"/>
    <xf numFmtId="0" fontId="113" fillId="0" borderId="3771" applyNumberFormat="0" applyFill="0" applyAlignment="0" applyProtection="0"/>
    <xf numFmtId="0" fontId="12" fillId="0" borderId="3771" applyNumberFormat="0" applyFill="0" applyBorder="0" applyAlignment="0" applyProtection="0">
      <alignment horizontal="center"/>
    </xf>
    <xf numFmtId="248" fontId="46" fillId="0" borderId="3771"/>
    <xf numFmtId="192" fontId="9" fillId="3" borderId="3771">
      <alignment horizontal="right" vertical="center"/>
    </xf>
    <xf numFmtId="180" fontId="9" fillId="3" borderId="3771">
      <alignment horizontal="right" vertical="center"/>
    </xf>
    <xf numFmtId="186" fontId="146" fillId="3" borderId="3771" applyBorder="0">
      <alignment horizontal="left" vertical="center"/>
    </xf>
    <xf numFmtId="0" fontId="165" fillId="0" borderId="3771" applyFill="0" applyProtection="0">
      <alignment horizontal="center"/>
    </xf>
    <xf numFmtId="0" fontId="166" fillId="0" borderId="3771">
      <alignment horizontal="center"/>
    </xf>
    <xf numFmtId="264" fontId="12" fillId="14" borderId="3771" applyFont="0" applyFill="0" applyBorder="0" applyAlignment="0" applyProtection="0">
      <alignment horizontal="right"/>
    </xf>
    <xf numFmtId="0" fontId="210" fillId="0" borderId="3771" applyNumberFormat="0" applyFill="0" applyBorder="0" applyAlignment="0">
      <protection locked="0"/>
    </xf>
    <xf numFmtId="254" fontId="240" fillId="0" borderId="3771" applyBorder="0" applyProtection="0">
      <alignment horizontal="right" vertical="center"/>
    </xf>
    <xf numFmtId="0" fontId="241" fillId="94" borderId="3771" applyBorder="0" applyProtection="0">
      <alignment horizontal="centerContinuous" vertical="center"/>
    </xf>
    <xf numFmtId="246" fontId="249" fillId="0" borderId="3771" applyFill="0" applyProtection="0">
      <alignment horizontal="center"/>
    </xf>
    <xf numFmtId="246" fontId="250" fillId="0" borderId="3771" applyFill="0" applyProtection="0">
      <alignment horizontal="center"/>
    </xf>
    <xf numFmtId="186" fontId="140" fillId="3" borderId="3787">
      <alignment horizontal="center" vertical="center"/>
    </xf>
    <xf numFmtId="0" fontId="78" fillId="14" borderId="3773" applyFont="0" applyFill="0" applyBorder="0" applyAlignment="0" applyProtection="0"/>
    <xf numFmtId="222" fontId="79" fillId="0" borderId="3794" applyBorder="0"/>
    <xf numFmtId="0" fontId="78" fillId="14" borderId="3797" applyFont="0" applyFill="0" applyBorder="0" applyAlignment="0" applyProtection="0"/>
    <xf numFmtId="0" fontId="25" fillId="10" borderId="3805" applyNumberFormat="0" applyProtection="0">
      <alignment horizontal="left" vertical="top"/>
    </xf>
    <xf numFmtId="0" fontId="25" fillId="10" borderId="3804" applyNumberFormat="0" applyProtection="0">
      <alignment horizontal="left" vertical="top"/>
    </xf>
    <xf numFmtId="0" fontId="25" fillId="10" borderId="3803" applyNumberFormat="0" applyProtection="0">
      <alignment horizontal="left" vertical="top"/>
    </xf>
    <xf numFmtId="0" fontId="25" fillId="10" borderId="3802" applyNumberFormat="0" applyProtection="0">
      <alignment horizontal="left" vertical="top"/>
    </xf>
    <xf numFmtId="0" fontId="214" fillId="0" borderId="3801" applyNumberFormat="0" applyFont="0" applyFill="0" applyAlignment="0" applyProtection="0"/>
    <xf numFmtId="0" fontId="2" fillId="0" borderId="3800" applyNumberFormat="0" applyAlignment="0" applyProtection="0"/>
    <xf numFmtId="186" fontId="140" fillId="3" borderId="3799">
      <alignment horizontal="center" vertical="center"/>
    </xf>
    <xf numFmtId="186" fontId="146" fillId="3" borderId="3798">
      <alignment horizontal="left"/>
    </xf>
    <xf numFmtId="0" fontId="75" fillId="0" borderId="3796" applyNumberFormat="0" applyFont="0" applyFill="0" applyAlignment="0" applyProtection="0"/>
    <xf numFmtId="222" fontId="79" fillId="0" borderId="3806" applyBorder="0"/>
    <xf numFmtId="0" fontId="101" fillId="0" borderId="3807" applyBorder="0"/>
    <xf numFmtId="222" fontId="79" fillId="0" borderId="3806" applyBorder="0"/>
    <xf numFmtId="0" fontId="113" fillId="0" borderId="3807" applyNumberFormat="0" applyFill="0" applyAlignment="0" applyProtection="0"/>
    <xf numFmtId="0" fontId="12" fillId="0" borderId="3807" applyNumberFormat="0" applyFill="0" applyBorder="0" applyAlignment="0" applyProtection="0">
      <alignment horizontal="center"/>
    </xf>
    <xf numFmtId="248" fontId="46" fillId="0" borderId="3807"/>
    <xf numFmtId="192" fontId="9" fillId="3" borderId="3807">
      <alignment horizontal="right" vertical="center"/>
    </xf>
    <xf numFmtId="180" fontId="9" fillId="3" borderId="3807">
      <alignment horizontal="right" vertical="center"/>
    </xf>
    <xf numFmtId="186" fontId="146" fillId="3" borderId="3807" applyBorder="0">
      <alignment horizontal="left" vertical="center"/>
    </xf>
    <xf numFmtId="0" fontId="165" fillId="0" borderId="3807" applyFill="0" applyProtection="0">
      <alignment horizontal="center"/>
    </xf>
    <xf numFmtId="0" fontId="166" fillId="0" borderId="3807">
      <alignment horizontal="center"/>
    </xf>
    <xf numFmtId="264" fontId="12" fillId="14" borderId="3807" applyFont="0" applyFill="0" applyBorder="0" applyAlignment="0" applyProtection="0">
      <alignment horizontal="right"/>
    </xf>
    <xf numFmtId="0" fontId="210" fillId="0" borderId="3807" applyNumberFormat="0" applyFill="0" applyBorder="0" applyAlignment="0">
      <protection locked="0"/>
    </xf>
    <xf numFmtId="254" fontId="240" fillId="0" borderId="3807" applyBorder="0" applyProtection="0">
      <alignment horizontal="right" vertical="center"/>
    </xf>
    <xf numFmtId="0" fontId="241" fillId="94" borderId="3807" applyBorder="0" applyProtection="0">
      <alignment horizontal="centerContinuous" vertical="center"/>
    </xf>
    <xf numFmtId="246" fontId="249" fillId="0" borderId="3807" applyFill="0" applyProtection="0">
      <alignment horizontal="center"/>
    </xf>
    <xf numFmtId="246" fontId="250" fillId="0" borderId="3807" applyFill="0" applyProtection="0">
      <alignment horizontal="center"/>
    </xf>
    <xf numFmtId="222" fontId="79" fillId="0" borderId="3818" applyBorder="0"/>
    <xf numFmtId="0" fontId="78" fillId="14" borderId="3821" applyFont="0" applyFill="0" applyBorder="0" applyAlignment="0" applyProtection="0"/>
    <xf numFmtId="0" fontId="25" fillId="10" borderId="3829" applyNumberFormat="0" applyProtection="0">
      <alignment horizontal="left" vertical="top"/>
    </xf>
    <xf numFmtId="0" fontId="25" fillId="10" borderId="3828" applyNumberFormat="0" applyProtection="0">
      <alignment horizontal="left" vertical="top"/>
    </xf>
    <xf numFmtId="0" fontId="25" fillId="10" borderId="3827" applyNumberFormat="0" applyProtection="0">
      <alignment horizontal="left" vertical="top"/>
    </xf>
    <xf numFmtId="0" fontId="25" fillId="10" borderId="3826" applyNumberFormat="0" applyProtection="0">
      <alignment horizontal="left" vertical="top"/>
    </xf>
    <xf numFmtId="0" fontId="214" fillId="0" borderId="3825" applyNumberFormat="0" applyFont="0" applyFill="0" applyAlignment="0" applyProtection="0"/>
    <xf numFmtId="0" fontId="2" fillId="0" borderId="3824" applyNumberFormat="0" applyAlignment="0" applyProtection="0"/>
    <xf numFmtId="186" fontId="140" fillId="3" borderId="3823">
      <alignment horizontal="center" vertical="center"/>
    </xf>
    <xf numFmtId="186" fontId="146" fillId="3" borderId="3822">
      <alignment horizontal="left"/>
    </xf>
    <xf numFmtId="0" fontId="75" fillId="0" borderId="3820" applyNumberFormat="0" applyFont="0" applyFill="0" applyAlignment="0" applyProtection="0"/>
    <xf numFmtId="222" fontId="79" fillId="0" borderId="3830" applyBorder="0"/>
    <xf numFmtId="0" fontId="101" fillId="0" borderId="3831" applyBorder="0"/>
    <xf numFmtId="222" fontId="79" fillId="0" borderId="3830" applyBorder="0"/>
    <xf numFmtId="0" fontId="113" fillId="0" borderId="3831" applyNumberFormat="0" applyFill="0" applyAlignment="0" applyProtection="0"/>
    <xf numFmtId="0" fontId="12" fillId="0" borderId="3831" applyNumberFormat="0" applyFill="0" applyBorder="0" applyAlignment="0" applyProtection="0">
      <alignment horizontal="center"/>
    </xf>
    <xf numFmtId="248" fontId="46" fillId="0" borderId="3831"/>
    <xf numFmtId="192" fontId="9" fillId="3" borderId="3831">
      <alignment horizontal="right" vertical="center"/>
    </xf>
    <xf numFmtId="180" fontId="9" fillId="3" borderId="3831">
      <alignment horizontal="right" vertical="center"/>
    </xf>
    <xf numFmtId="186" fontId="146" fillId="3" borderId="3831" applyBorder="0">
      <alignment horizontal="left" vertical="center"/>
    </xf>
    <xf numFmtId="0" fontId="165" fillId="0" borderId="3831" applyFill="0" applyProtection="0">
      <alignment horizontal="center"/>
    </xf>
    <xf numFmtId="0" fontId="166" fillId="0" borderId="3831">
      <alignment horizontal="center"/>
    </xf>
    <xf numFmtId="264" fontId="12" fillId="14" borderId="3831" applyFont="0" applyFill="0" applyBorder="0" applyAlignment="0" applyProtection="0">
      <alignment horizontal="right"/>
    </xf>
    <xf numFmtId="0" fontId="210" fillId="0" borderId="3831" applyNumberFormat="0" applyFill="0" applyBorder="0" applyAlignment="0">
      <protection locked="0"/>
    </xf>
    <xf numFmtId="254" fontId="240" fillId="0" borderId="3831" applyBorder="0" applyProtection="0">
      <alignment horizontal="right" vertical="center"/>
    </xf>
    <xf numFmtId="0" fontId="241" fillId="94" borderId="3831" applyBorder="0" applyProtection="0">
      <alignment horizontal="centerContinuous" vertical="center"/>
    </xf>
    <xf numFmtId="246" fontId="249" fillId="0" borderId="3831" applyFill="0" applyProtection="0">
      <alignment horizontal="center"/>
    </xf>
    <xf numFmtId="246" fontId="250" fillId="0" borderId="3831" applyFill="0" applyProtection="0">
      <alignment horizontal="center"/>
    </xf>
    <xf numFmtId="0" fontId="75" fillId="0" borderId="3844" applyNumberFormat="0" applyFont="0" applyFill="0" applyAlignment="0" applyProtection="0"/>
    <xf numFmtId="0" fontId="78" fillId="14" borderId="3845" applyFont="0" applyFill="0" applyBorder="0" applyAlignment="0" applyProtection="0"/>
    <xf numFmtId="186" fontId="146" fillId="3" borderId="3846">
      <alignment horizontal="left"/>
    </xf>
    <xf numFmtId="186" fontId="140" fillId="3" borderId="3847">
      <alignment horizontal="center" vertical="center"/>
    </xf>
    <xf numFmtId="0" fontId="2" fillId="0" borderId="3848" applyNumberFormat="0" applyAlignment="0" applyProtection="0"/>
    <xf numFmtId="0" fontId="214" fillId="0" borderId="3849" applyNumberFormat="0" applyFont="0" applyFill="0" applyAlignment="0" applyProtection="0"/>
    <xf numFmtId="0" fontId="25" fillId="10" borderId="3850" applyNumberFormat="0" applyProtection="0">
      <alignment horizontal="left" vertical="top"/>
    </xf>
    <xf numFmtId="0" fontId="25" fillId="10" borderId="3851" applyNumberFormat="0" applyProtection="0">
      <alignment horizontal="left" vertical="top"/>
    </xf>
    <xf numFmtId="0" fontId="25" fillId="10" borderId="3852" applyNumberFormat="0" applyProtection="0">
      <alignment horizontal="left" vertical="top"/>
    </xf>
    <xf numFmtId="0" fontId="25" fillId="10" borderId="3853" applyNumberFormat="0" applyProtection="0">
      <alignment horizontal="left" vertical="top"/>
    </xf>
    <xf numFmtId="246" fontId="250" fillId="0" borderId="3843" applyFill="0" applyProtection="0">
      <alignment horizontal="center"/>
    </xf>
    <xf numFmtId="246" fontId="249" fillId="0" borderId="3843" applyFill="0" applyProtection="0">
      <alignment horizontal="center"/>
    </xf>
    <xf numFmtId="0" fontId="241" fillId="94" borderId="3843" applyBorder="0" applyProtection="0">
      <alignment horizontal="centerContinuous" vertical="center"/>
    </xf>
    <xf numFmtId="254" fontId="240" fillId="0" borderId="3843" applyBorder="0" applyProtection="0">
      <alignment horizontal="right" vertical="center"/>
    </xf>
    <xf numFmtId="0" fontId="210" fillId="0" borderId="3843" applyNumberFormat="0" applyFill="0" applyBorder="0" applyAlignment="0">
      <protection locked="0"/>
    </xf>
    <xf numFmtId="264" fontId="12" fillId="14" borderId="3843" applyFont="0" applyFill="0" applyBorder="0" applyAlignment="0" applyProtection="0">
      <alignment horizontal="right"/>
    </xf>
    <xf numFmtId="0" fontId="166" fillId="0" borderId="3843">
      <alignment horizontal="center"/>
    </xf>
    <xf numFmtId="0" fontId="165" fillId="0" borderId="3843" applyFill="0" applyProtection="0">
      <alignment horizontal="center"/>
    </xf>
    <xf numFmtId="186" fontId="146" fillId="3" borderId="3843" applyBorder="0">
      <alignment horizontal="left" vertical="center"/>
    </xf>
    <xf numFmtId="180" fontId="9" fillId="3" borderId="3843">
      <alignment horizontal="right" vertical="center"/>
    </xf>
    <xf numFmtId="192" fontId="9" fillId="3" borderId="3843">
      <alignment horizontal="right" vertical="center"/>
    </xf>
    <xf numFmtId="0" fontId="12" fillId="0" borderId="3843" applyNumberFormat="0" applyFill="0" applyBorder="0" applyAlignment="0" applyProtection="0">
      <alignment horizontal="center"/>
    </xf>
    <xf numFmtId="0" fontId="113" fillId="0" borderId="3843" applyNumberFormat="0" applyFill="0" applyAlignment="0" applyProtection="0"/>
    <xf numFmtId="222" fontId="79" fillId="0" borderId="3842" applyBorder="0"/>
    <xf numFmtId="0" fontId="101" fillId="0" borderId="3843" applyBorder="0"/>
    <xf numFmtId="248" fontId="46" fillId="0" borderId="3843"/>
    <xf numFmtId="0" fontId="101" fillId="0" borderId="3843" applyBorder="0"/>
    <xf numFmtId="222" fontId="79" fillId="0" borderId="3842" applyBorder="0"/>
    <xf numFmtId="0" fontId="113" fillId="0" borderId="3843" applyNumberFormat="0" applyFill="0" applyAlignment="0" applyProtection="0"/>
    <xf numFmtId="0" fontId="75" fillId="0" borderId="3844" applyNumberFormat="0" applyFont="0" applyFill="0" applyAlignment="0" applyProtection="0"/>
    <xf numFmtId="0" fontId="12" fillId="0" borderId="3843" applyNumberFormat="0" applyFill="0" applyBorder="0" applyAlignment="0" applyProtection="0">
      <alignment horizontal="center"/>
    </xf>
    <xf numFmtId="248" fontId="46" fillId="0" borderId="3843"/>
    <xf numFmtId="192" fontId="9" fillId="3" borderId="3843">
      <alignment horizontal="right" vertical="center"/>
    </xf>
    <xf numFmtId="180" fontId="9" fillId="3" borderId="3843">
      <alignment horizontal="right" vertical="center"/>
    </xf>
    <xf numFmtId="186" fontId="146" fillId="3" borderId="3843" applyBorder="0">
      <alignment horizontal="left" vertical="center"/>
    </xf>
    <xf numFmtId="186" fontId="146" fillId="3" borderId="3846">
      <alignment horizontal="left"/>
    </xf>
    <xf numFmtId="186" fontId="140" fillId="3" borderId="3847">
      <alignment horizontal="center" vertical="center"/>
    </xf>
    <xf numFmtId="0" fontId="165" fillId="0" borderId="3843" applyFill="0" applyProtection="0">
      <alignment horizontal="center"/>
    </xf>
    <xf numFmtId="0" fontId="166" fillId="0" borderId="3843">
      <alignment horizontal="center"/>
    </xf>
    <xf numFmtId="264" fontId="12" fillId="14" borderId="3843" applyFont="0" applyFill="0" applyBorder="0" applyAlignment="0" applyProtection="0">
      <alignment horizontal="right"/>
    </xf>
    <xf numFmtId="0" fontId="210" fillId="0" borderId="3843" applyNumberFormat="0" applyFill="0" applyBorder="0" applyAlignment="0">
      <protection locked="0"/>
    </xf>
    <xf numFmtId="0" fontId="2" fillId="0" borderId="3848" applyNumberFormat="0" applyAlignment="0" applyProtection="0"/>
    <xf numFmtId="0" fontId="214" fillId="0" borderId="3849" applyNumberFormat="0" applyFont="0" applyFill="0" applyAlignment="0" applyProtection="0"/>
    <xf numFmtId="0" fontId="25" fillId="10" borderId="3850" applyNumberFormat="0" applyProtection="0">
      <alignment horizontal="left" vertical="top"/>
    </xf>
    <xf numFmtId="0" fontId="25" fillId="10" borderId="3851" applyNumberFormat="0" applyProtection="0">
      <alignment horizontal="left" vertical="top"/>
    </xf>
    <xf numFmtId="0" fontId="25" fillId="10" borderId="3852" applyNumberFormat="0" applyProtection="0">
      <alignment horizontal="left" vertical="top"/>
    </xf>
    <xf numFmtId="0" fontId="25" fillId="10" borderId="3853" applyNumberFormat="0" applyProtection="0">
      <alignment horizontal="left" vertical="top"/>
    </xf>
    <xf numFmtId="0" fontId="25" fillId="10" borderId="3850" applyNumberFormat="0" applyProtection="0">
      <alignment horizontal="left" vertical="top"/>
    </xf>
    <xf numFmtId="0" fontId="25" fillId="10" borderId="3851" applyNumberFormat="0" applyProtection="0">
      <alignment horizontal="left" vertical="top"/>
    </xf>
    <xf numFmtId="0" fontId="25" fillId="10" borderId="3852" applyNumberFormat="0" applyProtection="0">
      <alignment horizontal="left" vertical="top"/>
    </xf>
    <xf numFmtId="0" fontId="25" fillId="10" borderId="3853" applyNumberFormat="0" applyProtection="0">
      <alignment horizontal="left" vertical="top"/>
    </xf>
    <xf numFmtId="254" fontId="240" fillId="0" borderId="3843" applyBorder="0" applyProtection="0">
      <alignment horizontal="right" vertical="center"/>
    </xf>
    <xf numFmtId="0" fontId="241" fillId="94" borderId="3843" applyBorder="0" applyProtection="0">
      <alignment horizontal="centerContinuous" vertical="center"/>
    </xf>
    <xf numFmtId="246" fontId="249" fillId="0" borderId="3843" applyFill="0" applyProtection="0">
      <alignment horizontal="center"/>
    </xf>
    <xf numFmtId="246" fontId="250" fillId="0" borderId="3843" applyFill="0" applyProtection="0">
      <alignment horizontal="center"/>
    </xf>
    <xf numFmtId="190" fontId="101" fillId="0" borderId="3843" applyBorder="0"/>
    <xf numFmtId="190" fontId="113" fillId="0" borderId="3843" applyNumberFormat="0" applyFill="0" applyAlignment="0" applyProtection="0"/>
    <xf numFmtId="190" fontId="75" fillId="0" borderId="3820" applyNumberFormat="0" applyFont="0" applyFill="0" applyAlignment="0" applyProtection="0"/>
    <xf numFmtId="190" fontId="12" fillId="0" borderId="3843" applyNumberFormat="0" applyFill="0" applyBorder="0" applyAlignment="0" applyProtection="0">
      <alignment horizontal="center"/>
    </xf>
    <xf numFmtId="190" fontId="78" fillId="14" borderId="3833" applyFont="0" applyFill="0" applyBorder="0" applyAlignment="0" applyProtection="0"/>
    <xf numFmtId="190" fontId="165" fillId="0" borderId="3843" applyFill="0" applyProtection="0">
      <alignment horizontal="center"/>
    </xf>
    <xf numFmtId="190" fontId="166" fillId="0" borderId="3843">
      <alignment horizontal="center"/>
    </xf>
    <xf numFmtId="190" fontId="210" fillId="0" borderId="3843" applyNumberFormat="0" applyFill="0" applyBorder="0" applyAlignment="0">
      <protection locked="0"/>
    </xf>
    <xf numFmtId="190" fontId="2" fillId="0" borderId="3824" applyNumberFormat="0" applyAlignment="0" applyProtection="0"/>
    <xf numFmtId="190" fontId="214" fillId="0" borderId="3825" applyNumberFormat="0" applyFont="0" applyFill="0" applyAlignment="0" applyProtection="0"/>
    <xf numFmtId="190" fontId="25" fillId="10" borderId="3826" applyNumberFormat="0" applyProtection="0">
      <alignment horizontal="left" vertical="top"/>
    </xf>
    <xf numFmtId="190" fontId="25" fillId="10" borderId="3827" applyNumberFormat="0" applyProtection="0">
      <alignment horizontal="left" vertical="top"/>
    </xf>
    <xf numFmtId="190" fontId="25" fillId="10" borderId="3828" applyNumberFormat="0" applyProtection="0">
      <alignment horizontal="left" vertical="top"/>
    </xf>
    <xf numFmtId="190" fontId="25" fillId="10" borderId="3829" applyNumberFormat="0" applyProtection="0">
      <alignment horizontal="left" vertical="top"/>
    </xf>
    <xf numFmtId="190" fontId="241" fillId="94" borderId="3843" applyBorder="0" applyProtection="0">
      <alignment horizontal="centerContinuous" vertical="center"/>
    </xf>
    <xf numFmtId="222" fontId="79" fillId="0" borderId="3842" applyBorder="0"/>
    <xf numFmtId="0" fontId="101" fillId="0" borderId="3843" applyBorder="0"/>
    <xf numFmtId="222" fontId="79" fillId="0" borderId="3842" applyBorder="0"/>
    <xf numFmtId="0" fontId="113" fillId="0" borderId="3843" applyNumberFormat="0" applyFill="0" applyAlignment="0" applyProtection="0"/>
    <xf numFmtId="0" fontId="75" fillId="0" borderId="3820" applyNumberFormat="0" applyFont="0" applyFill="0" applyAlignment="0" applyProtection="0"/>
    <xf numFmtId="0" fontId="12" fillId="0" borderId="3843" applyNumberFormat="0" applyFill="0" applyBorder="0" applyAlignment="0" applyProtection="0">
      <alignment horizontal="center"/>
    </xf>
    <xf numFmtId="248" fontId="46" fillId="0" borderId="3843"/>
    <xf numFmtId="192" fontId="9" fillId="3" borderId="3843">
      <alignment horizontal="right" vertical="center"/>
    </xf>
    <xf numFmtId="180" fontId="9" fillId="3" borderId="3843">
      <alignment horizontal="right" vertical="center"/>
    </xf>
    <xf numFmtId="186" fontId="146" fillId="3" borderId="3843" applyBorder="0">
      <alignment horizontal="left" vertical="center"/>
    </xf>
    <xf numFmtId="186" fontId="146" fillId="3" borderId="3822">
      <alignment horizontal="left"/>
    </xf>
    <xf numFmtId="186" fontId="140" fillId="3" borderId="3823">
      <alignment horizontal="center" vertical="center"/>
    </xf>
    <xf numFmtId="0" fontId="165" fillId="0" borderId="3843" applyFill="0" applyProtection="0">
      <alignment horizontal="center"/>
    </xf>
    <xf numFmtId="0" fontId="166" fillId="0" borderId="3843">
      <alignment horizontal="center"/>
    </xf>
    <xf numFmtId="264" fontId="12" fillId="14" borderId="3843" applyFont="0" applyFill="0" applyBorder="0" applyAlignment="0" applyProtection="0">
      <alignment horizontal="right"/>
    </xf>
    <xf numFmtId="0" fontId="210" fillId="0" borderId="3843" applyNumberFormat="0" applyFill="0" applyBorder="0" applyAlignment="0">
      <protection locked="0"/>
    </xf>
    <xf numFmtId="0" fontId="2" fillId="0" borderId="3824" applyNumberFormat="0" applyAlignment="0" applyProtection="0"/>
    <xf numFmtId="0" fontId="214" fillId="0" borderId="3825" applyNumberFormat="0" applyFont="0" applyFill="0" applyAlignment="0" applyProtection="0"/>
    <xf numFmtId="0" fontId="25" fillId="10" borderId="3826" applyNumberFormat="0" applyProtection="0">
      <alignment horizontal="left" vertical="top"/>
    </xf>
    <xf numFmtId="0" fontId="25" fillId="10" borderId="3827" applyNumberFormat="0" applyProtection="0">
      <alignment horizontal="left" vertical="top"/>
    </xf>
    <xf numFmtId="0" fontId="25" fillId="10" borderId="3828" applyNumberFormat="0" applyProtection="0">
      <alignment horizontal="left" vertical="top"/>
    </xf>
    <xf numFmtId="0" fontId="25" fillId="10" borderId="3829" applyNumberFormat="0" applyProtection="0">
      <alignment horizontal="left" vertical="top"/>
    </xf>
    <xf numFmtId="0" fontId="25" fillId="10" borderId="3826" applyNumberFormat="0" applyProtection="0">
      <alignment horizontal="left" vertical="top"/>
    </xf>
    <xf numFmtId="0" fontId="25" fillId="10" borderId="3827" applyNumberFormat="0" applyProtection="0">
      <alignment horizontal="left" vertical="top"/>
    </xf>
    <xf numFmtId="0" fontId="25" fillId="10" borderId="3828" applyNumberFormat="0" applyProtection="0">
      <alignment horizontal="left" vertical="top"/>
    </xf>
    <xf numFmtId="0" fontId="25" fillId="10" borderId="3829" applyNumberFormat="0" applyProtection="0">
      <alignment horizontal="left" vertical="top"/>
    </xf>
    <xf numFmtId="254" fontId="240" fillId="0" borderId="3843" applyBorder="0" applyProtection="0">
      <alignment horizontal="right" vertical="center"/>
    </xf>
    <xf numFmtId="0" fontId="241" fillId="94" borderId="3843" applyBorder="0" applyProtection="0">
      <alignment horizontal="centerContinuous" vertical="center"/>
    </xf>
    <xf numFmtId="246" fontId="249" fillId="0" borderId="3843" applyFill="0" applyProtection="0">
      <alignment horizontal="center"/>
    </xf>
    <xf numFmtId="246" fontId="250" fillId="0" borderId="3843" applyFill="0" applyProtection="0">
      <alignment horizontal="center"/>
    </xf>
    <xf numFmtId="312" fontId="101" fillId="0" borderId="3843" applyBorder="0"/>
    <xf numFmtId="312" fontId="113" fillId="0" borderId="3843" applyNumberFormat="0" applyFill="0" applyAlignment="0" applyProtection="0"/>
    <xf numFmtId="312" fontId="75" fillId="0" borderId="3820" applyNumberFormat="0" applyFont="0" applyFill="0" applyAlignment="0" applyProtection="0"/>
    <xf numFmtId="312" fontId="12" fillId="0" borderId="3843" applyNumberFormat="0" applyFill="0" applyBorder="0" applyAlignment="0" applyProtection="0">
      <alignment horizontal="center"/>
    </xf>
    <xf numFmtId="312" fontId="165" fillId="0" borderId="3843" applyFill="0" applyProtection="0">
      <alignment horizontal="center"/>
    </xf>
    <xf numFmtId="312" fontId="242" fillId="0" borderId="3843">
      <alignment horizontal="center"/>
    </xf>
    <xf numFmtId="312" fontId="210" fillId="0" borderId="3843" applyNumberFormat="0" applyFill="0" applyBorder="0" applyAlignment="0">
      <protection locked="0"/>
    </xf>
    <xf numFmtId="312" fontId="2" fillId="0" borderId="3824" applyNumberFormat="0" applyAlignment="0" applyProtection="0"/>
    <xf numFmtId="312" fontId="214" fillId="0" borderId="3825" applyNumberFormat="0" applyFont="0" applyFill="0" applyAlignment="0" applyProtection="0"/>
    <xf numFmtId="312" fontId="25" fillId="10" borderId="3826" applyNumberFormat="0" applyProtection="0">
      <alignment horizontal="left" vertical="top"/>
    </xf>
    <xf numFmtId="312" fontId="25" fillId="10" borderId="3827" applyNumberFormat="0" applyProtection="0">
      <alignment horizontal="left" vertical="top"/>
    </xf>
    <xf numFmtId="312" fontId="25" fillId="10" borderId="3828" applyNumberFormat="0" applyProtection="0">
      <alignment horizontal="left" vertical="top"/>
    </xf>
    <xf numFmtId="312" fontId="25" fillId="10" borderId="3829" applyNumberFormat="0" applyProtection="0">
      <alignment horizontal="left" vertical="top"/>
    </xf>
    <xf numFmtId="312" fontId="241" fillId="94" borderId="3843" applyBorder="0" applyProtection="0">
      <alignment horizontal="centerContinuous" vertical="center"/>
    </xf>
    <xf numFmtId="246" fontId="296" fillId="0" borderId="3843" applyFill="0" applyProtection="0">
      <alignment horizontal="center"/>
    </xf>
    <xf numFmtId="312" fontId="101" fillId="0" borderId="3843" applyBorder="0"/>
    <xf numFmtId="312" fontId="113" fillId="0" borderId="3843" applyNumberFormat="0" applyFill="0" applyAlignment="0" applyProtection="0"/>
    <xf numFmtId="312" fontId="75" fillId="0" borderId="3820" applyNumberFormat="0" applyFont="0" applyFill="0" applyAlignment="0" applyProtection="0"/>
    <xf numFmtId="312" fontId="12" fillId="0" borderId="3843" applyNumberFormat="0" applyFill="0" applyBorder="0" applyAlignment="0" applyProtection="0">
      <alignment horizontal="center"/>
    </xf>
    <xf numFmtId="312" fontId="165" fillId="0" borderId="3843" applyFill="0" applyProtection="0">
      <alignment horizontal="center"/>
    </xf>
    <xf numFmtId="312" fontId="242" fillId="0" borderId="3843">
      <alignment horizontal="center"/>
    </xf>
    <xf numFmtId="312" fontId="210" fillId="0" borderId="3843" applyNumberFormat="0" applyFill="0" applyBorder="0" applyAlignment="0">
      <protection locked="0"/>
    </xf>
    <xf numFmtId="312" fontId="2" fillId="0" borderId="3824" applyNumberFormat="0" applyAlignment="0" applyProtection="0"/>
    <xf numFmtId="312" fontId="214" fillId="0" borderId="3825" applyNumberFormat="0" applyFont="0" applyFill="0" applyAlignment="0" applyProtection="0"/>
    <xf numFmtId="312" fontId="25" fillId="10" borderId="3826" applyNumberFormat="0" applyProtection="0">
      <alignment horizontal="left" vertical="top"/>
    </xf>
    <xf numFmtId="312" fontId="25" fillId="10" borderId="3827" applyNumberFormat="0" applyProtection="0">
      <alignment horizontal="left" vertical="top"/>
    </xf>
    <xf numFmtId="312" fontId="25" fillId="10" borderId="3828" applyNumberFormat="0" applyProtection="0">
      <alignment horizontal="left" vertical="top"/>
    </xf>
    <xf numFmtId="312" fontId="25" fillId="10" borderId="3829" applyNumberFormat="0" applyProtection="0">
      <alignment horizontal="left" vertical="top"/>
    </xf>
    <xf numFmtId="312" fontId="25" fillId="10" borderId="3826" applyNumberFormat="0" applyProtection="0">
      <alignment horizontal="left" vertical="top"/>
    </xf>
    <xf numFmtId="312" fontId="25" fillId="10" borderId="3827" applyNumberFormat="0" applyProtection="0">
      <alignment horizontal="left" vertical="top"/>
    </xf>
    <xf numFmtId="312" fontId="25" fillId="10" borderId="3828" applyNumberFormat="0" applyProtection="0">
      <alignment horizontal="left" vertical="top"/>
    </xf>
    <xf numFmtId="312" fontId="25" fillId="10" borderId="3829" applyNumberFormat="0" applyProtection="0">
      <alignment horizontal="left" vertical="top"/>
    </xf>
    <xf numFmtId="312" fontId="241" fillId="94" borderId="3843" applyBorder="0" applyProtection="0">
      <alignment horizontal="centerContinuous" vertical="center"/>
    </xf>
    <xf numFmtId="246" fontId="296" fillId="0" borderId="3843" applyFill="0" applyProtection="0">
      <alignment horizontal="center"/>
    </xf>
    <xf numFmtId="246" fontId="250" fillId="0" borderId="3843" applyFill="0" applyProtection="0">
      <alignment horizontal="center"/>
    </xf>
    <xf numFmtId="246" fontId="249" fillId="0" borderId="3843" applyFill="0" applyProtection="0">
      <alignment horizontal="center"/>
    </xf>
    <xf numFmtId="0" fontId="241" fillId="94" borderId="3843" applyBorder="0" applyProtection="0">
      <alignment horizontal="centerContinuous" vertical="center"/>
    </xf>
    <xf numFmtId="254" fontId="240" fillId="0" borderId="3843" applyBorder="0" applyProtection="0">
      <alignment horizontal="right" vertical="center"/>
    </xf>
    <xf numFmtId="0" fontId="25" fillId="10" borderId="3841" applyNumberFormat="0" applyProtection="0">
      <alignment horizontal="left" vertical="top"/>
    </xf>
    <xf numFmtId="0" fontId="25" fillId="10" borderId="3840" applyNumberFormat="0" applyProtection="0">
      <alignment horizontal="left" vertical="top"/>
    </xf>
    <xf numFmtId="0" fontId="25" fillId="10" borderId="3839" applyNumberFormat="0" applyProtection="0">
      <alignment horizontal="left" vertical="top"/>
    </xf>
    <xf numFmtId="0" fontId="25" fillId="10" borderId="3838" applyNumberFormat="0" applyProtection="0">
      <alignment horizontal="left" vertical="top"/>
    </xf>
    <xf numFmtId="0" fontId="214" fillId="0" borderId="3837" applyNumberFormat="0" applyFont="0" applyFill="0" applyAlignment="0" applyProtection="0"/>
    <xf numFmtId="0" fontId="2" fillId="0" borderId="3836" applyNumberFormat="0" applyAlignment="0" applyProtection="0"/>
    <xf numFmtId="0" fontId="210" fillId="0" borderId="3843" applyNumberFormat="0" applyFill="0" applyBorder="0" applyAlignment="0">
      <protection locked="0"/>
    </xf>
    <xf numFmtId="264" fontId="12" fillId="14" borderId="3843" applyFont="0" applyFill="0" applyBorder="0" applyAlignment="0" applyProtection="0">
      <alignment horizontal="right"/>
    </xf>
    <xf numFmtId="0" fontId="166" fillId="0" borderId="3843">
      <alignment horizontal="center"/>
    </xf>
    <xf numFmtId="0" fontId="165" fillId="0" borderId="3843" applyFill="0" applyProtection="0">
      <alignment horizontal="center"/>
    </xf>
    <xf numFmtId="186" fontId="140" fillId="3" borderId="3835">
      <alignment horizontal="center" vertical="center"/>
    </xf>
    <xf numFmtId="186" fontId="146" fillId="3" borderId="3834">
      <alignment horizontal="left"/>
    </xf>
    <xf numFmtId="186" fontId="146" fillId="3" borderId="3843" applyBorder="0">
      <alignment horizontal="left" vertical="center"/>
    </xf>
    <xf numFmtId="180" fontId="9" fillId="3" borderId="3843">
      <alignment horizontal="right" vertical="center"/>
    </xf>
    <xf numFmtId="192" fontId="9" fillId="3" borderId="3843">
      <alignment horizontal="right" vertical="center"/>
    </xf>
    <xf numFmtId="248" fontId="46" fillId="0" borderId="3843"/>
    <xf numFmtId="0" fontId="78" fillId="14" borderId="3833" applyFont="0" applyFill="0" applyBorder="0" applyAlignment="0" applyProtection="0"/>
    <xf numFmtId="0" fontId="12" fillId="0" borderId="3843" applyNumberFormat="0" applyFill="0" applyBorder="0" applyAlignment="0" applyProtection="0">
      <alignment horizontal="center"/>
    </xf>
    <xf numFmtId="0" fontId="75" fillId="0" borderId="3832" applyNumberFormat="0" applyFont="0" applyFill="0" applyAlignment="0" applyProtection="0"/>
    <xf numFmtId="0" fontId="113" fillId="0" borderId="3843" applyNumberFormat="0" applyFill="0" applyAlignment="0" applyProtection="0"/>
    <xf numFmtId="222" fontId="79" fillId="0" borderId="3842" applyBorder="0"/>
    <xf numFmtId="0" fontId="101" fillId="0" borderId="3843" applyBorder="0"/>
    <xf numFmtId="0" fontId="25" fillId="10" borderId="3850" applyNumberFormat="0" applyProtection="0">
      <alignment horizontal="left" vertical="top"/>
    </xf>
    <xf numFmtId="0" fontId="25" fillId="10" borderId="3851" applyNumberFormat="0" applyProtection="0">
      <alignment horizontal="left" vertical="top"/>
    </xf>
    <xf numFmtId="0" fontId="25" fillId="10" borderId="3852" applyNumberFormat="0" applyProtection="0">
      <alignment horizontal="left" vertical="top"/>
    </xf>
    <xf numFmtId="0" fontId="25" fillId="10" borderId="3853" applyNumberFormat="0" applyProtection="0">
      <alignment horizontal="left" vertical="top"/>
    </xf>
    <xf numFmtId="246" fontId="250" fillId="0" borderId="3831" applyFill="0" applyProtection="0">
      <alignment horizontal="center"/>
    </xf>
    <xf numFmtId="246" fontId="249" fillId="0" borderId="3831" applyFill="0" applyProtection="0">
      <alignment horizontal="center"/>
    </xf>
    <xf numFmtId="0" fontId="241" fillId="94" borderId="3831" applyBorder="0" applyProtection="0">
      <alignment horizontal="centerContinuous" vertical="center"/>
    </xf>
    <xf numFmtId="254" fontId="240" fillId="0" borderId="3831" applyBorder="0" applyProtection="0">
      <alignment horizontal="right" vertical="center"/>
    </xf>
    <xf numFmtId="0" fontId="210" fillId="0" borderId="3831" applyNumberFormat="0" applyFill="0" applyBorder="0" applyAlignment="0">
      <protection locked="0"/>
    </xf>
    <xf numFmtId="264" fontId="12" fillId="14" borderId="3831" applyFont="0" applyFill="0" applyBorder="0" applyAlignment="0" applyProtection="0">
      <alignment horizontal="right"/>
    </xf>
    <xf numFmtId="0" fontId="166" fillId="0" borderId="3831">
      <alignment horizontal="center"/>
    </xf>
    <xf numFmtId="0" fontId="165" fillId="0" borderId="3831" applyFill="0" applyProtection="0">
      <alignment horizontal="center"/>
    </xf>
    <xf numFmtId="186" fontId="146" fillId="3" borderId="3831" applyBorder="0">
      <alignment horizontal="left" vertical="center"/>
    </xf>
    <xf numFmtId="180" fontId="9" fillId="3" borderId="3831">
      <alignment horizontal="right" vertical="center"/>
    </xf>
    <xf numFmtId="192" fontId="9" fillId="3" borderId="3831">
      <alignment horizontal="right" vertical="center"/>
    </xf>
    <xf numFmtId="248" fontId="46" fillId="0" borderId="3831"/>
    <xf numFmtId="0" fontId="12" fillId="0" borderId="3831" applyNumberFormat="0" applyFill="0" applyBorder="0" applyAlignment="0" applyProtection="0">
      <alignment horizontal="center"/>
    </xf>
    <xf numFmtId="0" fontId="113" fillId="0" borderId="3831" applyNumberFormat="0" applyFill="0" applyAlignment="0" applyProtection="0"/>
    <xf numFmtId="222" fontId="79" fillId="0" borderId="3830" applyBorder="0"/>
    <xf numFmtId="0" fontId="101" fillId="0" borderId="3831" applyBorder="0"/>
    <xf numFmtId="246" fontId="250" fillId="0" borderId="3831" applyFill="0" applyProtection="0">
      <alignment horizontal="center"/>
    </xf>
    <xf numFmtId="246" fontId="249" fillId="0" borderId="3831" applyFill="0" applyProtection="0">
      <alignment horizontal="center"/>
    </xf>
    <xf numFmtId="0" fontId="241" fillId="94" borderId="3831" applyBorder="0" applyProtection="0">
      <alignment horizontal="centerContinuous" vertical="center"/>
    </xf>
    <xf numFmtId="254" fontId="240" fillId="0" borderId="3831" applyBorder="0" applyProtection="0">
      <alignment horizontal="right" vertical="center"/>
    </xf>
    <xf numFmtId="0" fontId="210" fillId="0" borderId="3831" applyNumberFormat="0" applyFill="0" applyBorder="0" applyAlignment="0">
      <protection locked="0"/>
    </xf>
    <xf numFmtId="264" fontId="12" fillId="14" borderId="3831" applyFont="0" applyFill="0" applyBorder="0" applyAlignment="0" applyProtection="0">
      <alignment horizontal="right"/>
    </xf>
    <xf numFmtId="0" fontId="166" fillId="0" borderId="3831">
      <alignment horizontal="center"/>
    </xf>
    <xf numFmtId="0" fontId="165" fillId="0" borderId="3831" applyFill="0" applyProtection="0">
      <alignment horizontal="center"/>
    </xf>
    <xf numFmtId="186" fontId="146" fillId="3" borderId="3831" applyBorder="0">
      <alignment horizontal="left" vertical="center"/>
    </xf>
    <xf numFmtId="180" fontId="9" fillId="3" borderId="3831">
      <alignment horizontal="right" vertical="center"/>
    </xf>
    <xf numFmtId="192" fontId="9" fillId="3" borderId="3831">
      <alignment horizontal="right" vertical="center"/>
    </xf>
    <xf numFmtId="0" fontId="12" fillId="0" borderId="3831" applyNumberFormat="0" applyFill="0" applyBorder="0" applyAlignment="0" applyProtection="0">
      <alignment horizontal="center"/>
    </xf>
    <xf numFmtId="0" fontId="113" fillId="0" borderId="3831" applyNumberFormat="0" applyFill="0" applyAlignment="0" applyProtection="0"/>
    <xf numFmtId="222" fontId="79" fillId="0" borderId="3830" applyBorder="0"/>
    <xf numFmtId="0" fontId="101" fillId="0" borderId="3831" applyBorder="0"/>
    <xf numFmtId="248" fontId="46" fillId="0" borderId="3831"/>
    <xf numFmtId="246" fontId="250" fillId="0" borderId="3831" applyFill="0" applyProtection="0">
      <alignment horizontal="center"/>
    </xf>
    <xf numFmtId="246" fontId="249" fillId="0" borderId="3831" applyFill="0" applyProtection="0">
      <alignment horizontal="center"/>
    </xf>
    <xf numFmtId="0" fontId="241" fillId="94" borderId="3831" applyBorder="0" applyProtection="0">
      <alignment horizontal="centerContinuous" vertical="center"/>
    </xf>
    <xf numFmtId="254" fontId="240" fillId="0" borderId="3831" applyBorder="0" applyProtection="0">
      <alignment horizontal="right" vertical="center"/>
    </xf>
    <xf numFmtId="0" fontId="210" fillId="0" borderId="3831" applyNumberFormat="0" applyFill="0" applyBorder="0" applyAlignment="0">
      <protection locked="0"/>
    </xf>
    <xf numFmtId="264" fontId="12" fillId="14" borderId="3831" applyFont="0" applyFill="0" applyBorder="0" applyAlignment="0" applyProtection="0">
      <alignment horizontal="right"/>
    </xf>
    <xf numFmtId="0" fontId="166" fillId="0" borderId="3831">
      <alignment horizontal="center"/>
    </xf>
    <xf numFmtId="0" fontId="165" fillId="0" borderId="3831" applyFill="0" applyProtection="0">
      <alignment horizontal="center"/>
    </xf>
    <xf numFmtId="186" fontId="146" fillId="3" borderId="3831" applyBorder="0">
      <alignment horizontal="left" vertical="center"/>
    </xf>
    <xf numFmtId="180" fontId="9" fillId="3" borderId="3831">
      <alignment horizontal="right" vertical="center"/>
    </xf>
    <xf numFmtId="192" fontId="9" fillId="3" borderId="3831">
      <alignment horizontal="right" vertical="center"/>
    </xf>
    <xf numFmtId="248" fontId="46" fillId="0" borderId="3831"/>
    <xf numFmtId="0" fontId="12" fillId="0" borderId="3831" applyNumberFormat="0" applyFill="0" applyBorder="0" applyAlignment="0" applyProtection="0">
      <alignment horizontal="center"/>
    </xf>
    <xf numFmtId="0" fontId="113" fillId="0" borderId="3831" applyNumberFormat="0" applyFill="0" applyAlignment="0" applyProtection="0"/>
    <xf numFmtId="222" fontId="79" fillId="0" borderId="3830" applyBorder="0"/>
    <xf numFmtId="0" fontId="101" fillId="0" borderId="3831" applyBorder="0"/>
    <xf numFmtId="0" fontId="241" fillId="94" borderId="4035" applyBorder="0" applyProtection="0">
      <alignment horizontal="centerContinuous" vertical="center"/>
    </xf>
    <xf numFmtId="190" fontId="25" fillId="10" borderId="3898" applyNumberFormat="0" applyProtection="0">
      <alignment horizontal="left" vertical="top"/>
    </xf>
    <xf numFmtId="190" fontId="25" fillId="10" borderId="3899" applyNumberFormat="0" applyProtection="0">
      <alignment horizontal="left" vertical="top"/>
    </xf>
    <xf numFmtId="190" fontId="25" fillId="10" borderId="3900" applyNumberFormat="0" applyProtection="0">
      <alignment horizontal="left" vertical="top"/>
    </xf>
    <xf numFmtId="190" fontId="25" fillId="10" borderId="3901" applyNumberFormat="0" applyProtection="0">
      <alignment horizontal="left" vertical="top"/>
    </xf>
    <xf numFmtId="190" fontId="241" fillId="94" borderId="3915" applyBorder="0" applyProtection="0">
      <alignment horizontal="centerContinuous" vertical="center"/>
    </xf>
    <xf numFmtId="222" fontId="79" fillId="0" borderId="3434" applyBorder="0"/>
    <xf numFmtId="264" fontId="12" fillId="14" borderId="4251" applyFont="0" applyFill="0" applyBorder="0" applyAlignment="0" applyProtection="0">
      <alignment horizontal="right"/>
    </xf>
    <xf numFmtId="222" fontId="79" fillId="0" borderId="3914" applyBorder="0"/>
    <xf numFmtId="0" fontId="101" fillId="0" borderId="3915" applyBorder="0"/>
    <xf numFmtId="222" fontId="79" fillId="0" borderId="3914" applyBorder="0"/>
    <xf numFmtId="0" fontId="113" fillId="0" borderId="3915" applyNumberFormat="0" applyFill="0" applyAlignment="0" applyProtection="0"/>
    <xf numFmtId="0" fontId="75" fillId="0" borderId="3892" applyNumberFormat="0" applyFont="0" applyFill="0" applyAlignment="0" applyProtection="0"/>
    <xf numFmtId="0" fontId="12" fillId="0" borderId="3915" applyNumberFormat="0" applyFill="0" applyBorder="0" applyAlignment="0" applyProtection="0">
      <alignment horizontal="center"/>
    </xf>
    <xf numFmtId="248" fontId="46" fillId="0" borderId="3915"/>
    <xf numFmtId="192" fontId="9" fillId="3" borderId="3915">
      <alignment horizontal="right" vertical="center"/>
    </xf>
    <xf numFmtId="180" fontId="9" fillId="3" borderId="3915">
      <alignment horizontal="right" vertical="center"/>
    </xf>
    <xf numFmtId="186" fontId="146" fillId="3" borderId="3915" applyBorder="0">
      <alignment horizontal="left" vertical="center"/>
    </xf>
    <xf numFmtId="186" fontId="146" fillId="3" borderId="3894">
      <alignment horizontal="left"/>
    </xf>
    <xf numFmtId="186" fontId="140" fillId="3" borderId="3895">
      <alignment horizontal="center" vertical="center"/>
    </xf>
    <xf numFmtId="0" fontId="165" fillId="0" borderId="3915" applyFill="0" applyProtection="0">
      <alignment horizontal="center"/>
    </xf>
    <xf numFmtId="0" fontId="166" fillId="0" borderId="3915">
      <alignment horizontal="center"/>
    </xf>
    <xf numFmtId="264" fontId="12" fillId="14" borderId="3915" applyFont="0" applyFill="0" applyBorder="0" applyAlignment="0" applyProtection="0">
      <alignment horizontal="right"/>
    </xf>
    <xf numFmtId="0" fontId="210" fillId="0" borderId="3915" applyNumberFormat="0" applyFill="0" applyBorder="0" applyAlignment="0">
      <protection locked="0"/>
    </xf>
    <xf numFmtId="0" fontId="2" fillId="0" borderId="3896" applyNumberFormat="0" applyAlignment="0" applyProtection="0"/>
    <xf numFmtId="0" fontId="214" fillId="0" borderId="3897" applyNumberFormat="0" applyFont="0" applyFill="0" applyAlignment="0" applyProtection="0"/>
    <xf numFmtId="0" fontId="25" fillId="10" borderId="3898" applyNumberFormat="0" applyProtection="0">
      <alignment horizontal="left" vertical="top"/>
    </xf>
    <xf numFmtId="0" fontId="25" fillId="10" borderId="3899" applyNumberFormat="0" applyProtection="0">
      <alignment horizontal="left" vertical="top"/>
    </xf>
    <xf numFmtId="0" fontId="25" fillId="10" borderId="3900" applyNumberFormat="0" applyProtection="0">
      <alignment horizontal="left" vertical="top"/>
    </xf>
    <xf numFmtId="0" fontId="25" fillId="10" borderId="3901" applyNumberFormat="0" applyProtection="0">
      <alignment horizontal="left" vertical="top"/>
    </xf>
    <xf numFmtId="0" fontId="25" fillId="10" borderId="3898" applyNumberFormat="0" applyProtection="0">
      <alignment horizontal="left" vertical="top"/>
    </xf>
    <xf numFmtId="0" fontId="25" fillId="10" borderId="3899" applyNumberFormat="0" applyProtection="0">
      <alignment horizontal="left" vertical="top"/>
    </xf>
    <xf numFmtId="0" fontId="25" fillId="10" borderId="3900" applyNumberFormat="0" applyProtection="0">
      <alignment horizontal="left" vertical="top"/>
    </xf>
    <xf numFmtId="0" fontId="25" fillId="10" borderId="3901" applyNumberFormat="0" applyProtection="0">
      <alignment horizontal="left" vertical="top"/>
    </xf>
    <xf numFmtId="254" fontId="240" fillId="0" borderId="3915" applyBorder="0" applyProtection="0">
      <alignment horizontal="right" vertical="center"/>
    </xf>
    <xf numFmtId="0" fontId="241" fillId="94" borderId="3915" applyBorder="0" applyProtection="0">
      <alignment horizontal="centerContinuous" vertical="center"/>
    </xf>
    <xf numFmtId="246" fontId="249" fillId="0" borderId="3915" applyFill="0" applyProtection="0">
      <alignment horizontal="center"/>
    </xf>
    <xf numFmtId="246" fontId="250" fillId="0" borderId="3915" applyFill="0" applyProtection="0">
      <alignment horizontal="center"/>
    </xf>
    <xf numFmtId="0" fontId="78" fillId="14" borderId="4085" applyFont="0" applyFill="0" applyBorder="0" applyAlignment="0" applyProtection="0"/>
    <xf numFmtId="312" fontId="101" fillId="0" borderId="3915" applyBorder="0"/>
    <xf numFmtId="312" fontId="113" fillId="0" borderId="3915" applyNumberFormat="0" applyFill="0" applyAlignment="0" applyProtection="0"/>
    <xf numFmtId="312" fontId="75" fillId="0" borderId="3892" applyNumberFormat="0" applyFont="0" applyFill="0" applyAlignment="0" applyProtection="0"/>
    <xf numFmtId="312" fontId="12" fillId="0" borderId="3915" applyNumberFormat="0" applyFill="0" applyBorder="0" applyAlignment="0" applyProtection="0">
      <alignment horizontal="center"/>
    </xf>
    <xf numFmtId="312" fontId="78" fillId="14" borderId="3725" applyFont="0" applyFill="0" applyBorder="0" applyAlignment="0" applyProtection="0"/>
    <xf numFmtId="312" fontId="165" fillId="0" borderId="3915" applyFill="0" applyProtection="0">
      <alignment horizontal="center"/>
    </xf>
    <xf numFmtId="312" fontId="242" fillId="0" borderId="3915">
      <alignment horizontal="center"/>
    </xf>
    <xf numFmtId="312" fontId="210" fillId="0" borderId="3915" applyNumberFormat="0" applyFill="0" applyBorder="0" applyAlignment="0">
      <protection locked="0"/>
    </xf>
    <xf numFmtId="312" fontId="2" fillId="0" borderId="3896" applyNumberFormat="0" applyAlignment="0" applyProtection="0"/>
    <xf numFmtId="312" fontId="214" fillId="0" borderId="3897" applyNumberFormat="0" applyFont="0" applyFill="0" applyAlignment="0" applyProtection="0"/>
    <xf numFmtId="222" fontId="79" fillId="0" borderId="4034" applyBorder="0"/>
    <xf numFmtId="312" fontId="25" fillId="10" borderId="3898" applyNumberFormat="0" applyProtection="0">
      <alignment horizontal="left" vertical="top"/>
    </xf>
    <xf numFmtId="312" fontId="25" fillId="10" borderId="3899" applyNumberFormat="0" applyProtection="0">
      <alignment horizontal="left" vertical="top"/>
    </xf>
    <xf numFmtId="312" fontId="25" fillId="10" borderId="3900" applyNumberFormat="0" applyProtection="0">
      <alignment horizontal="left" vertical="top"/>
    </xf>
    <xf numFmtId="312" fontId="25" fillId="10" borderId="3901" applyNumberFormat="0" applyProtection="0">
      <alignment horizontal="left" vertical="top"/>
    </xf>
    <xf numFmtId="312" fontId="241" fillId="94" borderId="3915" applyBorder="0" applyProtection="0">
      <alignment horizontal="centerContinuous" vertical="center"/>
    </xf>
    <xf numFmtId="246" fontId="296" fillId="0" borderId="3915" applyFill="0" applyProtection="0">
      <alignment horizontal="center"/>
    </xf>
    <xf numFmtId="248" fontId="46" fillId="0" borderId="4035"/>
    <xf numFmtId="0" fontId="113" fillId="0" borderId="4035" applyNumberFormat="0" applyFill="0" applyAlignment="0" applyProtection="0"/>
    <xf numFmtId="0" fontId="12" fillId="0" borderId="4035" applyNumberFormat="0" applyFill="0" applyBorder="0" applyAlignment="0" applyProtection="0">
      <alignment horizontal="center"/>
    </xf>
    <xf numFmtId="312" fontId="101" fillId="0" borderId="3915" applyBorder="0"/>
    <xf numFmtId="312" fontId="113" fillId="0" borderId="3915" applyNumberFormat="0" applyFill="0" applyAlignment="0" applyProtection="0"/>
    <xf numFmtId="312" fontId="75" fillId="0" borderId="3892" applyNumberFormat="0" applyFont="0" applyFill="0" applyAlignment="0" applyProtection="0"/>
    <xf numFmtId="312" fontId="12" fillId="0" borderId="3915" applyNumberFormat="0" applyFill="0" applyBorder="0" applyAlignment="0" applyProtection="0">
      <alignment horizontal="center"/>
    </xf>
    <xf numFmtId="312" fontId="78" fillId="14" borderId="3725" applyFont="0" applyFill="0" applyBorder="0" applyAlignment="0" applyProtection="0"/>
    <xf numFmtId="312" fontId="165" fillId="0" borderId="3915" applyFill="0" applyProtection="0">
      <alignment horizontal="center"/>
    </xf>
    <xf numFmtId="312" fontId="242" fillId="0" borderId="3915">
      <alignment horizontal="center"/>
    </xf>
    <xf numFmtId="312" fontId="210" fillId="0" borderId="3915" applyNumberFormat="0" applyFill="0" applyBorder="0" applyAlignment="0">
      <protection locked="0"/>
    </xf>
    <xf numFmtId="312" fontId="2" fillId="0" borderId="3896" applyNumberFormat="0" applyAlignment="0" applyProtection="0"/>
    <xf numFmtId="312" fontId="214" fillId="0" borderId="3897" applyNumberFormat="0" applyFont="0" applyFill="0" applyAlignment="0" applyProtection="0"/>
    <xf numFmtId="312" fontId="25" fillId="10" borderId="3898" applyNumberFormat="0" applyProtection="0">
      <alignment horizontal="left" vertical="top"/>
    </xf>
    <xf numFmtId="312" fontId="25" fillId="10" borderId="3899" applyNumberFormat="0" applyProtection="0">
      <alignment horizontal="left" vertical="top"/>
    </xf>
    <xf numFmtId="312" fontId="25" fillId="10" borderId="3900" applyNumberFormat="0" applyProtection="0">
      <alignment horizontal="left" vertical="top"/>
    </xf>
    <xf numFmtId="312" fontId="25" fillId="10" borderId="3901" applyNumberFormat="0" applyProtection="0">
      <alignment horizontal="left" vertical="top"/>
    </xf>
    <xf numFmtId="312" fontId="25" fillId="10" borderId="3898" applyNumberFormat="0" applyProtection="0">
      <alignment horizontal="left" vertical="top"/>
    </xf>
    <xf numFmtId="312" fontId="25" fillId="10" borderId="3899" applyNumberFormat="0" applyProtection="0">
      <alignment horizontal="left" vertical="top"/>
    </xf>
    <xf numFmtId="312" fontId="25" fillId="10" borderId="3900" applyNumberFormat="0" applyProtection="0">
      <alignment horizontal="left" vertical="top"/>
    </xf>
    <xf numFmtId="312" fontId="25" fillId="10" borderId="3901" applyNumberFormat="0" applyProtection="0">
      <alignment horizontal="left" vertical="top"/>
    </xf>
    <xf numFmtId="312" fontId="241" fillId="94" borderId="3915" applyBorder="0" applyProtection="0">
      <alignment horizontal="centerContinuous" vertical="center"/>
    </xf>
    <xf numFmtId="246" fontId="296" fillId="0" borderId="3915" applyFill="0" applyProtection="0">
      <alignment horizontal="center"/>
    </xf>
    <xf numFmtId="246" fontId="250" fillId="0" borderId="3915" applyFill="0" applyProtection="0">
      <alignment horizontal="center"/>
    </xf>
    <xf numFmtId="246" fontId="249" fillId="0" borderId="3915" applyFill="0" applyProtection="0">
      <alignment horizontal="center"/>
    </xf>
    <xf numFmtId="0" fontId="241" fillId="94" borderId="3915" applyBorder="0" applyProtection="0">
      <alignment horizontal="centerContinuous" vertical="center"/>
    </xf>
    <xf numFmtId="254" fontId="240" fillId="0" borderId="3915" applyBorder="0" applyProtection="0">
      <alignment horizontal="right" vertical="center"/>
    </xf>
    <xf numFmtId="0" fontId="25" fillId="10" borderId="3853" applyNumberFormat="0" applyProtection="0">
      <alignment horizontal="left" vertical="top"/>
    </xf>
    <xf numFmtId="0" fontId="25" fillId="10" borderId="3852" applyNumberFormat="0" applyProtection="0">
      <alignment horizontal="left" vertical="top"/>
    </xf>
    <xf numFmtId="0" fontId="25" fillId="10" borderId="3851" applyNumberFormat="0" applyProtection="0">
      <alignment horizontal="left" vertical="top"/>
    </xf>
    <xf numFmtId="0" fontId="25" fillId="10" borderId="3850" applyNumberFormat="0" applyProtection="0">
      <alignment horizontal="left" vertical="top"/>
    </xf>
    <xf numFmtId="0" fontId="214" fillId="0" borderId="3849" applyNumberFormat="0" applyFont="0" applyFill="0" applyAlignment="0" applyProtection="0"/>
    <xf numFmtId="0" fontId="2" fillId="0" borderId="3848" applyNumberFormat="0" applyAlignment="0" applyProtection="0"/>
    <xf numFmtId="0" fontId="210" fillId="0" borderId="3915" applyNumberFormat="0" applyFill="0" applyBorder="0" applyAlignment="0">
      <protection locked="0"/>
    </xf>
    <xf numFmtId="264" fontId="12" fillId="14" borderId="3915" applyFont="0" applyFill="0" applyBorder="0" applyAlignment="0" applyProtection="0">
      <alignment horizontal="right"/>
    </xf>
    <xf numFmtId="254" fontId="240" fillId="0" borderId="4023" applyBorder="0" applyProtection="0">
      <alignment horizontal="right" vertical="center"/>
    </xf>
    <xf numFmtId="0" fontId="166" fillId="0" borderId="3915">
      <alignment horizontal="center"/>
    </xf>
    <xf numFmtId="0" fontId="165" fillId="0" borderId="3915" applyFill="0" applyProtection="0">
      <alignment horizontal="center"/>
    </xf>
    <xf numFmtId="186" fontId="140" fillId="3" borderId="3847">
      <alignment horizontal="center" vertical="center"/>
    </xf>
    <xf numFmtId="186" fontId="146" fillId="3" borderId="3846">
      <alignment horizontal="left"/>
    </xf>
    <xf numFmtId="186" fontId="146" fillId="3" borderId="3915" applyBorder="0">
      <alignment horizontal="left" vertical="center"/>
    </xf>
    <xf numFmtId="180" fontId="9" fillId="3" borderId="3915">
      <alignment horizontal="right" vertical="center"/>
    </xf>
    <xf numFmtId="192" fontId="9" fillId="3" borderId="3915">
      <alignment horizontal="right" vertical="center"/>
    </xf>
    <xf numFmtId="248" fontId="46" fillId="0" borderId="3915"/>
    <xf numFmtId="0" fontId="78" fillId="14" borderId="3845" applyFont="0" applyFill="0" applyBorder="0" applyAlignment="0" applyProtection="0"/>
    <xf numFmtId="222" fontId="79" fillId="0" borderId="4094" applyBorder="0"/>
    <xf numFmtId="0" fontId="12" fillId="0" borderId="3915" applyNumberFormat="0" applyFill="0" applyBorder="0" applyAlignment="0" applyProtection="0">
      <alignment horizontal="center"/>
    </xf>
    <xf numFmtId="0" fontId="75" fillId="0" borderId="3844" applyNumberFormat="0" applyFont="0" applyFill="0" applyAlignment="0" applyProtection="0"/>
    <xf numFmtId="0" fontId="113" fillId="0" borderId="3915" applyNumberFormat="0" applyFill="0" applyAlignment="0" applyProtection="0"/>
    <xf numFmtId="222" fontId="79" fillId="0" borderId="3914" applyBorder="0"/>
    <xf numFmtId="0" fontId="101" fillId="0" borderId="3915" applyBorder="0"/>
    <xf numFmtId="0" fontId="25" fillId="10" borderId="3922" applyNumberFormat="0" applyProtection="0">
      <alignment horizontal="left" vertical="top"/>
    </xf>
    <xf numFmtId="0" fontId="25" fillId="10" borderId="3923" applyNumberFormat="0" applyProtection="0">
      <alignment horizontal="left" vertical="top"/>
    </xf>
    <xf numFmtId="0" fontId="25" fillId="10" borderId="3924" applyNumberFormat="0" applyProtection="0">
      <alignment horizontal="left" vertical="top"/>
    </xf>
    <xf numFmtId="0" fontId="25" fillId="10" borderId="3925" applyNumberFormat="0" applyProtection="0">
      <alignment horizontal="left" vertical="top"/>
    </xf>
    <xf numFmtId="246" fontId="249" fillId="0" borderId="4035" applyFill="0" applyProtection="0">
      <alignment horizontal="center"/>
    </xf>
    <xf numFmtId="0" fontId="210" fillId="0" borderId="4035" applyNumberFormat="0" applyFill="0" applyBorder="0" applyAlignment="0">
      <protection locked="0"/>
    </xf>
    <xf numFmtId="246" fontId="250" fillId="0" borderId="3855" applyFill="0" applyProtection="0">
      <alignment horizontal="center"/>
    </xf>
    <xf numFmtId="246" fontId="249" fillId="0" borderId="3855" applyFill="0" applyProtection="0">
      <alignment horizontal="center"/>
    </xf>
    <xf numFmtId="0" fontId="241" fillId="94" borderId="3855" applyBorder="0" applyProtection="0">
      <alignment horizontal="centerContinuous" vertical="center"/>
    </xf>
    <xf numFmtId="254" fontId="240" fillId="0" borderId="3855" applyBorder="0" applyProtection="0">
      <alignment horizontal="right" vertical="center"/>
    </xf>
    <xf numFmtId="0" fontId="210" fillId="0" borderId="3855" applyNumberFormat="0" applyFill="0" applyBorder="0" applyAlignment="0">
      <protection locked="0"/>
    </xf>
    <xf numFmtId="264" fontId="12" fillId="14" borderId="3855" applyFont="0" applyFill="0" applyBorder="0" applyAlignment="0" applyProtection="0">
      <alignment horizontal="right"/>
    </xf>
    <xf numFmtId="0" fontId="166" fillId="0" borderId="3855">
      <alignment horizontal="center"/>
    </xf>
    <xf numFmtId="0" fontId="165" fillId="0" borderId="3855" applyFill="0" applyProtection="0">
      <alignment horizontal="center"/>
    </xf>
    <xf numFmtId="186" fontId="146" fillId="3" borderId="3855" applyBorder="0">
      <alignment horizontal="left" vertical="center"/>
    </xf>
    <xf numFmtId="180" fontId="9" fillId="3" borderId="3855">
      <alignment horizontal="right" vertical="center"/>
    </xf>
    <xf numFmtId="192" fontId="9" fillId="3" borderId="3855">
      <alignment horizontal="right" vertical="center"/>
    </xf>
    <xf numFmtId="248" fontId="46" fillId="0" borderId="3855"/>
    <xf numFmtId="0" fontId="12" fillId="0" borderId="3855" applyNumberFormat="0" applyFill="0" applyBorder="0" applyAlignment="0" applyProtection="0">
      <alignment horizontal="center"/>
    </xf>
    <xf numFmtId="0" fontId="113" fillId="0" borderId="3855" applyNumberFormat="0" applyFill="0" applyAlignment="0" applyProtection="0"/>
    <xf numFmtId="222" fontId="79" fillId="0" borderId="3734" applyBorder="0"/>
    <xf numFmtId="0" fontId="101" fillId="0" borderId="3855" applyBorder="0"/>
    <xf numFmtId="246" fontId="250" fillId="0" borderId="4023" applyFill="0" applyProtection="0">
      <alignment horizontal="center"/>
    </xf>
    <xf numFmtId="246" fontId="250" fillId="0" borderId="4035" applyFill="0" applyProtection="0">
      <alignment horizontal="center"/>
    </xf>
    <xf numFmtId="246" fontId="250" fillId="0" borderId="3855" applyFill="0" applyProtection="0">
      <alignment horizontal="center"/>
    </xf>
    <xf numFmtId="246" fontId="249" fillId="0" borderId="3855" applyFill="0" applyProtection="0">
      <alignment horizontal="center"/>
    </xf>
    <xf numFmtId="0" fontId="241" fillId="94" borderId="3855" applyBorder="0" applyProtection="0">
      <alignment horizontal="centerContinuous" vertical="center"/>
    </xf>
    <xf numFmtId="254" fontId="240" fillId="0" borderId="3855" applyBorder="0" applyProtection="0">
      <alignment horizontal="right" vertical="center"/>
    </xf>
    <xf numFmtId="180" fontId="9" fillId="3" borderId="4095">
      <alignment horizontal="right" vertical="center"/>
    </xf>
    <xf numFmtId="0" fontId="210" fillId="0" borderId="3855" applyNumberFormat="0" applyFill="0" applyBorder="0" applyAlignment="0">
      <protection locked="0"/>
    </xf>
    <xf numFmtId="264" fontId="12" fillId="14" borderId="3855" applyFont="0" applyFill="0" applyBorder="0" applyAlignment="0" applyProtection="0">
      <alignment horizontal="right"/>
    </xf>
    <xf numFmtId="0" fontId="166" fillId="0" borderId="3855">
      <alignment horizontal="center"/>
    </xf>
    <xf numFmtId="0" fontId="165" fillId="0" borderId="3855" applyFill="0" applyProtection="0">
      <alignment horizontal="center"/>
    </xf>
    <xf numFmtId="186" fontId="146" fillId="3" borderId="3855" applyBorder="0">
      <alignment horizontal="left" vertical="center"/>
    </xf>
    <xf numFmtId="180" fontId="9" fillId="3" borderId="3855">
      <alignment horizontal="right" vertical="center"/>
    </xf>
    <xf numFmtId="192" fontId="9" fillId="3" borderId="3855">
      <alignment horizontal="right" vertical="center"/>
    </xf>
    <xf numFmtId="0" fontId="12" fillId="0" borderId="3855" applyNumberFormat="0" applyFill="0" applyBorder="0" applyAlignment="0" applyProtection="0">
      <alignment horizontal="center"/>
    </xf>
    <xf numFmtId="0" fontId="113" fillId="0" borderId="3855" applyNumberFormat="0" applyFill="0" applyAlignment="0" applyProtection="0"/>
    <xf numFmtId="222" fontId="79" fillId="0" borderId="3734" applyBorder="0"/>
    <xf numFmtId="0" fontId="101" fillId="0" borderId="3855" applyBorder="0"/>
    <xf numFmtId="0" fontId="210" fillId="0" borderId="4035" applyNumberFormat="0" applyFill="0" applyBorder="0" applyAlignment="0">
      <protection locked="0"/>
    </xf>
    <xf numFmtId="248" fontId="46" fillId="0" borderId="3855"/>
    <xf numFmtId="246" fontId="249" fillId="0" borderId="4083" applyFill="0" applyProtection="0">
      <alignment horizontal="center"/>
    </xf>
    <xf numFmtId="246" fontId="250" fillId="0" borderId="3855" applyFill="0" applyProtection="0">
      <alignment horizontal="center"/>
    </xf>
    <xf numFmtId="246" fontId="249" fillId="0" borderId="3855" applyFill="0" applyProtection="0">
      <alignment horizontal="center"/>
    </xf>
    <xf numFmtId="0" fontId="241" fillId="94" borderId="3855" applyBorder="0" applyProtection="0">
      <alignment horizontal="centerContinuous" vertical="center"/>
    </xf>
    <xf numFmtId="254" fontId="240" fillId="0" borderId="3855" applyBorder="0" applyProtection="0">
      <alignment horizontal="right" vertical="center"/>
    </xf>
    <xf numFmtId="0" fontId="210" fillId="0" borderId="3855" applyNumberFormat="0" applyFill="0" applyBorder="0" applyAlignment="0">
      <protection locked="0"/>
    </xf>
    <xf numFmtId="264" fontId="12" fillId="14" borderId="3855" applyFont="0" applyFill="0" applyBorder="0" applyAlignment="0" applyProtection="0">
      <alignment horizontal="right"/>
    </xf>
    <xf numFmtId="0" fontId="166" fillId="0" borderId="3855">
      <alignment horizontal="center"/>
    </xf>
    <xf numFmtId="0" fontId="165" fillId="0" borderId="3855" applyFill="0" applyProtection="0">
      <alignment horizontal="center"/>
    </xf>
    <xf numFmtId="186" fontId="146" fillId="3" borderId="3855" applyBorder="0">
      <alignment horizontal="left" vertical="center"/>
    </xf>
    <xf numFmtId="180" fontId="9" fillId="3" borderId="3855">
      <alignment horizontal="right" vertical="center"/>
    </xf>
    <xf numFmtId="192" fontId="9" fillId="3" borderId="3855">
      <alignment horizontal="right" vertical="center"/>
    </xf>
    <xf numFmtId="248" fontId="46" fillId="0" borderId="3855"/>
    <xf numFmtId="0" fontId="12" fillId="0" borderId="3855" applyNumberFormat="0" applyFill="0" applyBorder="0" applyAlignment="0" applyProtection="0">
      <alignment horizontal="center"/>
    </xf>
    <xf numFmtId="0" fontId="113" fillId="0" borderId="3855" applyNumberFormat="0" applyFill="0" applyAlignment="0" applyProtection="0"/>
    <xf numFmtId="222" fontId="79" fillId="0" borderId="3734" applyBorder="0"/>
    <xf numFmtId="0" fontId="101" fillId="0" borderId="3855" applyBorder="0"/>
    <xf numFmtId="0" fontId="25" fillId="10" borderId="4078" applyNumberFormat="0" applyProtection="0">
      <alignment horizontal="left" vertical="top"/>
    </xf>
    <xf numFmtId="222" fontId="79" fillId="0" borderId="3926" applyBorder="0"/>
    <xf numFmtId="0" fontId="101" fillId="0" borderId="3927" applyBorder="0"/>
    <xf numFmtId="222" fontId="79" fillId="0" borderId="3926" applyBorder="0"/>
    <xf numFmtId="0" fontId="113" fillId="0" borderId="3927" applyNumberFormat="0" applyFill="0" applyAlignment="0" applyProtection="0"/>
    <xf numFmtId="0" fontId="12" fillId="0" borderId="3927" applyNumberFormat="0" applyFill="0" applyBorder="0" applyAlignment="0" applyProtection="0">
      <alignment horizontal="center"/>
    </xf>
    <xf numFmtId="248" fontId="46" fillId="0" borderId="3927"/>
    <xf numFmtId="192" fontId="9" fillId="3" borderId="3927">
      <alignment horizontal="right" vertical="center"/>
    </xf>
    <xf numFmtId="180" fontId="9" fillId="3" borderId="3927">
      <alignment horizontal="right" vertical="center"/>
    </xf>
    <xf numFmtId="186" fontId="146" fillId="3" borderId="3927" applyBorder="0">
      <alignment horizontal="left" vertical="center"/>
    </xf>
    <xf numFmtId="0" fontId="165" fillId="0" borderId="3927" applyFill="0" applyProtection="0">
      <alignment horizontal="center"/>
    </xf>
    <xf numFmtId="0" fontId="166" fillId="0" borderId="3927">
      <alignment horizontal="center"/>
    </xf>
    <xf numFmtId="264" fontId="12" fillId="14" borderId="3927" applyFont="0" applyFill="0" applyBorder="0" applyAlignment="0" applyProtection="0">
      <alignment horizontal="right"/>
    </xf>
    <xf numFmtId="0" fontId="210" fillId="0" borderId="3927" applyNumberFormat="0" applyFill="0" applyBorder="0" applyAlignment="0">
      <protection locked="0"/>
    </xf>
    <xf numFmtId="254" fontId="240" fillId="0" borderId="3927" applyBorder="0" applyProtection="0">
      <alignment horizontal="right" vertical="center"/>
    </xf>
    <xf numFmtId="0" fontId="241" fillId="94" borderId="3927" applyBorder="0" applyProtection="0">
      <alignment horizontal="centerContinuous" vertical="center"/>
    </xf>
    <xf numFmtId="246" fontId="249" fillId="0" borderId="3927" applyFill="0" applyProtection="0">
      <alignment horizontal="center"/>
    </xf>
    <xf numFmtId="246" fontId="250" fillId="0" borderId="3927" applyFill="0" applyProtection="0">
      <alignment horizontal="center"/>
    </xf>
    <xf numFmtId="0" fontId="78" fillId="14" borderId="3929" applyFont="0" applyFill="0" applyBorder="0" applyAlignment="0" applyProtection="0"/>
    <xf numFmtId="0" fontId="25" fillId="10" borderId="3937" applyNumberFormat="0" applyProtection="0">
      <alignment horizontal="left" vertical="top"/>
    </xf>
    <xf numFmtId="0" fontId="25" fillId="10" borderId="3936" applyNumberFormat="0" applyProtection="0">
      <alignment horizontal="left" vertical="top"/>
    </xf>
    <xf numFmtId="0" fontId="25" fillId="10" borderId="3935" applyNumberFormat="0" applyProtection="0">
      <alignment horizontal="left" vertical="top"/>
    </xf>
    <xf numFmtId="0" fontId="25" fillId="10" borderId="3934" applyNumberFormat="0" applyProtection="0">
      <alignment horizontal="left" vertical="top"/>
    </xf>
    <xf numFmtId="0" fontId="214" fillId="0" borderId="3933" applyNumberFormat="0" applyFont="0" applyFill="0" applyAlignment="0" applyProtection="0"/>
    <xf numFmtId="0" fontId="2" fillId="0" borderId="3932" applyNumberFormat="0" applyAlignment="0" applyProtection="0"/>
    <xf numFmtId="186" fontId="140" fillId="3" borderId="3931">
      <alignment horizontal="center" vertical="center"/>
    </xf>
    <xf numFmtId="186" fontId="146" fillId="3" borderId="3930">
      <alignment horizontal="left"/>
    </xf>
    <xf numFmtId="0" fontId="75" fillId="0" borderId="3928" applyNumberFormat="0" applyFont="0" applyFill="0" applyAlignment="0" applyProtection="0"/>
    <xf numFmtId="222" fontId="79" fillId="0" borderId="3938" applyBorder="0"/>
    <xf numFmtId="0" fontId="101" fillId="0" borderId="3939" applyBorder="0"/>
    <xf numFmtId="222" fontId="79" fillId="0" borderId="3938" applyBorder="0"/>
    <xf numFmtId="0" fontId="113" fillId="0" borderId="3939" applyNumberFormat="0" applyFill="0" applyAlignment="0" applyProtection="0"/>
    <xf numFmtId="0" fontId="12" fillId="0" borderId="3939" applyNumberFormat="0" applyFill="0" applyBorder="0" applyAlignment="0" applyProtection="0">
      <alignment horizontal="center"/>
    </xf>
    <xf numFmtId="248" fontId="46" fillId="0" borderId="3939"/>
    <xf numFmtId="192" fontId="9" fillId="3" borderId="3939">
      <alignment horizontal="right" vertical="center"/>
    </xf>
    <xf numFmtId="180" fontId="9" fillId="3" borderId="3939">
      <alignment horizontal="right" vertical="center"/>
    </xf>
    <xf numFmtId="186" fontId="146" fillId="3" borderId="3939" applyBorder="0">
      <alignment horizontal="left" vertical="center"/>
    </xf>
    <xf numFmtId="0" fontId="165" fillId="0" borderId="3939" applyFill="0" applyProtection="0">
      <alignment horizontal="center"/>
    </xf>
    <xf numFmtId="0" fontId="166" fillId="0" borderId="3939">
      <alignment horizontal="center"/>
    </xf>
    <xf numFmtId="264" fontId="12" fillId="14" borderId="3939" applyFont="0" applyFill="0" applyBorder="0" applyAlignment="0" applyProtection="0">
      <alignment horizontal="right"/>
    </xf>
    <xf numFmtId="0" fontId="210" fillId="0" borderId="3939" applyNumberFormat="0" applyFill="0" applyBorder="0" applyAlignment="0">
      <protection locked="0"/>
    </xf>
    <xf numFmtId="254" fontId="240" fillId="0" borderId="3939" applyBorder="0" applyProtection="0">
      <alignment horizontal="right" vertical="center"/>
    </xf>
    <xf numFmtId="0" fontId="241" fillId="94" borderId="3939" applyBorder="0" applyProtection="0">
      <alignment horizontal="centerContinuous" vertical="center"/>
    </xf>
    <xf numFmtId="246" fontId="249" fillId="0" borderId="3939" applyFill="0" applyProtection="0">
      <alignment horizontal="center"/>
    </xf>
    <xf numFmtId="246" fontId="250" fillId="0" borderId="3939" applyFill="0" applyProtection="0">
      <alignment horizontal="center"/>
    </xf>
    <xf numFmtId="186" fontId="146" fillId="3" borderId="3942">
      <alignment horizontal="left"/>
    </xf>
    <xf numFmtId="0" fontId="75" fillId="0" borderId="3940" applyNumberFormat="0" applyFont="0" applyFill="0" applyAlignment="0" applyProtection="0"/>
    <xf numFmtId="0" fontId="113" fillId="0" borderId="4023" applyNumberFormat="0" applyFill="0" applyAlignment="0" applyProtection="0"/>
    <xf numFmtId="264" fontId="12" fillId="14" borderId="4023" applyFont="0" applyFill="0" applyBorder="0" applyAlignment="0" applyProtection="0">
      <alignment horizontal="right"/>
    </xf>
    <xf numFmtId="246" fontId="249" fillId="0" borderId="4023" applyFill="0" applyProtection="0">
      <alignment horizontal="center"/>
    </xf>
    <xf numFmtId="0" fontId="25" fillId="10" borderId="3949" applyNumberFormat="0" applyProtection="0">
      <alignment horizontal="left" vertical="top"/>
    </xf>
    <xf numFmtId="0" fontId="25" fillId="10" borderId="3947" applyNumberFormat="0" applyProtection="0">
      <alignment horizontal="left" vertical="top"/>
    </xf>
    <xf numFmtId="0" fontId="25" fillId="10" borderId="3948" applyNumberFormat="0" applyProtection="0">
      <alignment horizontal="left" vertical="top"/>
    </xf>
    <xf numFmtId="0" fontId="25" fillId="10" borderId="3946" applyNumberFormat="0" applyProtection="0">
      <alignment horizontal="left" vertical="top"/>
    </xf>
    <xf numFmtId="0" fontId="25" fillId="10" borderId="3949" applyNumberFormat="0" applyProtection="0">
      <alignment horizontal="left" vertical="top"/>
    </xf>
    <xf numFmtId="0" fontId="25" fillId="10" borderId="3948" applyNumberFormat="0" applyProtection="0">
      <alignment horizontal="left" vertical="top"/>
    </xf>
    <xf numFmtId="0" fontId="25" fillId="10" borderId="3947" applyNumberFormat="0" applyProtection="0">
      <alignment horizontal="left" vertical="top"/>
    </xf>
    <xf numFmtId="0" fontId="25" fillId="10" borderId="3946" applyNumberFormat="0" applyProtection="0">
      <alignment horizontal="left" vertical="top"/>
    </xf>
    <xf numFmtId="0" fontId="214" fillId="0" borderId="3945" applyNumberFormat="0" applyFont="0" applyFill="0" applyAlignment="0" applyProtection="0"/>
    <xf numFmtId="0" fontId="2" fillId="0" borderId="3944" applyNumberFormat="0" applyAlignment="0" applyProtection="0"/>
    <xf numFmtId="186" fontId="140" fillId="3" borderId="3943">
      <alignment horizontal="center" vertical="center"/>
    </xf>
    <xf numFmtId="186" fontId="140" fillId="3" borderId="3955">
      <alignment horizontal="center" vertical="center"/>
    </xf>
    <xf numFmtId="0" fontId="25" fillId="10" borderId="3958" applyNumberFormat="0" applyProtection="0">
      <alignment horizontal="left" vertical="top"/>
    </xf>
    <xf numFmtId="0" fontId="12" fillId="0" borderId="4023" applyNumberFormat="0" applyFill="0" applyBorder="0" applyAlignment="0" applyProtection="0">
      <alignment horizontal="center"/>
    </xf>
    <xf numFmtId="0" fontId="25" fillId="10" borderId="4020" applyNumberFormat="0" applyProtection="0">
      <alignment horizontal="left" vertical="top"/>
    </xf>
    <xf numFmtId="222" fontId="79" fillId="0" borderId="4010" applyBorder="0"/>
    <xf numFmtId="0" fontId="78" fillId="14" borderId="4013" applyFont="0" applyFill="0" applyBorder="0" applyAlignment="0" applyProtection="0"/>
    <xf numFmtId="222" fontId="79" fillId="0" borderId="4022" applyBorder="0"/>
    <xf numFmtId="0" fontId="101" fillId="0" borderId="4023" applyBorder="0"/>
    <xf numFmtId="222" fontId="79" fillId="0" borderId="4022" applyBorder="0"/>
    <xf numFmtId="248" fontId="46" fillId="0" borderId="4023"/>
    <xf numFmtId="192" fontId="9" fillId="3" borderId="4023">
      <alignment horizontal="right" vertical="center"/>
    </xf>
    <xf numFmtId="180" fontId="9" fillId="3" borderId="4023">
      <alignment horizontal="right" vertical="center"/>
    </xf>
    <xf numFmtId="186" fontId="146" fillId="3" borderId="4023" applyBorder="0">
      <alignment horizontal="left" vertical="center"/>
    </xf>
    <xf numFmtId="0" fontId="165" fillId="0" borderId="4023" applyFill="0" applyProtection="0">
      <alignment horizontal="center"/>
    </xf>
    <xf numFmtId="0" fontId="210" fillId="0" borderId="4023" applyNumberFormat="0" applyFill="0" applyBorder="0" applyAlignment="0">
      <protection locked="0"/>
    </xf>
    <xf numFmtId="254" fontId="240" fillId="0" borderId="4023" applyBorder="0" applyProtection="0">
      <alignment horizontal="right" vertical="center"/>
    </xf>
    <xf numFmtId="246" fontId="250" fillId="0" borderId="4023" applyFill="0" applyProtection="0">
      <alignment horizontal="center"/>
    </xf>
    <xf numFmtId="222" fontId="79" fillId="0" borderId="3962" applyBorder="0"/>
    <xf numFmtId="0" fontId="25" fillId="10" borderId="3959" applyNumberFormat="0" applyProtection="0">
      <alignment horizontal="left" vertical="top"/>
    </xf>
    <xf numFmtId="0" fontId="25" fillId="10" borderId="3961" applyNumberFormat="0" applyProtection="0">
      <alignment horizontal="left" vertical="top"/>
    </xf>
    <xf numFmtId="0" fontId="25" fillId="10" borderId="3958" applyNumberFormat="0" applyProtection="0">
      <alignment horizontal="left" vertical="top"/>
    </xf>
    <xf numFmtId="0" fontId="25" fillId="10" borderId="3959" applyNumberFormat="0" applyProtection="0">
      <alignment horizontal="left" vertical="top"/>
    </xf>
    <xf numFmtId="0" fontId="25" fillId="10" borderId="3960" applyNumberFormat="0" applyProtection="0">
      <alignment horizontal="left" vertical="top"/>
    </xf>
    <xf numFmtId="0" fontId="75" fillId="0" borderId="3964" applyNumberFormat="0" applyFont="0" applyFill="0" applyAlignment="0" applyProtection="0"/>
    <xf numFmtId="0" fontId="101" fillId="0" borderId="3975" applyBorder="0"/>
    <xf numFmtId="222" fontId="79" fillId="0" borderId="3974" applyBorder="0"/>
    <xf numFmtId="0" fontId="113" fillId="0" borderId="3975" applyNumberFormat="0" applyFill="0" applyAlignment="0" applyProtection="0"/>
    <xf numFmtId="0" fontId="12" fillId="0" borderId="3975" applyNumberFormat="0" applyFill="0" applyBorder="0" applyAlignment="0" applyProtection="0">
      <alignment horizontal="center"/>
    </xf>
    <xf numFmtId="248" fontId="46" fillId="0" borderId="3975"/>
    <xf numFmtId="192" fontId="9" fillId="3" borderId="3975">
      <alignment horizontal="right" vertical="center"/>
    </xf>
    <xf numFmtId="180" fontId="9" fillId="3" borderId="3975">
      <alignment horizontal="right" vertical="center"/>
    </xf>
    <xf numFmtId="186" fontId="146" fillId="3" borderId="3975" applyBorder="0">
      <alignment horizontal="left" vertical="center"/>
    </xf>
    <xf numFmtId="0" fontId="166" fillId="0" borderId="3975">
      <alignment horizontal="center"/>
    </xf>
    <xf numFmtId="0" fontId="210" fillId="0" borderId="3975" applyNumberFormat="0" applyFill="0" applyBorder="0" applyAlignment="0">
      <protection locked="0"/>
    </xf>
    <xf numFmtId="264" fontId="12" fillId="14" borderId="3975" applyFont="0" applyFill="0" applyBorder="0" applyAlignment="0" applyProtection="0">
      <alignment horizontal="right"/>
    </xf>
    <xf numFmtId="246" fontId="249" fillId="0" borderId="3975" applyFill="0" applyProtection="0">
      <alignment horizontal="center"/>
    </xf>
    <xf numFmtId="246" fontId="250" fillId="0" borderId="3975" applyFill="0" applyProtection="0">
      <alignment horizontal="center"/>
    </xf>
    <xf numFmtId="246" fontId="250" fillId="0" borderId="3999" applyFill="0" applyProtection="0">
      <alignment horizontal="center"/>
    </xf>
    <xf numFmtId="246" fontId="249" fillId="0" borderId="3999" applyFill="0" applyProtection="0">
      <alignment horizontal="center"/>
    </xf>
    <xf numFmtId="254" fontId="240" fillId="0" borderId="3999" applyBorder="0" applyProtection="0">
      <alignment horizontal="right" vertical="center"/>
    </xf>
    <xf numFmtId="264" fontId="12" fillId="14" borderId="3999" applyFont="0" applyFill="0" applyBorder="0" applyAlignment="0" applyProtection="0">
      <alignment horizontal="right"/>
    </xf>
    <xf numFmtId="0" fontId="165" fillId="0" borderId="3999" applyFill="0" applyProtection="0">
      <alignment horizontal="center"/>
    </xf>
    <xf numFmtId="180" fontId="9" fillId="3" borderId="3999">
      <alignment horizontal="right" vertical="center"/>
    </xf>
    <xf numFmtId="0" fontId="12" fillId="0" borderId="3999" applyNumberFormat="0" applyFill="0" applyBorder="0" applyAlignment="0" applyProtection="0">
      <alignment horizontal="center"/>
    </xf>
    <xf numFmtId="0" fontId="101" fillId="0" borderId="3999" applyBorder="0"/>
    <xf numFmtId="222" fontId="79" fillId="0" borderId="3998" applyBorder="0"/>
    <xf numFmtId="0" fontId="75" fillId="0" borderId="3988" applyNumberFormat="0" applyFont="0" applyFill="0" applyAlignment="0" applyProtection="0"/>
    <xf numFmtId="0" fontId="2" fillId="0" borderId="3992" applyNumberFormat="0" applyAlignment="0" applyProtection="0"/>
    <xf numFmtId="0" fontId="25" fillId="10" borderId="3994" applyNumberFormat="0" applyProtection="0">
      <alignment horizontal="left" vertical="top"/>
    </xf>
    <xf numFmtId="0" fontId="25" fillId="10" borderId="3997" applyNumberFormat="0" applyProtection="0">
      <alignment horizontal="left" vertical="top"/>
    </xf>
    <xf numFmtId="222" fontId="79" fillId="0" borderId="3986" applyBorder="0"/>
    <xf numFmtId="0" fontId="25" fillId="10" borderId="3972" applyNumberFormat="0" applyProtection="0">
      <alignment horizontal="left" vertical="top"/>
    </xf>
    <xf numFmtId="0" fontId="25" fillId="10" borderId="3970" applyNumberFormat="0" applyProtection="0">
      <alignment horizontal="left" vertical="top"/>
    </xf>
    <xf numFmtId="0" fontId="214" fillId="0" borderId="3969" applyNumberFormat="0" applyFont="0" applyFill="0" applyAlignment="0" applyProtection="0"/>
    <xf numFmtId="186" fontId="146" fillId="3" borderId="3966">
      <alignment horizontal="left"/>
    </xf>
    <xf numFmtId="222" fontId="79" fillId="0" borderId="3974" applyBorder="0"/>
    <xf numFmtId="0" fontId="101" fillId="0" borderId="3855" applyBorder="0"/>
    <xf numFmtId="0" fontId="113" fillId="0" borderId="3855" applyNumberFormat="0" applyFill="0" applyAlignment="0" applyProtection="0"/>
    <xf numFmtId="0" fontId="12" fillId="0" borderId="3855" applyNumberFormat="0" applyFill="0" applyBorder="0" applyAlignment="0" applyProtection="0">
      <alignment horizontal="center"/>
    </xf>
    <xf numFmtId="248" fontId="46" fillId="0" borderId="3855"/>
    <xf numFmtId="192" fontId="9" fillId="3" borderId="3855">
      <alignment horizontal="right" vertical="center"/>
    </xf>
    <xf numFmtId="180" fontId="9" fillId="3" borderId="3855">
      <alignment horizontal="right" vertical="center"/>
    </xf>
    <xf numFmtId="186" fontId="146" fillId="3" borderId="3855" applyBorder="0">
      <alignment horizontal="left" vertical="center"/>
    </xf>
    <xf numFmtId="0" fontId="165" fillId="0" borderId="3855" applyFill="0" applyProtection="0">
      <alignment horizontal="center"/>
    </xf>
    <xf numFmtId="0" fontId="166" fillId="0" borderId="3855">
      <alignment horizontal="center"/>
    </xf>
    <xf numFmtId="264" fontId="12" fillId="14" borderId="3855" applyFont="0" applyFill="0" applyBorder="0" applyAlignment="0" applyProtection="0">
      <alignment horizontal="right"/>
    </xf>
    <xf numFmtId="0" fontId="210" fillId="0" borderId="3855" applyNumberFormat="0" applyFill="0" applyBorder="0" applyAlignment="0">
      <protection locked="0"/>
    </xf>
    <xf numFmtId="248" fontId="46" fillId="0" borderId="3999"/>
    <xf numFmtId="222" fontId="79" fillId="0" borderId="3998" applyBorder="0"/>
    <xf numFmtId="186" fontId="140" fillId="3" borderId="3991">
      <alignment horizontal="center" vertical="center"/>
    </xf>
    <xf numFmtId="0" fontId="25" fillId="10" borderId="3996" applyNumberFormat="0" applyProtection="0">
      <alignment horizontal="left" vertical="top"/>
    </xf>
    <xf numFmtId="0" fontId="210" fillId="0" borderId="3999" applyNumberFormat="0" applyFill="0" applyBorder="0" applyAlignment="0">
      <protection locked="0"/>
    </xf>
    <xf numFmtId="192" fontId="9" fillId="3" borderId="3999">
      <alignment horizontal="right" vertical="center"/>
    </xf>
    <xf numFmtId="0" fontId="113" fillId="0" borderId="3999" applyNumberFormat="0" applyFill="0" applyAlignment="0" applyProtection="0"/>
    <xf numFmtId="186" fontId="146" fillId="3" borderId="3990">
      <alignment horizontal="left"/>
    </xf>
    <xf numFmtId="0" fontId="25" fillId="10" borderId="3995" applyNumberFormat="0" applyProtection="0">
      <alignment horizontal="left" vertical="top"/>
    </xf>
    <xf numFmtId="254" fontId="240" fillId="0" borderId="3855" applyBorder="0" applyProtection="0">
      <alignment horizontal="right" vertical="center"/>
    </xf>
    <xf numFmtId="0" fontId="241" fillId="94" borderId="3855" applyBorder="0" applyProtection="0">
      <alignment horizontal="centerContinuous" vertical="center"/>
    </xf>
    <xf numFmtId="246" fontId="249" fillId="0" borderId="3855" applyFill="0" applyProtection="0">
      <alignment horizontal="center"/>
    </xf>
    <xf numFmtId="246" fontId="250" fillId="0" borderId="3855" applyFill="0" applyProtection="0">
      <alignment horizontal="center"/>
    </xf>
    <xf numFmtId="0" fontId="25" fillId="10" borderId="4019" applyNumberFormat="0" applyProtection="0">
      <alignment horizontal="left" vertical="top"/>
    </xf>
    <xf numFmtId="0" fontId="25" fillId="10" borderId="4021" applyNumberFormat="0" applyProtection="0">
      <alignment horizontal="left" vertical="top"/>
    </xf>
    <xf numFmtId="222" fontId="79" fillId="0" borderId="3950" applyBorder="0"/>
    <xf numFmtId="0" fontId="214" fillId="0" borderId="4017" applyNumberFormat="0" applyFont="0" applyFill="0" applyAlignment="0" applyProtection="0"/>
    <xf numFmtId="0" fontId="75" fillId="0" borderId="3952" applyNumberFormat="0" applyFont="0" applyFill="0" applyAlignment="0" applyProtection="0"/>
    <xf numFmtId="0" fontId="25" fillId="10" borderId="3960" applyNumberFormat="0" applyProtection="0">
      <alignment horizontal="left" vertical="top"/>
    </xf>
    <xf numFmtId="0" fontId="25" fillId="10" borderId="3961" applyNumberFormat="0" applyProtection="0">
      <alignment horizontal="left" vertical="top"/>
    </xf>
    <xf numFmtId="0" fontId="165" fillId="0" borderId="3975" applyFill="0" applyProtection="0">
      <alignment horizontal="center"/>
    </xf>
    <xf numFmtId="254" fontId="240" fillId="0" borderId="3975" applyBorder="0" applyProtection="0">
      <alignment horizontal="right" vertical="center"/>
    </xf>
    <xf numFmtId="0" fontId="241" fillId="94" borderId="3975" applyBorder="0" applyProtection="0">
      <alignment horizontal="centerContinuous" vertical="center"/>
    </xf>
    <xf numFmtId="0" fontId="241" fillId="94" borderId="3999" applyBorder="0" applyProtection="0">
      <alignment horizontal="centerContinuous" vertical="center"/>
    </xf>
    <xf numFmtId="0" fontId="166" fillId="0" borderId="3999">
      <alignment horizontal="center"/>
    </xf>
    <xf numFmtId="186" fontId="146" fillId="3" borderId="3999" applyBorder="0">
      <alignment horizontal="left" vertical="center"/>
    </xf>
    <xf numFmtId="0" fontId="214" fillId="0" borderId="3993" applyNumberFormat="0" applyFont="0" applyFill="0" applyAlignment="0" applyProtection="0"/>
    <xf numFmtId="0" fontId="78" fillId="14" borderId="3989" applyFont="0" applyFill="0" applyBorder="0" applyAlignment="0" applyProtection="0"/>
    <xf numFmtId="0" fontId="78" fillId="14" borderId="3917" applyFont="0" applyFill="0" applyBorder="0" applyAlignment="0" applyProtection="0"/>
    <xf numFmtId="0" fontId="25" fillId="10" borderId="3853" applyNumberFormat="0" applyProtection="0">
      <alignment horizontal="left" vertical="top"/>
    </xf>
    <xf numFmtId="0" fontId="25" fillId="10" borderId="3852" applyNumberFormat="0" applyProtection="0">
      <alignment horizontal="left" vertical="top"/>
    </xf>
    <xf numFmtId="0" fontId="25" fillId="10" borderId="3851" applyNumberFormat="0" applyProtection="0">
      <alignment horizontal="left" vertical="top"/>
    </xf>
    <xf numFmtId="0" fontId="25" fillId="10" borderId="3850" applyNumberFormat="0" applyProtection="0">
      <alignment horizontal="left" vertical="top"/>
    </xf>
    <xf numFmtId="186" fontId="140" fillId="3" borderId="4015">
      <alignment horizontal="center" vertical="center"/>
    </xf>
    <xf numFmtId="0" fontId="214" fillId="0" borderId="3849" applyNumberFormat="0" applyFont="0" applyFill="0" applyAlignment="0" applyProtection="0"/>
    <xf numFmtId="0" fontId="2" fillId="0" borderId="3848" applyNumberFormat="0" applyAlignment="0" applyProtection="0"/>
    <xf numFmtId="186" fontId="140" fillId="3" borderId="3847">
      <alignment horizontal="center" vertical="center"/>
    </xf>
    <xf numFmtId="186" fontId="146" fillId="3" borderId="3846">
      <alignment horizontal="left"/>
    </xf>
    <xf numFmtId="186" fontId="146" fillId="3" borderId="4014">
      <alignment horizontal="left"/>
    </xf>
    <xf numFmtId="0" fontId="75" fillId="0" borderId="3844" applyNumberFormat="0" applyFont="0" applyFill="0" applyAlignment="0" applyProtection="0"/>
    <xf numFmtId="0" fontId="75" fillId="0" borderId="4012" applyNumberFormat="0" applyFont="0" applyFill="0" applyAlignment="0" applyProtection="0"/>
    <xf numFmtId="222" fontId="79" fillId="0" borderId="3926" applyBorder="0"/>
    <xf numFmtId="222" fontId="79" fillId="0" borderId="3926" applyBorder="0"/>
    <xf numFmtId="0" fontId="25" fillId="10" borderId="4018" applyNumberFormat="0" applyProtection="0">
      <alignment horizontal="left" vertical="top"/>
    </xf>
    <xf numFmtId="0" fontId="2" fillId="0" borderId="4016" applyNumberFormat="0" applyAlignment="0" applyProtection="0"/>
    <xf numFmtId="246" fontId="250" fillId="0" borderId="3951" applyFill="0" applyProtection="0">
      <alignment horizontal="center"/>
    </xf>
    <xf numFmtId="246" fontId="249" fillId="0" borderId="3951" applyFill="0" applyProtection="0">
      <alignment horizontal="center"/>
    </xf>
    <xf numFmtId="0" fontId="241" fillId="94" borderId="3951" applyBorder="0" applyProtection="0">
      <alignment horizontal="centerContinuous" vertical="center"/>
    </xf>
    <xf numFmtId="254" fontId="240" fillId="0" borderId="3951" applyBorder="0" applyProtection="0">
      <alignment horizontal="right" vertical="center"/>
    </xf>
    <xf numFmtId="0" fontId="210" fillId="0" borderId="3951" applyNumberFormat="0" applyFill="0" applyBorder="0" applyAlignment="0">
      <protection locked="0"/>
    </xf>
    <xf numFmtId="264" fontId="12" fillId="14" borderId="3951" applyFont="0" applyFill="0" applyBorder="0" applyAlignment="0" applyProtection="0">
      <alignment horizontal="right"/>
    </xf>
    <xf numFmtId="0" fontId="166" fillId="0" borderId="3951">
      <alignment horizontal="center"/>
    </xf>
    <xf numFmtId="0" fontId="165" fillId="0" borderId="3951" applyFill="0" applyProtection="0">
      <alignment horizontal="center"/>
    </xf>
    <xf numFmtId="186" fontId="146" fillId="3" borderId="3951" applyBorder="0">
      <alignment horizontal="left" vertical="center"/>
    </xf>
    <xf numFmtId="180" fontId="9" fillId="3" borderId="3951">
      <alignment horizontal="right" vertical="center"/>
    </xf>
    <xf numFmtId="192" fontId="9" fillId="3" borderId="3951">
      <alignment horizontal="right" vertical="center"/>
    </xf>
    <xf numFmtId="248" fontId="46" fillId="0" borderId="3951"/>
    <xf numFmtId="0" fontId="12" fillId="0" borderId="3951" applyNumberFormat="0" applyFill="0" applyBorder="0" applyAlignment="0" applyProtection="0">
      <alignment horizontal="center"/>
    </xf>
    <xf numFmtId="0" fontId="113" fillId="0" borderId="3951" applyNumberFormat="0" applyFill="0" applyAlignment="0" applyProtection="0"/>
    <xf numFmtId="222" fontId="79" fillId="0" borderId="3950" applyBorder="0"/>
    <xf numFmtId="0" fontId="101" fillId="0" borderId="3951" applyBorder="0"/>
    <xf numFmtId="222" fontId="79" fillId="0" borderId="3950" applyBorder="0"/>
    <xf numFmtId="0" fontId="75" fillId="0" borderId="3940" applyNumberFormat="0" applyFont="0" applyFill="0" applyAlignment="0" applyProtection="0"/>
    <xf numFmtId="186" fontId="146" fillId="3" borderId="3942">
      <alignment horizontal="left"/>
    </xf>
    <xf numFmtId="186" fontId="140" fillId="3" borderId="3943">
      <alignment horizontal="center" vertical="center"/>
    </xf>
    <xf numFmtId="0" fontId="2" fillId="0" borderId="3944" applyNumberFormat="0" applyAlignment="0" applyProtection="0"/>
    <xf numFmtId="0" fontId="214" fillId="0" borderId="3945" applyNumberFormat="0" applyFont="0" applyFill="0" applyAlignment="0" applyProtection="0"/>
    <xf numFmtId="0" fontId="25" fillId="10" borderId="3946" applyNumberFormat="0" applyProtection="0">
      <alignment horizontal="left" vertical="top"/>
    </xf>
    <xf numFmtId="0" fontId="25" fillId="10" borderId="3947" applyNumberFormat="0" applyProtection="0">
      <alignment horizontal="left" vertical="top"/>
    </xf>
    <xf numFmtId="0" fontId="25" fillId="10" borderId="3948" applyNumberFormat="0" applyProtection="0">
      <alignment horizontal="left" vertical="top"/>
    </xf>
    <xf numFmtId="0" fontId="25" fillId="10" borderId="3949" applyNumberFormat="0" applyProtection="0">
      <alignment horizontal="left" vertical="top"/>
    </xf>
    <xf numFmtId="0" fontId="78" fillId="14" borderId="3941" applyFont="0" applyFill="0" applyBorder="0" applyAlignment="0" applyProtection="0"/>
    <xf numFmtId="222" fontId="79" fillId="0" borderId="3938" applyBorder="0"/>
    <xf numFmtId="0" fontId="78" fillId="14" borderId="3917" applyFont="0" applyFill="0" applyBorder="0" applyAlignment="0" applyProtection="0"/>
    <xf numFmtId="222" fontId="79" fillId="0" borderId="3926" applyBorder="0"/>
    <xf numFmtId="0" fontId="78" fillId="14" borderId="3929" applyFont="0" applyFill="0" applyBorder="0" applyAlignment="0" applyProtection="0"/>
    <xf numFmtId="0" fontId="25" fillId="10" borderId="3937" applyNumberFormat="0" applyProtection="0">
      <alignment horizontal="left" vertical="top"/>
    </xf>
    <xf numFmtId="0" fontId="25" fillId="10" borderId="3936" applyNumberFormat="0" applyProtection="0">
      <alignment horizontal="left" vertical="top"/>
    </xf>
    <xf numFmtId="0" fontId="25" fillId="10" borderId="3935" applyNumberFormat="0" applyProtection="0">
      <alignment horizontal="left" vertical="top"/>
    </xf>
    <xf numFmtId="0" fontId="25" fillId="10" borderId="3934" applyNumberFormat="0" applyProtection="0">
      <alignment horizontal="left" vertical="top"/>
    </xf>
    <xf numFmtId="0" fontId="214" fillId="0" borderId="3933" applyNumberFormat="0" applyFont="0" applyFill="0" applyAlignment="0" applyProtection="0"/>
    <xf numFmtId="0" fontId="2" fillId="0" borderId="3848" applyNumberFormat="0" applyAlignment="0" applyProtection="0"/>
    <xf numFmtId="186" fontId="140" fillId="3" borderId="3931">
      <alignment horizontal="center" vertical="center"/>
    </xf>
    <xf numFmtId="186" fontId="146" fillId="3" borderId="3930">
      <alignment horizontal="left"/>
    </xf>
    <xf numFmtId="0" fontId="75" fillId="0" borderId="3928" applyNumberFormat="0" applyFont="0" applyFill="0" applyAlignment="0" applyProtection="0"/>
    <xf numFmtId="222" fontId="79" fillId="0" borderId="3938" applyBorder="0"/>
    <xf numFmtId="0" fontId="101" fillId="0" borderId="3939" applyBorder="0"/>
    <xf numFmtId="222" fontId="79" fillId="0" borderId="3938" applyBorder="0"/>
    <xf numFmtId="0" fontId="113" fillId="0" borderId="3939" applyNumberFormat="0" applyFill="0" applyAlignment="0" applyProtection="0"/>
    <xf numFmtId="0" fontId="12" fillId="0" borderId="3939" applyNumberFormat="0" applyFill="0" applyBorder="0" applyAlignment="0" applyProtection="0">
      <alignment horizontal="center"/>
    </xf>
    <xf numFmtId="248" fontId="46" fillId="0" borderId="3939"/>
    <xf numFmtId="192" fontId="9" fillId="3" borderId="3939">
      <alignment horizontal="right" vertical="center"/>
    </xf>
    <xf numFmtId="180" fontId="9" fillId="3" borderId="3939">
      <alignment horizontal="right" vertical="center"/>
    </xf>
    <xf numFmtId="186" fontId="146" fillId="3" borderId="3939" applyBorder="0">
      <alignment horizontal="left" vertical="center"/>
    </xf>
    <xf numFmtId="0" fontId="165" fillId="0" borderId="3939" applyFill="0" applyProtection="0">
      <alignment horizontal="center"/>
    </xf>
    <xf numFmtId="0" fontId="166" fillId="0" borderId="3939">
      <alignment horizontal="center"/>
    </xf>
    <xf numFmtId="264" fontId="12" fillId="14" borderId="3939" applyFont="0" applyFill="0" applyBorder="0" applyAlignment="0" applyProtection="0">
      <alignment horizontal="right"/>
    </xf>
    <xf numFmtId="0" fontId="210" fillId="0" borderId="3939" applyNumberFormat="0" applyFill="0" applyBorder="0" applyAlignment="0">
      <protection locked="0"/>
    </xf>
    <xf numFmtId="254" fontId="240" fillId="0" borderId="3939" applyBorder="0" applyProtection="0">
      <alignment horizontal="right" vertical="center"/>
    </xf>
    <xf numFmtId="0" fontId="241" fillId="94" borderId="3939" applyBorder="0" applyProtection="0">
      <alignment horizontal="centerContinuous" vertical="center"/>
    </xf>
    <xf numFmtId="246" fontId="249" fillId="0" borderId="3939" applyFill="0" applyProtection="0">
      <alignment horizontal="center"/>
    </xf>
    <xf numFmtId="246" fontId="250" fillId="0" borderId="3939" applyFill="0" applyProtection="0">
      <alignment horizontal="center"/>
    </xf>
    <xf numFmtId="0" fontId="241" fillId="94" borderId="4023" applyBorder="0" applyProtection="0">
      <alignment horizontal="centerContinuous" vertical="center"/>
    </xf>
    <xf numFmtId="0" fontId="166" fillId="0" borderId="4023">
      <alignment horizontal="center"/>
    </xf>
    <xf numFmtId="0" fontId="2" fillId="0" borderId="3956" applyNumberFormat="0" applyAlignment="0" applyProtection="0"/>
    <xf numFmtId="0" fontId="214" fillId="0" borderId="3957" applyNumberFormat="0" applyFont="0" applyFill="0" applyAlignment="0" applyProtection="0"/>
    <xf numFmtId="246" fontId="250" fillId="0" borderId="3963" applyFill="0" applyProtection="0">
      <alignment horizontal="center"/>
    </xf>
    <xf numFmtId="246" fontId="249" fillId="0" borderId="3963" applyFill="0" applyProtection="0">
      <alignment horizontal="center"/>
    </xf>
    <xf numFmtId="0" fontId="241" fillId="94" borderId="3963" applyBorder="0" applyProtection="0">
      <alignment horizontal="centerContinuous" vertical="center"/>
    </xf>
    <xf numFmtId="254" fontId="240" fillId="0" borderId="3963" applyBorder="0" applyProtection="0">
      <alignment horizontal="right" vertical="center"/>
    </xf>
    <xf numFmtId="0" fontId="210" fillId="0" borderId="3963" applyNumberFormat="0" applyFill="0" applyBorder="0" applyAlignment="0">
      <protection locked="0"/>
    </xf>
    <xf numFmtId="264" fontId="12" fillId="14" borderId="3963" applyFont="0" applyFill="0" applyBorder="0" applyAlignment="0" applyProtection="0">
      <alignment horizontal="right"/>
    </xf>
    <xf numFmtId="0" fontId="166" fillId="0" borderId="3963">
      <alignment horizontal="center"/>
    </xf>
    <xf numFmtId="0" fontId="165" fillId="0" borderId="3963" applyFill="0" applyProtection="0">
      <alignment horizontal="center"/>
    </xf>
    <xf numFmtId="186" fontId="146" fillId="3" borderId="3963" applyBorder="0">
      <alignment horizontal="left" vertical="center"/>
    </xf>
    <xf numFmtId="180" fontId="9" fillId="3" borderId="3963">
      <alignment horizontal="right" vertical="center"/>
    </xf>
    <xf numFmtId="192" fontId="9" fillId="3" borderId="3963">
      <alignment horizontal="right" vertical="center"/>
    </xf>
    <xf numFmtId="248" fontId="46" fillId="0" borderId="3963"/>
    <xf numFmtId="0" fontId="12" fillId="0" borderId="3963" applyNumberFormat="0" applyFill="0" applyBorder="0" applyAlignment="0" applyProtection="0">
      <alignment horizontal="center"/>
    </xf>
    <xf numFmtId="0" fontId="113" fillId="0" borderId="3963" applyNumberFormat="0" applyFill="0" applyAlignment="0" applyProtection="0"/>
    <xf numFmtId="222" fontId="79" fillId="0" borderId="3962" applyBorder="0"/>
    <xf numFmtId="0" fontId="101" fillId="0" borderId="3963" applyBorder="0"/>
    <xf numFmtId="222" fontId="79" fillId="0" borderId="3962" applyBorder="0"/>
    <xf numFmtId="0" fontId="75" fillId="0" borderId="3952" applyNumberFormat="0" applyFont="0" applyFill="0" applyAlignment="0" applyProtection="0"/>
    <xf numFmtId="186" fontId="146" fillId="3" borderId="3954">
      <alignment horizontal="left"/>
    </xf>
    <xf numFmtId="186" fontId="140" fillId="3" borderId="3955">
      <alignment horizontal="center" vertical="center"/>
    </xf>
    <xf numFmtId="0" fontId="2" fillId="0" borderId="3956" applyNumberFormat="0" applyAlignment="0" applyProtection="0"/>
    <xf numFmtId="0" fontId="214" fillId="0" borderId="3957" applyNumberFormat="0" applyFont="0" applyFill="0" applyAlignment="0" applyProtection="0"/>
    <xf numFmtId="0" fontId="25" fillId="10" borderId="3958" applyNumberFormat="0" applyProtection="0">
      <alignment horizontal="left" vertical="top"/>
    </xf>
    <xf numFmtId="0" fontId="25" fillId="10" borderId="3959" applyNumberFormat="0" applyProtection="0">
      <alignment horizontal="left" vertical="top"/>
    </xf>
    <xf numFmtId="0" fontId="25" fillId="10" borderId="3960" applyNumberFormat="0" applyProtection="0">
      <alignment horizontal="left" vertical="top"/>
    </xf>
    <xf numFmtId="0" fontId="25" fillId="10" borderId="3961" applyNumberFormat="0" applyProtection="0">
      <alignment horizontal="left" vertical="top"/>
    </xf>
    <xf numFmtId="0" fontId="78" fillId="14" borderId="3953" applyFont="0" applyFill="0" applyBorder="0" applyAlignment="0" applyProtection="0"/>
    <xf numFmtId="222" fontId="79" fillId="0" borderId="3950" applyBorder="0"/>
    <xf numFmtId="0" fontId="78" fillId="14" borderId="3965" applyFont="0" applyFill="0" applyBorder="0" applyAlignment="0" applyProtection="0"/>
    <xf numFmtId="186" fontId="146" fillId="3" borderId="3954">
      <alignment horizontal="left"/>
    </xf>
    <xf numFmtId="0" fontId="78" fillId="14" borderId="3941" applyFont="0" applyFill="0" applyBorder="0" applyAlignment="0" applyProtection="0"/>
    <xf numFmtId="222" fontId="79" fillId="0" borderId="3950" applyBorder="0"/>
    <xf numFmtId="0" fontId="2" fillId="0" borderId="3968" applyNumberFormat="0" applyAlignment="0" applyProtection="0"/>
    <xf numFmtId="0" fontId="78" fillId="14" borderId="3941" applyFont="0" applyFill="0" applyBorder="0" applyAlignment="0" applyProtection="0"/>
    <xf numFmtId="0" fontId="25" fillId="10" borderId="3949" applyNumberFormat="0" applyProtection="0">
      <alignment horizontal="left" vertical="top"/>
    </xf>
    <xf numFmtId="0" fontId="25" fillId="10" borderId="3948" applyNumberFormat="0" applyProtection="0">
      <alignment horizontal="left" vertical="top"/>
    </xf>
    <xf numFmtId="0" fontId="25" fillId="10" borderId="3947" applyNumberFormat="0" applyProtection="0">
      <alignment horizontal="left" vertical="top"/>
    </xf>
    <xf numFmtId="0" fontId="25" fillId="10" borderId="3946" applyNumberFormat="0" applyProtection="0">
      <alignment horizontal="left" vertical="top"/>
    </xf>
    <xf numFmtId="0" fontId="25" fillId="10" borderId="3971" applyNumberFormat="0" applyProtection="0">
      <alignment horizontal="left" vertical="top"/>
    </xf>
    <xf numFmtId="0" fontId="214" fillId="0" borderId="3945" applyNumberFormat="0" applyFont="0" applyFill="0" applyAlignment="0" applyProtection="0"/>
    <xf numFmtId="0" fontId="2" fillId="0" borderId="3944" applyNumberFormat="0" applyAlignment="0" applyProtection="0"/>
    <xf numFmtId="186" fontId="140" fillId="3" borderId="3943">
      <alignment horizontal="center" vertical="center"/>
    </xf>
    <xf numFmtId="186" fontId="146" fillId="3" borderId="3942">
      <alignment horizontal="left"/>
    </xf>
    <xf numFmtId="0" fontId="25" fillId="10" borderId="3973" applyNumberFormat="0" applyProtection="0">
      <alignment horizontal="left" vertical="top"/>
    </xf>
    <xf numFmtId="0" fontId="75" fillId="0" borderId="3940" applyNumberFormat="0" applyFont="0" applyFill="0" applyAlignment="0" applyProtection="0"/>
    <xf numFmtId="222" fontId="79" fillId="0" borderId="3950" applyBorder="0"/>
    <xf numFmtId="0" fontId="101" fillId="0" borderId="3951" applyBorder="0"/>
    <xf numFmtId="222" fontId="79" fillId="0" borderId="3950" applyBorder="0"/>
    <xf numFmtId="0" fontId="113" fillId="0" borderId="3951" applyNumberFormat="0" applyFill="0" applyAlignment="0" applyProtection="0"/>
    <xf numFmtId="0" fontId="12" fillId="0" borderId="3951" applyNumberFormat="0" applyFill="0" applyBorder="0" applyAlignment="0" applyProtection="0">
      <alignment horizontal="center"/>
    </xf>
    <xf numFmtId="248" fontId="46" fillId="0" borderId="3951"/>
    <xf numFmtId="192" fontId="9" fillId="3" borderId="3951">
      <alignment horizontal="right" vertical="center"/>
    </xf>
    <xf numFmtId="180" fontId="9" fillId="3" borderId="3951">
      <alignment horizontal="right" vertical="center"/>
    </xf>
    <xf numFmtId="186" fontId="146" fillId="3" borderId="3951" applyBorder="0">
      <alignment horizontal="left" vertical="center"/>
    </xf>
    <xf numFmtId="0" fontId="165" fillId="0" borderId="3951" applyFill="0" applyProtection="0">
      <alignment horizontal="center"/>
    </xf>
    <xf numFmtId="0" fontId="166" fillId="0" borderId="3951">
      <alignment horizontal="center"/>
    </xf>
    <xf numFmtId="264" fontId="12" fillId="14" borderId="3951" applyFont="0" applyFill="0" applyBorder="0" applyAlignment="0" applyProtection="0">
      <alignment horizontal="right"/>
    </xf>
    <xf numFmtId="0" fontId="210" fillId="0" borderId="3951" applyNumberFormat="0" applyFill="0" applyBorder="0" applyAlignment="0">
      <protection locked="0"/>
    </xf>
    <xf numFmtId="254" fontId="240" fillId="0" borderId="3951" applyBorder="0" applyProtection="0">
      <alignment horizontal="right" vertical="center"/>
    </xf>
    <xf numFmtId="0" fontId="241" fillId="94" borderId="3951" applyBorder="0" applyProtection="0">
      <alignment horizontal="centerContinuous" vertical="center"/>
    </xf>
    <xf numFmtId="246" fontId="249" fillId="0" borderId="3951" applyFill="0" applyProtection="0">
      <alignment horizontal="center"/>
    </xf>
    <xf numFmtId="246" fontId="250" fillId="0" borderId="3951" applyFill="0" applyProtection="0">
      <alignment horizontal="center"/>
    </xf>
    <xf numFmtId="186" fontId="140" fillId="3" borderId="3967">
      <alignment horizontal="center" vertical="center"/>
    </xf>
    <xf numFmtId="0" fontId="78" fillId="14" borderId="3953" applyFont="0" applyFill="0" applyBorder="0" applyAlignment="0" applyProtection="0"/>
    <xf numFmtId="222" fontId="79" fillId="0" borderId="3974" applyBorder="0"/>
    <xf numFmtId="0" fontId="78" fillId="14" borderId="3977" applyFont="0" applyFill="0" applyBorder="0" applyAlignment="0" applyProtection="0"/>
    <xf numFmtId="0" fontId="25" fillId="10" borderId="3985" applyNumberFormat="0" applyProtection="0">
      <alignment horizontal="left" vertical="top"/>
    </xf>
    <xf numFmtId="0" fontId="25" fillId="10" borderId="3984" applyNumberFormat="0" applyProtection="0">
      <alignment horizontal="left" vertical="top"/>
    </xf>
    <xf numFmtId="0" fontId="25" fillId="10" borderId="3983" applyNumberFormat="0" applyProtection="0">
      <alignment horizontal="left" vertical="top"/>
    </xf>
    <xf numFmtId="0" fontId="25" fillId="10" borderId="3982" applyNumberFormat="0" applyProtection="0">
      <alignment horizontal="left" vertical="top"/>
    </xf>
    <xf numFmtId="0" fontId="214" fillId="0" borderId="3981" applyNumberFormat="0" applyFont="0" applyFill="0" applyAlignment="0" applyProtection="0"/>
    <xf numFmtId="0" fontId="2" fillId="0" borderId="3980" applyNumberFormat="0" applyAlignment="0" applyProtection="0"/>
    <xf numFmtId="186" fontId="140" fillId="3" borderId="3979">
      <alignment horizontal="center" vertical="center"/>
    </xf>
    <xf numFmtId="186" fontId="146" fillId="3" borderId="3978">
      <alignment horizontal="left"/>
    </xf>
    <xf numFmtId="0" fontId="75" fillId="0" borderId="3976" applyNumberFormat="0" applyFont="0" applyFill="0" applyAlignment="0" applyProtection="0"/>
    <xf numFmtId="222" fontId="79" fillId="0" borderId="3986" applyBorder="0"/>
    <xf numFmtId="0" fontId="101" fillId="0" borderId="3987" applyBorder="0"/>
    <xf numFmtId="222" fontId="79" fillId="0" borderId="3986" applyBorder="0"/>
    <xf numFmtId="0" fontId="113" fillId="0" borderId="3987" applyNumberFormat="0" applyFill="0" applyAlignment="0" applyProtection="0"/>
    <xf numFmtId="0" fontId="12" fillId="0" borderId="3987" applyNumberFormat="0" applyFill="0" applyBorder="0" applyAlignment="0" applyProtection="0">
      <alignment horizontal="center"/>
    </xf>
    <xf numFmtId="248" fontId="46" fillId="0" borderId="3987"/>
    <xf numFmtId="192" fontId="9" fillId="3" borderId="3987">
      <alignment horizontal="right" vertical="center"/>
    </xf>
    <xf numFmtId="180" fontId="9" fillId="3" borderId="3987">
      <alignment horizontal="right" vertical="center"/>
    </xf>
    <xf numFmtId="186" fontId="146" fillId="3" borderId="3987" applyBorder="0">
      <alignment horizontal="left" vertical="center"/>
    </xf>
    <xf numFmtId="0" fontId="165" fillId="0" borderId="3987" applyFill="0" applyProtection="0">
      <alignment horizontal="center"/>
    </xf>
    <xf numFmtId="0" fontId="166" fillId="0" borderId="3987">
      <alignment horizontal="center"/>
    </xf>
    <xf numFmtId="264" fontId="12" fillId="14" borderId="3987" applyFont="0" applyFill="0" applyBorder="0" applyAlignment="0" applyProtection="0">
      <alignment horizontal="right"/>
    </xf>
    <xf numFmtId="0" fontId="210" fillId="0" borderId="3987" applyNumberFormat="0" applyFill="0" applyBorder="0" applyAlignment="0">
      <protection locked="0"/>
    </xf>
    <xf numFmtId="254" fontId="240" fillId="0" borderId="3987" applyBorder="0" applyProtection="0">
      <alignment horizontal="right" vertical="center"/>
    </xf>
    <xf numFmtId="0" fontId="241" fillId="94" borderId="3987" applyBorder="0" applyProtection="0">
      <alignment horizontal="centerContinuous" vertical="center"/>
    </xf>
    <xf numFmtId="246" fontId="249" fillId="0" borderId="3987" applyFill="0" applyProtection="0">
      <alignment horizontal="center"/>
    </xf>
    <xf numFmtId="246" fontId="250" fillId="0" borderId="3987" applyFill="0" applyProtection="0">
      <alignment horizontal="center"/>
    </xf>
    <xf numFmtId="222" fontId="79" fillId="0" borderId="3998" applyBorder="0"/>
    <xf numFmtId="0" fontId="78" fillId="14" borderId="4001" applyFont="0" applyFill="0" applyBorder="0" applyAlignment="0" applyProtection="0"/>
    <xf numFmtId="0" fontId="25" fillId="10" borderId="4009" applyNumberFormat="0" applyProtection="0">
      <alignment horizontal="left" vertical="top"/>
    </xf>
    <xf numFmtId="0" fontId="25" fillId="10" borderId="4008" applyNumberFormat="0" applyProtection="0">
      <alignment horizontal="left" vertical="top"/>
    </xf>
    <xf numFmtId="0" fontId="25" fillId="10" borderId="4007" applyNumberFormat="0" applyProtection="0">
      <alignment horizontal="left" vertical="top"/>
    </xf>
    <xf numFmtId="0" fontId="25" fillId="10" borderId="4006" applyNumberFormat="0" applyProtection="0">
      <alignment horizontal="left" vertical="top"/>
    </xf>
    <xf numFmtId="0" fontId="214" fillId="0" borderId="4005" applyNumberFormat="0" applyFont="0" applyFill="0" applyAlignment="0" applyProtection="0"/>
    <xf numFmtId="0" fontId="2" fillId="0" borderId="4004" applyNumberFormat="0" applyAlignment="0" applyProtection="0"/>
    <xf numFmtId="186" fontId="140" fillId="3" borderId="4003">
      <alignment horizontal="center" vertical="center"/>
    </xf>
    <xf numFmtId="186" fontId="146" fillId="3" borderId="4002">
      <alignment horizontal="left"/>
    </xf>
    <xf numFmtId="0" fontId="75" fillId="0" borderId="4000" applyNumberFormat="0" applyFont="0" applyFill="0" applyAlignment="0" applyProtection="0"/>
    <xf numFmtId="222" fontId="79" fillId="0" borderId="4010" applyBorder="0"/>
    <xf numFmtId="0" fontId="101" fillId="0" borderId="4011" applyBorder="0"/>
    <xf numFmtId="222" fontId="79" fillId="0" borderId="4010" applyBorder="0"/>
    <xf numFmtId="0" fontId="113" fillId="0" borderId="4011" applyNumberFormat="0" applyFill="0" applyAlignment="0" applyProtection="0"/>
    <xf numFmtId="0" fontId="12" fillId="0" borderId="4011" applyNumberFormat="0" applyFill="0" applyBorder="0" applyAlignment="0" applyProtection="0">
      <alignment horizontal="center"/>
    </xf>
    <xf numFmtId="248" fontId="46" fillId="0" borderId="4011"/>
    <xf numFmtId="192" fontId="9" fillId="3" borderId="4011">
      <alignment horizontal="right" vertical="center"/>
    </xf>
    <xf numFmtId="180" fontId="9" fillId="3" borderId="4011">
      <alignment horizontal="right" vertical="center"/>
    </xf>
    <xf numFmtId="186" fontId="146" fillId="3" borderId="4011" applyBorder="0">
      <alignment horizontal="left" vertical="center"/>
    </xf>
    <xf numFmtId="0" fontId="165" fillId="0" borderId="4011" applyFill="0" applyProtection="0">
      <alignment horizontal="center"/>
    </xf>
    <xf numFmtId="0" fontId="166" fillId="0" borderId="4011">
      <alignment horizontal="center"/>
    </xf>
    <xf numFmtId="264" fontId="12" fillId="14" borderId="4011" applyFont="0" applyFill="0" applyBorder="0" applyAlignment="0" applyProtection="0">
      <alignment horizontal="right"/>
    </xf>
    <xf numFmtId="0" fontId="210" fillId="0" borderId="4011" applyNumberFormat="0" applyFill="0" applyBorder="0" applyAlignment="0">
      <protection locked="0"/>
    </xf>
    <xf numFmtId="254" fontId="240" fillId="0" borderId="4011" applyBorder="0" applyProtection="0">
      <alignment horizontal="right" vertical="center"/>
    </xf>
    <xf numFmtId="0" fontId="241" fillId="94" borderId="4011" applyBorder="0" applyProtection="0">
      <alignment horizontal="centerContinuous" vertical="center"/>
    </xf>
    <xf numFmtId="246" fontId="249" fillId="0" borderId="4011" applyFill="0" applyProtection="0">
      <alignment horizontal="center"/>
    </xf>
    <xf numFmtId="246" fontId="250" fillId="0" borderId="4011" applyFill="0" applyProtection="0">
      <alignment horizontal="center"/>
    </xf>
    <xf numFmtId="0" fontId="75" fillId="0" borderId="4024" applyNumberFormat="0" applyFont="0" applyFill="0" applyAlignment="0" applyProtection="0"/>
    <xf numFmtId="0" fontId="78" fillId="14" borderId="4025" applyFont="0" applyFill="0" applyBorder="0" applyAlignment="0" applyProtection="0"/>
    <xf numFmtId="186" fontId="146" fillId="3" borderId="4026">
      <alignment horizontal="left"/>
    </xf>
    <xf numFmtId="186" fontId="140" fillId="3" borderId="4027">
      <alignment horizontal="center" vertical="center"/>
    </xf>
    <xf numFmtId="0" fontId="2" fillId="0" borderId="4028" applyNumberFormat="0" applyAlignment="0" applyProtection="0"/>
    <xf numFmtId="0" fontId="214" fillId="0" borderId="4029" applyNumberFormat="0" applyFont="0" applyFill="0" applyAlignment="0" applyProtection="0"/>
    <xf numFmtId="0" fontId="25" fillId="10" borderId="4030" applyNumberFormat="0" applyProtection="0">
      <alignment horizontal="left" vertical="top"/>
    </xf>
    <xf numFmtId="0" fontId="25" fillId="10" borderId="4031" applyNumberFormat="0" applyProtection="0">
      <alignment horizontal="left" vertical="top"/>
    </xf>
    <xf numFmtId="0" fontId="25" fillId="10" borderId="4032" applyNumberFormat="0" applyProtection="0">
      <alignment horizontal="left" vertical="top"/>
    </xf>
    <xf numFmtId="0" fontId="25" fillId="10" borderId="4033" applyNumberFormat="0" applyProtection="0">
      <alignment horizontal="left" vertical="top"/>
    </xf>
    <xf numFmtId="246" fontId="250" fillId="0" borderId="4023" applyFill="0" applyProtection="0">
      <alignment horizontal="center"/>
    </xf>
    <xf numFmtId="246" fontId="249" fillId="0" borderId="4023" applyFill="0" applyProtection="0">
      <alignment horizontal="center"/>
    </xf>
    <xf numFmtId="0" fontId="241" fillId="94" borderId="4023" applyBorder="0" applyProtection="0">
      <alignment horizontal="centerContinuous" vertical="center"/>
    </xf>
    <xf numFmtId="254" fontId="240" fillId="0" borderId="4023" applyBorder="0" applyProtection="0">
      <alignment horizontal="right" vertical="center"/>
    </xf>
    <xf numFmtId="0" fontId="210" fillId="0" borderId="4023" applyNumberFormat="0" applyFill="0" applyBorder="0" applyAlignment="0">
      <protection locked="0"/>
    </xf>
    <xf numFmtId="264" fontId="12" fillId="14" borderId="4023" applyFont="0" applyFill="0" applyBorder="0" applyAlignment="0" applyProtection="0">
      <alignment horizontal="right"/>
    </xf>
    <xf numFmtId="0" fontId="166" fillId="0" borderId="4023">
      <alignment horizontal="center"/>
    </xf>
    <xf numFmtId="0" fontId="165" fillId="0" borderId="4023" applyFill="0" applyProtection="0">
      <alignment horizontal="center"/>
    </xf>
    <xf numFmtId="186" fontId="146" fillId="3" borderId="4023" applyBorder="0">
      <alignment horizontal="left" vertical="center"/>
    </xf>
    <xf numFmtId="180" fontId="9" fillId="3" borderId="4023">
      <alignment horizontal="right" vertical="center"/>
    </xf>
    <xf numFmtId="192" fontId="9" fillId="3" borderId="4023">
      <alignment horizontal="right" vertical="center"/>
    </xf>
    <xf numFmtId="0" fontId="12" fillId="0" borderId="4023" applyNumberFormat="0" applyFill="0" applyBorder="0" applyAlignment="0" applyProtection="0">
      <alignment horizontal="center"/>
    </xf>
    <xf numFmtId="0" fontId="113" fillId="0" borderId="4023" applyNumberFormat="0" applyFill="0" applyAlignment="0" applyProtection="0"/>
    <xf numFmtId="222" fontId="79" fillId="0" borderId="4022" applyBorder="0"/>
    <xf numFmtId="0" fontId="101" fillId="0" borderId="4023" applyBorder="0"/>
    <xf numFmtId="248" fontId="46" fillId="0" borderId="4023"/>
    <xf numFmtId="0" fontId="101" fillId="0" borderId="4023" applyBorder="0"/>
    <xf numFmtId="222" fontId="79" fillId="0" borderId="4022" applyBorder="0"/>
    <xf numFmtId="0" fontId="113" fillId="0" borderId="4023" applyNumberFormat="0" applyFill="0" applyAlignment="0" applyProtection="0"/>
    <xf numFmtId="0" fontId="75" fillId="0" borderId="4024" applyNumberFormat="0" applyFont="0" applyFill="0" applyAlignment="0" applyProtection="0"/>
    <xf numFmtId="0" fontId="12" fillId="0" borderId="4023" applyNumberFormat="0" applyFill="0" applyBorder="0" applyAlignment="0" applyProtection="0">
      <alignment horizontal="center"/>
    </xf>
    <xf numFmtId="248" fontId="46" fillId="0" borderId="4023"/>
    <xf numFmtId="192" fontId="9" fillId="3" borderId="4023">
      <alignment horizontal="right" vertical="center"/>
    </xf>
    <xf numFmtId="180" fontId="9" fillId="3" borderId="4023">
      <alignment horizontal="right" vertical="center"/>
    </xf>
    <xf numFmtId="186" fontId="146" fillId="3" borderId="4023" applyBorder="0">
      <alignment horizontal="left" vertical="center"/>
    </xf>
    <xf numFmtId="186" fontId="146" fillId="3" borderId="4026">
      <alignment horizontal="left"/>
    </xf>
    <xf numFmtId="186" fontId="140" fillId="3" borderId="4027">
      <alignment horizontal="center" vertical="center"/>
    </xf>
    <xf numFmtId="0" fontId="165" fillId="0" borderId="4023" applyFill="0" applyProtection="0">
      <alignment horizontal="center"/>
    </xf>
    <xf numFmtId="0" fontId="166" fillId="0" borderId="4023">
      <alignment horizontal="center"/>
    </xf>
    <xf numFmtId="264" fontId="12" fillId="14" borderId="4023" applyFont="0" applyFill="0" applyBorder="0" applyAlignment="0" applyProtection="0">
      <alignment horizontal="right"/>
    </xf>
    <xf numFmtId="0" fontId="210" fillId="0" borderId="4023" applyNumberFormat="0" applyFill="0" applyBorder="0" applyAlignment="0">
      <protection locked="0"/>
    </xf>
    <xf numFmtId="0" fontId="2" fillId="0" borderId="4028" applyNumberFormat="0" applyAlignment="0" applyProtection="0"/>
    <xf numFmtId="0" fontId="214" fillId="0" borderId="4029" applyNumberFormat="0" applyFont="0" applyFill="0" applyAlignment="0" applyProtection="0"/>
    <xf numFmtId="0" fontId="25" fillId="10" borderId="4030" applyNumberFormat="0" applyProtection="0">
      <alignment horizontal="left" vertical="top"/>
    </xf>
    <xf numFmtId="0" fontId="25" fillId="10" borderId="4031" applyNumberFormat="0" applyProtection="0">
      <alignment horizontal="left" vertical="top"/>
    </xf>
    <xf numFmtId="0" fontId="25" fillId="10" borderId="4032" applyNumberFormat="0" applyProtection="0">
      <alignment horizontal="left" vertical="top"/>
    </xf>
    <xf numFmtId="0" fontId="25" fillId="10" borderId="4033" applyNumberFormat="0" applyProtection="0">
      <alignment horizontal="left" vertical="top"/>
    </xf>
    <xf numFmtId="0" fontId="25" fillId="10" borderId="4030" applyNumberFormat="0" applyProtection="0">
      <alignment horizontal="left" vertical="top"/>
    </xf>
    <xf numFmtId="0" fontId="25" fillId="10" borderId="4031" applyNumberFormat="0" applyProtection="0">
      <alignment horizontal="left" vertical="top"/>
    </xf>
    <xf numFmtId="0" fontId="25" fillId="10" borderId="4032" applyNumberFormat="0" applyProtection="0">
      <alignment horizontal="left" vertical="top"/>
    </xf>
    <xf numFmtId="0" fontId="25" fillId="10" borderId="4033" applyNumberFormat="0" applyProtection="0">
      <alignment horizontal="left" vertical="top"/>
    </xf>
    <xf numFmtId="254" fontId="240" fillId="0" borderId="4023" applyBorder="0" applyProtection="0">
      <alignment horizontal="right" vertical="center"/>
    </xf>
    <xf numFmtId="0" fontId="241" fillId="94" borderId="4023" applyBorder="0" applyProtection="0">
      <alignment horizontal="centerContinuous" vertical="center"/>
    </xf>
    <xf numFmtId="246" fontId="249" fillId="0" borderId="4023" applyFill="0" applyProtection="0">
      <alignment horizontal="center"/>
    </xf>
    <xf numFmtId="246" fontId="250" fillId="0" borderId="4023" applyFill="0" applyProtection="0">
      <alignment horizontal="center"/>
    </xf>
    <xf numFmtId="190" fontId="101" fillId="0" borderId="4023" applyBorder="0"/>
    <xf numFmtId="190" fontId="113" fillId="0" borderId="4023" applyNumberFormat="0" applyFill="0" applyAlignment="0" applyProtection="0"/>
    <xf numFmtId="190" fontId="75" fillId="0" borderId="4000" applyNumberFormat="0" applyFont="0" applyFill="0" applyAlignment="0" applyProtection="0"/>
    <xf numFmtId="190" fontId="12" fillId="0" borderId="4023" applyNumberFormat="0" applyFill="0" applyBorder="0" applyAlignment="0" applyProtection="0">
      <alignment horizontal="center"/>
    </xf>
    <xf numFmtId="190" fontId="78" fillId="14" borderId="4013" applyFont="0" applyFill="0" applyBorder="0" applyAlignment="0" applyProtection="0"/>
    <xf numFmtId="190" fontId="165" fillId="0" borderId="4023" applyFill="0" applyProtection="0">
      <alignment horizontal="center"/>
    </xf>
    <xf numFmtId="190" fontId="166" fillId="0" borderId="4023">
      <alignment horizontal="center"/>
    </xf>
    <xf numFmtId="190" fontId="210" fillId="0" borderId="4023" applyNumberFormat="0" applyFill="0" applyBorder="0" applyAlignment="0">
      <protection locked="0"/>
    </xf>
    <xf numFmtId="190" fontId="2" fillId="0" borderId="4004" applyNumberFormat="0" applyAlignment="0" applyProtection="0"/>
    <xf numFmtId="190" fontId="214" fillId="0" borderId="4005" applyNumberFormat="0" applyFont="0" applyFill="0" applyAlignment="0" applyProtection="0"/>
    <xf numFmtId="190" fontId="25" fillId="10" borderId="4006" applyNumberFormat="0" applyProtection="0">
      <alignment horizontal="left" vertical="top"/>
    </xf>
    <xf numFmtId="190" fontId="25" fillId="10" borderId="4007" applyNumberFormat="0" applyProtection="0">
      <alignment horizontal="left" vertical="top"/>
    </xf>
    <xf numFmtId="190" fontId="25" fillId="10" borderId="4008" applyNumberFormat="0" applyProtection="0">
      <alignment horizontal="left" vertical="top"/>
    </xf>
    <xf numFmtId="190" fontId="25" fillId="10" borderId="4009" applyNumberFormat="0" applyProtection="0">
      <alignment horizontal="left" vertical="top"/>
    </xf>
    <xf numFmtId="190" fontId="241" fillId="94" borderId="4023" applyBorder="0" applyProtection="0">
      <alignment horizontal="centerContinuous" vertical="center"/>
    </xf>
    <xf numFmtId="222" fontId="79" fillId="0" borderId="4022" applyBorder="0"/>
    <xf numFmtId="0" fontId="101" fillId="0" borderId="4023" applyBorder="0"/>
    <xf numFmtId="222" fontId="79" fillId="0" borderId="4022" applyBorder="0"/>
    <xf numFmtId="0" fontId="113" fillId="0" borderId="4023" applyNumberFormat="0" applyFill="0" applyAlignment="0" applyProtection="0"/>
    <xf numFmtId="0" fontId="75" fillId="0" borderId="4000" applyNumberFormat="0" applyFont="0" applyFill="0" applyAlignment="0" applyProtection="0"/>
    <xf numFmtId="0" fontId="12" fillId="0" borderId="4023" applyNumberFormat="0" applyFill="0" applyBorder="0" applyAlignment="0" applyProtection="0">
      <alignment horizontal="center"/>
    </xf>
    <xf numFmtId="248" fontId="46" fillId="0" borderId="4023"/>
    <xf numFmtId="192" fontId="9" fillId="3" borderId="4023">
      <alignment horizontal="right" vertical="center"/>
    </xf>
    <xf numFmtId="180" fontId="9" fillId="3" borderId="4023">
      <alignment horizontal="right" vertical="center"/>
    </xf>
    <xf numFmtId="186" fontId="146" fillId="3" borderId="4023" applyBorder="0">
      <alignment horizontal="left" vertical="center"/>
    </xf>
    <xf numFmtId="186" fontId="146" fillId="3" borderId="4002">
      <alignment horizontal="left"/>
    </xf>
    <xf numFmtId="186" fontId="140" fillId="3" borderId="4003">
      <alignment horizontal="center" vertical="center"/>
    </xf>
    <xf numFmtId="0" fontId="165" fillId="0" borderId="4023" applyFill="0" applyProtection="0">
      <alignment horizontal="center"/>
    </xf>
    <xf numFmtId="0" fontId="166" fillId="0" borderId="4023">
      <alignment horizontal="center"/>
    </xf>
    <xf numFmtId="264" fontId="12" fillId="14" borderId="4023" applyFont="0" applyFill="0" applyBorder="0" applyAlignment="0" applyProtection="0">
      <alignment horizontal="right"/>
    </xf>
    <xf numFmtId="0" fontId="210" fillId="0" borderId="4023" applyNumberFormat="0" applyFill="0" applyBorder="0" applyAlignment="0">
      <protection locked="0"/>
    </xf>
    <xf numFmtId="0" fontId="2" fillId="0" borderId="4004" applyNumberFormat="0" applyAlignment="0" applyProtection="0"/>
    <xf numFmtId="0" fontId="214" fillId="0" borderId="4005" applyNumberFormat="0" applyFont="0" applyFill="0" applyAlignment="0" applyProtection="0"/>
    <xf numFmtId="0" fontId="25" fillId="10" borderId="4006" applyNumberFormat="0" applyProtection="0">
      <alignment horizontal="left" vertical="top"/>
    </xf>
    <xf numFmtId="0" fontId="25" fillId="10" borderId="4007" applyNumberFormat="0" applyProtection="0">
      <alignment horizontal="left" vertical="top"/>
    </xf>
    <xf numFmtId="0" fontId="25" fillId="10" borderId="4008" applyNumberFormat="0" applyProtection="0">
      <alignment horizontal="left" vertical="top"/>
    </xf>
    <xf numFmtId="0" fontId="25" fillId="10" borderId="4009" applyNumberFormat="0" applyProtection="0">
      <alignment horizontal="left" vertical="top"/>
    </xf>
    <xf numFmtId="0" fontId="25" fillId="10" borderId="4006" applyNumberFormat="0" applyProtection="0">
      <alignment horizontal="left" vertical="top"/>
    </xf>
    <xf numFmtId="0" fontId="25" fillId="10" borderId="4007" applyNumberFormat="0" applyProtection="0">
      <alignment horizontal="left" vertical="top"/>
    </xf>
    <xf numFmtId="0" fontId="25" fillId="10" borderId="4008" applyNumberFormat="0" applyProtection="0">
      <alignment horizontal="left" vertical="top"/>
    </xf>
    <xf numFmtId="0" fontId="25" fillId="10" borderId="4009" applyNumberFormat="0" applyProtection="0">
      <alignment horizontal="left" vertical="top"/>
    </xf>
    <xf numFmtId="254" fontId="240" fillId="0" borderId="4023" applyBorder="0" applyProtection="0">
      <alignment horizontal="right" vertical="center"/>
    </xf>
    <xf numFmtId="0" fontId="241" fillId="94" borderId="4023" applyBorder="0" applyProtection="0">
      <alignment horizontal="centerContinuous" vertical="center"/>
    </xf>
    <xf numFmtId="246" fontId="249" fillId="0" borderId="4023" applyFill="0" applyProtection="0">
      <alignment horizontal="center"/>
    </xf>
    <xf numFmtId="246" fontId="250" fillId="0" borderId="4023" applyFill="0" applyProtection="0">
      <alignment horizontal="center"/>
    </xf>
    <xf numFmtId="312" fontId="101" fillId="0" borderId="4023" applyBorder="0"/>
    <xf numFmtId="312" fontId="113" fillId="0" borderId="4023" applyNumberFormat="0" applyFill="0" applyAlignment="0" applyProtection="0"/>
    <xf numFmtId="312" fontId="75" fillId="0" borderId="4000" applyNumberFormat="0" applyFont="0" applyFill="0" applyAlignment="0" applyProtection="0"/>
    <xf numFmtId="312" fontId="12" fillId="0" borderId="4023" applyNumberFormat="0" applyFill="0" applyBorder="0" applyAlignment="0" applyProtection="0">
      <alignment horizontal="center"/>
    </xf>
    <xf numFmtId="312" fontId="165" fillId="0" borderId="4023" applyFill="0" applyProtection="0">
      <alignment horizontal="center"/>
    </xf>
    <xf numFmtId="312" fontId="242" fillId="0" borderId="4023">
      <alignment horizontal="center"/>
    </xf>
    <xf numFmtId="312" fontId="210" fillId="0" borderId="4023" applyNumberFormat="0" applyFill="0" applyBorder="0" applyAlignment="0">
      <protection locked="0"/>
    </xf>
    <xf numFmtId="312" fontId="2" fillId="0" borderId="4004" applyNumberFormat="0" applyAlignment="0" applyProtection="0"/>
    <xf numFmtId="312" fontId="214" fillId="0" borderId="4005" applyNumberFormat="0" applyFont="0" applyFill="0" applyAlignment="0" applyProtection="0"/>
    <xf numFmtId="312" fontId="25" fillId="10" borderId="4006" applyNumberFormat="0" applyProtection="0">
      <alignment horizontal="left" vertical="top"/>
    </xf>
    <xf numFmtId="312" fontId="25" fillId="10" borderId="4007" applyNumberFormat="0" applyProtection="0">
      <alignment horizontal="left" vertical="top"/>
    </xf>
    <xf numFmtId="312" fontId="25" fillId="10" borderId="4008" applyNumberFormat="0" applyProtection="0">
      <alignment horizontal="left" vertical="top"/>
    </xf>
    <xf numFmtId="312" fontId="25" fillId="10" borderId="4009" applyNumberFormat="0" applyProtection="0">
      <alignment horizontal="left" vertical="top"/>
    </xf>
    <xf numFmtId="312" fontId="241" fillId="94" borderId="4023" applyBorder="0" applyProtection="0">
      <alignment horizontal="centerContinuous" vertical="center"/>
    </xf>
    <xf numFmtId="246" fontId="296" fillId="0" borderId="4023" applyFill="0" applyProtection="0">
      <alignment horizontal="center"/>
    </xf>
    <xf numFmtId="312" fontId="101" fillId="0" borderId="4023" applyBorder="0"/>
    <xf numFmtId="312" fontId="113" fillId="0" borderId="4023" applyNumberFormat="0" applyFill="0" applyAlignment="0" applyProtection="0"/>
    <xf numFmtId="312" fontId="75" fillId="0" borderId="4000" applyNumberFormat="0" applyFont="0" applyFill="0" applyAlignment="0" applyProtection="0"/>
    <xf numFmtId="312" fontId="12" fillId="0" borderId="4023" applyNumberFormat="0" applyFill="0" applyBorder="0" applyAlignment="0" applyProtection="0">
      <alignment horizontal="center"/>
    </xf>
    <xf numFmtId="312" fontId="165" fillId="0" borderId="4023" applyFill="0" applyProtection="0">
      <alignment horizontal="center"/>
    </xf>
    <xf numFmtId="312" fontId="242" fillId="0" borderId="4023">
      <alignment horizontal="center"/>
    </xf>
    <xf numFmtId="312" fontId="210" fillId="0" borderId="4023" applyNumberFormat="0" applyFill="0" applyBorder="0" applyAlignment="0">
      <protection locked="0"/>
    </xf>
    <xf numFmtId="312" fontId="2" fillId="0" borderId="4004" applyNumberFormat="0" applyAlignment="0" applyProtection="0"/>
    <xf numFmtId="312" fontId="214" fillId="0" borderId="4005" applyNumberFormat="0" applyFont="0" applyFill="0" applyAlignment="0" applyProtection="0"/>
    <xf numFmtId="312" fontId="25" fillId="10" borderId="4006" applyNumberFormat="0" applyProtection="0">
      <alignment horizontal="left" vertical="top"/>
    </xf>
    <xf numFmtId="312" fontId="25" fillId="10" borderId="4007" applyNumberFormat="0" applyProtection="0">
      <alignment horizontal="left" vertical="top"/>
    </xf>
    <xf numFmtId="312" fontId="25" fillId="10" borderId="4008" applyNumberFormat="0" applyProtection="0">
      <alignment horizontal="left" vertical="top"/>
    </xf>
    <xf numFmtId="312" fontId="25" fillId="10" borderId="4009" applyNumberFormat="0" applyProtection="0">
      <alignment horizontal="left" vertical="top"/>
    </xf>
    <xf numFmtId="312" fontId="25" fillId="10" borderId="4006" applyNumberFormat="0" applyProtection="0">
      <alignment horizontal="left" vertical="top"/>
    </xf>
    <xf numFmtId="312" fontId="25" fillId="10" borderId="4007" applyNumberFormat="0" applyProtection="0">
      <alignment horizontal="left" vertical="top"/>
    </xf>
    <xf numFmtId="312" fontId="25" fillId="10" borderId="4008" applyNumberFormat="0" applyProtection="0">
      <alignment horizontal="left" vertical="top"/>
    </xf>
    <xf numFmtId="312" fontId="25" fillId="10" borderId="4009" applyNumberFormat="0" applyProtection="0">
      <alignment horizontal="left" vertical="top"/>
    </xf>
    <xf numFmtId="312" fontId="241" fillId="94" borderId="4023" applyBorder="0" applyProtection="0">
      <alignment horizontal="centerContinuous" vertical="center"/>
    </xf>
    <xf numFmtId="246" fontId="296" fillId="0" borderId="4023" applyFill="0" applyProtection="0">
      <alignment horizontal="center"/>
    </xf>
    <xf numFmtId="246" fontId="250" fillId="0" borderId="4023" applyFill="0" applyProtection="0">
      <alignment horizontal="center"/>
    </xf>
    <xf numFmtId="246" fontId="249" fillId="0" borderId="4023" applyFill="0" applyProtection="0">
      <alignment horizontal="center"/>
    </xf>
    <xf numFmtId="0" fontId="241" fillId="94" borderId="4023" applyBorder="0" applyProtection="0">
      <alignment horizontal="centerContinuous" vertical="center"/>
    </xf>
    <xf numFmtId="254" fontId="240" fillId="0" borderId="4023" applyBorder="0" applyProtection="0">
      <alignment horizontal="right" vertical="center"/>
    </xf>
    <xf numFmtId="0" fontId="25" fillId="10" borderId="4021" applyNumberFormat="0" applyProtection="0">
      <alignment horizontal="left" vertical="top"/>
    </xf>
    <xf numFmtId="0" fontId="25" fillId="10" borderId="4020" applyNumberFormat="0" applyProtection="0">
      <alignment horizontal="left" vertical="top"/>
    </xf>
    <xf numFmtId="0" fontId="25" fillId="10" borderId="4019" applyNumberFormat="0" applyProtection="0">
      <alignment horizontal="left" vertical="top"/>
    </xf>
    <xf numFmtId="0" fontId="25" fillId="10" borderId="4018" applyNumberFormat="0" applyProtection="0">
      <alignment horizontal="left" vertical="top"/>
    </xf>
    <xf numFmtId="0" fontId="214" fillId="0" borderId="4017" applyNumberFormat="0" applyFont="0" applyFill="0" applyAlignment="0" applyProtection="0"/>
    <xf numFmtId="0" fontId="2" fillId="0" borderId="4016" applyNumberFormat="0" applyAlignment="0" applyProtection="0"/>
    <xf numFmtId="0" fontId="210" fillId="0" borderId="4023" applyNumberFormat="0" applyFill="0" applyBorder="0" applyAlignment="0">
      <protection locked="0"/>
    </xf>
    <xf numFmtId="264" fontId="12" fillId="14" borderId="4023" applyFont="0" applyFill="0" applyBorder="0" applyAlignment="0" applyProtection="0">
      <alignment horizontal="right"/>
    </xf>
    <xf numFmtId="0" fontId="166" fillId="0" borderId="4023">
      <alignment horizontal="center"/>
    </xf>
    <xf numFmtId="0" fontId="165" fillId="0" borderId="4023" applyFill="0" applyProtection="0">
      <alignment horizontal="center"/>
    </xf>
    <xf numFmtId="186" fontId="140" fillId="3" borderId="4015">
      <alignment horizontal="center" vertical="center"/>
    </xf>
    <xf numFmtId="186" fontId="146" fillId="3" borderId="4014">
      <alignment horizontal="left"/>
    </xf>
    <xf numFmtId="186" fontId="146" fillId="3" borderId="4023" applyBorder="0">
      <alignment horizontal="left" vertical="center"/>
    </xf>
    <xf numFmtId="180" fontId="9" fillId="3" borderId="4023">
      <alignment horizontal="right" vertical="center"/>
    </xf>
    <xf numFmtId="192" fontId="9" fillId="3" borderId="4023">
      <alignment horizontal="right" vertical="center"/>
    </xf>
    <xf numFmtId="248" fontId="46" fillId="0" borderId="4023"/>
    <xf numFmtId="0" fontId="78" fillId="14" borderId="4013" applyFont="0" applyFill="0" applyBorder="0" applyAlignment="0" applyProtection="0"/>
    <xf numFmtId="0" fontId="12" fillId="0" borderId="4023" applyNumberFormat="0" applyFill="0" applyBorder="0" applyAlignment="0" applyProtection="0">
      <alignment horizontal="center"/>
    </xf>
    <xf numFmtId="0" fontId="75" fillId="0" borderId="4012" applyNumberFormat="0" applyFont="0" applyFill="0" applyAlignment="0" applyProtection="0"/>
    <xf numFmtId="0" fontId="113" fillId="0" borderId="4023" applyNumberFormat="0" applyFill="0" applyAlignment="0" applyProtection="0"/>
    <xf numFmtId="222" fontId="79" fillId="0" borderId="4022" applyBorder="0"/>
    <xf numFmtId="0" fontId="101" fillId="0" borderId="4023" applyBorder="0"/>
    <xf numFmtId="0" fontId="25" fillId="10" borderId="4030" applyNumberFormat="0" applyProtection="0">
      <alignment horizontal="left" vertical="top"/>
    </xf>
    <xf numFmtId="0" fontId="25" fillId="10" borderId="4031" applyNumberFormat="0" applyProtection="0">
      <alignment horizontal="left" vertical="top"/>
    </xf>
    <xf numFmtId="0" fontId="25" fillId="10" borderId="4032" applyNumberFormat="0" applyProtection="0">
      <alignment horizontal="left" vertical="top"/>
    </xf>
    <xf numFmtId="0" fontId="25" fillId="10" borderId="4033" applyNumberFormat="0" applyProtection="0">
      <alignment horizontal="left" vertical="top"/>
    </xf>
    <xf numFmtId="246" fontId="250" fillId="0" borderId="4011" applyFill="0" applyProtection="0">
      <alignment horizontal="center"/>
    </xf>
    <xf numFmtId="246" fontId="249" fillId="0" borderId="4011" applyFill="0" applyProtection="0">
      <alignment horizontal="center"/>
    </xf>
    <xf numFmtId="0" fontId="241" fillId="94" borderId="4011" applyBorder="0" applyProtection="0">
      <alignment horizontal="centerContinuous" vertical="center"/>
    </xf>
    <xf numFmtId="254" fontId="240" fillId="0" borderId="4011" applyBorder="0" applyProtection="0">
      <alignment horizontal="right" vertical="center"/>
    </xf>
    <xf numFmtId="0" fontId="210" fillId="0" borderId="4011" applyNumberFormat="0" applyFill="0" applyBorder="0" applyAlignment="0">
      <protection locked="0"/>
    </xf>
    <xf numFmtId="264" fontId="12" fillId="14" borderId="4011" applyFont="0" applyFill="0" applyBorder="0" applyAlignment="0" applyProtection="0">
      <alignment horizontal="right"/>
    </xf>
    <xf numFmtId="0" fontId="166" fillId="0" borderId="4011">
      <alignment horizontal="center"/>
    </xf>
    <xf numFmtId="0" fontId="165" fillId="0" borderId="4011" applyFill="0" applyProtection="0">
      <alignment horizontal="center"/>
    </xf>
    <xf numFmtId="186" fontId="146" fillId="3" borderId="4011" applyBorder="0">
      <alignment horizontal="left" vertical="center"/>
    </xf>
    <xf numFmtId="180" fontId="9" fillId="3" borderId="4011">
      <alignment horizontal="right" vertical="center"/>
    </xf>
    <xf numFmtId="192" fontId="9" fillId="3" borderId="4011">
      <alignment horizontal="right" vertical="center"/>
    </xf>
    <xf numFmtId="248" fontId="46" fillId="0" borderId="4011"/>
    <xf numFmtId="0" fontId="12" fillId="0" borderId="4011" applyNumberFormat="0" applyFill="0" applyBorder="0" applyAlignment="0" applyProtection="0">
      <alignment horizontal="center"/>
    </xf>
    <xf numFmtId="0" fontId="113" fillId="0" borderId="4011" applyNumberFormat="0" applyFill="0" applyAlignment="0" applyProtection="0"/>
    <xf numFmtId="222" fontId="79" fillId="0" borderId="4010" applyBorder="0"/>
    <xf numFmtId="0" fontId="101" fillId="0" borderId="4011" applyBorder="0"/>
    <xf numFmtId="246" fontId="250" fillId="0" borderId="4011" applyFill="0" applyProtection="0">
      <alignment horizontal="center"/>
    </xf>
    <xf numFmtId="246" fontId="249" fillId="0" borderId="4011" applyFill="0" applyProtection="0">
      <alignment horizontal="center"/>
    </xf>
    <xf numFmtId="0" fontId="241" fillId="94" borderId="4011" applyBorder="0" applyProtection="0">
      <alignment horizontal="centerContinuous" vertical="center"/>
    </xf>
    <xf numFmtId="254" fontId="240" fillId="0" borderId="4011" applyBorder="0" applyProtection="0">
      <alignment horizontal="right" vertical="center"/>
    </xf>
    <xf numFmtId="0" fontId="210" fillId="0" borderId="4011" applyNumberFormat="0" applyFill="0" applyBorder="0" applyAlignment="0">
      <protection locked="0"/>
    </xf>
    <xf numFmtId="264" fontId="12" fillId="14" borderId="4011" applyFont="0" applyFill="0" applyBorder="0" applyAlignment="0" applyProtection="0">
      <alignment horizontal="right"/>
    </xf>
    <xf numFmtId="0" fontId="166" fillId="0" borderId="4011">
      <alignment horizontal="center"/>
    </xf>
    <xf numFmtId="0" fontId="165" fillId="0" borderId="4011" applyFill="0" applyProtection="0">
      <alignment horizontal="center"/>
    </xf>
    <xf numFmtId="186" fontId="146" fillId="3" borderId="4011" applyBorder="0">
      <alignment horizontal="left" vertical="center"/>
    </xf>
    <xf numFmtId="180" fontId="9" fillId="3" borderId="4011">
      <alignment horizontal="right" vertical="center"/>
    </xf>
    <xf numFmtId="192" fontId="9" fillId="3" borderId="4011">
      <alignment horizontal="right" vertical="center"/>
    </xf>
    <xf numFmtId="0" fontId="12" fillId="0" borderId="4011" applyNumberFormat="0" applyFill="0" applyBorder="0" applyAlignment="0" applyProtection="0">
      <alignment horizontal="center"/>
    </xf>
    <xf numFmtId="0" fontId="113" fillId="0" borderId="4011" applyNumberFormat="0" applyFill="0" applyAlignment="0" applyProtection="0"/>
    <xf numFmtId="222" fontId="79" fillId="0" borderId="4010" applyBorder="0"/>
    <xf numFmtId="0" fontId="101" fillId="0" borderId="4011" applyBorder="0"/>
    <xf numFmtId="248" fontId="46" fillId="0" borderId="4011"/>
    <xf numFmtId="246" fontId="250" fillId="0" borderId="4011" applyFill="0" applyProtection="0">
      <alignment horizontal="center"/>
    </xf>
    <xf numFmtId="246" fontId="249" fillId="0" borderId="4011" applyFill="0" applyProtection="0">
      <alignment horizontal="center"/>
    </xf>
    <xf numFmtId="0" fontId="241" fillId="94" borderId="4011" applyBorder="0" applyProtection="0">
      <alignment horizontal="centerContinuous" vertical="center"/>
    </xf>
    <xf numFmtId="254" fontId="240" fillId="0" borderId="4011" applyBorder="0" applyProtection="0">
      <alignment horizontal="right" vertical="center"/>
    </xf>
    <xf numFmtId="0" fontId="210" fillId="0" borderId="4011" applyNumberFormat="0" applyFill="0" applyBorder="0" applyAlignment="0">
      <protection locked="0"/>
    </xf>
    <xf numFmtId="264" fontId="12" fillId="14" borderId="4011" applyFont="0" applyFill="0" applyBorder="0" applyAlignment="0" applyProtection="0">
      <alignment horizontal="right"/>
    </xf>
    <xf numFmtId="0" fontId="166" fillId="0" borderId="4011">
      <alignment horizontal="center"/>
    </xf>
    <xf numFmtId="0" fontId="165" fillId="0" borderId="4011" applyFill="0" applyProtection="0">
      <alignment horizontal="center"/>
    </xf>
    <xf numFmtId="186" fontId="146" fillId="3" borderId="4011" applyBorder="0">
      <alignment horizontal="left" vertical="center"/>
    </xf>
    <xf numFmtId="180" fontId="9" fillId="3" borderId="4011">
      <alignment horizontal="right" vertical="center"/>
    </xf>
    <xf numFmtId="192" fontId="9" fillId="3" borderId="4011">
      <alignment horizontal="right" vertical="center"/>
    </xf>
    <xf numFmtId="248" fontId="46" fillId="0" borderId="4011"/>
    <xf numFmtId="0" fontId="12" fillId="0" borderId="4011" applyNumberFormat="0" applyFill="0" applyBorder="0" applyAlignment="0" applyProtection="0">
      <alignment horizontal="center"/>
    </xf>
    <xf numFmtId="0" fontId="113" fillId="0" borderId="4011" applyNumberFormat="0" applyFill="0" applyAlignment="0" applyProtection="0"/>
    <xf numFmtId="222" fontId="79" fillId="0" borderId="4010" applyBorder="0"/>
    <xf numFmtId="0" fontId="101" fillId="0" borderId="4011" applyBorder="0"/>
    <xf numFmtId="0" fontId="25" fillId="10" borderId="4224" applyNumberFormat="0" applyProtection="0">
      <alignment horizontal="left" vertical="top"/>
    </xf>
    <xf numFmtId="186" fontId="140" fillId="3" borderId="4219">
      <alignment horizontal="center" vertical="center"/>
    </xf>
    <xf numFmtId="222" fontId="79" fillId="0" borderId="4226" applyBorder="0"/>
    <xf numFmtId="248" fontId="46" fillId="0" borderId="4227"/>
    <xf numFmtId="264" fontId="12" fillId="14" borderId="4191" applyFont="0" applyFill="0" applyBorder="0" applyAlignment="0" applyProtection="0">
      <alignment horizontal="right"/>
    </xf>
    <xf numFmtId="0" fontId="166" fillId="0" borderId="4191">
      <alignment horizontal="center"/>
    </xf>
    <xf numFmtId="0" fontId="25" fillId="10" borderId="4201" applyNumberFormat="0" applyProtection="0">
      <alignment horizontal="left" vertical="top"/>
    </xf>
    <xf numFmtId="0" fontId="25" fillId="10" borderId="4199" applyNumberFormat="0" applyProtection="0">
      <alignment horizontal="left" vertical="top"/>
    </xf>
    <xf numFmtId="0" fontId="25" fillId="10" borderId="4198" applyNumberFormat="0" applyProtection="0">
      <alignment horizontal="left" vertical="top"/>
    </xf>
    <xf numFmtId="0" fontId="25" fillId="10" borderId="4201" applyNumberFormat="0" applyProtection="0">
      <alignment horizontal="left" vertical="top"/>
    </xf>
    <xf numFmtId="0" fontId="214" fillId="0" borderId="4197" applyNumberFormat="0" applyFont="0" applyFill="0" applyAlignment="0" applyProtection="0"/>
    <xf numFmtId="0" fontId="2" fillId="0" borderId="4196" applyNumberFormat="0" applyAlignment="0" applyProtection="0"/>
    <xf numFmtId="186" fontId="146" fillId="3" borderId="4194">
      <alignment horizontal="left"/>
    </xf>
    <xf numFmtId="0" fontId="75" fillId="0" borderId="4192" applyNumberFormat="0" applyFont="0" applyFill="0" applyAlignment="0" applyProtection="0"/>
    <xf numFmtId="186" fontId="146" fillId="3" borderId="4609" applyBorder="0">
      <alignment horizontal="left" vertical="center"/>
    </xf>
    <xf numFmtId="0" fontId="25" fillId="10" borderId="4616" applyNumberFormat="0" applyProtection="0">
      <alignment horizontal="left" vertical="top"/>
    </xf>
    <xf numFmtId="0" fontId="25" fillId="10" borderId="4618" applyNumberFormat="0" applyProtection="0">
      <alignment horizontal="left" vertical="top"/>
    </xf>
    <xf numFmtId="0" fontId="113" fillId="0" borderId="4609" applyNumberFormat="0" applyFill="0" applyAlignment="0" applyProtection="0"/>
    <xf numFmtId="0" fontId="165" fillId="0" borderId="4609" applyFill="0" applyProtection="0">
      <alignment horizontal="center"/>
    </xf>
    <xf numFmtId="0" fontId="25" fillId="10" borderId="4618" applyNumberFormat="0" applyProtection="0">
      <alignment horizontal="left" vertical="top"/>
    </xf>
    <xf numFmtId="248" fontId="46" fillId="0" borderId="4609"/>
    <xf numFmtId="0" fontId="2" fillId="0" borderId="4614" applyNumberFormat="0" applyAlignment="0" applyProtection="0"/>
    <xf numFmtId="254" fontId="240" fillId="0" borderId="4537" applyBorder="0" applyProtection="0">
      <alignment horizontal="right" vertical="center"/>
    </xf>
    <xf numFmtId="0" fontId="25" fillId="10" borderId="4616" applyNumberFormat="0" applyProtection="0">
      <alignment horizontal="left" vertical="top"/>
    </xf>
    <xf numFmtId="254" fontId="240" fillId="0" borderId="4573" applyBorder="0" applyProtection="0">
      <alignment horizontal="right" vertical="center"/>
    </xf>
    <xf numFmtId="0" fontId="101" fillId="0" borderId="4597" applyBorder="0"/>
    <xf numFmtId="186" fontId="146" fillId="3" borderId="4537" applyBorder="0">
      <alignment horizontal="left" vertical="center"/>
    </xf>
    <xf numFmtId="0" fontId="12" fillId="0" borderId="4227" applyNumberFormat="0" applyFill="0" applyBorder="0" applyAlignment="0" applyProtection="0">
      <alignment horizontal="center"/>
    </xf>
    <xf numFmtId="248" fontId="46" fillId="0" borderId="4191"/>
    <xf numFmtId="0" fontId="210" fillId="0" borderId="4251" applyNumberFormat="0" applyFill="0" applyBorder="0" applyAlignment="0">
      <protection locked="0"/>
    </xf>
    <xf numFmtId="186" fontId="140" fillId="3" borderId="4231">
      <alignment horizontal="center" vertical="center"/>
    </xf>
    <xf numFmtId="180" fontId="9" fillId="3" borderId="4191">
      <alignment horizontal="right" vertical="center"/>
    </xf>
    <xf numFmtId="0" fontId="25" fillId="10" borderId="4199" applyNumberFormat="0" applyProtection="0">
      <alignment horizontal="left" vertical="top"/>
    </xf>
    <xf numFmtId="222" fontId="79" fillId="0" borderId="4202" applyBorder="0"/>
    <xf numFmtId="0" fontId="12" fillId="0" borderId="4191" applyNumberFormat="0" applyFill="0" applyBorder="0" applyAlignment="0" applyProtection="0">
      <alignment horizontal="center"/>
    </xf>
    <xf numFmtId="0" fontId="165" fillId="0" borderId="4251" applyFill="0" applyProtection="0">
      <alignment horizontal="center"/>
    </xf>
    <xf numFmtId="222" fontId="79" fillId="0" borderId="4106" applyBorder="0"/>
    <xf numFmtId="0" fontId="101" fillId="0" borderId="4107" applyBorder="0"/>
    <xf numFmtId="222" fontId="79" fillId="0" borderId="4106" applyBorder="0"/>
    <xf numFmtId="0" fontId="113" fillId="0" borderId="4107" applyNumberFormat="0" applyFill="0" applyAlignment="0" applyProtection="0"/>
    <xf numFmtId="0" fontId="12" fillId="0" borderId="4107" applyNumberFormat="0" applyFill="0" applyBorder="0" applyAlignment="0" applyProtection="0">
      <alignment horizontal="center"/>
    </xf>
    <xf numFmtId="248" fontId="46" fillId="0" borderId="4107"/>
    <xf numFmtId="186" fontId="140" fillId="3" borderId="4255">
      <alignment horizontal="center" vertical="center"/>
    </xf>
    <xf numFmtId="0" fontId="75" fillId="0" borderId="4252" applyNumberFormat="0" applyFont="0" applyFill="0" applyAlignment="0" applyProtection="0"/>
    <xf numFmtId="192" fontId="9" fillId="3" borderId="4107">
      <alignment horizontal="right" vertical="center"/>
    </xf>
    <xf numFmtId="180" fontId="9" fillId="3" borderId="4107">
      <alignment horizontal="right" vertical="center"/>
    </xf>
    <xf numFmtId="186" fontId="146" fillId="3" borderId="4107" applyBorder="0">
      <alignment horizontal="left" vertical="center"/>
    </xf>
    <xf numFmtId="0" fontId="165" fillId="0" borderId="4251" applyFill="0" applyProtection="0">
      <alignment horizontal="center"/>
    </xf>
    <xf numFmtId="0" fontId="101" fillId="0" borderId="4191" applyBorder="0"/>
    <xf numFmtId="222" fontId="79" fillId="0" borderId="4202" applyBorder="0"/>
    <xf numFmtId="0" fontId="165" fillId="0" borderId="4107" applyFill="0" applyProtection="0">
      <alignment horizontal="center"/>
    </xf>
    <xf numFmtId="0" fontId="166" fillId="0" borderId="4107">
      <alignment horizontal="center"/>
    </xf>
    <xf numFmtId="222" fontId="79" fillId="0" borderId="4202" applyBorder="0"/>
    <xf numFmtId="264" fontId="12" fillId="14" borderId="4107" applyFont="0" applyFill="0" applyBorder="0" applyAlignment="0" applyProtection="0">
      <alignment horizontal="right"/>
    </xf>
    <xf numFmtId="0" fontId="25" fillId="10" borderId="4246" applyNumberFormat="0" applyProtection="0">
      <alignment horizontal="left" vertical="top"/>
    </xf>
    <xf numFmtId="0" fontId="101" fillId="0" borderId="4251" applyBorder="0"/>
    <xf numFmtId="186" fontId="146" fillId="3" borderId="4251" applyBorder="0">
      <alignment horizontal="left" vertical="center"/>
    </xf>
    <xf numFmtId="0" fontId="210" fillId="0" borderId="4107" applyNumberFormat="0" applyFill="0" applyBorder="0" applyAlignment="0">
      <protection locked="0"/>
    </xf>
    <xf numFmtId="222" fontId="79" fillId="0" borderId="4202" applyBorder="0"/>
    <xf numFmtId="254" fontId="240" fillId="0" borderId="4107" applyBorder="0" applyProtection="0">
      <alignment horizontal="right" vertical="center"/>
    </xf>
    <xf numFmtId="0" fontId="241" fillId="94" borderId="4107" applyBorder="0" applyProtection="0">
      <alignment horizontal="centerContinuous" vertical="center"/>
    </xf>
    <xf numFmtId="246" fontId="249" fillId="0" borderId="4107" applyFill="0" applyProtection="0">
      <alignment horizontal="center"/>
    </xf>
    <xf numFmtId="246" fontId="250" fillId="0" borderId="4107" applyFill="0" applyProtection="0">
      <alignment horizontal="center"/>
    </xf>
    <xf numFmtId="0" fontId="2" fillId="0" borderId="4220" applyNumberFormat="0" applyAlignment="0" applyProtection="0"/>
    <xf numFmtId="222" fontId="79" fillId="0" borderId="4202" applyBorder="0"/>
    <xf numFmtId="186" fontId="146" fillId="3" borderId="4194">
      <alignment horizontal="left"/>
    </xf>
    <xf numFmtId="254" fontId="240" fillId="0" borderId="4227" applyBorder="0" applyProtection="0">
      <alignment horizontal="right" vertical="center"/>
    </xf>
    <xf numFmtId="0" fontId="25" fillId="10" borderId="4234" applyNumberFormat="0" applyProtection="0">
      <alignment horizontal="left" vertical="top"/>
    </xf>
    <xf numFmtId="186" fontId="146" fillId="3" borderId="4251" applyBorder="0">
      <alignment horizontal="left" vertical="center"/>
    </xf>
    <xf numFmtId="0" fontId="210" fillId="0" borderId="4251" applyNumberFormat="0" applyFill="0" applyBorder="0" applyAlignment="0">
      <protection locked="0"/>
    </xf>
    <xf numFmtId="0" fontId="241" fillId="94" borderId="4239" applyBorder="0" applyProtection="0">
      <alignment horizontal="centerContinuous" vertical="center"/>
    </xf>
    <xf numFmtId="0" fontId="214" fillId="0" borderId="4209" applyNumberFormat="0" applyFont="0" applyFill="0" applyAlignment="0" applyProtection="0"/>
    <xf numFmtId="186" fontId="140" fillId="3" borderId="4195">
      <alignment horizontal="center" vertical="center"/>
    </xf>
    <xf numFmtId="264" fontId="12" fillId="14" borderId="4203" applyFont="0" applyFill="0" applyBorder="0" applyAlignment="0" applyProtection="0">
      <alignment horizontal="right"/>
    </xf>
    <xf numFmtId="0" fontId="78" fillId="14" borderId="4109" applyFont="0" applyFill="0" applyBorder="0" applyAlignment="0" applyProtection="0"/>
    <xf numFmtId="0" fontId="25" fillId="10" borderId="4117" applyNumberFormat="0" applyProtection="0">
      <alignment horizontal="left" vertical="top"/>
    </xf>
    <xf numFmtId="0" fontId="25" fillId="10" borderId="4116" applyNumberFormat="0" applyProtection="0">
      <alignment horizontal="left" vertical="top"/>
    </xf>
    <xf numFmtId="0" fontId="25" fillId="10" borderId="4115" applyNumberFormat="0" applyProtection="0">
      <alignment horizontal="left" vertical="top"/>
    </xf>
    <xf numFmtId="0" fontId="25" fillId="10" borderId="4114" applyNumberFormat="0" applyProtection="0">
      <alignment horizontal="left" vertical="top"/>
    </xf>
    <xf numFmtId="0" fontId="214" fillId="0" borderId="4113" applyNumberFormat="0" applyFont="0" applyFill="0" applyAlignment="0" applyProtection="0"/>
    <xf numFmtId="0" fontId="2" fillId="0" borderId="4112" applyNumberFormat="0" applyAlignment="0" applyProtection="0"/>
    <xf numFmtId="0" fontId="75" fillId="0" borderId="4240" applyNumberFormat="0" applyFont="0" applyFill="0" applyAlignment="0" applyProtection="0"/>
    <xf numFmtId="186" fontId="140" fillId="3" borderId="4111">
      <alignment horizontal="center" vertical="center"/>
    </xf>
    <xf numFmtId="186" fontId="146" fillId="3" borderId="4110">
      <alignment horizontal="left"/>
    </xf>
    <xf numFmtId="180" fontId="9" fillId="3" borderId="4251">
      <alignment horizontal="right" vertical="center"/>
    </xf>
    <xf numFmtId="0" fontId="75" fillId="0" borderId="4108" applyNumberFormat="0" applyFont="0" applyFill="0" applyAlignment="0" applyProtection="0"/>
    <xf numFmtId="186" fontId="146" fillId="3" borderId="4203" applyBorder="0">
      <alignment horizontal="left" vertical="center"/>
    </xf>
    <xf numFmtId="222" fontId="79" fillId="0" borderId="4118" applyBorder="0"/>
    <xf numFmtId="0" fontId="101" fillId="0" borderId="4119" applyBorder="0"/>
    <xf numFmtId="222" fontId="79" fillId="0" borderId="4118" applyBorder="0"/>
    <xf numFmtId="0" fontId="113" fillId="0" borderId="4119" applyNumberFormat="0" applyFill="0" applyAlignment="0" applyProtection="0"/>
    <xf numFmtId="0" fontId="12" fillId="0" borderId="4119" applyNumberFormat="0" applyFill="0" applyBorder="0" applyAlignment="0" applyProtection="0">
      <alignment horizontal="center"/>
    </xf>
    <xf numFmtId="248" fontId="46" fillId="0" borderId="4119"/>
    <xf numFmtId="186" fontId="146" fillId="3" borderId="4254">
      <alignment horizontal="left"/>
    </xf>
    <xf numFmtId="0" fontId="113" fillId="0" borderId="4251" applyNumberFormat="0" applyFill="0" applyAlignment="0" applyProtection="0"/>
    <xf numFmtId="192" fontId="9" fillId="3" borderId="4119">
      <alignment horizontal="right" vertical="center"/>
    </xf>
    <xf numFmtId="180" fontId="9" fillId="3" borderId="4119">
      <alignment horizontal="right" vertical="center"/>
    </xf>
    <xf numFmtId="186" fontId="146" fillId="3" borderId="4119" applyBorder="0">
      <alignment horizontal="left" vertical="center"/>
    </xf>
    <xf numFmtId="0" fontId="165" fillId="0" borderId="4119" applyFill="0" applyProtection="0">
      <alignment horizontal="center"/>
    </xf>
    <xf numFmtId="0" fontId="166" fillId="0" borderId="4119">
      <alignment horizontal="center"/>
    </xf>
    <xf numFmtId="264" fontId="12" fillId="14" borderId="4119" applyFont="0" applyFill="0" applyBorder="0" applyAlignment="0" applyProtection="0">
      <alignment horizontal="right"/>
    </xf>
    <xf numFmtId="0" fontId="210" fillId="0" borderId="4119" applyNumberFormat="0" applyFill="0" applyBorder="0" applyAlignment="0">
      <protection locked="0"/>
    </xf>
    <xf numFmtId="254" fontId="240" fillId="0" borderId="4119" applyBorder="0" applyProtection="0">
      <alignment horizontal="right" vertical="center"/>
    </xf>
    <xf numFmtId="0" fontId="241" fillId="94" borderId="4119" applyBorder="0" applyProtection="0">
      <alignment horizontal="centerContinuous" vertical="center"/>
    </xf>
    <xf numFmtId="246" fontId="249" fillId="0" borderId="4119" applyFill="0" applyProtection="0">
      <alignment horizontal="center"/>
    </xf>
    <xf numFmtId="246" fontId="250" fillId="0" borderId="4119" applyFill="0" applyProtection="0">
      <alignment horizontal="center"/>
    </xf>
    <xf numFmtId="0" fontId="166" fillId="0" borderId="4203">
      <alignment horizontal="center"/>
    </xf>
    <xf numFmtId="192" fontId="9" fillId="3" borderId="4203">
      <alignment horizontal="right" vertical="center"/>
    </xf>
    <xf numFmtId="248" fontId="46" fillId="0" borderId="4203"/>
    <xf numFmtId="0" fontId="12" fillId="0" borderId="4203" applyNumberFormat="0" applyFill="0" applyBorder="0" applyAlignment="0" applyProtection="0">
      <alignment horizontal="center"/>
    </xf>
    <xf numFmtId="0" fontId="113" fillId="0" borderId="4203" applyNumberFormat="0" applyFill="0" applyAlignment="0" applyProtection="0"/>
    <xf numFmtId="222" fontId="79" fillId="0" borderId="4202" applyBorder="0"/>
    <xf numFmtId="0" fontId="101" fillId="0" borderId="4203" applyBorder="0"/>
    <xf numFmtId="186" fontId="146" fillId="3" borderId="4194">
      <alignment horizontal="left"/>
    </xf>
    <xf numFmtId="0" fontId="113" fillId="0" borderId="4251" applyNumberFormat="0" applyFill="0" applyAlignment="0" applyProtection="0"/>
    <xf numFmtId="0" fontId="25" fillId="10" borderId="4198" applyNumberFormat="0" applyProtection="0">
      <alignment horizontal="left" vertical="top"/>
    </xf>
    <xf numFmtId="186" fontId="140" fillId="3" borderId="4255">
      <alignment horizontal="center" vertical="center"/>
    </xf>
    <xf numFmtId="0" fontId="25" fillId="10" borderId="4261" applyNumberFormat="0" applyProtection="0">
      <alignment horizontal="left" vertical="top"/>
    </xf>
    <xf numFmtId="0" fontId="2" fillId="0" borderId="4256" applyNumberFormat="0" applyAlignment="0" applyProtection="0"/>
    <xf numFmtId="0" fontId="101" fillId="0" borderId="4227" applyBorder="0"/>
    <xf numFmtId="0" fontId="214" fillId="0" borderId="4197" applyNumberFormat="0" applyFont="0" applyFill="0" applyAlignment="0" applyProtection="0"/>
    <xf numFmtId="186" fontId="146" fillId="3" borderId="4254">
      <alignment horizontal="left"/>
    </xf>
    <xf numFmtId="0" fontId="25" fillId="10" borderId="4258" applyNumberFormat="0" applyProtection="0">
      <alignment horizontal="left" vertical="top"/>
    </xf>
    <xf numFmtId="0" fontId="25" fillId="10" borderId="4260" applyNumberFormat="0" applyProtection="0">
      <alignment horizontal="left" vertical="top"/>
    </xf>
    <xf numFmtId="0" fontId="25" fillId="10" borderId="4259" applyNumberFormat="0" applyProtection="0">
      <alignment horizontal="left" vertical="top"/>
    </xf>
    <xf numFmtId="0" fontId="214" fillId="0" borderId="4257" applyNumberFormat="0" applyFont="0" applyFill="0" applyAlignment="0" applyProtection="0"/>
    <xf numFmtId="0" fontId="210" fillId="0" borderId="4251" applyNumberFormat="0" applyFill="0" applyBorder="0" applyAlignment="0">
      <protection locked="0"/>
    </xf>
    <xf numFmtId="254" fontId="240" fillId="0" borderId="4191" applyBorder="0" applyProtection="0">
      <alignment horizontal="right" vertical="center"/>
    </xf>
    <xf numFmtId="246" fontId="249" fillId="0" borderId="4191" applyFill="0" applyProtection="0">
      <alignment horizontal="center"/>
    </xf>
    <xf numFmtId="0" fontId="214" fillId="0" borderId="4197" applyNumberFormat="0" applyFont="0" applyFill="0" applyAlignment="0" applyProtection="0"/>
    <xf numFmtId="0" fontId="166" fillId="0" borderId="4251">
      <alignment horizontal="center"/>
    </xf>
    <xf numFmtId="222" fontId="79" fillId="0" borderId="4202" applyBorder="0"/>
    <xf numFmtId="0" fontId="12" fillId="0" borderId="4251" applyNumberFormat="0" applyFill="0" applyBorder="0" applyAlignment="0" applyProtection="0">
      <alignment horizontal="center"/>
    </xf>
    <xf numFmtId="190" fontId="25" fillId="10" borderId="4236" applyNumberFormat="0" applyProtection="0">
      <alignment horizontal="left" vertical="top"/>
    </xf>
    <xf numFmtId="246" fontId="250" fillId="0" borderId="4537" applyFill="0" applyProtection="0">
      <alignment horizontal="center"/>
    </xf>
    <xf numFmtId="222" fontId="79" fillId="0" borderId="4250" applyBorder="0"/>
    <xf numFmtId="192" fontId="9" fillId="3" borderId="4251">
      <alignment horizontal="right" vertical="center"/>
    </xf>
    <xf numFmtId="186" fontId="146" fillId="3" borderId="4122">
      <alignment horizontal="left"/>
    </xf>
    <xf numFmtId="0" fontId="75" fillId="0" borderId="4120" applyNumberFormat="0" applyFont="0" applyFill="0" applyAlignment="0" applyProtection="0"/>
    <xf numFmtId="0" fontId="25" fillId="10" borderId="4198" applyNumberFormat="0" applyProtection="0">
      <alignment horizontal="left" vertical="top"/>
    </xf>
    <xf numFmtId="0" fontId="75" fillId="0" borderId="4192" applyNumberFormat="0" applyFont="0" applyFill="0" applyAlignment="0" applyProtection="0"/>
    <xf numFmtId="0" fontId="25" fillId="10" borderId="4225" applyNumberFormat="0" applyProtection="0">
      <alignment horizontal="left" vertical="top"/>
    </xf>
    <xf numFmtId="0" fontId="113" fillId="0" borderId="4203" applyNumberFormat="0" applyFill="0" applyAlignment="0" applyProtection="0"/>
    <xf numFmtId="264" fontId="12" fillId="14" borderId="4203" applyFont="0" applyFill="0" applyBorder="0" applyAlignment="0" applyProtection="0">
      <alignment horizontal="right"/>
    </xf>
    <xf numFmtId="246" fontId="249" fillId="0" borderId="4203" applyFill="0" applyProtection="0">
      <alignment horizontal="center"/>
    </xf>
    <xf numFmtId="0" fontId="25" fillId="10" borderId="4129" applyNumberFormat="0" applyProtection="0">
      <alignment horizontal="left" vertical="top"/>
    </xf>
    <xf numFmtId="0" fontId="25" fillId="10" borderId="4127" applyNumberFormat="0" applyProtection="0">
      <alignment horizontal="left" vertical="top"/>
    </xf>
    <xf numFmtId="0" fontId="25" fillId="10" borderId="4128" applyNumberFormat="0" applyProtection="0">
      <alignment horizontal="left" vertical="top"/>
    </xf>
    <xf numFmtId="0" fontId="25" fillId="10" borderId="4126" applyNumberFormat="0" applyProtection="0">
      <alignment horizontal="left" vertical="top"/>
    </xf>
    <xf numFmtId="0" fontId="25" fillId="10" borderId="4129" applyNumberFormat="0" applyProtection="0">
      <alignment horizontal="left" vertical="top"/>
    </xf>
    <xf numFmtId="0" fontId="25" fillId="10" borderId="4128" applyNumberFormat="0" applyProtection="0">
      <alignment horizontal="left" vertical="top"/>
    </xf>
    <xf numFmtId="0" fontId="25" fillId="10" borderId="4127" applyNumberFormat="0" applyProtection="0">
      <alignment horizontal="left" vertical="top"/>
    </xf>
    <xf numFmtId="0" fontId="25" fillId="10" borderId="4126" applyNumberFormat="0" applyProtection="0">
      <alignment horizontal="left" vertical="top"/>
    </xf>
    <xf numFmtId="0" fontId="214" fillId="0" borderId="4125" applyNumberFormat="0" applyFont="0" applyFill="0" applyAlignment="0" applyProtection="0"/>
    <xf numFmtId="0" fontId="2" fillId="0" borderId="4124" applyNumberFormat="0" applyAlignment="0" applyProtection="0"/>
    <xf numFmtId="186" fontId="140" fillId="3" borderId="4123">
      <alignment horizontal="center" vertical="center"/>
    </xf>
    <xf numFmtId="186" fontId="140" fillId="3" borderId="4135">
      <alignment horizontal="center" vertical="center"/>
    </xf>
    <xf numFmtId="0" fontId="25" fillId="10" borderId="4138" applyNumberFormat="0" applyProtection="0">
      <alignment horizontal="left" vertical="top"/>
    </xf>
    <xf numFmtId="0" fontId="12" fillId="0" borderId="4203" applyNumberFormat="0" applyFill="0" applyBorder="0" applyAlignment="0" applyProtection="0">
      <alignment horizontal="center"/>
    </xf>
    <xf numFmtId="0" fontId="25" fillId="10" borderId="4200" applyNumberFormat="0" applyProtection="0">
      <alignment horizontal="left" vertical="top"/>
    </xf>
    <xf numFmtId="222" fontId="79" fillId="0" borderId="4190" applyBorder="0"/>
    <xf numFmtId="0" fontId="78" fillId="14" borderId="4193" applyFont="0" applyFill="0" applyBorder="0" applyAlignment="0" applyProtection="0"/>
    <xf numFmtId="222" fontId="79" fillId="0" borderId="4202" applyBorder="0"/>
    <xf numFmtId="0" fontId="101" fillId="0" borderId="4203" applyBorder="0"/>
    <xf numFmtId="222" fontId="79" fillId="0" borderId="4202" applyBorder="0"/>
    <xf numFmtId="248" fontId="46" fillId="0" borderId="4203"/>
    <xf numFmtId="192" fontId="9" fillId="3" borderId="4203">
      <alignment horizontal="right" vertical="center"/>
    </xf>
    <xf numFmtId="180" fontId="9" fillId="3" borderId="4203">
      <alignment horizontal="right" vertical="center"/>
    </xf>
    <xf numFmtId="186" fontId="146" fillId="3" borderId="4203" applyBorder="0">
      <alignment horizontal="left" vertical="center"/>
    </xf>
    <xf numFmtId="0" fontId="165" fillId="0" borderId="4203" applyFill="0" applyProtection="0">
      <alignment horizontal="center"/>
    </xf>
    <xf numFmtId="0" fontId="210" fillId="0" borderId="4203" applyNumberFormat="0" applyFill="0" applyBorder="0" applyAlignment="0">
      <protection locked="0"/>
    </xf>
    <xf numFmtId="254" fontId="240" fillId="0" borderId="4203" applyBorder="0" applyProtection="0">
      <alignment horizontal="right" vertical="center"/>
    </xf>
    <xf numFmtId="246" fontId="250" fillId="0" borderId="4203" applyFill="0" applyProtection="0">
      <alignment horizontal="center"/>
    </xf>
    <xf numFmtId="222" fontId="79" fillId="0" borderId="4142" applyBorder="0"/>
    <xf numFmtId="0" fontId="25" fillId="10" borderId="4139" applyNumberFormat="0" applyProtection="0">
      <alignment horizontal="left" vertical="top"/>
    </xf>
    <xf numFmtId="0" fontId="25" fillId="10" borderId="4141" applyNumberFormat="0" applyProtection="0">
      <alignment horizontal="left" vertical="top"/>
    </xf>
    <xf numFmtId="0" fontId="25" fillId="10" borderId="4138" applyNumberFormat="0" applyProtection="0">
      <alignment horizontal="left" vertical="top"/>
    </xf>
    <xf numFmtId="0" fontId="25" fillId="10" borderId="4139" applyNumberFormat="0" applyProtection="0">
      <alignment horizontal="left" vertical="top"/>
    </xf>
    <xf numFmtId="0" fontId="25" fillId="10" borderId="4140" applyNumberFormat="0" applyProtection="0">
      <alignment horizontal="left" vertical="top"/>
    </xf>
    <xf numFmtId="0" fontId="75" fillId="0" borderId="4144" applyNumberFormat="0" applyFont="0" applyFill="0" applyAlignment="0" applyProtection="0"/>
    <xf numFmtId="0" fontId="101" fillId="0" borderId="4155" applyBorder="0"/>
    <xf numFmtId="222" fontId="79" fillId="0" borderId="4154" applyBorder="0"/>
    <xf numFmtId="0" fontId="113" fillId="0" borderId="4155" applyNumberFormat="0" applyFill="0" applyAlignment="0" applyProtection="0"/>
    <xf numFmtId="0" fontId="12" fillId="0" borderId="4155" applyNumberFormat="0" applyFill="0" applyBorder="0" applyAlignment="0" applyProtection="0">
      <alignment horizontal="center"/>
    </xf>
    <xf numFmtId="248" fontId="46" fillId="0" borderId="4155"/>
    <xf numFmtId="192" fontId="9" fillId="3" borderId="4155">
      <alignment horizontal="right" vertical="center"/>
    </xf>
    <xf numFmtId="180" fontId="9" fillId="3" borderId="4155">
      <alignment horizontal="right" vertical="center"/>
    </xf>
    <xf numFmtId="186" fontId="146" fillId="3" borderId="4155" applyBorder="0">
      <alignment horizontal="left" vertical="center"/>
    </xf>
    <xf numFmtId="0" fontId="166" fillId="0" borderId="4155">
      <alignment horizontal="center"/>
    </xf>
    <xf numFmtId="0" fontId="210" fillId="0" borderId="4155" applyNumberFormat="0" applyFill="0" applyBorder="0" applyAlignment="0">
      <protection locked="0"/>
    </xf>
    <xf numFmtId="264" fontId="12" fillId="14" borderId="4155" applyFont="0" applyFill="0" applyBorder="0" applyAlignment="0" applyProtection="0">
      <alignment horizontal="right"/>
    </xf>
    <xf numFmtId="246" fontId="249" fillId="0" borderId="4155" applyFill="0" applyProtection="0">
      <alignment horizontal="center"/>
    </xf>
    <xf numFmtId="246" fontId="250" fillId="0" borderId="4155" applyFill="0" applyProtection="0">
      <alignment horizontal="center"/>
    </xf>
    <xf numFmtId="246" fontId="250" fillId="0" borderId="4179" applyFill="0" applyProtection="0">
      <alignment horizontal="center"/>
    </xf>
    <xf numFmtId="246" fontId="249" fillId="0" borderId="4179" applyFill="0" applyProtection="0">
      <alignment horizontal="center"/>
    </xf>
    <xf numFmtId="254" fontId="240" fillId="0" borderId="4179" applyBorder="0" applyProtection="0">
      <alignment horizontal="right" vertical="center"/>
    </xf>
    <xf numFmtId="264" fontId="12" fillId="14" borderId="4179" applyFont="0" applyFill="0" applyBorder="0" applyAlignment="0" applyProtection="0">
      <alignment horizontal="right"/>
    </xf>
    <xf numFmtId="0" fontId="165" fillId="0" borderId="4179" applyFill="0" applyProtection="0">
      <alignment horizontal="center"/>
    </xf>
    <xf numFmtId="180" fontId="9" fillId="3" borderId="4179">
      <alignment horizontal="right" vertical="center"/>
    </xf>
    <xf numFmtId="0" fontId="12" fillId="0" borderId="4179" applyNumberFormat="0" applyFill="0" applyBorder="0" applyAlignment="0" applyProtection="0">
      <alignment horizontal="center"/>
    </xf>
    <xf numFmtId="0" fontId="101" fillId="0" borderId="4179" applyBorder="0"/>
    <xf numFmtId="222" fontId="79" fillId="0" borderId="4178" applyBorder="0"/>
    <xf numFmtId="0" fontId="75" fillId="0" borderId="4168" applyNumberFormat="0" applyFont="0" applyFill="0" applyAlignment="0" applyProtection="0"/>
    <xf numFmtId="0" fontId="2" fillId="0" borderId="4172" applyNumberFormat="0" applyAlignment="0" applyProtection="0"/>
    <xf numFmtId="0" fontId="25" fillId="10" borderId="4174" applyNumberFormat="0" applyProtection="0">
      <alignment horizontal="left" vertical="top"/>
    </xf>
    <xf numFmtId="0" fontId="25" fillId="10" borderId="4177" applyNumberFormat="0" applyProtection="0">
      <alignment horizontal="left" vertical="top"/>
    </xf>
    <xf numFmtId="222" fontId="79" fillId="0" borderId="4166" applyBorder="0"/>
    <xf numFmtId="0" fontId="25" fillId="10" borderId="4152" applyNumberFormat="0" applyProtection="0">
      <alignment horizontal="left" vertical="top"/>
    </xf>
    <xf numFmtId="0" fontId="25" fillId="10" borderId="4150" applyNumberFormat="0" applyProtection="0">
      <alignment horizontal="left" vertical="top"/>
    </xf>
    <xf numFmtId="0" fontId="214" fillId="0" borderId="4149" applyNumberFormat="0" applyFont="0" applyFill="0" applyAlignment="0" applyProtection="0"/>
    <xf numFmtId="186" fontId="146" fillId="3" borderId="4146">
      <alignment horizontal="left"/>
    </xf>
    <xf numFmtId="222" fontId="79" fillId="0" borderId="4154" applyBorder="0"/>
    <xf numFmtId="222" fontId="79" fillId="0" borderId="4250" applyBorder="0"/>
    <xf numFmtId="186" fontId="140" fillId="3" borderId="4195">
      <alignment horizontal="center" vertical="center"/>
    </xf>
    <xf numFmtId="222" fontId="79" fillId="0" borderId="4214" applyBorder="0"/>
    <xf numFmtId="0" fontId="101" fillId="0" borderId="4035" applyBorder="0"/>
    <xf numFmtId="0" fontId="113" fillId="0" borderId="4035" applyNumberFormat="0" applyFill="0" applyAlignment="0" applyProtection="0"/>
    <xf numFmtId="0" fontId="12" fillId="0" borderId="4035" applyNumberFormat="0" applyFill="0" applyBorder="0" applyAlignment="0" applyProtection="0">
      <alignment horizontal="center"/>
    </xf>
    <xf numFmtId="248" fontId="46" fillId="0" borderId="4035"/>
    <xf numFmtId="192" fontId="9" fillId="3" borderId="4035">
      <alignment horizontal="right" vertical="center"/>
    </xf>
    <xf numFmtId="180" fontId="9" fillId="3" borderId="4035">
      <alignment horizontal="right" vertical="center"/>
    </xf>
    <xf numFmtId="186" fontId="146" fillId="3" borderId="4035" applyBorder="0">
      <alignment horizontal="left" vertical="center"/>
    </xf>
    <xf numFmtId="0" fontId="165" fillId="0" borderId="4035" applyFill="0" applyProtection="0">
      <alignment horizontal="center"/>
    </xf>
    <xf numFmtId="0" fontId="166" fillId="0" borderId="4035">
      <alignment horizontal="center"/>
    </xf>
    <xf numFmtId="264" fontId="12" fillId="14" borderId="4035" applyFont="0" applyFill="0" applyBorder="0" applyAlignment="0" applyProtection="0">
      <alignment horizontal="right"/>
    </xf>
    <xf numFmtId="0" fontId="210" fillId="0" borderId="4035" applyNumberFormat="0" applyFill="0" applyBorder="0" applyAlignment="0">
      <protection locked="0"/>
    </xf>
    <xf numFmtId="222" fontId="79" fillId="0" borderId="4250" applyBorder="0"/>
    <xf numFmtId="248" fontId="46" fillId="0" borderId="4179"/>
    <xf numFmtId="222" fontId="79" fillId="0" borderId="4178" applyBorder="0"/>
    <xf numFmtId="186" fontId="140" fillId="3" borderId="4171">
      <alignment horizontal="center" vertical="center"/>
    </xf>
    <xf numFmtId="0" fontId="25" fillId="10" borderId="4176" applyNumberFormat="0" applyProtection="0">
      <alignment horizontal="left" vertical="top"/>
    </xf>
    <xf numFmtId="0" fontId="210" fillId="0" borderId="4179" applyNumberFormat="0" applyFill="0" applyBorder="0" applyAlignment="0">
      <protection locked="0"/>
    </xf>
    <xf numFmtId="192" fontId="9" fillId="3" borderId="4179">
      <alignment horizontal="right" vertical="center"/>
    </xf>
    <xf numFmtId="0" fontId="113" fillId="0" borderId="4179" applyNumberFormat="0" applyFill="0" applyAlignment="0" applyProtection="0"/>
    <xf numFmtId="186" fontId="146" fillId="3" borderId="4170">
      <alignment horizontal="left"/>
    </xf>
    <xf numFmtId="0" fontId="25" fillId="10" borderId="4175" applyNumberFormat="0" applyProtection="0">
      <alignment horizontal="left" vertical="top"/>
    </xf>
    <xf numFmtId="254" fontId="240" fillId="0" borderId="4035" applyBorder="0" applyProtection="0">
      <alignment horizontal="right" vertical="center"/>
    </xf>
    <xf numFmtId="0" fontId="241" fillId="94" borderId="4035" applyBorder="0" applyProtection="0">
      <alignment horizontal="centerContinuous" vertical="center"/>
    </xf>
    <xf numFmtId="246" fontId="249" fillId="0" borderId="4035" applyFill="0" applyProtection="0">
      <alignment horizontal="center"/>
    </xf>
    <xf numFmtId="246" fontId="250" fillId="0" borderId="4035" applyFill="0" applyProtection="0">
      <alignment horizontal="center"/>
    </xf>
    <xf numFmtId="0" fontId="75" fillId="0" borderId="4216" applyNumberFormat="0" applyFont="0" applyFill="0" applyAlignment="0" applyProtection="0"/>
    <xf numFmtId="0" fontId="25" fillId="10" borderId="4199" applyNumberFormat="0" applyProtection="0">
      <alignment horizontal="left" vertical="top"/>
    </xf>
    <xf numFmtId="0" fontId="25" fillId="10" borderId="4201" applyNumberFormat="0" applyProtection="0">
      <alignment horizontal="left" vertical="top"/>
    </xf>
    <xf numFmtId="246" fontId="249" fillId="0" borderId="4227" applyFill="0" applyProtection="0">
      <alignment horizontal="center"/>
    </xf>
    <xf numFmtId="222" fontId="79" fillId="0" borderId="4130" applyBorder="0"/>
    <xf numFmtId="0" fontId="214" fillId="0" borderId="4197" applyNumberFormat="0" applyFont="0" applyFill="0" applyAlignment="0" applyProtection="0"/>
    <xf numFmtId="0" fontId="75" fillId="0" borderId="4132" applyNumberFormat="0" applyFont="0" applyFill="0" applyAlignment="0" applyProtection="0"/>
    <xf numFmtId="0" fontId="25" fillId="10" borderId="4140" applyNumberFormat="0" applyProtection="0">
      <alignment horizontal="left" vertical="top"/>
    </xf>
    <xf numFmtId="0" fontId="25" fillId="10" borderId="4141" applyNumberFormat="0" applyProtection="0">
      <alignment horizontal="left" vertical="top"/>
    </xf>
    <xf numFmtId="0" fontId="165" fillId="0" borderId="4155" applyFill="0" applyProtection="0">
      <alignment horizontal="center"/>
    </xf>
    <xf numFmtId="254" fontId="240" fillId="0" borderId="4155" applyBorder="0" applyProtection="0">
      <alignment horizontal="right" vertical="center"/>
    </xf>
    <xf numFmtId="0" fontId="241" fillId="94" borderId="4155" applyBorder="0" applyProtection="0">
      <alignment horizontal="centerContinuous" vertical="center"/>
    </xf>
    <xf numFmtId="0" fontId="241" fillId="94" borderId="4179" applyBorder="0" applyProtection="0">
      <alignment horizontal="centerContinuous" vertical="center"/>
    </xf>
    <xf numFmtId="0" fontId="166" fillId="0" borderId="4179">
      <alignment horizontal="center"/>
    </xf>
    <xf numFmtId="186" fontId="146" fillId="3" borderId="4179" applyBorder="0">
      <alignment horizontal="left" vertical="center"/>
    </xf>
    <xf numFmtId="0" fontId="214" fillId="0" borderId="4173" applyNumberFormat="0" applyFont="0" applyFill="0" applyAlignment="0" applyProtection="0"/>
    <xf numFmtId="0" fontId="78" fillId="14" borderId="4169" applyFont="0" applyFill="0" applyBorder="0" applyAlignment="0" applyProtection="0"/>
    <xf numFmtId="0" fontId="210" fillId="0" borderId="4203" applyNumberFormat="0" applyFill="0" applyBorder="0" applyAlignment="0">
      <protection locked="0"/>
    </xf>
    <xf numFmtId="0" fontId="78" fillId="14" borderId="4097" applyFont="0" applyFill="0" applyBorder="0" applyAlignment="0" applyProtection="0"/>
    <xf numFmtId="0" fontId="25" fillId="10" borderId="4033" applyNumberFormat="0" applyProtection="0">
      <alignment horizontal="left" vertical="top"/>
    </xf>
    <xf numFmtId="0" fontId="25" fillId="10" borderId="4032" applyNumberFormat="0" applyProtection="0">
      <alignment horizontal="left" vertical="top"/>
    </xf>
    <xf numFmtId="0" fontId="25" fillId="10" borderId="4031" applyNumberFormat="0" applyProtection="0">
      <alignment horizontal="left" vertical="top"/>
    </xf>
    <xf numFmtId="0" fontId="25" fillId="10" borderId="4030" applyNumberFormat="0" applyProtection="0">
      <alignment horizontal="left" vertical="top"/>
    </xf>
    <xf numFmtId="186" fontId="140" fillId="3" borderId="4195">
      <alignment horizontal="center" vertical="center"/>
    </xf>
    <xf numFmtId="0" fontId="214" fillId="0" borderId="4029" applyNumberFormat="0" applyFont="0" applyFill="0" applyAlignment="0" applyProtection="0"/>
    <xf numFmtId="0" fontId="2" fillId="0" borderId="4028" applyNumberFormat="0" applyAlignment="0" applyProtection="0"/>
    <xf numFmtId="186" fontId="140" fillId="3" borderId="4027">
      <alignment horizontal="center" vertical="center"/>
    </xf>
    <xf numFmtId="186" fontId="146" fillId="3" borderId="4026">
      <alignment horizontal="left"/>
    </xf>
    <xf numFmtId="186" fontId="146" fillId="3" borderId="4194">
      <alignment horizontal="left"/>
    </xf>
    <xf numFmtId="0" fontId="75" fillId="0" borderId="4024" applyNumberFormat="0" applyFont="0" applyFill="0" applyAlignment="0" applyProtection="0"/>
    <xf numFmtId="180" fontId="9" fillId="3" borderId="4203">
      <alignment horizontal="right" vertical="center"/>
    </xf>
    <xf numFmtId="0" fontId="75" fillId="0" borderId="4192" applyNumberFormat="0" applyFont="0" applyFill="0" applyAlignment="0" applyProtection="0"/>
    <xf numFmtId="0" fontId="75" fillId="0" borderId="4192" applyNumberFormat="0" applyFont="0" applyFill="0" applyAlignment="0" applyProtection="0"/>
    <xf numFmtId="222" fontId="79" fillId="0" borderId="4106" applyBorder="0"/>
    <xf numFmtId="222" fontId="79" fillId="0" borderId="4106" applyBorder="0"/>
    <xf numFmtId="0" fontId="25" fillId="10" borderId="4198" applyNumberFormat="0" applyProtection="0">
      <alignment horizontal="left" vertical="top"/>
    </xf>
    <xf numFmtId="0" fontId="2" fillId="0" borderId="4196" applyNumberFormat="0" applyAlignment="0" applyProtection="0"/>
    <xf numFmtId="246" fontId="250" fillId="0" borderId="4131" applyFill="0" applyProtection="0">
      <alignment horizontal="center"/>
    </xf>
    <xf numFmtId="246" fontId="249" fillId="0" borderId="4131" applyFill="0" applyProtection="0">
      <alignment horizontal="center"/>
    </xf>
    <xf numFmtId="0" fontId="241" fillId="94" borderId="4131" applyBorder="0" applyProtection="0">
      <alignment horizontal="centerContinuous" vertical="center"/>
    </xf>
    <xf numFmtId="254" fontId="240" fillId="0" borderId="4131" applyBorder="0" applyProtection="0">
      <alignment horizontal="right" vertical="center"/>
    </xf>
    <xf numFmtId="0" fontId="210" fillId="0" borderId="4131" applyNumberFormat="0" applyFill="0" applyBorder="0" applyAlignment="0">
      <protection locked="0"/>
    </xf>
    <xf numFmtId="264" fontId="12" fillId="14" borderId="4131" applyFont="0" applyFill="0" applyBorder="0" applyAlignment="0" applyProtection="0">
      <alignment horizontal="right"/>
    </xf>
    <xf numFmtId="0" fontId="166" fillId="0" borderId="4131">
      <alignment horizontal="center"/>
    </xf>
    <xf numFmtId="0" fontId="165" fillId="0" borderId="4131" applyFill="0" applyProtection="0">
      <alignment horizontal="center"/>
    </xf>
    <xf numFmtId="186" fontId="146" fillId="3" borderId="4131" applyBorder="0">
      <alignment horizontal="left" vertical="center"/>
    </xf>
    <xf numFmtId="180" fontId="9" fillId="3" borderId="4131">
      <alignment horizontal="right" vertical="center"/>
    </xf>
    <xf numFmtId="192" fontId="9" fillId="3" borderId="4131">
      <alignment horizontal="right" vertical="center"/>
    </xf>
    <xf numFmtId="248" fontId="46" fillId="0" borderId="4131"/>
    <xf numFmtId="0" fontId="12" fillId="0" borderId="4131" applyNumberFormat="0" applyFill="0" applyBorder="0" applyAlignment="0" applyProtection="0">
      <alignment horizontal="center"/>
    </xf>
    <xf numFmtId="0" fontId="113" fillId="0" borderId="4131" applyNumberFormat="0" applyFill="0" applyAlignment="0" applyProtection="0"/>
    <xf numFmtId="222" fontId="79" fillId="0" borderId="4130" applyBorder="0"/>
    <xf numFmtId="0" fontId="101" fillId="0" borderId="4131" applyBorder="0"/>
    <xf numFmtId="222" fontId="79" fillId="0" borderId="4560" applyBorder="0"/>
    <xf numFmtId="222" fontId="79" fillId="0" borderId="4130" applyBorder="0"/>
    <xf numFmtId="0" fontId="75" fillId="0" borderId="4120" applyNumberFormat="0" applyFont="0" applyFill="0" applyAlignment="0" applyProtection="0"/>
    <xf numFmtId="186" fontId="146" fillId="3" borderId="4122">
      <alignment horizontal="left"/>
    </xf>
    <xf numFmtId="186" fontId="140" fillId="3" borderId="4123">
      <alignment horizontal="center" vertical="center"/>
    </xf>
    <xf numFmtId="0" fontId="2" fillId="0" borderId="4124" applyNumberFormat="0" applyAlignment="0" applyProtection="0"/>
    <xf numFmtId="0" fontId="214" fillId="0" borderId="4125" applyNumberFormat="0" applyFont="0" applyFill="0" applyAlignment="0" applyProtection="0"/>
    <xf numFmtId="0" fontId="25" fillId="10" borderId="4126" applyNumberFormat="0" applyProtection="0">
      <alignment horizontal="left" vertical="top"/>
    </xf>
    <xf numFmtId="0" fontId="25" fillId="10" borderId="4127" applyNumberFormat="0" applyProtection="0">
      <alignment horizontal="left" vertical="top"/>
    </xf>
    <xf numFmtId="0" fontId="25" fillId="10" borderId="4128" applyNumberFormat="0" applyProtection="0">
      <alignment horizontal="left" vertical="top"/>
    </xf>
    <xf numFmtId="0" fontId="25" fillId="10" borderId="4129" applyNumberFormat="0" applyProtection="0">
      <alignment horizontal="left" vertical="top"/>
    </xf>
    <xf numFmtId="246" fontId="250" fillId="0" borderId="4191" applyFill="0" applyProtection="0">
      <alignment horizontal="center"/>
    </xf>
    <xf numFmtId="0" fontId="78" fillId="14" borderId="4121" applyFont="0" applyFill="0" applyBorder="0" applyAlignment="0" applyProtection="0"/>
    <xf numFmtId="264" fontId="12" fillId="14" borderId="4251" applyFont="0" applyFill="0" applyBorder="0" applyAlignment="0" applyProtection="0">
      <alignment horizontal="right"/>
    </xf>
    <xf numFmtId="186" fontId="146" fillId="3" borderId="4230">
      <alignment horizontal="left"/>
    </xf>
    <xf numFmtId="222" fontId="79" fillId="0" borderId="4118" applyBorder="0"/>
    <xf numFmtId="312" fontId="101" fillId="0" borderId="4251" applyBorder="0"/>
    <xf numFmtId="0" fontId="75" fillId="0" borderId="4228" applyNumberFormat="0" applyFont="0" applyFill="0" applyAlignment="0" applyProtection="0"/>
    <xf numFmtId="0" fontId="75" fillId="0" borderId="4192" applyNumberFormat="0" applyFont="0" applyFill="0" applyAlignment="0" applyProtection="0"/>
    <xf numFmtId="0" fontId="241" fillId="94" borderId="4191" applyBorder="0" applyProtection="0">
      <alignment horizontal="centerContinuous" vertical="center"/>
    </xf>
    <xf numFmtId="0" fontId="241" fillId="94" borderId="4251" applyBorder="0" applyProtection="0">
      <alignment horizontal="centerContinuous" vertical="center"/>
    </xf>
    <xf numFmtId="186" fontId="146" fillId="3" borderId="4194">
      <alignment horizontal="left"/>
    </xf>
    <xf numFmtId="186" fontId="140" fillId="3" borderId="4195">
      <alignment horizontal="center" vertical="center"/>
    </xf>
    <xf numFmtId="192" fontId="9" fillId="3" borderId="4191">
      <alignment horizontal="right" vertical="center"/>
    </xf>
    <xf numFmtId="0" fontId="78" fillId="14" borderId="4097" applyFont="0" applyFill="0" applyBorder="0" applyAlignment="0" applyProtection="0"/>
    <xf numFmtId="222" fontId="79" fillId="0" borderId="4106" applyBorder="0"/>
    <xf numFmtId="0" fontId="214" fillId="0" borderId="4245" applyNumberFormat="0" applyFont="0" applyFill="0" applyAlignment="0" applyProtection="0"/>
    <xf numFmtId="0" fontId="2" fillId="0" borderId="4196" applyNumberFormat="0" applyAlignment="0" applyProtection="0"/>
    <xf numFmtId="0" fontId="78" fillId="14" borderId="4109" applyFont="0" applyFill="0" applyBorder="0" applyAlignment="0" applyProtection="0"/>
    <xf numFmtId="0" fontId="25" fillId="10" borderId="4117" applyNumberFormat="0" applyProtection="0">
      <alignment horizontal="left" vertical="top"/>
    </xf>
    <xf numFmtId="0" fontId="25" fillId="10" borderId="4116" applyNumberFormat="0" applyProtection="0">
      <alignment horizontal="left" vertical="top"/>
    </xf>
    <xf numFmtId="0" fontId="25" fillId="10" borderId="4115" applyNumberFormat="0" applyProtection="0">
      <alignment horizontal="left" vertical="top"/>
    </xf>
    <xf numFmtId="0" fontId="25" fillId="10" borderId="4114" applyNumberFormat="0" applyProtection="0">
      <alignment horizontal="left" vertical="top"/>
    </xf>
    <xf numFmtId="0" fontId="214" fillId="0" borderId="4113" applyNumberFormat="0" applyFont="0" applyFill="0" applyAlignment="0" applyProtection="0"/>
    <xf numFmtId="0" fontId="2" fillId="0" borderId="4028" applyNumberFormat="0" applyAlignment="0" applyProtection="0"/>
    <xf numFmtId="186" fontId="140" fillId="3" borderId="4111">
      <alignment horizontal="center" vertical="center"/>
    </xf>
    <xf numFmtId="186" fontId="146" fillId="3" borderId="4110">
      <alignment horizontal="left"/>
    </xf>
    <xf numFmtId="0" fontId="75" fillId="0" borderId="4108" applyNumberFormat="0" applyFont="0" applyFill="0" applyAlignment="0" applyProtection="0"/>
    <xf numFmtId="222" fontId="79" fillId="0" borderId="4118" applyBorder="0"/>
    <xf numFmtId="0" fontId="101" fillId="0" borderId="4119" applyBorder="0"/>
    <xf numFmtId="222" fontId="79" fillId="0" borderId="4118" applyBorder="0"/>
    <xf numFmtId="0" fontId="113" fillId="0" borderId="4119" applyNumberFormat="0" applyFill="0" applyAlignment="0" applyProtection="0"/>
    <xf numFmtId="0" fontId="12" fillId="0" borderId="4119" applyNumberFormat="0" applyFill="0" applyBorder="0" applyAlignment="0" applyProtection="0">
      <alignment horizontal="center"/>
    </xf>
    <xf numFmtId="248" fontId="46" fillId="0" borderId="4119"/>
    <xf numFmtId="192" fontId="9" fillId="3" borderId="4119">
      <alignment horizontal="right" vertical="center"/>
    </xf>
    <xf numFmtId="180" fontId="9" fillId="3" borderId="4119">
      <alignment horizontal="right" vertical="center"/>
    </xf>
    <xf numFmtId="186" fontId="146" fillId="3" borderId="4119" applyBorder="0">
      <alignment horizontal="left" vertical="center"/>
    </xf>
    <xf numFmtId="0" fontId="165" fillId="0" borderId="4119" applyFill="0" applyProtection="0">
      <alignment horizontal="center"/>
    </xf>
    <xf numFmtId="0" fontId="166" fillId="0" borderId="4119">
      <alignment horizontal="center"/>
    </xf>
    <xf numFmtId="264" fontId="12" fillId="14" borderId="4119" applyFont="0" applyFill="0" applyBorder="0" applyAlignment="0" applyProtection="0">
      <alignment horizontal="right"/>
    </xf>
    <xf numFmtId="0" fontId="210" fillId="0" borderId="4119" applyNumberFormat="0" applyFill="0" applyBorder="0" applyAlignment="0">
      <protection locked="0"/>
    </xf>
    <xf numFmtId="254" fontId="240" fillId="0" borderId="4119" applyBorder="0" applyProtection="0">
      <alignment horizontal="right" vertical="center"/>
    </xf>
    <xf numFmtId="0" fontId="241" fillId="94" borderId="4119" applyBorder="0" applyProtection="0">
      <alignment horizontal="centerContinuous" vertical="center"/>
    </xf>
    <xf numFmtId="246" fontId="249" fillId="0" borderId="4119" applyFill="0" applyProtection="0">
      <alignment horizontal="center"/>
    </xf>
    <xf numFmtId="246" fontId="250" fillId="0" borderId="4119" applyFill="0" applyProtection="0">
      <alignment horizontal="center"/>
    </xf>
    <xf numFmtId="0" fontId="241" fillId="94" borderId="4203" applyBorder="0" applyProtection="0">
      <alignment horizontal="centerContinuous" vertical="center"/>
    </xf>
    <xf numFmtId="0" fontId="166" fillId="0" borderId="4203">
      <alignment horizontal="center"/>
    </xf>
    <xf numFmtId="0" fontId="2" fillId="0" borderId="4136" applyNumberFormat="0" applyAlignment="0" applyProtection="0"/>
    <xf numFmtId="0" fontId="214" fillId="0" borderId="4137" applyNumberFormat="0" applyFont="0" applyFill="0" applyAlignment="0" applyProtection="0"/>
    <xf numFmtId="246" fontId="250" fillId="0" borderId="4143" applyFill="0" applyProtection="0">
      <alignment horizontal="center"/>
    </xf>
    <xf numFmtId="246" fontId="249" fillId="0" borderId="4143" applyFill="0" applyProtection="0">
      <alignment horizontal="center"/>
    </xf>
    <xf numFmtId="0" fontId="241" fillId="94" borderId="4143" applyBorder="0" applyProtection="0">
      <alignment horizontal="centerContinuous" vertical="center"/>
    </xf>
    <xf numFmtId="254" fontId="240" fillId="0" borderId="4143" applyBorder="0" applyProtection="0">
      <alignment horizontal="right" vertical="center"/>
    </xf>
    <xf numFmtId="0" fontId="210" fillId="0" borderId="4143" applyNumberFormat="0" applyFill="0" applyBorder="0" applyAlignment="0">
      <protection locked="0"/>
    </xf>
    <xf numFmtId="264" fontId="12" fillId="14" borderId="4143" applyFont="0" applyFill="0" applyBorder="0" applyAlignment="0" applyProtection="0">
      <alignment horizontal="right"/>
    </xf>
    <xf numFmtId="0" fontId="166" fillId="0" borderId="4143">
      <alignment horizontal="center"/>
    </xf>
    <xf numFmtId="0" fontId="165" fillId="0" borderId="4143" applyFill="0" applyProtection="0">
      <alignment horizontal="center"/>
    </xf>
    <xf numFmtId="186" fontId="146" fillId="3" borderId="4143" applyBorder="0">
      <alignment horizontal="left" vertical="center"/>
    </xf>
    <xf numFmtId="180" fontId="9" fillId="3" borderId="4143">
      <alignment horizontal="right" vertical="center"/>
    </xf>
    <xf numFmtId="192" fontId="9" fillId="3" borderId="4143">
      <alignment horizontal="right" vertical="center"/>
    </xf>
    <xf numFmtId="248" fontId="46" fillId="0" borderId="4143"/>
    <xf numFmtId="0" fontId="12" fillId="0" borderId="4143" applyNumberFormat="0" applyFill="0" applyBorder="0" applyAlignment="0" applyProtection="0">
      <alignment horizontal="center"/>
    </xf>
    <xf numFmtId="0" fontId="113" fillId="0" borderId="4143" applyNumberFormat="0" applyFill="0" applyAlignment="0" applyProtection="0"/>
    <xf numFmtId="222" fontId="79" fillId="0" borderId="4142" applyBorder="0"/>
    <xf numFmtId="0" fontId="101" fillId="0" borderId="4143" applyBorder="0"/>
    <xf numFmtId="222" fontId="79" fillId="0" borderId="4142" applyBorder="0"/>
    <xf numFmtId="0" fontId="75" fillId="0" borderId="4132" applyNumberFormat="0" applyFont="0" applyFill="0" applyAlignment="0" applyProtection="0"/>
    <xf numFmtId="186" fontId="146" fillId="3" borderId="4134">
      <alignment horizontal="left"/>
    </xf>
    <xf numFmtId="186" fontId="140" fillId="3" borderId="4135">
      <alignment horizontal="center" vertical="center"/>
    </xf>
    <xf numFmtId="0" fontId="2" fillId="0" borderId="4136" applyNumberFormat="0" applyAlignment="0" applyProtection="0"/>
    <xf numFmtId="0" fontId="214" fillId="0" borderId="4137" applyNumberFormat="0" applyFont="0" applyFill="0" applyAlignment="0" applyProtection="0"/>
    <xf numFmtId="0" fontId="25" fillId="10" borderId="4138" applyNumberFormat="0" applyProtection="0">
      <alignment horizontal="left" vertical="top"/>
    </xf>
    <xf numFmtId="0" fontId="25" fillId="10" borderId="4139" applyNumberFormat="0" applyProtection="0">
      <alignment horizontal="left" vertical="top"/>
    </xf>
    <xf numFmtId="0" fontId="25" fillId="10" borderId="4140" applyNumberFormat="0" applyProtection="0">
      <alignment horizontal="left" vertical="top"/>
    </xf>
    <xf numFmtId="0" fontId="25" fillId="10" borderId="4141" applyNumberFormat="0" applyProtection="0">
      <alignment horizontal="left" vertical="top"/>
    </xf>
    <xf numFmtId="0" fontId="78" fillId="14" borderId="4133" applyFont="0" applyFill="0" applyBorder="0" applyAlignment="0" applyProtection="0"/>
    <xf numFmtId="222" fontId="79" fillId="0" borderId="4130" applyBorder="0"/>
    <xf numFmtId="0" fontId="78" fillId="14" borderId="4145" applyFont="0" applyFill="0" applyBorder="0" applyAlignment="0" applyProtection="0"/>
    <xf numFmtId="186" fontId="146" fillId="3" borderId="4134">
      <alignment horizontal="left"/>
    </xf>
    <xf numFmtId="0" fontId="78" fillId="14" borderId="4121" applyFont="0" applyFill="0" applyBorder="0" applyAlignment="0" applyProtection="0"/>
    <xf numFmtId="222" fontId="79" fillId="0" borderId="4130" applyBorder="0"/>
    <xf numFmtId="0" fontId="2" fillId="0" borderId="4148" applyNumberFormat="0" applyAlignment="0" applyProtection="0"/>
    <xf numFmtId="0" fontId="78" fillId="14" borderId="4121" applyFont="0" applyFill="0" applyBorder="0" applyAlignment="0" applyProtection="0"/>
    <xf numFmtId="0" fontId="25" fillId="10" borderId="4129" applyNumberFormat="0" applyProtection="0">
      <alignment horizontal="left" vertical="top"/>
    </xf>
    <xf numFmtId="0" fontId="25" fillId="10" borderId="4128" applyNumberFormat="0" applyProtection="0">
      <alignment horizontal="left" vertical="top"/>
    </xf>
    <xf numFmtId="0" fontId="25" fillId="10" borderId="4127" applyNumberFormat="0" applyProtection="0">
      <alignment horizontal="left" vertical="top"/>
    </xf>
    <xf numFmtId="0" fontId="25" fillId="10" borderId="4126" applyNumberFormat="0" applyProtection="0">
      <alignment horizontal="left" vertical="top"/>
    </xf>
    <xf numFmtId="0" fontId="25" fillId="10" borderId="4151" applyNumberFormat="0" applyProtection="0">
      <alignment horizontal="left" vertical="top"/>
    </xf>
    <xf numFmtId="0" fontId="214" fillId="0" borderId="4125" applyNumberFormat="0" applyFont="0" applyFill="0" applyAlignment="0" applyProtection="0"/>
    <xf numFmtId="0" fontId="2" fillId="0" borderId="4124" applyNumberFormat="0" applyAlignment="0" applyProtection="0"/>
    <xf numFmtId="186" fontId="140" fillId="3" borderId="4123">
      <alignment horizontal="center" vertical="center"/>
    </xf>
    <xf numFmtId="186" fontId="146" fillId="3" borderId="4122">
      <alignment horizontal="left"/>
    </xf>
    <xf numFmtId="0" fontId="25" fillId="10" borderId="4153" applyNumberFormat="0" applyProtection="0">
      <alignment horizontal="left" vertical="top"/>
    </xf>
    <xf numFmtId="0" fontId="75" fillId="0" borderId="4120" applyNumberFormat="0" applyFont="0" applyFill="0" applyAlignment="0" applyProtection="0"/>
    <xf numFmtId="222" fontId="79" fillId="0" borderId="4130" applyBorder="0"/>
    <xf numFmtId="0" fontId="101" fillId="0" borderId="4131" applyBorder="0"/>
    <xf numFmtId="222" fontId="79" fillId="0" borderId="4130" applyBorder="0"/>
    <xf numFmtId="0" fontId="113" fillId="0" borderId="4131" applyNumberFormat="0" applyFill="0" applyAlignment="0" applyProtection="0"/>
    <xf numFmtId="0" fontId="12" fillId="0" borderId="4131" applyNumberFormat="0" applyFill="0" applyBorder="0" applyAlignment="0" applyProtection="0">
      <alignment horizontal="center"/>
    </xf>
    <xf numFmtId="248" fontId="46" fillId="0" borderId="4131"/>
    <xf numFmtId="192" fontId="9" fillId="3" borderId="4131">
      <alignment horizontal="right" vertical="center"/>
    </xf>
    <xf numFmtId="180" fontId="9" fillId="3" borderId="4131">
      <alignment horizontal="right" vertical="center"/>
    </xf>
    <xf numFmtId="186" fontId="146" fillId="3" borderId="4131" applyBorder="0">
      <alignment horizontal="left" vertical="center"/>
    </xf>
    <xf numFmtId="0" fontId="165" fillId="0" borderId="4131" applyFill="0" applyProtection="0">
      <alignment horizontal="center"/>
    </xf>
    <xf numFmtId="0" fontId="166" fillId="0" borderId="4131">
      <alignment horizontal="center"/>
    </xf>
    <xf numFmtId="264" fontId="12" fillId="14" borderId="4131" applyFont="0" applyFill="0" applyBorder="0" applyAlignment="0" applyProtection="0">
      <alignment horizontal="right"/>
    </xf>
    <xf numFmtId="0" fontId="210" fillId="0" borderId="4131" applyNumberFormat="0" applyFill="0" applyBorder="0" applyAlignment="0">
      <protection locked="0"/>
    </xf>
    <xf numFmtId="254" fontId="240" fillId="0" borderId="4131" applyBorder="0" applyProtection="0">
      <alignment horizontal="right" vertical="center"/>
    </xf>
    <xf numFmtId="0" fontId="241" fillId="94" borderId="4131" applyBorder="0" applyProtection="0">
      <alignment horizontal="centerContinuous" vertical="center"/>
    </xf>
    <xf numFmtId="246" fontId="249" fillId="0" borderId="4131" applyFill="0" applyProtection="0">
      <alignment horizontal="center"/>
    </xf>
    <xf numFmtId="246" fontId="250" fillId="0" borderId="4131" applyFill="0" applyProtection="0">
      <alignment horizontal="center"/>
    </xf>
    <xf numFmtId="186" fontId="140" fillId="3" borderId="4147">
      <alignment horizontal="center" vertical="center"/>
    </xf>
    <xf numFmtId="0" fontId="78" fillId="14" borderId="4133" applyFont="0" applyFill="0" applyBorder="0" applyAlignment="0" applyProtection="0"/>
    <xf numFmtId="222" fontId="79" fillId="0" borderId="4154" applyBorder="0"/>
    <xf numFmtId="0" fontId="78" fillId="14" borderId="4157" applyFont="0" applyFill="0" applyBorder="0" applyAlignment="0" applyProtection="0"/>
    <xf numFmtId="0" fontId="25" fillId="10" borderId="4165" applyNumberFormat="0" applyProtection="0">
      <alignment horizontal="left" vertical="top"/>
    </xf>
    <xf numFmtId="0" fontId="25" fillId="10" borderId="4164" applyNumberFormat="0" applyProtection="0">
      <alignment horizontal="left" vertical="top"/>
    </xf>
    <xf numFmtId="0" fontId="25" fillId="10" borderId="4163" applyNumberFormat="0" applyProtection="0">
      <alignment horizontal="left" vertical="top"/>
    </xf>
    <xf numFmtId="0" fontId="25" fillId="10" borderId="4162" applyNumberFormat="0" applyProtection="0">
      <alignment horizontal="left" vertical="top"/>
    </xf>
    <xf numFmtId="0" fontId="214" fillId="0" borderId="4161" applyNumberFormat="0" applyFont="0" applyFill="0" applyAlignment="0" applyProtection="0"/>
    <xf numFmtId="0" fontId="2" fillId="0" borderId="4160" applyNumberFormat="0" applyAlignment="0" applyProtection="0"/>
    <xf numFmtId="186" fontId="140" fillId="3" borderId="4159">
      <alignment horizontal="center" vertical="center"/>
    </xf>
    <xf numFmtId="186" fontId="146" fillId="3" borderId="4158">
      <alignment horizontal="left"/>
    </xf>
    <xf numFmtId="0" fontId="75" fillId="0" borderId="4156" applyNumberFormat="0" applyFont="0" applyFill="0" applyAlignment="0" applyProtection="0"/>
    <xf numFmtId="222" fontId="79" fillId="0" borderId="4166" applyBorder="0"/>
    <xf numFmtId="0" fontId="101" fillId="0" borderId="4167" applyBorder="0"/>
    <xf numFmtId="222" fontId="79" fillId="0" borderId="4166" applyBorder="0"/>
    <xf numFmtId="0" fontId="113" fillId="0" borderId="4167" applyNumberFormat="0" applyFill="0" applyAlignment="0" applyProtection="0"/>
    <xf numFmtId="0" fontId="12" fillId="0" borderId="4167" applyNumberFormat="0" applyFill="0" applyBorder="0" applyAlignment="0" applyProtection="0">
      <alignment horizontal="center"/>
    </xf>
    <xf numFmtId="248" fontId="46" fillId="0" borderId="4167"/>
    <xf numFmtId="192" fontId="9" fillId="3" borderId="4167">
      <alignment horizontal="right" vertical="center"/>
    </xf>
    <xf numFmtId="180" fontId="9" fillId="3" borderId="4167">
      <alignment horizontal="right" vertical="center"/>
    </xf>
    <xf numFmtId="186" fontId="146" fillId="3" borderId="4167" applyBorder="0">
      <alignment horizontal="left" vertical="center"/>
    </xf>
    <xf numFmtId="0" fontId="165" fillId="0" borderId="4167" applyFill="0" applyProtection="0">
      <alignment horizontal="center"/>
    </xf>
    <xf numFmtId="0" fontId="166" fillId="0" borderId="4167">
      <alignment horizontal="center"/>
    </xf>
    <xf numFmtId="264" fontId="12" fillId="14" borderId="4167" applyFont="0" applyFill="0" applyBorder="0" applyAlignment="0" applyProtection="0">
      <alignment horizontal="right"/>
    </xf>
    <xf numFmtId="0" fontId="210" fillId="0" borderId="4167" applyNumberFormat="0" applyFill="0" applyBorder="0" applyAlignment="0">
      <protection locked="0"/>
    </xf>
    <xf numFmtId="254" fontId="240" fillId="0" borderId="4167" applyBorder="0" applyProtection="0">
      <alignment horizontal="right" vertical="center"/>
    </xf>
    <xf numFmtId="0" fontId="241" fillId="94" borderId="4167" applyBorder="0" applyProtection="0">
      <alignment horizontal="centerContinuous" vertical="center"/>
    </xf>
    <xf numFmtId="246" fontId="249" fillId="0" borderId="4167" applyFill="0" applyProtection="0">
      <alignment horizontal="center"/>
    </xf>
    <xf numFmtId="246" fontId="250" fillId="0" borderId="4167" applyFill="0" applyProtection="0">
      <alignment horizontal="center"/>
    </xf>
    <xf numFmtId="222" fontId="79" fillId="0" borderId="4178" applyBorder="0"/>
    <xf numFmtId="0" fontId="78" fillId="14" borderId="4181" applyFont="0" applyFill="0" applyBorder="0" applyAlignment="0" applyProtection="0"/>
    <xf numFmtId="0" fontId="25" fillId="10" borderId="4189" applyNumberFormat="0" applyProtection="0">
      <alignment horizontal="left" vertical="top"/>
    </xf>
    <xf numFmtId="0" fontId="25" fillId="10" borderId="4188" applyNumberFormat="0" applyProtection="0">
      <alignment horizontal="left" vertical="top"/>
    </xf>
    <xf numFmtId="0" fontId="25" fillId="10" borderId="4187" applyNumberFormat="0" applyProtection="0">
      <alignment horizontal="left" vertical="top"/>
    </xf>
    <xf numFmtId="0" fontId="25" fillId="10" borderId="4186" applyNumberFormat="0" applyProtection="0">
      <alignment horizontal="left" vertical="top"/>
    </xf>
    <xf numFmtId="0" fontId="214" fillId="0" borderId="4185" applyNumberFormat="0" applyFont="0" applyFill="0" applyAlignment="0" applyProtection="0"/>
    <xf numFmtId="0" fontId="2" fillId="0" borderId="4184" applyNumberFormat="0" applyAlignment="0" applyProtection="0"/>
    <xf numFmtId="186" fontId="140" fillId="3" borderId="4183">
      <alignment horizontal="center" vertical="center"/>
    </xf>
    <xf numFmtId="186" fontId="146" fillId="3" borderId="4182">
      <alignment horizontal="left"/>
    </xf>
    <xf numFmtId="0" fontId="75" fillId="0" borderId="4180" applyNumberFormat="0" applyFont="0" applyFill="0" applyAlignment="0" applyProtection="0"/>
    <xf numFmtId="222" fontId="79" fillId="0" borderId="4190" applyBorder="0"/>
    <xf numFmtId="0" fontId="101" fillId="0" borderId="4191" applyBorder="0"/>
    <xf numFmtId="222" fontId="79" fillId="0" borderId="4190" applyBorder="0"/>
    <xf numFmtId="0" fontId="113" fillId="0" borderId="4191" applyNumberFormat="0" applyFill="0" applyAlignment="0" applyProtection="0"/>
    <xf numFmtId="0" fontId="12" fillId="0" borderId="4191" applyNumberFormat="0" applyFill="0" applyBorder="0" applyAlignment="0" applyProtection="0">
      <alignment horizontal="center"/>
    </xf>
    <xf numFmtId="248" fontId="46" fillId="0" borderId="4191"/>
    <xf numFmtId="192" fontId="9" fillId="3" borderId="4191">
      <alignment horizontal="right" vertical="center"/>
    </xf>
    <xf numFmtId="180" fontId="9" fillId="3" borderId="4191">
      <alignment horizontal="right" vertical="center"/>
    </xf>
    <xf numFmtId="186" fontId="146" fillId="3" borderId="4191" applyBorder="0">
      <alignment horizontal="left" vertical="center"/>
    </xf>
    <xf numFmtId="0" fontId="165" fillId="0" borderId="4191" applyFill="0" applyProtection="0">
      <alignment horizontal="center"/>
    </xf>
    <xf numFmtId="0" fontId="166" fillId="0" borderId="4191">
      <alignment horizontal="center"/>
    </xf>
    <xf numFmtId="264" fontId="12" fillId="14" borderId="4191" applyFont="0" applyFill="0" applyBorder="0" applyAlignment="0" applyProtection="0">
      <alignment horizontal="right"/>
    </xf>
    <xf numFmtId="0" fontId="210" fillId="0" borderId="4191" applyNumberFormat="0" applyFill="0" applyBorder="0" applyAlignment="0">
      <protection locked="0"/>
    </xf>
    <xf numFmtId="254" fontId="240" fillId="0" borderId="4191" applyBorder="0" applyProtection="0">
      <alignment horizontal="right" vertical="center"/>
    </xf>
    <xf numFmtId="0" fontId="241" fillId="94" borderId="4191" applyBorder="0" applyProtection="0">
      <alignment horizontal="centerContinuous" vertical="center"/>
    </xf>
    <xf numFmtId="246" fontId="249" fillId="0" borderId="4191" applyFill="0" applyProtection="0">
      <alignment horizontal="center"/>
    </xf>
    <xf numFmtId="246" fontId="250" fillId="0" borderId="4191" applyFill="0" applyProtection="0">
      <alignment horizontal="center"/>
    </xf>
    <xf numFmtId="0" fontId="75" fillId="0" borderId="4204" applyNumberFormat="0" applyFont="0" applyFill="0" applyAlignment="0" applyProtection="0"/>
    <xf numFmtId="0" fontId="78" fillId="14" borderId="4205" applyFont="0" applyFill="0" applyBorder="0" applyAlignment="0" applyProtection="0"/>
    <xf numFmtId="186" fontId="146" fillId="3" borderId="4206">
      <alignment horizontal="left"/>
    </xf>
    <xf numFmtId="186" fontId="140" fillId="3" borderId="4207">
      <alignment horizontal="center" vertical="center"/>
    </xf>
    <xf numFmtId="0" fontId="2" fillId="0" borderId="4208" applyNumberFormat="0" applyAlignment="0" applyProtection="0"/>
    <xf numFmtId="0" fontId="214" fillId="0" borderId="4209" applyNumberFormat="0" applyFont="0" applyFill="0" applyAlignment="0" applyProtection="0"/>
    <xf numFmtId="0" fontId="25" fillId="10" borderId="4210" applyNumberFormat="0" applyProtection="0">
      <alignment horizontal="left" vertical="top"/>
    </xf>
    <xf numFmtId="0" fontId="25" fillId="10" borderId="4211" applyNumberFormat="0" applyProtection="0">
      <alignment horizontal="left" vertical="top"/>
    </xf>
    <xf numFmtId="0" fontId="25" fillId="10" borderId="4212" applyNumberFormat="0" applyProtection="0">
      <alignment horizontal="left" vertical="top"/>
    </xf>
    <xf numFmtId="0" fontId="25" fillId="10" borderId="4213" applyNumberFormat="0" applyProtection="0">
      <alignment horizontal="left" vertical="top"/>
    </xf>
    <xf numFmtId="0" fontId="25" fillId="10" borderId="4200" applyNumberFormat="0" applyProtection="0">
      <alignment horizontal="left" vertical="top"/>
    </xf>
    <xf numFmtId="190" fontId="210" fillId="0" borderId="4251" applyNumberFormat="0" applyFill="0" applyBorder="0" applyAlignment="0">
      <protection locked="0"/>
    </xf>
    <xf numFmtId="254" fontId="240" fillId="0" borderId="4239" applyBorder="0" applyProtection="0">
      <alignment horizontal="right" vertical="center"/>
    </xf>
    <xf numFmtId="246" fontId="250" fillId="0" borderId="4203" applyFill="0" applyProtection="0">
      <alignment horizontal="center"/>
    </xf>
    <xf numFmtId="246" fontId="249" fillId="0" borderId="4203" applyFill="0" applyProtection="0">
      <alignment horizontal="center"/>
    </xf>
    <xf numFmtId="0" fontId="241" fillId="94" borderId="4203" applyBorder="0" applyProtection="0">
      <alignment horizontal="centerContinuous" vertical="center"/>
    </xf>
    <xf numFmtId="254" fontId="240" fillId="0" borderId="4203" applyBorder="0" applyProtection="0">
      <alignment horizontal="right" vertical="center"/>
    </xf>
    <xf numFmtId="0" fontId="210" fillId="0" borderId="4203" applyNumberFormat="0" applyFill="0" applyBorder="0" applyAlignment="0">
      <protection locked="0"/>
    </xf>
    <xf numFmtId="264" fontId="12" fillId="14" borderId="4203" applyFont="0" applyFill="0" applyBorder="0" applyAlignment="0" applyProtection="0">
      <alignment horizontal="right"/>
    </xf>
    <xf numFmtId="0" fontId="166" fillId="0" borderId="4203">
      <alignment horizontal="center"/>
    </xf>
    <xf numFmtId="0" fontId="165" fillId="0" borderId="4203" applyFill="0" applyProtection="0">
      <alignment horizontal="center"/>
    </xf>
    <xf numFmtId="246" fontId="250" fillId="0" borderId="4191" applyFill="0" applyProtection="0">
      <alignment horizontal="center"/>
    </xf>
    <xf numFmtId="0" fontId="25" fillId="10" borderId="4210" applyNumberFormat="0" applyProtection="0">
      <alignment horizontal="left" vertical="top"/>
    </xf>
    <xf numFmtId="186" fontId="146" fillId="3" borderId="4203" applyBorder="0">
      <alignment horizontal="left" vertical="center"/>
    </xf>
    <xf numFmtId="180" fontId="9" fillId="3" borderId="4203">
      <alignment horizontal="right" vertical="center"/>
    </xf>
    <xf numFmtId="192" fontId="9" fillId="3" borderId="4203">
      <alignment horizontal="right" vertical="center"/>
    </xf>
    <xf numFmtId="0" fontId="12" fillId="0" borderId="4203" applyNumberFormat="0" applyFill="0" applyBorder="0" applyAlignment="0" applyProtection="0">
      <alignment horizontal="center"/>
    </xf>
    <xf numFmtId="0" fontId="113" fillId="0" borderId="4203" applyNumberFormat="0" applyFill="0" applyAlignment="0" applyProtection="0"/>
    <xf numFmtId="0" fontId="25" fillId="10" borderId="4237" applyNumberFormat="0" applyProtection="0">
      <alignment horizontal="left" vertical="top"/>
    </xf>
    <xf numFmtId="246" fontId="250" fillId="0" borderId="4251" applyFill="0" applyProtection="0">
      <alignment horizontal="center"/>
    </xf>
    <xf numFmtId="222" fontId="79" fillId="0" borderId="4202" applyBorder="0"/>
    <xf numFmtId="0" fontId="101" fillId="0" borderId="4203" applyBorder="0"/>
    <xf numFmtId="248" fontId="46" fillId="0" borderId="4203"/>
    <xf numFmtId="0" fontId="101" fillId="0" borderId="4203" applyBorder="0"/>
    <xf numFmtId="222" fontId="79" fillId="0" borderId="4202" applyBorder="0"/>
    <xf numFmtId="0" fontId="113" fillId="0" borderId="4203" applyNumberFormat="0" applyFill="0" applyAlignment="0" applyProtection="0"/>
    <xf numFmtId="0" fontId="75" fillId="0" borderId="4204" applyNumberFormat="0" applyFont="0" applyFill="0" applyAlignment="0" applyProtection="0"/>
    <xf numFmtId="0" fontId="12" fillId="0" borderId="4203" applyNumberFormat="0" applyFill="0" applyBorder="0" applyAlignment="0" applyProtection="0">
      <alignment horizontal="center"/>
    </xf>
    <xf numFmtId="248" fontId="46" fillId="0" borderId="4203"/>
    <xf numFmtId="192" fontId="9" fillId="3" borderId="4203">
      <alignment horizontal="right" vertical="center"/>
    </xf>
    <xf numFmtId="180" fontId="9" fillId="3" borderId="4203">
      <alignment horizontal="right" vertical="center"/>
    </xf>
    <xf numFmtId="186" fontId="146" fillId="3" borderId="4203" applyBorder="0">
      <alignment horizontal="left" vertical="center"/>
    </xf>
    <xf numFmtId="186" fontId="146" fillId="3" borderId="4206">
      <alignment horizontal="left"/>
    </xf>
    <xf numFmtId="186" fontId="140" fillId="3" borderId="4207">
      <alignment horizontal="center" vertical="center"/>
    </xf>
    <xf numFmtId="0" fontId="165" fillId="0" borderId="4203" applyFill="0" applyProtection="0">
      <alignment horizontal="center"/>
    </xf>
    <xf numFmtId="0" fontId="166" fillId="0" borderId="4203">
      <alignment horizontal="center"/>
    </xf>
    <xf numFmtId="264" fontId="12" fillId="14" borderId="4203" applyFont="0" applyFill="0" applyBorder="0" applyAlignment="0" applyProtection="0">
      <alignment horizontal="right"/>
    </xf>
    <xf numFmtId="0" fontId="210" fillId="0" borderId="4203" applyNumberFormat="0" applyFill="0" applyBorder="0" applyAlignment="0">
      <protection locked="0"/>
    </xf>
    <xf numFmtId="0" fontId="2" fillId="0" borderId="4208" applyNumberFormat="0" applyAlignment="0" applyProtection="0"/>
    <xf numFmtId="0" fontId="214" fillId="0" borderId="4209" applyNumberFormat="0" applyFont="0" applyFill="0" applyAlignment="0" applyProtection="0"/>
    <xf numFmtId="0" fontId="25" fillId="10" borderId="4210" applyNumberFormat="0" applyProtection="0">
      <alignment horizontal="left" vertical="top"/>
    </xf>
    <xf numFmtId="0" fontId="25" fillId="10" borderId="4211" applyNumberFormat="0" applyProtection="0">
      <alignment horizontal="left" vertical="top"/>
    </xf>
    <xf numFmtId="0" fontId="25" fillId="10" borderId="4212" applyNumberFormat="0" applyProtection="0">
      <alignment horizontal="left" vertical="top"/>
    </xf>
    <xf numFmtId="0" fontId="25" fillId="10" borderId="4213" applyNumberFormat="0" applyProtection="0">
      <alignment horizontal="left" vertical="top"/>
    </xf>
    <xf numFmtId="0" fontId="25" fillId="10" borderId="4210" applyNumberFormat="0" applyProtection="0">
      <alignment horizontal="left" vertical="top"/>
    </xf>
    <xf numFmtId="0" fontId="25" fillId="10" borderId="4211" applyNumberFormat="0" applyProtection="0">
      <alignment horizontal="left" vertical="top"/>
    </xf>
    <xf numFmtId="0" fontId="25" fillId="10" borderId="4212" applyNumberFormat="0" applyProtection="0">
      <alignment horizontal="left" vertical="top"/>
    </xf>
    <xf numFmtId="0" fontId="25" fillId="10" borderId="4213" applyNumberFormat="0" applyProtection="0">
      <alignment horizontal="left" vertical="top"/>
    </xf>
    <xf numFmtId="254" fontId="240" fillId="0" borderId="4203" applyBorder="0" applyProtection="0">
      <alignment horizontal="right" vertical="center"/>
    </xf>
    <xf numFmtId="0" fontId="241" fillId="94" borderId="4203" applyBorder="0" applyProtection="0">
      <alignment horizontal="centerContinuous" vertical="center"/>
    </xf>
    <xf numFmtId="246" fontId="249" fillId="0" borderId="4203" applyFill="0" applyProtection="0">
      <alignment horizontal="center"/>
    </xf>
    <xf numFmtId="246" fontId="250" fillId="0" borderId="4203" applyFill="0" applyProtection="0">
      <alignment horizontal="center"/>
    </xf>
    <xf numFmtId="0" fontId="25" fillId="10" borderId="4199" applyNumberFormat="0" applyProtection="0">
      <alignment horizontal="left" vertical="top"/>
    </xf>
    <xf numFmtId="312" fontId="25" fillId="10" borderId="4234" applyNumberFormat="0" applyProtection="0">
      <alignment horizontal="left" vertical="top"/>
    </xf>
    <xf numFmtId="190" fontId="101" fillId="0" borderId="4203" applyBorder="0"/>
    <xf numFmtId="246" fontId="249" fillId="0" borderId="4251" applyFill="0" applyProtection="0">
      <alignment horizontal="center"/>
    </xf>
    <xf numFmtId="0" fontId="25" fillId="10" borderId="4236" applyNumberFormat="0" applyProtection="0">
      <alignment horizontal="left" vertical="top"/>
    </xf>
    <xf numFmtId="0" fontId="166" fillId="0" borderId="4251">
      <alignment horizontal="center"/>
    </xf>
    <xf numFmtId="186" fontId="146" fillId="3" borderId="4251" applyBorder="0">
      <alignment horizontal="left" vertical="center"/>
    </xf>
    <xf numFmtId="190" fontId="113" fillId="0" borderId="4203" applyNumberFormat="0" applyFill="0" applyAlignment="0" applyProtection="0"/>
    <xf numFmtId="190" fontId="75" fillId="0" borderId="4180" applyNumberFormat="0" applyFont="0" applyFill="0" applyAlignment="0" applyProtection="0"/>
    <xf numFmtId="190" fontId="241" fillId="94" borderId="4251" applyBorder="0" applyProtection="0">
      <alignment horizontal="centerContinuous" vertical="center"/>
    </xf>
    <xf numFmtId="190" fontId="25" fillId="10" borderId="4235" applyNumberFormat="0" applyProtection="0">
      <alignment horizontal="left" vertical="top"/>
    </xf>
    <xf numFmtId="190" fontId="12" fillId="0" borderId="4203" applyNumberFormat="0" applyFill="0" applyBorder="0" applyAlignment="0" applyProtection="0">
      <alignment horizontal="center"/>
    </xf>
    <xf numFmtId="190" fontId="75" fillId="0" borderId="4228" applyNumberFormat="0" applyFont="0" applyFill="0" applyAlignment="0" applyProtection="0"/>
    <xf numFmtId="190" fontId="78" fillId="14" borderId="4193" applyFont="0" applyFill="0" applyBorder="0" applyAlignment="0" applyProtection="0"/>
    <xf numFmtId="254" fontId="240" fillId="0" borderId="4251" applyBorder="0" applyProtection="0">
      <alignment horizontal="right" vertical="center"/>
    </xf>
    <xf numFmtId="246" fontId="250" fillId="0" borderId="4251" applyFill="0" applyProtection="0">
      <alignment horizontal="center"/>
    </xf>
    <xf numFmtId="0" fontId="165" fillId="0" borderId="4239" applyFill="0" applyProtection="0">
      <alignment horizontal="center"/>
    </xf>
    <xf numFmtId="248" fontId="46" fillId="0" borderId="4239"/>
    <xf numFmtId="222" fontId="79" fillId="0" borderId="4238" applyBorder="0"/>
    <xf numFmtId="186" fontId="140" fillId="3" borderId="4231">
      <alignment horizontal="center" vertical="center"/>
    </xf>
    <xf numFmtId="0" fontId="25" fillId="10" borderId="4234" applyNumberFormat="0" applyProtection="0">
      <alignment horizontal="left" vertical="top"/>
    </xf>
    <xf numFmtId="0" fontId="25" fillId="10" borderId="4237" applyNumberFormat="0" applyProtection="0">
      <alignment horizontal="left" vertical="top"/>
    </xf>
    <xf numFmtId="246" fontId="250" fillId="0" borderId="4215" applyFill="0" applyProtection="0">
      <alignment horizontal="center"/>
    </xf>
    <xf numFmtId="254" fontId="240" fillId="0" borderId="4215" applyBorder="0" applyProtection="0">
      <alignment horizontal="right" vertical="center"/>
    </xf>
    <xf numFmtId="0" fontId="166" fillId="0" borderId="4215">
      <alignment horizontal="center"/>
    </xf>
    <xf numFmtId="180" fontId="9" fillId="3" borderId="4215">
      <alignment horizontal="right" vertical="center"/>
    </xf>
    <xf numFmtId="0" fontId="12" fillId="0" borderId="4215" applyNumberFormat="0" applyFill="0" applyBorder="0" applyAlignment="0" applyProtection="0">
      <alignment horizontal="center"/>
    </xf>
    <xf numFmtId="0" fontId="101" fillId="0" borderId="4215" applyBorder="0"/>
    <xf numFmtId="186" fontId="146" fillId="3" borderId="4206">
      <alignment horizontal="left"/>
    </xf>
    <xf numFmtId="0" fontId="25" fillId="10" borderId="4211" applyNumberFormat="0" applyProtection="0">
      <alignment horizontal="left" vertical="top"/>
    </xf>
    <xf numFmtId="246" fontId="249" fillId="0" borderId="4191" applyFill="0" applyProtection="0">
      <alignment horizontal="center"/>
    </xf>
    <xf numFmtId="0" fontId="165" fillId="0" borderId="4191" applyFill="0" applyProtection="0">
      <alignment horizontal="center"/>
    </xf>
    <xf numFmtId="0" fontId="214" fillId="0" borderId="4197" applyNumberFormat="0" applyFont="0" applyFill="0" applyAlignment="0" applyProtection="0"/>
    <xf numFmtId="0" fontId="78" fillId="14" borderId="4193" applyFont="0" applyFill="0" applyBorder="0" applyAlignment="0" applyProtection="0"/>
    <xf numFmtId="0" fontId="2" fillId="0" borderId="4196" applyNumberFormat="0" applyAlignment="0" applyProtection="0"/>
    <xf numFmtId="0" fontId="75" fillId="0" borderId="4192" applyNumberFormat="0" applyFont="0" applyFill="0" applyAlignment="0" applyProtection="0"/>
    <xf numFmtId="0" fontId="12" fillId="0" borderId="4191" applyNumberFormat="0" applyFill="0" applyBorder="0" applyAlignment="0" applyProtection="0">
      <alignment horizontal="center"/>
    </xf>
    <xf numFmtId="186" fontId="146" fillId="3" borderId="4191" applyBorder="0">
      <alignment horizontal="left" vertical="center"/>
    </xf>
    <xf numFmtId="190" fontId="165" fillId="0" borderId="4203" applyFill="0" applyProtection="0">
      <alignment horizontal="center"/>
    </xf>
    <xf numFmtId="190" fontId="166" fillId="0" borderId="4203">
      <alignment horizontal="center"/>
    </xf>
    <xf numFmtId="0" fontId="25" fillId="10" borderId="4198" applyNumberFormat="0" applyProtection="0">
      <alignment horizontal="left" vertical="top"/>
    </xf>
    <xf numFmtId="0" fontId="25" fillId="10" borderId="4201" applyNumberFormat="0" applyProtection="0">
      <alignment horizontal="left" vertical="top"/>
    </xf>
    <xf numFmtId="222" fontId="79" fillId="0" borderId="4202" applyBorder="0"/>
    <xf numFmtId="0" fontId="101" fillId="0" borderId="4191" applyBorder="0"/>
    <xf numFmtId="0" fontId="12" fillId="0" borderId="4191" applyNumberFormat="0" applyFill="0" applyBorder="0" applyAlignment="0" applyProtection="0">
      <alignment horizontal="center"/>
    </xf>
    <xf numFmtId="0" fontId="165" fillId="0" borderId="4191" applyFill="0" applyProtection="0">
      <alignment horizontal="center"/>
    </xf>
    <xf numFmtId="0" fontId="214" fillId="0" borderId="4197" applyNumberFormat="0" applyFont="0" applyFill="0" applyAlignment="0" applyProtection="0"/>
    <xf numFmtId="0" fontId="25" fillId="10" borderId="4200" applyNumberFormat="0" applyProtection="0">
      <alignment horizontal="left" vertical="top"/>
    </xf>
    <xf numFmtId="0" fontId="241" fillId="94" borderId="4227" applyBorder="0" applyProtection="0">
      <alignment horizontal="centerContinuous" vertical="center"/>
    </xf>
    <xf numFmtId="0" fontId="165" fillId="0" borderId="4203" applyFill="0" applyProtection="0">
      <alignment horizontal="center"/>
    </xf>
    <xf numFmtId="0" fontId="25" fillId="10" borderId="4249" applyNumberFormat="0" applyProtection="0">
      <alignment horizontal="left" vertical="top"/>
    </xf>
    <xf numFmtId="0" fontId="241" fillId="94" borderId="4191" applyBorder="0" applyProtection="0">
      <alignment horizontal="centerContinuous" vertical="center"/>
    </xf>
    <xf numFmtId="0" fontId="113" fillId="0" borderId="4227" applyNumberFormat="0" applyFill="0" applyAlignment="0" applyProtection="0"/>
    <xf numFmtId="0" fontId="165" fillId="0" borderId="4191" applyFill="0" applyProtection="0">
      <alignment horizontal="center"/>
    </xf>
    <xf numFmtId="0" fontId="25" fillId="10" borderId="4248" applyNumberFormat="0" applyProtection="0">
      <alignment horizontal="left" vertical="top"/>
    </xf>
    <xf numFmtId="0" fontId="25" fillId="10" borderId="4201" applyNumberFormat="0" applyProtection="0">
      <alignment horizontal="left" vertical="top"/>
    </xf>
    <xf numFmtId="0" fontId="25" fillId="10" borderId="4200" applyNumberFormat="0" applyProtection="0">
      <alignment horizontal="left" vertical="top"/>
    </xf>
    <xf numFmtId="190" fontId="210" fillId="0" borderId="4203" applyNumberFormat="0" applyFill="0" applyBorder="0" applyAlignment="0">
      <protection locked="0"/>
    </xf>
    <xf numFmtId="190" fontId="2" fillId="0" borderId="4184" applyNumberFormat="0" applyAlignment="0" applyProtection="0"/>
    <xf numFmtId="190" fontId="214" fillId="0" borderId="4185" applyNumberFormat="0" applyFont="0" applyFill="0" applyAlignment="0" applyProtection="0"/>
    <xf numFmtId="190" fontId="25" fillId="10" borderId="4186" applyNumberFormat="0" applyProtection="0">
      <alignment horizontal="left" vertical="top"/>
    </xf>
    <xf numFmtId="190" fontId="25" fillId="10" borderId="4187" applyNumberFormat="0" applyProtection="0">
      <alignment horizontal="left" vertical="top"/>
    </xf>
    <xf numFmtId="190" fontId="25" fillId="10" borderId="4188" applyNumberFormat="0" applyProtection="0">
      <alignment horizontal="left" vertical="top"/>
    </xf>
    <xf numFmtId="190" fontId="25" fillId="10" borderId="4189" applyNumberFormat="0" applyProtection="0">
      <alignment horizontal="left" vertical="top"/>
    </xf>
    <xf numFmtId="190" fontId="241" fillId="94" borderId="4203" applyBorder="0" applyProtection="0">
      <alignment horizontal="centerContinuous" vertical="center"/>
    </xf>
    <xf numFmtId="264" fontId="12" fillId="14" borderId="4609" applyFont="0" applyFill="0" applyBorder="0" applyAlignment="0" applyProtection="0">
      <alignment horizontal="right"/>
    </xf>
    <xf numFmtId="0" fontId="75" fillId="0" borderId="4610" applyNumberFormat="0" applyFont="0" applyFill="0" applyAlignment="0" applyProtection="0"/>
    <xf numFmtId="0" fontId="25" fillId="10" borderId="4200" applyNumberFormat="0" applyProtection="0">
      <alignment horizontal="left" vertical="top"/>
    </xf>
    <xf numFmtId="180" fontId="9" fillId="3" borderId="4227">
      <alignment horizontal="right" vertical="center"/>
    </xf>
    <xf numFmtId="222" fontId="79" fillId="0" borderId="4202" applyBorder="0"/>
    <xf numFmtId="0" fontId="101" fillId="0" borderId="4203" applyBorder="0"/>
    <xf numFmtId="222" fontId="79" fillId="0" borderId="4202" applyBorder="0"/>
    <xf numFmtId="0" fontId="113" fillId="0" borderId="4203" applyNumberFormat="0" applyFill="0" applyAlignment="0" applyProtection="0"/>
    <xf numFmtId="0" fontId="75" fillId="0" borderId="4180" applyNumberFormat="0" applyFont="0" applyFill="0" applyAlignment="0" applyProtection="0"/>
    <xf numFmtId="0" fontId="12" fillId="0" borderId="4203" applyNumberFormat="0" applyFill="0" applyBorder="0" applyAlignment="0" applyProtection="0">
      <alignment horizontal="center"/>
    </xf>
    <xf numFmtId="248" fontId="46" fillId="0" borderId="4203"/>
    <xf numFmtId="192" fontId="9" fillId="3" borderId="4203">
      <alignment horizontal="right" vertical="center"/>
    </xf>
    <xf numFmtId="180" fontId="9" fillId="3" borderId="4203">
      <alignment horizontal="right" vertical="center"/>
    </xf>
    <xf numFmtId="186" fontId="146" fillId="3" borderId="4203" applyBorder="0">
      <alignment horizontal="left" vertical="center"/>
    </xf>
    <xf numFmtId="186" fontId="146" fillId="3" borderId="4182">
      <alignment horizontal="left"/>
    </xf>
    <xf numFmtId="186" fontId="140" fillId="3" borderId="4183">
      <alignment horizontal="center" vertical="center"/>
    </xf>
    <xf numFmtId="0" fontId="165" fillId="0" borderId="4203" applyFill="0" applyProtection="0">
      <alignment horizontal="center"/>
    </xf>
    <xf numFmtId="0" fontId="166" fillId="0" borderId="4203">
      <alignment horizontal="center"/>
    </xf>
    <xf numFmtId="264" fontId="12" fillId="14" borderId="4203" applyFont="0" applyFill="0" applyBorder="0" applyAlignment="0" applyProtection="0">
      <alignment horizontal="right"/>
    </xf>
    <xf numFmtId="0" fontId="210" fillId="0" borderId="4203" applyNumberFormat="0" applyFill="0" applyBorder="0" applyAlignment="0">
      <protection locked="0"/>
    </xf>
    <xf numFmtId="0" fontId="2" fillId="0" borderId="4184" applyNumberFormat="0" applyAlignment="0" applyProtection="0"/>
    <xf numFmtId="0" fontId="214" fillId="0" borderId="4185" applyNumberFormat="0" applyFont="0" applyFill="0" applyAlignment="0" applyProtection="0"/>
    <xf numFmtId="0" fontId="25" fillId="10" borderId="4186" applyNumberFormat="0" applyProtection="0">
      <alignment horizontal="left" vertical="top"/>
    </xf>
    <xf numFmtId="0" fontId="25" fillId="10" borderId="4187" applyNumberFormat="0" applyProtection="0">
      <alignment horizontal="left" vertical="top"/>
    </xf>
    <xf numFmtId="0" fontId="25" fillId="10" borderId="4188" applyNumberFormat="0" applyProtection="0">
      <alignment horizontal="left" vertical="top"/>
    </xf>
    <xf numFmtId="0" fontId="25" fillId="10" borderId="4189" applyNumberFormat="0" applyProtection="0">
      <alignment horizontal="left" vertical="top"/>
    </xf>
    <xf numFmtId="0" fontId="25" fillId="10" borderId="4186" applyNumberFormat="0" applyProtection="0">
      <alignment horizontal="left" vertical="top"/>
    </xf>
    <xf numFmtId="0" fontId="25" fillId="10" borderId="4187" applyNumberFormat="0" applyProtection="0">
      <alignment horizontal="left" vertical="top"/>
    </xf>
    <xf numFmtId="0" fontId="25" fillId="10" borderId="4188" applyNumberFormat="0" applyProtection="0">
      <alignment horizontal="left" vertical="top"/>
    </xf>
    <xf numFmtId="0" fontId="25" fillId="10" borderId="4189" applyNumberFormat="0" applyProtection="0">
      <alignment horizontal="left" vertical="top"/>
    </xf>
    <xf numFmtId="254" fontId="240" fillId="0" borderId="4203" applyBorder="0" applyProtection="0">
      <alignment horizontal="right" vertical="center"/>
    </xf>
    <xf numFmtId="0" fontId="241" fillId="94" borderId="4203" applyBorder="0" applyProtection="0">
      <alignment horizontal="centerContinuous" vertical="center"/>
    </xf>
    <xf numFmtId="246" fontId="249" fillId="0" borderId="4203" applyFill="0" applyProtection="0">
      <alignment horizontal="center"/>
    </xf>
    <xf numFmtId="246" fontId="250" fillId="0" borderId="4203" applyFill="0" applyProtection="0">
      <alignment horizontal="center"/>
    </xf>
    <xf numFmtId="248" fontId="46" fillId="0" borderId="4251"/>
    <xf numFmtId="0" fontId="101" fillId="0" borderId="4251" applyBorder="0"/>
    <xf numFmtId="192" fontId="9" fillId="3" borderId="4191">
      <alignment horizontal="right" vertical="center"/>
    </xf>
    <xf numFmtId="0" fontId="25" fillId="10" borderId="4198" applyNumberFormat="0" applyProtection="0">
      <alignment horizontal="left" vertical="top"/>
    </xf>
    <xf numFmtId="312" fontId="25" fillId="10" borderId="4236" applyNumberFormat="0" applyProtection="0">
      <alignment horizontal="left" vertical="top"/>
    </xf>
    <xf numFmtId="312" fontId="75" fillId="0" borderId="4228" applyNumberFormat="0" applyFont="0" applyFill="0" applyAlignment="0" applyProtection="0"/>
    <xf numFmtId="312" fontId="101" fillId="0" borderId="4203" applyBorder="0"/>
    <xf numFmtId="0" fontId="241" fillId="94" borderId="4251" applyBorder="0" applyProtection="0">
      <alignment horizontal="centerContinuous" vertical="center"/>
    </xf>
    <xf numFmtId="0" fontId="25" fillId="10" borderId="4235" applyNumberFormat="0" applyProtection="0">
      <alignment horizontal="left" vertical="top"/>
    </xf>
    <xf numFmtId="0" fontId="165" fillId="0" borderId="4251" applyFill="0" applyProtection="0">
      <alignment horizontal="center"/>
    </xf>
    <xf numFmtId="180" fontId="9" fillId="3" borderId="4251">
      <alignment horizontal="right" vertical="center"/>
    </xf>
    <xf numFmtId="312" fontId="113" fillId="0" borderId="4203" applyNumberFormat="0" applyFill="0" applyAlignment="0" applyProtection="0"/>
    <xf numFmtId="312" fontId="75" fillId="0" borderId="4180" applyNumberFormat="0" applyFont="0" applyFill="0" applyAlignment="0" applyProtection="0"/>
    <xf numFmtId="190" fontId="25" fillId="10" borderId="4234" applyNumberFormat="0" applyProtection="0">
      <alignment horizontal="left" vertical="top"/>
    </xf>
    <xf numFmtId="312" fontId="12" fillId="0" borderId="4203" applyNumberFormat="0" applyFill="0" applyBorder="0" applyAlignment="0" applyProtection="0">
      <alignment horizontal="center"/>
    </xf>
    <xf numFmtId="246" fontId="250" fillId="0" borderId="4251" applyFill="0" applyProtection="0">
      <alignment horizontal="center"/>
    </xf>
    <xf numFmtId="0" fontId="241" fillId="94" borderId="4251" applyBorder="0" applyProtection="0">
      <alignment horizontal="centerContinuous" vertical="center"/>
    </xf>
    <xf numFmtId="0" fontId="75" fillId="0" borderId="4252" applyNumberFormat="0" applyFont="0" applyFill="0" applyAlignment="0" applyProtection="0"/>
    <xf numFmtId="186" fontId="146" fillId="3" borderId="4239" applyBorder="0">
      <alignment horizontal="left" vertical="center"/>
    </xf>
    <xf numFmtId="0" fontId="12" fillId="0" borderId="4239" applyNumberFormat="0" applyFill="0" applyBorder="0" applyAlignment="0" applyProtection="0">
      <alignment horizontal="center"/>
    </xf>
    <xf numFmtId="0" fontId="75" fillId="0" borderId="4228" applyNumberFormat="0" applyFont="0" applyFill="0" applyAlignment="0" applyProtection="0"/>
    <xf numFmtId="0" fontId="2" fillId="0" borderId="4232" applyNumberFormat="0" applyAlignment="0" applyProtection="0"/>
    <xf numFmtId="0" fontId="25" fillId="10" borderId="4235" applyNumberFormat="0" applyProtection="0">
      <alignment horizontal="left" vertical="top"/>
    </xf>
    <xf numFmtId="0" fontId="78" fillId="14" borderId="4229" applyFont="0" applyFill="0" applyBorder="0" applyAlignment="0" applyProtection="0"/>
    <xf numFmtId="246" fontId="249" fillId="0" borderId="4215" applyFill="0" applyProtection="0">
      <alignment horizontal="center"/>
    </xf>
    <xf numFmtId="0" fontId="210" fillId="0" borderId="4215" applyNumberFormat="0" applyFill="0" applyBorder="0" applyAlignment="0">
      <protection locked="0"/>
    </xf>
    <xf numFmtId="0" fontId="165" fillId="0" borderId="4215" applyFill="0" applyProtection="0">
      <alignment horizontal="center"/>
    </xf>
    <xf numFmtId="192" fontId="9" fillId="3" borderId="4215">
      <alignment horizontal="right" vertical="center"/>
    </xf>
    <xf numFmtId="0" fontId="113" fillId="0" borderId="4215" applyNumberFormat="0" applyFill="0" applyAlignment="0" applyProtection="0"/>
    <xf numFmtId="222" fontId="79" fillId="0" borderId="4214" applyBorder="0"/>
    <xf numFmtId="186" fontId="140" fillId="3" borderId="4207">
      <alignment horizontal="center" vertical="center"/>
    </xf>
    <xf numFmtId="0" fontId="25" fillId="10" borderId="4212" applyNumberFormat="0" applyProtection="0">
      <alignment horizontal="left" vertical="top"/>
    </xf>
    <xf numFmtId="0" fontId="241" fillId="94" borderId="4191" applyBorder="0" applyProtection="0">
      <alignment horizontal="centerContinuous" vertical="center"/>
    </xf>
    <xf numFmtId="186" fontId="146" fillId="3" borderId="4191" applyBorder="0">
      <alignment horizontal="left" vertical="center"/>
    </xf>
    <xf numFmtId="0" fontId="25" fillId="10" borderId="4199" applyNumberFormat="0" applyProtection="0">
      <alignment horizontal="left" vertical="top"/>
    </xf>
    <xf numFmtId="0" fontId="2" fillId="0" borderId="4196" applyNumberFormat="0" applyAlignment="0" applyProtection="0"/>
    <xf numFmtId="186" fontId="140" fillId="3" borderId="4195">
      <alignment horizontal="center" vertical="center"/>
    </xf>
    <xf numFmtId="222" fontId="79" fillId="0" borderId="4202" applyBorder="0"/>
    <xf numFmtId="248" fontId="46" fillId="0" borderId="4191"/>
    <xf numFmtId="0" fontId="165" fillId="0" borderId="4191" applyFill="0" applyProtection="0">
      <alignment horizontal="center"/>
    </xf>
    <xf numFmtId="312" fontId="165" fillId="0" borderId="4203" applyFill="0" applyProtection="0">
      <alignment horizontal="center"/>
    </xf>
    <xf numFmtId="312" fontId="242" fillId="0" borderId="4203">
      <alignment horizontal="center"/>
    </xf>
    <xf numFmtId="222" fontId="79" fillId="0" borderId="4202" applyBorder="0"/>
    <xf numFmtId="0" fontId="25" fillId="10" borderId="4199" applyNumberFormat="0" applyProtection="0">
      <alignment horizontal="left" vertical="top"/>
    </xf>
    <xf numFmtId="0" fontId="78" fillId="14" borderId="4193" applyFont="0" applyFill="0" applyBorder="0" applyAlignment="0" applyProtection="0"/>
    <xf numFmtId="222" fontId="79" fillId="0" borderId="4202" applyBorder="0"/>
    <xf numFmtId="248" fontId="46" fillId="0" borderId="4191"/>
    <xf numFmtId="0" fontId="166" fillId="0" borderId="4191">
      <alignment horizontal="center"/>
    </xf>
    <xf numFmtId="186" fontId="140" fillId="3" borderId="4243">
      <alignment horizontal="center" vertical="center"/>
    </xf>
    <xf numFmtId="0" fontId="25" fillId="10" borderId="4201" applyNumberFormat="0" applyProtection="0">
      <alignment horizontal="left" vertical="top"/>
    </xf>
    <xf numFmtId="0" fontId="241" fillId="94" borderId="4203" applyBorder="0" applyProtection="0">
      <alignment horizontal="centerContinuous" vertical="center"/>
    </xf>
    <xf numFmtId="0" fontId="25" fillId="10" borderId="4201" applyNumberFormat="0" applyProtection="0">
      <alignment horizontal="left" vertical="top"/>
    </xf>
    <xf numFmtId="246" fontId="250" fillId="0" borderId="4191" applyFill="0" applyProtection="0">
      <alignment horizontal="center"/>
    </xf>
    <xf numFmtId="254" fontId="240" fillId="0" borderId="4191" applyBorder="0" applyProtection="0">
      <alignment horizontal="right" vertical="center"/>
    </xf>
    <xf numFmtId="192" fontId="9" fillId="3" borderId="4227">
      <alignment horizontal="right" vertical="center"/>
    </xf>
    <xf numFmtId="0" fontId="210" fillId="0" borderId="4191" applyNumberFormat="0" applyFill="0" applyBorder="0" applyAlignment="0">
      <protection locked="0"/>
    </xf>
    <xf numFmtId="186" fontId="146" fillId="3" borderId="4191" applyBorder="0">
      <alignment horizontal="left" vertical="center"/>
    </xf>
    <xf numFmtId="0" fontId="25" fillId="10" borderId="4200" applyNumberFormat="0" applyProtection="0">
      <alignment horizontal="left" vertical="top"/>
    </xf>
    <xf numFmtId="0" fontId="25" fillId="10" borderId="4199" applyNumberFormat="0" applyProtection="0">
      <alignment horizontal="left" vertical="top"/>
    </xf>
    <xf numFmtId="186" fontId="140" fillId="3" borderId="4195">
      <alignment horizontal="center" vertical="center"/>
    </xf>
    <xf numFmtId="312" fontId="210" fillId="0" borderId="4203" applyNumberFormat="0" applyFill="0" applyBorder="0" applyAlignment="0">
      <protection locked="0"/>
    </xf>
    <xf numFmtId="312" fontId="2" fillId="0" borderId="4184" applyNumberFormat="0" applyAlignment="0" applyProtection="0"/>
    <xf numFmtId="312" fontId="214" fillId="0" borderId="4185" applyNumberFormat="0" applyFont="0" applyFill="0" applyAlignment="0" applyProtection="0"/>
    <xf numFmtId="312" fontId="25" fillId="10" borderId="4186" applyNumberFormat="0" applyProtection="0">
      <alignment horizontal="left" vertical="top"/>
    </xf>
    <xf numFmtId="312" fontId="25" fillId="10" borderId="4187" applyNumberFormat="0" applyProtection="0">
      <alignment horizontal="left" vertical="top"/>
    </xf>
    <xf numFmtId="312" fontId="25" fillId="10" borderId="4188" applyNumberFormat="0" applyProtection="0">
      <alignment horizontal="left" vertical="top"/>
    </xf>
    <xf numFmtId="312" fontId="25" fillId="10" borderId="4189" applyNumberFormat="0" applyProtection="0">
      <alignment horizontal="left" vertical="top"/>
    </xf>
    <xf numFmtId="312" fontId="241" fillId="94" borderId="4203" applyBorder="0" applyProtection="0">
      <alignment horizontal="centerContinuous" vertical="center"/>
    </xf>
    <xf numFmtId="246" fontId="296" fillId="0" borderId="4203" applyFill="0" applyProtection="0">
      <alignment horizontal="center"/>
    </xf>
    <xf numFmtId="248" fontId="46" fillId="0" borderId="4609"/>
    <xf numFmtId="0" fontId="25" fillId="10" borderId="4198" applyNumberFormat="0" applyProtection="0">
      <alignment horizontal="left" vertical="top"/>
    </xf>
    <xf numFmtId="0" fontId="25" fillId="10" borderId="4198" applyNumberFormat="0" applyProtection="0">
      <alignment horizontal="left" vertical="top"/>
    </xf>
    <xf numFmtId="254" fontId="240" fillId="0" borderId="4251" applyBorder="0" applyProtection="0">
      <alignment horizontal="right" vertical="center"/>
    </xf>
    <xf numFmtId="312" fontId="241" fillId="94" borderId="4251" applyBorder="0" applyProtection="0">
      <alignment horizontal="centerContinuous" vertical="center"/>
    </xf>
    <xf numFmtId="312" fontId="101" fillId="0" borderId="4203" applyBorder="0"/>
    <xf numFmtId="312" fontId="113" fillId="0" borderId="4203" applyNumberFormat="0" applyFill="0" applyAlignment="0" applyProtection="0"/>
    <xf numFmtId="312" fontId="75" fillId="0" borderId="4180" applyNumberFormat="0" applyFont="0" applyFill="0" applyAlignment="0" applyProtection="0"/>
    <xf numFmtId="312" fontId="12" fillId="0" borderId="4203" applyNumberFormat="0" applyFill="0" applyBorder="0" applyAlignment="0" applyProtection="0">
      <alignment horizontal="center"/>
    </xf>
    <xf numFmtId="222" fontId="79" fillId="0" borderId="4250" applyBorder="0"/>
    <xf numFmtId="0" fontId="113" fillId="0" borderId="4191" applyNumberFormat="0" applyFill="0" applyAlignment="0" applyProtection="0"/>
    <xf numFmtId="312" fontId="165" fillId="0" borderId="4203" applyFill="0" applyProtection="0">
      <alignment horizontal="center"/>
    </xf>
    <xf numFmtId="312" fontId="242" fillId="0" borderId="4203">
      <alignment horizontal="center"/>
    </xf>
    <xf numFmtId="312" fontId="210" fillId="0" borderId="4203" applyNumberFormat="0" applyFill="0" applyBorder="0" applyAlignment="0">
      <protection locked="0"/>
    </xf>
    <xf numFmtId="312" fontId="2" fillId="0" borderId="4184" applyNumberFormat="0" applyAlignment="0" applyProtection="0"/>
    <xf numFmtId="312" fontId="214" fillId="0" borderId="4185" applyNumberFormat="0" applyFont="0" applyFill="0" applyAlignment="0" applyProtection="0"/>
    <xf numFmtId="312" fontId="25" fillId="10" borderId="4186" applyNumberFormat="0" applyProtection="0">
      <alignment horizontal="left" vertical="top"/>
    </xf>
    <xf numFmtId="312" fontId="25" fillId="10" borderId="4187" applyNumberFormat="0" applyProtection="0">
      <alignment horizontal="left" vertical="top"/>
    </xf>
    <xf numFmtId="312" fontId="25" fillId="10" borderId="4188" applyNumberFormat="0" applyProtection="0">
      <alignment horizontal="left" vertical="top"/>
    </xf>
    <xf numFmtId="312" fontId="25" fillId="10" borderId="4189" applyNumberFormat="0" applyProtection="0">
      <alignment horizontal="left" vertical="top"/>
    </xf>
    <xf numFmtId="312" fontId="25" fillId="10" borderId="4186" applyNumberFormat="0" applyProtection="0">
      <alignment horizontal="left" vertical="top"/>
    </xf>
    <xf numFmtId="312" fontId="25" fillId="10" borderId="4187" applyNumberFormat="0" applyProtection="0">
      <alignment horizontal="left" vertical="top"/>
    </xf>
    <xf numFmtId="312" fontId="25" fillId="10" borderId="4188" applyNumberFormat="0" applyProtection="0">
      <alignment horizontal="left" vertical="top"/>
    </xf>
    <xf numFmtId="312" fontId="25" fillId="10" borderId="4189" applyNumberFormat="0" applyProtection="0">
      <alignment horizontal="left" vertical="top"/>
    </xf>
    <xf numFmtId="312" fontId="241" fillId="94" borderId="4203" applyBorder="0" applyProtection="0">
      <alignment horizontal="centerContinuous" vertical="center"/>
    </xf>
    <xf numFmtId="246" fontId="296" fillId="0" borderId="4203" applyFill="0" applyProtection="0">
      <alignment horizontal="center"/>
    </xf>
    <xf numFmtId="0" fontId="113" fillId="0" borderId="4191" applyNumberFormat="0" applyFill="0" applyAlignment="0" applyProtection="0"/>
    <xf numFmtId="0" fontId="25" fillId="10" borderId="4200" applyNumberFormat="0" applyProtection="0">
      <alignment horizontal="left" vertical="top"/>
    </xf>
    <xf numFmtId="192" fontId="9" fillId="3" borderId="4251">
      <alignment horizontal="right" vertical="center"/>
    </xf>
    <xf numFmtId="0" fontId="25" fillId="10" borderId="4199" applyNumberFormat="0" applyProtection="0">
      <alignment horizontal="left" vertical="top"/>
    </xf>
    <xf numFmtId="246" fontId="250" fillId="0" borderId="4251" applyFill="0" applyProtection="0">
      <alignment horizontal="center"/>
    </xf>
    <xf numFmtId="0" fontId="101" fillId="0" borderId="4251" applyBorder="0"/>
    <xf numFmtId="0" fontId="78" fillId="14" borderId="4241" applyFont="0" applyFill="0" applyBorder="0" applyAlignment="0" applyProtection="0"/>
    <xf numFmtId="264" fontId="12" fillId="14" borderId="4251" applyFont="0" applyFill="0" applyBorder="0" applyAlignment="0" applyProtection="0">
      <alignment horizontal="right"/>
    </xf>
    <xf numFmtId="246" fontId="250" fillId="0" borderId="4203" applyFill="0" applyProtection="0">
      <alignment horizontal="center"/>
    </xf>
    <xf numFmtId="222" fontId="79" fillId="0" borderId="4226" applyBorder="0"/>
    <xf numFmtId="0" fontId="2" fillId="0" borderId="4196" applyNumberFormat="0" applyAlignment="0" applyProtection="0"/>
    <xf numFmtId="0" fontId="25" fillId="10" borderId="4199" applyNumberFormat="0" applyProtection="0">
      <alignment horizontal="left" vertical="top"/>
    </xf>
    <xf numFmtId="0" fontId="25" fillId="10" borderId="4201" applyNumberFormat="0" applyProtection="0">
      <alignment horizontal="left" vertical="top"/>
    </xf>
    <xf numFmtId="246" fontId="249" fillId="0" borderId="4251" applyFill="0" applyProtection="0">
      <alignment horizontal="center"/>
    </xf>
    <xf numFmtId="186" fontId="146" fillId="3" borderId="4251" applyBorder="0">
      <alignment horizontal="left" vertical="center"/>
    </xf>
    <xf numFmtId="0" fontId="25" fillId="10" borderId="4200" applyNumberFormat="0" applyProtection="0">
      <alignment horizontal="left" vertical="top"/>
    </xf>
    <xf numFmtId="0" fontId="25" fillId="10" borderId="4199" applyNumberFormat="0" applyProtection="0">
      <alignment horizontal="left" vertical="top"/>
    </xf>
    <xf numFmtId="248" fontId="46" fillId="0" borderId="4251"/>
    <xf numFmtId="0" fontId="101" fillId="0" borderId="4191" applyBorder="0"/>
    <xf numFmtId="190" fontId="78" fillId="14" borderId="4241" applyFont="0" applyFill="0" applyBorder="0" applyAlignment="0" applyProtection="0"/>
    <xf numFmtId="0" fontId="25" fillId="10" borderId="4201" applyNumberFormat="0" applyProtection="0">
      <alignment horizontal="left" vertical="top"/>
    </xf>
    <xf numFmtId="0" fontId="12" fillId="0" borderId="4251" applyNumberFormat="0" applyFill="0" applyBorder="0" applyAlignment="0" applyProtection="0">
      <alignment horizontal="center"/>
    </xf>
    <xf numFmtId="222" fontId="79" fillId="0" borderId="4238" applyBorder="0"/>
    <xf numFmtId="186" fontId="140" fillId="3" borderId="4195">
      <alignment horizontal="center" vertical="center"/>
    </xf>
    <xf numFmtId="0" fontId="25" fillId="10" borderId="4200" applyNumberFormat="0" applyProtection="0">
      <alignment horizontal="left" vertical="top"/>
    </xf>
    <xf numFmtId="0" fontId="210" fillId="0" borderId="4239" applyNumberFormat="0" applyFill="0" applyBorder="0" applyAlignment="0">
      <protection locked="0"/>
    </xf>
    <xf numFmtId="246" fontId="250" fillId="0" borderId="4203" applyFill="0" applyProtection="0">
      <alignment horizontal="center"/>
    </xf>
    <xf numFmtId="246" fontId="249" fillId="0" borderId="4203" applyFill="0" applyProtection="0">
      <alignment horizontal="center"/>
    </xf>
    <xf numFmtId="0" fontId="241" fillId="94" borderId="4203" applyBorder="0" applyProtection="0">
      <alignment horizontal="centerContinuous" vertical="center"/>
    </xf>
    <xf numFmtId="254" fontId="240" fillId="0" borderId="4203" applyBorder="0" applyProtection="0">
      <alignment horizontal="right" vertical="center"/>
    </xf>
    <xf numFmtId="0" fontId="25" fillId="10" borderId="4201" applyNumberFormat="0" applyProtection="0">
      <alignment horizontal="left" vertical="top"/>
    </xf>
    <xf numFmtId="0" fontId="25" fillId="10" borderId="4200" applyNumberFormat="0" applyProtection="0">
      <alignment horizontal="left" vertical="top"/>
    </xf>
    <xf numFmtId="0" fontId="25" fillId="10" borderId="4199" applyNumberFormat="0" applyProtection="0">
      <alignment horizontal="left" vertical="top"/>
    </xf>
    <xf numFmtId="0" fontId="25" fillId="10" borderId="4198" applyNumberFormat="0" applyProtection="0">
      <alignment horizontal="left" vertical="top"/>
    </xf>
    <xf numFmtId="0" fontId="25" fillId="10" borderId="4237" applyNumberFormat="0" applyProtection="0">
      <alignment horizontal="left" vertical="top"/>
    </xf>
    <xf numFmtId="0" fontId="214" fillId="0" borderId="4233" applyNumberFormat="0" applyFont="0" applyFill="0" applyAlignment="0" applyProtection="0"/>
    <xf numFmtId="0" fontId="214" fillId="0" borderId="4197" applyNumberFormat="0" applyFont="0" applyFill="0" applyAlignment="0" applyProtection="0"/>
    <xf numFmtId="0" fontId="2" fillId="0" borderId="4196" applyNumberFormat="0" applyAlignment="0" applyProtection="0"/>
    <xf numFmtId="0" fontId="210" fillId="0" borderId="4203" applyNumberFormat="0" applyFill="0" applyBorder="0" applyAlignment="0">
      <protection locked="0"/>
    </xf>
    <xf numFmtId="0" fontId="25" fillId="10" borderId="4198" applyNumberFormat="0" applyProtection="0">
      <alignment horizontal="left" vertical="top"/>
    </xf>
    <xf numFmtId="264" fontId="12" fillId="14" borderId="4203" applyFont="0" applyFill="0" applyBorder="0" applyAlignment="0" applyProtection="0">
      <alignment horizontal="right"/>
    </xf>
    <xf numFmtId="0" fontId="78" fillId="14" borderId="4205" applyFont="0" applyFill="0" applyBorder="0" applyAlignment="0" applyProtection="0"/>
    <xf numFmtId="0" fontId="210" fillId="0" borderId="4191" applyNumberFormat="0" applyFill="0" applyBorder="0" applyAlignment="0">
      <protection locked="0"/>
    </xf>
    <xf numFmtId="0" fontId="75" fillId="0" borderId="4192" applyNumberFormat="0" applyFont="0" applyFill="0" applyAlignment="0" applyProtection="0"/>
    <xf numFmtId="0" fontId="166" fillId="0" borderId="4203">
      <alignment horizontal="center"/>
    </xf>
    <xf numFmtId="0" fontId="165" fillId="0" borderId="4203" applyFill="0" applyProtection="0">
      <alignment horizontal="center"/>
    </xf>
    <xf numFmtId="0" fontId="78" fillId="14" borderId="4193" applyFont="0" applyFill="0" applyBorder="0" applyAlignment="0" applyProtection="0"/>
    <xf numFmtId="186" fontId="146" fillId="3" borderId="4194">
      <alignment horizontal="left"/>
    </xf>
    <xf numFmtId="254" fontId="240" fillId="0" borderId="4191" applyBorder="0" applyProtection="0">
      <alignment horizontal="right" vertical="center"/>
    </xf>
    <xf numFmtId="0" fontId="25" fillId="10" borderId="4213" applyNumberFormat="0" applyProtection="0">
      <alignment horizontal="left" vertical="top"/>
    </xf>
    <xf numFmtId="186" fontId="140" fillId="3" borderId="4195">
      <alignment horizontal="center" vertical="center"/>
    </xf>
    <xf numFmtId="186" fontId="146" fillId="3" borderId="4194">
      <alignment horizontal="left"/>
    </xf>
    <xf numFmtId="186" fontId="146" fillId="3" borderId="4203" applyBorder="0">
      <alignment horizontal="left" vertical="center"/>
    </xf>
    <xf numFmtId="180" fontId="9" fillId="3" borderId="4203">
      <alignment horizontal="right" vertical="center"/>
    </xf>
    <xf numFmtId="192" fontId="9" fillId="3" borderId="4203">
      <alignment horizontal="right" vertical="center"/>
    </xf>
    <xf numFmtId="192" fontId="9" fillId="3" borderId="4251">
      <alignment horizontal="right" vertical="center"/>
    </xf>
    <xf numFmtId="248" fontId="46" fillId="0" borderId="4203"/>
    <xf numFmtId="0" fontId="78" fillId="14" borderId="4193" applyFont="0" applyFill="0" applyBorder="0" applyAlignment="0" applyProtection="0"/>
    <xf numFmtId="0" fontId="12" fillId="0" borderId="4203" applyNumberFormat="0" applyFill="0" applyBorder="0" applyAlignment="0" applyProtection="0">
      <alignment horizontal="center"/>
    </xf>
    <xf numFmtId="0" fontId="75" fillId="0" borderId="4192" applyNumberFormat="0" applyFont="0" applyFill="0" applyAlignment="0" applyProtection="0"/>
    <xf numFmtId="0" fontId="113" fillId="0" borderId="4203" applyNumberFormat="0" applyFill="0" applyAlignment="0" applyProtection="0"/>
    <xf numFmtId="0" fontId="25" fillId="10" borderId="4234" applyNumberFormat="0" applyProtection="0">
      <alignment horizontal="left" vertical="top"/>
    </xf>
    <xf numFmtId="254" fontId="240" fillId="0" borderId="4251" applyBorder="0" applyProtection="0">
      <alignment horizontal="right" vertical="center"/>
    </xf>
    <xf numFmtId="222" fontId="79" fillId="0" borderId="4202" applyBorder="0"/>
    <xf numFmtId="0" fontId="101" fillId="0" borderId="4203" applyBorder="0"/>
    <xf numFmtId="0" fontId="25" fillId="10" borderId="4210" applyNumberFormat="0" applyProtection="0">
      <alignment horizontal="left" vertical="top"/>
    </xf>
    <xf numFmtId="0" fontId="25" fillId="10" borderId="4211" applyNumberFormat="0" applyProtection="0">
      <alignment horizontal="left" vertical="top"/>
    </xf>
    <xf numFmtId="0" fontId="25" fillId="10" borderId="4212" applyNumberFormat="0" applyProtection="0">
      <alignment horizontal="left" vertical="top"/>
    </xf>
    <xf numFmtId="0" fontId="25" fillId="10" borderId="4213" applyNumberFormat="0" applyProtection="0">
      <alignment horizontal="left" vertical="top"/>
    </xf>
    <xf numFmtId="190" fontId="12" fillId="0" borderId="4251" applyNumberFormat="0" applyFill="0" applyBorder="0" applyAlignment="0" applyProtection="0">
      <alignment horizontal="center"/>
    </xf>
    <xf numFmtId="0" fontId="165" fillId="0" borderId="4227" applyFill="0" applyProtection="0">
      <alignment horizontal="center"/>
    </xf>
    <xf numFmtId="190" fontId="214" fillId="0" borderId="4233" applyNumberFormat="0" applyFont="0" applyFill="0" applyAlignment="0" applyProtection="0"/>
    <xf numFmtId="312" fontId="242" fillId="0" borderId="4251">
      <alignment horizontal="center"/>
    </xf>
    <xf numFmtId="190" fontId="165" fillId="0" borderId="4251" applyFill="0" applyProtection="0">
      <alignment horizontal="center"/>
    </xf>
    <xf numFmtId="0" fontId="25" fillId="10" borderId="4199" applyNumberFormat="0" applyProtection="0">
      <alignment horizontal="left" vertical="top"/>
    </xf>
    <xf numFmtId="0" fontId="25" fillId="10" borderId="4222" applyNumberFormat="0" applyProtection="0">
      <alignment horizontal="left" vertical="top"/>
    </xf>
    <xf numFmtId="264" fontId="12" fillId="14" borderId="4227" applyFont="0" applyFill="0" applyBorder="0" applyAlignment="0" applyProtection="0">
      <alignment horizontal="right"/>
    </xf>
    <xf numFmtId="246" fontId="250" fillId="0" borderId="4227" applyFill="0" applyProtection="0">
      <alignment horizontal="center"/>
    </xf>
    <xf numFmtId="180" fontId="9" fillId="3" borderId="4251">
      <alignment horizontal="right" vertical="center"/>
    </xf>
    <xf numFmtId="0" fontId="214" fillId="0" borderId="4197" applyNumberFormat="0" applyFont="0" applyFill="0" applyAlignment="0" applyProtection="0"/>
    <xf numFmtId="246" fontId="249" fillId="0" borderId="4203" applyFill="0" applyProtection="0">
      <alignment horizontal="center"/>
    </xf>
    <xf numFmtId="246" fontId="250" fillId="0" borderId="4191" applyFill="0" applyProtection="0">
      <alignment horizontal="center"/>
    </xf>
    <xf numFmtId="246" fontId="249" fillId="0" borderId="4191" applyFill="0" applyProtection="0">
      <alignment horizontal="center"/>
    </xf>
    <xf numFmtId="0" fontId="241" fillId="94" borderId="4191" applyBorder="0" applyProtection="0">
      <alignment horizontal="centerContinuous" vertical="center"/>
    </xf>
    <xf numFmtId="254" fontId="240" fillId="0" borderId="4191" applyBorder="0" applyProtection="0">
      <alignment horizontal="right" vertical="center"/>
    </xf>
    <xf numFmtId="0" fontId="210" fillId="0" borderId="4191" applyNumberFormat="0" applyFill="0" applyBorder="0" applyAlignment="0">
      <protection locked="0"/>
    </xf>
    <xf numFmtId="0" fontId="2" fillId="0" borderId="4244" applyNumberFormat="0" applyAlignment="0" applyProtection="0"/>
    <xf numFmtId="264" fontId="12" fillId="14" borderId="4191" applyFont="0" applyFill="0" applyBorder="0" applyAlignment="0" applyProtection="0">
      <alignment horizontal="right"/>
    </xf>
    <xf numFmtId="0" fontId="166" fillId="0" borderId="4191">
      <alignment horizontal="center"/>
    </xf>
    <xf numFmtId="0" fontId="165" fillId="0" borderId="4191" applyFill="0" applyProtection="0">
      <alignment horizontal="center"/>
    </xf>
    <xf numFmtId="186" fontId="146" fillId="3" borderId="4191" applyBorder="0">
      <alignment horizontal="left" vertical="center"/>
    </xf>
    <xf numFmtId="180" fontId="9" fillId="3" borderId="4191">
      <alignment horizontal="right" vertical="center"/>
    </xf>
    <xf numFmtId="192" fontId="9" fillId="3" borderId="4191">
      <alignment horizontal="right" vertical="center"/>
    </xf>
    <xf numFmtId="248" fontId="46" fillId="0" borderId="4191"/>
    <xf numFmtId="0" fontId="12" fillId="0" borderId="4191" applyNumberFormat="0" applyFill="0" applyBorder="0" applyAlignment="0" applyProtection="0">
      <alignment horizontal="center"/>
    </xf>
    <xf numFmtId="0" fontId="113" fillId="0" borderId="4191" applyNumberFormat="0" applyFill="0" applyAlignment="0" applyProtection="0"/>
    <xf numFmtId="222" fontId="79" fillId="0" borderId="4190" applyBorder="0"/>
    <xf numFmtId="0" fontId="101" fillId="0" borderId="4191" applyBorder="0"/>
    <xf numFmtId="264" fontId="12" fillId="14" borderId="4239" applyFont="0" applyFill="0" applyBorder="0" applyAlignment="0" applyProtection="0">
      <alignment horizontal="right"/>
    </xf>
    <xf numFmtId="246" fontId="250" fillId="0" borderId="4191" applyFill="0" applyProtection="0">
      <alignment horizontal="center"/>
    </xf>
    <xf numFmtId="246" fontId="249" fillId="0" borderId="4191" applyFill="0" applyProtection="0">
      <alignment horizontal="center"/>
    </xf>
    <xf numFmtId="0" fontId="241" fillId="94" borderId="4191" applyBorder="0" applyProtection="0">
      <alignment horizontal="centerContinuous" vertical="center"/>
    </xf>
    <xf numFmtId="254" fontId="240" fillId="0" borderId="4191" applyBorder="0" applyProtection="0">
      <alignment horizontal="right" vertical="center"/>
    </xf>
    <xf numFmtId="0" fontId="210" fillId="0" borderId="4191" applyNumberFormat="0" applyFill="0" applyBorder="0" applyAlignment="0">
      <protection locked="0"/>
    </xf>
    <xf numFmtId="264" fontId="12" fillId="14" borderId="4191" applyFont="0" applyFill="0" applyBorder="0" applyAlignment="0" applyProtection="0">
      <alignment horizontal="right"/>
    </xf>
    <xf numFmtId="0" fontId="166" fillId="0" borderId="4191">
      <alignment horizontal="center"/>
    </xf>
    <xf numFmtId="0" fontId="165" fillId="0" borderId="4191" applyFill="0" applyProtection="0">
      <alignment horizontal="center"/>
    </xf>
    <xf numFmtId="0" fontId="25" fillId="10" borderId="4201" applyNumberFormat="0" applyProtection="0">
      <alignment horizontal="left" vertical="top"/>
    </xf>
    <xf numFmtId="0" fontId="78" fillId="14" borderId="4193" applyFont="0" applyFill="0" applyBorder="0" applyAlignment="0" applyProtection="0"/>
    <xf numFmtId="264" fontId="12" fillId="14" borderId="4191" applyFont="0" applyFill="0" applyBorder="0" applyAlignment="0" applyProtection="0">
      <alignment horizontal="right"/>
    </xf>
    <xf numFmtId="222" fontId="79" fillId="0" borderId="4202" applyBorder="0"/>
    <xf numFmtId="186" fontId="146" fillId="3" borderId="4191" applyBorder="0">
      <alignment horizontal="left" vertical="center"/>
    </xf>
    <xf numFmtId="180" fontId="9" fillId="3" borderId="4191">
      <alignment horizontal="right" vertical="center"/>
    </xf>
    <xf numFmtId="192" fontId="9" fillId="3" borderId="4191">
      <alignment horizontal="right" vertical="center"/>
    </xf>
    <xf numFmtId="0" fontId="12" fillId="0" borderId="4191" applyNumberFormat="0" applyFill="0" applyBorder="0" applyAlignment="0" applyProtection="0">
      <alignment horizontal="center"/>
    </xf>
    <xf numFmtId="0" fontId="113" fillId="0" borderId="4191" applyNumberFormat="0" applyFill="0" applyAlignment="0" applyProtection="0"/>
    <xf numFmtId="0" fontId="2" fillId="0" borderId="4232" applyNumberFormat="0" applyAlignment="0" applyProtection="0"/>
    <xf numFmtId="0" fontId="25" fillId="10" borderId="4236" applyNumberFormat="0" applyProtection="0">
      <alignment horizontal="left" vertical="top"/>
    </xf>
    <xf numFmtId="222" fontId="79" fillId="0" borderId="4190" applyBorder="0"/>
    <xf numFmtId="0" fontId="101" fillId="0" borderId="4191" applyBorder="0"/>
    <xf numFmtId="248" fontId="46" fillId="0" borderId="4191"/>
    <xf numFmtId="246" fontId="250" fillId="0" borderId="4191" applyFill="0" applyProtection="0">
      <alignment horizontal="center"/>
    </xf>
    <xf numFmtId="246" fontId="249" fillId="0" borderId="4191" applyFill="0" applyProtection="0">
      <alignment horizontal="center"/>
    </xf>
    <xf numFmtId="0" fontId="241" fillId="94" borderId="4191" applyBorder="0" applyProtection="0">
      <alignment horizontal="centerContinuous" vertical="center"/>
    </xf>
    <xf numFmtId="254" fontId="240" fillId="0" borderId="4191" applyBorder="0" applyProtection="0">
      <alignment horizontal="right" vertical="center"/>
    </xf>
    <xf numFmtId="0" fontId="210" fillId="0" borderId="4191" applyNumberFormat="0" applyFill="0" applyBorder="0" applyAlignment="0">
      <protection locked="0"/>
    </xf>
    <xf numFmtId="264" fontId="12" fillId="14" borderId="4191" applyFont="0" applyFill="0" applyBorder="0" applyAlignment="0" applyProtection="0">
      <alignment horizontal="right"/>
    </xf>
    <xf numFmtId="0" fontId="166" fillId="0" borderId="4191">
      <alignment horizontal="center"/>
    </xf>
    <xf numFmtId="0" fontId="165" fillId="0" borderId="4191" applyFill="0" applyProtection="0">
      <alignment horizontal="center"/>
    </xf>
    <xf numFmtId="186" fontId="146" fillId="3" borderId="4191" applyBorder="0">
      <alignment horizontal="left" vertical="center"/>
    </xf>
    <xf numFmtId="180" fontId="9" fillId="3" borderId="4191">
      <alignment horizontal="right" vertical="center"/>
    </xf>
    <xf numFmtId="192" fontId="9" fillId="3" borderId="4191">
      <alignment horizontal="right" vertical="center"/>
    </xf>
    <xf numFmtId="248" fontId="46" fillId="0" borderId="4191"/>
    <xf numFmtId="0" fontId="12" fillId="0" borderId="4191" applyNumberFormat="0" applyFill="0" applyBorder="0" applyAlignment="0" applyProtection="0">
      <alignment horizontal="center"/>
    </xf>
    <xf numFmtId="0" fontId="113" fillId="0" borderId="4191" applyNumberFormat="0" applyFill="0" applyAlignment="0" applyProtection="0"/>
    <xf numFmtId="222" fontId="79" fillId="0" borderId="4190" applyBorder="0"/>
    <xf numFmtId="0" fontId="101" fillId="0" borderId="4191" applyBorder="0"/>
    <xf numFmtId="246" fontId="296" fillId="0" borderId="4251" applyFill="0" applyProtection="0">
      <alignment horizontal="center"/>
    </xf>
    <xf numFmtId="312" fontId="101" fillId="0" borderId="4251" applyBorder="0"/>
    <xf numFmtId="312" fontId="113" fillId="0" borderId="4251" applyNumberFormat="0" applyFill="0" applyAlignment="0" applyProtection="0"/>
    <xf numFmtId="312" fontId="75" fillId="0" borderId="4228" applyNumberFormat="0" applyFont="0" applyFill="0" applyAlignment="0" applyProtection="0"/>
    <xf numFmtId="312" fontId="12" fillId="0" borderId="4251" applyNumberFormat="0" applyFill="0" applyBorder="0" applyAlignment="0" applyProtection="0">
      <alignment horizontal="center"/>
    </xf>
    <xf numFmtId="312" fontId="165" fillId="0" borderId="4251" applyFill="0" applyProtection="0">
      <alignment horizontal="center"/>
    </xf>
    <xf numFmtId="312" fontId="242" fillId="0" borderId="4251">
      <alignment horizontal="center"/>
    </xf>
    <xf numFmtId="312" fontId="210" fillId="0" borderId="4251" applyNumberFormat="0" applyFill="0" applyBorder="0" applyAlignment="0">
      <protection locked="0"/>
    </xf>
    <xf numFmtId="312" fontId="2" fillId="0" borderId="4232" applyNumberFormat="0" applyAlignment="0" applyProtection="0"/>
    <xf numFmtId="312" fontId="214" fillId="0" borderId="4233" applyNumberFormat="0" applyFont="0" applyFill="0" applyAlignment="0" applyProtection="0"/>
    <xf numFmtId="312" fontId="25" fillId="10" borderId="4234" applyNumberFormat="0" applyProtection="0">
      <alignment horizontal="left" vertical="top"/>
    </xf>
    <xf numFmtId="312" fontId="25" fillId="10" borderId="4235" applyNumberFormat="0" applyProtection="0">
      <alignment horizontal="left" vertical="top"/>
    </xf>
    <xf numFmtId="312" fontId="25" fillId="10" borderId="4236" applyNumberFormat="0" applyProtection="0">
      <alignment horizontal="left" vertical="top"/>
    </xf>
    <xf numFmtId="312" fontId="25" fillId="10" borderId="4237" applyNumberFormat="0" applyProtection="0">
      <alignment horizontal="left" vertical="top"/>
    </xf>
    <xf numFmtId="312" fontId="25" fillId="10" borderId="4234" applyNumberFormat="0" applyProtection="0">
      <alignment horizontal="left" vertical="top"/>
    </xf>
    <xf numFmtId="312" fontId="25" fillId="10" borderId="4235" applyNumberFormat="0" applyProtection="0">
      <alignment horizontal="left" vertical="top"/>
    </xf>
    <xf numFmtId="312" fontId="25" fillId="10" borderId="4236" applyNumberFormat="0" applyProtection="0">
      <alignment horizontal="left" vertical="top"/>
    </xf>
    <xf numFmtId="312" fontId="25" fillId="10" borderId="4237" applyNumberFormat="0" applyProtection="0">
      <alignment horizontal="left" vertical="top"/>
    </xf>
    <xf numFmtId="312" fontId="241" fillId="94" borderId="4251" applyBorder="0" applyProtection="0">
      <alignment horizontal="centerContinuous" vertical="center"/>
    </xf>
    <xf numFmtId="246" fontId="296" fillId="0" borderId="4251" applyFill="0" applyProtection="0">
      <alignment horizontal="center"/>
    </xf>
    <xf numFmtId="246" fontId="250" fillId="0" borderId="4251" applyFill="0" applyProtection="0">
      <alignment horizontal="center"/>
    </xf>
    <xf numFmtId="246" fontId="249" fillId="0" borderId="4251" applyFill="0" applyProtection="0">
      <alignment horizontal="center"/>
    </xf>
    <xf numFmtId="0" fontId="241" fillId="94" borderId="4251" applyBorder="0" applyProtection="0">
      <alignment horizontal="centerContinuous" vertical="center"/>
    </xf>
    <xf numFmtId="254" fontId="240" fillId="0" borderId="4251" applyBorder="0" applyProtection="0">
      <alignment horizontal="right" vertical="center"/>
    </xf>
    <xf numFmtId="0" fontId="210" fillId="0" borderId="4251" applyNumberFormat="0" applyFill="0" applyBorder="0" applyAlignment="0">
      <protection locked="0"/>
    </xf>
    <xf numFmtId="264" fontId="12" fillId="14" borderId="4251" applyFont="0" applyFill="0" applyBorder="0" applyAlignment="0" applyProtection="0">
      <alignment horizontal="right"/>
    </xf>
    <xf numFmtId="0" fontId="166" fillId="0" borderId="4251">
      <alignment horizontal="center"/>
    </xf>
    <xf numFmtId="0" fontId="165" fillId="0" borderId="4251" applyFill="0" applyProtection="0">
      <alignment horizontal="center"/>
    </xf>
    <xf numFmtId="186" fontId="146" fillId="3" borderId="4251" applyBorder="0">
      <alignment horizontal="left" vertical="center"/>
    </xf>
    <xf numFmtId="180" fontId="9" fillId="3" borderId="4251">
      <alignment horizontal="right" vertical="center"/>
    </xf>
    <xf numFmtId="192" fontId="9" fillId="3" borderId="4251">
      <alignment horizontal="right" vertical="center"/>
    </xf>
    <xf numFmtId="248" fontId="46" fillId="0" borderId="4251"/>
    <xf numFmtId="0" fontId="12" fillId="0" borderId="4251" applyNumberFormat="0" applyFill="0" applyBorder="0" applyAlignment="0" applyProtection="0">
      <alignment horizontal="center"/>
    </xf>
    <xf numFmtId="0" fontId="113" fillId="0" borderId="4251" applyNumberFormat="0" applyFill="0" applyAlignment="0" applyProtection="0"/>
    <xf numFmtId="222" fontId="79" fillId="0" borderId="4250" applyBorder="0"/>
    <xf numFmtId="0" fontId="101" fillId="0" borderId="4251" applyBorder="0"/>
    <xf numFmtId="0" fontId="25" fillId="10" borderId="4258" applyNumberFormat="0" applyProtection="0">
      <alignment horizontal="left" vertical="top"/>
    </xf>
    <xf numFmtId="0" fontId="25" fillId="10" borderId="4259" applyNumberFormat="0" applyProtection="0">
      <alignment horizontal="left" vertical="top"/>
    </xf>
    <xf numFmtId="0" fontId="25" fillId="10" borderId="4260" applyNumberFormat="0" applyProtection="0">
      <alignment horizontal="left" vertical="top"/>
    </xf>
    <xf numFmtId="0" fontId="25" fillId="10" borderId="4261" applyNumberFormat="0" applyProtection="0">
      <alignment horizontal="left" vertical="top"/>
    </xf>
    <xf numFmtId="222" fontId="79" fillId="0" borderId="4262" applyBorder="0"/>
    <xf numFmtId="0" fontId="101" fillId="0" borderId="4263" applyBorder="0"/>
    <xf numFmtId="222" fontId="79" fillId="0" borderId="4262" applyBorder="0"/>
    <xf numFmtId="0" fontId="113" fillId="0" borderId="4263" applyNumberFormat="0" applyFill="0" applyAlignment="0" applyProtection="0"/>
    <xf numFmtId="0" fontId="12" fillId="0" borderId="4263" applyNumberFormat="0" applyFill="0" applyBorder="0" applyAlignment="0" applyProtection="0">
      <alignment horizontal="center"/>
    </xf>
    <xf numFmtId="248" fontId="46" fillId="0" borderId="4263"/>
    <xf numFmtId="192" fontId="9" fillId="3" borderId="4263">
      <alignment horizontal="right" vertical="center"/>
    </xf>
    <xf numFmtId="180" fontId="9" fillId="3" borderId="4263">
      <alignment horizontal="right" vertical="center"/>
    </xf>
    <xf numFmtId="186" fontId="146" fillId="3" borderId="4263" applyBorder="0">
      <alignment horizontal="left" vertical="center"/>
    </xf>
    <xf numFmtId="0" fontId="165" fillId="0" borderId="4263" applyFill="0" applyProtection="0">
      <alignment horizontal="center"/>
    </xf>
    <xf numFmtId="0" fontId="166" fillId="0" borderId="4263">
      <alignment horizontal="center"/>
    </xf>
    <xf numFmtId="264" fontId="12" fillId="14" borderId="4263" applyFont="0" applyFill="0" applyBorder="0" applyAlignment="0" applyProtection="0">
      <alignment horizontal="right"/>
    </xf>
    <xf numFmtId="0" fontId="210" fillId="0" borderId="4263" applyNumberFormat="0" applyFill="0" applyBorder="0" applyAlignment="0">
      <protection locked="0"/>
    </xf>
    <xf numFmtId="254" fontId="240" fillId="0" borderId="4263" applyBorder="0" applyProtection="0">
      <alignment horizontal="right" vertical="center"/>
    </xf>
    <xf numFmtId="0" fontId="241" fillId="94" borderId="4263" applyBorder="0" applyProtection="0">
      <alignment horizontal="centerContinuous" vertical="center"/>
    </xf>
    <xf numFmtId="246" fontId="249" fillId="0" borderId="4263" applyFill="0" applyProtection="0">
      <alignment horizontal="center"/>
    </xf>
    <xf numFmtId="246" fontId="250" fillId="0" borderId="4263" applyFill="0" applyProtection="0">
      <alignment horizontal="center"/>
    </xf>
    <xf numFmtId="0" fontId="78" fillId="14" borderId="4265" applyFont="0" applyFill="0" applyBorder="0" applyAlignment="0" applyProtection="0"/>
    <xf numFmtId="0" fontId="25" fillId="10" borderId="4273" applyNumberFormat="0" applyProtection="0">
      <alignment horizontal="left" vertical="top"/>
    </xf>
    <xf numFmtId="0" fontId="25" fillId="10" borderId="4272" applyNumberFormat="0" applyProtection="0">
      <alignment horizontal="left" vertical="top"/>
    </xf>
    <xf numFmtId="0" fontId="25" fillId="10" borderId="4271" applyNumberFormat="0" applyProtection="0">
      <alignment horizontal="left" vertical="top"/>
    </xf>
    <xf numFmtId="0" fontId="25" fillId="10" borderId="4270" applyNumberFormat="0" applyProtection="0">
      <alignment horizontal="left" vertical="top"/>
    </xf>
    <xf numFmtId="0" fontId="214" fillId="0" borderId="4269" applyNumberFormat="0" applyFont="0" applyFill="0" applyAlignment="0" applyProtection="0"/>
    <xf numFmtId="0" fontId="2" fillId="0" borderId="4268" applyNumberFormat="0" applyAlignment="0" applyProtection="0"/>
    <xf numFmtId="186" fontId="140" fillId="3" borderId="4267">
      <alignment horizontal="center" vertical="center"/>
    </xf>
    <xf numFmtId="186" fontId="146" fillId="3" borderId="4266">
      <alignment horizontal="left"/>
    </xf>
    <xf numFmtId="0" fontId="75" fillId="0" borderId="4264" applyNumberFormat="0" applyFont="0" applyFill="0" applyAlignment="0" applyProtection="0"/>
    <xf numFmtId="222" fontId="79" fillId="0" borderId="4274" applyBorder="0"/>
    <xf numFmtId="0" fontId="101" fillId="0" borderId="4275" applyBorder="0"/>
    <xf numFmtId="222" fontId="79" fillId="0" borderId="4274" applyBorder="0"/>
    <xf numFmtId="0" fontId="113" fillId="0" borderId="4275" applyNumberFormat="0" applyFill="0" applyAlignment="0" applyProtection="0"/>
    <xf numFmtId="0" fontId="12" fillId="0" borderId="4275" applyNumberFormat="0" applyFill="0" applyBorder="0" applyAlignment="0" applyProtection="0">
      <alignment horizontal="center"/>
    </xf>
    <xf numFmtId="248" fontId="46" fillId="0" borderId="4275"/>
    <xf numFmtId="192" fontId="9" fillId="3" borderId="4275">
      <alignment horizontal="right" vertical="center"/>
    </xf>
    <xf numFmtId="180" fontId="9" fillId="3" borderId="4275">
      <alignment horizontal="right" vertical="center"/>
    </xf>
    <xf numFmtId="186" fontId="146" fillId="3" borderId="4275" applyBorder="0">
      <alignment horizontal="left" vertical="center"/>
    </xf>
    <xf numFmtId="0" fontId="165" fillId="0" borderId="4275" applyFill="0" applyProtection="0">
      <alignment horizontal="center"/>
    </xf>
    <xf numFmtId="0" fontId="166" fillId="0" borderId="4275">
      <alignment horizontal="center"/>
    </xf>
    <xf numFmtId="264" fontId="12" fillId="14" borderId="4275" applyFont="0" applyFill="0" applyBorder="0" applyAlignment="0" applyProtection="0">
      <alignment horizontal="right"/>
    </xf>
    <xf numFmtId="0" fontId="210" fillId="0" borderId="4275" applyNumberFormat="0" applyFill="0" applyBorder="0" applyAlignment="0">
      <protection locked="0"/>
    </xf>
    <xf numFmtId="254" fontId="240" fillId="0" borderId="4275" applyBorder="0" applyProtection="0">
      <alignment horizontal="right" vertical="center"/>
    </xf>
    <xf numFmtId="0" fontId="241" fillId="94" borderId="4275" applyBorder="0" applyProtection="0">
      <alignment horizontal="centerContinuous" vertical="center"/>
    </xf>
    <xf numFmtId="246" fontId="249" fillId="0" borderId="4275" applyFill="0" applyProtection="0">
      <alignment horizontal="center"/>
    </xf>
    <xf numFmtId="246" fontId="250" fillId="0" borderId="4275" applyFill="0" applyProtection="0">
      <alignment horizontal="center"/>
    </xf>
    <xf numFmtId="186" fontId="146" fillId="3" borderId="4278">
      <alignment horizontal="left"/>
    </xf>
    <xf numFmtId="0" fontId="75" fillId="0" borderId="4276" applyNumberFormat="0" applyFont="0" applyFill="0" applyAlignment="0" applyProtection="0"/>
    <xf numFmtId="0" fontId="113" fillId="0" borderId="4359" applyNumberFormat="0" applyFill="0" applyAlignment="0" applyProtection="0"/>
    <xf numFmtId="264" fontId="12" fillId="14" borderId="4359" applyFont="0" applyFill="0" applyBorder="0" applyAlignment="0" applyProtection="0">
      <alignment horizontal="right"/>
    </xf>
    <xf numFmtId="246" fontId="249" fillId="0" borderId="4359" applyFill="0" applyProtection="0">
      <alignment horizontal="center"/>
    </xf>
    <xf numFmtId="0" fontId="25" fillId="10" borderId="4285" applyNumberFormat="0" applyProtection="0">
      <alignment horizontal="left" vertical="top"/>
    </xf>
    <xf numFmtId="0" fontId="25" fillId="10" borderId="4283" applyNumberFormat="0" applyProtection="0">
      <alignment horizontal="left" vertical="top"/>
    </xf>
    <xf numFmtId="0" fontId="25" fillId="10" borderId="4284" applyNumberFormat="0" applyProtection="0">
      <alignment horizontal="left" vertical="top"/>
    </xf>
    <xf numFmtId="0" fontId="25" fillId="10" borderId="4282" applyNumberFormat="0" applyProtection="0">
      <alignment horizontal="left" vertical="top"/>
    </xf>
    <xf numFmtId="0" fontId="25" fillId="10" borderId="4285" applyNumberFormat="0" applyProtection="0">
      <alignment horizontal="left" vertical="top"/>
    </xf>
    <xf numFmtId="0" fontId="25" fillId="10" borderId="4284" applyNumberFormat="0" applyProtection="0">
      <alignment horizontal="left" vertical="top"/>
    </xf>
    <xf numFmtId="0" fontId="25" fillId="10" borderId="4283" applyNumberFormat="0" applyProtection="0">
      <alignment horizontal="left" vertical="top"/>
    </xf>
    <xf numFmtId="0" fontId="25" fillId="10" borderId="4282" applyNumberFormat="0" applyProtection="0">
      <alignment horizontal="left" vertical="top"/>
    </xf>
    <xf numFmtId="0" fontId="214" fillId="0" borderId="4281" applyNumberFormat="0" applyFont="0" applyFill="0" applyAlignment="0" applyProtection="0"/>
    <xf numFmtId="0" fontId="2" fillId="0" borderId="4280" applyNumberFormat="0" applyAlignment="0" applyProtection="0"/>
    <xf numFmtId="186" fontId="140" fillId="3" borderId="4279">
      <alignment horizontal="center" vertical="center"/>
    </xf>
    <xf numFmtId="186" fontId="140" fillId="3" borderId="4291">
      <alignment horizontal="center" vertical="center"/>
    </xf>
    <xf numFmtId="0" fontId="25" fillId="10" borderId="4294" applyNumberFormat="0" applyProtection="0">
      <alignment horizontal="left" vertical="top"/>
    </xf>
    <xf numFmtId="0" fontId="12" fillId="0" borderId="4359" applyNumberFormat="0" applyFill="0" applyBorder="0" applyAlignment="0" applyProtection="0">
      <alignment horizontal="center"/>
    </xf>
    <xf numFmtId="0" fontId="25" fillId="10" borderId="4356" applyNumberFormat="0" applyProtection="0">
      <alignment horizontal="left" vertical="top"/>
    </xf>
    <xf numFmtId="222" fontId="79" fillId="0" borderId="4346" applyBorder="0"/>
    <xf numFmtId="0" fontId="78" fillId="14" borderId="4349" applyFont="0" applyFill="0" applyBorder="0" applyAlignment="0" applyProtection="0"/>
    <xf numFmtId="222" fontId="79" fillId="0" borderId="4358" applyBorder="0"/>
    <xf numFmtId="0" fontId="101" fillId="0" borderId="4359" applyBorder="0"/>
    <xf numFmtId="222" fontId="79" fillId="0" borderId="4358" applyBorder="0"/>
    <xf numFmtId="248" fontId="46" fillId="0" borderId="4359"/>
    <xf numFmtId="192" fontId="9" fillId="3" borderId="4359">
      <alignment horizontal="right" vertical="center"/>
    </xf>
    <xf numFmtId="180" fontId="9" fillId="3" borderId="4359">
      <alignment horizontal="right" vertical="center"/>
    </xf>
    <xf numFmtId="186" fontId="146" fillId="3" borderId="4359" applyBorder="0">
      <alignment horizontal="left" vertical="center"/>
    </xf>
    <xf numFmtId="0" fontId="165" fillId="0" borderId="4359" applyFill="0" applyProtection="0">
      <alignment horizontal="center"/>
    </xf>
    <xf numFmtId="0" fontId="210" fillId="0" borderId="4359" applyNumberFormat="0" applyFill="0" applyBorder="0" applyAlignment="0">
      <protection locked="0"/>
    </xf>
    <xf numFmtId="254" fontId="240" fillId="0" borderId="4359" applyBorder="0" applyProtection="0">
      <alignment horizontal="right" vertical="center"/>
    </xf>
    <xf numFmtId="246" fontId="250" fillId="0" borderId="4359" applyFill="0" applyProtection="0">
      <alignment horizontal="center"/>
    </xf>
    <xf numFmtId="222" fontId="79" fillId="0" borderId="4298" applyBorder="0"/>
    <xf numFmtId="0" fontId="25" fillId="10" borderId="4295" applyNumberFormat="0" applyProtection="0">
      <alignment horizontal="left" vertical="top"/>
    </xf>
    <xf numFmtId="0" fontId="25" fillId="10" borderId="4297" applyNumberFormat="0" applyProtection="0">
      <alignment horizontal="left" vertical="top"/>
    </xf>
    <xf numFmtId="0" fontId="25" fillId="10" borderId="4294" applyNumberFormat="0" applyProtection="0">
      <alignment horizontal="left" vertical="top"/>
    </xf>
    <xf numFmtId="0" fontId="25" fillId="10" borderId="4295" applyNumberFormat="0" applyProtection="0">
      <alignment horizontal="left" vertical="top"/>
    </xf>
    <xf numFmtId="0" fontId="25" fillId="10" borderId="4296" applyNumberFormat="0" applyProtection="0">
      <alignment horizontal="left" vertical="top"/>
    </xf>
    <xf numFmtId="0" fontId="75" fillId="0" borderId="4300" applyNumberFormat="0" applyFont="0" applyFill="0" applyAlignment="0" applyProtection="0"/>
    <xf numFmtId="0" fontId="101" fillId="0" borderId="4311" applyBorder="0"/>
    <xf numFmtId="222" fontId="79" fillId="0" borderId="4310" applyBorder="0"/>
    <xf numFmtId="0" fontId="113" fillId="0" borderId="4311" applyNumberFormat="0" applyFill="0" applyAlignment="0" applyProtection="0"/>
    <xf numFmtId="0" fontId="12" fillId="0" borderId="4311" applyNumberFormat="0" applyFill="0" applyBorder="0" applyAlignment="0" applyProtection="0">
      <alignment horizontal="center"/>
    </xf>
    <xf numFmtId="248" fontId="46" fillId="0" borderId="4311"/>
    <xf numFmtId="192" fontId="9" fillId="3" borderId="4311">
      <alignment horizontal="right" vertical="center"/>
    </xf>
    <xf numFmtId="180" fontId="9" fillId="3" borderId="4311">
      <alignment horizontal="right" vertical="center"/>
    </xf>
    <xf numFmtId="186" fontId="146" fillId="3" borderId="4311" applyBorder="0">
      <alignment horizontal="left" vertical="center"/>
    </xf>
    <xf numFmtId="0" fontId="166" fillId="0" borderId="4311">
      <alignment horizontal="center"/>
    </xf>
    <xf numFmtId="0" fontId="210" fillId="0" borderId="4311" applyNumberFormat="0" applyFill="0" applyBorder="0" applyAlignment="0">
      <protection locked="0"/>
    </xf>
    <xf numFmtId="264" fontId="12" fillId="14" borderId="4311" applyFont="0" applyFill="0" applyBorder="0" applyAlignment="0" applyProtection="0">
      <alignment horizontal="right"/>
    </xf>
    <xf numFmtId="246" fontId="249" fillId="0" borderId="4311" applyFill="0" applyProtection="0">
      <alignment horizontal="center"/>
    </xf>
    <xf numFmtId="246" fontId="250" fillId="0" borderId="4311" applyFill="0" applyProtection="0">
      <alignment horizontal="center"/>
    </xf>
    <xf numFmtId="246" fontId="250" fillId="0" borderId="4335" applyFill="0" applyProtection="0">
      <alignment horizontal="center"/>
    </xf>
    <xf numFmtId="246" fontId="249" fillId="0" borderId="4335" applyFill="0" applyProtection="0">
      <alignment horizontal="center"/>
    </xf>
    <xf numFmtId="254" fontId="240" fillId="0" borderId="4335" applyBorder="0" applyProtection="0">
      <alignment horizontal="right" vertical="center"/>
    </xf>
    <xf numFmtId="264" fontId="12" fillId="14" borderId="4335" applyFont="0" applyFill="0" applyBorder="0" applyAlignment="0" applyProtection="0">
      <alignment horizontal="right"/>
    </xf>
    <xf numFmtId="0" fontId="165" fillId="0" borderId="4335" applyFill="0" applyProtection="0">
      <alignment horizontal="center"/>
    </xf>
    <xf numFmtId="180" fontId="9" fillId="3" borderId="4335">
      <alignment horizontal="right" vertical="center"/>
    </xf>
    <xf numFmtId="0" fontId="12" fillId="0" borderId="4335" applyNumberFormat="0" applyFill="0" applyBorder="0" applyAlignment="0" applyProtection="0">
      <alignment horizontal="center"/>
    </xf>
    <xf numFmtId="0" fontId="101" fillId="0" borderId="4335" applyBorder="0"/>
    <xf numFmtId="222" fontId="79" fillId="0" borderId="4334" applyBorder="0"/>
    <xf numFmtId="0" fontId="75" fillId="0" borderId="4324" applyNumberFormat="0" applyFont="0" applyFill="0" applyAlignment="0" applyProtection="0"/>
    <xf numFmtId="0" fontId="2" fillId="0" borderId="4328" applyNumberFormat="0" applyAlignment="0" applyProtection="0"/>
    <xf numFmtId="0" fontId="25" fillId="10" borderId="4330" applyNumberFormat="0" applyProtection="0">
      <alignment horizontal="left" vertical="top"/>
    </xf>
    <xf numFmtId="0" fontId="25" fillId="10" borderId="4333" applyNumberFormat="0" applyProtection="0">
      <alignment horizontal="left" vertical="top"/>
    </xf>
    <xf numFmtId="222" fontId="79" fillId="0" borderId="4322" applyBorder="0"/>
    <xf numFmtId="0" fontId="25" fillId="10" borderId="4308" applyNumberFormat="0" applyProtection="0">
      <alignment horizontal="left" vertical="top"/>
    </xf>
    <xf numFmtId="0" fontId="25" fillId="10" borderId="4306" applyNumberFormat="0" applyProtection="0">
      <alignment horizontal="left" vertical="top"/>
    </xf>
    <xf numFmtId="0" fontId="214" fillId="0" borderId="4305" applyNumberFormat="0" applyFont="0" applyFill="0" applyAlignment="0" applyProtection="0"/>
    <xf numFmtId="186" fontId="146" fillId="3" borderId="4302">
      <alignment horizontal="left"/>
    </xf>
    <xf numFmtId="222" fontId="79" fillId="0" borderId="4310" applyBorder="0"/>
    <xf numFmtId="0" fontId="101" fillId="0" borderId="4191" applyBorder="0"/>
    <xf numFmtId="0" fontId="113" fillId="0" borderId="4191" applyNumberFormat="0" applyFill="0" applyAlignment="0" applyProtection="0"/>
    <xf numFmtId="0" fontId="12" fillId="0" borderId="4191" applyNumberFormat="0" applyFill="0" applyBorder="0" applyAlignment="0" applyProtection="0">
      <alignment horizontal="center"/>
    </xf>
    <xf numFmtId="248" fontId="46" fillId="0" borderId="4191"/>
    <xf numFmtId="192" fontId="9" fillId="3" borderId="4191">
      <alignment horizontal="right" vertical="center"/>
    </xf>
    <xf numFmtId="180" fontId="9" fillId="3" borderId="4191">
      <alignment horizontal="right" vertical="center"/>
    </xf>
    <xf numFmtId="186" fontId="146" fillId="3" borderId="4191" applyBorder="0">
      <alignment horizontal="left" vertical="center"/>
    </xf>
    <xf numFmtId="0" fontId="165" fillId="0" borderId="4191" applyFill="0" applyProtection="0">
      <alignment horizontal="center"/>
    </xf>
    <xf numFmtId="0" fontId="166" fillId="0" borderId="4191">
      <alignment horizontal="center"/>
    </xf>
    <xf numFmtId="264" fontId="12" fillId="14" borderId="4191" applyFont="0" applyFill="0" applyBorder="0" applyAlignment="0" applyProtection="0">
      <alignment horizontal="right"/>
    </xf>
    <xf numFmtId="0" fontId="210" fillId="0" borderId="4191" applyNumberFormat="0" applyFill="0" applyBorder="0" applyAlignment="0">
      <protection locked="0"/>
    </xf>
    <xf numFmtId="248" fontId="46" fillId="0" borderId="4335"/>
    <xf numFmtId="222" fontId="79" fillId="0" borderId="4334" applyBorder="0"/>
    <xf numFmtId="186" fontId="140" fillId="3" borderId="4327">
      <alignment horizontal="center" vertical="center"/>
    </xf>
    <xf numFmtId="0" fontId="25" fillId="10" borderId="4332" applyNumberFormat="0" applyProtection="0">
      <alignment horizontal="left" vertical="top"/>
    </xf>
    <xf numFmtId="0" fontId="210" fillId="0" borderId="4335" applyNumberFormat="0" applyFill="0" applyBorder="0" applyAlignment="0">
      <protection locked="0"/>
    </xf>
    <xf numFmtId="192" fontId="9" fillId="3" borderId="4335">
      <alignment horizontal="right" vertical="center"/>
    </xf>
    <xf numFmtId="0" fontId="113" fillId="0" borderId="4335" applyNumberFormat="0" applyFill="0" applyAlignment="0" applyProtection="0"/>
    <xf numFmtId="186" fontId="146" fillId="3" borderId="4326">
      <alignment horizontal="left"/>
    </xf>
    <xf numFmtId="0" fontId="25" fillId="10" borderId="4331" applyNumberFormat="0" applyProtection="0">
      <alignment horizontal="left" vertical="top"/>
    </xf>
    <xf numFmtId="254" fontId="240" fillId="0" borderId="4191" applyBorder="0" applyProtection="0">
      <alignment horizontal="right" vertical="center"/>
    </xf>
    <xf numFmtId="0" fontId="241" fillId="94" borderId="4191" applyBorder="0" applyProtection="0">
      <alignment horizontal="centerContinuous" vertical="center"/>
    </xf>
    <xf numFmtId="246" fontId="249" fillId="0" borderId="4191" applyFill="0" applyProtection="0">
      <alignment horizontal="center"/>
    </xf>
    <xf numFmtId="246" fontId="250" fillId="0" borderId="4191" applyFill="0" applyProtection="0">
      <alignment horizontal="center"/>
    </xf>
    <xf numFmtId="0" fontId="25" fillId="10" borderId="4355" applyNumberFormat="0" applyProtection="0">
      <alignment horizontal="left" vertical="top"/>
    </xf>
    <xf numFmtId="0" fontId="25" fillId="10" borderId="4357" applyNumberFormat="0" applyProtection="0">
      <alignment horizontal="left" vertical="top"/>
    </xf>
    <xf numFmtId="222" fontId="79" fillId="0" borderId="4286" applyBorder="0"/>
    <xf numFmtId="0" fontId="214" fillId="0" borderId="4353" applyNumberFormat="0" applyFont="0" applyFill="0" applyAlignment="0" applyProtection="0"/>
    <xf numFmtId="0" fontId="75" fillId="0" borderId="4288" applyNumberFormat="0" applyFont="0" applyFill="0" applyAlignment="0" applyProtection="0"/>
    <xf numFmtId="0" fontId="25" fillId="10" borderId="4296" applyNumberFormat="0" applyProtection="0">
      <alignment horizontal="left" vertical="top"/>
    </xf>
    <xf numFmtId="0" fontId="25" fillId="10" borderId="4297" applyNumberFormat="0" applyProtection="0">
      <alignment horizontal="left" vertical="top"/>
    </xf>
    <xf numFmtId="0" fontId="165" fillId="0" borderId="4311" applyFill="0" applyProtection="0">
      <alignment horizontal="center"/>
    </xf>
    <xf numFmtId="254" fontId="240" fillId="0" borderId="4311" applyBorder="0" applyProtection="0">
      <alignment horizontal="right" vertical="center"/>
    </xf>
    <xf numFmtId="0" fontId="241" fillId="94" borderId="4311" applyBorder="0" applyProtection="0">
      <alignment horizontal="centerContinuous" vertical="center"/>
    </xf>
    <xf numFmtId="0" fontId="241" fillId="94" borderId="4335" applyBorder="0" applyProtection="0">
      <alignment horizontal="centerContinuous" vertical="center"/>
    </xf>
    <xf numFmtId="0" fontId="166" fillId="0" borderId="4335">
      <alignment horizontal="center"/>
    </xf>
    <xf numFmtId="186" fontId="146" fillId="3" borderId="4335" applyBorder="0">
      <alignment horizontal="left" vertical="center"/>
    </xf>
    <xf numFmtId="0" fontId="214" fillId="0" borderId="4329" applyNumberFormat="0" applyFont="0" applyFill="0" applyAlignment="0" applyProtection="0"/>
    <xf numFmtId="0" fontId="78" fillId="14" borderId="4325" applyFont="0" applyFill="0" applyBorder="0" applyAlignment="0" applyProtection="0"/>
    <xf numFmtId="0" fontId="78" fillId="14" borderId="4253" applyFont="0" applyFill="0" applyBorder="0" applyAlignment="0" applyProtection="0"/>
    <xf numFmtId="0" fontId="25" fillId="10" borderId="4201" applyNumberFormat="0" applyProtection="0">
      <alignment horizontal="left" vertical="top"/>
    </xf>
    <xf numFmtId="0" fontId="25" fillId="10" borderId="4200" applyNumberFormat="0" applyProtection="0">
      <alignment horizontal="left" vertical="top"/>
    </xf>
    <xf numFmtId="0" fontId="25" fillId="10" borderId="4199" applyNumberFormat="0" applyProtection="0">
      <alignment horizontal="left" vertical="top"/>
    </xf>
    <xf numFmtId="0" fontId="25" fillId="10" borderId="4198" applyNumberFormat="0" applyProtection="0">
      <alignment horizontal="left" vertical="top"/>
    </xf>
    <xf numFmtId="186" fontId="140" fillId="3" borderId="4351">
      <alignment horizontal="center" vertical="center"/>
    </xf>
    <xf numFmtId="0" fontId="214" fillId="0" borderId="4197" applyNumberFormat="0" applyFont="0" applyFill="0" applyAlignment="0" applyProtection="0"/>
    <xf numFmtId="0" fontId="2" fillId="0" borderId="4196" applyNumberFormat="0" applyAlignment="0" applyProtection="0"/>
    <xf numFmtId="186" fontId="140" fillId="3" borderId="4195">
      <alignment horizontal="center" vertical="center"/>
    </xf>
    <xf numFmtId="186" fontId="146" fillId="3" borderId="4194">
      <alignment horizontal="left"/>
    </xf>
    <xf numFmtId="186" fontId="146" fillId="3" borderId="4350">
      <alignment horizontal="left"/>
    </xf>
    <xf numFmtId="0" fontId="75" fillId="0" borderId="4192" applyNumberFormat="0" applyFont="0" applyFill="0" applyAlignment="0" applyProtection="0"/>
    <xf numFmtId="0" fontId="75" fillId="0" borderId="4348" applyNumberFormat="0" applyFont="0" applyFill="0" applyAlignment="0" applyProtection="0"/>
    <xf numFmtId="222" fontId="79" fillId="0" borderId="4262" applyBorder="0"/>
    <xf numFmtId="222" fontId="79" fillId="0" borderId="4262" applyBorder="0"/>
    <xf numFmtId="0" fontId="25" fillId="10" borderId="4354" applyNumberFormat="0" applyProtection="0">
      <alignment horizontal="left" vertical="top"/>
    </xf>
    <xf numFmtId="0" fontId="2" fillId="0" borderId="4352" applyNumberFormat="0" applyAlignment="0" applyProtection="0"/>
    <xf numFmtId="246" fontId="250" fillId="0" borderId="4287" applyFill="0" applyProtection="0">
      <alignment horizontal="center"/>
    </xf>
    <xf numFmtId="246" fontId="249" fillId="0" borderId="4287" applyFill="0" applyProtection="0">
      <alignment horizontal="center"/>
    </xf>
    <xf numFmtId="0" fontId="241" fillId="94" borderId="4287" applyBorder="0" applyProtection="0">
      <alignment horizontal="centerContinuous" vertical="center"/>
    </xf>
    <xf numFmtId="254" fontId="240" fillId="0" borderId="4287" applyBorder="0" applyProtection="0">
      <alignment horizontal="right" vertical="center"/>
    </xf>
    <xf numFmtId="0" fontId="210" fillId="0" borderId="4287" applyNumberFormat="0" applyFill="0" applyBorder="0" applyAlignment="0">
      <protection locked="0"/>
    </xf>
    <xf numFmtId="264" fontId="12" fillId="14" borderId="4287" applyFont="0" applyFill="0" applyBorder="0" applyAlignment="0" applyProtection="0">
      <alignment horizontal="right"/>
    </xf>
    <xf numFmtId="0" fontId="166" fillId="0" borderId="4287">
      <alignment horizontal="center"/>
    </xf>
    <xf numFmtId="0" fontId="165" fillId="0" borderId="4287" applyFill="0" applyProtection="0">
      <alignment horizontal="center"/>
    </xf>
    <xf numFmtId="186" fontId="146" fillId="3" borderId="4287" applyBorder="0">
      <alignment horizontal="left" vertical="center"/>
    </xf>
    <xf numFmtId="180" fontId="9" fillId="3" borderId="4287">
      <alignment horizontal="right" vertical="center"/>
    </xf>
    <xf numFmtId="192" fontId="9" fillId="3" borderId="4287">
      <alignment horizontal="right" vertical="center"/>
    </xf>
    <xf numFmtId="248" fontId="46" fillId="0" borderId="4287"/>
    <xf numFmtId="0" fontId="12" fillId="0" borderId="4287" applyNumberFormat="0" applyFill="0" applyBorder="0" applyAlignment="0" applyProtection="0">
      <alignment horizontal="center"/>
    </xf>
    <xf numFmtId="0" fontId="113" fillId="0" borderId="4287" applyNumberFormat="0" applyFill="0" applyAlignment="0" applyProtection="0"/>
    <xf numFmtId="222" fontId="79" fillId="0" borderId="4286" applyBorder="0"/>
    <xf numFmtId="0" fontId="101" fillId="0" borderId="4287" applyBorder="0"/>
    <xf numFmtId="222" fontId="79" fillId="0" borderId="4286" applyBorder="0"/>
    <xf numFmtId="0" fontId="75" fillId="0" borderId="4276" applyNumberFormat="0" applyFont="0" applyFill="0" applyAlignment="0" applyProtection="0"/>
    <xf numFmtId="186" fontId="146" fillId="3" borderId="4278">
      <alignment horizontal="left"/>
    </xf>
    <xf numFmtId="186" fontId="140" fillId="3" borderId="4279">
      <alignment horizontal="center" vertical="center"/>
    </xf>
    <xf numFmtId="0" fontId="2" fillId="0" borderId="4280" applyNumberFormat="0" applyAlignment="0" applyProtection="0"/>
    <xf numFmtId="0" fontId="214" fillId="0" borderId="4281" applyNumberFormat="0" applyFont="0" applyFill="0" applyAlignment="0" applyProtection="0"/>
    <xf numFmtId="0" fontId="25" fillId="10" borderId="4282" applyNumberFormat="0" applyProtection="0">
      <alignment horizontal="left" vertical="top"/>
    </xf>
    <xf numFmtId="0" fontId="25" fillId="10" borderId="4283" applyNumberFormat="0" applyProtection="0">
      <alignment horizontal="left" vertical="top"/>
    </xf>
    <xf numFmtId="0" fontId="25" fillId="10" borderId="4284" applyNumberFormat="0" applyProtection="0">
      <alignment horizontal="left" vertical="top"/>
    </xf>
    <xf numFmtId="0" fontId="25" fillId="10" borderId="4285" applyNumberFormat="0" applyProtection="0">
      <alignment horizontal="left" vertical="top"/>
    </xf>
    <xf numFmtId="0" fontId="78" fillId="14" borderId="4277" applyFont="0" applyFill="0" applyBorder="0" applyAlignment="0" applyProtection="0"/>
    <xf numFmtId="222" fontId="79" fillId="0" borderId="4274" applyBorder="0"/>
    <xf numFmtId="0" fontId="78" fillId="14" borderId="4253" applyFont="0" applyFill="0" applyBorder="0" applyAlignment="0" applyProtection="0"/>
    <xf numFmtId="222" fontId="79" fillId="0" borderId="4262" applyBorder="0"/>
    <xf numFmtId="0" fontId="78" fillId="14" borderId="4265" applyFont="0" applyFill="0" applyBorder="0" applyAlignment="0" applyProtection="0"/>
    <xf numFmtId="0" fontId="25" fillId="10" borderId="4273" applyNumberFormat="0" applyProtection="0">
      <alignment horizontal="left" vertical="top"/>
    </xf>
    <xf numFmtId="0" fontId="25" fillId="10" borderId="4272" applyNumberFormat="0" applyProtection="0">
      <alignment horizontal="left" vertical="top"/>
    </xf>
    <xf numFmtId="0" fontId="25" fillId="10" borderId="4271" applyNumberFormat="0" applyProtection="0">
      <alignment horizontal="left" vertical="top"/>
    </xf>
    <xf numFmtId="0" fontId="25" fillId="10" borderId="4270" applyNumberFormat="0" applyProtection="0">
      <alignment horizontal="left" vertical="top"/>
    </xf>
    <xf numFmtId="0" fontId="214" fillId="0" borderId="4269" applyNumberFormat="0" applyFont="0" applyFill="0" applyAlignment="0" applyProtection="0"/>
    <xf numFmtId="0" fontId="2" fillId="0" borderId="4196" applyNumberFormat="0" applyAlignment="0" applyProtection="0"/>
    <xf numFmtId="186" fontId="140" fillId="3" borderId="4267">
      <alignment horizontal="center" vertical="center"/>
    </xf>
    <xf numFmtId="186" fontId="146" fillId="3" borderId="4266">
      <alignment horizontal="left"/>
    </xf>
    <xf numFmtId="0" fontId="75" fillId="0" borderId="4264" applyNumberFormat="0" applyFont="0" applyFill="0" applyAlignment="0" applyProtection="0"/>
    <xf numFmtId="222" fontId="79" fillId="0" borderId="4274" applyBorder="0"/>
    <xf numFmtId="0" fontId="101" fillId="0" borderId="4275" applyBorder="0"/>
    <xf numFmtId="222" fontId="79" fillId="0" borderId="4274" applyBorder="0"/>
    <xf numFmtId="0" fontId="113" fillId="0" borderId="4275" applyNumberFormat="0" applyFill="0" applyAlignment="0" applyProtection="0"/>
    <xf numFmtId="0" fontId="12" fillId="0" borderId="4275" applyNumberFormat="0" applyFill="0" applyBorder="0" applyAlignment="0" applyProtection="0">
      <alignment horizontal="center"/>
    </xf>
    <xf numFmtId="248" fontId="46" fillId="0" borderId="4275"/>
    <xf numFmtId="192" fontId="9" fillId="3" borderId="4275">
      <alignment horizontal="right" vertical="center"/>
    </xf>
    <xf numFmtId="180" fontId="9" fillId="3" borderId="4275">
      <alignment horizontal="right" vertical="center"/>
    </xf>
    <xf numFmtId="186" fontId="146" fillId="3" borderId="4275" applyBorder="0">
      <alignment horizontal="left" vertical="center"/>
    </xf>
    <xf numFmtId="0" fontId="165" fillId="0" borderId="4275" applyFill="0" applyProtection="0">
      <alignment horizontal="center"/>
    </xf>
    <xf numFmtId="0" fontId="166" fillId="0" borderId="4275">
      <alignment horizontal="center"/>
    </xf>
    <xf numFmtId="264" fontId="12" fillId="14" borderId="4275" applyFont="0" applyFill="0" applyBorder="0" applyAlignment="0" applyProtection="0">
      <alignment horizontal="right"/>
    </xf>
    <xf numFmtId="0" fontId="210" fillId="0" borderId="4275" applyNumberFormat="0" applyFill="0" applyBorder="0" applyAlignment="0">
      <protection locked="0"/>
    </xf>
    <xf numFmtId="254" fontId="240" fillId="0" borderId="4275" applyBorder="0" applyProtection="0">
      <alignment horizontal="right" vertical="center"/>
    </xf>
    <xf numFmtId="0" fontId="241" fillId="94" borderId="4275" applyBorder="0" applyProtection="0">
      <alignment horizontal="centerContinuous" vertical="center"/>
    </xf>
    <xf numFmtId="246" fontId="249" fillId="0" borderId="4275" applyFill="0" applyProtection="0">
      <alignment horizontal="center"/>
    </xf>
    <xf numFmtId="246" fontId="250" fillId="0" borderId="4275" applyFill="0" applyProtection="0">
      <alignment horizontal="center"/>
    </xf>
    <xf numFmtId="0" fontId="241" fillId="94" borderId="4359" applyBorder="0" applyProtection="0">
      <alignment horizontal="centerContinuous" vertical="center"/>
    </xf>
    <xf numFmtId="0" fontId="166" fillId="0" borderId="4359">
      <alignment horizontal="center"/>
    </xf>
    <xf numFmtId="0" fontId="2" fillId="0" borderId="4292" applyNumberFormat="0" applyAlignment="0" applyProtection="0"/>
    <xf numFmtId="0" fontId="214" fillId="0" borderId="4293" applyNumberFormat="0" applyFont="0" applyFill="0" applyAlignment="0" applyProtection="0"/>
    <xf numFmtId="246" fontId="250" fillId="0" borderId="4299" applyFill="0" applyProtection="0">
      <alignment horizontal="center"/>
    </xf>
    <xf numFmtId="246" fontId="249" fillId="0" borderId="4299" applyFill="0" applyProtection="0">
      <alignment horizontal="center"/>
    </xf>
    <xf numFmtId="0" fontId="241" fillId="94" borderId="4299" applyBorder="0" applyProtection="0">
      <alignment horizontal="centerContinuous" vertical="center"/>
    </xf>
    <xf numFmtId="254" fontId="240" fillId="0" borderId="4299" applyBorder="0" applyProtection="0">
      <alignment horizontal="right" vertical="center"/>
    </xf>
    <xf numFmtId="0" fontId="210" fillId="0" borderId="4299" applyNumberFormat="0" applyFill="0" applyBorder="0" applyAlignment="0">
      <protection locked="0"/>
    </xf>
    <xf numFmtId="264" fontId="12" fillId="14" borderId="4299" applyFont="0" applyFill="0" applyBorder="0" applyAlignment="0" applyProtection="0">
      <alignment horizontal="right"/>
    </xf>
    <xf numFmtId="0" fontId="166" fillId="0" borderId="4299">
      <alignment horizontal="center"/>
    </xf>
    <xf numFmtId="0" fontId="165" fillId="0" borderId="4299" applyFill="0" applyProtection="0">
      <alignment horizontal="center"/>
    </xf>
    <xf numFmtId="186" fontId="146" fillId="3" borderId="4299" applyBorder="0">
      <alignment horizontal="left" vertical="center"/>
    </xf>
    <xf numFmtId="180" fontId="9" fillId="3" borderId="4299">
      <alignment horizontal="right" vertical="center"/>
    </xf>
    <xf numFmtId="192" fontId="9" fillId="3" borderId="4299">
      <alignment horizontal="right" vertical="center"/>
    </xf>
    <xf numFmtId="248" fontId="46" fillId="0" borderId="4299"/>
    <xf numFmtId="0" fontId="12" fillId="0" borderId="4299" applyNumberFormat="0" applyFill="0" applyBorder="0" applyAlignment="0" applyProtection="0">
      <alignment horizontal="center"/>
    </xf>
    <xf numFmtId="0" fontId="113" fillId="0" borderId="4299" applyNumberFormat="0" applyFill="0" applyAlignment="0" applyProtection="0"/>
    <xf numFmtId="222" fontId="79" fillId="0" borderId="4298" applyBorder="0"/>
    <xf numFmtId="0" fontId="101" fillId="0" borderId="4299" applyBorder="0"/>
    <xf numFmtId="222" fontId="79" fillId="0" borderId="4298" applyBorder="0"/>
    <xf numFmtId="0" fontId="75" fillId="0" borderId="4288" applyNumberFormat="0" applyFont="0" applyFill="0" applyAlignment="0" applyProtection="0"/>
    <xf numFmtId="186" fontId="146" fillId="3" borderId="4290">
      <alignment horizontal="left"/>
    </xf>
    <xf numFmtId="186" fontId="140" fillId="3" borderId="4291">
      <alignment horizontal="center" vertical="center"/>
    </xf>
    <xf numFmtId="0" fontId="2" fillId="0" borderId="4292" applyNumberFormat="0" applyAlignment="0" applyProtection="0"/>
    <xf numFmtId="0" fontId="214" fillId="0" borderId="4293" applyNumberFormat="0" applyFont="0" applyFill="0" applyAlignment="0" applyProtection="0"/>
    <xf numFmtId="0" fontId="25" fillId="10" borderId="4294" applyNumberFormat="0" applyProtection="0">
      <alignment horizontal="left" vertical="top"/>
    </xf>
    <xf numFmtId="0" fontId="25" fillId="10" borderId="4295" applyNumberFormat="0" applyProtection="0">
      <alignment horizontal="left" vertical="top"/>
    </xf>
    <xf numFmtId="0" fontId="25" fillId="10" borderId="4296" applyNumberFormat="0" applyProtection="0">
      <alignment horizontal="left" vertical="top"/>
    </xf>
    <xf numFmtId="0" fontId="25" fillId="10" borderId="4297" applyNumberFormat="0" applyProtection="0">
      <alignment horizontal="left" vertical="top"/>
    </xf>
    <xf numFmtId="0" fontId="78" fillId="14" borderId="4289" applyFont="0" applyFill="0" applyBorder="0" applyAlignment="0" applyProtection="0"/>
    <xf numFmtId="222" fontId="79" fillId="0" borderId="4286" applyBorder="0"/>
    <xf numFmtId="0" fontId="78" fillId="14" borderId="4301" applyFont="0" applyFill="0" applyBorder="0" applyAlignment="0" applyProtection="0"/>
    <xf numFmtId="186" fontId="146" fillId="3" borderId="4290">
      <alignment horizontal="left"/>
    </xf>
    <xf numFmtId="0" fontId="78" fillId="14" borderId="4277" applyFont="0" applyFill="0" applyBorder="0" applyAlignment="0" applyProtection="0"/>
    <xf numFmtId="222" fontId="79" fillId="0" borderId="4286" applyBorder="0"/>
    <xf numFmtId="0" fontId="2" fillId="0" borderId="4304" applyNumberFormat="0" applyAlignment="0" applyProtection="0"/>
    <xf numFmtId="0" fontId="78" fillId="14" borderId="4277" applyFont="0" applyFill="0" applyBorder="0" applyAlignment="0" applyProtection="0"/>
    <xf numFmtId="0" fontId="25" fillId="10" borderId="4285" applyNumberFormat="0" applyProtection="0">
      <alignment horizontal="left" vertical="top"/>
    </xf>
    <xf numFmtId="0" fontId="25" fillId="10" borderId="4284" applyNumberFormat="0" applyProtection="0">
      <alignment horizontal="left" vertical="top"/>
    </xf>
    <xf numFmtId="0" fontId="25" fillId="10" borderId="4283" applyNumberFormat="0" applyProtection="0">
      <alignment horizontal="left" vertical="top"/>
    </xf>
    <xf numFmtId="0" fontId="25" fillId="10" borderId="4282" applyNumberFormat="0" applyProtection="0">
      <alignment horizontal="left" vertical="top"/>
    </xf>
    <xf numFmtId="0" fontId="25" fillId="10" borderId="4307" applyNumberFormat="0" applyProtection="0">
      <alignment horizontal="left" vertical="top"/>
    </xf>
    <xf numFmtId="0" fontId="214" fillId="0" borderId="4281" applyNumberFormat="0" applyFont="0" applyFill="0" applyAlignment="0" applyProtection="0"/>
    <xf numFmtId="0" fontId="2" fillId="0" borderId="4280" applyNumberFormat="0" applyAlignment="0" applyProtection="0"/>
    <xf numFmtId="186" fontId="140" fillId="3" borderId="4279">
      <alignment horizontal="center" vertical="center"/>
    </xf>
    <xf numFmtId="186" fontId="146" fillId="3" borderId="4278">
      <alignment horizontal="left"/>
    </xf>
    <xf numFmtId="0" fontId="25" fillId="10" borderId="4309" applyNumberFormat="0" applyProtection="0">
      <alignment horizontal="left" vertical="top"/>
    </xf>
    <xf numFmtId="0" fontId="75" fillId="0" borderId="4276" applyNumberFormat="0" applyFont="0" applyFill="0" applyAlignment="0" applyProtection="0"/>
    <xf numFmtId="222" fontId="79" fillId="0" borderId="4286" applyBorder="0"/>
    <xf numFmtId="0" fontId="101" fillId="0" borderId="4287" applyBorder="0"/>
    <xf numFmtId="222" fontId="79" fillId="0" borderId="4286" applyBorder="0"/>
    <xf numFmtId="0" fontId="113" fillId="0" borderId="4287" applyNumberFormat="0" applyFill="0" applyAlignment="0" applyProtection="0"/>
    <xf numFmtId="0" fontId="12" fillId="0" borderId="4287" applyNumberFormat="0" applyFill="0" applyBorder="0" applyAlignment="0" applyProtection="0">
      <alignment horizontal="center"/>
    </xf>
    <xf numFmtId="248" fontId="46" fillId="0" borderId="4287"/>
    <xf numFmtId="192" fontId="9" fillId="3" borderId="4287">
      <alignment horizontal="right" vertical="center"/>
    </xf>
    <xf numFmtId="180" fontId="9" fillId="3" borderId="4287">
      <alignment horizontal="right" vertical="center"/>
    </xf>
    <xf numFmtId="186" fontId="146" fillId="3" borderId="4287" applyBorder="0">
      <alignment horizontal="left" vertical="center"/>
    </xf>
    <xf numFmtId="0" fontId="165" fillId="0" borderId="4287" applyFill="0" applyProtection="0">
      <alignment horizontal="center"/>
    </xf>
    <xf numFmtId="0" fontId="166" fillId="0" borderId="4287">
      <alignment horizontal="center"/>
    </xf>
    <xf numFmtId="264" fontId="12" fillId="14" borderId="4287" applyFont="0" applyFill="0" applyBorder="0" applyAlignment="0" applyProtection="0">
      <alignment horizontal="right"/>
    </xf>
    <xf numFmtId="0" fontId="210" fillId="0" borderId="4287" applyNumberFormat="0" applyFill="0" applyBorder="0" applyAlignment="0">
      <protection locked="0"/>
    </xf>
    <xf numFmtId="254" fontId="240" fillId="0" borderId="4287" applyBorder="0" applyProtection="0">
      <alignment horizontal="right" vertical="center"/>
    </xf>
    <xf numFmtId="0" fontId="241" fillId="94" borderId="4287" applyBorder="0" applyProtection="0">
      <alignment horizontal="centerContinuous" vertical="center"/>
    </xf>
    <xf numFmtId="246" fontId="249" fillId="0" borderId="4287" applyFill="0" applyProtection="0">
      <alignment horizontal="center"/>
    </xf>
    <xf numFmtId="246" fontId="250" fillId="0" borderId="4287" applyFill="0" applyProtection="0">
      <alignment horizontal="center"/>
    </xf>
    <xf numFmtId="186" fontId="140" fillId="3" borderId="4303">
      <alignment horizontal="center" vertical="center"/>
    </xf>
    <xf numFmtId="0" fontId="78" fillId="14" borderId="4289" applyFont="0" applyFill="0" applyBorder="0" applyAlignment="0" applyProtection="0"/>
    <xf numFmtId="222" fontId="79" fillId="0" borderId="4310" applyBorder="0"/>
    <xf numFmtId="0" fontId="78" fillId="14" borderId="4313" applyFont="0" applyFill="0" applyBorder="0" applyAlignment="0" applyProtection="0"/>
    <xf numFmtId="0" fontId="25" fillId="10" borderId="4321" applyNumberFormat="0" applyProtection="0">
      <alignment horizontal="left" vertical="top"/>
    </xf>
    <xf numFmtId="0" fontId="25" fillId="10" borderId="4320" applyNumberFormat="0" applyProtection="0">
      <alignment horizontal="left" vertical="top"/>
    </xf>
    <xf numFmtId="0" fontId="25" fillId="10" borderId="4319" applyNumberFormat="0" applyProtection="0">
      <alignment horizontal="left" vertical="top"/>
    </xf>
    <xf numFmtId="0" fontId="25" fillId="10" borderId="4318" applyNumberFormat="0" applyProtection="0">
      <alignment horizontal="left" vertical="top"/>
    </xf>
    <xf numFmtId="0" fontId="214" fillId="0" borderId="4317" applyNumberFormat="0" applyFont="0" applyFill="0" applyAlignment="0" applyProtection="0"/>
    <xf numFmtId="0" fontId="2" fillId="0" borderId="4316" applyNumberFormat="0" applyAlignment="0" applyProtection="0"/>
    <xf numFmtId="186" fontId="140" fillId="3" borderId="4315">
      <alignment horizontal="center" vertical="center"/>
    </xf>
    <xf numFmtId="186" fontId="146" fillId="3" borderId="4314">
      <alignment horizontal="left"/>
    </xf>
    <xf numFmtId="0" fontId="75" fillId="0" borderId="4312" applyNumberFormat="0" applyFont="0" applyFill="0" applyAlignment="0" applyProtection="0"/>
    <xf numFmtId="222" fontId="79" fillId="0" borderId="4322" applyBorder="0"/>
    <xf numFmtId="0" fontId="101" fillId="0" borderId="4323" applyBorder="0"/>
    <xf numFmtId="222" fontId="79" fillId="0" borderId="4322" applyBorder="0"/>
    <xf numFmtId="0" fontId="113" fillId="0" borderId="4323" applyNumberFormat="0" applyFill="0" applyAlignment="0" applyProtection="0"/>
    <xf numFmtId="0" fontId="12" fillId="0" borderId="4323" applyNumberFormat="0" applyFill="0" applyBorder="0" applyAlignment="0" applyProtection="0">
      <alignment horizontal="center"/>
    </xf>
    <xf numFmtId="248" fontId="46" fillId="0" borderId="4323"/>
    <xf numFmtId="192" fontId="9" fillId="3" borderId="4323">
      <alignment horizontal="right" vertical="center"/>
    </xf>
    <xf numFmtId="180" fontId="9" fillId="3" borderId="4323">
      <alignment horizontal="right" vertical="center"/>
    </xf>
    <xf numFmtId="186" fontId="146" fillId="3" borderId="4323" applyBorder="0">
      <alignment horizontal="left" vertical="center"/>
    </xf>
    <xf numFmtId="0" fontId="165" fillId="0" borderId="4323" applyFill="0" applyProtection="0">
      <alignment horizontal="center"/>
    </xf>
    <xf numFmtId="0" fontId="166" fillId="0" borderId="4323">
      <alignment horizontal="center"/>
    </xf>
    <xf numFmtId="264" fontId="12" fillId="14" borderId="4323" applyFont="0" applyFill="0" applyBorder="0" applyAlignment="0" applyProtection="0">
      <alignment horizontal="right"/>
    </xf>
    <xf numFmtId="0" fontId="210" fillId="0" borderId="4323" applyNumberFormat="0" applyFill="0" applyBorder="0" applyAlignment="0">
      <protection locked="0"/>
    </xf>
    <xf numFmtId="254" fontId="240" fillId="0" borderId="4323" applyBorder="0" applyProtection="0">
      <alignment horizontal="right" vertical="center"/>
    </xf>
    <xf numFmtId="0" fontId="241" fillId="94" borderId="4323" applyBorder="0" applyProtection="0">
      <alignment horizontal="centerContinuous" vertical="center"/>
    </xf>
    <xf numFmtId="246" fontId="249" fillId="0" borderId="4323" applyFill="0" applyProtection="0">
      <alignment horizontal="center"/>
    </xf>
    <xf numFmtId="246" fontId="250" fillId="0" borderId="4323" applyFill="0" applyProtection="0">
      <alignment horizontal="center"/>
    </xf>
    <xf numFmtId="222" fontId="79" fillId="0" borderId="4334" applyBorder="0"/>
    <xf numFmtId="0" fontId="78" fillId="14" borderId="4337" applyFont="0" applyFill="0" applyBorder="0" applyAlignment="0" applyProtection="0"/>
    <xf numFmtId="0" fontId="25" fillId="10" borderId="4345" applyNumberFormat="0" applyProtection="0">
      <alignment horizontal="left" vertical="top"/>
    </xf>
    <xf numFmtId="0" fontId="25" fillId="10" borderId="4344" applyNumberFormat="0" applyProtection="0">
      <alignment horizontal="left" vertical="top"/>
    </xf>
    <xf numFmtId="0" fontId="25" fillId="10" borderId="4343" applyNumberFormat="0" applyProtection="0">
      <alignment horizontal="left" vertical="top"/>
    </xf>
    <xf numFmtId="0" fontId="25" fillId="10" borderId="4342" applyNumberFormat="0" applyProtection="0">
      <alignment horizontal="left" vertical="top"/>
    </xf>
    <xf numFmtId="0" fontId="214" fillId="0" borderId="4341" applyNumberFormat="0" applyFont="0" applyFill="0" applyAlignment="0" applyProtection="0"/>
    <xf numFmtId="0" fontId="2" fillId="0" borderId="4340" applyNumberFormat="0" applyAlignment="0" applyProtection="0"/>
    <xf numFmtId="186" fontId="140" fillId="3" borderId="4339">
      <alignment horizontal="center" vertical="center"/>
    </xf>
    <xf numFmtId="186" fontId="146" fillId="3" borderId="4338">
      <alignment horizontal="left"/>
    </xf>
    <xf numFmtId="0" fontId="75" fillId="0" borderId="4336" applyNumberFormat="0" applyFont="0" applyFill="0" applyAlignment="0" applyProtection="0"/>
    <xf numFmtId="222" fontId="79" fillId="0" borderId="4346" applyBorder="0"/>
    <xf numFmtId="0" fontId="101" fillId="0" borderId="4347" applyBorder="0"/>
    <xf numFmtId="222" fontId="79" fillId="0" borderId="4346" applyBorder="0"/>
    <xf numFmtId="0" fontId="113" fillId="0" borderId="4347" applyNumberFormat="0" applyFill="0" applyAlignment="0" applyProtection="0"/>
    <xf numFmtId="0" fontId="12" fillId="0" borderId="4347" applyNumberFormat="0" applyFill="0" applyBorder="0" applyAlignment="0" applyProtection="0">
      <alignment horizontal="center"/>
    </xf>
    <xf numFmtId="248" fontId="46" fillId="0" borderId="4347"/>
    <xf numFmtId="192" fontId="9" fillId="3" borderId="4347">
      <alignment horizontal="right" vertical="center"/>
    </xf>
    <xf numFmtId="180" fontId="9" fillId="3" borderId="4347">
      <alignment horizontal="right" vertical="center"/>
    </xf>
    <xf numFmtId="186" fontId="146" fillId="3" borderId="4347" applyBorder="0">
      <alignment horizontal="left" vertical="center"/>
    </xf>
    <xf numFmtId="0" fontId="165" fillId="0" borderId="4347" applyFill="0" applyProtection="0">
      <alignment horizontal="center"/>
    </xf>
    <xf numFmtId="0" fontId="166" fillId="0" borderId="4347">
      <alignment horizontal="center"/>
    </xf>
    <xf numFmtId="264" fontId="12" fillId="14" borderId="4347" applyFont="0" applyFill="0" applyBorder="0" applyAlignment="0" applyProtection="0">
      <alignment horizontal="right"/>
    </xf>
    <xf numFmtId="0" fontId="210" fillId="0" borderId="4347" applyNumberFormat="0" applyFill="0" applyBorder="0" applyAlignment="0">
      <protection locked="0"/>
    </xf>
    <xf numFmtId="254" fontId="240" fillId="0" borderId="4347" applyBorder="0" applyProtection="0">
      <alignment horizontal="right" vertical="center"/>
    </xf>
    <xf numFmtId="0" fontId="241" fillId="94" borderId="4347" applyBorder="0" applyProtection="0">
      <alignment horizontal="centerContinuous" vertical="center"/>
    </xf>
    <xf numFmtId="246" fontId="249" fillId="0" borderId="4347" applyFill="0" applyProtection="0">
      <alignment horizontal="center"/>
    </xf>
    <xf numFmtId="246" fontId="250" fillId="0" borderId="4347" applyFill="0" applyProtection="0">
      <alignment horizontal="center"/>
    </xf>
    <xf numFmtId="0" fontId="75" fillId="0" borderId="4360" applyNumberFormat="0" applyFont="0" applyFill="0" applyAlignment="0" applyProtection="0"/>
    <xf numFmtId="0" fontId="78" fillId="14" borderId="4361" applyFont="0" applyFill="0" applyBorder="0" applyAlignment="0" applyProtection="0"/>
    <xf numFmtId="186" fontId="146" fillId="3" borderId="4362">
      <alignment horizontal="left"/>
    </xf>
    <xf numFmtId="186" fontId="140" fillId="3" borderId="4363">
      <alignment horizontal="center" vertical="center"/>
    </xf>
    <xf numFmtId="0" fontId="2" fillId="0" borderId="4364" applyNumberFormat="0" applyAlignment="0" applyProtection="0"/>
    <xf numFmtId="0" fontId="214" fillId="0" borderId="4365" applyNumberFormat="0" applyFont="0" applyFill="0" applyAlignment="0" applyProtection="0"/>
    <xf numFmtId="0" fontId="25" fillId="10" borderId="4366" applyNumberFormat="0" applyProtection="0">
      <alignment horizontal="left" vertical="top"/>
    </xf>
    <xf numFmtId="0" fontId="25" fillId="10" borderId="4367" applyNumberFormat="0" applyProtection="0">
      <alignment horizontal="left" vertical="top"/>
    </xf>
    <xf numFmtId="0" fontId="25" fillId="10" borderId="4368" applyNumberFormat="0" applyProtection="0">
      <alignment horizontal="left" vertical="top"/>
    </xf>
    <xf numFmtId="0" fontId="25" fillId="10" borderId="4369" applyNumberFormat="0" applyProtection="0">
      <alignment horizontal="left" vertical="top"/>
    </xf>
    <xf numFmtId="246" fontId="250" fillId="0" borderId="4359" applyFill="0" applyProtection="0">
      <alignment horizontal="center"/>
    </xf>
    <xf numFmtId="246" fontId="249" fillId="0" borderId="4359" applyFill="0" applyProtection="0">
      <alignment horizontal="center"/>
    </xf>
    <xf numFmtId="0" fontId="241" fillId="94" borderId="4359" applyBorder="0" applyProtection="0">
      <alignment horizontal="centerContinuous" vertical="center"/>
    </xf>
    <xf numFmtId="254" fontId="240" fillId="0" borderId="4359" applyBorder="0" applyProtection="0">
      <alignment horizontal="right" vertical="center"/>
    </xf>
    <xf numFmtId="0" fontId="210" fillId="0" borderId="4359" applyNumberFormat="0" applyFill="0" applyBorder="0" applyAlignment="0">
      <protection locked="0"/>
    </xf>
    <xf numFmtId="264" fontId="12" fillId="14" borderId="4359" applyFont="0" applyFill="0" applyBorder="0" applyAlignment="0" applyProtection="0">
      <alignment horizontal="right"/>
    </xf>
    <xf numFmtId="0" fontId="166" fillId="0" borderId="4359">
      <alignment horizontal="center"/>
    </xf>
    <xf numFmtId="0" fontId="165" fillId="0" borderId="4359" applyFill="0" applyProtection="0">
      <alignment horizontal="center"/>
    </xf>
    <xf numFmtId="186" fontId="146" fillId="3" borderId="4359" applyBorder="0">
      <alignment horizontal="left" vertical="center"/>
    </xf>
    <xf numFmtId="180" fontId="9" fillId="3" borderId="4359">
      <alignment horizontal="right" vertical="center"/>
    </xf>
    <xf numFmtId="192" fontId="9" fillId="3" borderId="4359">
      <alignment horizontal="right" vertical="center"/>
    </xf>
    <xf numFmtId="0" fontId="12" fillId="0" borderId="4359" applyNumberFormat="0" applyFill="0" applyBorder="0" applyAlignment="0" applyProtection="0">
      <alignment horizontal="center"/>
    </xf>
    <xf numFmtId="0" fontId="113" fillId="0" borderId="4359" applyNumberFormat="0" applyFill="0" applyAlignment="0" applyProtection="0"/>
    <xf numFmtId="222" fontId="79" fillId="0" borderId="4358" applyBorder="0"/>
    <xf numFmtId="0" fontId="101" fillId="0" borderId="4359" applyBorder="0"/>
    <xf numFmtId="248" fontId="46" fillId="0" borderId="4359"/>
    <xf numFmtId="0" fontId="101" fillId="0" borderId="4359" applyBorder="0"/>
    <xf numFmtId="222" fontId="79" fillId="0" borderId="4358" applyBorder="0"/>
    <xf numFmtId="0" fontId="113" fillId="0" borderId="4359" applyNumberFormat="0" applyFill="0" applyAlignment="0" applyProtection="0"/>
    <xf numFmtId="0" fontId="75" fillId="0" borderId="4360" applyNumberFormat="0" applyFont="0" applyFill="0" applyAlignment="0" applyProtection="0"/>
    <xf numFmtId="0" fontId="12" fillId="0" borderId="4359" applyNumberFormat="0" applyFill="0" applyBorder="0" applyAlignment="0" applyProtection="0">
      <alignment horizontal="center"/>
    </xf>
    <xf numFmtId="248" fontId="46" fillId="0" borderId="4359"/>
    <xf numFmtId="192" fontId="9" fillId="3" borderId="4359">
      <alignment horizontal="right" vertical="center"/>
    </xf>
    <xf numFmtId="180" fontId="9" fillId="3" borderId="4359">
      <alignment horizontal="right" vertical="center"/>
    </xf>
    <xf numFmtId="186" fontId="146" fillId="3" borderId="4359" applyBorder="0">
      <alignment horizontal="left" vertical="center"/>
    </xf>
    <xf numFmtId="186" fontId="146" fillId="3" borderId="4362">
      <alignment horizontal="left"/>
    </xf>
    <xf numFmtId="186" fontId="140" fillId="3" borderId="4363">
      <alignment horizontal="center" vertical="center"/>
    </xf>
    <xf numFmtId="0" fontId="165" fillId="0" borderId="4359" applyFill="0" applyProtection="0">
      <alignment horizontal="center"/>
    </xf>
    <xf numFmtId="0" fontId="166" fillId="0" borderId="4359">
      <alignment horizontal="center"/>
    </xf>
    <xf numFmtId="264" fontId="12" fillId="14" borderId="4359" applyFont="0" applyFill="0" applyBorder="0" applyAlignment="0" applyProtection="0">
      <alignment horizontal="right"/>
    </xf>
    <xf numFmtId="0" fontId="210" fillId="0" borderId="4359" applyNumberFormat="0" applyFill="0" applyBorder="0" applyAlignment="0">
      <protection locked="0"/>
    </xf>
    <xf numFmtId="0" fontId="2" fillId="0" borderId="4364" applyNumberFormat="0" applyAlignment="0" applyProtection="0"/>
    <xf numFmtId="0" fontId="214" fillId="0" borderId="4365" applyNumberFormat="0" applyFont="0" applyFill="0" applyAlignment="0" applyProtection="0"/>
    <xf numFmtId="0" fontId="25" fillId="10" borderId="4366" applyNumberFormat="0" applyProtection="0">
      <alignment horizontal="left" vertical="top"/>
    </xf>
    <xf numFmtId="0" fontId="25" fillId="10" borderId="4367" applyNumberFormat="0" applyProtection="0">
      <alignment horizontal="left" vertical="top"/>
    </xf>
    <xf numFmtId="0" fontId="25" fillId="10" borderId="4368" applyNumberFormat="0" applyProtection="0">
      <alignment horizontal="left" vertical="top"/>
    </xf>
    <xf numFmtId="0" fontId="25" fillId="10" borderId="4369" applyNumberFormat="0" applyProtection="0">
      <alignment horizontal="left" vertical="top"/>
    </xf>
    <xf numFmtId="0" fontId="25" fillId="10" borderId="4366" applyNumberFormat="0" applyProtection="0">
      <alignment horizontal="left" vertical="top"/>
    </xf>
    <xf numFmtId="0" fontId="25" fillId="10" borderId="4367" applyNumberFormat="0" applyProtection="0">
      <alignment horizontal="left" vertical="top"/>
    </xf>
    <xf numFmtId="0" fontId="25" fillId="10" borderId="4368" applyNumberFormat="0" applyProtection="0">
      <alignment horizontal="left" vertical="top"/>
    </xf>
    <xf numFmtId="0" fontId="25" fillId="10" borderId="4369" applyNumberFormat="0" applyProtection="0">
      <alignment horizontal="left" vertical="top"/>
    </xf>
    <xf numFmtId="254" fontId="240" fillId="0" borderId="4359" applyBorder="0" applyProtection="0">
      <alignment horizontal="right" vertical="center"/>
    </xf>
    <xf numFmtId="0" fontId="241" fillId="94" borderId="4359" applyBorder="0" applyProtection="0">
      <alignment horizontal="centerContinuous" vertical="center"/>
    </xf>
    <xf numFmtId="246" fontId="249" fillId="0" borderId="4359" applyFill="0" applyProtection="0">
      <alignment horizontal="center"/>
    </xf>
    <xf numFmtId="246" fontId="250" fillId="0" borderId="4359" applyFill="0" applyProtection="0">
      <alignment horizontal="center"/>
    </xf>
    <xf numFmtId="190" fontId="101" fillId="0" borderId="4359" applyBorder="0"/>
    <xf numFmtId="190" fontId="113" fillId="0" borderId="4359" applyNumberFormat="0" applyFill="0" applyAlignment="0" applyProtection="0"/>
    <xf numFmtId="190" fontId="75" fillId="0" borderId="4336" applyNumberFormat="0" applyFont="0" applyFill="0" applyAlignment="0" applyProtection="0"/>
    <xf numFmtId="190" fontId="12" fillId="0" borderId="4359" applyNumberFormat="0" applyFill="0" applyBorder="0" applyAlignment="0" applyProtection="0">
      <alignment horizontal="center"/>
    </xf>
    <xf numFmtId="190" fontId="78" fillId="14" borderId="4349" applyFont="0" applyFill="0" applyBorder="0" applyAlignment="0" applyProtection="0"/>
    <xf numFmtId="190" fontId="165" fillId="0" borderId="4359" applyFill="0" applyProtection="0">
      <alignment horizontal="center"/>
    </xf>
    <xf numFmtId="190" fontId="166" fillId="0" borderId="4359">
      <alignment horizontal="center"/>
    </xf>
    <xf numFmtId="190" fontId="210" fillId="0" borderId="4359" applyNumberFormat="0" applyFill="0" applyBorder="0" applyAlignment="0">
      <protection locked="0"/>
    </xf>
    <xf numFmtId="190" fontId="2" fillId="0" borderId="4340" applyNumberFormat="0" applyAlignment="0" applyProtection="0"/>
    <xf numFmtId="190" fontId="214" fillId="0" borderId="4341" applyNumberFormat="0" applyFont="0" applyFill="0" applyAlignment="0" applyProtection="0"/>
    <xf numFmtId="190" fontId="25" fillId="10" borderId="4342" applyNumberFormat="0" applyProtection="0">
      <alignment horizontal="left" vertical="top"/>
    </xf>
    <xf numFmtId="190" fontId="25" fillId="10" borderId="4343" applyNumberFormat="0" applyProtection="0">
      <alignment horizontal="left" vertical="top"/>
    </xf>
    <xf numFmtId="190" fontId="25" fillId="10" borderId="4344" applyNumberFormat="0" applyProtection="0">
      <alignment horizontal="left" vertical="top"/>
    </xf>
    <xf numFmtId="190" fontId="25" fillId="10" borderId="4345" applyNumberFormat="0" applyProtection="0">
      <alignment horizontal="left" vertical="top"/>
    </xf>
    <xf numFmtId="190" fontId="241" fillId="94" borderId="4359" applyBorder="0" applyProtection="0">
      <alignment horizontal="centerContinuous" vertical="center"/>
    </xf>
    <xf numFmtId="222" fontId="79" fillId="0" borderId="4358" applyBorder="0"/>
    <xf numFmtId="0" fontId="101" fillId="0" borderId="4359" applyBorder="0"/>
    <xf numFmtId="222" fontId="79" fillId="0" borderId="4358" applyBorder="0"/>
    <xf numFmtId="0" fontId="113" fillId="0" borderId="4359" applyNumberFormat="0" applyFill="0" applyAlignment="0" applyProtection="0"/>
    <xf numFmtId="0" fontId="75" fillId="0" borderId="4336" applyNumberFormat="0" applyFont="0" applyFill="0" applyAlignment="0" applyProtection="0"/>
    <xf numFmtId="0" fontId="12" fillId="0" borderId="4359" applyNumberFormat="0" applyFill="0" applyBorder="0" applyAlignment="0" applyProtection="0">
      <alignment horizontal="center"/>
    </xf>
    <xf numFmtId="248" fontId="46" fillId="0" borderId="4359"/>
    <xf numFmtId="192" fontId="9" fillId="3" borderId="4359">
      <alignment horizontal="right" vertical="center"/>
    </xf>
    <xf numFmtId="180" fontId="9" fillId="3" borderId="4359">
      <alignment horizontal="right" vertical="center"/>
    </xf>
    <xf numFmtId="186" fontId="146" fillId="3" borderId="4359" applyBorder="0">
      <alignment horizontal="left" vertical="center"/>
    </xf>
    <xf numFmtId="186" fontId="146" fillId="3" borderId="4338">
      <alignment horizontal="left"/>
    </xf>
    <xf numFmtId="186" fontId="140" fillId="3" borderId="4339">
      <alignment horizontal="center" vertical="center"/>
    </xf>
    <xf numFmtId="0" fontId="165" fillId="0" borderId="4359" applyFill="0" applyProtection="0">
      <alignment horizontal="center"/>
    </xf>
    <xf numFmtId="0" fontId="166" fillId="0" borderId="4359">
      <alignment horizontal="center"/>
    </xf>
    <xf numFmtId="264" fontId="12" fillId="14" borderId="4359" applyFont="0" applyFill="0" applyBorder="0" applyAlignment="0" applyProtection="0">
      <alignment horizontal="right"/>
    </xf>
    <xf numFmtId="0" fontId="210" fillId="0" borderId="4359" applyNumberFormat="0" applyFill="0" applyBorder="0" applyAlignment="0">
      <protection locked="0"/>
    </xf>
    <xf numFmtId="0" fontId="2" fillId="0" borderId="4340" applyNumberFormat="0" applyAlignment="0" applyProtection="0"/>
    <xf numFmtId="0" fontId="214" fillId="0" borderId="4341" applyNumberFormat="0" applyFont="0" applyFill="0" applyAlignment="0" applyProtection="0"/>
    <xf numFmtId="0" fontId="25" fillId="10" borderId="4342" applyNumberFormat="0" applyProtection="0">
      <alignment horizontal="left" vertical="top"/>
    </xf>
    <xf numFmtId="0" fontId="25" fillId="10" borderId="4343" applyNumberFormat="0" applyProtection="0">
      <alignment horizontal="left" vertical="top"/>
    </xf>
    <xf numFmtId="0" fontId="25" fillId="10" borderId="4344" applyNumberFormat="0" applyProtection="0">
      <alignment horizontal="left" vertical="top"/>
    </xf>
    <xf numFmtId="0" fontId="25" fillId="10" borderId="4345" applyNumberFormat="0" applyProtection="0">
      <alignment horizontal="left" vertical="top"/>
    </xf>
    <xf numFmtId="0" fontId="25" fillId="10" borderId="4342" applyNumberFormat="0" applyProtection="0">
      <alignment horizontal="left" vertical="top"/>
    </xf>
    <xf numFmtId="0" fontId="25" fillId="10" borderId="4343" applyNumberFormat="0" applyProtection="0">
      <alignment horizontal="left" vertical="top"/>
    </xf>
    <xf numFmtId="0" fontId="25" fillId="10" borderId="4344" applyNumberFormat="0" applyProtection="0">
      <alignment horizontal="left" vertical="top"/>
    </xf>
    <xf numFmtId="0" fontId="25" fillId="10" borderId="4345" applyNumberFormat="0" applyProtection="0">
      <alignment horizontal="left" vertical="top"/>
    </xf>
    <xf numFmtId="254" fontId="240" fillId="0" borderId="4359" applyBorder="0" applyProtection="0">
      <alignment horizontal="right" vertical="center"/>
    </xf>
    <xf numFmtId="0" fontId="241" fillId="94" borderId="4359" applyBorder="0" applyProtection="0">
      <alignment horizontal="centerContinuous" vertical="center"/>
    </xf>
    <xf numFmtId="246" fontId="249" fillId="0" borderId="4359" applyFill="0" applyProtection="0">
      <alignment horizontal="center"/>
    </xf>
    <xf numFmtId="246" fontId="250" fillId="0" borderId="4359" applyFill="0" applyProtection="0">
      <alignment horizontal="center"/>
    </xf>
    <xf numFmtId="312" fontId="101" fillId="0" borderId="4359" applyBorder="0"/>
    <xf numFmtId="312" fontId="113" fillId="0" borderId="4359" applyNumberFormat="0" applyFill="0" applyAlignment="0" applyProtection="0"/>
    <xf numFmtId="312" fontId="75" fillId="0" borderId="4336" applyNumberFormat="0" applyFont="0" applyFill="0" applyAlignment="0" applyProtection="0"/>
    <xf numFmtId="312" fontId="12" fillId="0" borderId="4359" applyNumberFormat="0" applyFill="0" applyBorder="0" applyAlignment="0" applyProtection="0">
      <alignment horizontal="center"/>
    </xf>
    <xf numFmtId="312" fontId="165" fillId="0" borderId="4359" applyFill="0" applyProtection="0">
      <alignment horizontal="center"/>
    </xf>
    <xf numFmtId="312" fontId="242" fillId="0" borderId="4359">
      <alignment horizontal="center"/>
    </xf>
    <xf numFmtId="312" fontId="210" fillId="0" borderId="4359" applyNumberFormat="0" applyFill="0" applyBorder="0" applyAlignment="0">
      <protection locked="0"/>
    </xf>
    <xf numFmtId="312" fontId="2" fillId="0" borderId="4340" applyNumberFormat="0" applyAlignment="0" applyProtection="0"/>
    <xf numFmtId="312" fontId="214" fillId="0" borderId="4341" applyNumberFormat="0" applyFont="0" applyFill="0" applyAlignment="0" applyProtection="0"/>
    <xf numFmtId="312" fontId="25" fillId="10" borderId="4342" applyNumberFormat="0" applyProtection="0">
      <alignment horizontal="left" vertical="top"/>
    </xf>
    <xf numFmtId="312" fontId="25" fillId="10" borderId="4343" applyNumberFormat="0" applyProtection="0">
      <alignment horizontal="left" vertical="top"/>
    </xf>
    <xf numFmtId="312" fontId="25" fillId="10" borderId="4344" applyNumberFormat="0" applyProtection="0">
      <alignment horizontal="left" vertical="top"/>
    </xf>
    <xf numFmtId="312" fontId="25" fillId="10" borderId="4345" applyNumberFormat="0" applyProtection="0">
      <alignment horizontal="left" vertical="top"/>
    </xf>
    <xf numFmtId="312" fontId="241" fillId="94" borderId="4359" applyBorder="0" applyProtection="0">
      <alignment horizontal="centerContinuous" vertical="center"/>
    </xf>
    <xf numFmtId="246" fontId="296" fillId="0" borderId="4359" applyFill="0" applyProtection="0">
      <alignment horizontal="center"/>
    </xf>
    <xf numFmtId="312" fontId="101" fillId="0" borderId="4359" applyBorder="0"/>
    <xf numFmtId="312" fontId="113" fillId="0" borderId="4359" applyNumberFormat="0" applyFill="0" applyAlignment="0" applyProtection="0"/>
    <xf numFmtId="312" fontId="75" fillId="0" borderId="4336" applyNumberFormat="0" applyFont="0" applyFill="0" applyAlignment="0" applyProtection="0"/>
    <xf numFmtId="312" fontId="12" fillId="0" borderId="4359" applyNumberFormat="0" applyFill="0" applyBorder="0" applyAlignment="0" applyProtection="0">
      <alignment horizontal="center"/>
    </xf>
    <xf numFmtId="312" fontId="165" fillId="0" borderId="4359" applyFill="0" applyProtection="0">
      <alignment horizontal="center"/>
    </xf>
    <xf numFmtId="312" fontId="242" fillId="0" borderId="4359">
      <alignment horizontal="center"/>
    </xf>
    <xf numFmtId="312" fontId="210" fillId="0" borderId="4359" applyNumberFormat="0" applyFill="0" applyBorder="0" applyAlignment="0">
      <protection locked="0"/>
    </xf>
    <xf numFmtId="312" fontId="2" fillId="0" borderId="4340" applyNumberFormat="0" applyAlignment="0" applyProtection="0"/>
    <xf numFmtId="312" fontId="214" fillId="0" borderId="4341" applyNumberFormat="0" applyFont="0" applyFill="0" applyAlignment="0" applyProtection="0"/>
    <xf numFmtId="312" fontId="25" fillId="10" borderId="4342" applyNumberFormat="0" applyProtection="0">
      <alignment horizontal="left" vertical="top"/>
    </xf>
    <xf numFmtId="312" fontId="25" fillId="10" borderId="4343" applyNumberFormat="0" applyProtection="0">
      <alignment horizontal="left" vertical="top"/>
    </xf>
    <xf numFmtId="312" fontId="25" fillId="10" borderId="4344" applyNumberFormat="0" applyProtection="0">
      <alignment horizontal="left" vertical="top"/>
    </xf>
    <xf numFmtId="312" fontId="25" fillId="10" borderId="4345" applyNumberFormat="0" applyProtection="0">
      <alignment horizontal="left" vertical="top"/>
    </xf>
    <xf numFmtId="312" fontId="25" fillId="10" borderId="4342" applyNumberFormat="0" applyProtection="0">
      <alignment horizontal="left" vertical="top"/>
    </xf>
    <xf numFmtId="312" fontId="25" fillId="10" borderId="4343" applyNumberFormat="0" applyProtection="0">
      <alignment horizontal="left" vertical="top"/>
    </xf>
    <xf numFmtId="312" fontId="25" fillId="10" borderId="4344" applyNumberFormat="0" applyProtection="0">
      <alignment horizontal="left" vertical="top"/>
    </xf>
    <xf numFmtId="312" fontId="25" fillId="10" borderId="4345" applyNumberFormat="0" applyProtection="0">
      <alignment horizontal="left" vertical="top"/>
    </xf>
    <xf numFmtId="312" fontId="241" fillId="94" borderId="4359" applyBorder="0" applyProtection="0">
      <alignment horizontal="centerContinuous" vertical="center"/>
    </xf>
    <xf numFmtId="246" fontId="296" fillId="0" borderId="4359" applyFill="0" applyProtection="0">
      <alignment horizontal="center"/>
    </xf>
    <xf numFmtId="246" fontId="250" fillId="0" borderId="4359" applyFill="0" applyProtection="0">
      <alignment horizontal="center"/>
    </xf>
    <xf numFmtId="246" fontId="249" fillId="0" borderId="4359" applyFill="0" applyProtection="0">
      <alignment horizontal="center"/>
    </xf>
    <xf numFmtId="0" fontId="241" fillId="94" borderId="4359" applyBorder="0" applyProtection="0">
      <alignment horizontal="centerContinuous" vertical="center"/>
    </xf>
    <xf numFmtId="254" fontId="240" fillId="0" borderId="4359" applyBorder="0" applyProtection="0">
      <alignment horizontal="right" vertical="center"/>
    </xf>
    <xf numFmtId="0" fontId="25" fillId="10" borderId="4357" applyNumberFormat="0" applyProtection="0">
      <alignment horizontal="left" vertical="top"/>
    </xf>
    <xf numFmtId="0" fontId="25" fillId="10" borderId="4356" applyNumberFormat="0" applyProtection="0">
      <alignment horizontal="left" vertical="top"/>
    </xf>
    <xf numFmtId="0" fontId="25" fillId="10" borderId="4355" applyNumberFormat="0" applyProtection="0">
      <alignment horizontal="left" vertical="top"/>
    </xf>
    <xf numFmtId="0" fontId="25" fillId="10" borderId="4354" applyNumberFormat="0" applyProtection="0">
      <alignment horizontal="left" vertical="top"/>
    </xf>
    <xf numFmtId="0" fontId="214" fillId="0" borderId="4353" applyNumberFormat="0" applyFont="0" applyFill="0" applyAlignment="0" applyProtection="0"/>
    <xf numFmtId="0" fontId="2" fillId="0" borderId="4352" applyNumberFormat="0" applyAlignment="0" applyProtection="0"/>
    <xf numFmtId="0" fontId="210" fillId="0" borderId="4359" applyNumberFormat="0" applyFill="0" applyBorder="0" applyAlignment="0">
      <protection locked="0"/>
    </xf>
    <xf numFmtId="264" fontId="12" fillId="14" borderId="4359" applyFont="0" applyFill="0" applyBorder="0" applyAlignment="0" applyProtection="0">
      <alignment horizontal="right"/>
    </xf>
    <xf numFmtId="0" fontId="166" fillId="0" borderId="4359">
      <alignment horizontal="center"/>
    </xf>
    <xf numFmtId="0" fontId="165" fillId="0" borderId="4359" applyFill="0" applyProtection="0">
      <alignment horizontal="center"/>
    </xf>
    <xf numFmtId="186" fontId="140" fillId="3" borderId="4351">
      <alignment horizontal="center" vertical="center"/>
    </xf>
    <xf numFmtId="186" fontId="146" fillId="3" borderId="4350">
      <alignment horizontal="left"/>
    </xf>
    <xf numFmtId="186" fontId="146" fillId="3" borderId="4359" applyBorder="0">
      <alignment horizontal="left" vertical="center"/>
    </xf>
    <xf numFmtId="180" fontId="9" fillId="3" borderId="4359">
      <alignment horizontal="right" vertical="center"/>
    </xf>
    <xf numFmtId="192" fontId="9" fillId="3" borderId="4359">
      <alignment horizontal="right" vertical="center"/>
    </xf>
    <xf numFmtId="248" fontId="46" fillId="0" borderId="4359"/>
    <xf numFmtId="0" fontId="78" fillId="14" borderId="4349" applyFont="0" applyFill="0" applyBorder="0" applyAlignment="0" applyProtection="0"/>
    <xf numFmtId="0" fontId="12" fillId="0" borderId="4359" applyNumberFormat="0" applyFill="0" applyBorder="0" applyAlignment="0" applyProtection="0">
      <alignment horizontal="center"/>
    </xf>
    <xf numFmtId="0" fontId="75" fillId="0" borderId="4348" applyNumberFormat="0" applyFont="0" applyFill="0" applyAlignment="0" applyProtection="0"/>
    <xf numFmtId="0" fontId="113" fillId="0" borderId="4359" applyNumberFormat="0" applyFill="0" applyAlignment="0" applyProtection="0"/>
    <xf numFmtId="222" fontId="79" fillId="0" borderId="4358" applyBorder="0"/>
    <xf numFmtId="0" fontId="101" fillId="0" borderId="4359" applyBorder="0"/>
    <xf numFmtId="0" fontId="25" fillId="10" borderId="4366" applyNumberFormat="0" applyProtection="0">
      <alignment horizontal="left" vertical="top"/>
    </xf>
    <xf numFmtId="0" fontId="25" fillId="10" borderId="4367" applyNumberFormat="0" applyProtection="0">
      <alignment horizontal="left" vertical="top"/>
    </xf>
    <xf numFmtId="0" fontId="25" fillId="10" borderId="4368" applyNumberFormat="0" applyProtection="0">
      <alignment horizontal="left" vertical="top"/>
    </xf>
    <xf numFmtId="0" fontId="25" fillId="10" borderId="4369" applyNumberFormat="0" applyProtection="0">
      <alignment horizontal="left" vertical="top"/>
    </xf>
    <xf numFmtId="246" fontId="250" fillId="0" borderId="4347" applyFill="0" applyProtection="0">
      <alignment horizontal="center"/>
    </xf>
    <xf numFmtId="246" fontId="249" fillId="0" borderId="4347" applyFill="0" applyProtection="0">
      <alignment horizontal="center"/>
    </xf>
    <xf numFmtId="0" fontId="241" fillId="94" borderId="4347" applyBorder="0" applyProtection="0">
      <alignment horizontal="centerContinuous" vertical="center"/>
    </xf>
    <xf numFmtId="254" fontId="240" fillId="0" borderId="4347" applyBorder="0" applyProtection="0">
      <alignment horizontal="right" vertical="center"/>
    </xf>
    <xf numFmtId="0" fontId="210" fillId="0" borderId="4347" applyNumberFormat="0" applyFill="0" applyBorder="0" applyAlignment="0">
      <protection locked="0"/>
    </xf>
    <xf numFmtId="264" fontId="12" fillId="14" borderId="4347" applyFont="0" applyFill="0" applyBorder="0" applyAlignment="0" applyProtection="0">
      <alignment horizontal="right"/>
    </xf>
    <xf numFmtId="0" fontId="166" fillId="0" borderId="4347">
      <alignment horizontal="center"/>
    </xf>
    <xf numFmtId="0" fontId="165" fillId="0" borderId="4347" applyFill="0" applyProtection="0">
      <alignment horizontal="center"/>
    </xf>
    <xf numFmtId="186" fontId="146" fillId="3" borderId="4347" applyBorder="0">
      <alignment horizontal="left" vertical="center"/>
    </xf>
    <xf numFmtId="180" fontId="9" fillId="3" borderId="4347">
      <alignment horizontal="right" vertical="center"/>
    </xf>
    <xf numFmtId="192" fontId="9" fillId="3" borderId="4347">
      <alignment horizontal="right" vertical="center"/>
    </xf>
    <xf numFmtId="248" fontId="46" fillId="0" borderId="4347"/>
    <xf numFmtId="0" fontId="12" fillId="0" borderId="4347" applyNumberFormat="0" applyFill="0" applyBorder="0" applyAlignment="0" applyProtection="0">
      <alignment horizontal="center"/>
    </xf>
    <xf numFmtId="0" fontId="113" fillId="0" borderId="4347" applyNumberFormat="0" applyFill="0" applyAlignment="0" applyProtection="0"/>
    <xf numFmtId="222" fontId="79" fillId="0" borderId="4346" applyBorder="0"/>
    <xf numFmtId="0" fontId="101" fillId="0" borderId="4347" applyBorder="0"/>
    <xf numFmtId="246" fontId="250" fillId="0" borderId="4347" applyFill="0" applyProtection="0">
      <alignment horizontal="center"/>
    </xf>
    <xf numFmtId="246" fontId="249" fillId="0" borderId="4347" applyFill="0" applyProtection="0">
      <alignment horizontal="center"/>
    </xf>
    <xf numFmtId="0" fontId="241" fillId="94" borderId="4347" applyBorder="0" applyProtection="0">
      <alignment horizontal="centerContinuous" vertical="center"/>
    </xf>
    <xf numFmtId="254" fontId="240" fillId="0" borderId="4347" applyBorder="0" applyProtection="0">
      <alignment horizontal="right" vertical="center"/>
    </xf>
    <xf numFmtId="0" fontId="210" fillId="0" borderId="4347" applyNumberFormat="0" applyFill="0" applyBorder="0" applyAlignment="0">
      <protection locked="0"/>
    </xf>
    <xf numFmtId="264" fontId="12" fillId="14" borderId="4347" applyFont="0" applyFill="0" applyBorder="0" applyAlignment="0" applyProtection="0">
      <alignment horizontal="right"/>
    </xf>
    <xf numFmtId="0" fontId="166" fillId="0" borderId="4347">
      <alignment horizontal="center"/>
    </xf>
    <xf numFmtId="0" fontId="165" fillId="0" borderId="4347" applyFill="0" applyProtection="0">
      <alignment horizontal="center"/>
    </xf>
    <xf numFmtId="186" fontId="146" fillId="3" borderId="4347" applyBorder="0">
      <alignment horizontal="left" vertical="center"/>
    </xf>
    <xf numFmtId="180" fontId="9" fillId="3" borderId="4347">
      <alignment horizontal="right" vertical="center"/>
    </xf>
    <xf numFmtId="192" fontId="9" fillId="3" borderId="4347">
      <alignment horizontal="right" vertical="center"/>
    </xf>
    <xf numFmtId="0" fontId="12" fillId="0" borderId="4347" applyNumberFormat="0" applyFill="0" applyBorder="0" applyAlignment="0" applyProtection="0">
      <alignment horizontal="center"/>
    </xf>
    <xf numFmtId="0" fontId="113" fillId="0" borderId="4347" applyNumberFormat="0" applyFill="0" applyAlignment="0" applyProtection="0"/>
    <xf numFmtId="222" fontId="79" fillId="0" borderId="4346" applyBorder="0"/>
    <xf numFmtId="0" fontId="101" fillId="0" borderId="4347" applyBorder="0"/>
    <xf numFmtId="248" fontId="46" fillId="0" borderId="4347"/>
    <xf numFmtId="246" fontId="250" fillId="0" borderId="4347" applyFill="0" applyProtection="0">
      <alignment horizontal="center"/>
    </xf>
    <xf numFmtId="246" fontId="249" fillId="0" borderId="4347" applyFill="0" applyProtection="0">
      <alignment horizontal="center"/>
    </xf>
    <xf numFmtId="0" fontId="241" fillId="94" borderId="4347" applyBorder="0" applyProtection="0">
      <alignment horizontal="centerContinuous" vertical="center"/>
    </xf>
    <xf numFmtId="254" fontId="240" fillId="0" borderId="4347" applyBorder="0" applyProtection="0">
      <alignment horizontal="right" vertical="center"/>
    </xf>
    <xf numFmtId="0" fontId="210" fillId="0" borderId="4347" applyNumberFormat="0" applyFill="0" applyBorder="0" applyAlignment="0">
      <protection locked="0"/>
    </xf>
    <xf numFmtId="264" fontId="12" fillId="14" borderId="4347" applyFont="0" applyFill="0" applyBorder="0" applyAlignment="0" applyProtection="0">
      <alignment horizontal="right"/>
    </xf>
    <xf numFmtId="0" fontId="166" fillId="0" borderId="4347">
      <alignment horizontal="center"/>
    </xf>
    <xf numFmtId="0" fontId="165" fillId="0" borderId="4347" applyFill="0" applyProtection="0">
      <alignment horizontal="center"/>
    </xf>
    <xf numFmtId="186" fontId="146" fillId="3" borderId="4347" applyBorder="0">
      <alignment horizontal="left" vertical="center"/>
    </xf>
    <xf numFmtId="180" fontId="9" fillId="3" borderId="4347">
      <alignment horizontal="right" vertical="center"/>
    </xf>
    <xf numFmtId="192" fontId="9" fillId="3" borderId="4347">
      <alignment horizontal="right" vertical="center"/>
    </xf>
    <xf numFmtId="248" fontId="46" fillId="0" borderId="4347"/>
    <xf numFmtId="0" fontId="12" fillId="0" borderId="4347" applyNumberFormat="0" applyFill="0" applyBorder="0" applyAlignment="0" applyProtection="0">
      <alignment horizontal="center"/>
    </xf>
    <xf numFmtId="0" fontId="113" fillId="0" borderId="4347" applyNumberFormat="0" applyFill="0" applyAlignment="0" applyProtection="0"/>
    <xf numFmtId="222" fontId="79" fillId="0" borderId="4346" applyBorder="0"/>
    <xf numFmtId="0" fontId="101" fillId="0" borderId="4347" applyBorder="0"/>
    <xf numFmtId="222" fontId="79" fillId="0" borderId="4427" applyBorder="0"/>
    <xf numFmtId="0" fontId="113" fillId="0" borderId="4549" applyNumberFormat="0" applyFill="0" applyAlignment="0" applyProtection="0"/>
    <xf numFmtId="0" fontId="210" fillId="0" borderId="4537" applyNumberFormat="0" applyFill="0" applyBorder="0" applyAlignment="0">
      <protection locked="0"/>
    </xf>
    <xf numFmtId="0" fontId="241" fillId="94" borderId="4549" applyBorder="0" applyProtection="0">
      <alignment horizontal="centerContinuous" vertical="center"/>
    </xf>
    <xf numFmtId="190" fontId="2" fillId="0" borderId="4590" applyNumberFormat="0" applyAlignment="0" applyProtection="0"/>
    <xf numFmtId="190" fontId="210" fillId="0" borderId="4609" applyNumberFormat="0" applyFill="0" applyBorder="0" applyAlignment="0">
      <protection locked="0"/>
    </xf>
    <xf numFmtId="190" fontId="166" fillId="0" borderId="4609">
      <alignment horizontal="center"/>
    </xf>
    <xf numFmtId="190" fontId="165" fillId="0" borderId="4609" applyFill="0" applyProtection="0">
      <alignment horizontal="center"/>
    </xf>
    <xf numFmtId="190" fontId="12" fillId="0" borderId="4609" applyNumberFormat="0" applyFill="0" applyBorder="0" applyAlignment="0" applyProtection="0">
      <alignment horizontal="center"/>
    </xf>
    <xf numFmtId="190" fontId="75" fillId="0" borderId="4586" applyNumberFormat="0" applyFont="0" applyFill="0" applyAlignment="0" applyProtection="0"/>
    <xf numFmtId="246" fontId="249" fillId="0" borderId="4609" applyFill="0" applyProtection="0">
      <alignment horizontal="center"/>
    </xf>
    <xf numFmtId="0" fontId="25" fillId="10" borderId="4619" applyNumberFormat="0" applyProtection="0">
      <alignment horizontal="left" vertical="top"/>
    </xf>
    <xf numFmtId="0" fontId="101" fillId="0" borderId="4609" applyBorder="0"/>
    <xf numFmtId="222" fontId="79" fillId="0" borderId="4608" applyBorder="0"/>
    <xf numFmtId="0" fontId="12" fillId="0" borderId="4609" applyNumberFormat="0" applyFill="0" applyBorder="0" applyAlignment="0" applyProtection="0">
      <alignment horizontal="center"/>
    </xf>
    <xf numFmtId="0" fontId="12" fillId="0" borderId="4371" applyNumberFormat="0" applyFill="0" applyBorder="0" applyAlignment="0" applyProtection="0"/>
    <xf numFmtId="0" fontId="46" fillId="0" borderId="4371" applyNumberFormat="0" applyFill="0" applyBorder="0" applyAlignment="0" applyProtection="0"/>
    <xf numFmtId="0" fontId="105" fillId="0" borderId="4371" applyNumberFormat="0" applyFill="0" applyBorder="0" applyAlignment="0" applyProtection="0"/>
    <xf numFmtId="0" fontId="48" fillId="0" borderId="4371" applyNumberFormat="0" applyFill="0" applyAlignment="0" applyProtection="0"/>
    <xf numFmtId="0" fontId="241" fillId="94" borderId="4609" applyBorder="0" applyProtection="0">
      <alignment horizontal="centerContinuous" vertical="center"/>
    </xf>
    <xf numFmtId="5" fontId="114" fillId="0" borderId="4370" applyAlignment="0" applyProtection="0"/>
    <xf numFmtId="0" fontId="25" fillId="10" borderId="4619" applyNumberFormat="0" applyProtection="0">
      <alignment horizontal="left" vertical="top"/>
    </xf>
    <xf numFmtId="0" fontId="25" fillId="10" borderId="4618" applyNumberFormat="0" applyProtection="0">
      <alignment horizontal="left" vertical="top"/>
    </xf>
    <xf numFmtId="0" fontId="25" fillId="10" borderId="4617" applyNumberFormat="0" applyProtection="0">
      <alignment horizontal="left" vertical="top"/>
    </xf>
    <xf numFmtId="0" fontId="25" fillId="10" borderId="4616" applyNumberFormat="0" applyProtection="0">
      <alignment horizontal="left" vertical="top"/>
    </xf>
    <xf numFmtId="186" fontId="140" fillId="3" borderId="4613">
      <alignment horizontal="center" vertical="center"/>
    </xf>
    <xf numFmtId="246" fontId="249" fillId="0" borderId="4597" applyFill="0" applyProtection="0">
      <alignment horizontal="center"/>
    </xf>
    <xf numFmtId="0" fontId="210" fillId="0" borderId="4597" applyNumberFormat="0" applyFill="0" applyBorder="0" applyAlignment="0">
      <protection locked="0"/>
    </xf>
    <xf numFmtId="264" fontId="12" fillId="14" borderId="4597" applyFont="0" applyFill="0" applyBorder="0" applyAlignment="0" applyProtection="0">
      <alignment horizontal="right"/>
    </xf>
    <xf numFmtId="192" fontId="9" fillId="3" borderId="4597">
      <alignment horizontal="right" vertical="center"/>
    </xf>
    <xf numFmtId="0" fontId="113" fillId="0" borderId="4597" applyNumberFormat="0" applyFill="0" applyAlignment="0" applyProtection="0"/>
    <xf numFmtId="222" fontId="79" fillId="0" borderId="4596" applyBorder="0"/>
    <xf numFmtId="0" fontId="75" fillId="0" borderId="4586" applyNumberFormat="0" applyFont="0" applyFill="0" applyAlignment="0" applyProtection="0"/>
    <xf numFmtId="186" fontId="146" fillId="3" borderId="4588">
      <alignment horizontal="left"/>
    </xf>
    <xf numFmtId="0" fontId="25" fillId="10" borderId="4593" applyNumberFormat="0" applyProtection="0">
      <alignment horizontal="left" vertical="top"/>
    </xf>
    <xf numFmtId="0" fontId="25" fillId="10" borderId="4594" applyNumberFormat="0" applyProtection="0">
      <alignment horizontal="left" vertical="top"/>
    </xf>
    <xf numFmtId="0" fontId="25" fillId="10" borderId="4595" applyNumberFormat="0" applyProtection="0">
      <alignment horizontal="left" vertical="top"/>
    </xf>
    <xf numFmtId="246" fontId="250" fillId="0" borderId="4573" applyFill="0" applyProtection="0">
      <alignment horizontal="center"/>
    </xf>
    <xf numFmtId="246" fontId="249" fillId="0" borderId="4573" applyFill="0" applyProtection="0">
      <alignment horizontal="center"/>
    </xf>
    <xf numFmtId="0" fontId="241" fillId="94" borderId="4573" applyBorder="0" applyProtection="0">
      <alignment horizontal="centerContinuous" vertical="center"/>
    </xf>
    <xf numFmtId="0" fontId="210" fillId="0" borderId="4573" applyNumberFormat="0" applyFill="0" applyBorder="0" applyAlignment="0">
      <protection locked="0"/>
    </xf>
    <xf numFmtId="0" fontId="165" fillId="0" borderId="4573" applyFill="0" applyProtection="0">
      <alignment horizontal="center"/>
    </xf>
    <xf numFmtId="192" fontId="9" fillId="3" borderId="4573">
      <alignment horizontal="right" vertical="center"/>
    </xf>
    <xf numFmtId="0" fontId="113" fillId="0" borderId="4573" applyNumberFormat="0" applyFill="0" applyAlignment="0" applyProtection="0"/>
    <xf numFmtId="222" fontId="79" fillId="0" borderId="4572" applyBorder="0"/>
    <xf numFmtId="186" fontId="140" fillId="3" borderId="4565">
      <alignment horizontal="center" vertical="center"/>
    </xf>
    <xf numFmtId="0" fontId="25" fillId="10" borderId="4568" applyNumberFormat="0" applyProtection="0">
      <alignment horizontal="left" vertical="top"/>
    </xf>
    <xf numFmtId="0" fontId="25" fillId="10" borderId="4571" applyNumberFormat="0" applyProtection="0">
      <alignment horizontal="left" vertical="top"/>
    </xf>
    <xf numFmtId="0" fontId="78" fillId="14" borderId="4539" applyFont="0" applyFill="0" applyBorder="0" applyAlignment="0" applyProtection="0"/>
    <xf numFmtId="186" fontId="140" fillId="3" borderId="4553">
      <alignment horizontal="center" vertical="center"/>
    </xf>
    <xf numFmtId="0" fontId="241" fillId="94" borderId="4549" applyBorder="0" applyProtection="0">
      <alignment horizontal="centerContinuous" vertical="center"/>
    </xf>
    <xf numFmtId="254" fontId="240" fillId="0" borderId="4549" applyBorder="0" applyProtection="0">
      <alignment horizontal="right" vertical="center"/>
    </xf>
    <xf numFmtId="0" fontId="210" fillId="0" borderId="4549" applyNumberFormat="0" applyFill="0" applyBorder="0" applyAlignment="0">
      <protection locked="0"/>
    </xf>
    <xf numFmtId="264" fontId="12" fillId="14" borderId="4549" applyFont="0" applyFill="0" applyBorder="0" applyAlignment="0" applyProtection="0">
      <alignment horizontal="right"/>
    </xf>
    <xf numFmtId="186" fontId="140" fillId="3" borderId="4541">
      <alignment horizontal="center" vertical="center"/>
    </xf>
    <xf numFmtId="186" fontId="146" fillId="3" borderId="4540">
      <alignment horizontal="left"/>
    </xf>
    <xf numFmtId="222" fontId="79" fillId="0" borderId="4548" applyBorder="0"/>
    <xf numFmtId="180" fontId="9" fillId="3" borderId="4537">
      <alignment horizontal="right" vertical="center"/>
    </xf>
    <xf numFmtId="192" fontId="9" fillId="3" borderId="4537">
      <alignment horizontal="right" vertical="center"/>
    </xf>
    <xf numFmtId="248" fontId="46" fillId="0" borderId="4537"/>
    <xf numFmtId="0" fontId="12" fillId="0" borderId="4537" applyNumberFormat="0" applyFill="0" applyBorder="0" applyAlignment="0" applyProtection="0">
      <alignment horizontal="center"/>
    </xf>
    <xf numFmtId="0" fontId="101" fillId="0" borderId="4537" applyBorder="0"/>
    <xf numFmtId="222" fontId="79" fillId="0" borderId="4427" applyBorder="0"/>
    <xf numFmtId="0" fontId="78" fillId="14" borderId="4418" applyFont="0" applyFill="0" applyBorder="0" applyAlignment="0" applyProtection="0"/>
    <xf numFmtId="222" fontId="79" fillId="0" borderId="4427" applyBorder="0"/>
    <xf numFmtId="0" fontId="25" fillId="10" borderId="4546" applyNumberFormat="0" applyProtection="0">
      <alignment horizontal="left" vertical="top"/>
    </xf>
    <xf numFmtId="0" fontId="214" fillId="0" borderId="4543" applyNumberFormat="0" applyFont="0" applyFill="0" applyAlignment="0" applyProtection="0"/>
    <xf numFmtId="186" fontId="146" fillId="3" borderId="4540">
      <alignment horizontal="left"/>
    </xf>
    <xf numFmtId="0" fontId="75" fillId="0" borderId="4538" applyNumberFormat="0" applyFont="0" applyFill="0" applyAlignment="0" applyProtection="0"/>
    <xf numFmtId="222" fontId="79" fillId="0" borderId="4548" applyBorder="0"/>
    <xf numFmtId="248" fontId="46" fillId="0" borderId="4549"/>
    <xf numFmtId="192" fontId="9" fillId="3" borderId="4549">
      <alignment horizontal="right" vertical="center"/>
    </xf>
    <xf numFmtId="180" fontId="9" fillId="3" borderId="4549">
      <alignment horizontal="right" vertical="center"/>
    </xf>
    <xf numFmtId="186" fontId="146" fillId="3" borderId="4549" applyBorder="0">
      <alignment horizontal="left" vertical="center"/>
    </xf>
    <xf numFmtId="0" fontId="165" fillId="0" borderId="4549" applyFill="0" applyProtection="0">
      <alignment horizontal="center"/>
    </xf>
    <xf numFmtId="0" fontId="166" fillId="0" borderId="4549">
      <alignment horizontal="center"/>
    </xf>
    <xf numFmtId="264" fontId="12" fillId="14" borderId="4549" applyFont="0" applyFill="0" applyBorder="0" applyAlignment="0" applyProtection="0">
      <alignment horizontal="right"/>
    </xf>
    <xf numFmtId="0" fontId="210" fillId="0" borderId="4549" applyNumberFormat="0" applyFill="0" applyBorder="0" applyAlignment="0">
      <protection locked="0"/>
    </xf>
    <xf numFmtId="254" fontId="240" fillId="0" borderId="4549" applyBorder="0" applyProtection="0">
      <alignment horizontal="right" vertical="center"/>
    </xf>
    <xf numFmtId="0" fontId="241" fillId="94" borderId="4549" applyBorder="0" applyProtection="0">
      <alignment horizontal="centerContinuous" vertical="center"/>
    </xf>
    <xf numFmtId="0" fontId="2" fillId="0" borderId="4602" applyNumberFormat="0" applyAlignment="0" applyProtection="0"/>
    <xf numFmtId="0" fontId="74" fillId="0" borderId="4370" applyFont="0" applyFill="0" applyBorder="0" applyAlignment="0" applyProtection="0">
      <alignment horizontal="center"/>
    </xf>
    <xf numFmtId="0" fontId="48" fillId="0" borderId="4370" applyFont="0" applyFill="0" applyBorder="0" applyAlignment="0" applyProtection="0">
      <alignment horizontal="center"/>
    </xf>
    <xf numFmtId="0" fontId="25" fillId="10" borderId="4604" applyNumberFormat="0" applyProtection="0">
      <alignment horizontal="left" vertical="top"/>
    </xf>
    <xf numFmtId="222" fontId="79" fillId="0" borderId="4427" applyBorder="0"/>
    <xf numFmtId="186" fontId="146" fillId="3" borderId="4600">
      <alignment horizontal="left"/>
    </xf>
    <xf numFmtId="186" fontId="140" fillId="3" borderId="4601">
      <alignment horizontal="center" vertical="center"/>
    </xf>
    <xf numFmtId="0" fontId="25" fillId="10" borderId="4366" applyNumberFormat="0" applyProtection="0">
      <alignment horizontal="left" vertical="top"/>
    </xf>
    <xf numFmtId="0" fontId="25" fillId="10" borderId="4369" applyNumberFormat="0" applyProtection="0">
      <alignment horizontal="left" vertical="top"/>
    </xf>
    <xf numFmtId="0" fontId="78" fillId="14" borderId="4418" applyFont="0" applyFill="0" applyBorder="0" applyAlignment="0" applyProtection="0"/>
    <xf numFmtId="0" fontId="78" fillId="14" borderId="4575" applyFont="0" applyFill="0" applyBorder="0" applyAlignment="0" applyProtection="0"/>
    <xf numFmtId="0" fontId="214" fillId="0" borderId="4579" applyNumberFormat="0" applyFont="0" applyFill="0" applyAlignment="0" applyProtection="0"/>
    <xf numFmtId="186" fontId="146" fillId="3" borderId="4585" applyBorder="0">
      <alignment horizontal="left" vertical="center"/>
    </xf>
    <xf numFmtId="0" fontId="166" fillId="0" borderId="4585">
      <alignment horizontal="center"/>
    </xf>
    <xf numFmtId="0" fontId="241" fillId="94" borderId="4585" applyBorder="0" applyProtection="0">
      <alignment horizontal="centerContinuous" vertical="center"/>
    </xf>
    <xf numFmtId="0" fontId="241" fillId="94" borderId="4561" applyBorder="0" applyProtection="0">
      <alignment horizontal="centerContinuous" vertical="center"/>
    </xf>
    <xf numFmtId="254" fontId="240" fillId="0" borderId="4561" applyBorder="0" applyProtection="0">
      <alignment horizontal="right" vertical="center"/>
    </xf>
    <xf numFmtId="0" fontId="165" fillId="0" borderId="4561" applyFill="0" applyProtection="0">
      <alignment horizontal="center"/>
    </xf>
    <xf numFmtId="0" fontId="25" fillId="10" borderId="4547" applyNumberFormat="0" applyProtection="0">
      <alignment horizontal="left" vertical="top"/>
    </xf>
    <xf numFmtId="0" fontId="25" fillId="10" borderId="4546" applyNumberFormat="0" applyProtection="0">
      <alignment horizontal="left" vertical="top"/>
    </xf>
    <xf numFmtId="0" fontId="75" fillId="0" borderId="4538" applyNumberFormat="0" applyFont="0" applyFill="0" applyAlignment="0" applyProtection="0"/>
    <xf numFmtId="0" fontId="214" fillId="0" borderId="4603" applyNumberFormat="0" applyFont="0" applyFill="0" applyAlignment="0" applyProtection="0"/>
    <xf numFmtId="222" fontId="79" fillId="0" borderId="4548" applyBorder="0"/>
    <xf numFmtId="0" fontId="25" fillId="10" borderId="4607" applyNumberFormat="0" applyProtection="0">
      <alignment horizontal="left" vertical="top"/>
    </xf>
    <xf numFmtId="254" fontId="240" fillId="0" borderId="4428" applyBorder="0" applyProtection="0">
      <alignment horizontal="right" vertical="center"/>
    </xf>
    <xf numFmtId="0" fontId="210" fillId="0" borderId="4428" applyNumberFormat="0" applyFill="0" applyBorder="0" applyAlignment="0">
      <protection locked="0"/>
    </xf>
    <xf numFmtId="264" fontId="12" fillId="14" borderId="4428" applyFont="0" applyFill="0" applyBorder="0" applyAlignment="0" applyProtection="0">
      <alignment horizontal="right"/>
    </xf>
    <xf numFmtId="0" fontId="166" fillId="0" borderId="4428">
      <alignment horizontal="center"/>
    </xf>
    <xf numFmtId="0" fontId="165" fillId="0" borderId="4428" applyFill="0" applyProtection="0">
      <alignment horizontal="center"/>
    </xf>
    <xf numFmtId="186" fontId="146" fillId="3" borderId="4428" applyBorder="0">
      <alignment horizontal="left" vertical="center"/>
    </xf>
    <xf numFmtId="182" fontId="145" fillId="3" borderId="4370">
      <alignment horizontal="right" vertical="center"/>
    </xf>
    <xf numFmtId="180" fontId="9" fillId="3" borderId="4428">
      <alignment horizontal="right" vertical="center"/>
    </xf>
    <xf numFmtId="186" fontId="146" fillId="3" borderId="4552">
      <alignment horizontal="left"/>
    </xf>
    <xf numFmtId="0" fontId="214" fillId="0" borderId="4555" applyNumberFormat="0" applyFont="0" applyFill="0" applyAlignment="0" applyProtection="0"/>
    <xf numFmtId="186" fontId="48" fillId="3" borderId="4370">
      <alignment vertical="center"/>
    </xf>
    <xf numFmtId="0" fontId="25" fillId="10" borderId="4556" applyNumberFormat="0" applyProtection="0">
      <alignment horizontal="left" vertical="top"/>
    </xf>
    <xf numFmtId="0" fontId="25" fillId="10" borderId="4558" applyNumberFormat="0" applyProtection="0">
      <alignment horizontal="left" vertical="top"/>
    </xf>
    <xf numFmtId="222" fontId="79" fillId="0" borderId="4572" applyBorder="0"/>
    <xf numFmtId="0" fontId="135" fillId="0" borderId="4372"/>
    <xf numFmtId="0" fontId="135" fillId="0" borderId="4372"/>
    <xf numFmtId="0" fontId="25" fillId="10" borderId="4583" applyNumberFormat="0" applyProtection="0">
      <alignment horizontal="left" vertical="top"/>
    </xf>
    <xf numFmtId="0" fontId="25" fillId="10" borderId="4580" applyNumberFormat="0" applyProtection="0">
      <alignment horizontal="left" vertical="top"/>
    </xf>
    <xf numFmtId="222" fontId="79" fillId="0" borderId="4584" applyBorder="0"/>
    <xf numFmtId="180" fontId="9" fillId="3" borderId="4585">
      <alignment horizontal="right" vertical="center"/>
    </xf>
    <xf numFmtId="254" fontId="240" fillId="0" borderId="4585" applyBorder="0" applyProtection="0">
      <alignment horizontal="right" vertical="center"/>
    </xf>
    <xf numFmtId="246" fontId="249" fillId="0" borderId="4585" applyFill="0" applyProtection="0">
      <alignment horizontal="center"/>
    </xf>
    <xf numFmtId="246" fontId="250" fillId="0" borderId="4585" applyFill="0" applyProtection="0">
      <alignment horizontal="center"/>
    </xf>
    <xf numFmtId="264" fontId="12" fillId="14" borderId="4561" applyFont="0" applyFill="0" applyBorder="0" applyAlignment="0" applyProtection="0">
      <alignment horizontal="right"/>
    </xf>
    <xf numFmtId="186" fontId="146" fillId="3" borderId="4561" applyBorder="0">
      <alignment horizontal="left" vertical="center"/>
    </xf>
    <xf numFmtId="180" fontId="9" fillId="3" borderId="4561">
      <alignment horizontal="right" vertical="center"/>
    </xf>
    <xf numFmtId="192" fontId="9" fillId="3" borderId="4561">
      <alignment horizontal="right" vertical="center"/>
    </xf>
    <xf numFmtId="248" fontId="46" fillId="0" borderId="4561"/>
    <xf numFmtId="0" fontId="12" fillId="0" borderId="4561" applyNumberFormat="0" applyFill="0" applyBorder="0" applyAlignment="0" applyProtection="0">
      <alignment horizontal="center"/>
    </xf>
    <xf numFmtId="0" fontId="113" fillId="0" borderId="4561" applyNumberFormat="0" applyFill="0" applyAlignment="0" applyProtection="0"/>
    <xf numFmtId="0" fontId="210" fillId="0" borderId="4609" applyNumberFormat="0" applyFill="0" applyBorder="0" applyAlignment="0">
      <protection locked="0"/>
    </xf>
    <xf numFmtId="0" fontId="165" fillId="0" borderId="4609" applyFill="0" applyProtection="0">
      <alignment horizontal="center"/>
    </xf>
    <xf numFmtId="192" fontId="9" fillId="3" borderId="4609">
      <alignment horizontal="right" vertical="center"/>
    </xf>
    <xf numFmtId="248" fontId="46" fillId="0" borderId="4609"/>
    <xf numFmtId="222" fontId="79" fillId="0" borderId="4608" applyBorder="0"/>
    <xf numFmtId="0" fontId="78" fillId="14" borderId="4599" applyFont="0" applyFill="0" applyBorder="0" applyAlignment="0" applyProtection="0"/>
    <xf numFmtId="0" fontId="25" fillId="10" borderId="4606" applyNumberFormat="0" applyProtection="0">
      <alignment horizontal="left" vertical="top"/>
    </xf>
    <xf numFmtId="186" fontId="140" fillId="3" borderId="4541">
      <alignment horizontal="center" vertical="center"/>
    </xf>
    <xf numFmtId="0" fontId="2" fillId="0" borderId="4542" applyNumberFormat="0" applyAlignment="0" applyProtection="0"/>
    <xf numFmtId="0" fontId="25" fillId="10" borderId="4545" applyNumberFormat="0" applyProtection="0">
      <alignment horizontal="left" vertical="top"/>
    </xf>
    <xf numFmtId="0" fontId="25" fillId="10" borderId="4544" applyNumberFormat="0" applyProtection="0">
      <alignment horizontal="left" vertical="top"/>
    </xf>
    <xf numFmtId="0" fontId="25" fillId="10" borderId="4547" applyNumberFormat="0" applyProtection="0">
      <alignment horizontal="left" vertical="top"/>
    </xf>
    <xf numFmtId="0" fontId="159" fillId="0" borderId="4372"/>
    <xf numFmtId="0" fontId="159" fillId="67" borderId="4372"/>
    <xf numFmtId="0" fontId="75" fillId="0" borderId="4538" applyNumberFormat="0" applyFont="0" applyFill="0" applyAlignment="0" applyProtection="0"/>
    <xf numFmtId="186" fontId="146" fillId="3" borderId="4540">
      <alignment horizontal="left"/>
    </xf>
    <xf numFmtId="246" fontId="250" fillId="0" borderId="4537" applyFill="0" applyProtection="0">
      <alignment horizontal="center"/>
    </xf>
    <xf numFmtId="0" fontId="210" fillId="0" borderId="4537" applyNumberFormat="0" applyFill="0" applyBorder="0" applyAlignment="0">
      <protection locked="0"/>
    </xf>
    <xf numFmtId="264" fontId="12" fillId="14" borderId="4537" applyFont="0" applyFill="0" applyBorder="0" applyAlignment="0" applyProtection="0">
      <alignment horizontal="right"/>
    </xf>
    <xf numFmtId="180" fontId="9" fillId="3" borderId="4537">
      <alignment horizontal="right" vertical="center"/>
    </xf>
    <xf numFmtId="248" fontId="46" fillId="0" borderId="4537"/>
    <xf numFmtId="0" fontId="25" fillId="69" borderId="4372">
      <alignment horizontal="left" vertical="center" wrapText="1"/>
    </xf>
    <xf numFmtId="0" fontId="184" fillId="0" borderId="4373" applyAlignment="0">
      <alignment horizontal="left" wrapText="1"/>
    </xf>
    <xf numFmtId="246" fontId="249" fillId="0" borderId="4537" applyFill="0" applyProtection="0">
      <alignment horizontal="center"/>
    </xf>
    <xf numFmtId="0" fontId="241" fillId="94" borderId="4537" applyBorder="0" applyProtection="0">
      <alignment horizontal="centerContinuous" vertical="center"/>
    </xf>
    <xf numFmtId="254" fontId="240" fillId="0" borderId="4537" applyBorder="0" applyProtection="0">
      <alignment horizontal="right" vertical="center"/>
    </xf>
    <xf numFmtId="4" fontId="223" fillId="53" borderId="4374" applyNumberFormat="0" applyProtection="0">
      <alignment vertical="center"/>
    </xf>
    <xf numFmtId="4" fontId="224" fillId="53" borderId="4374" applyNumberFormat="0" applyProtection="0">
      <alignment vertical="center"/>
    </xf>
    <xf numFmtId="4" fontId="184" fillId="53" borderId="4374" applyNumberFormat="0" applyProtection="0">
      <alignment horizontal="left" vertical="center" indent="1"/>
    </xf>
    <xf numFmtId="0" fontId="225" fillId="53" borderId="4374" applyNumberFormat="0" applyProtection="0">
      <alignment horizontal="left" vertical="top" indent="1"/>
    </xf>
    <xf numFmtId="4" fontId="226" fillId="76" borderId="4374" applyNumberFormat="0" applyProtection="0">
      <alignment horizontal="right" vertical="center"/>
    </xf>
    <xf numFmtId="4" fontId="226" fillId="77" borderId="4374" applyNumberFormat="0" applyProtection="0">
      <alignment horizontal="right" vertical="center"/>
    </xf>
    <xf numFmtId="4" fontId="226" fillId="78" borderId="4374" applyNumberFormat="0" applyProtection="0">
      <alignment horizontal="right" vertical="center"/>
    </xf>
    <xf numFmtId="4" fontId="226" fillId="10" borderId="4374" applyNumberFormat="0" applyProtection="0">
      <alignment horizontal="right" vertical="center"/>
    </xf>
    <xf numFmtId="4" fontId="226" fillId="79" borderId="4374" applyNumberFormat="0" applyProtection="0">
      <alignment horizontal="right" vertical="center"/>
    </xf>
    <xf numFmtId="4" fontId="226" fillId="71" borderId="4374" applyNumberFormat="0" applyProtection="0">
      <alignment horizontal="right" vertical="center"/>
    </xf>
    <xf numFmtId="4" fontId="226" fillId="80" borderId="4374" applyNumberFormat="0" applyProtection="0">
      <alignment horizontal="right" vertical="center"/>
    </xf>
    <xf numFmtId="4" fontId="226" fillId="81" borderId="4374" applyNumberFormat="0" applyProtection="0">
      <alignment horizontal="right" vertical="center"/>
    </xf>
    <xf numFmtId="4" fontId="226" fillId="82" borderId="4374" applyNumberFormat="0" applyProtection="0">
      <alignment horizontal="right" vertical="center"/>
    </xf>
    <xf numFmtId="4" fontId="184" fillId="52" borderId="4374" applyNumberFormat="0" applyProtection="0">
      <alignment horizontal="right" vertical="center"/>
    </xf>
    <xf numFmtId="0" fontId="12" fillId="75" borderId="4374" applyNumberFormat="0" applyProtection="0">
      <alignment horizontal="left" vertical="center" indent="1"/>
    </xf>
    <xf numFmtId="0" fontId="12" fillId="75" borderId="4374" applyNumberFormat="0" applyProtection="0">
      <alignment horizontal="left" vertical="top" indent="1"/>
    </xf>
    <xf numFmtId="0" fontId="12" fillId="84" borderId="4374" applyNumberFormat="0" applyProtection="0">
      <alignment horizontal="left" vertical="center" indent="1"/>
    </xf>
    <xf numFmtId="0" fontId="12" fillId="84" borderId="4374" applyNumberFormat="0" applyProtection="0">
      <alignment horizontal="left" vertical="top" indent="1"/>
    </xf>
    <xf numFmtId="0" fontId="12" fillId="52" borderId="4374" applyNumberFormat="0" applyProtection="0">
      <alignment horizontal="left" vertical="center" indent="1"/>
    </xf>
    <xf numFmtId="0" fontId="12" fillId="52" borderId="4374" applyNumberFormat="0" applyProtection="0">
      <alignment horizontal="left" vertical="top" indent="1"/>
    </xf>
    <xf numFmtId="0" fontId="12" fillId="11" borderId="4374" applyNumberFormat="0" applyProtection="0">
      <alignment horizontal="left" vertical="center" indent="1"/>
    </xf>
    <xf numFmtId="0" fontId="12" fillId="11" borderId="4374" applyNumberFormat="0" applyProtection="0">
      <alignment horizontal="left" vertical="top" indent="1"/>
    </xf>
    <xf numFmtId="4" fontId="226" fillId="11" borderId="4374" applyNumberFormat="0" applyProtection="0">
      <alignment vertical="center"/>
    </xf>
    <xf numFmtId="4" fontId="228" fillId="11" borderId="4374" applyNumberFormat="0" applyProtection="0">
      <alignment vertical="center"/>
    </xf>
    <xf numFmtId="4" fontId="227" fillId="52" borderId="4375" applyNumberFormat="0" applyProtection="0">
      <alignment horizontal="left" vertical="center" indent="1"/>
    </xf>
    <xf numFmtId="0" fontId="136" fillId="14" borderId="4374" applyNumberFormat="0" applyProtection="0">
      <alignment horizontal="left" vertical="top" indent="1"/>
    </xf>
    <xf numFmtId="4" fontId="184" fillId="11" borderId="4374" applyNumberFormat="0" applyProtection="0">
      <alignment horizontal="right" vertical="center"/>
    </xf>
    <xf numFmtId="4" fontId="228" fillId="11" borderId="4374" applyNumberFormat="0" applyProtection="0">
      <alignment horizontal="right" vertical="center"/>
    </xf>
    <xf numFmtId="4" fontId="223" fillId="52" borderId="4374" applyNumberFormat="0" applyProtection="0">
      <alignment horizontal="left" vertical="center" indent="1"/>
    </xf>
    <xf numFmtId="0" fontId="136" fillId="84" borderId="4374" applyNumberFormat="0" applyProtection="0">
      <alignment horizontal="left" vertical="top" indent="1"/>
    </xf>
    <xf numFmtId="4" fontId="229" fillId="84" borderId="4375" applyNumberFormat="0" applyProtection="0">
      <alignment horizontal="left" vertical="center" indent="1"/>
    </xf>
    <xf numFmtId="4" fontId="230" fillId="11" borderId="4374" applyNumberFormat="0" applyProtection="0">
      <alignment horizontal="right" vertical="center"/>
    </xf>
    <xf numFmtId="3" fontId="12" fillId="60" borderId="4376" applyFont="0" applyFill="0" applyBorder="0" applyAlignment="0" applyProtection="0"/>
    <xf numFmtId="4" fontId="12" fillId="60" borderId="4376" applyFont="0" applyFill="0" applyBorder="0" applyAlignment="0" applyProtection="0"/>
    <xf numFmtId="183" fontId="12" fillId="60" borderId="4376" applyFont="0" applyFill="0" applyBorder="0" applyAlignment="0" applyProtection="0"/>
    <xf numFmtId="10" fontId="12" fillId="60" borderId="4376" applyFont="0" applyFill="0" applyBorder="0" applyAlignment="0" applyProtection="0"/>
    <xf numFmtId="9" fontId="12" fillId="60" borderId="4376" applyFont="0" applyFill="0" applyBorder="0" applyAlignment="0" applyProtection="0"/>
    <xf numFmtId="2" fontId="12" fillId="60" borderId="4376" applyFont="0" applyFill="0" applyBorder="0" applyAlignment="0" applyProtection="0"/>
    <xf numFmtId="0" fontId="25" fillId="10" borderId="4372" applyNumberFormat="0" applyProtection="0">
      <alignment horizontal="center" vertical="top"/>
    </xf>
    <xf numFmtId="0" fontId="25" fillId="10" borderId="4372" applyNumberFormat="0" applyProtection="0">
      <alignment horizontal="center" vertical="top"/>
    </xf>
    <xf numFmtId="169" fontId="234" fillId="3" borderId="4372" applyFont="0" applyProtection="0"/>
    <xf numFmtId="169" fontId="234" fillId="10" borderId="4372" applyFont="0" applyProtection="0"/>
    <xf numFmtId="293" fontId="234" fillId="3" borderId="4372" applyFont="0" applyProtection="0"/>
    <xf numFmtId="293" fontId="234" fillId="10" borderId="4372" applyFont="0" applyProtection="0"/>
    <xf numFmtId="293" fontId="234" fillId="10" borderId="4372" applyFont="0" applyProtection="0"/>
    <xf numFmtId="0" fontId="12" fillId="3" borderId="4372" applyNumberFormat="0" applyFont="0" applyAlignment="0" applyProtection="0"/>
    <xf numFmtId="0" fontId="12" fillId="10" borderId="4372" applyNumberFormat="0" applyFont="0" applyAlignment="0" applyProtection="0"/>
    <xf numFmtId="0" fontId="12" fillId="10" borderId="4372" applyNumberFormat="0" applyFont="0" applyProtection="0"/>
    <xf numFmtId="0" fontId="25" fillId="10" borderId="4377" applyNumberFormat="0" applyProtection="0">
      <alignment horizontal="left"/>
    </xf>
    <xf numFmtId="0" fontId="25" fillId="10" borderId="4378" applyNumberFormat="0" applyProtection="0">
      <alignment horizontal="left" vertical="top"/>
    </xf>
    <xf numFmtId="0" fontId="25" fillId="10" borderId="4379" applyNumberFormat="0" applyProtection="0">
      <alignment horizontal="left" vertical="top"/>
    </xf>
    <xf numFmtId="0" fontId="25" fillId="10" borderId="4380" applyNumberFormat="0" applyProtection="0">
      <alignment horizontal="left" vertical="top"/>
    </xf>
    <xf numFmtId="0" fontId="25" fillId="10" borderId="4381" applyNumberFormat="0" applyProtection="0">
      <alignment horizontal="left" vertical="top"/>
    </xf>
    <xf numFmtId="0" fontId="25" fillId="10" borderId="4382" applyNumberFormat="0" applyProtection="0">
      <alignment horizontal="left" vertical="top"/>
    </xf>
    <xf numFmtId="0" fontId="25" fillId="10" borderId="4383" applyNumberFormat="0" applyProtection="0">
      <alignment horizontal="left" vertical="top"/>
    </xf>
    <xf numFmtId="0" fontId="12" fillId="0" borderId="4371" applyNumberFormat="0" applyFill="0" applyBorder="0" applyAlignment="0" applyProtection="0"/>
    <xf numFmtId="10" fontId="12" fillId="3" borderId="4384" applyNumberFormat="0" applyFont="0" applyFill="0" applyBorder="0" applyAlignment="0">
      <protection locked="0"/>
    </xf>
    <xf numFmtId="0" fontId="12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0" fontId="12" fillId="0" borderId="4537" applyNumberFormat="0" applyFill="0" applyBorder="0" applyAlignment="0" applyProtection="0">
      <alignment horizontal="center"/>
    </xf>
    <xf numFmtId="254" fontId="240" fillId="0" borderId="4549" applyBorder="0" applyProtection="0">
      <alignment horizontal="right" vertical="center"/>
    </xf>
    <xf numFmtId="264" fontId="12" fillId="14" borderId="4609" applyFont="0" applyFill="0" applyBorder="0" applyAlignment="0" applyProtection="0">
      <alignment horizontal="right"/>
    </xf>
    <xf numFmtId="0" fontId="25" fillId="10" borderId="4368" applyNumberFormat="0" applyProtection="0">
      <alignment horizontal="left" vertical="top"/>
    </xf>
    <xf numFmtId="254" fontId="240" fillId="0" borderId="4609" applyBorder="0" applyProtection="0">
      <alignment horizontal="right" vertical="center"/>
    </xf>
    <xf numFmtId="0" fontId="166" fillId="0" borderId="4549">
      <alignment horizontal="center"/>
    </xf>
    <xf numFmtId="186" fontId="146" fillId="3" borderId="4540">
      <alignment horizontal="left"/>
    </xf>
    <xf numFmtId="0" fontId="78" fillId="14" borderId="4418" applyFont="0" applyFill="0" applyBorder="0" applyAlignment="0" applyProtection="0"/>
    <xf numFmtId="246" fontId="249" fillId="0" borderId="4537" applyFill="0" applyProtection="0">
      <alignment horizontal="center"/>
    </xf>
    <xf numFmtId="0" fontId="78" fillId="14" borderId="4349" applyFont="0" applyFill="0" applyBorder="0" applyAlignment="0" applyProtection="0"/>
    <xf numFmtId="192" fontId="9" fillId="3" borderId="4537">
      <alignment horizontal="right" vertical="center"/>
    </xf>
    <xf numFmtId="222" fontId="79" fillId="0" borderId="4385" applyBorder="0"/>
    <xf numFmtId="0" fontId="101" fillId="0" borderId="4388" applyBorder="0"/>
    <xf numFmtId="222" fontId="79" fillId="0" borderId="4385" applyBorder="0"/>
    <xf numFmtId="0" fontId="113" fillId="0" borderId="4388" applyNumberFormat="0" applyFill="0" applyAlignment="0" applyProtection="0"/>
    <xf numFmtId="0" fontId="12" fillId="0" borderId="4388" applyNumberFormat="0" applyFill="0" applyBorder="0" applyAlignment="0" applyProtection="0">
      <alignment horizontal="center"/>
    </xf>
    <xf numFmtId="0" fontId="75" fillId="0" borderId="4538" applyNumberFormat="0" applyFont="0" applyFill="0" applyAlignment="0" applyProtection="0"/>
    <xf numFmtId="248" fontId="46" fillId="0" borderId="4388"/>
    <xf numFmtId="0" fontId="25" fillId="10" borderId="4581" applyNumberFormat="0" applyProtection="0">
      <alignment horizontal="left" vertical="top"/>
    </xf>
    <xf numFmtId="192" fontId="9" fillId="3" borderId="4428">
      <alignment horizontal="right" vertical="center"/>
    </xf>
    <xf numFmtId="192" fontId="9" fillId="3" borderId="4388">
      <alignment horizontal="right" vertical="center"/>
    </xf>
    <xf numFmtId="180" fontId="9" fillId="3" borderId="4388">
      <alignment horizontal="right" vertical="center"/>
    </xf>
    <xf numFmtId="186" fontId="146" fillId="3" borderId="4388" applyBorder="0">
      <alignment horizontal="left" vertical="center"/>
    </xf>
    <xf numFmtId="222" fontId="79" fillId="0" borderId="4560" applyBorder="0"/>
    <xf numFmtId="186" fontId="140" fillId="3" borderId="4327">
      <alignment horizontal="center" vertical="center"/>
    </xf>
    <xf numFmtId="188" fontId="25" fillId="0" borderId="4387" applyFont="0" applyFill="0" applyBorder="0" applyAlignment="0" applyProtection="0">
      <alignment horizontal="center"/>
    </xf>
    <xf numFmtId="2" fontId="12" fillId="14" borderId="4386" applyFill="0" applyBorder="0" applyProtection="0">
      <alignment horizontal="center"/>
    </xf>
    <xf numFmtId="0" fontId="5" fillId="0" borderId="4387">
      <alignment horizontal="left" vertical="center"/>
    </xf>
    <xf numFmtId="0" fontId="165" fillId="0" borderId="4388" applyFill="0" applyProtection="0">
      <alignment horizontal="center"/>
    </xf>
    <xf numFmtId="0" fontId="166" fillId="0" borderId="4388">
      <alignment horizontal="center"/>
    </xf>
    <xf numFmtId="188" fontId="25" fillId="0" borderId="4387" applyFont="0" applyFill="0" applyBorder="0" applyAlignment="0" applyProtection="0">
      <alignment horizontal="center"/>
    </xf>
    <xf numFmtId="264" fontId="12" fillId="14" borderId="4388" applyFont="0" applyFill="0" applyBorder="0" applyAlignment="0" applyProtection="0">
      <alignment horizontal="right"/>
    </xf>
    <xf numFmtId="188" fontId="25" fillId="0" borderId="4387" applyFont="0" applyFill="0" applyBorder="0" applyAlignment="0" applyProtection="0">
      <alignment horizontal="center"/>
    </xf>
    <xf numFmtId="0" fontId="12" fillId="0" borderId="4428" applyNumberFormat="0" applyFill="0" applyBorder="0" applyAlignment="0" applyProtection="0">
      <alignment horizontal="center"/>
    </xf>
    <xf numFmtId="192" fontId="9" fillId="3" borderId="4585">
      <alignment horizontal="right" vertical="center"/>
    </xf>
    <xf numFmtId="0" fontId="210" fillId="0" borderId="4388" applyNumberFormat="0" applyFill="0" applyBorder="0" applyAlignment="0">
      <protection locked="0"/>
    </xf>
    <xf numFmtId="0" fontId="214" fillId="0" borderId="4353" applyNumberFormat="0" applyFont="0" applyFill="0" applyAlignment="0" applyProtection="0"/>
    <xf numFmtId="0" fontId="25" fillId="10" borderId="4354" applyNumberFormat="0" applyProtection="0">
      <alignment horizontal="left" vertical="top"/>
    </xf>
    <xf numFmtId="0" fontId="25" fillId="10" borderId="4355" applyNumberFormat="0" applyProtection="0">
      <alignment horizontal="left" vertical="top"/>
    </xf>
    <xf numFmtId="0" fontId="25" fillId="10" borderId="4356" applyNumberFormat="0" applyProtection="0">
      <alignment horizontal="left" vertical="top"/>
    </xf>
    <xf numFmtId="0" fontId="25" fillId="10" borderId="4357" applyNumberFormat="0" applyProtection="0">
      <alignment horizontal="left" vertical="top"/>
    </xf>
    <xf numFmtId="0" fontId="25" fillId="10" borderId="4354" applyNumberFormat="0" applyProtection="0">
      <alignment horizontal="left" vertical="top"/>
    </xf>
    <xf numFmtId="0" fontId="25" fillId="10" borderId="4355" applyNumberFormat="0" applyProtection="0">
      <alignment horizontal="left" vertical="top"/>
    </xf>
    <xf numFmtId="0" fontId="25" fillId="10" borderId="4356" applyNumberFormat="0" applyProtection="0">
      <alignment horizontal="left" vertical="top"/>
    </xf>
    <xf numFmtId="0" fontId="25" fillId="10" borderId="4357" applyNumberFormat="0" applyProtection="0">
      <alignment horizontal="left" vertical="top"/>
    </xf>
    <xf numFmtId="254" fontId="240" fillId="0" borderId="4388" applyBorder="0" applyProtection="0">
      <alignment horizontal="right" vertical="center"/>
    </xf>
    <xf numFmtId="0" fontId="241" fillId="94" borderId="4388" applyBorder="0" applyProtection="0">
      <alignment horizontal="centerContinuous" vertical="center"/>
    </xf>
    <xf numFmtId="1" fontId="74" fillId="0" borderId="4387" applyFill="0" applyBorder="0" applyProtection="0">
      <alignment horizontal="right"/>
    </xf>
    <xf numFmtId="246" fontId="249" fillId="0" borderId="4388" applyFill="0" applyProtection="0">
      <alignment horizontal="center"/>
    </xf>
    <xf numFmtId="246" fontId="250" fillId="0" borderId="4388" applyFill="0" applyProtection="0">
      <alignment horizontal="center"/>
    </xf>
    <xf numFmtId="264" fontId="12" fillId="14" borderId="4537" applyFont="0" applyFill="0" applyBorder="0" applyAlignment="0" applyProtection="0">
      <alignment horizontal="right"/>
    </xf>
    <xf numFmtId="248" fontId="46" fillId="0" borderId="4537"/>
    <xf numFmtId="188" fontId="25" fillId="0" borderId="4387" applyFont="0" applyFill="0" applyBorder="0" applyAlignment="0" applyProtection="0">
      <alignment horizontal="center"/>
    </xf>
    <xf numFmtId="264" fontId="12" fillId="14" borderId="4537" applyFont="0" applyFill="0" applyBorder="0" applyAlignment="0" applyProtection="0">
      <alignment horizontal="right"/>
    </xf>
    <xf numFmtId="246" fontId="250" fillId="0" borderId="4549" applyFill="0" applyProtection="0">
      <alignment horizontal="center"/>
    </xf>
    <xf numFmtId="0" fontId="101" fillId="0" borderId="4537" applyBorder="0"/>
    <xf numFmtId="0" fontId="166" fillId="0" borderId="4537">
      <alignment horizontal="center"/>
    </xf>
    <xf numFmtId="0" fontId="12" fillId="0" borderId="4371" applyNumberFormat="0" applyFill="0" applyBorder="0" applyAlignment="0" applyProtection="0"/>
    <xf numFmtId="0" fontId="46" fillId="0" borderId="4371" applyNumberFormat="0" applyFill="0" applyBorder="0" applyAlignment="0" applyProtection="0"/>
    <xf numFmtId="0" fontId="105" fillId="0" borderId="4371" applyNumberFormat="0" applyFill="0" applyBorder="0" applyAlignment="0" applyProtection="0"/>
    <xf numFmtId="0" fontId="48" fillId="0" borderId="4371" applyNumberFormat="0" applyFill="0" applyAlignment="0" applyProtection="0"/>
    <xf numFmtId="5" fontId="114" fillId="0" borderId="4370" applyAlignment="0" applyProtection="0"/>
    <xf numFmtId="0" fontId="74" fillId="0" borderId="4370" applyFont="0" applyFill="0" applyBorder="0" applyAlignment="0" applyProtection="0">
      <alignment horizontal="center"/>
    </xf>
    <xf numFmtId="0" fontId="48" fillId="0" borderId="4370" applyFont="0" applyFill="0" applyBorder="0" applyAlignment="0" applyProtection="0">
      <alignment horizontal="center"/>
    </xf>
    <xf numFmtId="182" fontId="145" fillId="3" borderId="4370">
      <alignment horizontal="right" vertical="center"/>
    </xf>
    <xf numFmtId="186" fontId="48" fillId="3" borderId="4370">
      <alignment vertical="center"/>
    </xf>
    <xf numFmtId="0" fontId="135" fillId="0" borderId="4372"/>
    <xf numFmtId="0" fontId="135" fillId="0" borderId="4372"/>
    <xf numFmtId="1" fontId="154" fillId="65" borderId="3085" applyNumberFormat="0" applyBorder="0" applyAlignment="0">
      <alignment horizontal="centerContinuous" vertical="center"/>
      <protection locked="0"/>
    </xf>
    <xf numFmtId="0" fontId="159" fillId="0" borderId="4372"/>
    <xf numFmtId="0" fontId="159" fillId="67" borderId="4372"/>
    <xf numFmtId="0" fontId="25" fillId="69" borderId="4372">
      <alignment horizontal="left" vertical="center" wrapText="1"/>
    </xf>
    <xf numFmtId="0" fontId="184" fillId="0" borderId="4373" applyAlignment="0">
      <alignment horizontal="left" wrapText="1"/>
    </xf>
    <xf numFmtId="188" fontId="25" fillId="0" borderId="4387" applyFont="0" applyFill="0" applyBorder="0" applyAlignment="0" applyProtection="0">
      <alignment horizontal="center"/>
    </xf>
    <xf numFmtId="4" fontId="223" fillId="53" borderId="4374" applyNumberFormat="0" applyProtection="0">
      <alignment vertical="center"/>
    </xf>
    <xf numFmtId="4" fontId="224" fillId="53" borderId="4374" applyNumberFormat="0" applyProtection="0">
      <alignment vertical="center"/>
    </xf>
    <xf numFmtId="4" fontId="184" fillId="53" borderId="4374" applyNumberFormat="0" applyProtection="0">
      <alignment horizontal="left" vertical="center" indent="1"/>
    </xf>
    <xf numFmtId="0" fontId="225" fillId="53" borderId="4374" applyNumberFormat="0" applyProtection="0">
      <alignment horizontal="left" vertical="top" indent="1"/>
    </xf>
    <xf numFmtId="4" fontId="226" fillId="76" borderId="4374" applyNumberFormat="0" applyProtection="0">
      <alignment horizontal="right" vertical="center"/>
    </xf>
    <xf numFmtId="4" fontId="226" fillId="77" borderId="4374" applyNumberFormat="0" applyProtection="0">
      <alignment horizontal="right" vertical="center"/>
    </xf>
    <xf numFmtId="4" fontId="226" fillId="78" borderId="4374" applyNumberFormat="0" applyProtection="0">
      <alignment horizontal="right" vertical="center"/>
    </xf>
    <xf numFmtId="4" fontId="226" fillId="10" borderId="4374" applyNumberFormat="0" applyProtection="0">
      <alignment horizontal="right" vertical="center"/>
    </xf>
    <xf numFmtId="4" fontId="226" fillId="79" borderId="4374" applyNumberFormat="0" applyProtection="0">
      <alignment horizontal="right" vertical="center"/>
    </xf>
    <xf numFmtId="4" fontId="226" fillId="71" borderId="4374" applyNumberFormat="0" applyProtection="0">
      <alignment horizontal="right" vertical="center"/>
    </xf>
    <xf numFmtId="4" fontId="226" fillId="80" borderId="4374" applyNumberFormat="0" applyProtection="0">
      <alignment horizontal="right" vertical="center"/>
    </xf>
    <xf numFmtId="4" fontId="226" fillId="81" borderId="4374" applyNumberFormat="0" applyProtection="0">
      <alignment horizontal="right" vertical="center"/>
    </xf>
    <xf numFmtId="4" fontId="226" fillId="82" borderId="4374" applyNumberFormat="0" applyProtection="0">
      <alignment horizontal="right" vertical="center"/>
    </xf>
    <xf numFmtId="4" fontId="184" fillId="52" borderId="4374" applyNumberFormat="0" applyProtection="0">
      <alignment horizontal="right" vertical="center"/>
    </xf>
    <xf numFmtId="0" fontId="12" fillId="75" borderId="4374" applyNumberFormat="0" applyProtection="0">
      <alignment horizontal="left" vertical="center" indent="1"/>
    </xf>
    <xf numFmtId="0" fontId="12" fillId="75" borderId="4374" applyNumberFormat="0" applyProtection="0">
      <alignment horizontal="left" vertical="top" indent="1"/>
    </xf>
    <xf numFmtId="0" fontId="12" fillId="84" borderId="4374" applyNumberFormat="0" applyProtection="0">
      <alignment horizontal="left" vertical="center" indent="1"/>
    </xf>
    <xf numFmtId="0" fontId="12" fillId="84" borderId="4374" applyNumberFormat="0" applyProtection="0">
      <alignment horizontal="left" vertical="top" indent="1"/>
    </xf>
    <xf numFmtId="0" fontId="12" fillId="52" borderId="4374" applyNumberFormat="0" applyProtection="0">
      <alignment horizontal="left" vertical="center" indent="1"/>
    </xf>
    <xf numFmtId="0" fontId="12" fillId="52" borderId="4374" applyNumberFormat="0" applyProtection="0">
      <alignment horizontal="left" vertical="top" indent="1"/>
    </xf>
    <xf numFmtId="0" fontId="12" fillId="11" borderId="4374" applyNumberFormat="0" applyProtection="0">
      <alignment horizontal="left" vertical="center" indent="1"/>
    </xf>
    <xf numFmtId="0" fontId="12" fillId="11" borderId="4374" applyNumberFormat="0" applyProtection="0">
      <alignment horizontal="left" vertical="top" indent="1"/>
    </xf>
    <xf numFmtId="4" fontId="226" fillId="11" borderId="4374" applyNumberFormat="0" applyProtection="0">
      <alignment vertical="center"/>
    </xf>
    <xf numFmtId="4" fontId="228" fillId="11" borderId="4374" applyNumberFormat="0" applyProtection="0">
      <alignment vertical="center"/>
    </xf>
    <xf numFmtId="4" fontId="227" fillId="52" borderId="4375" applyNumberFormat="0" applyProtection="0">
      <alignment horizontal="left" vertical="center" indent="1"/>
    </xf>
    <xf numFmtId="0" fontId="136" fillId="14" borderId="4374" applyNumberFormat="0" applyProtection="0">
      <alignment horizontal="left" vertical="top" indent="1"/>
    </xf>
    <xf numFmtId="4" fontId="184" fillId="11" borderId="4374" applyNumberFormat="0" applyProtection="0">
      <alignment horizontal="right" vertical="center"/>
    </xf>
    <xf numFmtId="4" fontId="228" fillId="11" borderId="4374" applyNumberFormat="0" applyProtection="0">
      <alignment horizontal="right" vertical="center"/>
    </xf>
    <xf numFmtId="4" fontId="223" fillId="52" borderId="4374" applyNumberFormat="0" applyProtection="0">
      <alignment horizontal="left" vertical="center" indent="1"/>
    </xf>
    <xf numFmtId="0" fontId="136" fillId="84" borderId="4374" applyNumberFormat="0" applyProtection="0">
      <alignment horizontal="left" vertical="top" indent="1"/>
    </xf>
    <xf numFmtId="4" fontId="229" fillId="84" borderId="4375" applyNumberFormat="0" applyProtection="0">
      <alignment horizontal="left" vertical="center" indent="1"/>
    </xf>
    <xf numFmtId="4" fontId="230" fillId="11" borderId="4374" applyNumberFormat="0" applyProtection="0">
      <alignment horizontal="right" vertical="center"/>
    </xf>
    <xf numFmtId="3" fontId="12" fillId="60" borderId="4376" applyFont="0" applyFill="0" applyBorder="0" applyAlignment="0" applyProtection="0"/>
    <xf numFmtId="4" fontId="12" fillId="60" borderId="4376" applyFont="0" applyFill="0" applyBorder="0" applyAlignment="0" applyProtection="0"/>
    <xf numFmtId="183" fontId="12" fillId="60" borderId="4376" applyFont="0" applyFill="0" applyBorder="0" applyAlignment="0" applyProtection="0"/>
    <xf numFmtId="10" fontId="12" fillId="60" borderId="4376" applyFont="0" applyFill="0" applyBorder="0" applyAlignment="0" applyProtection="0"/>
    <xf numFmtId="9" fontId="12" fillId="60" borderId="4376" applyFont="0" applyFill="0" applyBorder="0" applyAlignment="0" applyProtection="0"/>
    <xf numFmtId="2" fontId="12" fillId="60" borderId="4376" applyFont="0" applyFill="0" applyBorder="0" applyAlignment="0" applyProtection="0"/>
    <xf numFmtId="0" fontId="25" fillId="10" borderId="4372" applyNumberFormat="0" applyProtection="0">
      <alignment horizontal="center" vertical="top"/>
    </xf>
    <xf numFmtId="0" fontId="25" fillId="10" borderId="4372" applyNumberFormat="0" applyProtection="0">
      <alignment horizontal="center" vertical="top"/>
    </xf>
    <xf numFmtId="169" fontId="234" fillId="3" borderId="4372" applyFont="0" applyProtection="0"/>
    <xf numFmtId="169" fontId="234" fillId="10" borderId="4372" applyFont="0" applyProtection="0"/>
    <xf numFmtId="293" fontId="234" fillId="3" borderId="4372" applyFont="0" applyProtection="0"/>
    <xf numFmtId="293" fontId="234" fillId="10" borderId="4372" applyFont="0" applyProtection="0"/>
    <xf numFmtId="293" fontId="234" fillId="10" borderId="4372" applyFont="0" applyProtection="0"/>
    <xf numFmtId="0" fontId="12" fillId="3" borderId="4372" applyNumberFormat="0" applyFont="0" applyAlignment="0" applyProtection="0"/>
    <xf numFmtId="0" fontId="12" fillId="10" borderId="4372" applyNumberFormat="0" applyFont="0" applyAlignment="0" applyProtection="0"/>
    <xf numFmtId="0" fontId="12" fillId="10" borderId="4372" applyNumberFormat="0" applyFont="0" applyProtection="0"/>
    <xf numFmtId="0" fontId="25" fillId="10" borderId="4377" applyNumberFormat="0" applyProtection="0">
      <alignment horizontal="left"/>
    </xf>
    <xf numFmtId="0" fontId="25" fillId="10" borderId="4378" applyNumberFormat="0" applyProtection="0">
      <alignment horizontal="left" vertical="top"/>
    </xf>
    <xf numFmtId="0" fontId="25" fillId="10" borderId="4379" applyNumberFormat="0" applyProtection="0">
      <alignment horizontal="left" vertical="top"/>
    </xf>
    <xf numFmtId="0" fontId="25" fillId="10" borderId="4380" applyNumberFormat="0" applyProtection="0">
      <alignment horizontal="left" vertical="top"/>
    </xf>
    <xf numFmtId="0" fontId="25" fillId="10" borderId="4381" applyNumberFormat="0" applyProtection="0">
      <alignment horizontal="left" vertical="top"/>
    </xf>
    <xf numFmtId="0" fontId="25" fillId="10" borderId="4382" applyNumberFormat="0" applyProtection="0">
      <alignment horizontal="left" vertical="top"/>
    </xf>
    <xf numFmtId="0" fontId="25" fillId="10" borderId="4383" applyNumberFormat="0" applyProtection="0">
      <alignment horizontal="left" vertical="top"/>
    </xf>
    <xf numFmtId="0" fontId="12" fillId="0" borderId="4371" applyNumberFormat="0" applyFill="0" applyBorder="0" applyAlignment="0" applyProtection="0"/>
    <xf numFmtId="10" fontId="12" fillId="3" borderId="4384" applyNumberFormat="0" applyFont="0" applyFill="0" applyBorder="0" applyAlignment="0">
      <protection locked="0"/>
    </xf>
    <xf numFmtId="0" fontId="12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186" fontId="146" fillId="3" borderId="4537" applyBorder="0">
      <alignment horizontal="left" vertical="center"/>
    </xf>
    <xf numFmtId="0" fontId="101" fillId="0" borderId="4549" applyBorder="0"/>
    <xf numFmtId="10" fontId="12" fillId="3" borderId="4384" applyNumberFormat="0" applyFont="0" applyFill="0" applyBorder="0" applyAlignment="0">
      <protection locked="0"/>
    </xf>
    <xf numFmtId="188" fontId="25" fillId="0" borderId="4387" applyFont="0" applyFill="0" applyBorder="0" applyAlignment="0" applyProtection="0">
      <alignment horizontal="center"/>
    </xf>
    <xf numFmtId="186" fontId="146" fillId="3" borderId="4254">
      <alignment horizontal="left"/>
    </xf>
    <xf numFmtId="0" fontId="113" fillId="0" borderId="4428" applyNumberFormat="0" applyFill="0" applyAlignment="0" applyProtection="0"/>
    <xf numFmtId="0" fontId="25" fillId="10" borderId="4582" applyNumberFormat="0" applyProtection="0">
      <alignment horizontal="left" vertical="top"/>
    </xf>
    <xf numFmtId="246" fontId="250" fillId="0" borderId="4428" applyFill="0" applyProtection="0">
      <alignment horizontal="center"/>
    </xf>
    <xf numFmtId="0" fontId="75" fillId="0" borderId="4252" applyNumberFormat="0" applyFont="0" applyFill="0" applyAlignment="0" applyProtection="0"/>
    <xf numFmtId="10" fontId="12" fillId="3" borderId="4384" applyNumberFormat="0" applyFont="0" applyFill="0" applyBorder="0" applyAlignment="0">
      <protection locked="0"/>
    </xf>
    <xf numFmtId="186" fontId="146" fillId="3" borderId="4549" applyBorder="0">
      <alignment horizontal="left" vertical="center"/>
    </xf>
    <xf numFmtId="180" fontId="9" fillId="3" borderId="4549">
      <alignment horizontal="right" vertical="center"/>
    </xf>
    <xf numFmtId="10" fontId="12" fillId="3" borderId="4384" applyNumberFormat="0" applyFont="0" applyFill="0" applyBorder="0" applyAlignment="0">
      <protection locked="0"/>
    </xf>
    <xf numFmtId="222" fontId="79" fillId="0" borderId="4385" applyBorder="0"/>
    <xf numFmtId="10" fontId="12" fillId="3" borderId="4384" applyNumberFormat="0" applyFont="0" applyFill="0" applyBorder="0" applyAlignment="0">
      <protection locked="0"/>
    </xf>
    <xf numFmtId="190" fontId="113" fillId="0" borderId="4609" applyNumberFormat="0" applyFill="0" applyAlignment="0" applyProtection="0"/>
    <xf numFmtId="0" fontId="101" fillId="0" borderId="4388" applyBorder="0"/>
    <xf numFmtId="222" fontId="79" fillId="0" borderId="4385" applyBorder="0"/>
    <xf numFmtId="0" fontId="113" fillId="0" borderId="4388" applyNumberFormat="0" applyFill="0" applyAlignment="0" applyProtection="0"/>
    <xf numFmtId="0" fontId="12" fillId="0" borderId="4388" applyNumberFormat="0" applyFill="0" applyBorder="0" applyAlignment="0" applyProtection="0">
      <alignment horizontal="center"/>
    </xf>
    <xf numFmtId="248" fontId="46" fillId="0" borderId="4388"/>
    <xf numFmtId="0" fontId="25" fillId="10" borderId="4605" applyNumberFormat="0" applyProtection="0">
      <alignment horizontal="left" vertical="top"/>
    </xf>
    <xf numFmtId="186" fontId="146" fillId="3" borderId="4576">
      <alignment horizontal="left"/>
    </xf>
    <xf numFmtId="248" fontId="46" fillId="0" borderId="4428"/>
    <xf numFmtId="192" fontId="9" fillId="3" borderId="4388">
      <alignment horizontal="right" vertical="center"/>
    </xf>
    <xf numFmtId="180" fontId="9" fillId="3" borderId="4388">
      <alignment horizontal="right" vertical="center"/>
    </xf>
    <xf numFmtId="186" fontId="146" fillId="3" borderId="4388" applyBorder="0">
      <alignment horizontal="left" vertical="center"/>
    </xf>
    <xf numFmtId="0" fontId="165" fillId="0" borderId="4388" applyFill="0" applyProtection="0">
      <alignment horizontal="center"/>
    </xf>
    <xf numFmtId="0" fontId="166" fillId="0" borderId="4388">
      <alignment horizontal="center"/>
    </xf>
    <xf numFmtId="264" fontId="12" fillId="14" borderId="4388" applyFont="0" applyFill="0" applyBorder="0" applyAlignment="0" applyProtection="0">
      <alignment horizontal="right"/>
    </xf>
    <xf numFmtId="0" fontId="210" fillId="0" borderId="4388" applyNumberFormat="0" applyFill="0" applyBorder="0" applyAlignment="0">
      <protection locked="0"/>
    </xf>
    <xf numFmtId="254" fontId="240" fillId="0" borderId="4388" applyBorder="0" applyProtection="0">
      <alignment horizontal="right" vertical="center"/>
    </xf>
    <xf numFmtId="0" fontId="241" fillId="94" borderId="4388" applyBorder="0" applyProtection="0">
      <alignment horizontal="centerContinuous" vertical="center"/>
    </xf>
    <xf numFmtId="246" fontId="249" fillId="0" borderId="4388" applyFill="0" applyProtection="0">
      <alignment horizontal="center"/>
    </xf>
    <xf numFmtId="246" fontId="250" fillId="0" borderId="4388" applyFill="0" applyProtection="0">
      <alignment horizontal="center"/>
    </xf>
    <xf numFmtId="248" fontId="46" fillId="0" borderId="4549"/>
    <xf numFmtId="0" fontId="12" fillId="0" borderId="4549" applyNumberFormat="0" applyFill="0" applyBorder="0" applyAlignment="0" applyProtection="0">
      <alignment horizontal="center"/>
    </xf>
    <xf numFmtId="192" fontId="9" fillId="3" borderId="4549">
      <alignment horizontal="right" vertical="center"/>
    </xf>
    <xf numFmtId="0" fontId="78" fillId="14" borderId="4418" applyFont="0" applyFill="0" applyBorder="0" applyAlignment="0" applyProtection="0"/>
    <xf numFmtId="0" fontId="2" fillId="0" borderId="4542" applyNumberFormat="0" applyAlignment="0" applyProtection="0"/>
    <xf numFmtId="222" fontId="79" fillId="0" borderId="4548" applyBorder="0"/>
    <xf numFmtId="10" fontId="12" fillId="3" borderId="4384" applyNumberFormat="0" applyFont="0" applyFill="0" applyBorder="0" applyAlignment="0">
      <protection locked="0"/>
    </xf>
    <xf numFmtId="0" fontId="101" fillId="0" borderId="4549" applyBorder="0"/>
    <xf numFmtId="10" fontId="12" fillId="3" borderId="4384" applyNumberFormat="0" applyFont="0" applyFill="0" applyBorder="0" applyAlignment="0">
      <protection locked="0"/>
    </xf>
    <xf numFmtId="222" fontId="79" fillId="0" borderId="4548" applyBorder="0"/>
    <xf numFmtId="0" fontId="25" fillId="10" borderId="4545" applyNumberFormat="0" applyProtection="0">
      <alignment horizontal="left" vertical="top"/>
    </xf>
    <xf numFmtId="0" fontId="25" fillId="10" borderId="4546" applyNumberFormat="0" applyProtection="0">
      <alignment horizontal="left" vertical="top"/>
    </xf>
    <xf numFmtId="0" fontId="25" fillId="10" borderId="4547" applyNumberFormat="0" applyProtection="0">
      <alignment horizontal="left" vertical="top"/>
    </xf>
    <xf numFmtId="0" fontId="75" fillId="0" borderId="4550" applyNumberFormat="0" applyFont="0" applyFill="0" applyAlignment="0" applyProtection="0"/>
    <xf numFmtId="222" fontId="79" fillId="0" borderId="4548" applyBorder="0"/>
    <xf numFmtId="310" fontId="267" fillId="0" borderId="4389">
      <alignment horizontal="left"/>
    </xf>
    <xf numFmtId="0" fontId="25" fillId="10" borderId="4545" applyNumberFormat="0" applyProtection="0">
      <alignment horizontal="left" vertical="top"/>
    </xf>
    <xf numFmtId="307" fontId="268" fillId="0" borderId="4389">
      <alignment horizontal="right" wrapText="1"/>
    </xf>
    <xf numFmtId="0" fontId="25" fillId="10" borderId="4544" applyNumberFormat="0" applyProtection="0">
      <alignment horizontal="left" vertical="top"/>
    </xf>
    <xf numFmtId="0" fontId="25" fillId="10" borderId="4545" applyNumberFormat="0" applyProtection="0">
      <alignment horizontal="left" vertical="top"/>
    </xf>
    <xf numFmtId="186" fontId="146" fillId="3" borderId="4362">
      <alignment horizontal="left"/>
    </xf>
    <xf numFmtId="0" fontId="75" fillId="0" borderId="4360" applyNumberFormat="0" applyFont="0" applyFill="0" applyAlignment="0" applyProtection="0"/>
    <xf numFmtId="0" fontId="214" fillId="0" borderId="4543" applyNumberFormat="0" applyFont="0" applyFill="0" applyAlignment="0" applyProtection="0"/>
    <xf numFmtId="0" fontId="78" fillId="14" borderId="4539" applyFont="0" applyFill="0" applyBorder="0" applyAlignment="0" applyProtection="0"/>
    <xf numFmtId="186" fontId="140" fillId="3" borderId="4613">
      <alignment horizontal="center" vertical="center"/>
    </xf>
    <xf numFmtId="180" fontId="9" fillId="3" borderId="4609">
      <alignment horizontal="right" vertical="center"/>
    </xf>
    <xf numFmtId="0" fontId="12" fillId="0" borderId="4609" applyNumberFormat="0" applyFill="0" applyBorder="0" applyAlignment="0" applyProtection="0">
      <alignment horizontal="center"/>
    </xf>
    <xf numFmtId="222" fontId="79" fillId="0" borderId="4608" applyBorder="0"/>
    <xf numFmtId="0" fontId="113" fillId="0" borderId="4428" applyNumberFormat="0" applyFill="0" applyAlignment="0" applyProtection="0"/>
    <xf numFmtId="264" fontId="12" fillId="14" borderId="4428" applyFont="0" applyFill="0" applyBorder="0" applyAlignment="0" applyProtection="0">
      <alignment horizontal="right"/>
    </xf>
    <xf numFmtId="246" fontId="249" fillId="0" borderId="4428" applyFill="0" applyProtection="0">
      <alignment horizontal="center"/>
    </xf>
    <xf numFmtId="0" fontId="25" fillId="10" borderId="4369" applyNumberFormat="0" applyProtection="0">
      <alignment horizontal="left" vertical="top"/>
    </xf>
    <xf numFmtId="0" fontId="25" fillId="10" borderId="4367" applyNumberFormat="0" applyProtection="0">
      <alignment horizontal="left" vertical="top"/>
    </xf>
    <xf numFmtId="0" fontId="25" fillId="10" borderId="4368" applyNumberFormat="0" applyProtection="0">
      <alignment horizontal="left" vertical="top"/>
    </xf>
    <xf numFmtId="0" fontId="25" fillId="10" borderId="4366" applyNumberFormat="0" applyProtection="0">
      <alignment horizontal="left" vertical="top"/>
    </xf>
    <xf numFmtId="0" fontId="25" fillId="10" borderId="4369" applyNumberFormat="0" applyProtection="0">
      <alignment horizontal="left" vertical="top"/>
    </xf>
    <xf numFmtId="0" fontId="25" fillId="10" borderId="4368" applyNumberFormat="0" applyProtection="0">
      <alignment horizontal="left" vertical="top"/>
    </xf>
    <xf numFmtId="0" fontId="25" fillId="10" borderId="4367" applyNumberFormat="0" applyProtection="0">
      <alignment horizontal="left" vertical="top"/>
    </xf>
    <xf numFmtId="0" fontId="25" fillId="10" borderId="4366" applyNumberFormat="0" applyProtection="0">
      <alignment horizontal="left" vertical="top"/>
    </xf>
    <xf numFmtId="0" fontId="214" fillId="0" borderId="4365" applyNumberFormat="0" applyFont="0" applyFill="0" applyAlignment="0" applyProtection="0"/>
    <xf numFmtId="0" fontId="2" fillId="0" borderId="4364" applyNumberFormat="0" applyAlignment="0" applyProtection="0"/>
    <xf numFmtId="186" fontId="140" fillId="3" borderId="4363">
      <alignment horizontal="center" vertical="center"/>
    </xf>
    <xf numFmtId="186" fontId="140" fillId="3" borderId="4327">
      <alignment horizontal="center" vertical="center"/>
    </xf>
    <xf numFmtId="0" fontId="25" fillId="10" borderId="4354" applyNumberFormat="0" applyProtection="0">
      <alignment horizontal="left" vertical="top"/>
    </xf>
    <xf numFmtId="0" fontId="12" fillId="0" borderId="4428" applyNumberFormat="0" applyFill="0" applyBorder="0" applyAlignment="0" applyProtection="0">
      <alignment horizontal="center"/>
    </xf>
    <xf numFmtId="0" fontId="25" fillId="10" borderId="4425" applyNumberFormat="0" applyProtection="0">
      <alignment horizontal="left" vertical="top"/>
    </xf>
    <xf numFmtId="0" fontId="78" fillId="14" borderId="4539" applyFont="0" applyFill="0" applyBorder="0" applyAlignment="0" applyProtection="0"/>
    <xf numFmtId="222" fontId="79" fillId="0" borderId="4415" applyBorder="0"/>
    <xf numFmtId="0" fontId="78" fillId="14" borderId="4418" applyFont="0" applyFill="0" applyBorder="0" applyAlignment="0" applyProtection="0"/>
    <xf numFmtId="222" fontId="79" fillId="0" borderId="4427" applyBorder="0"/>
    <xf numFmtId="0" fontId="101" fillId="0" borderId="4428" applyBorder="0"/>
    <xf numFmtId="222" fontId="79" fillId="0" borderId="4427" applyBorder="0"/>
    <xf numFmtId="248" fontId="46" fillId="0" borderId="4428"/>
    <xf numFmtId="192" fontId="9" fillId="3" borderId="4428">
      <alignment horizontal="right" vertical="center"/>
    </xf>
    <xf numFmtId="180" fontId="9" fillId="3" borderId="4428">
      <alignment horizontal="right" vertical="center"/>
    </xf>
    <xf numFmtId="186" fontId="146" fillId="3" borderId="4428" applyBorder="0">
      <alignment horizontal="left" vertical="center"/>
    </xf>
    <xf numFmtId="0" fontId="165" fillId="0" borderId="4428" applyFill="0" applyProtection="0">
      <alignment horizontal="center"/>
    </xf>
    <xf numFmtId="0" fontId="210" fillId="0" borderId="4428" applyNumberFormat="0" applyFill="0" applyBorder="0" applyAlignment="0">
      <protection locked="0"/>
    </xf>
    <xf numFmtId="254" fontId="240" fillId="0" borderId="4428" applyBorder="0" applyProtection="0">
      <alignment horizontal="right" vertical="center"/>
    </xf>
    <xf numFmtId="246" fontId="250" fillId="0" borderId="4428" applyFill="0" applyProtection="0">
      <alignment horizontal="center"/>
    </xf>
    <xf numFmtId="10" fontId="12" fillId="3" borderId="4384" applyNumberFormat="0" applyFont="0" applyFill="0" applyBorder="0" applyAlignment="0">
      <protection locked="0"/>
    </xf>
    <xf numFmtId="222" fontId="79" fillId="0" borderId="4385" applyBorder="0"/>
    <xf numFmtId="0" fontId="25" fillId="10" borderId="4355" applyNumberFormat="0" applyProtection="0">
      <alignment horizontal="left" vertical="top"/>
    </xf>
    <xf numFmtId="0" fontId="25" fillId="10" borderId="4357" applyNumberFormat="0" applyProtection="0">
      <alignment horizontal="left" vertical="top"/>
    </xf>
    <xf numFmtId="0" fontId="25" fillId="10" borderId="4354" applyNumberFormat="0" applyProtection="0">
      <alignment horizontal="left" vertical="top"/>
    </xf>
    <xf numFmtId="0" fontId="25" fillId="10" borderId="4355" applyNumberFormat="0" applyProtection="0">
      <alignment horizontal="left" vertical="top"/>
    </xf>
    <xf numFmtId="0" fontId="25" fillId="10" borderId="4356" applyNumberFormat="0" applyProtection="0">
      <alignment horizontal="left" vertical="top"/>
    </xf>
    <xf numFmtId="0" fontId="75" fillId="0" borderId="4360" applyNumberFormat="0" applyFont="0" applyFill="0" applyAlignment="0" applyProtection="0"/>
    <xf numFmtId="0" fontId="101" fillId="0" borderId="4388" applyBorder="0"/>
    <xf numFmtId="222" fontId="79" fillId="0" borderId="4385" applyBorder="0"/>
    <xf numFmtId="0" fontId="113" fillId="0" borderId="4388" applyNumberFormat="0" applyFill="0" applyAlignment="0" applyProtection="0"/>
    <xf numFmtId="0" fontId="12" fillId="0" borderId="4388" applyNumberFormat="0" applyFill="0" applyBorder="0" applyAlignment="0" applyProtection="0">
      <alignment horizontal="center"/>
    </xf>
    <xf numFmtId="248" fontId="46" fillId="0" borderId="4388"/>
    <xf numFmtId="192" fontId="9" fillId="3" borderId="4388">
      <alignment horizontal="right" vertical="center"/>
    </xf>
    <xf numFmtId="180" fontId="9" fillId="3" borderId="4388">
      <alignment horizontal="right" vertical="center"/>
    </xf>
    <xf numFmtId="186" fontId="146" fillId="3" borderId="4388" applyBorder="0">
      <alignment horizontal="left" vertical="center"/>
    </xf>
    <xf numFmtId="0" fontId="166" fillId="0" borderId="4388">
      <alignment horizontal="center"/>
    </xf>
    <xf numFmtId="0" fontId="210" fillId="0" borderId="4388" applyNumberFormat="0" applyFill="0" applyBorder="0" applyAlignment="0">
      <protection locked="0"/>
    </xf>
    <xf numFmtId="264" fontId="12" fillId="14" borderId="4388" applyFont="0" applyFill="0" applyBorder="0" applyAlignment="0" applyProtection="0">
      <alignment horizontal="right"/>
    </xf>
    <xf numFmtId="246" fontId="249" fillId="0" borderId="4388" applyFill="0" applyProtection="0">
      <alignment horizontal="center"/>
    </xf>
    <xf numFmtId="246" fontId="250" fillId="0" borderId="4388" applyFill="0" applyProtection="0">
      <alignment horizontal="center"/>
    </xf>
    <xf numFmtId="246" fontId="250" fillId="0" borderId="4404" applyFill="0" applyProtection="0">
      <alignment horizontal="center"/>
    </xf>
    <xf numFmtId="246" fontId="249" fillId="0" borderId="4404" applyFill="0" applyProtection="0">
      <alignment horizontal="center"/>
    </xf>
    <xf numFmtId="254" fontId="240" fillId="0" borderId="4404" applyBorder="0" applyProtection="0">
      <alignment horizontal="right" vertical="center"/>
    </xf>
    <xf numFmtId="264" fontId="12" fillId="14" borderId="4404" applyFont="0" applyFill="0" applyBorder="0" applyAlignment="0" applyProtection="0">
      <alignment horizontal="right"/>
    </xf>
    <xf numFmtId="0" fontId="165" fillId="0" borderId="4404" applyFill="0" applyProtection="0">
      <alignment horizontal="center"/>
    </xf>
    <xf numFmtId="180" fontId="9" fillId="3" borderId="4404">
      <alignment horizontal="right" vertical="center"/>
    </xf>
    <xf numFmtId="0" fontId="12" fillId="0" borderId="4404" applyNumberFormat="0" applyFill="0" applyBorder="0" applyAlignment="0" applyProtection="0">
      <alignment horizontal="center"/>
    </xf>
    <xf numFmtId="0" fontId="101" fillId="0" borderId="4404" applyBorder="0"/>
    <xf numFmtId="222" fontId="79" fillId="0" borderId="4403" applyBorder="0"/>
    <xf numFmtId="0" fontId="75" fillId="0" borderId="4393" applyNumberFormat="0" applyFont="0" applyFill="0" applyAlignment="0" applyProtection="0"/>
    <xf numFmtId="0" fontId="2" fillId="0" borderId="4397" applyNumberFormat="0" applyAlignment="0" applyProtection="0"/>
    <xf numFmtId="0" fontId="25" fillId="10" borderId="4399" applyNumberFormat="0" applyProtection="0">
      <alignment horizontal="left" vertical="top"/>
    </xf>
    <xf numFmtId="0" fontId="25" fillId="10" borderId="4402" applyNumberFormat="0" applyProtection="0">
      <alignment horizontal="left" vertical="top"/>
    </xf>
    <xf numFmtId="222" fontId="79" fillId="0" borderId="4385" applyBorder="0"/>
    <xf numFmtId="0" fontId="25" fillId="10" borderId="4368" applyNumberFormat="0" applyProtection="0">
      <alignment horizontal="left" vertical="top"/>
    </xf>
    <xf numFmtId="10" fontId="12" fillId="3" borderId="4384" applyNumberFormat="0" applyFont="0" applyFill="0" applyBorder="0" applyAlignment="0">
      <protection locked="0"/>
    </xf>
    <xf numFmtId="0" fontId="25" fillId="10" borderId="4366" applyNumberFormat="0" applyProtection="0">
      <alignment horizontal="left" vertical="top"/>
    </xf>
    <xf numFmtId="0" fontId="214" fillId="0" borderId="4365" applyNumberFormat="0" applyFont="0" applyFill="0" applyAlignment="0" applyProtection="0"/>
    <xf numFmtId="186" fontId="146" fillId="3" borderId="4362">
      <alignment horizontal="left"/>
    </xf>
    <xf numFmtId="222" fontId="79" fillId="0" borderId="4385" applyBorder="0"/>
    <xf numFmtId="186" fontId="146" fillId="3" borderId="4537" applyBorder="0">
      <alignment horizontal="left" vertical="center"/>
    </xf>
    <xf numFmtId="10" fontId="12" fillId="3" borderId="4384" applyNumberFormat="0" applyFont="0" applyFill="0" applyBorder="0" applyAlignment="0">
      <protection locked="0"/>
    </xf>
    <xf numFmtId="0" fontId="101" fillId="0" borderId="4359" applyBorder="0"/>
    <xf numFmtId="0" fontId="113" fillId="0" borderId="4359" applyNumberFormat="0" applyFill="0" applyAlignment="0" applyProtection="0"/>
    <xf numFmtId="0" fontId="12" fillId="0" borderId="4359" applyNumberFormat="0" applyFill="0" applyBorder="0" applyAlignment="0" applyProtection="0">
      <alignment horizontal="center"/>
    </xf>
    <xf numFmtId="248" fontId="46" fillId="0" borderId="4359"/>
    <xf numFmtId="192" fontId="9" fillId="3" borderId="4359">
      <alignment horizontal="right" vertical="center"/>
    </xf>
    <xf numFmtId="180" fontId="9" fillId="3" borderId="4359">
      <alignment horizontal="right" vertical="center"/>
    </xf>
    <xf numFmtId="186" fontId="146" fillId="3" borderId="4359" applyBorder="0">
      <alignment horizontal="left" vertical="center"/>
    </xf>
    <xf numFmtId="0" fontId="165" fillId="0" borderId="4359" applyFill="0" applyProtection="0">
      <alignment horizontal="center"/>
    </xf>
    <xf numFmtId="0" fontId="166" fillId="0" borderId="4359">
      <alignment horizontal="center"/>
    </xf>
    <xf numFmtId="264" fontId="12" fillId="14" borderId="4359" applyFont="0" applyFill="0" applyBorder="0" applyAlignment="0" applyProtection="0">
      <alignment horizontal="right"/>
    </xf>
    <xf numFmtId="0" fontId="210" fillId="0" borderId="4359" applyNumberFormat="0" applyFill="0" applyBorder="0" applyAlignment="0">
      <protection locked="0"/>
    </xf>
    <xf numFmtId="248" fontId="46" fillId="0" borderId="4404"/>
    <xf numFmtId="222" fontId="79" fillId="0" borderId="4403" applyBorder="0"/>
    <xf numFmtId="186" fontId="140" fillId="3" borderId="4396">
      <alignment horizontal="center" vertical="center"/>
    </xf>
    <xf numFmtId="0" fontId="25" fillId="10" borderId="4401" applyNumberFormat="0" applyProtection="0">
      <alignment horizontal="left" vertical="top"/>
    </xf>
    <xf numFmtId="0" fontId="210" fillId="0" borderId="4404" applyNumberFormat="0" applyFill="0" applyBorder="0" applyAlignment="0">
      <protection locked="0"/>
    </xf>
    <xf numFmtId="192" fontId="9" fillId="3" borderId="4404">
      <alignment horizontal="right" vertical="center"/>
    </xf>
    <xf numFmtId="0" fontId="113" fillId="0" borderId="4404" applyNumberFormat="0" applyFill="0" applyAlignment="0" applyProtection="0"/>
    <xf numFmtId="186" fontId="146" fillId="3" borderId="4395">
      <alignment horizontal="left"/>
    </xf>
    <xf numFmtId="0" fontId="25" fillId="10" borderId="4400" applyNumberFormat="0" applyProtection="0">
      <alignment horizontal="left" vertical="top"/>
    </xf>
    <xf numFmtId="254" fontId="240" fillId="0" borderId="4359" applyBorder="0" applyProtection="0">
      <alignment horizontal="right" vertical="center"/>
    </xf>
    <xf numFmtId="0" fontId="241" fillId="94" borderId="4359" applyBorder="0" applyProtection="0">
      <alignment horizontal="centerContinuous" vertical="center"/>
    </xf>
    <xf numFmtId="246" fontId="249" fillId="0" borderId="4359" applyFill="0" applyProtection="0">
      <alignment horizontal="center"/>
    </xf>
    <xf numFmtId="246" fontId="250" fillId="0" borderId="4359" applyFill="0" applyProtection="0">
      <alignment horizontal="center"/>
    </xf>
    <xf numFmtId="0" fontId="25" fillId="10" borderId="4424" applyNumberFormat="0" applyProtection="0">
      <alignment horizontal="left" vertical="top"/>
    </xf>
    <xf numFmtId="10" fontId="12" fillId="3" borderId="4384" applyNumberFormat="0" applyFont="0" applyFill="0" applyBorder="0" applyAlignment="0">
      <protection locked="0"/>
    </xf>
    <xf numFmtId="0" fontId="25" fillId="10" borderId="4426" applyNumberFormat="0" applyProtection="0">
      <alignment horizontal="left" vertical="top"/>
    </xf>
    <xf numFmtId="222" fontId="79" fillId="0" borderId="4385" applyBorder="0"/>
    <xf numFmtId="0" fontId="214" fillId="0" borderId="4422" applyNumberFormat="0" applyFont="0" applyFill="0" applyAlignment="0" applyProtection="0"/>
    <xf numFmtId="0" fontId="75" fillId="0" borderId="4252" applyNumberFormat="0" applyFont="0" applyFill="0" applyAlignment="0" applyProtection="0"/>
    <xf numFmtId="0" fontId="25" fillId="10" borderId="4356" applyNumberFormat="0" applyProtection="0">
      <alignment horizontal="left" vertical="top"/>
    </xf>
    <xf numFmtId="0" fontId="25" fillId="10" borderId="4357" applyNumberFormat="0" applyProtection="0">
      <alignment horizontal="left" vertical="top"/>
    </xf>
    <xf numFmtId="0" fontId="165" fillId="0" borderId="4388" applyFill="0" applyProtection="0">
      <alignment horizontal="center"/>
    </xf>
    <xf numFmtId="254" fontId="240" fillId="0" borderId="4388" applyBorder="0" applyProtection="0">
      <alignment horizontal="right" vertical="center"/>
    </xf>
    <xf numFmtId="0" fontId="241" fillId="94" borderId="4388" applyBorder="0" applyProtection="0">
      <alignment horizontal="centerContinuous" vertical="center"/>
    </xf>
    <xf numFmtId="0" fontId="241" fillId="94" borderId="4404" applyBorder="0" applyProtection="0">
      <alignment horizontal="centerContinuous" vertical="center"/>
    </xf>
    <xf numFmtId="0" fontId="166" fillId="0" borderId="4404">
      <alignment horizontal="center"/>
    </xf>
    <xf numFmtId="186" fontId="146" fillId="3" borderId="4404" applyBorder="0">
      <alignment horizontal="left" vertical="center"/>
    </xf>
    <xf numFmtId="0" fontId="214" fillId="0" borderId="4398" applyNumberFormat="0" applyFont="0" applyFill="0" applyAlignment="0" applyProtection="0"/>
    <xf numFmtId="0" fontId="78" fillId="14" borderId="4394" applyFont="0" applyFill="0" applyBorder="0" applyAlignment="0" applyProtection="0"/>
    <xf numFmtId="0" fontId="78" fillId="14" borderId="4349" applyFont="0" applyFill="0" applyBorder="0" applyAlignment="0" applyProtection="0"/>
    <xf numFmtId="0" fontId="25" fillId="10" borderId="4357" applyNumberFormat="0" applyProtection="0">
      <alignment horizontal="left" vertical="top"/>
    </xf>
    <xf numFmtId="0" fontId="25" fillId="10" borderId="4356" applyNumberFormat="0" applyProtection="0">
      <alignment horizontal="left" vertical="top"/>
    </xf>
    <xf numFmtId="0" fontId="25" fillId="10" borderId="4355" applyNumberFormat="0" applyProtection="0">
      <alignment horizontal="left" vertical="top"/>
    </xf>
    <xf numFmtId="0" fontId="25" fillId="10" borderId="4354" applyNumberFormat="0" applyProtection="0">
      <alignment horizontal="left" vertical="top"/>
    </xf>
    <xf numFmtId="186" fontId="140" fillId="3" borderId="4420">
      <alignment horizontal="center" vertical="center"/>
    </xf>
    <xf numFmtId="0" fontId="214" fillId="0" borderId="4353" applyNumberFormat="0" applyFont="0" applyFill="0" applyAlignment="0" applyProtection="0"/>
    <xf numFmtId="186" fontId="140" fillId="3" borderId="4327">
      <alignment horizontal="center" vertical="center"/>
    </xf>
    <xf numFmtId="186" fontId="146" fillId="3" borderId="4254">
      <alignment horizontal="left"/>
    </xf>
    <xf numFmtId="186" fontId="146" fillId="3" borderId="4419">
      <alignment horizontal="left"/>
    </xf>
    <xf numFmtId="0" fontId="75" fillId="0" borderId="4252" applyNumberFormat="0" applyFont="0" applyFill="0" applyAlignment="0" applyProtection="0"/>
    <xf numFmtId="0" fontId="75" fillId="0" borderId="4417" applyNumberFormat="0" applyFont="0" applyFill="0" applyAlignment="0" applyProtection="0"/>
    <xf numFmtId="222" fontId="79" fillId="0" borderId="4385" applyBorder="0"/>
    <xf numFmtId="222" fontId="79" fillId="0" borderId="4385" applyBorder="0"/>
    <xf numFmtId="0" fontId="25" fillId="10" borderId="4423" applyNumberFormat="0" applyProtection="0">
      <alignment horizontal="left" vertical="top"/>
    </xf>
    <xf numFmtId="0" fontId="2" fillId="0" borderId="4421" applyNumberFormat="0" applyAlignment="0" applyProtection="0"/>
    <xf numFmtId="246" fontId="250" fillId="0" borderId="4388" applyFill="0" applyProtection="0">
      <alignment horizontal="center"/>
    </xf>
    <xf numFmtId="246" fontId="249" fillId="0" borderId="4388" applyFill="0" applyProtection="0">
      <alignment horizontal="center"/>
    </xf>
    <xf numFmtId="0" fontId="241" fillId="94" borderId="4388" applyBorder="0" applyProtection="0">
      <alignment horizontal="centerContinuous" vertical="center"/>
    </xf>
    <xf numFmtId="254" fontId="240" fillId="0" borderId="4388" applyBorder="0" applyProtection="0">
      <alignment horizontal="right" vertical="center"/>
    </xf>
    <xf numFmtId="0" fontId="210" fillId="0" borderId="4388" applyNumberFormat="0" applyFill="0" applyBorder="0" applyAlignment="0">
      <protection locked="0"/>
    </xf>
    <xf numFmtId="264" fontId="12" fillId="14" borderId="4388" applyFont="0" applyFill="0" applyBorder="0" applyAlignment="0" applyProtection="0">
      <alignment horizontal="right"/>
    </xf>
    <xf numFmtId="0" fontId="166" fillId="0" borderId="4388">
      <alignment horizontal="center"/>
    </xf>
    <xf numFmtId="0" fontId="165" fillId="0" borderId="4388" applyFill="0" applyProtection="0">
      <alignment horizontal="center"/>
    </xf>
    <xf numFmtId="186" fontId="146" fillId="3" borderId="4388" applyBorder="0">
      <alignment horizontal="left" vertical="center"/>
    </xf>
    <xf numFmtId="180" fontId="9" fillId="3" borderId="4388">
      <alignment horizontal="right" vertical="center"/>
    </xf>
    <xf numFmtId="192" fontId="9" fillId="3" borderId="4388">
      <alignment horizontal="right" vertical="center"/>
    </xf>
    <xf numFmtId="248" fontId="46" fillId="0" borderId="4388"/>
    <xf numFmtId="0" fontId="12" fillId="0" borderId="4388" applyNumberFormat="0" applyFill="0" applyBorder="0" applyAlignment="0" applyProtection="0">
      <alignment horizontal="center"/>
    </xf>
    <xf numFmtId="0" fontId="113" fillId="0" borderId="4388" applyNumberFormat="0" applyFill="0" applyAlignment="0" applyProtection="0"/>
    <xf numFmtId="222" fontId="79" fillId="0" borderId="4385" applyBorder="0"/>
    <xf numFmtId="0" fontId="101" fillId="0" borderId="4388" applyBorder="0"/>
    <xf numFmtId="222" fontId="79" fillId="0" borderId="4385" applyBorder="0"/>
    <xf numFmtId="0" fontId="75" fillId="0" borderId="4360" applyNumberFormat="0" applyFont="0" applyFill="0" applyAlignment="0" applyProtection="0"/>
    <xf numFmtId="186" fontId="146" fillId="3" borderId="4362">
      <alignment horizontal="left"/>
    </xf>
    <xf numFmtId="186" fontId="140" fillId="3" borderId="4363">
      <alignment horizontal="center" vertical="center"/>
    </xf>
    <xf numFmtId="0" fontId="2" fillId="0" borderId="4364" applyNumberFormat="0" applyAlignment="0" applyProtection="0"/>
    <xf numFmtId="0" fontId="214" fillId="0" borderId="4365" applyNumberFormat="0" applyFont="0" applyFill="0" applyAlignment="0" applyProtection="0"/>
    <xf numFmtId="0" fontId="25" fillId="10" borderId="4366" applyNumberFormat="0" applyProtection="0">
      <alignment horizontal="left" vertical="top"/>
    </xf>
    <xf numFmtId="0" fontId="25" fillId="10" borderId="4367" applyNumberFormat="0" applyProtection="0">
      <alignment horizontal="left" vertical="top"/>
    </xf>
    <xf numFmtId="0" fontId="25" fillId="10" borderId="4368" applyNumberFormat="0" applyProtection="0">
      <alignment horizontal="left" vertical="top"/>
    </xf>
    <xf numFmtId="0" fontId="25" fillId="10" borderId="4369" applyNumberFormat="0" applyProtection="0">
      <alignment horizontal="left" vertical="top"/>
    </xf>
    <xf numFmtId="0" fontId="78" fillId="14" borderId="4361" applyFont="0" applyFill="0" applyBorder="0" applyAlignment="0" applyProtection="0"/>
    <xf numFmtId="246" fontId="250" fillId="0" borderId="4609" applyFill="0" applyProtection="0">
      <alignment horizontal="center"/>
    </xf>
    <xf numFmtId="0" fontId="25" fillId="10" borderId="4619" applyNumberFormat="0" applyProtection="0">
      <alignment horizontal="left" vertical="top"/>
    </xf>
    <xf numFmtId="222" fontId="79" fillId="0" borderId="4385" applyBorder="0"/>
    <xf numFmtId="0" fontId="75" fillId="0" borderId="4610" applyNumberFormat="0" applyFont="0" applyFill="0" applyAlignment="0" applyProtection="0"/>
    <xf numFmtId="0" fontId="276" fillId="54" borderId="4390" applyNumberFormat="0" applyAlignment="0" applyProtection="0"/>
    <xf numFmtId="222" fontId="79" fillId="0" borderId="4596" applyBorder="0"/>
    <xf numFmtId="0" fontId="101" fillId="0" borderId="4561" applyBorder="0"/>
    <xf numFmtId="0" fontId="283" fillId="103" borderId="4390" applyNumberFormat="0" applyAlignment="0" applyProtection="0"/>
    <xf numFmtId="0" fontId="50" fillId="117" borderId="4373" applyNumberFormat="0" applyFont="0" applyAlignment="0" applyProtection="0"/>
    <xf numFmtId="0" fontId="78" fillId="14" borderId="4551" applyFont="0" applyFill="0" applyBorder="0" applyAlignment="0" applyProtection="0"/>
    <xf numFmtId="0" fontId="286" fillId="54" borderId="4391" applyNumberFormat="0" applyAlignment="0" applyProtection="0"/>
    <xf numFmtId="0" fontId="283" fillId="103" borderId="4390" applyNumberFormat="0" applyAlignment="0" applyProtection="0"/>
    <xf numFmtId="222" fontId="79" fillId="0" borderId="4548" applyBorder="0"/>
    <xf numFmtId="0" fontId="288" fillId="0" borderId="4392" applyNumberFormat="0" applyFill="0" applyAlignment="0" applyProtection="0"/>
    <xf numFmtId="0" fontId="276" fillId="54" borderId="4390" applyNumberFormat="0" applyAlignment="0" applyProtection="0"/>
    <xf numFmtId="0" fontId="2" fillId="0" borderId="4542" applyNumberFormat="0" applyAlignment="0" applyProtection="0"/>
    <xf numFmtId="0" fontId="214" fillId="0" borderId="4543" applyNumberFormat="0" applyFont="0" applyFill="0" applyAlignment="0" applyProtection="0"/>
    <xf numFmtId="0" fontId="78" fillId="14" borderId="4539" applyFont="0" applyFill="0" applyBorder="0" applyAlignment="0" applyProtection="0"/>
    <xf numFmtId="0" fontId="101" fillId="0" borderId="4609" applyBorder="0"/>
    <xf numFmtId="0" fontId="78" fillId="14" borderId="4349" applyFont="0" applyFill="0" applyBorder="0" applyAlignment="0" applyProtection="0"/>
    <xf numFmtId="222" fontId="79" fillId="0" borderId="4385" applyBorder="0"/>
    <xf numFmtId="186" fontId="146" fillId="3" borderId="4540">
      <alignment horizontal="left"/>
    </xf>
    <xf numFmtId="0" fontId="25" fillId="10" borderId="4617" applyNumberFormat="0" applyProtection="0">
      <alignment horizontal="left" vertical="top"/>
    </xf>
    <xf numFmtId="0" fontId="214" fillId="0" borderId="4615" applyNumberFormat="0" applyFont="0" applyFill="0" applyAlignment="0" applyProtection="0"/>
    <xf numFmtId="0" fontId="25" fillId="10" borderId="4559" applyNumberFormat="0" applyProtection="0">
      <alignment horizontal="left" vertical="top"/>
    </xf>
    <xf numFmtId="0" fontId="78" fillId="14" borderId="4349" applyFont="0" applyFill="0" applyBorder="0" applyAlignment="0" applyProtection="0"/>
    <xf numFmtId="0" fontId="25" fillId="10" borderId="4357" applyNumberFormat="0" applyProtection="0">
      <alignment horizontal="left" vertical="top"/>
    </xf>
    <xf numFmtId="0" fontId="25" fillId="10" borderId="4356" applyNumberFormat="0" applyProtection="0">
      <alignment horizontal="left" vertical="top"/>
    </xf>
    <xf numFmtId="0" fontId="25" fillId="10" borderId="4355" applyNumberFormat="0" applyProtection="0">
      <alignment horizontal="left" vertical="top"/>
    </xf>
    <xf numFmtId="0" fontId="25" fillId="10" borderId="4354" applyNumberFormat="0" applyProtection="0">
      <alignment horizontal="left" vertical="top"/>
    </xf>
    <xf numFmtId="0" fontId="166" fillId="0" borderId="4609">
      <alignment horizontal="center"/>
    </xf>
    <xf numFmtId="0" fontId="214" fillId="0" borderId="4353" applyNumberFormat="0" applyFont="0" applyFill="0" applyAlignment="0" applyProtection="0"/>
    <xf numFmtId="186" fontId="140" fillId="3" borderId="4327">
      <alignment horizontal="center" vertical="center"/>
    </xf>
    <xf numFmtId="186" fontId="146" fillId="3" borderId="4254">
      <alignment horizontal="left"/>
    </xf>
    <xf numFmtId="186" fontId="146" fillId="3" borderId="4612">
      <alignment horizontal="left"/>
    </xf>
    <xf numFmtId="0" fontId="75" fillId="0" borderId="4252" applyNumberFormat="0" applyFont="0" applyFill="0" applyAlignment="0" applyProtection="0"/>
    <xf numFmtId="192" fontId="9" fillId="3" borderId="4609">
      <alignment horizontal="right" vertical="center"/>
    </xf>
    <xf numFmtId="222" fontId="79" fillId="0" borderId="4385" applyBorder="0"/>
    <xf numFmtId="0" fontId="101" fillId="0" borderId="4388" applyBorder="0"/>
    <xf numFmtId="222" fontId="79" fillId="0" borderId="4385" applyBorder="0"/>
    <xf numFmtId="0" fontId="113" fillId="0" borderId="4388" applyNumberFormat="0" applyFill="0" applyAlignment="0" applyProtection="0"/>
    <xf numFmtId="0" fontId="12" fillId="0" borderId="4388" applyNumberFormat="0" applyFill="0" applyBorder="0" applyAlignment="0" applyProtection="0">
      <alignment horizontal="center"/>
    </xf>
    <xf numFmtId="248" fontId="46" fillId="0" borderId="4388"/>
    <xf numFmtId="192" fontId="9" fillId="3" borderId="4388">
      <alignment horizontal="right" vertical="center"/>
    </xf>
    <xf numFmtId="180" fontId="9" fillId="3" borderId="4388">
      <alignment horizontal="right" vertical="center"/>
    </xf>
    <xf numFmtId="186" fontId="146" fillId="3" borderId="4388" applyBorder="0">
      <alignment horizontal="left" vertical="center"/>
    </xf>
    <xf numFmtId="0" fontId="165" fillId="0" borderId="4388" applyFill="0" applyProtection="0">
      <alignment horizontal="center"/>
    </xf>
    <xf numFmtId="0" fontId="166" fillId="0" borderId="4388">
      <alignment horizontal="center"/>
    </xf>
    <xf numFmtId="264" fontId="12" fillId="14" borderId="4388" applyFont="0" applyFill="0" applyBorder="0" applyAlignment="0" applyProtection="0">
      <alignment horizontal="right"/>
    </xf>
    <xf numFmtId="0" fontId="210" fillId="0" borderId="4388" applyNumberFormat="0" applyFill="0" applyBorder="0" applyAlignment="0">
      <protection locked="0"/>
    </xf>
    <xf numFmtId="254" fontId="240" fillId="0" borderId="4388" applyBorder="0" applyProtection="0">
      <alignment horizontal="right" vertical="center"/>
    </xf>
    <xf numFmtId="0" fontId="241" fillId="94" borderId="4388" applyBorder="0" applyProtection="0">
      <alignment horizontal="centerContinuous" vertical="center"/>
    </xf>
    <xf numFmtId="246" fontId="249" fillId="0" borderId="4388" applyFill="0" applyProtection="0">
      <alignment horizontal="center"/>
    </xf>
    <xf numFmtId="246" fontId="250" fillId="0" borderId="4388" applyFill="0" applyProtection="0">
      <alignment horizontal="center"/>
    </xf>
    <xf numFmtId="0" fontId="25" fillId="10" borderId="4617" applyNumberFormat="0" applyProtection="0">
      <alignment horizontal="left" vertical="top"/>
    </xf>
    <xf numFmtId="0" fontId="286" fillId="54" borderId="4391" applyNumberFormat="0" applyAlignment="0" applyProtection="0"/>
    <xf numFmtId="0" fontId="75" fillId="0" borderId="4538" applyNumberFormat="0" applyFont="0" applyFill="0" applyAlignment="0" applyProtection="0"/>
    <xf numFmtId="0" fontId="210" fillId="0" borderId="4609" applyNumberFormat="0" applyFill="0" applyBorder="0" applyAlignment="0">
      <protection locked="0"/>
    </xf>
    <xf numFmtId="0" fontId="288" fillId="0" borderId="4392" applyNumberFormat="0" applyFill="0" applyAlignment="0" applyProtection="0"/>
    <xf numFmtId="0" fontId="25" fillId="10" borderId="4547" applyNumberFormat="0" applyProtection="0">
      <alignment horizontal="left" vertical="top"/>
    </xf>
    <xf numFmtId="0" fontId="25" fillId="10" borderId="4545" applyNumberFormat="0" applyProtection="0">
      <alignment horizontal="left" vertical="top"/>
    </xf>
    <xf numFmtId="0" fontId="25" fillId="10" borderId="4546" applyNumberFormat="0" applyProtection="0">
      <alignment horizontal="left" vertical="top"/>
    </xf>
    <xf numFmtId="0" fontId="25" fillId="10" borderId="4544" applyNumberFormat="0" applyProtection="0">
      <alignment horizontal="left" vertical="top"/>
    </xf>
    <xf numFmtId="186" fontId="140" fillId="3" borderId="4541">
      <alignment horizontal="center" vertical="center"/>
    </xf>
    <xf numFmtId="0" fontId="241" fillId="94" borderId="4428" applyBorder="0" applyProtection="0">
      <alignment horizontal="centerContinuous" vertical="center"/>
    </xf>
    <xf numFmtId="0" fontId="166" fillId="0" borderId="4428">
      <alignment horizontal="center"/>
    </xf>
    <xf numFmtId="0" fontId="214" fillId="0" borderId="4353" applyNumberFormat="0" applyFont="0" applyFill="0" applyAlignment="0" applyProtection="0"/>
    <xf numFmtId="246" fontId="250" fillId="0" borderId="4388" applyFill="0" applyProtection="0">
      <alignment horizontal="center"/>
    </xf>
    <xf numFmtId="246" fontId="249" fillId="0" borderId="4388" applyFill="0" applyProtection="0">
      <alignment horizontal="center"/>
    </xf>
    <xf numFmtId="0" fontId="241" fillId="94" borderId="4388" applyBorder="0" applyProtection="0">
      <alignment horizontal="centerContinuous" vertical="center"/>
    </xf>
    <xf numFmtId="254" fontId="240" fillId="0" borderId="4388" applyBorder="0" applyProtection="0">
      <alignment horizontal="right" vertical="center"/>
    </xf>
    <xf numFmtId="0" fontId="210" fillId="0" borderId="4388" applyNumberFormat="0" applyFill="0" applyBorder="0" applyAlignment="0">
      <protection locked="0"/>
    </xf>
    <xf numFmtId="264" fontId="12" fillId="14" borderId="4388" applyFont="0" applyFill="0" applyBorder="0" applyAlignment="0" applyProtection="0">
      <alignment horizontal="right"/>
    </xf>
    <xf numFmtId="0" fontId="166" fillId="0" borderId="4388">
      <alignment horizontal="center"/>
    </xf>
    <xf numFmtId="0" fontId="165" fillId="0" borderId="4388" applyFill="0" applyProtection="0">
      <alignment horizontal="center"/>
    </xf>
    <xf numFmtId="186" fontId="146" fillId="3" borderId="4388" applyBorder="0">
      <alignment horizontal="left" vertical="center"/>
    </xf>
    <xf numFmtId="180" fontId="9" fillId="3" borderId="4388">
      <alignment horizontal="right" vertical="center"/>
    </xf>
    <xf numFmtId="192" fontId="9" fillId="3" borderId="4388">
      <alignment horizontal="right" vertical="center"/>
    </xf>
    <xf numFmtId="248" fontId="46" fillId="0" borderId="4388"/>
    <xf numFmtId="0" fontId="12" fillId="0" borderId="4388" applyNumberFormat="0" applyFill="0" applyBorder="0" applyAlignment="0" applyProtection="0">
      <alignment horizontal="center"/>
    </xf>
    <xf numFmtId="0" fontId="113" fillId="0" borderId="4388" applyNumberFormat="0" applyFill="0" applyAlignment="0" applyProtection="0"/>
    <xf numFmtId="222" fontId="79" fillId="0" borderId="4385" applyBorder="0"/>
    <xf numFmtId="0" fontId="101" fillId="0" borderId="4388" applyBorder="0"/>
    <xf numFmtId="222" fontId="79" fillId="0" borderId="4385" applyBorder="0"/>
    <xf numFmtId="0" fontId="75" fillId="0" borderId="4252" applyNumberFormat="0" applyFont="0" applyFill="0" applyAlignment="0" applyProtection="0"/>
    <xf numFmtId="186" fontId="146" fillId="3" borderId="4254">
      <alignment horizontal="left"/>
    </xf>
    <xf numFmtId="186" fontId="140" fillId="3" borderId="4327">
      <alignment horizontal="center" vertical="center"/>
    </xf>
    <xf numFmtId="0" fontId="214" fillId="0" borderId="4353" applyNumberFormat="0" applyFont="0" applyFill="0" applyAlignment="0" applyProtection="0"/>
    <xf numFmtId="0" fontId="25" fillId="10" borderId="4354" applyNumberFormat="0" applyProtection="0">
      <alignment horizontal="left" vertical="top"/>
    </xf>
    <xf numFmtId="0" fontId="25" fillId="10" borderId="4355" applyNumberFormat="0" applyProtection="0">
      <alignment horizontal="left" vertical="top"/>
    </xf>
    <xf numFmtId="0" fontId="25" fillId="10" borderId="4356" applyNumberFormat="0" applyProtection="0">
      <alignment horizontal="left" vertical="top"/>
    </xf>
    <xf numFmtId="0" fontId="25" fillId="10" borderId="4357" applyNumberFormat="0" applyProtection="0">
      <alignment horizontal="left" vertical="top"/>
    </xf>
    <xf numFmtId="0" fontId="78" fillId="14" borderId="4361" applyFont="0" applyFill="0" applyBorder="0" applyAlignment="0" applyProtection="0"/>
    <xf numFmtId="222" fontId="79" fillId="0" borderId="4385" applyBorder="0"/>
    <xf numFmtId="0" fontId="78" fillId="14" borderId="4361" applyFont="0" applyFill="0" applyBorder="0" applyAlignment="0" applyProtection="0"/>
    <xf numFmtId="186" fontId="146" fillId="3" borderId="4254">
      <alignment horizontal="left"/>
    </xf>
    <xf numFmtId="0" fontId="78" fillId="14" borderId="4361" applyFont="0" applyFill="0" applyBorder="0" applyAlignment="0" applyProtection="0"/>
    <xf numFmtId="222" fontId="79" fillId="0" borderId="4385" applyBorder="0"/>
    <xf numFmtId="0" fontId="2" fillId="0" borderId="4364" applyNumberFormat="0" applyAlignment="0" applyProtection="0"/>
    <xf numFmtId="0" fontId="78" fillId="14" borderId="4361" applyFont="0" applyFill="0" applyBorder="0" applyAlignment="0" applyProtection="0"/>
    <xf numFmtId="0" fontId="25" fillId="10" borderId="4369" applyNumberFormat="0" applyProtection="0">
      <alignment horizontal="left" vertical="top"/>
    </xf>
    <xf numFmtId="0" fontId="25" fillId="10" borderId="4368" applyNumberFormat="0" applyProtection="0">
      <alignment horizontal="left" vertical="top"/>
    </xf>
    <xf numFmtId="0" fontId="25" fillId="10" borderId="4367" applyNumberFormat="0" applyProtection="0">
      <alignment horizontal="left" vertical="top"/>
    </xf>
    <xf numFmtId="0" fontId="25" fillId="10" borderId="4366" applyNumberFormat="0" applyProtection="0">
      <alignment horizontal="left" vertical="top"/>
    </xf>
    <xf numFmtId="0" fontId="25" fillId="10" borderId="4367" applyNumberFormat="0" applyProtection="0">
      <alignment horizontal="left" vertical="top"/>
    </xf>
    <xf numFmtId="0" fontId="214" fillId="0" borderId="4365" applyNumberFormat="0" applyFont="0" applyFill="0" applyAlignment="0" applyProtection="0"/>
    <xf numFmtId="0" fontId="2" fillId="0" borderId="4364" applyNumberFormat="0" applyAlignment="0" applyProtection="0"/>
    <xf numFmtId="186" fontId="140" fillId="3" borderId="4363">
      <alignment horizontal="center" vertical="center"/>
    </xf>
    <xf numFmtId="186" fontId="146" fillId="3" borderId="4362">
      <alignment horizontal="left"/>
    </xf>
    <xf numFmtId="0" fontId="25" fillId="10" borderId="4369" applyNumberFormat="0" applyProtection="0">
      <alignment horizontal="left" vertical="top"/>
    </xf>
    <xf numFmtId="0" fontId="75" fillId="0" borderId="4360" applyNumberFormat="0" applyFont="0" applyFill="0" applyAlignment="0" applyProtection="0"/>
    <xf numFmtId="222" fontId="79" fillId="0" borderId="4385" applyBorder="0"/>
    <xf numFmtId="0" fontId="101" fillId="0" borderId="4388" applyBorder="0"/>
    <xf numFmtId="222" fontId="79" fillId="0" borderId="4385" applyBorder="0"/>
    <xf numFmtId="0" fontId="113" fillId="0" borderId="4388" applyNumberFormat="0" applyFill="0" applyAlignment="0" applyProtection="0"/>
    <xf numFmtId="0" fontId="12" fillId="0" borderId="4388" applyNumberFormat="0" applyFill="0" applyBorder="0" applyAlignment="0" applyProtection="0">
      <alignment horizontal="center"/>
    </xf>
    <xf numFmtId="248" fontId="46" fillId="0" borderId="4388"/>
    <xf numFmtId="192" fontId="9" fillId="3" borderId="4388">
      <alignment horizontal="right" vertical="center"/>
    </xf>
    <xf numFmtId="180" fontId="9" fillId="3" borderId="4388">
      <alignment horizontal="right" vertical="center"/>
    </xf>
    <xf numFmtId="186" fontId="146" fillId="3" borderId="4388" applyBorder="0">
      <alignment horizontal="left" vertical="center"/>
    </xf>
    <xf numFmtId="0" fontId="165" fillId="0" borderId="4388" applyFill="0" applyProtection="0">
      <alignment horizontal="center"/>
    </xf>
    <xf numFmtId="0" fontId="166" fillId="0" borderId="4388">
      <alignment horizontal="center"/>
    </xf>
    <xf numFmtId="264" fontId="12" fillId="14" borderId="4388" applyFont="0" applyFill="0" applyBorder="0" applyAlignment="0" applyProtection="0">
      <alignment horizontal="right"/>
    </xf>
    <xf numFmtId="0" fontId="210" fillId="0" borderId="4388" applyNumberFormat="0" applyFill="0" applyBorder="0" applyAlignment="0">
      <protection locked="0"/>
    </xf>
    <xf numFmtId="254" fontId="240" fillId="0" borderId="4388" applyBorder="0" applyProtection="0">
      <alignment horizontal="right" vertical="center"/>
    </xf>
    <xf numFmtId="0" fontId="241" fillId="94" borderId="4388" applyBorder="0" applyProtection="0">
      <alignment horizontal="centerContinuous" vertical="center"/>
    </xf>
    <xf numFmtId="246" fontId="249" fillId="0" borderId="4388" applyFill="0" applyProtection="0">
      <alignment horizontal="center"/>
    </xf>
    <xf numFmtId="246" fontId="250" fillId="0" borderId="4388" applyFill="0" applyProtection="0">
      <alignment horizontal="center"/>
    </xf>
    <xf numFmtId="186" fontId="140" fillId="3" borderId="4363">
      <alignment horizontal="center" vertical="center"/>
    </xf>
    <xf numFmtId="0" fontId="78" fillId="14" borderId="4361" applyFont="0" applyFill="0" applyBorder="0" applyAlignment="0" applyProtection="0"/>
    <xf numFmtId="222" fontId="79" fillId="0" borderId="4385" applyBorder="0"/>
    <xf numFmtId="0" fontId="78" fillId="14" borderId="4361" applyFont="0" applyFill="0" applyBorder="0" applyAlignment="0" applyProtection="0"/>
    <xf numFmtId="0" fontId="25" fillId="10" borderId="4369" applyNumberFormat="0" applyProtection="0">
      <alignment horizontal="left" vertical="top"/>
    </xf>
    <xf numFmtId="0" fontId="25" fillId="10" borderId="4368" applyNumberFormat="0" applyProtection="0">
      <alignment horizontal="left" vertical="top"/>
    </xf>
    <xf numFmtId="0" fontId="25" fillId="10" borderId="4367" applyNumberFormat="0" applyProtection="0">
      <alignment horizontal="left" vertical="top"/>
    </xf>
    <xf numFmtId="0" fontId="25" fillId="10" borderId="4366" applyNumberFormat="0" applyProtection="0">
      <alignment horizontal="left" vertical="top"/>
    </xf>
    <xf numFmtId="0" fontId="214" fillId="0" borderId="4365" applyNumberFormat="0" applyFont="0" applyFill="0" applyAlignment="0" applyProtection="0"/>
    <xf numFmtId="0" fontId="2" fillId="0" borderId="4364" applyNumberFormat="0" applyAlignment="0" applyProtection="0"/>
    <xf numFmtId="186" fontId="140" fillId="3" borderId="4363">
      <alignment horizontal="center" vertical="center"/>
    </xf>
    <xf numFmtId="186" fontId="146" fillId="3" borderId="4362">
      <alignment horizontal="left"/>
    </xf>
    <xf numFmtId="0" fontId="75" fillId="0" borderId="4360" applyNumberFormat="0" applyFont="0" applyFill="0" applyAlignment="0" applyProtection="0"/>
    <xf numFmtId="222" fontId="79" fillId="0" borderId="4385" applyBorder="0"/>
    <xf numFmtId="0" fontId="101" fillId="0" borderId="4388" applyBorder="0"/>
    <xf numFmtId="222" fontId="79" fillId="0" borderId="4385" applyBorder="0"/>
    <xf numFmtId="0" fontId="113" fillId="0" borderId="4388" applyNumberFormat="0" applyFill="0" applyAlignment="0" applyProtection="0"/>
    <xf numFmtId="0" fontId="12" fillId="0" borderId="4388" applyNumberFormat="0" applyFill="0" applyBorder="0" applyAlignment="0" applyProtection="0">
      <alignment horizontal="center"/>
    </xf>
    <xf numFmtId="248" fontId="46" fillId="0" borderId="4388"/>
    <xf numFmtId="192" fontId="9" fillId="3" borderId="4388">
      <alignment horizontal="right" vertical="center"/>
    </xf>
    <xf numFmtId="180" fontId="9" fillId="3" borderId="4388">
      <alignment horizontal="right" vertical="center"/>
    </xf>
    <xf numFmtId="186" fontId="146" fillId="3" borderId="4388" applyBorder="0">
      <alignment horizontal="left" vertical="center"/>
    </xf>
    <xf numFmtId="0" fontId="165" fillId="0" borderId="4388" applyFill="0" applyProtection="0">
      <alignment horizontal="center"/>
    </xf>
    <xf numFmtId="0" fontId="166" fillId="0" borderId="4388">
      <alignment horizontal="center"/>
    </xf>
    <xf numFmtId="264" fontId="12" fillId="14" borderId="4388" applyFont="0" applyFill="0" applyBorder="0" applyAlignment="0" applyProtection="0">
      <alignment horizontal="right"/>
    </xf>
    <xf numFmtId="0" fontId="210" fillId="0" borderId="4388" applyNumberFormat="0" applyFill="0" applyBorder="0" applyAlignment="0">
      <protection locked="0"/>
    </xf>
    <xf numFmtId="254" fontId="240" fillId="0" borderId="4388" applyBorder="0" applyProtection="0">
      <alignment horizontal="right" vertical="center"/>
    </xf>
    <xf numFmtId="0" fontId="241" fillId="94" borderId="4388" applyBorder="0" applyProtection="0">
      <alignment horizontal="centerContinuous" vertical="center"/>
    </xf>
    <xf numFmtId="246" fontId="249" fillId="0" borderId="4388" applyFill="0" applyProtection="0">
      <alignment horizontal="center"/>
    </xf>
    <xf numFmtId="246" fontId="250" fillId="0" borderId="4388" applyFill="0" applyProtection="0">
      <alignment horizontal="center"/>
    </xf>
    <xf numFmtId="222" fontId="79" fillId="0" borderId="4403" applyBorder="0"/>
    <xf numFmtId="0" fontId="78" fillId="14" borderId="4406" applyFont="0" applyFill="0" applyBorder="0" applyAlignment="0" applyProtection="0"/>
    <xf numFmtId="0" fontId="25" fillId="10" borderId="4414" applyNumberFormat="0" applyProtection="0">
      <alignment horizontal="left" vertical="top"/>
    </xf>
    <xf numFmtId="0" fontId="25" fillId="10" borderId="4413" applyNumberFormat="0" applyProtection="0">
      <alignment horizontal="left" vertical="top"/>
    </xf>
    <xf numFmtId="0" fontId="25" fillId="10" borderId="4412" applyNumberFormat="0" applyProtection="0">
      <alignment horizontal="left" vertical="top"/>
    </xf>
    <xf numFmtId="0" fontId="25" fillId="10" borderId="4411" applyNumberFormat="0" applyProtection="0">
      <alignment horizontal="left" vertical="top"/>
    </xf>
    <xf numFmtId="0" fontId="214" fillId="0" borderId="4410" applyNumberFormat="0" applyFont="0" applyFill="0" applyAlignment="0" applyProtection="0"/>
    <xf numFmtId="0" fontId="2" fillId="0" borderId="4409" applyNumberFormat="0" applyAlignment="0" applyProtection="0"/>
    <xf numFmtId="186" fontId="140" fillId="3" borderId="4408">
      <alignment horizontal="center" vertical="center"/>
    </xf>
    <xf numFmtId="186" fontId="146" fillId="3" borderId="4407">
      <alignment horizontal="left"/>
    </xf>
    <xf numFmtId="0" fontId="75" fillId="0" borderId="4405" applyNumberFormat="0" applyFont="0" applyFill="0" applyAlignment="0" applyProtection="0"/>
    <xf numFmtId="222" fontId="79" fillId="0" borderId="4415" applyBorder="0"/>
    <xf numFmtId="0" fontId="101" fillId="0" borderId="4416" applyBorder="0"/>
    <xf numFmtId="222" fontId="79" fillId="0" borderId="4415" applyBorder="0"/>
    <xf numFmtId="0" fontId="113" fillId="0" borderId="4416" applyNumberFormat="0" applyFill="0" applyAlignment="0" applyProtection="0"/>
    <xf numFmtId="0" fontId="12" fillId="0" borderId="4416" applyNumberFormat="0" applyFill="0" applyBorder="0" applyAlignment="0" applyProtection="0">
      <alignment horizontal="center"/>
    </xf>
    <xf numFmtId="248" fontId="46" fillId="0" borderId="4416"/>
    <xf numFmtId="192" fontId="9" fillId="3" borderId="4416">
      <alignment horizontal="right" vertical="center"/>
    </xf>
    <xf numFmtId="180" fontId="9" fillId="3" borderId="4416">
      <alignment horizontal="right" vertical="center"/>
    </xf>
    <xf numFmtId="186" fontId="146" fillId="3" borderId="4416" applyBorder="0">
      <alignment horizontal="left" vertical="center"/>
    </xf>
    <xf numFmtId="0" fontId="165" fillId="0" borderId="4416" applyFill="0" applyProtection="0">
      <alignment horizontal="center"/>
    </xf>
    <xf numFmtId="0" fontId="166" fillId="0" borderId="4416">
      <alignment horizontal="center"/>
    </xf>
    <xf numFmtId="264" fontId="12" fillId="14" borderId="4416" applyFont="0" applyFill="0" applyBorder="0" applyAlignment="0" applyProtection="0">
      <alignment horizontal="right"/>
    </xf>
    <xf numFmtId="0" fontId="210" fillId="0" borderId="4416" applyNumberFormat="0" applyFill="0" applyBorder="0" applyAlignment="0">
      <protection locked="0"/>
    </xf>
    <xf numFmtId="254" fontId="240" fillId="0" borderId="4416" applyBorder="0" applyProtection="0">
      <alignment horizontal="right" vertical="center"/>
    </xf>
    <xf numFmtId="0" fontId="241" fillId="94" borderId="4416" applyBorder="0" applyProtection="0">
      <alignment horizontal="centerContinuous" vertical="center"/>
    </xf>
    <xf numFmtId="246" fontId="249" fillId="0" borderId="4416" applyFill="0" applyProtection="0">
      <alignment horizontal="center"/>
    </xf>
    <xf numFmtId="246" fontId="250" fillId="0" borderId="4416" applyFill="0" applyProtection="0">
      <alignment horizontal="center"/>
    </xf>
    <xf numFmtId="0" fontId="113" fillId="0" borderId="4549" applyNumberFormat="0" applyFill="0" applyAlignment="0" applyProtection="0"/>
    <xf numFmtId="0" fontId="75" fillId="0" borderId="4429" applyNumberFormat="0" applyFont="0" applyFill="0" applyAlignment="0" applyProtection="0"/>
    <xf numFmtId="0" fontId="78" fillId="14" borderId="4430" applyFont="0" applyFill="0" applyBorder="0" applyAlignment="0" applyProtection="0"/>
    <xf numFmtId="186" fontId="146" fillId="3" borderId="4431">
      <alignment horizontal="left"/>
    </xf>
    <xf numFmtId="186" fontId="140" fillId="3" borderId="4432">
      <alignment horizontal="center" vertical="center"/>
    </xf>
    <xf numFmtId="0" fontId="2" fillId="0" borderId="4433" applyNumberFormat="0" applyAlignment="0" applyProtection="0"/>
    <xf numFmtId="0" fontId="214" fillId="0" borderId="4434" applyNumberFormat="0" applyFont="0" applyFill="0" applyAlignment="0" applyProtection="0"/>
    <xf numFmtId="0" fontId="25" fillId="10" borderId="4435" applyNumberFormat="0" applyProtection="0">
      <alignment horizontal="left" vertical="top"/>
    </xf>
    <xf numFmtId="0" fontId="25" fillId="10" borderId="4436" applyNumberFormat="0" applyProtection="0">
      <alignment horizontal="left" vertical="top"/>
    </xf>
    <xf numFmtId="0" fontId="25" fillId="10" borderId="4437" applyNumberFormat="0" applyProtection="0">
      <alignment horizontal="left" vertical="top"/>
    </xf>
    <xf numFmtId="0" fontId="25" fillId="10" borderId="4438" applyNumberFormat="0" applyProtection="0">
      <alignment horizontal="left" vertical="top"/>
    </xf>
    <xf numFmtId="10" fontId="12" fillId="3" borderId="4384" applyNumberFormat="0" applyFont="0" applyFill="0" applyBorder="0" applyAlignment="0">
      <protection locked="0"/>
    </xf>
    <xf numFmtId="0" fontId="12" fillId="0" borderId="4549" applyNumberFormat="0" applyFill="0" applyBorder="0" applyAlignment="0" applyProtection="0">
      <alignment horizontal="center"/>
    </xf>
    <xf numFmtId="10" fontId="12" fillId="3" borderId="4384" applyNumberFormat="0" applyFont="0" applyFill="0" applyBorder="0" applyAlignment="0">
      <protection locked="0"/>
    </xf>
    <xf numFmtId="0" fontId="101" fillId="0" borderId="4549" applyBorder="0"/>
    <xf numFmtId="248" fontId="46" fillId="0" borderId="4549"/>
    <xf numFmtId="1" fontId="154" fillId="65" borderId="4439" applyNumberFormat="0" applyBorder="0" applyAlignment="0">
      <alignment horizontal="centerContinuous" vertical="center"/>
      <protection locked="0"/>
    </xf>
    <xf numFmtId="0" fontId="12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10" fontId="12" fillId="3" borderId="4384" applyNumberFormat="0" applyFont="0" applyFill="0" applyBorder="0" applyAlignment="0">
      <protection locked="0"/>
    </xf>
    <xf numFmtId="246" fontId="250" fillId="0" borderId="4428" applyFill="0" applyProtection="0">
      <alignment horizontal="center"/>
    </xf>
    <xf numFmtId="246" fontId="249" fillId="0" borderId="4428" applyFill="0" applyProtection="0">
      <alignment horizontal="center"/>
    </xf>
    <xf numFmtId="0" fontId="241" fillId="94" borderId="4428" applyBorder="0" applyProtection="0">
      <alignment horizontal="centerContinuous" vertical="center"/>
    </xf>
    <xf numFmtId="254" fontId="240" fillId="0" borderId="4428" applyBorder="0" applyProtection="0">
      <alignment horizontal="right" vertical="center"/>
    </xf>
    <xf numFmtId="0" fontId="12" fillId="0" borderId="4371" applyNumberFormat="0" applyFill="0" applyBorder="0" applyAlignment="0" applyProtection="0"/>
    <xf numFmtId="0" fontId="25" fillId="10" borderId="4383" applyNumberFormat="0" applyProtection="0">
      <alignment horizontal="left" vertical="top"/>
    </xf>
    <xf numFmtId="0" fontId="25" fillId="10" borderId="4382" applyNumberFormat="0" applyProtection="0">
      <alignment horizontal="left" vertical="top"/>
    </xf>
    <xf numFmtId="0" fontId="25" fillId="10" borderId="4381" applyNumberFormat="0" applyProtection="0">
      <alignment horizontal="left" vertical="top"/>
    </xf>
    <xf numFmtId="0" fontId="25" fillId="10" borderId="4380" applyNumberFormat="0" applyProtection="0">
      <alignment horizontal="left" vertical="top"/>
    </xf>
    <xf numFmtId="0" fontId="25" fillId="10" borderId="4379" applyNumberFormat="0" applyProtection="0">
      <alignment horizontal="left" vertical="top"/>
    </xf>
    <xf numFmtId="0" fontId="25" fillId="10" borderId="4378" applyNumberFormat="0" applyProtection="0">
      <alignment horizontal="left" vertical="top"/>
    </xf>
    <xf numFmtId="0" fontId="25" fillId="10" borderId="4377" applyNumberFormat="0" applyProtection="0">
      <alignment horizontal="left"/>
    </xf>
    <xf numFmtId="0" fontId="12" fillId="10" borderId="4372" applyNumberFormat="0" applyFont="0" applyProtection="0"/>
    <xf numFmtId="0" fontId="12" fillId="10" borderId="4372" applyNumberFormat="0" applyFont="0" applyAlignment="0" applyProtection="0"/>
    <xf numFmtId="0" fontId="12" fillId="3" borderId="4372" applyNumberFormat="0" applyFont="0" applyAlignment="0" applyProtection="0"/>
    <xf numFmtId="293" fontId="234" fillId="10" borderId="4372" applyFont="0" applyProtection="0"/>
    <xf numFmtId="169" fontId="234" fillId="10" borderId="4372" applyFont="0" applyProtection="0"/>
    <xf numFmtId="293" fontId="234" fillId="10" borderId="4372" applyFont="0" applyProtection="0"/>
    <xf numFmtId="293" fontId="234" fillId="3" borderId="4372" applyFont="0" applyProtection="0"/>
    <xf numFmtId="169" fontId="234" fillId="3" borderId="4372" applyFont="0" applyProtection="0"/>
    <xf numFmtId="0" fontId="25" fillId="10" borderId="4372" applyNumberFormat="0" applyProtection="0">
      <alignment horizontal="center" vertical="top"/>
    </xf>
    <xf numFmtId="0" fontId="25" fillId="10" borderId="4372" applyNumberFormat="0" applyProtection="0">
      <alignment horizontal="center" vertical="top"/>
    </xf>
    <xf numFmtId="0" fontId="210" fillId="0" borderId="4428" applyNumberFormat="0" applyFill="0" applyBorder="0" applyAlignment="0">
      <protection locked="0"/>
    </xf>
    <xf numFmtId="188" fontId="25" fillId="0" borderId="4387" applyFont="0" applyFill="0" applyBorder="0" applyAlignment="0" applyProtection="0">
      <alignment horizontal="center"/>
    </xf>
    <xf numFmtId="264" fontId="12" fillId="14" borderId="4428" applyFont="0" applyFill="0" applyBorder="0" applyAlignment="0" applyProtection="0">
      <alignment horizontal="right"/>
    </xf>
    <xf numFmtId="0" fontId="25" fillId="69" borderId="4372">
      <alignment horizontal="left" vertical="center" wrapText="1"/>
    </xf>
    <xf numFmtId="0" fontId="166" fillId="0" borderId="4428">
      <alignment horizontal="center"/>
    </xf>
    <xf numFmtId="0" fontId="165" fillId="0" borderId="4428" applyFill="0" applyProtection="0">
      <alignment horizontal="center"/>
    </xf>
    <xf numFmtId="0" fontId="159" fillId="67" borderId="4372"/>
    <xf numFmtId="0" fontId="159" fillId="0" borderId="4372"/>
    <xf numFmtId="0" fontId="135" fillId="0" borderId="4372"/>
    <xf numFmtId="0" fontId="135" fillId="0" borderId="4372"/>
    <xf numFmtId="186" fontId="48" fillId="3" borderId="4370">
      <alignment vertical="center"/>
    </xf>
    <xf numFmtId="186" fontId="146" fillId="3" borderId="4428" applyBorder="0">
      <alignment horizontal="left" vertical="center"/>
    </xf>
    <xf numFmtId="180" fontId="9" fillId="3" borderId="4428">
      <alignment horizontal="right" vertical="center"/>
    </xf>
    <xf numFmtId="192" fontId="9" fillId="3" borderId="4428">
      <alignment horizontal="right" vertical="center"/>
    </xf>
    <xf numFmtId="182" fontId="145" fillId="3" borderId="4370">
      <alignment horizontal="right" vertical="center"/>
    </xf>
    <xf numFmtId="0" fontId="48" fillId="0" borderId="4370" applyFont="0" applyFill="0" applyBorder="0" applyAlignment="0" applyProtection="0">
      <alignment horizontal="center"/>
    </xf>
    <xf numFmtId="0" fontId="74" fillId="0" borderId="4370" applyFont="0" applyFill="0" applyBorder="0" applyAlignment="0" applyProtection="0">
      <alignment horizontal="center"/>
    </xf>
    <xf numFmtId="0" fontId="12" fillId="0" borderId="4428" applyNumberFormat="0" applyFill="0" applyBorder="0" applyAlignment="0" applyProtection="0">
      <alignment horizontal="center"/>
    </xf>
    <xf numFmtId="5" fontId="114" fillId="0" borderId="4370" applyAlignment="0" applyProtection="0"/>
    <xf numFmtId="0" fontId="113" fillId="0" borderId="4428" applyNumberFormat="0" applyFill="0" applyAlignment="0" applyProtection="0"/>
    <xf numFmtId="0" fontId="48" fillId="0" borderId="4371" applyNumberFormat="0" applyFill="0" applyAlignment="0" applyProtection="0"/>
    <xf numFmtId="0" fontId="105" fillId="0" borderId="4371" applyNumberFormat="0" applyFill="0" applyBorder="0" applyAlignment="0" applyProtection="0"/>
    <xf numFmtId="0" fontId="46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222" fontId="79" fillId="0" borderId="4427" applyBorder="0"/>
    <xf numFmtId="0" fontId="101" fillId="0" borderId="4428" applyBorder="0"/>
    <xf numFmtId="10" fontId="12" fillId="3" borderId="4384" applyNumberFormat="0" applyFont="0" applyFill="0" applyBorder="0" applyAlignment="0">
      <protection locked="0"/>
    </xf>
    <xf numFmtId="192" fontId="9" fillId="3" borderId="4549">
      <alignment horizontal="right" vertical="center"/>
    </xf>
    <xf numFmtId="248" fontId="46" fillId="0" borderId="4428"/>
    <xf numFmtId="180" fontId="9" fillId="3" borderId="4549">
      <alignment horizontal="right" vertical="center"/>
    </xf>
    <xf numFmtId="10" fontId="12" fillId="3" borderId="4384" applyNumberFormat="0" applyFont="0" applyFill="0" applyBorder="0" applyAlignment="0">
      <protection locked="0"/>
    </xf>
    <xf numFmtId="0" fontId="166" fillId="0" borderId="4537">
      <alignment horizontal="center"/>
    </xf>
    <xf numFmtId="186" fontId="146" fillId="3" borderId="4549" applyBorder="0">
      <alignment horizontal="left" vertical="center"/>
    </xf>
    <xf numFmtId="10" fontId="12" fillId="3" borderId="4384" applyNumberFormat="0" applyFont="0" applyFill="0" applyBorder="0" applyAlignment="0">
      <protection locked="0"/>
    </xf>
    <xf numFmtId="254" fontId="240" fillId="0" borderId="4537" applyBorder="0" applyProtection="0">
      <alignment horizontal="right" vertical="center"/>
    </xf>
    <xf numFmtId="10" fontId="12" fillId="3" borderId="4384" applyNumberFormat="0" applyFont="0" applyFill="0" applyBorder="0" applyAlignment="0">
      <protection locked="0"/>
    </xf>
    <xf numFmtId="0" fontId="101" fillId="0" borderId="4428" applyBorder="0"/>
    <xf numFmtId="222" fontId="79" fillId="0" borderId="4427" applyBorder="0"/>
    <xf numFmtId="0" fontId="113" fillId="0" borderId="4428" applyNumberFormat="0" applyFill="0" applyAlignment="0" applyProtection="0"/>
    <xf numFmtId="0" fontId="75" fillId="0" borderId="4429" applyNumberFormat="0" applyFont="0" applyFill="0" applyAlignment="0" applyProtection="0"/>
    <xf numFmtId="0" fontId="12" fillId="0" borderId="4428" applyNumberFormat="0" applyFill="0" applyBorder="0" applyAlignment="0" applyProtection="0">
      <alignment horizontal="center"/>
    </xf>
    <xf numFmtId="248" fontId="46" fillId="0" borderId="4428"/>
    <xf numFmtId="192" fontId="9" fillId="3" borderId="4428">
      <alignment horizontal="right" vertical="center"/>
    </xf>
    <xf numFmtId="180" fontId="9" fillId="3" borderId="4428">
      <alignment horizontal="right" vertical="center"/>
    </xf>
    <xf numFmtId="186" fontId="146" fillId="3" borderId="4428" applyBorder="0">
      <alignment horizontal="left" vertical="center"/>
    </xf>
    <xf numFmtId="186" fontId="146" fillId="3" borderId="4431">
      <alignment horizontal="left"/>
    </xf>
    <xf numFmtId="186" fontId="140" fillId="3" borderId="4432">
      <alignment horizontal="center" vertical="center"/>
    </xf>
    <xf numFmtId="0" fontId="165" fillId="0" borderId="4428" applyFill="0" applyProtection="0">
      <alignment horizontal="center"/>
    </xf>
    <xf numFmtId="0" fontId="166" fillId="0" borderId="4428">
      <alignment horizontal="center"/>
    </xf>
    <xf numFmtId="264" fontId="12" fillId="14" borderId="4428" applyFont="0" applyFill="0" applyBorder="0" applyAlignment="0" applyProtection="0">
      <alignment horizontal="right"/>
    </xf>
    <xf numFmtId="0" fontId="210" fillId="0" borderId="4428" applyNumberFormat="0" applyFill="0" applyBorder="0" applyAlignment="0">
      <protection locked="0"/>
    </xf>
    <xf numFmtId="0" fontId="2" fillId="0" borderId="4433" applyNumberFormat="0" applyAlignment="0" applyProtection="0"/>
    <xf numFmtId="0" fontId="214" fillId="0" borderId="4434" applyNumberFormat="0" applyFont="0" applyFill="0" applyAlignment="0" applyProtection="0"/>
    <xf numFmtId="0" fontId="25" fillId="10" borderId="4435" applyNumberFormat="0" applyProtection="0">
      <alignment horizontal="left" vertical="top"/>
    </xf>
    <xf numFmtId="0" fontId="25" fillId="10" borderId="4436" applyNumberFormat="0" applyProtection="0">
      <alignment horizontal="left" vertical="top"/>
    </xf>
    <xf numFmtId="0" fontId="25" fillId="10" borderId="4437" applyNumberFormat="0" applyProtection="0">
      <alignment horizontal="left" vertical="top"/>
    </xf>
    <xf numFmtId="0" fontId="25" fillId="10" borderId="4438" applyNumberFormat="0" applyProtection="0">
      <alignment horizontal="left" vertical="top"/>
    </xf>
    <xf numFmtId="0" fontId="25" fillId="10" borderId="4435" applyNumberFormat="0" applyProtection="0">
      <alignment horizontal="left" vertical="top"/>
    </xf>
    <xf numFmtId="0" fontId="25" fillId="10" borderId="4436" applyNumberFormat="0" applyProtection="0">
      <alignment horizontal="left" vertical="top"/>
    </xf>
    <xf numFmtId="0" fontId="25" fillId="10" borderId="4437" applyNumberFormat="0" applyProtection="0">
      <alignment horizontal="left" vertical="top"/>
    </xf>
    <xf numFmtId="0" fontId="25" fillId="10" borderId="4438" applyNumberFormat="0" applyProtection="0">
      <alignment horizontal="left" vertical="top"/>
    </xf>
    <xf numFmtId="254" fontId="240" fillId="0" borderId="4428" applyBorder="0" applyProtection="0">
      <alignment horizontal="right" vertical="center"/>
    </xf>
    <xf numFmtId="0" fontId="241" fillId="94" borderId="4428" applyBorder="0" applyProtection="0">
      <alignment horizontal="centerContinuous" vertical="center"/>
    </xf>
    <xf numFmtId="246" fontId="249" fillId="0" borderId="4428" applyFill="0" applyProtection="0">
      <alignment horizontal="center"/>
    </xf>
    <xf numFmtId="246" fontId="250" fillId="0" borderId="4428" applyFill="0" applyProtection="0">
      <alignment horizontal="center"/>
    </xf>
    <xf numFmtId="0" fontId="165" fillId="0" borderId="4549" applyFill="0" applyProtection="0">
      <alignment horizontal="center"/>
    </xf>
    <xf numFmtId="10" fontId="12" fillId="3" borderId="4384" applyNumberFormat="0" applyFont="0" applyFill="0" applyBorder="0" applyAlignment="0">
      <protection locked="0"/>
    </xf>
    <xf numFmtId="0" fontId="166" fillId="0" borderId="4549">
      <alignment horizontal="center"/>
    </xf>
    <xf numFmtId="0" fontId="241" fillId="94" borderId="4609" applyBorder="0" applyProtection="0">
      <alignment horizontal="centerContinuous" vertical="center"/>
    </xf>
    <xf numFmtId="190" fontId="101" fillId="0" borderId="4428" applyBorder="0"/>
    <xf numFmtId="186" fontId="146" fillId="3" borderId="4609" applyBorder="0">
      <alignment horizontal="left" vertical="center"/>
    </xf>
    <xf numFmtId="192" fontId="9" fillId="3" borderId="4609">
      <alignment horizontal="right" vertical="center"/>
    </xf>
    <xf numFmtId="190" fontId="12" fillId="0" borderId="4371" applyNumberFormat="0" applyFill="0" applyBorder="0" applyAlignment="0" applyProtection="0"/>
    <xf numFmtId="190" fontId="46" fillId="0" borderId="4371" applyNumberFormat="0" applyFill="0" applyBorder="0" applyAlignment="0" applyProtection="0"/>
    <xf numFmtId="190" fontId="105" fillId="0" borderId="4371" applyNumberFormat="0" applyFill="0" applyBorder="0" applyAlignment="0" applyProtection="0"/>
    <xf numFmtId="190" fontId="48" fillId="0" borderId="4371" applyNumberFormat="0" applyFill="0" applyAlignment="0" applyProtection="0"/>
    <xf numFmtId="0" fontId="210" fillId="0" borderId="4609" applyNumberFormat="0" applyFill="0" applyBorder="0" applyAlignment="0">
      <protection locked="0"/>
    </xf>
    <xf numFmtId="246" fontId="249" fillId="0" borderId="4609" applyFill="0" applyProtection="0">
      <alignment horizontal="center"/>
    </xf>
    <xf numFmtId="190" fontId="113" fillId="0" borderId="4428" applyNumberFormat="0" applyFill="0" applyAlignment="0" applyProtection="0"/>
    <xf numFmtId="190" fontId="75" fillId="0" borderId="4405" applyNumberFormat="0" applyFont="0" applyFill="0" applyAlignment="0" applyProtection="0"/>
    <xf numFmtId="0" fontId="214" fillId="0" borderId="4615" applyNumberFormat="0" applyFont="0" applyFill="0" applyAlignment="0" applyProtection="0"/>
    <xf numFmtId="186" fontId="146" fillId="3" borderId="4612">
      <alignment horizontal="left"/>
    </xf>
    <xf numFmtId="0" fontId="241" fillId="94" borderId="4597" applyBorder="0" applyProtection="0">
      <alignment horizontal="centerContinuous" vertical="center"/>
    </xf>
    <xf numFmtId="0" fontId="166" fillId="0" borderId="4597">
      <alignment horizontal="center"/>
    </xf>
    <xf numFmtId="248" fontId="46" fillId="0" borderId="4597"/>
    <xf numFmtId="0" fontId="214" fillId="0" borderId="4591" applyNumberFormat="0" applyFont="0" applyFill="0" applyAlignment="0" applyProtection="0"/>
    <xf numFmtId="186" fontId="140" fillId="3" borderId="4589">
      <alignment horizontal="center" vertical="center"/>
    </xf>
    <xf numFmtId="190" fontId="12" fillId="0" borderId="4428" applyNumberFormat="0" applyFill="0" applyBorder="0" applyAlignment="0" applyProtection="0">
      <alignment horizontal="center"/>
    </xf>
    <xf numFmtId="0" fontId="78" fillId="14" borderId="4587" applyFont="0" applyFill="0" applyBorder="0" applyAlignment="0" applyProtection="0"/>
    <xf numFmtId="264" fontId="12" fillId="14" borderId="4573" applyFont="0" applyFill="0" applyBorder="0" applyAlignment="0" applyProtection="0">
      <alignment horizontal="right"/>
    </xf>
    <xf numFmtId="186" fontId="146" fillId="3" borderId="4573" applyBorder="0">
      <alignment horizontal="left" vertical="center"/>
    </xf>
    <xf numFmtId="248" fontId="46" fillId="0" borderId="4573"/>
    <xf numFmtId="222" fontId="79" fillId="0" borderId="4572" applyBorder="0"/>
    <xf numFmtId="0" fontId="75" fillId="0" borderId="4562" applyNumberFormat="0" applyFont="0" applyFill="0" applyAlignment="0" applyProtection="0"/>
    <xf numFmtId="0" fontId="2" fillId="0" borderId="4566" applyNumberFormat="0" applyAlignment="0" applyProtection="0"/>
    <xf numFmtId="0" fontId="25" fillId="10" borderId="4569" applyNumberFormat="0" applyProtection="0">
      <alignment horizontal="left" vertical="top"/>
    </xf>
    <xf numFmtId="0" fontId="78" fillId="14" borderId="4563" applyFont="0" applyFill="0" applyBorder="0" applyAlignment="0" applyProtection="0"/>
    <xf numFmtId="246" fontId="250" fillId="0" borderId="4549" applyFill="0" applyProtection="0">
      <alignment horizontal="center"/>
    </xf>
    <xf numFmtId="0" fontId="113" fillId="0" borderId="4537" applyNumberFormat="0" applyFill="0" applyAlignment="0" applyProtection="0"/>
    <xf numFmtId="0" fontId="25" fillId="10" borderId="4545" applyNumberFormat="0" applyProtection="0">
      <alignment horizontal="left" vertical="top"/>
    </xf>
    <xf numFmtId="0" fontId="2" fillId="0" borderId="4542" applyNumberFormat="0" applyAlignment="0" applyProtection="0"/>
    <xf numFmtId="190" fontId="78" fillId="14" borderId="4418" applyFont="0" applyFill="0" applyBorder="0" applyAlignment="0" applyProtection="0"/>
    <xf numFmtId="0" fontId="113" fillId="0" borderId="4549" applyNumberFormat="0" applyFill="0" applyAlignment="0" applyProtection="0"/>
    <xf numFmtId="246" fontId="249" fillId="0" borderId="4549" applyFill="0" applyProtection="0">
      <alignment horizontal="center"/>
    </xf>
    <xf numFmtId="190" fontId="74" fillId="0" borderId="4370" applyFont="0" applyFill="0" applyBorder="0" applyAlignment="0" applyProtection="0">
      <alignment horizontal="center"/>
    </xf>
    <xf numFmtId="190" fontId="48" fillId="0" borderId="4370" applyFont="0" applyFill="0" applyBorder="0" applyAlignment="0" applyProtection="0">
      <alignment horizontal="center"/>
    </xf>
    <xf numFmtId="0" fontId="25" fillId="10" borderId="4367" applyNumberFormat="0" applyProtection="0">
      <alignment horizontal="left" vertical="top"/>
    </xf>
    <xf numFmtId="186" fontId="140" fillId="3" borderId="4577">
      <alignment horizontal="center" vertical="center"/>
    </xf>
    <xf numFmtId="190" fontId="135" fillId="0" borderId="4372"/>
    <xf numFmtId="190" fontId="135" fillId="0" borderId="4372"/>
    <xf numFmtId="0" fontId="2" fillId="0" borderId="4578" applyNumberFormat="0" applyAlignment="0" applyProtection="0"/>
    <xf numFmtId="0" fontId="101" fillId="0" borderId="4585" applyBorder="0"/>
    <xf numFmtId="0" fontId="165" fillId="0" borderId="4585" applyFill="0" applyProtection="0">
      <alignment horizontal="center"/>
    </xf>
    <xf numFmtId="246" fontId="250" fillId="0" borderId="4561" applyFill="0" applyProtection="0">
      <alignment horizontal="center"/>
    </xf>
    <xf numFmtId="0" fontId="210" fillId="0" borderId="4561" applyNumberFormat="0" applyFill="0" applyBorder="0" applyAlignment="0">
      <protection locked="0"/>
    </xf>
    <xf numFmtId="246" fontId="250" fillId="0" borderId="4609" applyFill="0" applyProtection="0">
      <alignment horizontal="center"/>
    </xf>
    <xf numFmtId="186" fontId="146" fillId="3" borderId="4609" applyBorder="0">
      <alignment horizontal="left" vertical="center"/>
    </xf>
    <xf numFmtId="0" fontId="101" fillId="0" borderId="4609" applyBorder="0"/>
    <xf numFmtId="222" fontId="79" fillId="0" borderId="4596" applyBorder="0"/>
    <xf numFmtId="0" fontId="12" fillId="0" borderId="4609" applyNumberFormat="0" applyFill="0" applyBorder="0" applyAlignment="0" applyProtection="0">
      <alignment horizontal="center"/>
    </xf>
    <xf numFmtId="0" fontId="214" fillId="0" borderId="4543" applyNumberFormat="0" applyFont="0" applyFill="0" applyAlignment="0" applyProtection="0"/>
    <xf numFmtId="0" fontId="25" fillId="10" borderId="4546" applyNumberFormat="0" applyProtection="0">
      <alignment horizontal="left" vertical="top"/>
    </xf>
    <xf numFmtId="0" fontId="25" fillId="10" borderId="4546" applyNumberFormat="0" applyProtection="0">
      <alignment horizontal="left" vertical="top"/>
    </xf>
    <xf numFmtId="246" fontId="249" fillId="0" borderId="4609" applyFill="0" applyProtection="0">
      <alignment horizontal="center"/>
    </xf>
    <xf numFmtId="0" fontId="113" fillId="0" borderId="4609" applyNumberFormat="0" applyFill="0" applyAlignment="0" applyProtection="0"/>
    <xf numFmtId="190" fontId="159" fillId="0" borderId="4372"/>
    <xf numFmtId="190" fontId="159" fillId="67" borderId="4372"/>
    <xf numFmtId="190" fontId="165" fillId="0" borderId="4428" applyFill="0" applyProtection="0">
      <alignment horizontal="center"/>
    </xf>
    <xf numFmtId="190" fontId="166" fillId="0" borderId="4428">
      <alignment horizontal="center"/>
    </xf>
    <xf numFmtId="246" fontId="249" fillId="0" borderId="4537" applyFill="0" applyProtection="0">
      <alignment horizontal="center"/>
    </xf>
    <xf numFmtId="0" fontId="166" fillId="0" borderId="4537">
      <alignment horizontal="center"/>
    </xf>
    <xf numFmtId="0" fontId="12" fillId="0" borderId="4537" applyNumberFormat="0" applyFill="0" applyBorder="0" applyAlignment="0" applyProtection="0">
      <alignment horizontal="center"/>
    </xf>
    <xf numFmtId="0" fontId="101" fillId="0" borderId="4537" applyBorder="0"/>
    <xf numFmtId="190" fontId="25" fillId="69" borderId="4372">
      <alignment horizontal="left" vertical="center" wrapText="1"/>
    </xf>
    <xf numFmtId="190" fontId="184" fillId="0" borderId="4373" applyAlignment="0">
      <alignment horizontal="left" wrapText="1"/>
    </xf>
    <xf numFmtId="190" fontId="210" fillId="0" borderId="4428" applyNumberFormat="0" applyFill="0" applyBorder="0" applyAlignment="0">
      <protection locked="0"/>
    </xf>
    <xf numFmtId="190" fontId="2" fillId="0" borderId="4409" applyNumberFormat="0" applyAlignment="0" applyProtection="0"/>
    <xf numFmtId="190" fontId="214" fillId="0" borderId="4410" applyNumberFormat="0" applyFont="0" applyFill="0" applyAlignment="0" applyProtection="0"/>
    <xf numFmtId="190" fontId="225" fillId="53" borderId="4374" applyNumberFormat="0" applyProtection="0">
      <alignment horizontal="left" vertical="top" indent="1"/>
    </xf>
    <xf numFmtId="190" fontId="12" fillId="75" borderId="4374" applyNumberFormat="0" applyProtection="0">
      <alignment horizontal="left" vertical="center" indent="1"/>
    </xf>
    <xf numFmtId="190" fontId="12" fillId="75" borderId="4374" applyNumberFormat="0" applyProtection="0">
      <alignment horizontal="left" vertical="top" indent="1"/>
    </xf>
    <xf numFmtId="190" fontId="12" fillId="84" borderId="4374" applyNumberFormat="0" applyProtection="0">
      <alignment horizontal="left" vertical="center" indent="1"/>
    </xf>
    <xf numFmtId="190" fontId="12" fillId="84" borderId="4374" applyNumberFormat="0" applyProtection="0">
      <alignment horizontal="left" vertical="top" indent="1"/>
    </xf>
    <xf numFmtId="190" fontId="12" fillId="52" borderId="4374" applyNumberFormat="0" applyProtection="0">
      <alignment horizontal="left" vertical="center" indent="1"/>
    </xf>
    <xf numFmtId="190" fontId="12" fillId="52" borderId="4374" applyNumberFormat="0" applyProtection="0">
      <alignment horizontal="left" vertical="top" indent="1"/>
    </xf>
    <xf numFmtId="190" fontId="12" fillId="11" borderId="4374" applyNumberFormat="0" applyProtection="0">
      <alignment horizontal="left" vertical="center" indent="1"/>
    </xf>
    <xf numFmtId="190" fontId="12" fillId="11" borderId="4374" applyNumberFormat="0" applyProtection="0">
      <alignment horizontal="left" vertical="top" indent="1"/>
    </xf>
    <xf numFmtId="190" fontId="136" fillId="14" borderId="4374" applyNumberFormat="0" applyProtection="0">
      <alignment horizontal="left" vertical="top" indent="1"/>
    </xf>
    <xf numFmtId="190" fontId="136" fillId="84" borderId="4374" applyNumberFormat="0" applyProtection="0">
      <alignment horizontal="left" vertical="top" indent="1"/>
    </xf>
    <xf numFmtId="190" fontId="25" fillId="10" borderId="4372" applyNumberFormat="0" applyProtection="0">
      <alignment horizontal="center" vertical="top"/>
    </xf>
    <xf numFmtId="190" fontId="25" fillId="10" borderId="4372" applyNumberFormat="0" applyProtection="0">
      <alignment horizontal="center" vertical="top"/>
    </xf>
    <xf numFmtId="190" fontId="12" fillId="3" borderId="4372" applyNumberFormat="0" applyFont="0" applyAlignment="0" applyProtection="0"/>
    <xf numFmtId="190" fontId="12" fillId="10" borderId="4372" applyNumberFormat="0" applyFont="0" applyAlignment="0" applyProtection="0"/>
    <xf numFmtId="190" fontId="12" fillId="10" borderId="4372" applyNumberFormat="0" applyFont="0" applyProtection="0"/>
    <xf numFmtId="190" fontId="25" fillId="10" borderId="4377" applyNumberFormat="0" applyProtection="0">
      <alignment horizontal="left"/>
    </xf>
    <xf numFmtId="190" fontId="25" fillId="10" borderId="4378" applyNumberFormat="0" applyProtection="0">
      <alignment horizontal="left" vertical="top"/>
    </xf>
    <xf numFmtId="190" fontId="25" fillId="10" borderId="4379" applyNumberFormat="0" applyProtection="0">
      <alignment horizontal="left" vertical="top"/>
    </xf>
    <xf numFmtId="190" fontId="25" fillId="10" borderId="4411" applyNumberFormat="0" applyProtection="0">
      <alignment horizontal="left" vertical="top"/>
    </xf>
    <xf numFmtId="190" fontId="25" fillId="10" borderId="4412" applyNumberFormat="0" applyProtection="0">
      <alignment horizontal="left" vertical="top"/>
    </xf>
    <xf numFmtId="190" fontId="25" fillId="10" borderId="4380" applyNumberFormat="0" applyProtection="0">
      <alignment horizontal="left" vertical="top"/>
    </xf>
    <xf numFmtId="190" fontId="25" fillId="10" borderId="4413" applyNumberFormat="0" applyProtection="0">
      <alignment horizontal="left" vertical="top"/>
    </xf>
    <xf numFmtId="190" fontId="25" fillId="10" borderId="4381" applyNumberFormat="0" applyProtection="0">
      <alignment horizontal="left" vertical="top"/>
    </xf>
    <xf numFmtId="190" fontId="25" fillId="10" borderId="4414" applyNumberFormat="0" applyProtection="0">
      <alignment horizontal="left" vertical="top"/>
    </xf>
    <xf numFmtId="190" fontId="25" fillId="10" borderId="4382" applyNumberFormat="0" applyProtection="0">
      <alignment horizontal="left" vertical="top"/>
    </xf>
    <xf numFmtId="190" fontId="25" fillId="10" borderId="4383" applyNumberFormat="0" applyProtection="0">
      <alignment horizontal="left" vertical="top"/>
    </xf>
    <xf numFmtId="190" fontId="12" fillId="0" borderId="4371" applyNumberFormat="0" applyFill="0" applyBorder="0" applyAlignment="0" applyProtection="0"/>
    <xf numFmtId="190" fontId="241" fillId="94" borderId="4428" applyBorder="0" applyProtection="0">
      <alignment horizontal="centerContinuous" vertical="center"/>
    </xf>
    <xf numFmtId="10" fontId="12" fillId="3" borderId="4384" applyNumberFormat="0" applyFont="0" applyFill="0" applyBorder="0" applyAlignment="0">
      <protection locked="0"/>
    </xf>
    <xf numFmtId="190" fontId="12" fillId="0" borderId="4371" applyNumberFormat="0" applyFill="0" applyBorder="0" applyAlignment="0" applyProtection="0"/>
    <xf numFmtId="190" fontId="12" fillId="0" borderId="4371" applyNumberFormat="0" applyFill="0" applyBorder="0" applyAlignment="0" applyProtection="0"/>
    <xf numFmtId="190" fontId="12" fillId="0" borderId="4371" applyNumberFormat="0" applyFill="0" applyBorder="0" applyAlignment="0" applyProtection="0"/>
    <xf numFmtId="0" fontId="165" fillId="0" borderId="4537" applyFill="0" applyProtection="0">
      <alignment horizontal="center"/>
    </xf>
    <xf numFmtId="222" fontId="79" fillId="0" borderId="4427" applyBorder="0"/>
    <xf numFmtId="10" fontId="12" fillId="3" borderId="4384" applyNumberFormat="0" applyFont="0" applyFill="0" applyBorder="0" applyAlignment="0">
      <protection locked="0"/>
    </xf>
    <xf numFmtId="0" fontId="101" fillId="0" borderId="4428" applyBorder="0"/>
    <xf numFmtId="222" fontId="79" fillId="0" borderId="4427" applyBorder="0"/>
    <xf numFmtId="0" fontId="113" fillId="0" borderId="4428" applyNumberFormat="0" applyFill="0" applyAlignment="0" applyProtection="0"/>
    <xf numFmtId="0" fontId="75" fillId="0" borderId="4405" applyNumberFormat="0" applyFont="0" applyFill="0" applyAlignment="0" applyProtection="0"/>
    <xf numFmtId="0" fontId="12" fillId="0" borderId="4428" applyNumberFormat="0" applyFill="0" applyBorder="0" applyAlignment="0" applyProtection="0">
      <alignment horizontal="center"/>
    </xf>
    <xf numFmtId="248" fontId="46" fillId="0" borderId="4428"/>
    <xf numFmtId="192" fontId="9" fillId="3" borderId="4428">
      <alignment horizontal="right" vertical="center"/>
    </xf>
    <xf numFmtId="180" fontId="9" fillId="3" borderId="4428">
      <alignment horizontal="right" vertical="center"/>
    </xf>
    <xf numFmtId="186" fontId="146" fillId="3" borderId="4428" applyBorder="0">
      <alignment horizontal="left" vertical="center"/>
    </xf>
    <xf numFmtId="186" fontId="146" fillId="3" borderId="4407">
      <alignment horizontal="left"/>
    </xf>
    <xf numFmtId="186" fontId="140" fillId="3" borderId="4408">
      <alignment horizontal="center" vertical="center"/>
    </xf>
    <xf numFmtId="0" fontId="165" fillId="0" borderId="4428" applyFill="0" applyProtection="0">
      <alignment horizontal="center"/>
    </xf>
    <xf numFmtId="0" fontId="166" fillId="0" borderId="4428">
      <alignment horizontal="center"/>
    </xf>
    <xf numFmtId="264" fontId="12" fillId="14" borderId="4428" applyFont="0" applyFill="0" applyBorder="0" applyAlignment="0" applyProtection="0">
      <alignment horizontal="right"/>
    </xf>
    <xf numFmtId="0" fontId="210" fillId="0" borderId="4428" applyNumberFormat="0" applyFill="0" applyBorder="0" applyAlignment="0">
      <protection locked="0"/>
    </xf>
    <xf numFmtId="0" fontId="2" fillId="0" borderId="4409" applyNumberFormat="0" applyAlignment="0" applyProtection="0"/>
    <xf numFmtId="0" fontId="214" fillId="0" borderId="4410" applyNumberFormat="0" applyFont="0" applyFill="0" applyAlignment="0" applyProtection="0"/>
    <xf numFmtId="0" fontId="25" fillId="10" borderId="4411" applyNumberFormat="0" applyProtection="0">
      <alignment horizontal="left" vertical="top"/>
    </xf>
    <xf numFmtId="0" fontId="25" fillId="10" borderId="4412" applyNumberFormat="0" applyProtection="0">
      <alignment horizontal="left" vertical="top"/>
    </xf>
    <xf numFmtId="0" fontId="25" fillId="10" borderId="4413" applyNumberFormat="0" applyProtection="0">
      <alignment horizontal="left" vertical="top"/>
    </xf>
    <xf numFmtId="0" fontId="25" fillId="10" borderId="4414" applyNumberFormat="0" applyProtection="0">
      <alignment horizontal="left" vertical="top"/>
    </xf>
    <xf numFmtId="0" fontId="25" fillId="10" borderId="4411" applyNumberFormat="0" applyProtection="0">
      <alignment horizontal="left" vertical="top"/>
    </xf>
    <xf numFmtId="0" fontId="25" fillId="10" borderId="4412" applyNumberFormat="0" applyProtection="0">
      <alignment horizontal="left" vertical="top"/>
    </xf>
    <xf numFmtId="0" fontId="25" fillId="10" borderId="4413" applyNumberFormat="0" applyProtection="0">
      <alignment horizontal="left" vertical="top"/>
    </xf>
    <xf numFmtId="0" fontId="25" fillId="10" borderId="4414" applyNumberFormat="0" applyProtection="0">
      <alignment horizontal="left" vertical="top"/>
    </xf>
    <xf numFmtId="254" fontId="240" fillId="0" borderId="4428" applyBorder="0" applyProtection="0">
      <alignment horizontal="right" vertical="center"/>
    </xf>
    <xf numFmtId="0" fontId="241" fillId="94" borderId="4428" applyBorder="0" applyProtection="0">
      <alignment horizontal="centerContinuous" vertical="center"/>
    </xf>
    <xf numFmtId="246" fontId="249" fillId="0" borderId="4428" applyFill="0" applyProtection="0">
      <alignment horizontal="center"/>
    </xf>
    <xf numFmtId="246" fontId="250" fillId="0" borderId="4428" applyFill="0" applyProtection="0">
      <alignment horizontal="center"/>
    </xf>
    <xf numFmtId="264" fontId="12" fillId="14" borderId="4549" applyFont="0" applyFill="0" applyBorder="0" applyAlignment="0" applyProtection="0">
      <alignment horizontal="right"/>
    </xf>
    <xf numFmtId="0" fontId="241" fillId="94" borderId="4428" applyBorder="0" applyProtection="0">
      <alignment horizontal="centerContinuous" vertical="center"/>
    </xf>
    <xf numFmtId="0" fontId="210" fillId="0" borderId="4549" applyNumberFormat="0" applyFill="0" applyBorder="0" applyAlignment="0">
      <protection locked="0"/>
    </xf>
    <xf numFmtId="10" fontId="12" fillId="3" borderId="4384" applyNumberFormat="0" applyFont="0" applyFill="0" applyBorder="0" applyAlignment="0">
      <protection locked="0"/>
    </xf>
    <xf numFmtId="0" fontId="166" fillId="0" borderId="4609">
      <alignment horizontal="center"/>
    </xf>
    <xf numFmtId="10" fontId="12" fillId="3" borderId="4384" applyNumberFormat="0" applyFont="0" applyFill="0" applyBorder="0" applyAlignment="0">
      <protection locked="0"/>
    </xf>
    <xf numFmtId="190" fontId="214" fillId="0" borderId="4591" applyNumberFormat="0" applyFont="0" applyFill="0" applyAlignment="0" applyProtection="0"/>
    <xf numFmtId="190" fontId="78" fillId="14" borderId="4599" applyFont="0" applyFill="0" applyBorder="0" applyAlignment="0" applyProtection="0"/>
    <xf numFmtId="190" fontId="101" fillId="0" borderId="4609" applyBorder="0"/>
    <xf numFmtId="254" fontId="240" fillId="0" borderId="4609" applyBorder="0" applyProtection="0">
      <alignment horizontal="right" vertical="center"/>
    </xf>
    <xf numFmtId="312" fontId="101" fillId="0" borderId="4428" applyBorder="0"/>
    <xf numFmtId="0" fontId="113" fillId="0" borderId="4609" applyNumberFormat="0" applyFill="0" applyAlignment="0" applyProtection="0"/>
    <xf numFmtId="180" fontId="9" fillId="3" borderId="4609">
      <alignment horizontal="right" vertical="center"/>
    </xf>
    <xf numFmtId="312" fontId="12" fillId="0" borderId="4371" applyNumberFormat="0" applyFill="0" applyBorder="0" applyAlignment="0" applyProtection="0"/>
    <xf numFmtId="312" fontId="46" fillId="0" borderId="4371" applyNumberFormat="0" applyFill="0" applyBorder="0" applyAlignment="0" applyProtection="0"/>
    <xf numFmtId="312" fontId="105" fillId="0" borderId="4371" applyNumberFormat="0" applyFill="0" applyBorder="0" applyAlignment="0" applyProtection="0"/>
    <xf numFmtId="312" fontId="48" fillId="0" borderId="4371" applyNumberFormat="0" applyFill="0" applyAlignment="0" applyProtection="0"/>
    <xf numFmtId="0" fontId="165" fillId="0" borderId="4609" applyFill="0" applyProtection="0">
      <alignment horizontal="center"/>
    </xf>
    <xf numFmtId="246" fontId="250" fillId="0" borderId="4609" applyFill="0" applyProtection="0">
      <alignment horizontal="center"/>
    </xf>
    <xf numFmtId="312" fontId="113" fillId="0" borderId="4428" applyNumberFormat="0" applyFill="0" applyAlignment="0" applyProtection="0"/>
    <xf numFmtId="312" fontId="75" fillId="0" borderId="4405" applyNumberFormat="0" applyFont="0" applyFill="0" applyAlignment="0" applyProtection="0"/>
    <xf numFmtId="0" fontId="2" fillId="0" borderId="4614" applyNumberFormat="0" applyAlignment="0" applyProtection="0"/>
    <xf numFmtId="0" fontId="78" fillId="14" borderId="4611" applyFont="0" applyFill="0" applyBorder="0" applyAlignment="0" applyProtection="0"/>
    <xf numFmtId="246" fontId="250" fillId="0" borderId="4597" applyFill="0" applyProtection="0">
      <alignment horizontal="center"/>
    </xf>
    <xf numFmtId="254" fontId="240" fillId="0" borderId="4597" applyBorder="0" applyProtection="0">
      <alignment horizontal="right" vertical="center"/>
    </xf>
    <xf numFmtId="0" fontId="165" fillId="0" borderId="4597" applyFill="0" applyProtection="0">
      <alignment horizontal="center"/>
    </xf>
    <xf numFmtId="0" fontId="12" fillId="0" borderId="4597" applyNumberFormat="0" applyFill="0" applyBorder="0" applyAlignment="0" applyProtection="0">
      <alignment horizontal="center"/>
    </xf>
    <xf numFmtId="0" fontId="25" fillId="10" borderId="4592" applyNumberFormat="0" applyProtection="0">
      <alignment horizontal="left" vertical="top"/>
    </xf>
    <xf numFmtId="0" fontId="2" fillId="0" borderId="4590" applyNumberFormat="0" applyAlignment="0" applyProtection="0"/>
    <xf numFmtId="312" fontId="12" fillId="0" borderId="4428" applyNumberFormat="0" applyFill="0" applyBorder="0" applyAlignment="0" applyProtection="0">
      <alignment horizontal="center"/>
    </xf>
    <xf numFmtId="222" fontId="79" fillId="0" borderId="4584" applyBorder="0"/>
    <xf numFmtId="0" fontId="166" fillId="0" borderId="4573">
      <alignment horizontal="center"/>
    </xf>
    <xf numFmtId="180" fontId="9" fillId="3" borderId="4573">
      <alignment horizontal="right" vertical="center"/>
    </xf>
    <xf numFmtId="0" fontId="12" fillId="0" borderId="4573" applyNumberFormat="0" applyFill="0" applyBorder="0" applyAlignment="0" applyProtection="0">
      <alignment horizontal="center"/>
    </xf>
    <xf numFmtId="0" fontId="101" fillId="0" borderId="4573" applyBorder="0"/>
    <xf numFmtId="186" fontId="146" fillId="3" borderId="4564">
      <alignment horizontal="left"/>
    </xf>
    <xf numFmtId="0" fontId="214" fillId="0" borderId="4567" applyNumberFormat="0" applyFont="0" applyFill="0" applyAlignment="0" applyProtection="0"/>
    <xf numFmtId="0" fontId="25" fillId="10" borderId="4570" applyNumberFormat="0" applyProtection="0">
      <alignment horizontal="left" vertical="top"/>
    </xf>
    <xf numFmtId="222" fontId="79" fillId="0" borderId="4560" applyBorder="0"/>
    <xf numFmtId="246" fontId="249" fillId="0" borderId="4549" applyFill="0" applyProtection="0">
      <alignment horizontal="center"/>
    </xf>
    <xf numFmtId="222" fontId="79" fillId="0" borderId="4427" applyBorder="0"/>
    <xf numFmtId="0" fontId="78" fillId="14" borderId="4539" applyFont="0" applyFill="0" applyBorder="0" applyAlignment="0" applyProtection="0"/>
    <xf numFmtId="0" fontId="25" fillId="10" borderId="4547" applyNumberFormat="0" applyProtection="0">
      <alignment horizontal="left" vertical="top"/>
    </xf>
    <xf numFmtId="0" fontId="25" fillId="10" borderId="4544" applyNumberFormat="0" applyProtection="0">
      <alignment horizontal="left" vertical="top"/>
    </xf>
    <xf numFmtId="186" fontId="140" fillId="3" borderId="4541">
      <alignment horizontal="center" vertical="center"/>
    </xf>
    <xf numFmtId="222" fontId="79" fillId="0" borderId="4548" applyBorder="0"/>
    <xf numFmtId="312" fontId="78" fillId="14" borderId="4349" applyFont="0" applyFill="0" applyBorder="0" applyAlignment="0" applyProtection="0"/>
    <xf numFmtId="0" fontId="12" fillId="0" borderId="4549" applyNumberFormat="0" applyFill="0" applyBorder="0" applyAlignment="0" applyProtection="0">
      <alignment horizontal="center"/>
    </xf>
    <xf numFmtId="246" fontId="250" fillId="0" borderId="4549" applyFill="0" applyProtection="0">
      <alignment horizontal="center"/>
    </xf>
    <xf numFmtId="312" fontId="74" fillId="0" borderId="4370" applyFont="0" applyFill="0" applyBorder="0" applyAlignment="0" applyProtection="0">
      <alignment horizontal="center"/>
    </xf>
    <xf numFmtId="312" fontId="48" fillId="0" borderId="4370" applyFont="0" applyFill="0" applyBorder="0" applyAlignment="0" applyProtection="0">
      <alignment horizontal="center"/>
    </xf>
    <xf numFmtId="222" fontId="79" fillId="0" borderId="4427" applyBorder="0"/>
    <xf numFmtId="0" fontId="75" fillId="0" borderId="4598" applyNumberFormat="0" applyFont="0" applyFill="0" applyAlignment="0" applyProtection="0"/>
    <xf numFmtId="0" fontId="25" fillId="10" borderId="4368" applyNumberFormat="0" applyProtection="0">
      <alignment horizontal="left" vertical="top"/>
    </xf>
    <xf numFmtId="222" fontId="79" fillId="0" borderId="4584" applyBorder="0"/>
    <xf numFmtId="312" fontId="135" fillId="0" borderId="4372"/>
    <xf numFmtId="312" fontId="135" fillId="0" borderId="4372"/>
    <xf numFmtId="0" fontId="75" fillId="0" borderId="4574" applyNumberFormat="0" applyFont="0" applyFill="0" applyAlignment="0" applyProtection="0"/>
    <xf numFmtId="0" fontId="12" fillId="0" borderId="4585" applyNumberFormat="0" applyFill="0" applyBorder="0" applyAlignment="0" applyProtection="0">
      <alignment horizontal="center"/>
    </xf>
    <xf numFmtId="264" fontId="12" fillId="14" borderId="4585" applyFont="0" applyFill="0" applyBorder="0" applyAlignment="0" applyProtection="0">
      <alignment horizontal="right"/>
    </xf>
    <xf numFmtId="246" fontId="249" fillId="0" borderId="4561" applyFill="0" applyProtection="0">
      <alignment horizontal="center"/>
    </xf>
    <xf numFmtId="0" fontId="166" fillId="0" borderId="4561">
      <alignment horizontal="center"/>
    </xf>
    <xf numFmtId="254" fontId="240" fillId="0" borderId="4609" applyBorder="0" applyProtection="0">
      <alignment horizontal="right" vertical="center"/>
    </xf>
    <xf numFmtId="180" fontId="9" fillId="3" borderId="4609">
      <alignment horizontal="right" vertical="center"/>
    </xf>
    <xf numFmtId="222" fontId="79" fillId="0" borderId="4608" applyBorder="0"/>
    <xf numFmtId="0" fontId="25" fillId="10" borderId="4544" applyNumberFormat="0" applyProtection="0">
      <alignment horizontal="left" vertical="top"/>
    </xf>
    <xf numFmtId="186" fontId="140" fillId="3" borderId="4541">
      <alignment horizontal="center" vertical="center"/>
    </xf>
    <xf numFmtId="0" fontId="25" fillId="10" borderId="4544" applyNumberFormat="0" applyProtection="0">
      <alignment horizontal="left" vertical="top"/>
    </xf>
    <xf numFmtId="0" fontId="25" fillId="10" borderId="4547" applyNumberFormat="0" applyProtection="0">
      <alignment horizontal="left" vertical="top"/>
    </xf>
    <xf numFmtId="0" fontId="25" fillId="10" borderId="4545" applyNumberFormat="0" applyProtection="0">
      <alignment horizontal="left" vertical="top"/>
    </xf>
    <xf numFmtId="264" fontId="12" fillId="14" borderId="4609" applyFont="0" applyFill="0" applyBorder="0" applyAlignment="0" applyProtection="0">
      <alignment horizontal="right"/>
    </xf>
    <xf numFmtId="312" fontId="159" fillId="0" borderId="4372"/>
    <xf numFmtId="312" fontId="159" fillId="67" borderId="4372"/>
    <xf numFmtId="312" fontId="165" fillId="0" borderId="4428" applyFill="0" applyProtection="0">
      <alignment horizontal="center"/>
    </xf>
    <xf numFmtId="312" fontId="242" fillId="0" borderId="4428">
      <alignment horizontal="center"/>
    </xf>
    <xf numFmtId="0" fontId="241" fillId="94" borderId="4537" applyBorder="0" applyProtection="0">
      <alignment horizontal="centerContinuous" vertical="center"/>
    </xf>
    <xf numFmtId="0" fontId="165" fillId="0" borderId="4537" applyFill="0" applyProtection="0">
      <alignment horizontal="center"/>
    </xf>
    <xf numFmtId="0" fontId="113" fillId="0" borderId="4537" applyNumberFormat="0" applyFill="0" applyAlignment="0" applyProtection="0"/>
    <xf numFmtId="312" fontId="25" fillId="69" borderId="4372">
      <alignment horizontal="left" vertical="center" wrapText="1"/>
    </xf>
    <xf numFmtId="312" fontId="184" fillId="0" borderId="4373" applyAlignment="0">
      <alignment horizontal="left" wrapText="1"/>
    </xf>
    <xf numFmtId="0" fontId="25" fillId="10" borderId="4368" applyNumberFormat="0" applyProtection="0">
      <alignment horizontal="left" vertical="top"/>
    </xf>
    <xf numFmtId="312" fontId="210" fillId="0" borderId="4428" applyNumberFormat="0" applyFill="0" applyBorder="0" applyAlignment="0">
      <protection locked="0"/>
    </xf>
    <xf numFmtId="312" fontId="2" fillId="0" borderId="4409" applyNumberFormat="0" applyAlignment="0" applyProtection="0"/>
    <xf numFmtId="312" fontId="214" fillId="0" borderId="4410" applyNumberFormat="0" applyFont="0" applyFill="0" applyAlignment="0" applyProtection="0"/>
    <xf numFmtId="312" fontId="225" fillId="53" borderId="4374" applyNumberFormat="0" applyProtection="0">
      <alignment horizontal="left" vertical="top" indent="1"/>
    </xf>
    <xf numFmtId="312" fontId="12" fillId="75" borderId="4374" applyNumberFormat="0" applyProtection="0">
      <alignment horizontal="left" vertical="center" indent="1"/>
    </xf>
    <xf numFmtId="312" fontId="12" fillId="75" borderId="4374" applyNumberFormat="0" applyProtection="0">
      <alignment horizontal="left" vertical="top" indent="1"/>
    </xf>
    <xf numFmtId="312" fontId="12" fillId="84" borderId="4374" applyNumberFormat="0" applyProtection="0">
      <alignment horizontal="left" vertical="center" indent="1"/>
    </xf>
    <xf numFmtId="312" fontId="12" fillId="84" borderId="4374" applyNumberFormat="0" applyProtection="0">
      <alignment horizontal="left" vertical="top" indent="1"/>
    </xf>
    <xf numFmtId="312" fontId="12" fillId="52" borderId="4374" applyNumberFormat="0" applyProtection="0">
      <alignment horizontal="left" vertical="center" indent="1"/>
    </xf>
    <xf numFmtId="312" fontId="12" fillId="52" borderId="4374" applyNumberFormat="0" applyProtection="0">
      <alignment horizontal="left" vertical="top" indent="1"/>
    </xf>
    <xf numFmtId="312" fontId="12" fillId="11" borderId="4374" applyNumberFormat="0" applyProtection="0">
      <alignment horizontal="left" vertical="center" indent="1"/>
    </xf>
    <xf numFmtId="312" fontId="12" fillId="11" borderId="4374" applyNumberFormat="0" applyProtection="0">
      <alignment horizontal="left" vertical="top" indent="1"/>
    </xf>
    <xf numFmtId="312" fontId="136" fillId="14" borderId="4374" applyNumberFormat="0" applyProtection="0">
      <alignment horizontal="left" vertical="top" indent="1"/>
    </xf>
    <xf numFmtId="312" fontId="136" fillId="84" borderId="4374" applyNumberFormat="0" applyProtection="0">
      <alignment horizontal="left" vertical="top" indent="1"/>
    </xf>
    <xf numFmtId="312" fontId="25" fillId="10" borderId="4372" applyNumberFormat="0" applyProtection="0">
      <alignment horizontal="center" vertical="top"/>
    </xf>
    <xf numFmtId="312" fontId="25" fillId="10" borderId="4372" applyNumberFormat="0" applyProtection="0">
      <alignment horizontal="center" vertical="top"/>
    </xf>
    <xf numFmtId="312" fontId="12" fillId="3" borderId="4372" applyNumberFormat="0" applyFont="0" applyAlignment="0" applyProtection="0"/>
    <xf numFmtId="312" fontId="12" fillId="10" borderId="4372" applyNumberFormat="0" applyFont="0" applyAlignment="0" applyProtection="0"/>
    <xf numFmtId="312" fontId="12" fillId="10" borderId="4372" applyNumberFormat="0" applyFont="0" applyProtection="0"/>
    <xf numFmtId="312" fontId="25" fillId="10" borderId="4377" applyNumberFormat="0" applyProtection="0">
      <alignment horizontal="left"/>
    </xf>
    <xf numFmtId="312" fontId="25" fillId="10" borderId="4378" applyNumberFormat="0" applyProtection="0">
      <alignment horizontal="left" vertical="top"/>
    </xf>
    <xf numFmtId="312" fontId="25" fillId="10" borderId="4379" applyNumberFormat="0" applyProtection="0">
      <alignment horizontal="left" vertical="top"/>
    </xf>
    <xf numFmtId="312" fontId="25" fillId="10" borderId="4411" applyNumberFormat="0" applyProtection="0">
      <alignment horizontal="left" vertical="top"/>
    </xf>
    <xf numFmtId="312" fontId="25" fillId="10" borderId="4412" applyNumberFormat="0" applyProtection="0">
      <alignment horizontal="left" vertical="top"/>
    </xf>
    <xf numFmtId="312" fontId="25" fillId="10" borderId="4380" applyNumberFormat="0" applyProtection="0">
      <alignment horizontal="left" vertical="top"/>
    </xf>
    <xf numFmtId="312" fontId="25" fillId="10" borderId="4413" applyNumberFormat="0" applyProtection="0">
      <alignment horizontal="left" vertical="top"/>
    </xf>
    <xf numFmtId="312" fontId="25" fillId="10" borderId="4381" applyNumberFormat="0" applyProtection="0">
      <alignment horizontal="left" vertical="top"/>
    </xf>
    <xf numFmtId="312" fontId="25" fillId="10" borderId="4414" applyNumberFormat="0" applyProtection="0">
      <alignment horizontal="left" vertical="top"/>
    </xf>
    <xf numFmtId="312" fontId="25" fillId="10" borderId="4382" applyNumberFormat="0" applyProtection="0">
      <alignment horizontal="left" vertical="top"/>
    </xf>
    <xf numFmtId="312" fontId="25" fillId="10" borderId="4383" applyNumberFormat="0" applyProtection="0">
      <alignment horizontal="left" vertical="top"/>
    </xf>
    <xf numFmtId="312" fontId="12" fillId="0" borderId="4371" applyNumberFormat="0" applyFill="0" applyBorder="0" applyAlignment="0" applyProtection="0"/>
    <xf numFmtId="312" fontId="241" fillId="94" borderId="4428" applyBorder="0" applyProtection="0">
      <alignment horizontal="centerContinuous" vertical="center"/>
    </xf>
    <xf numFmtId="246" fontId="296" fillId="0" borderId="4428" applyFill="0" applyProtection="0">
      <alignment horizontal="center"/>
    </xf>
    <xf numFmtId="10" fontId="12" fillId="3" borderId="4384" applyNumberFormat="0" applyFont="0" applyFill="0" applyBorder="0" applyAlignment="0">
      <protection locked="0"/>
    </xf>
    <xf numFmtId="312" fontId="12" fillId="0" borderId="4371" applyNumberFormat="0" applyFill="0" applyBorder="0" applyAlignment="0" applyProtection="0"/>
    <xf numFmtId="312" fontId="12" fillId="0" borderId="4371" applyNumberFormat="0" applyFill="0" applyBorder="0" applyAlignment="0" applyProtection="0"/>
    <xf numFmtId="312" fontId="12" fillId="0" borderId="4371" applyNumberFormat="0" applyFill="0" applyBorder="0" applyAlignment="0" applyProtection="0"/>
    <xf numFmtId="312" fontId="101" fillId="0" borderId="4428" applyBorder="0"/>
    <xf numFmtId="312" fontId="113" fillId="0" borderId="4428" applyNumberFormat="0" applyFill="0" applyAlignment="0" applyProtection="0"/>
    <xf numFmtId="312" fontId="75" fillId="0" borderId="4405" applyNumberFormat="0" applyFont="0" applyFill="0" applyAlignment="0" applyProtection="0"/>
    <xf numFmtId="312" fontId="12" fillId="0" borderId="4428" applyNumberFormat="0" applyFill="0" applyBorder="0" applyAlignment="0" applyProtection="0">
      <alignment horizontal="center"/>
    </xf>
    <xf numFmtId="312" fontId="78" fillId="14" borderId="4349" applyFont="0" applyFill="0" applyBorder="0" applyAlignment="0" applyProtection="0"/>
    <xf numFmtId="0" fontId="113" fillId="0" borderId="4585" applyNumberFormat="0" applyFill="0" applyAlignment="0" applyProtection="0"/>
    <xf numFmtId="312" fontId="5" fillId="0" borderId="4387">
      <alignment horizontal="left" vertical="center"/>
    </xf>
    <xf numFmtId="312" fontId="165" fillId="0" borderId="4428" applyFill="0" applyProtection="0">
      <alignment horizontal="center"/>
    </xf>
    <xf numFmtId="312" fontId="242" fillId="0" borderId="4428">
      <alignment horizontal="center"/>
    </xf>
    <xf numFmtId="0" fontId="210" fillId="0" borderId="4585" applyNumberFormat="0" applyFill="0" applyBorder="0" applyAlignment="0">
      <protection locked="0"/>
    </xf>
    <xf numFmtId="312" fontId="210" fillId="0" borderId="4428" applyNumberFormat="0" applyFill="0" applyBorder="0" applyAlignment="0">
      <protection locked="0"/>
    </xf>
    <xf numFmtId="312" fontId="2" fillId="0" borderId="4409" applyNumberFormat="0" applyAlignment="0" applyProtection="0"/>
    <xf numFmtId="312" fontId="214" fillId="0" borderId="4410" applyNumberFormat="0" applyFont="0" applyFill="0" applyAlignment="0" applyProtection="0"/>
    <xf numFmtId="312" fontId="25" fillId="10" borderId="4411" applyNumberFormat="0" applyProtection="0">
      <alignment horizontal="left" vertical="top"/>
    </xf>
    <xf numFmtId="312" fontId="25" fillId="10" borderId="4412" applyNumberFormat="0" applyProtection="0">
      <alignment horizontal="left" vertical="top"/>
    </xf>
    <xf numFmtId="312" fontId="25" fillId="10" borderId="4413" applyNumberFormat="0" applyProtection="0">
      <alignment horizontal="left" vertical="top"/>
    </xf>
    <xf numFmtId="312" fontId="25" fillId="10" borderId="4414" applyNumberFormat="0" applyProtection="0">
      <alignment horizontal="left" vertical="top"/>
    </xf>
    <xf numFmtId="312" fontId="25" fillId="10" borderId="4411" applyNumberFormat="0" applyProtection="0">
      <alignment horizontal="left" vertical="top"/>
    </xf>
    <xf numFmtId="312" fontId="25" fillId="10" borderId="4412" applyNumberFormat="0" applyProtection="0">
      <alignment horizontal="left" vertical="top"/>
    </xf>
    <xf numFmtId="312" fontId="25" fillId="10" borderId="4413" applyNumberFormat="0" applyProtection="0">
      <alignment horizontal="left" vertical="top"/>
    </xf>
    <xf numFmtId="312" fontId="25" fillId="10" borderId="4414" applyNumberFormat="0" applyProtection="0">
      <alignment horizontal="left" vertical="top"/>
    </xf>
    <xf numFmtId="312" fontId="241" fillId="94" borderId="4428" applyBorder="0" applyProtection="0">
      <alignment horizontal="centerContinuous" vertical="center"/>
    </xf>
    <xf numFmtId="246" fontId="296" fillId="0" borderId="4428" applyFill="0" applyProtection="0">
      <alignment horizontal="center"/>
    </xf>
    <xf numFmtId="0" fontId="241" fillId="94" borderId="4609" applyBorder="0" applyProtection="0">
      <alignment horizontal="centerContinuous" vertical="center"/>
    </xf>
    <xf numFmtId="10" fontId="12" fillId="3" borderId="4384" applyNumberFormat="0" applyFont="0" applyFill="0" applyBorder="0" applyAlignment="0">
      <protection locked="0"/>
    </xf>
    <xf numFmtId="0" fontId="241" fillId="94" borderId="4537" applyBorder="0" applyProtection="0">
      <alignment horizontal="centerContinuous" vertical="center"/>
    </xf>
    <xf numFmtId="0" fontId="210" fillId="0" borderId="4537" applyNumberFormat="0" applyFill="0" applyBorder="0" applyAlignment="0">
      <protection locked="0"/>
    </xf>
    <xf numFmtId="246" fontId="249" fillId="0" borderId="4549" applyFill="0" applyProtection="0">
      <alignment horizontal="center"/>
    </xf>
    <xf numFmtId="0" fontId="2" fillId="0" borderId="4554" applyNumberFormat="0" applyAlignment="0" applyProtection="0"/>
    <xf numFmtId="0" fontId="214" fillId="0" borderId="4543" applyNumberFormat="0" applyFont="0" applyFill="0" applyAlignment="0" applyProtection="0"/>
    <xf numFmtId="0" fontId="25" fillId="10" borderId="4546" applyNumberFormat="0" applyProtection="0">
      <alignment horizontal="left" vertical="top"/>
    </xf>
    <xf numFmtId="180" fontId="9" fillId="3" borderId="4537">
      <alignment horizontal="right" vertical="center"/>
    </xf>
    <xf numFmtId="0" fontId="165" fillId="0" borderId="4537" applyFill="0" applyProtection="0">
      <alignment horizontal="center"/>
    </xf>
    <xf numFmtId="1" fontId="154" fillId="65" borderId="3085" applyNumberFormat="0" applyBorder="0" applyAlignment="0">
      <alignment horizontal="centerContinuous" vertical="center"/>
      <protection locked="0"/>
    </xf>
    <xf numFmtId="0" fontId="12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10" fontId="12" fillId="3" borderId="4384" applyNumberFormat="0" applyFont="0" applyFill="0" applyBorder="0" applyAlignment="0">
      <protection locked="0"/>
    </xf>
    <xf numFmtId="246" fontId="250" fillId="0" borderId="4428" applyFill="0" applyProtection="0">
      <alignment horizontal="center"/>
    </xf>
    <xf numFmtId="246" fontId="249" fillId="0" borderId="4428" applyFill="0" applyProtection="0">
      <alignment horizontal="center"/>
    </xf>
    <xf numFmtId="0" fontId="241" fillId="94" borderId="4428" applyBorder="0" applyProtection="0">
      <alignment horizontal="centerContinuous" vertical="center"/>
    </xf>
    <xf numFmtId="254" fontId="240" fillId="0" borderId="4428" applyBorder="0" applyProtection="0">
      <alignment horizontal="right" vertical="center"/>
    </xf>
    <xf numFmtId="0" fontId="12" fillId="0" borderId="4371" applyNumberFormat="0" applyFill="0" applyBorder="0" applyAlignment="0" applyProtection="0"/>
    <xf numFmtId="0" fontId="25" fillId="10" borderId="4383" applyNumberFormat="0" applyProtection="0">
      <alignment horizontal="left" vertical="top"/>
    </xf>
    <xf numFmtId="0" fontId="25" fillId="10" borderId="4382" applyNumberFormat="0" applyProtection="0">
      <alignment horizontal="left" vertical="top"/>
    </xf>
    <xf numFmtId="0" fontId="25" fillId="10" borderId="4381" applyNumberFormat="0" applyProtection="0">
      <alignment horizontal="left" vertical="top"/>
    </xf>
    <xf numFmtId="0" fontId="25" fillId="10" borderId="4380" applyNumberFormat="0" applyProtection="0">
      <alignment horizontal="left" vertical="top"/>
    </xf>
    <xf numFmtId="0" fontId="25" fillId="10" borderId="4379" applyNumberFormat="0" applyProtection="0">
      <alignment horizontal="left" vertical="top"/>
    </xf>
    <xf numFmtId="0" fontId="25" fillId="10" borderId="4378" applyNumberFormat="0" applyProtection="0">
      <alignment horizontal="left" vertical="top"/>
    </xf>
    <xf numFmtId="0" fontId="25" fillId="10" borderId="4377" applyNumberFormat="0" applyProtection="0">
      <alignment horizontal="left"/>
    </xf>
    <xf numFmtId="0" fontId="12" fillId="10" borderId="4372" applyNumberFormat="0" applyFont="0" applyProtection="0"/>
    <xf numFmtId="0" fontId="12" fillId="10" borderId="4372" applyNumberFormat="0" applyFont="0" applyAlignment="0" applyProtection="0"/>
    <xf numFmtId="0" fontId="12" fillId="3" borderId="4372" applyNumberFormat="0" applyFont="0" applyAlignment="0" applyProtection="0"/>
    <xf numFmtId="293" fontId="234" fillId="10" borderId="4372" applyFont="0" applyProtection="0"/>
    <xf numFmtId="293" fontId="234" fillId="10" borderId="4372" applyFont="0" applyProtection="0"/>
    <xf numFmtId="169" fontId="234" fillId="3" borderId="4372" applyFont="0" applyProtection="0"/>
    <xf numFmtId="293" fontId="234" fillId="3" borderId="4372" applyFont="0" applyProtection="0"/>
    <xf numFmtId="169" fontId="234" fillId="10" borderId="4372" applyFont="0" applyProtection="0"/>
    <xf numFmtId="0" fontId="25" fillId="10" borderId="4372" applyNumberFormat="0" applyProtection="0">
      <alignment horizontal="center" vertical="top"/>
    </xf>
    <xf numFmtId="0" fontId="25" fillId="10" borderId="4372" applyNumberFormat="0" applyProtection="0">
      <alignment horizontal="center" vertical="top"/>
    </xf>
    <xf numFmtId="2" fontId="12" fillId="60" borderId="4376" applyFont="0" applyFill="0" applyBorder="0" applyAlignment="0" applyProtection="0"/>
    <xf numFmtId="9" fontId="12" fillId="60" borderId="4376" applyFont="0" applyFill="0" applyBorder="0" applyAlignment="0" applyProtection="0"/>
    <xf numFmtId="10" fontId="12" fillId="60" borderId="4376" applyFont="0" applyFill="0" applyBorder="0" applyAlignment="0" applyProtection="0"/>
    <xf numFmtId="183" fontId="12" fillId="60" borderId="4376" applyFont="0" applyFill="0" applyBorder="0" applyAlignment="0" applyProtection="0"/>
    <xf numFmtId="4" fontId="12" fillId="60" borderId="4376" applyFont="0" applyFill="0" applyBorder="0" applyAlignment="0" applyProtection="0"/>
    <xf numFmtId="3" fontId="12" fillId="60" borderId="4376" applyFont="0" applyFill="0" applyBorder="0" applyAlignment="0" applyProtection="0"/>
    <xf numFmtId="4" fontId="230" fillId="11" borderId="4374" applyNumberFormat="0" applyProtection="0">
      <alignment horizontal="right" vertical="center"/>
    </xf>
    <xf numFmtId="4" fontId="229" fillId="84" borderId="4375" applyNumberFormat="0" applyProtection="0">
      <alignment horizontal="left" vertical="center" indent="1"/>
    </xf>
    <xf numFmtId="0" fontId="136" fillId="84" borderId="4374" applyNumberFormat="0" applyProtection="0">
      <alignment horizontal="left" vertical="top" indent="1"/>
    </xf>
    <xf numFmtId="4" fontId="223" fillId="52" borderId="4374" applyNumberFormat="0" applyProtection="0">
      <alignment horizontal="left" vertical="center" indent="1"/>
    </xf>
    <xf numFmtId="4" fontId="228" fillId="11" borderId="4374" applyNumberFormat="0" applyProtection="0">
      <alignment horizontal="right" vertical="center"/>
    </xf>
    <xf numFmtId="4" fontId="184" fillId="11" borderId="4374" applyNumberFormat="0" applyProtection="0">
      <alignment horizontal="right" vertical="center"/>
    </xf>
    <xf numFmtId="0" fontId="136" fillId="14" borderId="4374" applyNumberFormat="0" applyProtection="0">
      <alignment horizontal="left" vertical="top" indent="1"/>
    </xf>
    <xf numFmtId="4" fontId="227" fillId="52" borderId="4375" applyNumberFormat="0" applyProtection="0">
      <alignment horizontal="left" vertical="center" indent="1"/>
    </xf>
    <xf numFmtId="4" fontId="228" fillId="11" borderId="4374" applyNumberFormat="0" applyProtection="0">
      <alignment vertical="center"/>
    </xf>
    <xf numFmtId="4" fontId="226" fillId="11" borderId="4374" applyNumberFormat="0" applyProtection="0">
      <alignment vertical="center"/>
    </xf>
    <xf numFmtId="0" fontId="12" fillId="11" borderId="4374" applyNumberFormat="0" applyProtection="0">
      <alignment horizontal="left" vertical="top" indent="1"/>
    </xf>
    <xf numFmtId="0" fontId="12" fillId="11" borderId="4374" applyNumberFormat="0" applyProtection="0">
      <alignment horizontal="left" vertical="center" indent="1"/>
    </xf>
    <xf numFmtId="0" fontId="12" fillId="52" borderId="4374" applyNumberFormat="0" applyProtection="0">
      <alignment horizontal="left" vertical="top" indent="1"/>
    </xf>
    <xf numFmtId="0" fontId="12" fillId="52" borderId="4374" applyNumberFormat="0" applyProtection="0">
      <alignment horizontal="left" vertical="center" indent="1"/>
    </xf>
    <xf numFmtId="0" fontId="12" fillId="84" borderId="4374" applyNumberFormat="0" applyProtection="0">
      <alignment horizontal="left" vertical="top" indent="1"/>
    </xf>
    <xf numFmtId="0" fontId="12" fillId="84" borderId="4374" applyNumberFormat="0" applyProtection="0">
      <alignment horizontal="left" vertical="center" indent="1"/>
    </xf>
    <xf numFmtId="0" fontId="12" fillId="75" borderId="4374" applyNumberFormat="0" applyProtection="0">
      <alignment horizontal="left" vertical="top" indent="1"/>
    </xf>
    <xf numFmtId="0" fontId="12" fillId="75" borderId="4374" applyNumberFormat="0" applyProtection="0">
      <alignment horizontal="left" vertical="center" indent="1"/>
    </xf>
    <xf numFmtId="4" fontId="184" fillId="52" borderId="4374" applyNumberFormat="0" applyProtection="0">
      <alignment horizontal="right" vertical="center"/>
    </xf>
    <xf numFmtId="4" fontId="226" fillId="82" borderId="4374" applyNumberFormat="0" applyProtection="0">
      <alignment horizontal="right" vertical="center"/>
    </xf>
    <xf numFmtId="4" fontId="226" fillId="81" borderId="4374" applyNumberFormat="0" applyProtection="0">
      <alignment horizontal="right" vertical="center"/>
    </xf>
    <xf numFmtId="4" fontId="226" fillId="80" borderId="4374" applyNumberFormat="0" applyProtection="0">
      <alignment horizontal="right" vertical="center"/>
    </xf>
    <xf numFmtId="4" fontId="226" fillId="71" borderId="4374" applyNumberFormat="0" applyProtection="0">
      <alignment horizontal="right" vertical="center"/>
    </xf>
    <xf numFmtId="4" fontId="226" fillId="79" borderId="4374" applyNumberFormat="0" applyProtection="0">
      <alignment horizontal="right" vertical="center"/>
    </xf>
    <xf numFmtId="4" fontId="226" fillId="10" borderId="4374" applyNumberFormat="0" applyProtection="0">
      <alignment horizontal="right" vertical="center"/>
    </xf>
    <xf numFmtId="4" fontId="226" fillId="78" borderId="4374" applyNumberFormat="0" applyProtection="0">
      <alignment horizontal="right" vertical="center"/>
    </xf>
    <xf numFmtId="4" fontId="226" fillId="77" borderId="4374" applyNumberFormat="0" applyProtection="0">
      <alignment horizontal="right" vertical="center"/>
    </xf>
    <xf numFmtId="4" fontId="226" fillId="76" borderId="4374" applyNumberFormat="0" applyProtection="0">
      <alignment horizontal="right" vertical="center"/>
    </xf>
    <xf numFmtId="0" fontId="225" fillId="53" borderId="4374" applyNumberFormat="0" applyProtection="0">
      <alignment horizontal="left" vertical="top" indent="1"/>
    </xf>
    <xf numFmtId="4" fontId="184" fillId="53" borderId="4374" applyNumberFormat="0" applyProtection="0">
      <alignment horizontal="left" vertical="center" indent="1"/>
    </xf>
    <xf numFmtId="4" fontId="224" fillId="53" borderId="4374" applyNumberFormat="0" applyProtection="0">
      <alignment vertical="center"/>
    </xf>
    <xf numFmtId="4" fontId="223" fillId="53" borderId="4374" applyNumberFormat="0" applyProtection="0">
      <alignment vertical="center"/>
    </xf>
    <xf numFmtId="0" fontId="12" fillId="0" borderId="4371" applyNumberFormat="0" applyFill="0" applyBorder="0" applyAlignment="0" applyProtection="0"/>
    <xf numFmtId="0" fontId="46" fillId="0" borderId="4371" applyNumberFormat="0" applyFill="0" applyBorder="0" applyAlignment="0" applyProtection="0"/>
    <xf numFmtId="0" fontId="105" fillId="0" borderId="4371" applyNumberFormat="0" applyFill="0" applyBorder="0" applyAlignment="0" applyProtection="0"/>
    <xf numFmtId="0" fontId="48" fillId="0" borderId="4371" applyNumberFormat="0" applyFill="0" applyAlignment="0" applyProtection="0"/>
    <xf numFmtId="5" fontId="114" fillId="0" borderId="4370" applyAlignment="0" applyProtection="0"/>
    <xf numFmtId="0" fontId="210" fillId="0" borderId="4428" applyNumberFormat="0" applyFill="0" applyBorder="0" applyAlignment="0">
      <protection locked="0"/>
    </xf>
    <xf numFmtId="182" fontId="145" fillId="3" borderId="4370">
      <alignment horizontal="right" vertical="center"/>
    </xf>
    <xf numFmtId="186" fontId="48" fillId="3" borderId="4370">
      <alignment vertical="center"/>
    </xf>
    <xf numFmtId="0" fontId="135" fillId="0" borderId="4372"/>
    <xf numFmtId="0" fontId="135" fillId="0" borderId="4372"/>
    <xf numFmtId="188" fontId="25" fillId="0" borderId="4387" applyFont="0" applyFill="0" applyBorder="0" applyAlignment="0" applyProtection="0">
      <alignment horizontal="center"/>
    </xf>
    <xf numFmtId="0" fontId="184" fillId="0" borderId="4373" applyAlignment="0">
      <alignment horizontal="left" wrapText="1"/>
    </xf>
    <xf numFmtId="264" fontId="12" fillId="14" borderId="4428" applyFont="0" applyFill="0" applyBorder="0" applyAlignment="0" applyProtection="0">
      <alignment horizontal="right"/>
    </xf>
    <xf numFmtId="0" fontId="25" fillId="69" borderId="4372">
      <alignment horizontal="left" vertical="center" wrapText="1"/>
    </xf>
    <xf numFmtId="0" fontId="159" fillId="0" borderId="4372"/>
    <xf numFmtId="0" fontId="159" fillId="67" borderId="4372"/>
    <xf numFmtId="192" fontId="9" fillId="3" borderId="4537">
      <alignment horizontal="right" vertical="center"/>
    </xf>
    <xf numFmtId="0" fontId="166" fillId="0" borderId="4428">
      <alignment horizontal="center"/>
    </xf>
    <xf numFmtId="0" fontId="165" fillId="0" borderId="4428" applyFill="0" applyProtection="0">
      <alignment horizontal="center"/>
    </xf>
    <xf numFmtId="0" fontId="159" fillId="67" borderId="4372"/>
    <xf numFmtId="0" fontId="159" fillId="0" borderId="4372"/>
    <xf numFmtId="0" fontId="25" fillId="69" borderId="4372">
      <alignment horizontal="left" vertical="center" wrapText="1"/>
    </xf>
    <xf numFmtId="0" fontId="184" fillId="0" borderId="4373" applyAlignment="0">
      <alignment horizontal="left" wrapText="1"/>
    </xf>
    <xf numFmtId="0" fontId="135" fillId="0" borderId="4372"/>
    <xf numFmtId="0" fontId="135" fillId="0" borderId="4372"/>
    <xf numFmtId="186" fontId="140" fillId="3" borderId="4327">
      <alignment horizontal="center" vertical="center"/>
    </xf>
    <xf numFmtId="186" fontId="48" fillId="3" borderId="4370">
      <alignment vertical="center"/>
    </xf>
    <xf numFmtId="186" fontId="146" fillId="3" borderId="4254">
      <alignment horizontal="left"/>
    </xf>
    <xf numFmtId="186" fontId="146" fillId="3" borderId="4428" applyBorder="0">
      <alignment horizontal="left" vertical="center"/>
    </xf>
    <xf numFmtId="180" fontId="9" fillId="3" borderId="4428">
      <alignment horizontal="right" vertical="center"/>
    </xf>
    <xf numFmtId="192" fontId="9" fillId="3" borderId="4428">
      <alignment horizontal="right" vertical="center"/>
    </xf>
    <xf numFmtId="0" fontId="101" fillId="0" borderId="4428" applyBorder="0"/>
    <xf numFmtId="182" fontId="145" fillId="3" borderId="4370">
      <alignment horizontal="right" vertical="center"/>
    </xf>
    <xf numFmtId="188" fontId="25" fillId="0" borderId="4387" applyFont="0" applyFill="0" applyBorder="0" applyAlignment="0" applyProtection="0">
      <alignment horizontal="center"/>
    </xf>
    <xf numFmtId="248" fontId="46" fillId="0" borderId="4585"/>
    <xf numFmtId="246" fontId="249" fillId="0" borderId="4428" applyFill="0" applyProtection="0">
      <alignment horizontal="center"/>
    </xf>
    <xf numFmtId="0" fontId="48" fillId="0" borderId="4370" applyFont="0" applyFill="0" applyBorder="0" applyAlignment="0" applyProtection="0">
      <alignment horizontal="center"/>
    </xf>
    <xf numFmtId="0" fontId="74" fillId="0" borderId="4370" applyFont="0" applyFill="0" applyBorder="0" applyAlignment="0" applyProtection="0">
      <alignment horizontal="center"/>
    </xf>
    <xf numFmtId="248" fontId="46" fillId="0" borderId="4428"/>
    <xf numFmtId="0" fontId="78" fillId="14" borderId="4361" applyFont="0" applyFill="0" applyBorder="0" applyAlignment="0" applyProtection="0"/>
    <xf numFmtId="0" fontId="12" fillId="0" borderId="4428" applyNumberFormat="0" applyFill="0" applyBorder="0" applyAlignment="0" applyProtection="0">
      <alignment horizontal="center"/>
    </xf>
    <xf numFmtId="186" fontId="146" fillId="3" borderId="4597" applyBorder="0">
      <alignment horizontal="left" vertical="center"/>
    </xf>
    <xf numFmtId="0" fontId="75" fillId="0" borderId="4252" applyNumberFormat="0" applyFont="0" applyFill="0" applyAlignment="0" applyProtection="0"/>
    <xf numFmtId="5" fontId="114" fillId="0" borderId="4370" applyAlignment="0" applyProtection="0"/>
    <xf numFmtId="0" fontId="113" fillId="0" borderId="4428" applyNumberFormat="0" applyFill="0" applyAlignment="0" applyProtection="0"/>
    <xf numFmtId="0" fontId="48" fillId="0" borderId="4371" applyNumberFormat="0" applyFill="0" applyAlignment="0" applyProtection="0"/>
    <xf numFmtId="0" fontId="105" fillId="0" borderId="4371" applyNumberFormat="0" applyFill="0" applyBorder="0" applyAlignment="0" applyProtection="0"/>
    <xf numFmtId="0" fontId="46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222" fontId="79" fillId="0" borderId="4427" applyBorder="0"/>
    <xf numFmtId="0" fontId="101" fillId="0" borderId="4428" applyBorder="0"/>
    <xf numFmtId="4" fontId="223" fillId="53" borderId="4374" applyNumberFormat="0" applyProtection="0">
      <alignment vertical="center"/>
    </xf>
    <xf numFmtId="4" fontId="224" fillId="53" borderId="4374" applyNumberFormat="0" applyProtection="0">
      <alignment vertical="center"/>
    </xf>
    <xf numFmtId="4" fontId="184" fillId="53" borderId="4374" applyNumberFormat="0" applyProtection="0">
      <alignment horizontal="left" vertical="center" indent="1"/>
    </xf>
    <xf numFmtId="0" fontId="225" fillId="53" borderId="4374" applyNumberFormat="0" applyProtection="0">
      <alignment horizontal="left" vertical="top" indent="1"/>
    </xf>
    <xf numFmtId="4" fontId="226" fillId="76" borderId="4374" applyNumberFormat="0" applyProtection="0">
      <alignment horizontal="right" vertical="center"/>
    </xf>
    <xf numFmtId="4" fontId="226" fillId="77" borderId="4374" applyNumberFormat="0" applyProtection="0">
      <alignment horizontal="right" vertical="center"/>
    </xf>
    <xf numFmtId="4" fontId="226" fillId="78" borderId="4374" applyNumberFormat="0" applyProtection="0">
      <alignment horizontal="right" vertical="center"/>
    </xf>
    <xf numFmtId="4" fontId="226" fillId="10" borderId="4374" applyNumberFormat="0" applyProtection="0">
      <alignment horizontal="right" vertical="center"/>
    </xf>
    <xf numFmtId="4" fontId="226" fillId="79" borderId="4374" applyNumberFormat="0" applyProtection="0">
      <alignment horizontal="right" vertical="center"/>
    </xf>
    <xf numFmtId="4" fontId="226" fillId="71" borderId="4374" applyNumberFormat="0" applyProtection="0">
      <alignment horizontal="right" vertical="center"/>
    </xf>
    <xf numFmtId="4" fontId="226" fillId="81" borderId="4374" applyNumberFormat="0" applyProtection="0">
      <alignment horizontal="right" vertical="center"/>
    </xf>
    <xf numFmtId="4" fontId="226" fillId="80" borderId="4374" applyNumberFormat="0" applyProtection="0">
      <alignment horizontal="right" vertical="center"/>
    </xf>
    <xf numFmtId="4" fontId="226" fillId="82" borderId="4374" applyNumberFormat="0" applyProtection="0">
      <alignment horizontal="right" vertical="center"/>
    </xf>
    <xf numFmtId="4" fontId="184" fillId="52" borderId="4374" applyNumberFormat="0" applyProtection="0">
      <alignment horizontal="right" vertical="center"/>
    </xf>
    <xf numFmtId="0" fontId="12" fillId="75" borderId="4374" applyNumberFormat="0" applyProtection="0">
      <alignment horizontal="left" vertical="center" indent="1"/>
    </xf>
    <xf numFmtId="0" fontId="12" fillId="75" borderId="4374" applyNumberFormat="0" applyProtection="0">
      <alignment horizontal="left" vertical="top" indent="1"/>
    </xf>
    <xf numFmtId="0" fontId="12" fillId="84" borderId="4374" applyNumberFormat="0" applyProtection="0">
      <alignment horizontal="left" vertical="center" indent="1"/>
    </xf>
    <xf numFmtId="0" fontId="12" fillId="84" borderId="4374" applyNumberFormat="0" applyProtection="0">
      <alignment horizontal="left" vertical="top" indent="1"/>
    </xf>
    <xf numFmtId="0" fontId="12" fillId="52" borderId="4374" applyNumberFormat="0" applyProtection="0">
      <alignment horizontal="left" vertical="center" indent="1"/>
    </xf>
    <xf numFmtId="0" fontId="12" fillId="52" borderId="4374" applyNumberFormat="0" applyProtection="0">
      <alignment horizontal="left" vertical="top" indent="1"/>
    </xf>
    <xf numFmtId="0" fontId="12" fillId="11" borderId="4374" applyNumberFormat="0" applyProtection="0">
      <alignment horizontal="left" vertical="center" indent="1"/>
    </xf>
    <xf numFmtId="0" fontId="12" fillId="11" borderId="4374" applyNumberFormat="0" applyProtection="0">
      <alignment horizontal="left" vertical="top" indent="1"/>
    </xf>
    <xf numFmtId="4" fontId="226" fillId="11" borderId="4374" applyNumberFormat="0" applyProtection="0">
      <alignment vertical="center"/>
    </xf>
    <xf numFmtId="4" fontId="228" fillId="11" borderId="4374" applyNumberFormat="0" applyProtection="0">
      <alignment vertical="center"/>
    </xf>
    <xf numFmtId="4" fontId="227" fillId="52" borderId="4375" applyNumberFormat="0" applyProtection="0">
      <alignment horizontal="left" vertical="center" indent="1"/>
    </xf>
    <xf numFmtId="0" fontId="136" fillId="14" borderId="4374" applyNumberFormat="0" applyProtection="0">
      <alignment horizontal="left" vertical="top" indent="1"/>
    </xf>
    <xf numFmtId="4" fontId="184" fillId="11" borderId="4374" applyNumberFormat="0" applyProtection="0">
      <alignment horizontal="right" vertical="center"/>
    </xf>
    <xf numFmtId="4" fontId="228" fillId="11" borderId="4374" applyNumberFormat="0" applyProtection="0">
      <alignment horizontal="right" vertical="center"/>
    </xf>
    <xf numFmtId="4" fontId="223" fillId="52" borderId="4374" applyNumberFormat="0" applyProtection="0">
      <alignment horizontal="left" vertical="center" indent="1"/>
    </xf>
    <xf numFmtId="0" fontId="136" fillId="84" borderId="4374" applyNumberFormat="0" applyProtection="0">
      <alignment horizontal="left" vertical="top" indent="1"/>
    </xf>
    <xf numFmtId="4" fontId="229" fillId="84" borderId="4375" applyNumberFormat="0" applyProtection="0">
      <alignment horizontal="left" vertical="center" indent="1"/>
    </xf>
    <xf numFmtId="4" fontId="230" fillId="11" borderId="4374" applyNumberFormat="0" applyProtection="0">
      <alignment horizontal="right" vertical="center"/>
    </xf>
    <xf numFmtId="0" fontId="25" fillId="10" borderId="4435" applyNumberFormat="0" applyProtection="0">
      <alignment horizontal="left" vertical="top"/>
    </xf>
    <xf numFmtId="0" fontId="25" fillId="10" borderId="4436" applyNumberFormat="0" applyProtection="0">
      <alignment horizontal="left" vertical="top"/>
    </xf>
    <xf numFmtId="0" fontId="25" fillId="10" borderId="4437" applyNumberFormat="0" applyProtection="0">
      <alignment horizontal="left" vertical="top"/>
    </xf>
    <xf numFmtId="0" fontId="25" fillId="10" borderId="4438" applyNumberFormat="0" applyProtection="0">
      <alignment horizontal="left" vertical="top"/>
    </xf>
    <xf numFmtId="3" fontId="12" fillId="60" borderId="4376" applyFont="0" applyFill="0" applyBorder="0" applyAlignment="0" applyProtection="0"/>
    <xf numFmtId="4" fontId="12" fillId="60" borderId="4376" applyFont="0" applyFill="0" applyBorder="0" applyAlignment="0" applyProtection="0"/>
    <xf numFmtId="183" fontId="12" fillId="60" borderId="4376" applyFont="0" applyFill="0" applyBorder="0" applyAlignment="0" applyProtection="0"/>
    <xf numFmtId="10" fontId="12" fillId="60" borderId="4376" applyFont="0" applyFill="0" applyBorder="0" applyAlignment="0" applyProtection="0"/>
    <xf numFmtId="9" fontId="12" fillId="60" borderId="4376" applyFont="0" applyFill="0" applyBorder="0" applyAlignment="0" applyProtection="0"/>
    <xf numFmtId="2" fontId="12" fillId="60" borderId="4376" applyFont="0" applyFill="0" applyBorder="0" applyAlignment="0" applyProtection="0"/>
    <xf numFmtId="0" fontId="25" fillId="10" borderId="4372" applyNumberFormat="0" applyProtection="0">
      <alignment horizontal="center" vertical="top"/>
    </xf>
    <xf numFmtId="169" fontId="234" fillId="3" borderId="4372" applyFont="0" applyProtection="0"/>
    <xf numFmtId="169" fontId="234" fillId="10" borderId="4372" applyFont="0" applyProtection="0"/>
    <xf numFmtId="293" fontId="234" fillId="3" borderId="4372" applyFont="0" applyProtection="0"/>
    <xf numFmtId="293" fontId="234" fillId="10" borderId="4372" applyFont="0" applyProtection="0"/>
    <xf numFmtId="293" fontId="234" fillId="10" borderId="4372" applyFont="0" applyProtection="0"/>
    <xf numFmtId="0" fontId="12" fillId="3" borderId="4372" applyNumberFormat="0" applyFont="0" applyAlignment="0" applyProtection="0"/>
    <xf numFmtId="0" fontId="12" fillId="10" borderId="4372" applyNumberFormat="0" applyFont="0" applyAlignment="0" applyProtection="0"/>
    <xf numFmtId="0" fontId="12" fillId="10" borderId="4372" applyNumberFormat="0" applyFont="0" applyProtection="0"/>
    <xf numFmtId="0" fontId="25" fillId="10" borderId="4377" applyNumberFormat="0" applyProtection="0">
      <alignment horizontal="left"/>
    </xf>
    <xf numFmtId="0" fontId="25" fillId="10" borderId="4378" applyNumberFormat="0" applyProtection="0">
      <alignment horizontal="left" vertical="top"/>
    </xf>
    <xf numFmtId="0" fontId="25" fillId="10" borderId="4379" applyNumberFormat="0" applyProtection="0">
      <alignment horizontal="left" vertical="top"/>
    </xf>
    <xf numFmtId="0" fontId="25" fillId="10" borderId="4380" applyNumberFormat="0" applyProtection="0">
      <alignment horizontal="left" vertical="top"/>
    </xf>
    <xf numFmtId="0" fontId="25" fillId="10" borderId="4381" applyNumberFormat="0" applyProtection="0">
      <alignment horizontal="left" vertical="top"/>
    </xf>
    <xf numFmtId="0" fontId="25" fillId="10" borderId="4382" applyNumberFormat="0" applyProtection="0">
      <alignment horizontal="left" vertical="top"/>
    </xf>
    <xf numFmtId="0" fontId="25" fillId="10" borderId="4383" applyNumberFormat="0" applyProtection="0">
      <alignment horizontal="left" vertical="top"/>
    </xf>
    <xf numFmtId="10" fontId="12" fillId="3" borderId="4384" applyNumberFormat="0" applyFont="0" applyFill="0" applyBorder="0" applyAlignment="0">
      <protection locked="0"/>
    </xf>
    <xf numFmtId="0" fontId="12" fillId="0" borderId="4371" applyNumberFormat="0" applyFill="0" applyBorder="0" applyAlignment="0" applyProtection="0"/>
    <xf numFmtId="0" fontId="25" fillId="10" borderId="4372" applyNumberFormat="0" applyProtection="0">
      <alignment horizontal="center" vertical="top"/>
    </xf>
    <xf numFmtId="0" fontId="113" fillId="0" borderId="4537" applyNumberFormat="0" applyFill="0" applyAlignment="0" applyProtection="0"/>
    <xf numFmtId="222" fontId="79" fillId="0" borderId="4548" applyBorder="0"/>
    <xf numFmtId="0" fontId="25" fillId="10" borderId="4544" applyNumberFormat="0" applyProtection="0">
      <alignment horizontal="left" vertical="top"/>
    </xf>
    <xf numFmtId="0" fontId="165" fillId="0" borderId="4549" applyFill="0" applyProtection="0">
      <alignment horizontal="center"/>
    </xf>
    <xf numFmtId="0" fontId="25" fillId="10" borderId="4557" applyNumberFormat="0" applyProtection="0">
      <alignment horizontal="left" vertical="top"/>
    </xf>
    <xf numFmtId="222" fontId="79" fillId="0" borderId="4548" applyBorder="0"/>
    <xf numFmtId="0" fontId="2" fillId="0" borderId="4542" applyNumberFormat="0" applyAlignment="0" applyProtection="0"/>
    <xf numFmtId="0" fontId="25" fillId="10" borderId="4547" applyNumberFormat="0" applyProtection="0">
      <alignment horizontal="left" vertical="top"/>
    </xf>
    <xf numFmtId="0" fontId="48" fillId="0" borderId="4370" applyFont="0" applyFill="0" applyBorder="0" applyAlignment="0" applyProtection="0">
      <alignment horizontal="center"/>
    </xf>
    <xf numFmtId="0" fontId="74" fillId="0" borderId="4370" applyFont="0" applyFill="0" applyBorder="0" applyAlignment="0" applyProtection="0">
      <alignment horizontal="center"/>
    </xf>
    <xf numFmtId="10" fontId="12" fillId="3" borderId="4384" applyNumberFormat="0" applyFont="0" applyFill="0" applyBorder="0" applyAlignment="0">
      <protection locked="0"/>
    </xf>
    <xf numFmtId="0" fontId="12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10" fontId="12" fillId="3" borderId="4384" applyNumberFormat="0" applyFont="0" applyFill="0" applyBorder="0" applyAlignment="0">
      <protection locked="0"/>
    </xf>
    <xf numFmtId="246" fontId="250" fillId="0" borderId="4388" applyFill="0" applyProtection="0">
      <alignment horizontal="center"/>
    </xf>
    <xf numFmtId="246" fontId="249" fillId="0" borderId="4388" applyFill="0" applyProtection="0">
      <alignment horizontal="center"/>
    </xf>
    <xf numFmtId="0" fontId="241" fillId="94" borderId="4388" applyBorder="0" applyProtection="0">
      <alignment horizontal="centerContinuous" vertical="center"/>
    </xf>
    <xf numFmtId="254" fontId="240" fillId="0" borderId="4388" applyBorder="0" applyProtection="0">
      <alignment horizontal="right" vertical="center"/>
    </xf>
    <xf numFmtId="0" fontId="210" fillId="0" borderId="4388" applyNumberFormat="0" applyFill="0" applyBorder="0" applyAlignment="0">
      <protection locked="0"/>
    </xf>
    <xf numFmtId="188" fontId="25" fillId="0" borderId="4387" applyFont="0" applyFill="0" applyBorder="0" applyAlignment="0" applyProtection="0">
      <alignment horizontal="center"/>
    </xf>
    <xf numFmtId="264" fontId="12" fillId="14" borderId="4388" applyFont="0" applyFill="0" applyBorder="0" applyAlignment="0" applyProtection="0">
      <alignment horizontal="right"/>
    </xf>
    <xf numFmtId="0" fontId="166" fillId="0" borderId="4388">
      <alignment horizontal="center"/>
    </xf>
    <xf numFmtId="0" fontId="165" fillId="0" borderId="4388" applyFill="0" applyProtection="0">
      <alignment horizontal="center"/>
    </xf>
    <xf numFmtId="186" fontId="146" fillId="3" borderId="4388" applyBorder="0">
      <alignment horizontal="left" vertical="center"/>
    </xf>
    <xf numFmtId="180" fontId="9" fillId="3" borderId="4388">
      <alignment horizontal="right" vertical="center"/>
    </xf>
    <xf numFmtId="192" fontId="9" fillId="3" borderId="4388">
      <alignment horizontal="right" vertical="center"/>
    </xf>
    <xf numFmtId="248" fontId="46" fillId="0" borderId="4388"/>
    <xf numFmtId="0" fontId="12" fillId="0" borderId="4388" applyNumberFormat="0" applyFill="0" applyBorder="0" applyAlignment="0" applyProtection="0">
      <alignment horizontal="center"/>
    </xf>
    <xf numFmtId="0" fontId="113" fillId="0" borderId="4388" applyNumberFormat="0" applyFill="0" applyAlignment="0" applyProtection="0"/>
    <xf numFmtId="222" fontId="79" fillId="0" borderId="4358" applyBorder="0"/>
    <xf numFmtId="0" fontId="101" fillId="0" borderId="4388" applyBorder="0"/>
    <xf numFmtId="10" fontId="12" fillId="3" borderId="4384" applyNumberFormat="0" applyFont="0" applyFill="0" applyBorder="0" applyAlignment="0">
      <protection locked="0"/>
    </xf>
    <xf numFmtId="1" fontId="154" fillId="65" borderId="3085" applyNumberFormat="0" applyBorder="0" applyAlignment="0">
      <alignment horizontal="centerContinuous" vertical="center"/>
      <protection locked="0"/>
    </xf>
    <xf numFmtId="0" fontId="12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10" fontId="12" fillId="3" borderId="4384" applyNumberFormat="0" applyFont="0" applyFill="0" applyBorder="0" applyAlignment="0">
      <protection locked="0"/>
    </xf>
    <xf numFmtId="246" fontId="250" fillId="0" borderId="4388" applyFill="0" applyProtection="0">
      <alignment horizontal="center"/>
    </xf>
    <xf numFmtId="246" fontId="249" fillId="0" borderId="4388" applyFill="0" applyProtection="0">
      <alignment horizontal="center"/>
    </xf>
    <xf numFmtId="0" fontId="241" fillId="94" borderId="4388" applyBorder="0" applyProtection="0">
      <alignment horizontal="centerContinuous" vertical="center"/>
    </xf>
    <xf numFmtId="254" fontId="240" fillId="0" borderId="4388" applyBorder="0" applyProtection="0">
      <alignment horizontal="right" vertical="center"/>
    </xf>
    <xf numFmtId="0" fontId="12" fillId="0" borderId="4371" applyNumberFormat="0" applyFill="0" applyBorder="0" applyAlignment="0" applyProtection="0"/>
    <xf numFmtId="0" fontId="25" fillId="10" borderId="4383" applyNumberFormat="0" applyProtection="0">
      <alignment horizontal="left" vertical="top"/>
    </xf>
    <xf numFmtId="0" fontId="25" fillId="10" borderId="4382" applyNumberFormat="0" applyProtection="0">
      <alignment horizontal="left" vertical="top"/>
    </xf>
    <xf numFmtId="0" fontId="25" fillId="10" borderId="4381" applyNumberFormat="0" applyProtection="0">
      <alignment horizontal="left" vertical="top"/>
    </xf>
    <xf numFmtId="0" fontId="25" fillId="10" borderId="4380" applyNumberFormat="0" applyProtection="0">
      <alignment horizontal="left" vertical="top"/>
    </xf>
    <xf numFmtId="0" fontId="25" fillId="10" borderId="4379" applyNumberFormat="0" applyProtection="0">
      <alignment horizontal="left" vertical="top"/>
    </xf>
    <xf numFmtId="0" fontId="25" fillId="10" borderId="4378" applyNumberFormat="0" applyProtection="0">
      <alignment horizontal="left" vertical="top"/>
    </xf>
    <xf numFmtId="0" fontId="25" fillId="10" borderId="4377" applyNumberFormat="0" applyProtection="0">
      <alignment horizontal="left"/>
    </xf>
    <xf numFmtId="0" fontId="12" fillId="10" borderId="4372" applyNumberFormat="0" applyFont="0" applyProtection="0"/>
    <xf numFmtId="0" fontId="12" fillId="10" borderId="4372" applyNumberFormat="0" applyFont="0" applyAlignment="0" applyProtection="0"/>
    <xf numFmtId="0" fontId="12" fillId="3" borderId="4372" applyNumberFormat="0" applyFont="0" applyAlignment="0" applyProtection="0"/>
    <xf numFmtId="293" fontId="234" fillId="10" borderId="4372" applyFont="0" applyProtection="0"/>
    <xf numFmtId="293" fontId="234" fillId="3" borderId="4372" applyFont="0" applyProtection="0"/>
    <xf numFmtId="293" fontId="234" fillId="10" borderId="4372" applyFont="0" applyProtection="0"/>
    <xf numFmtId="169" fontId="234" fillId="10" borderId="4372" applyFont="0" applyProtection="0"/>
    <xf numFmtId="169" fontId="234" fillId="3" borderId="4372" applyFont="0" applyProtection="0"/>
    <xf numFmtId="0" fontId="25" fillId="10" borderId="4372" applyNumberFormat="0" applyProtection="0">
      <alignment horizontal="center" vertical="top"/>
    </xf>
    <xf numFmtId="0" fontId="25" fillId="10" borderId="4372" applyNumberFormat="0" applyProtection="0">
      <alignment horizontal="center" vertical="top"/>
    </xf>
    <xf numFmtId="2" fontId="12" fillId="60" borderId="4376" applyFont="0" applyFill="0" applyBorder="0" applyAlignment="0" applyProtection="0"/>
    <xf numFmtId="9" fontId="12" fillId="60" borderId="4376" applyFont="0" applyFill="0" applyBorder="0" applyAlignment="0" applyProtection="0"/>
    <xf numFmtId="10" fontId="12" fillId="60" borderId="4376" applyFont="0" applyFill="0" applyBorder="0" applyAlignment="0" applyProtection="0"/>
    <xf numFmtId="183" fontId="12" fillId="60" borderId="4376" applyFont="0" applyFill="0" applyBorder="0" applyAlignment="0" applyProtection="0"/>
    <xf numFmtId="4" fontId="12" fillId="60" borderId="4376" applyFont="0" applyFill="0" applyBorder="0" applyAlignment="0" applyProtection="0"/>
    <xf numFmtId="3" fontId="12" fillId="60" borderId="4376" applyFont="0" applyFill="0" applyBorder="0" applyAlignment="0" applyProtection="0"/>
    <xf numFmtId="4" fontId="230" fillId="11" borderId="4374" applyNumberFormat="0" applyProtection="0">
      <alignment horizontal="right" vertical="center"/>
    </xf>
    <xf numFmtId="4" fontId="229" fillId="84" borderId="4375" applyNumberFormat="0" applyProtection="0">
      <alignment horizontal="left" vertical="center" indent="1"/>
    </xf>
    <xf numFmtId="0" fontId="136" fillId="84" borderId="4374" applyNumberFormat="0" applyProtection="0">
      <alignment horizontal="left" vertical="top" indent="1"/>
    </xf>
    <xf numFmtId="4" fontId="223" fillId="52" borderId="4374" applyNumberFormat="0" applyProtection="0">
      <alignment horizontal="left" vertical="center" indent="1"/>
    </xf>
    <xf numFmtId="4" fontId="228" fillId="11" borderId="4374" applyNumberFormat="0" applyProtection="0">
      <alignment horizontal="right" vertical="center"/>
    </xf>
    <xf numFmtId="4" fontId="184" fillId="11" borderId="4374" applyNumberFormat="0" applyProtection="0">
      <alignment horizontal="right" vertical="center"/>
    </xf>
    <xf numFmtId="0" fontId="136" fillId="14" borderId="4374" applyNumberFormat="0" applyProtection="0">
      <alignment horizontal="left" vertical="top" indent="1"/>
    </xf>
    <xf numFmtId="4" fontId="227" fillId="52" borderId="4375" applyNumberFormat="0" applyProtection="0">
      <alignment horizontal="left" vertical="center" indent="1"/>
    </xf>
    <xf numFmtId="4" fontId="228" fillId="11" borderId="4374" applyNumberFormat="0" applyProtection="0">
      <alignment vertical="center"/>
    </xf>
    <xf numFmtId="4" fontId="226" fillId="11" borderId="4374" applyNumberFormat="0" applyProtection="0">
      <alignment vertical="center"/>
    </xf>
    <xf numFmtId="0" fontId="12" fillId="11" borderId="4374" applyNumberFormat="0" applyProtection="0">
      <alignment horizontal="left" vertical="top" indent="1"/>
    </xf>
    <xf numFmtId="0" fontId="12" fillId="11" borderId="4374" applyNumberFormat="0" applyProtection="0">
      <alignment horizontal="left" vertical="center" indent="1"/>
    </xf>
    <xf numFmtId="0" fontId="12" fillId="52" borderId="4374" applyNumberFormat="0" applyProtection="0">
      <alignment horizontal="left" vertical="top" indent="1"/>
    </xf>
    <xf numFmtId="0" fontId="12" fillId="52" borderId="4374" applyNumberFormat="0" applyProtection="0">
      <alignment horizontal="left" vertical="center" indent="1"/>
    </xf>
    <xf numFmtId="0" fontId="12" fillId="84" borderId="4374" applyNumberFormat="0" applyProtection="0">
      <alignment horizontal="left" vertical="top" indent="1"/>
    </xf>
    <xf numFmtId="0" fontId="12" fillId="84" borderId="4374" applyNumberFormat="0" applyProtection="0">
      <alignment horizontal="left" vertical="center" indent="1"/>
    </xf>
    <xf numFmtId="0" fontId="12" fillId="75" borderId="4374" applyNumberFormat="0" applyProtection="0">
      <alignment horizontal="left" vertical="top" indent="1"/>
    </xf>
    <xf numFmtId="0" fontId="12" fillId="75" borderId="4374" applyNumberFormat="0" applyProtection="0">
      <alignment horizontal="left" vertical="center" indent="1"/>
    </xf>
    <xf numFmtId="4" fontId="184" fillId="52" borderId="4374" applyNumberFormat="0" applyProtection="0">
      <alignment horizontal="right" vertical="center"/>
    </xf>
    <xf numFmtId="4" fontId="226" fillId="82" borderId="4374" applyNumberFormat="0" applyProtection="0">
      <alignment horizontal="right" vertical="center"/>
    </xf>
    <xf numFmtId="4" fontId="226" fillId="81" borderId="4374" applyNumberFormat="0" applyProtection="0">
      <alignment horizontal="right" vertical="center"/>
    </xf>
    <xf numFmtId="4" fontId="226" fillId="80" borderId="4374" applyNumberFormat="0" applyProtection="0">
      <alignment horizontal="right" vertical="center"/>
    </xf>
    <xf numFmtId="4" fontId="226" fillId="71" borderId="4374" applyNumberFormat="0" applyProtection="0">
      <alignment horizontal="right" vertical="center"/>
    </xf>
    <xf numFmtId="4" fontId="226" fillId="79" borderId="4374" applyNumberFormat="0" applyProtection="0">
      <alignment horizontal="right" vertical="center"/>
    </xf>
    <xf numFmtId="4" fontId="226" fillId="10" borderId="4374" applyNumberFormat="0" applyProtection="0">
      <alignment horizontal="right" vertical="center"/>
    </xf>
    <xf numFmtId="4" fontId="226" fillId="78" borderId="4374" applyNumberFormat="0" applyProtection="0">
      <alignment horizontal="right" vertical="center"/>
    </xf>
    <xf numFmtId="4" fontId="226" fillId="77" borderId="4374" applyNumberFormat="0" applyProtection="0">
      <alignment horizontal="right" vertical="center"/>
    </xf>
    <xf numFmtId="4" fontId="226" fillId="76" borderId="4374" applyNumberFormat="0" applyProtection="0">
      <alignment horizontal="right" vertical="center"/>
    </xf>
    <xf numFmtId="0" fontId="225" fillId="53" borderId="4374" applyNumberFormat="0" applyProtection="0">
      <alignment horizontal="left" vertical="top" indent="1"/>
    </xf>
    <xf numFmtId="4" fontId="184" fillId="53" borderId="4374" applyNumberFormat="0" applyProtection="0">
      <alignment horizontal="left" vertical="center" indent="1"/>
    </xf>
    <xf numFmtId="4" fontId="224" fillId="53" borderId="4374" applyNumberFormat="0" applyProtection="0">
      <alignment vertical="center"/>
    </xf>
    <xf numFmtId="4" fontId="223" fillId="53" borderId="4374" applyNumberFormat="0" applyProtection="0">
      <alignment vertical="center"/>
    </xf>
    <xf numFmtId="0" fontId="210" fillId="0" borderId="4388" applyNumberFormat="0" applyFill="0" applyBorder="0" applyAlignment="0">
      <protection locked="0"/>
    </xf>
    <xf numFmtId="188" fontId="25" fillId="0" borderId="4387" applyFont="0" applyFill="0" applyBorder="0" applyAlignment="0" applyProtection="0">
      <alignment horizontal="center"/>
    </xf>
    <xf numFmtId="0" fontId="184" fillId="0" borderId="4373" applyAlignment="0">
      <alignment horizontal="left" wrapText="1"/>
    </xf>
    <xf numFmtId="264" fontId="12" fillId="14" borderId="4388" applyFont="0" applyFill="0" applyBorder="0" applyAlignment="0" applyProtection="0">
      <alignment horizontal="right"/>
    </xf>
    <xf numFmtId="0" fontId="25" fillId="69" borderId="4372">
      <alignment horizontal="left" vertical="center" wrapText="1"/>
    </xf>
    <xf numFmtId="0" fontId="166" fillId="0" borderId="4388">
      <alignment horizontal="center"/>
    </xf>
    <xf numFmtId="0" fontId="165" fillId="0" borderId="4388" applyFill="0" applyProtection="0">
      <alignment horizontal="center"/>
    </xf>
    <xf numFmtId="0" fontId="159" fillId="67" borderId="4372"/>
    <xf numFmtId="0" fontId="159" fillId="0" borderId="4372"/>
    <xf numFmtId="0" fontId="135" fillId="0" borderId="4372"/>
    <xf numFmtId="0" fontId="135" fillId="0" borderId="4372"/>
    <xf numFmtId="186" fontId="48" fillId="3" borderId="4370">
      <alignment vertical="center"/>
    </xf>
    <xf numFmtId="186" fontId="146" fillId="3" borderId="4388" applyBorder="0">
      <alignment horizontal="left" vertical="center"/>
    </xf>
    <xf numFmtId="180" fontId="9" fillId="3" borderId="4388">
      <alignment horizontal="right" vertical="center"/>
    </xf>
    <xf numFmtId="192" fontId="9" fillId="3" borderId="4388">
      <alignment horizontal="right" vertical="center"/>
    </xf>
    <xf numFmtId="182" fontId="145" fillId="3" borderId="4370">
      <alignment horizontal="right" vertical="center"/>
    </xf>
    <xf numFmtId="0" fontId="48" fillId="0" borderId="4370" applyFont="0" applyFill="0" applyBorder="0" applyAlignment="0" applyProtection="0">
      <alignment horizontal="center"/>
    </xf>
    <xf numFmtId="0" fontId="74" fillId="0" borderId="4370" applyFont="0" applyFill="0" applyBorder="0" applyAlignment="0" applyProtection="0">
      <alignment horizontal="center"/>
    </xf>
    <xf numFmtId="0" fontId="12" fillId="0" borderId="4388" applyNumberFormat="0" applyFill="0" applyBorder="0" applyAlignment="0" applyProtection="0">
      <alignment horizontal="center"/>
    </xf>
    <xf numFmtId="180" fontId="9" fillId="3" borderId="4597">
      <alignment horizontal="right" vertical="center"/>
    </xf>
    <xf numFmtId="5" fontId="114" fillId="0" borderId="4370" applyAlignment="0" applyProtection="0"/>
    <xf numFmtId="0" fontId="113" fillId="0" borderId="4388" applyNumberFormat="0" applyFill="0" applyAlignment="0" applyProtection="0"/>
    <xf numFmtId="0" fontId="48" fillId="0" borderId="4371" applyNumberFormat="0" applyFill="0" applyAlignment="0" applyProtection="0"/>
    <xf numFmtId="0" fontId="105" fillId="0" borderId="4371" applyNumberFormat="0" applyFill="0" applyBorder="0" applyAlignment="0" applyProtection="0"/>
    <xf numFmtId="0" fontId="46" fillId="0" borderId="4371" applyNumberFormat="0" applyFill="0" applyBorder="0" applyAlignment="0" applyProtection="0"/>
    <xf numFmtId="0" fontId="12" fillId="0" borderId="4371" applyNumberFormat="0" applyFill="0" applyBorder="0" applyAlignment="0" applyProtection="0"/>
    <xf numFmtId="222" fontId="79" fillId="0" borderId="4358" applyBorder="0"/>
    <xf numFmtId="0" fontId="101" fillId="0" borderId="4388" applyBorder="0"/>
    <xf numFmtId="10" fontId="12" fillId="3" borderId="4384" applyNumberFormat="0" applyFont="0" applyFill="0" applyBorder="0" applyAlignment="0">
      <protection locked="0"/>
    </xf>
    <xf numFmtId="248" fontId="46" fillId="0" borderId="4388"/>
    <xf numFmtId="10" fontId="12" fillId="3" borderId="4384" applyNumberFormat="0" applyFont="0" applyFill="0" applyBorder="0" applyAlignment="0">
      <protection locked="0"/>
    </xf>
    <xf numFmtId="10" fontId="12" fillId="3" borderId="4384" applyNumberFormat="0" applyFont="0" applyFill="0" applyBorder="0" applyAlignment="0">
      <protection locked="0"/>
    </xf>
    <xf numFmtId="246" fontId="250" fillId="0" borderId="4388" applyFill="0" applyProtection="0">
      <alignment horizontal="center"/>
    </xf>
    <xf numFmtId="246" fontId="249" fillId="0" borderId="4388" applyFill="0" applyProtection="0">
      <alignment horizontal="center"/>
    </xf>
    <xf numFmtId="0" fontId="241" fillId="94" borderId="4388" applyBorder="0" applyProtection="0">
      <alignment horizontal="centerContinuous" vertical="center"/>
    </xf>
    <xf numFmtId="254" fontId="240" fillId="0" borderId="4388" applyBorder="0" applyProtection="0">
      <alignment horizontal="right" vertical="center"/>
    </xf>
    <xf numFmtId="0" fontId="210" fillId="0" borderId="4388" applyNumberFormat="0" applyFill="0" applyBorder="0" applyAlignment="0">
      <protection locked="0"/>
    </xf>
    <xf numFmtId="188" fontId="25" fillId="0" borderId="4387" applyFont="0" applyFill="0" applyBorder="0" applyAlignment="0" applyProtection="0">
      <alignment horizontal="center"/>
    </xf>
    <xf numFmtId="264" fontId="12" fillId="14" borderId="4388" applyFont="0" applyFill="0" applyBorder="0" applyAlignment="0" applyProtection="0">
      <alignment horizontal="right"/>
    </xf>
    <xf numFmtId="0" fontId="166" fillId="0" borderId="4388">
      <alignment horizontal="center"/>
    </xf>
    <xf numFmtId="0" fontId="165" fillId="0" borderId="4388" applyFill="0" applyProtection="0">
      <alignment horizontal="center"/>
    </xf>
    <xf numFmtId="186" fontId="146" fillId="3" borderId="4388" applyBorder="0">
      <alignment horizontal="left" vertical="center"/>
    </xf>
    <xf numFmtId="180" fontId="9" fillId="3" borderId="4388">
      <alignment horizontal="right" vertical="center"/>
    </xf>
    <xf numFmtId="192" fontId="9" fillId="3" borderId="4388">
      <alignment horizontal="right" vertical="center"/>
    </xf>
    <xf numFmtId="248" fontId="46" fillId="0" borderId="4388"/>
    <xf numFmtId="0" fontId="12" fillId="0" borderId="4388" applyNumberFormat="0" applyFill="0" applyBorder="0" applyAlignment="0" applyProtection="0">
      <alignment horizontal="center"/>
    </xf>
    <xf numFmtId="0" fontId="113" fillId="0" borderId="4388" applyNumberFormat="0" applyFill="0" applyAlignment="0" applyProtection="0"/>
    <xf numFmtId="222" fontId="79" fillId="0" borderId="4358" applyBorder="0"/>
    <xf numFmtId="0" fontId="101" fillId="0" borderId="4388" applyBorder="0"/>
    <xf numFmtId="10" fontId="12" fillId="3" borderId="4384" applyNumberFormat="0" applyFont="0" applyFill="0" applyBorder="0" applyAlignment="0">
      <protection locked="0"/>
    </xf>
    <xf numFmtId="246" fontId="250" fillId="0" borderId="4537" applyFill="0" applyProtection="0">
      <alignment horizontal="center"/>
    </xf>
    <xf numFmtId="0" fontId="166" fillId="0" borderId="4609">
      <alignment horizontal="center"/>
    </xf>
    <xf numFmtId="222" fontId="79" fillId="0" borderId="4427" applyBorder="0"/>
    <xf numFmtId="222" fontId="79" fillId="0" borderId="4440" applyBorder="0"/>
    <xf numFmtId="0" fontId="101" fillId="0" borderId="4441" applyBorder="0"/>
    <xf numFmtId="222" fontId="79" fillId="0" borderId="4440" applyBorder="0"/>
    <xf numFmtId="0" fontId="113" fillId="0" borderId="4441" applyNumberFormat="0" applyFill="0" applyAlignment="0" applyProtection="0"/>
    <xf numFmtId="0" fontId="12" fillId="0" borderId="4441" applyNumberFormat="0" applyFill="0" applyBorder="0" applyAlignment="0" applyProtection="0">
      <alignment horizontal="center"/>
    </xf>
    <xf numFmtId="248" fontId="46" fillId="0" borderId="4441"/>
    <xf numFmtId="192" fontId="9" fillId="3" borderId="4441">
      <alignment horizontal="right" vertical="center"/>
    </xf>
    <xf numFmtId="180" fontId="9" fillId="3" borderId="4441">
      <alignment horizontal="right" vertical="center"/>
    </xf>
    <xf numFmtId="186" fontId="146" fillId="3" borderId="4441" applyBorder="0">
      <alignment horizontal="left" vertical="center"/>
    </xf>
    <xf numFmtId="0" fontId="165" fillId="0" borderId="4441" applyFill="0" applyProtection="0">
      <alignment horizontal="center"/>
    </xf>
    <xf numFmtId="0" fontId="166" fillId="0" borderId="4441">
      <alignment horizontal="center"/>
    </xf>
    <xf numFmtId="264" fontId="12" fillId="14" borderId="4441" applyFont="0" applyFill="0" applyBorder="0" applyAlignment="0" applyProtection="0">
      <alignment horizontal="right"/>
    </xf>
    <xf numFmtId="0" fontId="210" fillId="0" borderId="4441" applyNumberFormat="0" applyFill="0" applyBorder="0" applyAlignment="0">
      <protection locked="0"/>
    </xf>
    <xf numFmtId="254" fontId="240" fillId="0" borderId="4441" applyBorder="0" applyProtection="0">
      <alignment horizontal="right" vertical="center"/>
    </xf>
    <xf numFmtId="0" fontId="241" fillId="94" borderId="4441" applyBorder="0" applyProtection="0">
      <alignment horizontal="centerContinuous" vertical="center"/>
    </xf>
    <xf numFmtId="246" fontId="249" fillId="0" borderId="4441" applyFill="0" applyProtection="0">
      <alignment horizontal="center"/>
    </xf>
    <xf numFmtId="246" fontId="250" fillId="0" borderId="4441" applyFill="0" applyProtection="0">
      <alignment horizontal="center"/>
    </xf>
    <xf numFmtId="0" fontId="78" fillId="14" borderId="4443" applyFont="0" applyFill="0" applyBorder="0" applyAlignment="0" applyProtection="0"/>
    <xf numFmtId="0" fontId="25" fillId="10" borderId="4451" applyNumberFormat="0" applyProtection="0">
      <alignment horizontal="left" vertical="top"/>
    </xf>
    <xf numFmtId="0" fontId="25" fillId="10" borderId="4450" applyNumberFormat="0" applyProtection="0">
      <alignment horizontal="left" vertical="top"/>
    </xf>
    <xf numFmtId="0" fontId="25" fillId="10" borderId="4449" applyNumberFormat="0" applyProtection="0">
      <alignment horizontal="left" vertical="top"/>
    </xf>
    <xf numFmtId="0" fontId="25" fillId="10" borderId="4448" applyNumberFormat="0" applyProtection="0">
      <alignment horizontal="left" vertical="top"/>
    </xf>
    <xf numFmtId="0" fontId="214" fillId="0" borderId="4447" applyNumberFormat="0" applyFont="0" applyFill="0" applyAlignment="0" applyProtection="0"/>
    <xf numFmtId="0" fontId="2" fillId="0" borderId="4446" applyNumberFormat="0" applyAlignment="0" applyProtection="0"/>
    <xf numFmtId="186" fontId="140" fillId="3" borderId="4445">
      <alignment horizontal="center" vertical="center"/>
    </xf>
    <xf numFmtId="186" fontId="146" fillId="3" borderId="4444">
      <alignment horizontal="left"/>
    </xf>
    <xf numFmtId="0" fontId="75" fillId="0" borderId="4442" applyNumberFormat="0" applyFont="0" applyFill="0" applyAlignment="0" applyProtection="0"/>
    <xf numFmtId="222" fontId="79" fillId="0" borderId="4452" applyBorder="0"/>
    <xf numFmtId="0" fontId="101" fillId="0" borderId="4453" applyBorder="0"/>
    <xf numFmtId="222" fontId="79" fillId="0" borderId="4452" applyBorder="0"/>
    <xf numFmtId="0" fontId="113" fillId="0" borderId="4453" applyNumberFormat="0" applyFill="0" applyAlignment="0" applyProtection="0"/>
    <xf numFmtId="0" fontId="12" fillId="0" borderId="4453" applyNumberFormat="0" applyFill="0" applyBorder="0" applyAlignment="0" applyProtection="0">
      <alignment horizontal="center"/>
    </xf>
    <xf numFmtId="248" fontId="46" fillId="0" borderId="4453"/>
    <xf numFmtId="192" fontId="9" fillId="3" borderId="4453">
      <alignment horizontal="right" vertical="center"/>
    </xf>
    <xf numFmtId="180" fontId="9" fillId="3" borderId="4453">
      <alignment horizontal="right" vertical="center"/>
    </xf>
    <xf numFmtId="186" fontId="146" fillId="3" borderId="4453" applyBorder="0">
      <alignment horizontal="left" vertical="center"/>
    </xf>
    <xf numFmtId="0" fontId="165" fillId="0" borderId="4453" applyFill="0" applyProtection="0">
      <alignment horizontal="center"/>
    </xf>
    <xf numFmtId="0" fontId="166" fillId="0" borderId="4453">
      <alignment horizontal="center"/>
    </xf>
    <xf numFmtId="264" fontId="12" fillId="14" borderId="4453" applyFont="0" applyFill="0" applyBorder="0" applyAlignment="0" applyProtection="0">
      <alignment horizontal="right"/>
    </xf>
    <xf numFmtId="0" fontId="210" fillId="0" borderId="4453" applyNumberFormat="0" applyFill="0" applyBorder="0" applyAlignment="0">
      <protection locked="0"/>
    </xf>
    <xf numFmtId="254" fontId="240" fillId="0" borderId="4453" applyBorder="0" applyProtection="0">
      <alignment horizontal="right" vertical="center"/>
    </xf>
    <xf numFmtId="0" fontId="241" fillId="94" borderId="4453" applyBorder="0" applyProtection="0">
      <alignment horizontal="centerContinuous" vertical="center"/>
    </xf>
    <xf numFmtId="246" fontId="249" fillId="0" borderId="4453" applyFill="0" applyProtection="0">
      <alignment horizontal="center"/>
    </xf>
    <xf numFmtId="246" fontId="250" fillId="0" borderId="4453" applyFill="0" applyProtection="0">
      <alignment horizontal="center"/>
    </xf>
    <xf numFmtId="186" fontId="146" fillId="3" borderId="4456">
      <alignment horizontal="left"/>
    </xf>
    <xf numFmtId="0" fontId="75" fillId="0" borderId="4454" applyNumberFormat="0" applyFont="0" applyFill="0" applyAlignment="0" applyProtection="0"/>
    <xf numFmtId="0" fontId="113" fillId="0" borderId="4537" applyNumberFormat="0" applyFill="0" applyAlignment="0" applyProtection="0"/>
    <xf numFmtId="264" fontId="12" fillId="14" borderId="4537" applyFont="0" applyFill="0" applyBorder="0" applyAlignment="0" applyProtection="0">
      <alignment horizontal="right"/>
    </xf>
    <xf numFmtId="246" fontId="249" fillId="0" borderId="4537" applyFill="0" applyProtection="0">
      <alignment horizontal="center"/>
    </xf>
    <xf numFmtId="0" fontId="25" fillId="10" borderId="4463" applyNumberFormat="0" applyProtection="0">
      <alignment horizontal="left" vertical="top"/>
    </xf>
    <xf numFmtId="0" fontId="25" fillId="10" borderId="4461" applyNumberFormat="0" applyProtection="0">
      <alignment horizontal="left" vertical="top"/>
    </xf>
    <xf numFmtId="0" fontId="25" fillId="10" borderId="4462" applyNumberFormat="0" applyProtection="0">
      <alignment horizontal="left" vertical="top"/>
    </xf>
    <xf numFmtId="0" fontId="25" fillId="10" borderId="4460" applyNumberFormat="0" applyProtection="0">
      <alignment horizontal="left" vertical="top"/>
    </xf>
    <xf numFmtId="0" fontId="25" fillId="10" borderId="4463" applyNumberFormat="0" applyProtection="0">
      <alignment horizontal="left" vertical="top"/>
    </xf>
    <xf numFmtId="0" fontId="25" fillId="10" borderId="4462" applyNumberFormat="0" applyProtection="0">
      <alignment horizontal="left" vertical="top"/>
    </xf>
    <xf numFmtId="0" fontId="25" fillId="10" borderId="4461" applyNumberFormat="0" applyProtection="0">
      <alignment horizontal="left" vertical="top"/>
    </xf>
    <xf numFmtId="0" fontId="25" fillId="10" borderId="4460" applyNumberFormat="0" applyProtection="0">
      <alignment horizontal="left" vertical="top"/>
    </xf>
    <xf numFmtId="0" fontId="214" fillId="0" borderId="4459" applyNumberFormat="0" applyFont="0" applyFill="0" applyAlignment="0" applyProtection="0"/>
    <xf numFmtId="0" fontId="2" fillId="0" borderId="4458" applyNumberFormat="0" applyAlignment="0" applyProtection="0"/>
    <xf numFmtId="186" fontId="140" fillId="3" borderId="4457">
      <alignment horizontal="center" vertical="center"/>
    </xf>
    <xf numFmtId="186" fontId="140" fillId="3" borderId="4469">
      <alignment horizontal="center" vertical="center"/>
    </xf>
    <xf numFmtId="0" fontId="25" fillId="10" borderId="4472" applyNumberFormat="0" applyProtection="0">
      <alignment horizontal="left" vertical="top"/>
    </xf>
    <xf numFmtId="0" fontId="12" fillId="0" borderId="4537" applyNumberFormat="0" applyFill="0" applyBorder="0" applyAlignment="0" applyProtection="0">
      <alignment horizontal="center"/>
    </xf>
    <xf numFmtId="0" fontId="25" fillId="10" borderId="4534" applyNumberFormat="0" applyProtection="0">
      <alignment horizontal="left" vertical="top"/>
    </xf>
    <xf numFmtId="222" fontId="79" fillId="0" borderId="4524" applyBorder="0"/>
    <xf numFmtId="0" fontId="78" fillId="14" borderId="4527" applyFont="0" applyFill="0" applyBorder="0" applyAlignment="0" applyProtection="0"/>
    <xf numFmtId="222" fontId="79" fillId="0" borderId="4536" applyBorder="0"/>
    <xf numFmtId="0" fontId="101" fillId="0" borderId="4537" applyBorder="0"/>
    <xf numFmtId="222" fontId="79" fillId="0" borderId="4536" applyBorder="0"/>
    <xf numFmtId="248" fontId="46" fillId="0" borderId="4537"/>
    <xf numFmtId="192" fontId="9" fillId="3" borderId="4537">
      <alignment horizontal="right" vertical="center"/>
    </xf>
    <xf numFmtId="180" fontId="9" fillId="3" borderId="4537">
      <alignment horizontal="right" vertical="center"/>
    </xf>
    <xf numFmtId="186" fontId="146" fillId="3" borderId="4537" applyBorder="0">
      <alignment horizontal="left" vertical="center"/>
    </xf>
    <xf numFmtId="0" fontId="165" fillId="0" borderId="4537" applyFill="0" applyProtection="0">
      <alignment horizontal="center"/>
    </xf>
    <xf numFmtId="0" fontId="210" fillId="0" borderId="4537" applyNumberFormat="0" applyFill="0" applyBorder="0" applyAlignment="0">
      <protection locked="0"/>
    </xf>
    <xf numFmtId="254" fontId="240" fillId="0" borderId="4537" applyBorder="0" applyProtection="0">
      <alignment horizontal="right" vertical="center"/>
    </xf>
    <xf numFmtId="246" fontId="250" fillId="0" borderId="4537" applyFill="0" applyProtection="0">
      <alignment horizontal="center"/>
    </xf>
    <xf numFmtId="222" fontId="79" fillId="0" borderId="4476" applyBorder="0"/>
    <xf numFmtId="0" fontId="25" fillId="10" borderId="4473" applyNumberFormat="0" applyProtection="0">
      <alignment horizontal="left" vertical="top"/>
    </xf>
    <xf numFmtId="0" fontId="25" fillId="10" borderId="4475" applyNumberFormat="0" applyProtection="0">
      <alignment horizontal="left" vertical="top"/>
    </xf>
    <xf numFmtId="0" fontId="25" fillId="10" borderId="4472" applyNumberFormat="0" applyProtection="0">
      <alignment horizontal="left" vertical="top"/>
    </xf>
    <xf numFmtId="0" fontId="25" fillId="10" borderId="4473" applyNumberFormat="0" applyProtection="0">
      <alignment horizontal="left" vertical="top"/>
    </xf>
    <xf numFmtId="0" fontId="25" fillId="10" borderId="4474" applyNumberFormat="0" applyProtection="0">
      <alignment horizontal="left" vertical="top"/>
    </xf>
    <xf numFmtId="0" fontId="75" fillId="0" borderId="4478" applyNumberFormat="0" applyFont="0" applyFill="0" applyAlignment="0" applyProtection="0"/>
    <xf numFmtId="0" fontId="101" fillId="0" borderId="4489" applyBorder="0"/>
    <xf numFmtId="222" fontId="79" fillId="0" borderId="4488" applyBorder="0"/>
    <xf numFmtId="0" fontId="113" fillId="0" borderId="4489" applyNumberFormat="0" applyFill="0" applyAlignment="0" applyProtection="0"/>
    <xf numFmtId="0" fontId="12" fillId="0" borderId="4489" applyNumberFormat="0" applyFill="0" applyBorder="0" applyAlignment="0" applyProtection="0">
      <alignment horizontal="center"/>
    </xf>
    <xf numFmtId="248" fontId="46" fillId="0" borderId="4489"/>
    <xf numFmtId="192" fontId="9" fillId="3" borderId="4489">
      <alignment horizontal="right" vertical="center"/>
    </xf>
    <xf numFmtId="180" fontId="9" fillId="3" borderId="4489">
      <alignment horizontal="right" vertical="center"/>
    </xf>
    <xf numFmtId="186" fontId="146" fillId="3" borderId="4489" applyBorder="0">
      <alignment horizontal="left" vertical="center"/>
    </xf>
    <xf numFmtId="0" fontId="166" fillId="0" borderId="4489">
      <alignment horizontal="center"/>
    </xf>
    <xf numFmtId="0" fontId="210" fillId="0" borderId="4489" applyNumberFormat="0" applyFill="0" applyBorder="0" applyAlignment="0">
      <protection locked="0"/>
    </xf>
    <xf numFmtId="264" fontId="12" fillId="14" borderId="4489" applyFont="0" applyFill="0" applyBorder="0" applyAlignment="0" applyProtection="0">
      <alignment horizontal="right"/>
    </xf>
    <xf numFmtId="246" fontId="249" fillId="0" borderId="4489" applyFill="0" applyProtection="0">
      <alignment horizontal="center"/>
    </xf>
    <xf numFmtId="246" fontId="250" fillId="0" borderId="4489" applyFill="0" applyProtection="0">
      <alignment horizontal="center"/>
    </xf>
    <xf numFmtId="246" fontId="250" fillId="0" borderId="4513" applyFill="0" applyProtection="0">
      <alignment horizontal="center"/>
    </xf>
    <xf numFmtId="246" fontId="249" fillId="0" borderId="4513" applyFill="0" applyProtection="0">
      <alignment horizontal="center"/>
    </xf>
    <xf numFmtId="254" fontId="240" fillId="0" borderId="4513" applyBorder="0" applyProtection="0">
      <alignment horizontal="right" vertical="center"/>
    </xf>
    <xf numFmtId="264" fontId="12" fillId="14" borderId="4513" applyFont="0" applyFill="0" applyBorder="0" applyAlignment="0" applyProtection="0">
      <alignment horizontal="right"/>
    </xf>
    <xf numFmtId="0" fontId="165" fillId="0" borderId="4513" applyFill="0" applyProtection="0">
      <alignment horizontal="center"/>
    </xf>
    <xf numFmtId="180" fontId="9" fillId="3" borderId="4513">
      <alignment horizontal="right" vertical="center"/>
    </xf>
    <xf numFmtId="0" fontId="12" fillId="0" borderId="4513" applyNumberFormat="0" applyFill="0" applyBorder="0" applyAlignment="0" applyProtection="0">
      <alignment horizontal="center"/>
    </xf>
    <xf numFmtId="0" fontId="101" fillId="0" borderId="4513" applyBorder="0"/>
    <xf numFmtId="222" fontId="79" fillId="0" borderId="4512" applyBorder="0"/>
    <xf numFmtId="0" fontId="75" fillId="0" borderId="4502" applyNumberFormat="0" applyFont="0" applyFill="0" applyAlignment="0" applyProtection="0"/>
    <xf numFmtId="0" fontId="2" fillId="0" borderId="4506" applyNumberFormat="0" applyAlignment="0" applyProtection="0"/>
    <xf numFmtId="0" fontId="25" fillId="10" borderId="4508" applyNumberFormat="0" applyProtection="0">
      <alignment horizontal="left" vertical="top"/>
    </xf>
    <xf numFmtId="0" fontId="25" fillId="10" borderId="4511" applyNumberFormat="0" applyProtection="0">
      <alignment horizontal="left" vertical="top"/>
    </xf>
    <xf numFmtId="222" fontId="79" fillId="0" borderId="4500" applyBorder="0"/>
    <xf numFmtId="0" fontId="25" fillId="10" borderId="4486" applyNumberFormat="0" applyProtection="0">
      <alignment horizontal="left" vertical="top"/>
    </xf>
    <xf numFmtId="0" fontId="25" fillId="10" borderId="4484" applyNumberFormat="0" applyProtection="0">
      <alignment horizontal="left" vertical="top"/>
    </xf>
    <xf numFmtId="0" fontId="214" fillId="0" borderId="4483" applyNumberFormat="0" applyFont="0" applyFill="0" applyAlignment="0" applyProtection="0"/>
    <xf numFmtId="186" fontId="146" fillId="3" borderId="4480">
      <alignment horizontal="left"/>
    </xf>
    <xf numFmtId="222" fontId="79" fillId="0" borderId="4488" applyBorder="0"/>
    <xf numFmtId="0" fontId="101" fillId="0" borderId="4388" applyBorder="0"/>
    <xf numFmtId="0" fontId="113" fillId="0" borderId="4388" applyNumberFormat="0" applyFill="0" applyAlignment="0" applyProtection="0"/>
    <xf numFmtId="0" fontId="12" fillId="0" borderId="4388" applyNumberFormat="0" applyFill="0" applyBorder="0" applyAlignment="0" applyProtection="0">
      <alignment horizontal="center"/>
    </xf>
    <xf numFmtId="248" fontId="46" fillId="0" borderId="4388"/>
    <xf numFmtId="192" fontId="9" fillId="3" borderId="4388">
      <alignment horizontal="right" vertical="center"/>
    </xf>
    <xf numFmtId="180" fontId="9" fillId="3" borderId="4388">
      <alignment horizontal="right" vertical="center"/>
    </xf>
    <xf numFmtId="186" fontId="146" fillId="3" borderId="4388" applyBorder="0">
      <alignment horizontal="left" vertical="center"/>
    </xf>
    <xf numFmtId="0" fontId="165" fillId="0" borderId="4388" applyFill="0" applyProtection="0">
      <alignment horizontal="center"/>
    </xf>
    <xf numFmtId="0" fontId="166" fillId="0" borderId="4388">
      <alignment horizontal="center"/>
    </xf>
    <xf numFmtId="264" fontId="12" fillId="14" borderId="4388" applyFont="0" applyFill="0" applyBorder="0" applyAlignment="0" applyProtection="0">
      <alignment horizontal="right"/>
    </xf>
    <xf numFmtId="0" fontId="210" fillId="0" borderId="4388" applyNumberFormat="0" applyFill="0" applyBorder="0" applyAlignment="0">
      <protection locked="0"/>
    </xf>
    <xf numFmtId="248" fontId="46" fillId="0" borderId="4513"/>
    <xf numFmtId="222" fontId="79" fillId="0" borderId="4512" applyBorder="0"/>
    <xf numFmtId="186" fontId="140" fillId="3" borderId="4505">
      <alignment horizontal="center" vertical="center"/>
    </xf>
    <xf numFmtId="0" fontId="25" fillId="10" borderId="4510" applyNumberFormat="0" applyProtection="0">
      <alignment horizontal="left" vertical="top"/>
    </xf>
    <xf numFmtId="0" fontId="210" fillId="0" borderId="4513" applyNumberFormat="0" applyFill="0" applyBorder="0" applyAlignment="0">
      <protection locked="0"/>
    </xf>
    <xf numFmtId="192" fontId="9" fillId="3" borderId="4513">
      <alignment horizontal="right" vertical="center"/>
    </xf>
    <xf numFmtId="0" fontId="113" fillId="0" borderId="4513" applyNumberFormat="0" applyFill="0" applyAlignment="0" applyProtection="0"/>
    <xf numFmtId="186" fontId="146" fillId="3" borderId="4504">
      <alignment horizontal="left"/>
    </xf>
    <xf numFmtId="0" fontId="25" fillId="10" borderId="4509" applyNumberFormat="0" applyProtection="0">
      <alignment horizontal="left" vertical="top"/>
    </xf>
    <xf numFmtId="254" fontId="240" fillId="0" borderId="4388" applyBorder="0" applyProtection="0">
      <alignment horizontal="right" vertical="center"/>
    </xf>
    <xf numFmtId="0" fontId="241" fillId="94" borderId="4388" applyBorder="0" applyProtection="0">
      <alignment horizontal="centerContinuous" vertical="center"/>
    </xf>
    <xf numFmtId="246" fontId="249" fillId="0" borderId="4388" applyFill="0" applyProtection="0">
      <alignment horizontal="center"/>
    </xf>
    <xf numFmtId="246" fontId="250" fillId="0" borderId="4388" applyFill="0" applyProtection="0">
      <alignment horizontal="center"/>
    </xf>
    <xf numFmtId="0" fontId="25" fillId="10" borderId="4533" applyNumberFormat="0" applyProtection="0">
      <alignment horizontal="left" vertical="top"/>
    </xf>
    <xf numFmtId="0" fontId="25" fillId="10" borderId="4535" applyNumberFormat="0" applyProtection="0">
      <alignment horizontal="left" vertical="top"/>
    </xf>
    <xf numFmtId="222" fontId="79" fillId="0" borderId="4464" applyBorder="0"/>
    <xf numFmtId="0" fontId="214" fillId="0" borderId="4531" applyNumberFormat="0" applyFont="0" applyFill="0" applyAlignment="0" applyProtection="0"/>
    <xf numFmtId="0" fontId="75" fillId="0" borderId="4466" applyNumberFormat="0" applyFont="0" applyFill="0" applyAlignment="0" applyProtection="0"/>
    <xf numFmtId="0" fontId="25" fillId="10" borderId="4474" applyNumberFormat="0" applyProtection="0">
      <alignment horizontal="left" vertical="top"/>
    </xf>
    <xf numFmtId="0" fontId="25" fillId="10" borderId="4475" applyNumberFormat="0" applyProtection="0">
      <alignment horizontal="left" vertical="top"/>
    </xf>
    <xf numFmtId="0" fontId="165" fillId="0" borderId="4489" applyFill="0" applyProtection="0">
      <alignment horizontal="center"/>
    </xf>
    <xf numFmtId="254" fontId="240" fillId="0" borderId="4489" applyBorder="0" applyProtection="0">
      <alignment horizontal="right" vertical="center"/>
    </xf>
    <xf numFmtId="0" fontId="241" fillId="94" borderId="4489" applyBorder="0" applyProtection="0">
      <alignment horizontal="centerContinuous" vertical="center"/>
    </xf>
    <xf numFmtId="0" fontId="241" fillId="94" borderId="4513" applyBorder="0" applyProtection="0">
      <alignment horizontal="centerContinuous" vertical="center"/>
    </xf>
    <xf numFmtId="0" fontId="166" fillId="0" borderId="4513">
      <alignment horizontal="center"/>
    </xf>
    <xf numFmtId="186" fontId="146" fillId="3" borderId="4513" applyBorder="0">
      <alignment horizontal="left" vertical="center"/>
    </xf>
    <xf numFmtId="0" fontId="214" fillId="0" borderId="4507" applyNumberFormat="0" applyFont="0" applyFill="0" applyAlignment="0" applyProtection="0"/>
    <xf numFmtId="0" fontId="78" fillId="14" borderId="4503" applyFont="0" applyFill="0" applyBorder="0" applyAlignment="0" applyProtection="0"/>
    <xf numFmtId="0" fontId="78" fillId="14" borderId="4430" applyFont="0" applyFill="0" applyBorder="0" applyAlignment="0" applyProtection="0"/>
    <xf numFmtId="0" fontId="25" fillId="10" borderId="4357" applyNumberFormat="0" applyProtection="0">
      <alignment horizontal="left" vertical="top"/>
    </xf>
    <xf numFmtId="0" fontId="25" fillId="10" borderId="4356" applyNumberFormat="0" applyProtection="0">
      <alignment horizontal="left" vertical="top"/>
    </xf>
    <xf numFmtId="0" fontId="25" fillId="10" borderId="4355" applyNumberFormat="0" applyProtection="0">
      <alignment horizontal="left" vertical="top"/>
    </xf>
    <xf numFmtId="0" fontId="25" fillId="10" borderId="4354" applyNumberFormat="0" applyProtection="0">
      <alignment horizontal="left" vertical="top"/>
    </xf>
    <xf numFmtId="186" fontId="140" fillId="3" borderId="4529">
      <alignment horizontal="center" vertical="center"/>
    </xf>
    <xf numFmtId="0" fontId="214" fillId="0" borderId="4353" applyNumberFormat="0" applyFont="0" applyFill="0" applyAlignment="0" applyProtection="0"/>
    <xf numFmtId="186" fontId="140" fillId="3" borderId="4327">
      <alignment horizontal="center" vertical="center"/>
    </xf>
    <xf numFmtId="186" fontId="146" fillId="3" borderId="4254">
      <alignment horizontal="left"/>
    </xf>
    <xf numFmtId="186" fontId="146" fillId="3" borderId="4528">
      <alignment horizontal="left"/>
    </xf>
    <xf numFmtId="0" fontId="75" fillId="0" borderId="4252" applyNumberFormat="0" applyFont="0" applyFill="0" applyAlignment="0" applyProtection="0"/>
    <xf numFmtId="0" fontId="75" fillId="0" borderId="4526" applyNumberFormat="0" applyFont="0" applyFill="0" applyAlignment="0" applyProtection="0"/>
    <xf numFmtId="222" fontId="79" fillId="0" borderId="4440" applyBorder="0"/>
    <xf numFmtId="222" fontId="79" fillId="0" borderId="4440" applyBorder="0"/>
    <xf numFmtId="0" fontId="25" fillId="10" borderId="4532" applyNumberFormat="0" applyProtection="0">
      <alignment horizontal="left" vertical="top"/>
    </xf>
    <xf numFmtId="0" fontId="2" fillId="0" borderId="4530" applyNumberFormat="0" applyAlignment="0" applyProtection="0"/>
    <xf numFmtId="246" fontId="250" fillId="0" borderId="4465" applyFill="0" applyProtection="0">
      <alignment horizontal="center"/>
    </xf>
    <xf numFmtId="246" fontId="249" fillId="0" borderId="4465" applyFill="0" applyProtection="0">
      <alignment horizontal="center"/>
    </xf>
    <xf numFmtId="0" fontId="241" fillId="94" borderId="4465" applyBorder="0" applyProtection="0">
      <alignment horizontal="centerContinuous" vertical="center"/>
    </xf>
    <xf numFmtId="254" fontId="240" fillId="0" borderId="4465" applyBorder="0" applyProtection="0">
      <alignment horizontal="right" vertical="center"/>
    </xf>
    <xf numFmtId="0" fontId="210" fillId="0" borderId="4465" applyNumberFormat="0" applyFill="0" applyBorder="0" applyAlignment="0">
      <protection locked="0"/>
    </xf>
    <xf numFmtId="264" fontId="12" fillId="14" borderId="4465" applyFont="0" applyFill="0" applyBorder="0" applyAlignment="0" applyProtection="0">
      <alignment horizontal="right"/>
    </xf>
    <xf numFmtId="0" fontId="166" fillId="0" borderId="4465">
      <alignment horizontal="center"/>
    </xf>
    <xf numFmtId="0" fontId="165" fillId="0" borderId="4465" applyFill="0" applyProtection="0">
      <alignment horizontal="center"/>
    </xf>
    <xf numFmtId="186" fontId="146" fillId="3" borderId="4465" applyBorder="0">
      <alignment horizontal="left" vertical="center"/>
    </xf>
    <xf numFmtId="180" fontId="9" fillId="3" borderId="4465">
      <alignment horizontal="right" vertical="center"/>
    </xf>
    <xf numFmtId="192" fontId="9" fillId="3" borderId="4465">
      <alignment horizontal="right" vertical="center"/>
    </xf>
    <xf numFmtId="248" fontId="46" fillId="0" borderId="4465"/>
    <xf numFmtId="0" fontId="12" fillId="0" borderId="4465" applyNumberFormat="0" applyFill="0" applyBorder="0" applyAlignment="0" applyProtection="0">
      <alignment horizontal="center"/>
    </xf>
    <xf numFmtId="0" fontId="113" fillId="0" borderId="4465" applyNumberFormat="0" applyFill="0" applyAlignment="0" applyProtection="0"/>
    <xf numFmtId="222" fontId="79" fillId="0" borderId="4464" applyBorder="0"/>
    <xf numFmtId="0" fontId="101" fillId="0" borderId="4465" applyBorder="0"/>
    <xf numFmtId="222" fontId="79" fillId="0" borderId="4464" applyBorder="0"/>
    <xf numFmtId="0" fontId="75" fillId="0" borderId="4454" applyNumberFormat="0" applyFont="0" applyFill="0" applyAlignment="0" applyProtection="0"/>
    <xf numFmtId="186" fontId="146" fillId="3" borderId="4456">
      <alignment horizontal="left"/>
    </xf>
    <xf numFmtId="186" fontId="140" fillId="3" borderId="4457">
      <alignment horizontal="center" vertical="center"/>
    </xf>
    <xf numFmtId="0" fontId="2" fillId="0" borderId="4458" applyNumberFormat="0" applyAlignment="0" applyProtection="0"/>
    <xf numFmtId="0" fontId="214" fillId="0" borderId="4459" applyNumberFormat="0" applyFont="0" applyFill="0" applyAlignment="0" applyProtection="0"/>
    <xf numFmtId="0" fontId="25" fillId="10" borderId="4460" applyNumberFormat="0" applyProtection="0">
      <alignment horizontal="left" vertical="top"/>
    </xf>
    <xf numFmtId="0" fontId="25" fillId="10" borderId="4461" applyNumberFormat="0" applyProtection="0">
      <alignment horizontal="left" vertical="top"/>
    </xf>
    <xf numFmtId="0" fontId="25" fillId="10" borderId="4462" applyNumberFormat="0" applyProtection="0">
      <alignment horizontal="left" vertical="top"/>
    </xf>
    <xf numFmtId="0" fontId="25" fillId="10" borderId="4463" applyNumberFormat="0" applyProtection="0">
      <alignment horizontal="left" vertical="top"/>
    </xf>
    <xf numFmtId="0" fontId="78" fillId="14" borderId="4455" applyFont="0" applyFill="0" applyBorder="0" applyAlignment="0" applyProtection="0"/>
    <xf numFmtId="222" fontId="79" fillId="0" borderId="4452" applyBorder="0"/>
    <xf numFmtId="0" fontId="78" fillId="14" borderId="4430" applyFont="0" applyFill="0" applyBorder="0" applyAlignment="0" applyProtection="0"/>
    <xf numFmtId="222" fontId="79" fillId="0" borderId="4440" applyBorder="0"/>
    <xf numFmtId="0" fontId="78" fillId="14" borderId="4443" applyFont="0" applyFill="0" applyBorder="0" applyAlignment="0" applyProtection="0"/>
    <xf numFmtId="0" fontId="25" fillId="10" borderId="4451" applyNumberFormat="0" applyProtection="0">
      <alignment horizontal="left" vertical="top"/>
    </xf>
    <xf numFmtId="0" fontId="25" fillId="10" borderId="4450" applyNumberFormat="0" applyProtection="0">
      <alignment horizontal="left" vertical="top"/>
    </xf>
    <xf numFmtId="0" fontId="25" fillId="10" borderId="4449" applyNumberFormat="0" applyProtection="0">
      <alignment horizontal="left" vertical="top"/>
    </xf>
    <xf numFmtId="0" fontId="25" fillId="10" borderId="4448" applyNumberFormat="0" applyProtection="0">
      <alignment horizontal="left" vertical="top"/>
    </xf>
    <xf numFmtId="0" fontId="214" fillId="0" borderId="4447" applyNumberFormat="0" applyFont="0" applyFill="0" applyAlignment="0" applyProtection="0"/>
    <xf numFmtId="186" fontId="140" fillId="3" borderId="4445">
      <alignment horizontal="center" vertical="center"/>
    </xf>
    <xf numFmtId="186" fontId="146" fillId="3" borderId="4444">
      <alignment horizontal="left"/>
    </xf>
    <xf numFmtId="0" fontId="75" fillId="0" borderId="4442" applyNumberFormat="0" applyFont="0" applyFill="0" applyAlignment="0" applyProtection="0"/>
    <xf numFmtId="222" fontId="79" fillId="0" borderId="4452" applyBorder="0"/>
    <xf numFmtId="0" fontId="101" fillId="0" borderId="4453" applyBorder="0"/>
    <xf numFmtId="222" fontId="79" fillId="0" borderId="4452" applyBorder="0"/>
    <xf numFmtId="0" fontId="113" fillId="0" borderId="4453" applyNumberFormat="0" applyFill="0" applyAlignment="0" applyProtection="0"/>
    <xf numFmtId="0" fontId="12" fillId="0" borderId="4453" applyNumberFormat="0" applyFill="0" applyBorder="0" applyAlignment="0" applyProtection="0">
      <alignment horizontal="center"/>
    </xf>
    <xf numFmtId="248" fontId="46" fillId="0" borderId="4453"/>
    <xf numFmtId="192" fontId="9" fillId="3" borderId="4453">
      <alignment horizontal="right" vertical="center"/>
    </xf>
    <xf numFmtId="180" fontId="9" fillId="3" borderId="4453">
      <alignment horizontal="right" vertical="center"/>
    </xf>
    <xf numFmtId="186" fontId="146" fillId="3" borderId="4453" applyBorder="0">
      <alignment horizontal="left" vertical="center"/>
    </xf>
    <xf numFmtId="0" fontId="165" fillId="0" borderId="4453" applyFill="0" applyProtection="0">
      <alignment horizontal="center"/>
    </xf>
    <xf numFmtId="0" fontId="166" fillId="0" borderId="4453">
      <alignment horizontal="center"/>
    </xf>
    <xf numFmtId="264" fontId="12" fillId="14" borderId="4453" applyFont="0" applyFill="0" applyBorder="0" applyAlignment="0" applyProtection="0">
      <alignment horizontal="right"/>
    </xf>
    <xf numFmtId="0" fontId="210" fillId="0" borderId="4453" applyNumberFormat="0" applyFill="0" applyBorder="0" applyAlignment="0">
      <protection locked="0"/>
    </xf>
    <xf numFmtId="254" fontId="240" fillId="0" borderId="4453" applyBorder="0" applyProtection="0">
      <alignment horizontal="right" vertical="center"/>
    </xf>
    <xf numFmtId="0" fontId="241" fillId="94" borderId="4453" applyBorder="0" applyProtection="0">
      <alignment horizontal="centerContinuous" vertical="center"/>
    </xf>
    <xf numFmtId="246" fontId="249" fillId="0" borderId="4453" applyFill="0" applyProtection="0">
      <alignment horizontal="center"/>
    </xf>
    <xf numFmtId="246" fontId="250" fillId="0" borderId="4453" applyFill="0" applyProtection="0">
      <alignment horizontal="center"/>
    </xf>
    <xf numFmtId="0" fontId="241" fillId="94" borderId="4537" applyBorder="0" applyProtection="0">
      <alignment horizontal="centerContinuous" vertical="center"/>
    </xf>
    <xf numFmtId="0" fontId="166" fillId="0" borderId="4537">
      <alignment horizontal="center"/>
    </xf>
    <xf numFmtId="0" fontId="2" fillId="0" borderId="4470" applyNumberFormat="0" applyAlignment="0" applyProtection="0"/>
    <xf numFmtId="0" fontId="214" fillId="0" borderId="4471" applyNumberFormat="0" applyFont="0" applyFill="0" applyAlignment="0" applyProtection="0"/>
    <xf numFmtId="246" fontId="250" fillId="0" borderId="4477" applyFill="0" applyProtection="0">
      <alignment horizontal="center"/>
    </xf>
    <xf numFmtId="246" fontId="249" fillId="0" borderId="4477" applyFill="0" applyProtection="0">
      <alignment horizontal="center"/>
    </xf>
    <xf numFmtId="0" fontId="241" fillId="94" borderId="4477" applyBorder="0" applyProtection="0">
      <alignment horizontal="centerContinuous" vertical="center"/>
    </xf>
    <xf numFmtId="254" fontId="240" fillId="0" borderId="4477" applyBorder="0" applyProtection="0">
      <alignment horizontal="right" vertical="center"/>
    </xf>
    <xf numFmtId="0" fontId="210" fillId="0" borderId="4477" applyNumberFormat="0" applyFill="0" applyBorder="0" applyAlignment="0">
      <protection locked="0"/>
    </xf>
    <xf numFmtId="264" fontId="12" fillId="14" borderId="4477" applyFont="0" applyFill="0" applyBorder="0" applyAlignment="0" applyProtection="0">
      <alignment horizontal="right"/>
    </xf>
    <xf numFmtId="0" fontId="166" fillId="0" borderId="4477">
      <alignment horizontal="center"/>
    </xf>
    <xf numFmtId="0" fontId="165" fillId="0" borderId="4477" applyFill="0" applyProtection="0">
      <alignment horizontal="center"/>
    </xf>
    <xf numFmtId="186" fontId="146" fillId="3" borderId="4477" applyBorder="0">
      <alignment horizontal="left" vertical="center"/>
    </xf>
    <xf numFmtId="180" fontId="9" fillId="3" borderId="4477">
      <alignment horizontal="right" vertical="center"/>
    </xf>
    <xf numFmtId="192" fontId="9" fillId="3" borderId="4477">
      <alignment horizontal="right" vertical="center"/>
    </xf>
    <xf numFmtId="248" fontId="46" fillId="0" borderId="4477"/>
    <xf numFmtId="0" fontId="12" fillId="0" borderId="4477" applyNumberFormat="0" applyFill="0" applyBorder="0" applyAlignment="0" applyProtection="0">
      <alignment horizontal="center"/>
    </xf>
    <xf numFmtId="0" fontId="113" fillId="0" borderId="4477" applyNumberFormat="0" applyFill="0" applyAlignment="0" applyProtection="0"/>
    <xf numFmtId="222" fontId="79" fillId="0" borderId="4476" applyBorder="0"/>
    <xf numFmtId="0" fontId="101" fillId="0" borderId="4477" applyBorder="0"/>
    <xf numFmtId="222" fontId="79" fillId="0" borderId="4476" applyBorder="0"/>
    <xf numFmtId="0" fontId="75" fillId="0" borderId="4466" applyNumberFormat="0" applyFont="0" applyFill="0" applyAlignment="0" applyProtection="0"/>
    <xf numFmtId="186" fontId="146" fillId="3" borderId="4468">
      <alignment horizontal="left"/>
    </xf>
    <xf numFmtId="186" fontId="140" fillId="3" borderId="4469">
      <alignment horizontal="center" vertical="center"/>
    </xf>
    <xf numFmtId="0" fontId="2" fillId="0" borderId="4470" applyNumberFormat="0" applyAlignment="0" applyProtection="0"/>
    <xf numFmtId="0" fontId="214" fillId="0" borderId="4471" applyNumberFormat="0" applyFont="0" applyFill="0" applyAlignment="0" applyProtection="0"/>
    <xf numFmtId="0" fontId="25" fillId="10" borderId="4472" applyNumberFormat="0" applyProtection="0">
      <alignment horizontal="left" vertical="top"/>
    </xf>
    <xf numFmtId="0" fontId="25" fillId="10" borderId="4473" applyNumberFormat="0" applyProtection="0">
      <alignment horizontal="left" vertical="top"/>
    </xf>
    <xf numFmtId="0" fontId="25" fillId="10" borderId="4474" applyNumberFormat="0" applyProtection="0">
      <alignment horizontal="left" vertical="top"/>
    </xf>
    <xf numFmtId="0" fontId="25" fillId="10" borderId="4475" applyNumberFormat="0" applyProtection="0">
      <alignment horizontal="left" vertical="top"/>
    </xf>
    <xf numFmtId="0" fontId="78" fillId="14" borderId="4467" applyFont="0" applyFill="0" applyBorder="0" applyAlignment="0" applyProtection="0"/>
    <xf numFmtId="222" fontId="79" fillId="0" borderId="4464" applyBorder="0"/>
    <xf numFmtId="0" fontId="78" fillId="14" borderId="4479" applyFont="0" applyFill="0" applyBorder="0" applyAlignment="0" applyProtection="0"/>
    <xf numFmtId="186" fontId="146" fillId="3" borderId="4468">
      <alignment horizontal="left"/>
    </xf>
    <xf numFmtId="0" fontId="78" fillId="14" borderId="4455" applyFont="0" applyFill="0" applyBorder="0" applyAlignment="0" applyProtection="0"/>
    <xf numFmtId="222" fontId="79" fillId="0" borderId="4464" applyBorder="0"/>
    <xf numFmtId="0" fontId="2" fillId="0" borderId="4482" applyNumberFormat="0" applyAlignment="0" applyProtection="0"/>
    <xf numFmtId="0" fontId="78" fillId="14" borderId="4455" applyFont="0" applyFill="0" applyBorder="0" applyAlignment="0" applyProtection="0"/>
    <xf numFmtId="0" fontId="25" fillId="10" borderId="4463" applyNumberFormat="0" applyProtection="0">
      <alignment horizontal="left" vertical="top"/>
    </xf>
    <xf numFmtId="0" fontId="25" fillId="10" borderId="4462" applyNumberFormat="0" applyProtection="0">
      <alignment horizontal="left" vertical="top"/>
    </xf>
    <xf numFmtId="0" fontId="25" fillId="10" borderId="4461" applyNumberFormat="0" applyProtection="0">
      <alignment horizontal="left" vertical="top"/>
    </xf>
    <xf numFmtId="0" fontId="25" fillId="10" borderId="4460" applyNumberFormat="0" applyProtection="0">
      <alignment horizontal="left" vertical="top"/>
    </xf>
    <xf numFmtId="0" fontId="25" fillId="10" borderId="4485" applyNumberFormat="0" applyProtection="0">
      <alignment horizontal="left" vertical="top"/>
    </xf>
    <xf numFmtId="0" fontId="214" fillId="0" borderId="4459" applyNumberFormat="0" applyFont="0" applyFill="0" applyAlignment="0" applyProtection="0"/>
    <xf numFmtId="0" fontId="2" fillId="0" borderId="4458" applyNumberFormat="0" applyAlignment="0" applyProtection="0"/>
    <xf numFmtId="186" fontId="140" fillId="3" borderId="4457">
      <alignment horizontal="center" vertical="center"/>
    </xf>
    <xf numFmtId="186" fontId="146" fillId="3" borderId="4456">
      <alignment horizontal="left"/>
    </xf>
    <xf numFmtId="0" fontId="25" fillId="10" borderId="4487" applyNumberFormat="0" applyProtection="0">
      <alignment horizontal="left" vertical="top"/>
    </xf>
    <xf numFmtId="0" fontId="75" fillId="0" borderId="4454" applyNumberFormat="0" applyFont="0" applyFill="0" applyAlignment="0" applyProtection="0"/>
    <xf numFmtId="222" fontId="79" fillId="0" borderId="4464" applyBorder="0"/>
    <xf numFmtId="0" fontId="101" fillId="0" borderId="4465" applyBorder="0"/>
    <xf numFmtId="222" fontId="79" fillId="0" borderId="4464" applyBorder="0"/>
    <xf numFmtId="0" fontId="113" fillId="0" borderId="4465" applyNumberFormat="0" applyFill="0" applyAlignment="0" applyProtection="0"/>
    <xf numFmtId="0" fontId="12" fillId="0" borderId="4465" applyNumberFormat="0" applyFill="0" applyBorder="0" applyAlignment="0" applyProtection="0">
      <alignment horizontal="center"/>
    </xf>
    <xf numFmtId="248" fontId="46" fillId="0" borderId="4465"/>
    <xf numFmtId="192" fontId="9" fillId="3" borderId="4465">
      <alignment horizontal="right" vertical="center"/>
    </xf>
    <xf numFmtId="180" fontId="9" fillId="3" borderId="4465">
      <alignment horizontal="right" vertical="center"/>
    </xf>
    <xf numFmtId="186" fontId="146" fillId="3" borderId="4465" applyBorder="0">
      <alignment horizontal="left" vertical="center"/>
    </xf>
    <xf numFmtId="0" fontId="165" fillId="0" borderId="4465" applyFill="0" applyProtection="0">
      <alignment horizontal="center"/>
    </xf>
    <xf numFmtId="0" fontId="166" fillId="0" borderId="4465">
      <alignment horizontal="center"/>
    </xf>
    <xf numFmtId="264" fontId="12" fillId="14" borderId="4465" applyFont="0" applyFill="0" applyBorder="0" applyAlignment="0" applyProtection="0">
      <alignment horizontal="right"/>
    </xf>
    <xf numFmtId="0" fontId="210" fillId="0" borderId="4465" applyNumberFormat="0" applyFill="0" applyBorder="0" applyAlignment="0">
      <protection locked="0"/>
    </xf>
    <xf numFmtId="254" fontId="240" fillId="0" borderId="4465" applyBorder="0" applyProtection="0">
      <alignment horizontal="right" vertical="center"/>
    </xf>
    <xf numFmtId="0" fontId="241" fillId="94" borderId="4465" applyBorder="0" applyProtection="0">
      <alignment horizontal="centerContinuous" vertical="center"/>
    </xf>
    <xf numFmtId="246" fontId="249" fillId="0" borderId="4465" applyFill="0" applyProtection="0">
      <alignment horizontal="center"/>
    </xf>
    <xf numFmtId="246" fontId="250" fillId="0" borderId="4465" applyFill="0" applyProtection="0">
      <alignment horizontal="center"/>
    </xf>
    <xf numFmtId="186" fontId="140" fillId="3" borderId="4481">
      <alignment horizontal="center" vertical="center"/>
    </xf>
    <xf numFmtId="0" fontId="78" fillId="14" borderId="4467" applyFont="0" applyFill="0" applyBorder="0" applyAlignment="0" applyProtection="0"/>
    <xf numFmtId="222" fontId="79" fillId="0" borderId="4488" applyBorder="0"/>
    <xf numFmtId="0" fontId="78" fillId="14" borderId="4491" applyFont="0" applyFill="0" applyBorder="0" applyAlignment="0" applyProtection="0"/>
    <xf numFmtId="0" fontId="25" fillId="10" borderId="4499" applyNumberFormat="0" applyProtection="0">
      <alignment horizontal="left" vertical="top"/>
    </xf>
    <xf numFmtId="0" fontId="25" fillId="10" borderId="4498" applyNumberFormat="0" applyProtection="0">
      <alignment horizontal="left" vertical="top"/>
    </xf>
    <xf numFmtId="0" fontId="25" fillId="10" borderId="4497" applyNumberFormat="0" applyProtection="0">
      <alignment horizontal="left" vertical="top"/>
    </xf>
    <xf numFmtId="0" fontId="25" fillId="10" borderId="4496" applyNumberFormat="0" applyProtection="0">
      <alignment horizontal="left" vertical="top"/>
    </xf>
    <xf numFmtId="0" fontId="214" fillId="0" borderId="4495" applyNumberFormat="0" applyFont="0" applyFill="0" applyAlignment="0" applyProtection="0"/>
    <xf numFmtId="0" fontId="2" fillId="0" borderId="4494" applyNumberFormat="0" applyAlignment="0" applyProtection="0"/>
    <xf numFmtId="186" fontId="140" fillId="3" borderId="4493">
      <alignment horizontal="center" vertical="center"/>
    </xf>
    <xf numFmtId="186" fontId="146" fillId="3" borderId="4492">
      <alignment horizontal="left"/>
    </xf>
    <xf numFmtId="0" fontId="75" fillId="0" borderId="4490" applyNumberFormat="0" applyFont="0" applyFill="0" applyAlignment="0" applyProtection="0"/>
    <xf numFmtId="222" fontId="79" fillId="0" borderId="4500" applyBorder="0"/>
    <xf numFmtId="0" fontId="101" fillId="0" borderId="4501" applyBorder="0"/>
    <xf numFmtId="222" fontId="79" fillId="0" borderId="4500" applyBorder="0"/>
    <xf numFmtId="0" fontId="113" fillId="0" borderId="4501" applyNumberFormat="0" applyFill="0" applyAlignment="0" applyProtection="0"/>
    <xf numFmtId="0" fontId="12" fillId="0" borderId="4501" applyNumberFormat="0" applyFill="0" applyBorder="0" applyAlignment="0" applyProtection="0">
      <alignment horizontal="center"/>
    </xf>
    <xf numFmtId="248" fontId="46" fillId="0" borderId="4501"/>
    <xf numFmtId="192" fontId="9" fillId="3" borderId="4501">
      <alignment horizontal="right" vertical="center"/>
    </xf>
    <xf numFmtId="180" fontId="9" fillId="3" borderId="4501">
      <alignment horizontal="right" vertical="center"/>
    </xf>
    <xf numFmtId="186" fontId="146" fillId="3" borderId="4501" applyBorder="0">
      <alignment horizontal="left" vertical="center"/>
    </xf>
    <xf numFmtId="0" fontId="165" fillId="0" borderId="4501" applyFill="0" applyProtection="0">
      <alignment horizontal="center"/>
    </xf>
    <xf numFmtId="0" fontId="166" fillId="0" borderId="4501">
      <alignment horizontal="center"/>
    </xf>
    <xf numFmtId="264" fontId="12" fillId="14" borderId="4501" applyFont="0" applyFill="0" applyBorder="0" applyAlignment="0" applyProtection="0">
      <alignment horizontal="right"/>
    </xf>
    <xf numFmtId="0" fontId="210" fillId="0" borderId="4501" applyNumberFormat="0" applyFill="0" applyBorder="0" applyAlignment="0">
      <protection locked="0"/>
    </xf>
    <xf numFmtId="254" fontId="240" fillId="0" borderId="4501" applyBorder="0" applyProtection="0">
      <alignment horizontal="right" vertical="center"/>
    </xf>
    <xf numFmtId="0" fontId="241" fillId="94" borderId="4501" applyBorder="0" applyProtection="0">
      <alignment horizontal="centerContinuous" vertical="center"/>
    </xf>
    <xf numFmtId="246" fontId="249" fillId="0" borderId="4501" applyFill="0" applyProtection="0">
      <alignment horizontal="center"/>
    </xf>
    <xf numFmtId="246" fontId="250" fillId="0" borderId="4501" applyFill="0" applyProtection="0">
      <alignment horizontal="center"/>
    </xf>
    <xf numFmtId="222" fontId="79" fillId="0" borderId="4512" applyBorder="0"/>
    <xf numFmtId="0" fontId="78" fillId="14" borderId="4515" applyFont="0" applyFill="0" applyBorder="0" applyAlignment="0" applyProtection="0"/>
    <xf numFmtId="0" fontId="25" fillId="10" borderId="4523" applyNumberFormat="0" applyProtection="0">
      <alignment horizontal="left" vertical="top"/>
    </xf>
    <xf numFmtId="0" fontId="25" fillId="10" borderId="4522" applyNumberFormat="0" applyProtection="0">
      <alignment horizontal="left" vertical="top"/>
    </xf>
    <xf numFmtId="0" fontId="25" fillId="10" borderId="4521" applyNumberFormat="0" applyProtection="0">
      <alignment horizontal="left" vertical="top"/>
    </xf>
    <xf numFmtId="0" fontId="25" fillId="10" borderId="4520" applyNumberFormat="0" applyProtection="0">
      <alignment horizontal="left" vertical="top"/>
    </xf>
    <xf numFmtId="0" fontId="214" fillId="0" borderId="4519" applyNumberFormat="0" applyFont="0" applyFill="0" applyAlignment="0" applyProtection="0"/>
    <xf numFmtId="0" fontId="2" fillId="0" borderId="4518" applyNumberFormat="0" applyAlignment="0" applyProtection="0"/>
    <xf numFmtId="186" fontId="140" fillId="3" borderId="4517">
      <alignment horizontal="center" vertical="center"/>
    </xf>
    <xf numFmtId="186" fontId="146" fillId="3" borderId="4516">
      <alignment horizontal="left"/>
    </xf>
    <xf numFmtId="0" fontId="75" fillId="0" borderId="4514" applyNumberFormat="0" applyFont="0" applyFill="0" applyAlignment="0" applyProtection="0"/>
    <xf numFmtId="222" fontId="79" fillId="0" borderId="4524" applyBorder="0"/>
    <xf numFmtId="0" fontId="101" fillId="0" borderId="4525" applyBorder="0"/>
    <xf numFmtId="222" fontId="79" fillId="0" borderId="4524" applyBorder="0"/>
    <xf numFmtId="0" fontId="113" fillId="0" borderId="4525" applyNumberFormat="0" applyFill="0" applyAlignment="0" applyProtection="0"/>
    <xf numFmtId="0" fontId="12" fillId="0" borderId="4525" applyNumberFormat="0" applyFill="0" applyBorder="0" applyAlignment="0" applyProtection="0">
      <alignment horizontal="center"/>
    </xf>
    <xf numFmtId="248" fontId="46" fillId="0" borderId="4525"/>
    <xf numFmtId="192" fontId="9" fillId="3" borderId="4525">
      <alignment horizontal="right" vertical="center"/>
    </xf>
    <xf numFmtId="180" fontId="9" fillId="3" borderId="4525">
      <alignment horizontal="right" vertical="center"/>
    </xf>
    <xf numFmtId="186" fontId="146" fillId="3" borderId="4525" applyBorder="0">
      <alignment horizontal="left" vertical="center"/>
    </xf>
    <xf numFmtId="0" fontId="165" fillId="0" borderId="4525" applyFill="0" applyProtection="0">
      <alignment horizontal="center"/>
    </xf>
    <xf numFmtId="0" fontId="166" fillId="0" borderId="4525">
      <alignment horizontal="center"/>
    </xf>
    <xf numFmtId="264" fontId="12" fillId="14" borderId="4525" applyFont="0" applyFill="0" applyBorder="0" applyAlignment="0" applyProtection="0">
      <alignment horizontal="right"/>
    </xf>
    <xf numFmtId="0" fontId="210" fillId="0" borderId="4525" applyNumberFormat="0" applyFill="0" applyBorder="0" applyAlignment="0">
      <protection locked="0"/>
    </xf>
    <xf numFmtId="254" fontId="240" fillId="0" borderId="4525" applyBorder="0" applyProtection="0">
      <alignment horizontal="right" vertical="center"/>
    </xf>
    <xf numFmtId="0" fontId="241" fillId="94" borderId="4525" applyBorder="0" applyProtection="0">
      <alignment horizontal="centerContinuous" vertical="center"/>
    </xf>
    <xf numFmtId="246" fontId="249" fillId="0" borderId="4525" applyFill="0" applyProtection="0">
      <alignment horizontal="center"/>
    </xf>
    <xf numFmtId="246" fontId="250" fillId="0" borderId="4525" applyFill="0" applyProtection="0">
      <alignment horizontal="center"/>
    </xf>
    <xf numFmtId="0" fontId="75" fillId="0" borderId="4538" applyNumberFormat="0" applyFont="0" applyFill="0" applyAlignment="0" applyProtection="0"/>
    <xf numFmtId="0" fontId="78" fillId="14" borderId="4539" applyFont="0" applyFill="0" applyBorder="0" applyAlignment="0" applyProtection="0"/>
    <xf numFmtId="186" fontId="146" fillId="3" borderId="4540">
      <alignment horizontal="left"/>
    </xf>
    <xf numFmtId="186" fontId="140" fillId="3" borderId="4541">
      <alignment horizontal="center" vertical="center"/>
    </xf>
    <xf numFmtId="0" fontId="2" fillId="0" borderId="4542" applyNumberFormat="0" applyAlignment="0" applyProtection="0"/>
    <xf numFmtId="0" fontId="214" fillId="0" borderId="4543" applyNumberFormat="0" applyFont="0" applyFill="0" applyAlignment="0" applyProtection="0"/>
    <xf numFmtId="0" fontId="25" fillId="10" borderId="4544" applyNumberFormat="0" applyProtection="0">
      <alignment horizontal="left" vertical="top"/>
    </xf>
    <xf numFmtId="0" fontId="25" fillId="10" borderId="4545" applyNumberFormat="0" applyProtection="0">
      <alignment horizontal="left" vertical="top"/>
    </xf>
    <xf numFmtId="0" fontId="25" fillId="10" borderId="4546" applyNumberFormat="0" applyProtection="0">
      <alignment horizontal="left" vertical="top"/>
    </xf>
    <xf numFmtId="0" fontId="25" fillId="10" borderId="4547" applyNumberFormat="0" applyProtection="0">
      <alignment horizontal="left" vertical="top"/>
    </xf>
    <xf numFmtId="246" fontId="250" fillId="0" borderId="4537" applyFill="0" applyProtection="0">
      <alignment horizontal="center"/>
    </xf>
    <xf numFmtId="246" fontId="249" fillId="0" borderId="4537" applyFill="0" applyProtection="0">
      <alignment horizontal="center"/>
    </xf>
    <xf numFmtId="0" fontId="241" fillId="94" borderId="4537" applyBorder="0" applyProtection="0">
      <alignment horizontal="centerContinuous" vertical="center"/>
    </xf>
    <xf numFmtId="254" fontId="240" fillId="0" borderId="4537" applyBorder="0" applyProtection="0">
      <alignment horizontal="right" vertical="center"/>
    </xf>
    <xf numFmtId="0" fontId="210" fillId="0" borderId="4537" applyNumberFormat="0" applyFill="0" applyBorder="0" applyAlignment="0">
      <protection locked="0"/>
    </xf>
    <xf numFmtId="264" fontId="12" fillId="14" borderId="4537" applyFont="0" applyFill="0" applyBorder="0" applyAlignment="0" applyProtection="0">
      <alignment horizontal="right"/>
    </xf>
    <xf numFmtId="0" fontId="166" fillId="0" borderId="4537">
      <alignment horizontal="center"/>
    </xf>
    <xf numFmtId="0" fontId="165" fillId="0" borderId="4537" applyFill="0" applyProtection="0">
      <alignment horizontal="center"/>
    </xf>
    <xf numFmtId="186" fontId="146" fillId="3" borderId="4537" applyBorder="0">
      <alignment horizontal="left" vertical="center"/>
    </xf>
    <xf numFmtId="180" fontId="9" fillId="3" borderId="4537">
      <alignment horizontal="right" vertical="center"/>
    </xf>
    <xf numFmtId="192" fontId="9" fillId="3" borderId="4537">
      <alignment horizontal="right" vertical="center"/>
    </xf>
    <xf numFmtId="0" fontId="12" fillId="0" borderId="4537" applyNumberFormat="0" applyFill="0" applyBorder="0" applyAlignment="0" applyProtection="0">
      <alignment horizontal="center"/>
    </xf>
    <xf numFmtId="0" fontId="113" fillId="0" borderId="4537" applyNumberFormat="0" applyFill="0" applyAlignment="0" applyProtection="0"/>
    <xf numFmtId="222" fontId="79" fillId="0" borderId="4536" applyBorder="0"/>
    <xf numFmtId="0" fontId="101" fillId="0" borderId="4537" applyBorder="0"/>
    <xf numFmtId="248" fontId="46" fillId="0" borderId="4537"/>
    <xf numFmtId="0" fontId="101" fillId="0" borderId="4537" applyBorder="0"/>
    <xf numFmtId="222" fontId="79" fillId="0" borderId="4536" applyBorder="0"/>
    <xf numFmtId="0" fontId="113" fillId="0" borderId="4537" applyNumberFormat="0" applyFill="0" applyAlignment="0" applyProtection="0"/>
    <xf numFmtId="0" fontId="75" fillId="0" borderId="4538" applyNumberFormat="0" applyFont="0" applyFill="0" applyAlignment="0" applyProtection="0"/>
    <xf numFmtId="0" fontId="12" fillId="0" borderId="4537" applyNumberFormat="0" applyFill="0" applyBorder="0" applyAlignment="0" applyProtection="0">
      <alignment horizontal="center"/>
    </xf>
    <xf numFmtId="248" fontId="46" fillId="0" borderId="4537"/>
    <xf numFmtId="192" fontId="9" fillId="3" borderId="4537">
      <alignment horizontal="right" vertical="center"/>
    </xf>
    <xf numFmtId="180" fontId="9" fillId="3" borderId="4537">
      <alignment horizontal="right" vertical="center"/>
    </xf>
    <xf numFmtId="186" fontId="146" fillId="3" borderId="4537" applyBorder="0">
      <alignment horizontal="left" vertical="center"/>
    </xf>
    <xf numFmtId="186" fontId="146" fillId="3" borderId="4540">
      <alignment horizontal="left"/>
    </xf>
    <xf numFmtId="186" fontId="140" fillId="3" borderId="4541">
      <alignment horizontal="center" vertical="center"/>
    </xf>
    <xf numFmtId="0" fontId="165" fillId="0" borderId="4537" applyFill="0" applyProtection="0">
      <alignment horizontal="center"/>
    </xf>
    <xf numFmtId="0" fontId="166" fillId="0" borderId="4537">
      <alignment horizontal="center"/>
    </xf>
    <xf numFmtId="264" fontId="12" fillId="14" borderId="4537" applyFont="0" applyFill="0" applyBorder="0" applyAlignment="0" applyProtection="0">
      <alignment horizontal="right"/>
    </xf>
    <xf numFmtId="0" fontId="210" fillId="0" borderId="4537" applyNumberFormat="0" applyFill="0" applyBorder="0" applyAlignment="0">
      <protection locked="0"/>
    </xf>
    <xf numFmtId="0" fontId="2" fillId="0" borderId="4542" applyNumberFormat="0" applyAlignment="0" applyProtection="0"/>
    <xf numFmtId="0" fontId="214" fillId="0" borderId="4543" applyNumberFormat="0" applyFont="0" applyFill="0" applyAlignment="0" applyProtection="0"/>
    <xf numFmtId="0" fontId="25" fillId="10" borderId="4544" applyNumberFormat="0" applyProtection="0">
      <alignment horizontal="left" vertical="top"/>
    </xf>
    <xf numFmtId="0" fontId="25" fillId="10" borderId="4545" applyNumberFormat="0" applyProtection="0">
      <alignment horizontal="left" vertical="top"/>
    </xf>
    <xf numFmtId="0" fontId="25" fillId="10" borderId="4546" applyNumberFormat="0" applyProtection="0">
      <alignment horizontal="left" vertical="top"/>
    </xf>
    <xf numFmtId="0" fontId="25" fillId="10" borderId="4547" applyNumberFormat="0" applyProtection="0">
      <alignment horizontal="left" vertical="top"/>
    </xf>
    <xf numFmtId="0" fontId="25" fillId="10" borderId="4544" applyNumberFormat="0" applyProtection="0">
      <alignment horizontal="left" vertical="top"/>
    </xf>
    <xf numFmtId="0" fontId="25" fillId="10" borderId="4545" applyNumberFormat="0" applyProtection="0">
      <alignment horizontal="left" vertical="top"/>
    </xf>
    <xf numFmtId="0" fontId="25" fillId="10" borderId="4546" applyNumberFormat="0" applyProtection="0">
      <alignment horizontal="left" vertical="top"/>
    </xf>
    <xf numFmtId="0" fontId="25" fillId="10" borderId="4547" applyNumberFormat="0" applyProtection="0">
      <alignment horizontal="left" vertical="top"/>
    </xf>
    <xf numFmtId="254" fontId="240" fillId="0" borderId="4537" applyBorder="0" applyProtection="0">
      <alignment horizontal="right" vertical="center"/>
    </xf>
    <xf numFmtId="0" fontId="241" fillId="94" borderId="4537" applyBorder="0" applyProtection="0">
      <alignment horizontal="centerContinuous" vertical="center"/>
    </xf>
    <xf numFmtId="246" fontId="249" fillId="0" borderId="4537" applyFill="0" applyProtection="0">
      <alignment horizontal="center"/>
    </xf>
    <xf numFmtId="246" fontId="250" fillId="0" borderId="4537" applyFill="0" applyProtection="0">
      <alignment horizontal="center"/>
    </xf>
    <xf numFmtId="190" fontId="101" fillId="0" borderId="4537" applyBorder="0"/>
    <xf numFmtId="190" fontId="113" fillId="0" borderId="4537" applyNumberFormat="0" applyFill="0" applyAlignment="0" applyProtection="0"/>
    <xf numFmtId="190" fontId="75" fillId="0" borderId="4514" applyNumberFormat="0" applyFont="0" applyFill="0" applyAlignment="0" applyProtection="0"/>
    <xf numFmtId="190" fontId="12" fillId="0" borderId="4537" applyNumberFormat="0" applyFill="0" applyBorder="0" applyAlignment="0" applyProtection="0">
      <alignment horizontal="center"/>
    </xf>
    <xf numFmtId="190" fontId="78" fillId="14" borderId="4527" applyFont="0" applyFill="0" applyBorder="0" applyAlignment="0" applyProtection="0"/>
    <xf numFmtId="190" fontId="165" fillId="0" borderId="4537" applyFill="0" applyProtection="0">
      <alignment horizontal="center"/>
    </xf>
    <xf numFmtId="190" fontId="166" fillId="0" borderId="4537">
      <alignment horizontal="center"/>
    </xf>
    <xf numFmtId="190" fontId="210" fillId="0" borderId="4537" applyNumberFormat="0" applyFill="0" applyBorder="0" applyAlignment="0">
      <protection locked="0"/>
    </xf>
    <xf numFmtId="190" fontId="2" fillId="0" borderId="4518" applyNumberFormat="0" applyAlignment="0" applyProtection="0"/>
    <xf numFmtId="190" fontId="214" fillId="0" borderId="4519" applyNumberFormat="0" applyFont="0" applyFill="0" applyAlignment="0" applyProtection="0"/>
    <xf numFmtId="190" fontId="25" fillId="10" borderId="4520" applyNumberFormat="0" applyProtection="0">
      <alignment horizontal="left" vertical="top"/>
    </xf>
    <xf numFmtId="190" fontId="25" fillId="10" borderId="4521" applyNumberFormat="0" applyProtection="0">
      <alignment horizontal="left" vertical="top"/>
    </xf>
    <xf numFmtId="190" fontId="25" fillId="10" borderId="4522" applyNumberFormat="0" applyProtection="0">
      <alignment horizontal="left" vertical="top"/>
    </xf>
    <xf numFmtId="190" fontId="25" fillId="10" borderId="4523" applyNumberFormat="0" applyProtection="0">
      <alignment horizontal="left" vertical="top"/>
    </xf>
    <xf numFmtId="190" fontId="241" fillId="94" borderId="4537" applyBorder="0" applyProtection="0">
      <alignment horizontal="centerContinuous" vertical="center"/>
    </xf>
    <xf numFmtId="222" fontId="79" fillId="0" borderId="4536" applyBorder="0"/>
    <xf numFmtId="0" fontId="101" fillId="0" borderId="4537" applyBorder="0"/>
    <xf numFmtId="222" fontId="79" fillId="0" borderId="4536" applyBorder="0"/>
    <xf numFmtId="0" fontId="113" fillId="0" borderId="4537" applyNumberFormat="0" applyFill="0" applyAlignment="0" applyProtection="0"/>
    <xf numFmtId="0" fontId="75" fillId="0" borderId="4514" applyNumberFormat="0" applyFont="0" applyFill="0" applyAlignment="0" applyProtection="0"/>
    <xf numFmtId="0" fontId="12" fillId="0" borderId="4537" applyNumberFormat="0" applyFill="0" applyBorder="0" applyAlignment="0" applyProtection="0">
      <alignment horizontal="center"/>
    </xf>
    <xf numFmtId="248" fontId="46" fillId="0" borderId="4537"/>
    <xf numFmtId="192" fontId="9" fillId="3" borderId="4537">
      <alignment horizontal="right" vertical="center"/>
    </xf>
    <xf numFmtId="180" fontId="9" fillId="3" borderId="4537">
      <alignment horizontal="right" vertical="center"/>
    </xf>
    <xf numFmtId="186" fontId="146" fillId="3" borderId="4537" applyBorder="0">
      <alignment horizontal="left" vertical="center"/>
    </xf>
    <xf numFmtId="186" fontId="146" fillId="3" borderId="4516">
      <alignment horizontal="left"/>
    </xf>
    <xf numFmtId="186" fontId="140" fillId="3" borderId="4517">
      <alignment horizontal="center" vertical="center"/>
    </xf>
    <xf numFmtId="0" fontId="165" fillId="0" borderId="4537" applyFill="0" applyProtection="0">
      <alignment horizontal="center"/>
    </xf>
    <xf numFmtId="0" fontId="166" fillId="0" borderId="4537">
      <alignment horizontal="center"/>
    </xf>
    <xf numFmtId="264" fontId="12" fillId="14" borderId="4537" applyFont="0" applyFill="0" applyBorder="0" applyAlignment="0" applyProtection="0">
      <alignment horizontal="right"/>
    </xf>
    <xf numFmtId="0" fontId="210" fillId="0" borderId="4537" applyNumberFormat="0" applyFill="0" applyBorder="0" applyAlignment="0">
      <protection locked="0"/>
    </xf>
    <xf numFmtId="0" fontId="2" fillId="0" borderId="4518" applyNumberFormat="0" applyAlignment="0" applyProtection="0"/>
    <xf numFmtId="0" fontId="214" fillId="0" borderId="4519" applyNumberFormat="0" applyFont="0" applyFill="0" applyAlignment="0" applyProtection="0"/>
    <xf numFmtId="0" fontId="25" fillId="10" borderId="4520" applyNumberFormat="0" applyProtection="0">
      <alignment horizontal="left" vertical="top"/>
    </xf>
    <xf numFmtId="0" fontId="25" fillId="10" borderId="4521" applyNumberFormat="0" applyProtection="0">
      <alignment horizontal="left" vertical="top"/>
    </xf>
    <xf numFmtId="0" fontId="25" fillId="10" borderId="4522" applyNumberFormat="0" applyProtection="0">
      <alignment horizontal="left" vertical="top"/>
    </xf>
    <xf numFmtId="0" fontId="25" fillId="10" borderId="4523" applyNumberFormat="0" applyProtection="0">
      <alignment horizontal="left" vertical="top"/>
    </xf>
    <xf numFmtId="0" fontId="25" fillId="10" borderId="4520" applyNumberFormat="0" applyProtection="0">
      <alignment horizontal="left" vertical="top"/>
    </xf>
    <xf numFmtId="0" fontId="25" fillId="10" borderId="4521" applyNumberFormat="0" applyProtection="0">
      <alignment horizontal="left" vertical="top"/>
    </xf>
    <xf numFmtId="0" fontId="25" fillId="10" borderId="4522" applyNumberFormat="0" applyProtection="0">
      <alignment horizontal="left" vertical="top"/>
    </xf>
    <xf numFmtId="0" fontId="25" fillId="10" borderId="4523" applyNumberFormat="0" applyProtection="0">
      <alignment horizontal="left" vertical="top"/>
    </xf>
    <xf numFmtId="254" fontId="240" fillId="0" borderId="4537" applyBorder="0" applyProtection="0">
      <alignment horizontal="right" vertical="center"/>
    </xf>
    <xf numFmtId="0" fontId="241" fillId="94" borderId="4537" applyBorder="0" applyProtection="0">
      <alignment horizontal="centerContinuous" vertical="center"/>
    </xf>
    <xf numFmtId="246" fontId="249" fillId="0" borderId="4537" applyFill="0" applyProtection="0">
      <alignment horizontal="center"/>
    </xf>
    <xf numFmtId="246" fontId="250" fillId="0" borderId="4537" applyFill="0" applyProtection="0">
      <alignment horizontal="center"/>
    </xf>
    <xf numFmtId="312" fontId="101" fillId="0" borderId="4537" applyBorder="0"/>
    <xf numFmtId="312" fontId="113" fillId="0" borderId="4537" applyNumberFormat="0" applyFill="0" applyAlignment="0" applyProtection="0"/>
    <xf numFmtId="312" fontId="75" fillId="0" borderId="4514" applyNumberFormat="0" applyFont="0" applyFill="0" applyAlignment="0" applyProtection="0"/>
    <xf numFmtId="312" fontId="12" fillId="0" borderId="4537" applyNumberFormat="0" applyFill="0" applyBorder="0" applyAlignment="0" applyProtection="0">
      <alignment horizontal="center"/>
    </xf>
    <xf numFmtId="312" fontId="165" fillId="0" borderId="4537" applyFill="0" applyProtection="0">
      <alignment horizontal="center"/>
    </xf>
    <xf numFmtId="312" fontId="242" fillId="0" borderId="4537">
      <alignment horizontal="center"/>
    </xf>
    <xf numFmtId="312" fontId="210" fillId="0" borderId="4537" applyNumberFormat="0" applyFill="0" applyBorder="0" applyAlignment="0">
      <protection locked="0"/>
    </xf>
    <xf numFmtId="312" fontId="2" fillId="0" borderId="4518" applyNumberFormat="0" applyAlignment="0" applyProtection="0"/>
    <xf numFmtId="312" fontId="214" fillId="0" borderId="4519" applyNumberFormat="0" applyFont="0" applyFill="0" applyAlignment="0" applyProtection="0"/>
    <xf numFmtId="312" fontId="25" fillId="10" borderId="4520" applyNumberFormat="0" applyProtection="0">
      <alignment horizontal="left" vertical="top"/>
    </xf>
    <xf numFmtId="312" fontId="25" fillId="10" borderId="4521" applyNumberFormat="0" applyProtection="0">
      <alignment horizontal="left" vertical="top"/>
    </xf>
    <xf numFmtId="312" fontId="25" fillId="10" borderId="4522" applyNumberFormat="0" applyProtection="0">
      <alignment horizontal="left" vertical="top"/>
    </xf>
    <xf numFmtId="312" fontId="25" fillId="10" borderId="4523" applyNumberFormat="0" applyProtection="0">
      <alignment horizontal="left" vertical="top"/>
    </xf>
    <xf numFmtId="312" fontId="241" fillId="94" borderId="4537" applyBorder="0" applyProtection="0">
      <alignment horizontal="centerContinuous" vertical="center"/>
    </xf>
    <xf numFmtId="246" fontId="296" fillId="0" borderId="4537" applyFill="0" applyProtection="0">
      <alignment horizontal="center"/>
    </xf>
    <xf numFmtId="312" fontId="101" fillId="0" borderId="4537" applyBorder="0"/>
    <xf numFmtId="312" fontId="113" fillId="0" borderId="4537" applyNumberFormat="0" applyFill="0" applyAlignment="0" applyProtection="0"/>
    <xf numFmtId="312" fontId="75" fillId="0" borderId="4514" applyNumberFormat="0" applyFont="0" applyFill="0" applyAlignment="0" applyProtection="0"/>
    <xf numFmtId="312" fontId="12" fillId="0" borderId="4537" applyNumberFormat="0" applyFill="0" applyBorder="0" applyAlignment="0" applyProtection="0">
      <alignment horizontal="center"/>
    </xf>
    <xf numFmtId="312" fontId="165" fillId="0" borderId="4537" applyFill="0" applyProtection="0">
      <alignment horizontal="center"/>
    </xf>
    <xf numFmtId="312" fontId="242" fillId="0" borderId="4537">
      <alignment horizontal="center"/>
    </xf>
    <xf numFmtId="312" fontId="210" fillId="0" borderId="4537" applyNumberFormat="0" applyFill="0" applyBorder="0" applyAlignment="0">
      <protection locked="0"/>
    </xf>
    <xf numFmtId="312" fontId="2" fillId="0" borderId="4518" applyNumberFormat="0" applyAlignment="0" applyProtection="0"/>
    <xf numFmtId="312" fontId="214" fillId="0" borderId="4519" applyNumberFormat="0" applyFont="0" applyFill="0" applyAlignment="0" applyProtection="0"/>
    <xf numFmtId="312" fontId="25" fillId="10" borderId="4520" applyNumberFormat="0" applyProtection="0">
      <alignment horizontal="left" vertical="top"/>
    </xf>
    <xf numFmtId="312" fontId="25" fillId="10" borderId="4521" applyNumberFormat="0" applyProtection="0">
      <alignment horizontal="left" vertical="top"/>
    </xf>
    <xf numFmtId="312" fontId="25" fillId="10" borderId="4522" applyNumberFormat="0" applyProtection="0">
      <alignment horizontal="left" vertical="top"/>
    </xf>
    <xf numFmtId="312" fontId="25" fillId="10" borderId="4523" applyNumberFormat="0" applyProtection="0">
      <alignment horizontal="left" vertical="top"/>
    </xf>
    <xf numFmtId="312" fontId="25" fillId="10" borderId="4520" applyNumberFormat="0" applyProtection="0">
      <alignment horizontal="left" vertical="top"/>
    </xf>
    <xf numFmtId="312" fontId="25" fillId="10" borderId="4521" applyNumberFormat="0" applyProtection="0">
      <alignment horizontal="left" vertical="top"/>
    </xf>
    <xf numFmtId="312" fontId="25" fillId="10" borderId="4522" applyNumberFormat="0" applyProtection="0">
      <alignment horizontal="left" vertical="top"/>
    </xf>
    <xf numFmtId="312" fontId="25" fillId="10" borderId="4523" applyNumberFormat="0" applyProtection="0">
      <alignment horizontal="left" vertical="top"/>
    </xf>
    <xf numFmtId="312" fontId="241" fillId="94" borderId="4537" applyBorder="0" applyProtection="0">
      <alignment horizontal="centerContinuous" vertical="center"/>
    </xf>
    <xf numFmtId="246" fontId="296" fillId="0" borderId="4537" applyFill="0" applyProtection="0">
      <alignment horizontal="center"/>
    </xf>
    <xf numFmtId="246" fontId="250" fillId="0" borderId="4537" applyFill="0" applyProtection="0">
      <alignment horizontal="center"/>
    </xf>
    <xf numFmtId="246" fontId="249" fillId="0" borderId="4537" applyFill="0" applyProtection="0">
      <alignment horizontal="center"/>
    </xf>
    <xf numFmtId="0" fontId="241" fillId="94" borderId="4537" applyBorder="0" applyProtection="0">
      <alignment horizontal="centerContinuous" vertical="center"/>
    </xf>
    <xf numFmtId="254" fontId="240" fillId="0" borderId="4537" applyBorder="0" applyProtection="0">
      <alignment horizontal="right" vertical="center"/>
    </xf>
    <xf numFmtId="0" fontId="25" fillId="10" borderId="4535" applyNumberFormat="0" applyProtection="0">
      <alignment horizontal="left" vertical="top"/>
    </xf>
    <xf numFmtId="0" fontId="25" fillId="10" borderId="4534" applyNumberFormat="0" applyProtection="0">
      <alignment horizontal="left" vertical="top"/>
    </xf>
    <xf numFmtId="0" fontId="25" fillId="10" borderId="4533" applyNumberFormat="0" applyProtection="0">
      <alignment horizontal="left" vertical="top"/>
    </xf>
    <xf numFmtId="0" fontId="25" fillId="10" borderId="4532" applyNumberFormat="0" applyProtection="0">
      <alignment horizontal="left" vertical="top"/>
    </xf>
    <xf numFmtId="0" fontId="214" fillId="0" borderId="4531" applyNumberFormat="0" applyFont="0" applyFill="0" applyAlignment="0" applyProtection="0"/>
    <xf numFmtId="0" fontId="2" fillId="0" borderId="4530" applyNumberFormat="0" applyAlignment="0" applyProtection="0"/>
    <xf numFmtId="0" fontId="210" fillId="0" borderId="4537" applyNumberFormat="0" applyFill="0" applyBorder="0" applyAlignment="0">
      <protection locked="0"/>
    </xf>
    <xf numFmtId="264" fontId="12" fillId="14" borderId="4537" applyFont="0" applyFill="0" applyBorder="0" applyAlignment="0" applyProtection="0">
      <alignment horizontal="right"/>
    </xf>
    <xf numFmtId="0" fontId="166" fillId="0" borderId="4537">
      <alignment horizontal="center"/>
    </xf>
    <xf numFmtId="0" fontId="165" fillId="0" borderId="4537" applyFill="0" applyProtection="0">
      <alignment horizontal="center"/>
    </xf>
    <xf numFmtId="186" fontId="140" fillId="3" borderId="4529">
      <alignment horizontal="center" vertical="center"/>
    </xf>
    <xf numFmtId="186" fontId="146" fillId="3" borderId="4528">
      <alignment horizontal="left"/>
    </xf>
    <xf numFmtId="186" fontId="146" fillId="3" borderId="4537" applyBorder="0">
      <alignment horizontal="left" vertical="center"/>
    </xf>
    <xf numFmtId="180" fontId="9" fillId="3" borderId="4537">
      <alignment horizontal="right" vertical="center"/>
    </xf>
    <xf numFmtId="192" fontId="9" fillId="3" borderId="4537">
      <alignment horizontal="right" vertical="center"/>
    </xf>
    <xf numFmtId="248" fontId="46" fillId="0" borderId="4537"/>
    <xf numFmtId="0" fontId="78" fillId="14" borderId="4527" applyFont="0" applyFill="0" applyBorder="0" applyAlignment="0" applyProtection="0"/>
    <xf numFmtId="0" fontId="12" fillId="0" borderId="4537" applyNumberFormat="0" applyFill="0" applyBorder="0" applyAlignment="0" applyProtection="0">
      <alignment horizontal="center"/>
    </xf>
    <xf numFmtId="0" fontId="75" fillId="0" borderId="4526" applyNumberFormat="0" applyFont="0" applyFill="0" applyAlignment="0" applyProtection="0"/>
    <xf numFmtId="0" fontId="113" fillId="0" borderId="4537" applyNumberFormat="0" applyFill="0" applyAlignment="0" applyProtection="0"/>
    <xf numFmtId="222" fontId="79" fillId="0" borderId="4536" applyBorder="0"/>
    <xf numFmtId="0" fontId="101" fillId="0" borderId="4537" applyBorder="0"/>
    <xf numFmtId="0" fontId="25" fillId="10" borderId="4544" applyNumberFormat="0" applyProtection="0">
      <alignment horizontal="left" vertical="top"/>
    </xf>
    <xf numFmtId="0" fontId="25" fillId="10" borderId="4545" applyNumberFormat="0" applyProtection="0">
      <alignment horizontal="left" vertical="top"/>
    </xf>
    <xf numFmtId="0" fontId="25" fillId="10" borderId="4546" applyNumberFormat="0" applyProtection="0">
      <alignment horizontal="left" vertical="top"/>
    </xf>
    <xf numFmtId="0" fontId="25" fillId="10" borderId="4547" applyNumberFormat="0" applyProtection="0">
      <alignment horizontal="left" vertical="top"/>
    </xf>
    <xf numFmtId="246" fontId="250" fillId="0" borderId="4525" applyFill="0" applyProtection="0">
      <alignment horizontal="center"/>
    </xf>
    <xf numFmtId="246" fontId="249" fillId="0" borderId="4525" applyFill="0" applyProtection="0">
      <alignment horizontal="center"/>
    </xf>
    <xf numFmtId="0" fontId="241" fillId="94" borderId="4525" applyBorder="0" applyProtection="0">
      <alignment horizontal="centerContinuous" vertical="center"/>
    </xf>
    <xf numFmtId="254" fontId="240" fillId="0" borderId="4525" applyBorder="0" applyProtection="0">
      <alignment horizontal="right" vertical="center"/>
    </xf>
    <xf numFmtId="0" fontId="210" fillId="0" borderId="4525" applyNumberFormat="0" applyFill="0" applyBorder="0" applyAlignment="0">
      <protection locked="0"/>
    </xf>
    <xf numFmtId="264" fontId="12" fillId="14" borderId="4525" applyFont="0" applyFill="0" applyBorder="0" applyAlignment="0" applyProtection="0">
      <alignment horizontal="right"/>
    </xf>
    <xf numFmtId="0" fontId="166" fillId="0" borderId="4525">
      <alignment horizontal="center"/>
    </xf>
    <xf numFmtId="0" fontId="165" fillId="0" borderId="4525" applyFill="0" applyProtection="0">
      <alignment horizontal="center"/>
    </xf>
    <xf numFmtId="186" fontId="146" fillId="3" borderId="4525" applyBorder="0">
      <alignment horizontal="left" vertical="center"/>
    </xf>
    <xf numFmtId="180" fontId="9" fillId="3" borderId="4525">
      <alignment horizontal="right" vertical="center"/>
    </xf>
    <xf numFmtId="192" fontId="9" fillId="3" borderId="4525">
      <alignment horizontal="right" vertical="center"/>
    </xf>
    <xf numFmtId="248" fontId="46" fillId="0" borderId="4525"/>
    <xf numFmtId="0" fontId="12" fillId="0" borderId="4525" applyNumberFormat="0" applyFill="0" applyBorder="0" applyAlignment="0" applyProtection="0">
      <alignment horizontal="center"/>
    </xf>
    <xf numFmtId="0" fontId="113" fillId="0" borderId="4525" applyNumberFormat="0" applyFill="0" applyAlignment="0" applyProtection="0"/>
    <xf numFmtId="222" fontId="79" fillId="0" borderId="4524" applyBorder="0"/>
    <xf numFmtId="0" fontId="101" fillId="0" borderId="4525" applyBorder="0"/>
    <xf numFmtId="246" fontId="250" fillId="0" borderId="4525" applyFill="0" applyProtection="0">
      <alignment horizontal="center"/>
    </xf>
    <xf numFmtId="246" fontId="249" fillId="0" borderId="4525" applyFill="0" applyProtection="0">
      <alignment horizontal="center"/>
    </xf>
    <xf numFmtId="0" fontId="241" fillId="94" borderId="4525" applyBorder="0" applyProtection="0">
      <alignment horizontal="centerContinuous" vertical="center"/>
    </xf>
    <xf numFmtId="254" fontId="240" fillId="0" borderId="4525" applyBorder="0" applyProtection="0">
      <alignment horizontal="right" vertical="center"/>
    </xf>
    <xf numFmtId="0" fontId="210" fillId="0" borderId="4525" applyNumberFormat="0" applyFill="0" applyBorder="0" applyAlignment="0">
      <protection locked="0"/>
    </xf>
    <xf numFmtId="264" fontId="12" fillId="14" borderId="4525" applyFont="0" applyFill="0" applyBorder="0" applyAlignment="0" applyProtection="0">
      <alignment horizontal="right"/>
    </xf>
    <xf numFmtId="0" fontId="166" fillId="0" borderId="4525">
      <alignment horizontal="center"/>
    </xf>
    <xf numFmtId="0" fontId="165" fillId="0" borderId="4525" applyFill="0" applyProtection="0">
      <alignment horizontal="center"/>
    </xf>
    <xf numFmtId="186" fontId="146" fillId="3" borderId="4525" applyBorder="0">
      <alignment horizontal="left" vertical="center"/>
    </xf>
    <xf numFmtId="180" fontId="9" fillId="3" borderId="4525">
      <alignment horizontal="right" vertical="center"/>
    </xf>
    <xf numFmtId="192" fontId="9" fillId="3" borderId="4525">
      <alignment horizontal="right" vertical="center"/>
    </xf>
    <xf numFmtId="0" fontId="12" fillId="0" borderId="4525" applyNumberFormat="0" applyFill="0" applyBorder="0" applyAlignment="0" applyProtection="0">
      <alignment horizontal="center"/>
    </xf>
    <xf numFmtId="0" fontId="113" fillId="0" borderId="4525" applyNumberFormat="0" applyFill="0" applyAlignment="0" applyProtection="0"/>
    <xf numFmtId="222" fontId="79" fillId="0" borderId="4524" applyBorder="0"/>
    <xf numFmtId="0" fontId="101" fillId="0" borderId="4525" applyBorder="0"/>
    <xf numFmtId="248" fontId="46" fillId="0" borderId="4525"/>
    <xf numFmtId="246" fontId="250" fillId="0" borderId="4525" applyFill="0" applyProtection="0">
      <alignment horizontal="center"/>
    </xf>
    <xf numFmtId="246" fontId="249" fillId="0" borderId="4525" applyFill="0" applyProtection="0">
      <alignment horizontal="center"/>
    </xf>
    <xf numFmtId="0" fontId="241" fillId="94" borderId="4525" applyBorder="0" applyProtection="0">
      <alignment horizontal="centerContinuous" vertical="center"/>
    </xf>
    <xf numFmtId="254" fontId="240" fillId="0" borderId="4525" applyBorder="0" applyProtection="0">
      <alignment horizontal="right" vertical="center"/>
    </xf>
    <xf numFmtId="0" fontId="210" fillId="0" borderId="4525" applyNumberFormat="0" applyFill="0" applyBorder="0" applyAlignment="0">
      <protection locked="0"/>
    </xf>
    <xf numFmtId="264" fontId="12" fillId="14" borderId="4525" applyFont="0" applyFill="0" applyBorder="0" applyAlignment="0" applyProtection="0">
      <alignment horizontal="right"/>
    </xf>
    <xf numFmtId="0" fontId="166" fillId="0" borderId="4525">
      <alignment horizontal="center"/>
    </xf>
    <xf numFmtId="0" fontId="165" fillId="0" borderId="4525" applyFill="0" applyProtection="0">
      <alignment horizontal="center"/>
    </xf>
    <xf numFmtId="186" fontId="146" fillId="3" borderId="4525" applyBorder="0">
      <alignment horizontal="left" vertical="center"/>
    </xf>
    <xf numFmtId="180" fontId="9" fillId="3" borderId="4525">
      <alignment horizontal="right" vertical="center"/>
    </xf>
    <xf numFmtId="192" fontId="9" fillId="3" borderId="4525">
      <alignment horizontal="right" vertical="center"/>
    </xf>
    <xf numFmtId="248" fontId="46" fillId="0" borderId="4525"/>
    <xf numFmtId="0" fontId="12" fillId="0" borderId="4525" applyNumberFormat="0" applyFill="0" applyBorder="0" applyAlignment="0" applyProtection="0">
      <alignment horizontal="center"/>
    </xf>
    <xf numFmtId="0" fontId="113" fillId="0" borderId="4525" applyNumberFormat="0" applyFill="0" applyAlignment="0" applyProtection="0"/>
    <xf numFmtId="222" fontId="79" fillId="0" borderId="4524" applyBorder="0"/>
    <xf numFmtId="0" fontId="101" fillId="0" borderId="4525" applyBorder="0"/>
    <xf numFmtId="190" fontId="25" fillId="10" borderId="4592" applyNumberFormat="0" applyProtection="0">
      <alignment horizontal="left" vertical="top"/>
    </xf>
    <xf numFmtId="190" fontId="25" fillId="10" borderId="4593" applyNumberFormat="0" applyProtection="0">
      <alignment horizontal="left" vertical="top"/>
    </xf>
    <xf numFmtId="190" fontId="25" fillId="10" borderId="4594" applyNumberFormat="0" applyProtection="0">
      <alignment horizontal="left" vertical="top"/>
    </xf>
    <xf numFmtId="190" fontId="25" fillId="10" borderId="4595" applyNumberFormat="0" applyProtection="0">
      <alignment horizontal="left" vertical="top"/>
    </xf>
    <xf numFmtId="190" fontId="241" fillId="94" borderId="4609" applyBorder="0" applyProtection="0">
      <alignment horizontal="centerContinuous" vertical="center"/>
    </xf>
    <xf numFmtId="222" fontId="79" fillId="0" borderId="4608" applyBorder="0"/>
    <xf numFmtId="0" fontId="101" fillId="0" borderId="4609" applyBorder="0"/>
    <xf numFmtId="222" fontId="79" fillId="0" borderId="4608" applyBorder="0"/>
    <xf numFmtId="0" fontId="113" fillId="0" borderId="4609" applyNumberFormat="0" applyFill="0" applyAlignment="0" applyProtection="0"/>
    <xf numFmtId="0" fontId="75" fillId="0" borderId="4586" applyNumberFormat="0" applyFont="0" applyFill="0" applyAlignment="0" applyProtection="0"/>
    <xf numFmtId="0" fontId="12" fillId="0" borderId="4609" applyNumberFormat="0" applyFill="0" applyBorder="0" applyAlignment="0" applyProtection="0">
      <alignment horizontal="center"/>
    </xf>
    <xf numFmtId="248" fontId="46" fillId="0" borderId="4609"/>
    <xf numFmtId="192" fontId="9" fillId="3" borderId="4609">
      <alignment horizontal="right" vertical="center"/>
    </xf>
    <xf numFmtId="180" fontId="9" fillId="3" borderId="4609">
      <alignment horizontal="right" vertical="center"/>
    </xf>
    <xf numFmtId="186" fontId="146" fillId="3" borderId="4609" applyBorder="0">
      <alignment horizontal="left" vertical="center"/>
    </xf>
    <xf numFmtId="186" fontId="146" fillId="3" borderId="4588">
      <alignment horizontal="left"/>
    </xf>
    <xf numFmtId="186" fontId="140" fillId="3" borderId="4589">
      <alignment horizontal="center" vertical="center"/>
    </xf>
    <xf numFmtId="0" fontId="165" fillId="0" borderId="4609" applyFill="0" applyProtection="0">
      <alignment horizontal="center"/>
    </xf>
    <xf numFmtId="0" fontId="166" fillId="0" borderId="4609">
      <alignment horizontal="center"/>
    </xf>
    <xf numFmtId="264" fontId="12" fillId="14" borderId="4609" applyFont="0" applyFill="0" applyBorder="0" applyAlignment="0" applyProtection="0">
      <alignment horizontal="right"/>
    </xf>
    <xf numFmtId="0" fontId="210" fillId="0" borderId="4609" applyNumberFormat="0" applyFill="0" applyBorder="0" applyAlignment="0">
      <protection locked="0"/>
    </xf>
    <xf numFmtId="0" fontId="2" fillId="0" borderId="4590" applyNumberFormat="0" applyAlignment="0" applyProtection="0"/>
    <xf numFmtId="0" fontId="214" fillId="0" borderId="4591" applyNumberFormat="0" applyFont="0" applyFill="0" applyAlignment="0" applyProtection="0"/>
    <xf numFmtId="0" fontId="25" fillId="10" borderId="4592" applyNumberFormat="0" applyProtection="0">
      <alignment horizontal="left" vertical="top"/>
    </xf>
    <xf numFmtId="0" fontId="25" fillId="10" borderId="4593" applyNumberFormat="0" applyProtection="0">
      <alignment horizontal="left" vertical="top"/>
    </xf>
    <xf numFmtId="0" fontId="25" fillId="10" borderId="4594" applyNumberFormat="0" applyProtection="0">
      <alignment horizontal="left" vertical="top"/>
    </xf>
    <xf numFmtId="0" fontId="25" fillId="10" borderId="4595" applyNumberFormat="0" applyProtection="0">
      <alignment horizontal="left" vertical="top"/>
    </xf>
    <xf numFmtId="0" fontId="25" fillId="10" borderId="4592" applyNumberFormat="0" applyProtection="0">
      <alignment horizontal="left" vertical="top"/>
    </xf>
    <xf numFmtId="0" fontId="25" fillId="10" borderId="4593" applyNumberFormat="0" applyProtection="0">
      <alignment horizontal="left" vertical="top"/>
    </xf>
    <xf numFmtId="0" fontId="25" fillId="10" borderId="4594" applyNumberFormat="0" applyProtection="0">
      <alignment horizontal="left" vertical="top"/>
    </xf>
    <xf numFmtId="0" fontId="25" fillId="10" borderId="4595" applyNumberFormat="0" applyProtection="0">
      <alignment horizontal="left" vertical="top"/>
    </xf>
    <xf numFmtId="254" fontId="240" fillId="0" borderId="4609" applyBorder="0" applyProtection="0">
      <alignment horizontal="right" vertical="center"/>
    </xf>
    <xf numFmtId="0" fontId="241" fillId="94" borderId="4609" applyBorder="0" applyProtection="0">
      <alignment horizontal="centerContinuous" vertical="center"/>
    </xf>
    <xf numFmtId="246" fontId="249" fillId="0" borderId="4609" applyFill="0" applyProtection="0">
      <alignment horizontal="center"/>
    </xf>
    <xf numFmtId="246" fontId="250" fillId="0" borderId="4609" applyFill="0" applyProtection="0">
      <alignment horizontal="center"/>
    </xf>
    <xf numFmtId="312" fontId="101" fillId="0" borderId="4609" applyBorder="0"/>
    <xf numFmtId="312" fontId="113" fillId="0" borderId="4609" applyNumberFormat="0" applyFill="0" applyAlignment="0" applyProtection="0"/>
    <xf numFmtId="312" fontId="75" fillId="0" borderId="4586" applyNumberFormat="0" applyFont="0" applyFill="0" applyAlignment="0" applyProtection="0"/>
    <xf numFmtId="312" fontId="12" fillId="0" borderId="4609" applyNumberFormat="0" applyFill="0" applyBorder="0" applyAlignment="0" applyProtection="0">
      <alignment horizontal="center"/>
    </xf>
    <xf numFmtId="312" fontId="78" fillId="14" borderId="4418" applyFont="0" applyFill="0" applyBorder="0" applyAlignment="0" applyProtection="0"/>
    <xf numFmtId="312" fontId="165" fillId="0" borderId="4609" applyFill="0" applyProtection="0">
      <alignment horizontal="center"/>
    </xf>
    <xf numFmtId="312" fontId="242" fillId="0" borderId="4609">
      <alignment horizontal="center"/>
    </xf>
    <xf numFmtId="312" fontId="210" fillId="0" borderId="4609" applyNumberFormat="0" applyFill="0" applyBorder="0" applyAlignment="0">
      <protection locked="0"/>
    </xf>
    <xf numFmtId="312" fontId="2" fillId="0" borderId="4590" applyNumberFormat="0" applyAlignment="0" applyProtection="0"/>
    <xf numFmtId="312" fontId="214" fillId="0" borderId="4591" applyNumberFormat="0" applyFont="0" applyFill="0" applyAlignment="0" applyProtection="0"/>
    <xf numFmtId="312" fontId="25" fillId="10" borderId="4592" applyNumberFormat="0" applyProtection="0">
      <alignment horizontal="left" vertical="top"/>
    </xf>
    <xf numFmtId="312" fontId="25" fillId="10" borderId="4593" applyNumberFormat="0" applyProtection="0">
      <alignment horizontal="left" vertical="top"/>
    </xf>
    <xf numFmtId="312" fontId="25" fillId="10" borderId="4594" applyNumberFormat="0" applyProtection="0">
      <alignment horizontal="left" vertical="top"/>
    </xf>
    <xf numFmtId="312" fontId="25" fillId="10" borderId="4595" applyNumberFormat="0" applyProtection="0">
      <alignment horizontal="left" vertical="top"/>
    </xf>
    <xf numFmtId="312" fontId="241" fillId="94" borderId="4609" applyBorder="0" applyProtection="0">
      <alignment horizontal="centerContinuous" vertical="center"/>
    </xf>
    <xf numFmtId="246" fontId="296" fillId="0" borderId="4609" applyFill="0" applyProtection="0">
      <alignment horizontal="center"/>
    </xf>
    <xf numFmtId="312" fontId="101" fillId="0" borderId="4609" applyBorder="0"/>
    <xf numFmtId="312" fontId="113" fillId="0" borderId="4609" applyNumberFormat="0" applyFill="0" applyAlignment="0" applyProtection="0"/>
    <xf numFmtId="312" fontId="75" fillId="0" borderId="4586" applyNumberFormat="0" applyFont="0" applyFill="0" applyAlignment="0" applyProtection="0"/>
    <xf numFmtId="312" fontId="12" fillId="0" borderId="4609" applyNumberFormat="0" applyFill="0" applyBorder="0" applyAlignment="0" applyProtection="0">
      <alignment horizontal="center"/>
    </xf>
    <xf numFmtId="312" fontId="78" fillId="14" borderId="4418" applyFont="0" applyFill="0" applyBorder="0" applyAlignment="0" applyProtection="0"/>
    <xf numFmtId="312" fontId="165" fillId="0" borderId="4609" applyFill="0" applyProtection="0">
      <alignment horizontal="center"/>
    </xf>
    <xf numFmtId="312" fontId="242" fillId="0" borderId="4609">
      <alignment horizontal="center"/>
    </xf>
    <xf numFmtId="312" fontId="210" fillId="0" borderId="4609" applyNumberFormat="0" applyFill="0" applyBorder="0" applyAlignment="0">
      <protection locked="0"/>
    </xf>
    <xf numFmtId="312" fontId="2" fillId="0" borderId="4590" applyNumberFormat="0" applyAlignment="0" applyProtection="0"/>
    <xf numFmtId="312" fontId="214" fillId="0" borderId="4591" applyNumberFormat="0" applyFont="0" applyFill="0" applyAlignment="0" applyProtection="0"/>
    <xf numFmtId="312" fontId="25" fillId="10" borderId="4592" applyNumberFormat="0" applyProtection="0">
      <alignment horizontal="left" vertical="top"/>
    </xf>
    <xf numFmtId="312" fontId="25" fillId="10" borderId="4593" applyNumberFormat="0" applyProtection="0">
      <alignment horizontal="left" vertical="top"/>
    </xf>
    <xf numFmtId="312" fontId="25" fillId="10" borderId="4594" applyNumberFormat="0" applyProtection="0">
      <alignment horizontal="left" vertical="top"/>
    </xf>
    <xf numFmtId="312" fontId="25" fillId="10" borderId="4595" applyNumberFormat="0" applyProtection="0">
      <alignment horizontal="left" vertical="top"/>
    </xf>
    <xf numFmtId="312" fontId="25" fillId="10" borderId="4592" applyNumberFormat="0" applyProtection="0">
      <alignment horizontal="left" vertical="top"/>
    </xf>
    <xf numFmtId="312" fontId="25" fillId="10" borderId="4593" applyNumberFormat="0" applyProtection="0">
      <alignment horizontal="left" vertical="top"/>
    </xf>
    <xf numFmtId="312" fontId="25" fillId="10" borderId="4594" applyNumberFormat="0" applyProtection="0">
      <alignment horizontal="left" vertical="top"/>
    </xf>
    <xf numFmtId="312" fontId="25" fillId="10" borderId="4595" applyNumberFormat="0" applyProtection="0">
      <alignment horizontal="left" vertical="top"/>
    </xf>
    <xf numFmtId="312" fontId="241" fillId="94" borderId="4609" applyBorder="0" applyProtection="0">
      <alignment horizontal="centerContinuous" vertical="center"/>
    </xf>
    <xf numFmtId="246" fontId="296" fillId="0" borderId="4609" applyFill="0" applyProtection="0">
      <alignment horizontal="center"/>
    </xf>
    <xf numFmtId="246" fontId="250" fillId="0" borderId="4609" applyFill="0" applyProtection="0">
      <alignment horizontal="center"/>
    </xf>
    <xf numFmtId="246" fontId="249" fillId="0" borderId="4609" applyFill="0" applyProtection="0">
      <alignment horizontal="center"/>
    </xf>
    <xf numFmtId="0" fontId="241" fillId="94" borderId="4609" applyBorder="0" applyProtection="0">
      <alignment horizontal="centerContinuous" vertical="center"/>
    </xf>
    <xf numFmtId="254" fontId="240" fillId="0" borderId="4609" applyBorder="0" applyProtection="0">
      <alignment horizontal="right" vertical="center"/>
    </xf>
    <xf numFmtId="0" fontId="25" fillId="10" borderId="4547" applyNumberFormat="0" applyProtection="0">
      <alignment horizontal="left" vertical="top"/>
    </xf>
    <xf numFmtId="0" fontId="25" fillId="10" borderId="4546" applyNumberFormat="0" applyProtection="0">
      <alignment horizontal="left" vertical="top"/>
    </xf>
    <xf numFmtId="0" fontId="25" fillId="10" borderId="4545" applyNumberFormat="0" applyProtection="0">
      <alignment horizontal="left" vertical="top"/>
    </xf>
    <xf numFmtId="0" fontId="25" fillId="10" borderId="4544" applyNumberFormat="0" applyProtection="0">
      <alignment horizontal="left" vertical="top"/>
    </xf>
    <xf numFmtId="0" fontId="214" fillId="0" borderId="4543" applyNumberFormat="0" applyFont="0" applyFill="0" applyAlignment="0" applyProtection="0"/>
    <xf numFmtId="0" fontId="2" fillId="0" borderId="4542" applyNumberFormat="0" applyAlignment="0" applyProtection="0"/>
    <xf numFmtId="0" fontId="210" fillId="0" borderId="4609" applyNumberFormat="0" applyFill="0" applyBorder="0" applyAlignment="0">
      <protection locked="0"/>
    </xf>
    <xf numFmtId="264" fontId="12" fillId="14" borderId="4609" applyFont="0" applyFill="0" applyBorder="0" applyAlignment="0" applyProtection="0">
      <alignment horizontal="right"/>
    </xf>
    <xf numFmtId="0" fontId="166" fillId="0" borderId="4609">
      <alignment horizontal="center"/>
    </xf>
    <xf numFmtId="0" fontId="165" fillId="0" borderId="4609" applyFill="0" applyProtection="0">
      <alignment horizontal="center"/>
    </xf>
    <xf numFmtId="186" fontId="140" fillId="3" borderId="4541">
      <alignment horizontal="center" vertical="center"/>
    </xf>
    <xf numFmtId="186" fontId="146" fillId="3" borderId="4540">
      <alignment horizontal="left"/>
    </xf>
    <xf numFmtId="186" fontId="146" fillId="3" borderId="4609" applyBorder="0">
      <alignment horizontal="left" vertical="center"/>
    </xf>
    <xf numFmtId="180" fontId="9" fillId="3" borderId="4609">
      <alignment horizontal="right" vertical="center"/>
    </xf>
    <xf numFmtId="192" fontId="9" fillId="3" borderId="4609">
      <alignment horizontal="right" vertical="center"/>
    </xf>
    <xf numFmtId="248" fontId="46" fillId="0" borderId="4609"/>
    <xf numFmtId="0" fontId="78" fillId="14" borderId="4539" applyFont="0" applyFill="0" applyBorder="0" applyAlignment="0" applyProtection="0"/>
    <xf numFmtId="0" fontId="12" fillId="0" borderId="4609" applyNumberFormat="0" applyFill="0" applyBorder="0" applyAlignment="0" applyProtection="0">
      <alignment horizontal="center"/>
    </xf>
    <xf numFmtId="0" fontId="75" fillId="0" borderId="4538" applyNumberFormat="0" applyFont="0" applyFill="0" applyAlignment="0" applyProtection="0"/>
    <xf numFmtId="0" fontId="113" fillId="0" borderId="4609" applyNumberFormat="0" applyFill="0" applyAlignment="0" applyProtection="0"/>
    <xf numFmtId="222" fontId="79" fillId="0" borderId="4608" applyBorder="0"/>
    <xf numFmtId="0" fontId="101" fillId="0" borderId="4609" applyBorder="0"/>
    <xf numFmtId="0" fontId="25" fillId="10" borderId="4616" applyNumberFormat="0" applyProtection="0">
      <alignment horizontal="left" vertical="top"/>
    </xf>
    <xf numFmtId="0" fontId="25" fillId="10" borderId="4617" applyNumberFormat="0" applyProtection="0">
      <alignment horizontal="left" vertical="top"/>
    </xf>
    <xf numFmtId="0" fontId="25" fillId="10" borderId="4618" applyNumberFormat="0" applyProtection="0">
      <alignment horizontal="left" vertical="top"/>
    </xf>
    <xf numFmtId="0" fontId="25" fillId="10" borderId="4619" applyNumberFormat="0" applyProtection="0">
      <alignment horizontal="left" vertical="top"/>
    </xf>
    <xf numFmtId="246" fontId="250" fillId="0" borderId="4549" applyFill="0" applyProtection="0">
      <alignment horizontal="center"/>
    </xf>
    <xf numFmtId="246" fontId="249" fillId="0" borderId="4549" applyFill="0" applyProtection="0">
      <alignment horizontal="center"/>
    </xf>
    <xf numFmtId="0" fontId="241" fillId="94" borderId="4549" applyBorder="0" applyProtection="0">
      <alignment horizontal="centerContinuous" vertical="center"/>
    </xf>
    <xf numFmtId="254" fontId="240" fillId="0" borderId="4549" applyBorder="0" applyProtection="0">
      <alignment horizontal="right" vertical="center"/>
    </xf>
    <xf numFmtId="0" fontId="210" fillId="0" borderId="4549" applyNumberFormat="0" applyFill="0" applyBorder="0" applyAlignment="0">
      <protection locked="0"/>
    </xf>
    <xf numFmtId="264" fontId="12" fillId="14" borderId="4549" applyFont="0" applyFill="0" applyBorder="0" applyAlignment="0" applyProtection="0">
      <alignment horizontal="right"/>
    </xf>
    <xf numFmtId="0" fontId="166" fillId="0" borderId="4549">
      <alignment horizontal="center"/>
    </xf>
    <xf numFmtId="0" fontId="165" fillId="0" borderId="4549" applyFill="0" applyProtection="0">
      <alignment horizontal="center"/>
    </xf>
    <xf numFmtId="186" fontId="146" fillId="3" borderId="4549" applyBorder="0">
      <alignment horizontal="left" vertical="center"/>
    </xf>
    <xf numFmtId="180" fontId="9" fillId="3" borderId="4549">
      <alignment horizontal="right" vertical="center"/>
    </xf>
    <xf numFmtId="192" fontId="9" fillId="3" borderId="4549">
      <alignment horizontal="right" vertical="center"/>
    </xf>
    <xf numFmtId="248" fontId="46" fillId="0" borderId="4549"/>
    <xf numFmtId="0" fontId="12" fillId="0" borderId="4549" applyNumberFormat="0" applyFill="0" applyBorder="0" applyAlignment="0" applyProtection="0">
      <alignment horizontal="center"/>
    </xf>
    <xf numFmtId="0" fontId="113" fillId="0" borderId="4549" applyNumberFormat="0" applyFill="0" applyAlignment="0" applyProtection="0"/>
    <xf numFmtId="222" fontId="79" fillId="0" borderId="4427" applyBorder="0"/>
    <xf numFmtId="0" fontId="101" fillId="0" borderId="4549" applyBorder="0"/>
    <xf numFmtId="246" fontId="250" fillId="0" borderId="4549" applyFill="0" applyProtection="0">
      <alignment horizontal="center"/>
    </xf>
    <xf numFmtId="246" fontId="249" fillId="0" borderId="4549" applyFill="0" applyProtection="0">
      <alignment horizontal="center"/>
    </xf>
    <xf numFmtId="0" fontId="241" fillId="94" borderId="4549" applyBorder="0" applyProtection="0">
      <alignment horizontal="centerContinuous" vertical="center"/>
    </xf>
    <xf numFmtId="254" fontId="240" fillId="0" borderId="4549" applyBorder="0" applyProtection="0">
      <alignment horizontal="right" vertical="center"/>
    </xf>
    <xf numFmtId="0" fontId="210" fillId="0" borderId="4549" applyNumberFormat="0" applyFill="0" applyBorder="0" applyAlignment="0">
      <protection locked="0"/>
    </xf>
    <xf numFmtId="264" fontId="12" fillId="14" borderId="4549" applyFont="0" applyFill="0" applyBorder="0" applyAlignment="0" applyProtection="0">
      <alignment horizontal="right"/>
    </xf>
    <xf numFmtId="0" fontId="166" fillId="0" borderId="4549">
      <alignment horizontal="center"/>
    </xf>
    <xf numFmtId="0" fontId="165" fillId="0" borderId="4549" applyFill="0" applyProtection="0">
      <alignment horizontal="center"/>
    </xf>
    <xf numFmtId="186" fontId="146" fillId="3" borderId="4549" applyBorder="0">
      <alignment horizontal="left" vertical="center"/>
    </xf>
    <xf numFmtId="180" fontId="9" fillId="3" borderId="4549">
      <alignment horizontal="right" vertical="center"/>
    </xf>
    <xf numFmtId="192" fontId="9" fillId="3" borderId="4549">
      <alignment horizontal="right" vertical="center"/>
    </xf>
    <xf numFmtId="0" fontId="12" fillId="0" borderId="4549" applyNumberFormat="0" applyFill="0" applyBorder="0" applyAlignment="0" applyProtection="0">
      <alignment horizontal="center"/>
    </xf>
    <xf numFmtId="0" fontId="113" fillId="0" borderId="4549" applyNumberFormat="0" applyFill="0" applyAlignment="0" applyProtection="0"/>
    <xf numFmtId="222" fontId="79" fillId="0" borderId="4427" applyBorder="0"/>
    <xf numFmtId="0" fontId="101" fillId="0" borderId="4549" applyBorder="0"/>
    <xf numFmtId="248" fontId="46" fillId="0" borderId="4549"/>
    <xf numFmtId="246" fontId="250" fillId="0" borderId="4549" applyFill="0" applyProtection="0">
      <alignment horizontal="center"/>
    </xf>
    <xf numFmtId="246" fontId="249" fillId="0" borderId="4549" applyFill="0" applyProtection="0">
      <alignment horizontal="center"/>
    </xf>
    <xf numFmtId="0" fontId="241" fillId="94" borderId="4549" applyBorder="0" applyProtection="0">
      <alignment horizontal="centerContinuous" vertical="center"/>
    </xf>
    <xf numFmtId="254" fontId="240" fillId="0" borderId="4549" applyBorder="0" applyProtection="0">
      <alignment horizontal="right" vertical="center"/>
    </xf>
    <xf numFmtId="0" fontId="210" fillId="0" borderId="4549" applyNumberFormat="0" applyFill="0" applyBorder="0" applyAlignment="0">
      <protection locked="0"/>
    </xf>
    <xf numFmtId="264" fontId="12" fillId="14" borderId="4549" applyFont="0" applyFill="0" applyBorder="0" applyAlignment="0" applyProtection="0">
      <alignment horizontal="right"/>
    </xf>
    <xf numFmtId="0" fontId="166" fillId="0" borderId="4549">
      <alignment horizontal="center"/>
    </xf>
    <xf numFmtId="0" fontId="165" fillId="0" borderId="4549" applyFill="0" applyProtection="0">
      <alignment horizontal="center"/>
    </xf>
    <xf numFmtId="186" fontId="146" fillId="3" borderId="4549" applyBorder="0">
      <alignment horizontal="left" vertical="center"/>
    </xf>
    <xf numFmtId="180" fontId="9" fillId="3" borderId="4549">
      <alignment horizontal="right" vertical="center"/>
    </xf>
    <xf numFmtId="192" fontId="9" fillId="3" borderId="4549">
      <alignment horizontal="right" vertical="center"/>
    </xf>
    <xf numFmtId="248" fontId="46" fillId="0" borderId="4549"/>
    <xf numFmtId="0" fontId="12" fillId="0" borderId="4549" applyNumberFormat="0" applyFill="0" applyBorder="0" applyAlignment="0" applyProtection="0">
      <alignment horizontal="center"/>
    </xf>
    <xf numFmtId="0" fontId="113" fillId="0" borderId="4549" applyNumberFormat="0" applyFill="0" applyAlignment="0" applyProtection="0"/>
    <xf numFmtId="222" fontId="79" fillId="0" borderId="4427" applyBorder="0"/>
    <xf numFmtId="0" fontId="101" fillId="0" borderId="4549" applyBorder="0"/>
    <xf numFmtId="222" fontId="79" fillId="0" borderId="4620" applyBorder="0"/>
    <xf numFmtId="0" fontId="101" fillId="0" borderId="4621" applyBorder="0"/>
    <xf numFmtId="222" fontId="79" fillId="0" borderId="4620" applyBorder="0"/>
    <xf numFmtId="0" fontId="113" fillId="0" borderId="4621" applyNumberFormat="0" applyFill="0" applyAlignment="0" applyProtection="0"/>
    <xf numFmtId="0" fontId="12" fillId="0" borderId="4621" applyNumberFormat="0" applyFill="0" applyBorder="0" applyAlignment="0" applyProtection="0">
      <alignment horizontal="center"/>
    </xf>
    <xf numFmtId="248" fontId="46" fillId="0" borderId="4621"/>
    <xf numFmtId="192" fontId="9" fillId="3" borderId="4621">
      <alignment horizontal="right" vertical="center"/>
    </xf>
    <xf numFmtId="180" fontId="9" fillId="3" borderId="4621">
      <alignment horizontal="right" vertical="center"/>
    </xf>
    <xf numFmtId="186" fontId="146" fillId="3" borderId="4621" applyBorder="0">
      <alignment horizontal="left" vertical="center"/>
    </xf>
    <xf numFmtId="0" fontId="165" fillId="0" borderId="4621" applyFill="0" applyProtection="0">
      <alignment horizontal="center"/>
    </xf>
    <xf numFmtId="0" fontId="166" fillId="0" borderId="4621">
      <alignment horizontal="center"/>
    </xf>
    <xf numFmtId="264" fontId="12" fillId="14" borderId="4621" applyFont="0" applyFill="0" applyBorder="0" applyAlignment="0" applyProtection="0">
      <alignment horizontal="right"/>
    </xf>
    <xf numFmtId="0" fontId="210" fillId="0" borderId="4621" applyNumberFormat="0" applyFill="0" applyBorder="0" applyAlignment="0">
      <protection locked="0"/>
    </xf>
    <xf numFmtId="254" fontId="240" fillId="0" borderId="4621" applyBorder="0" applyProtection="0">
      <alignment horizontal="right" vertical="center"/>
    </xf>
    <xf numFmtId="0" fontId="241" fillId="94" borderId="4621" applyBorder="0" applyProtection="0">
      <alignment horizontal="centerContinuous" vertical="center"/>
    </xf>
    <xf numFmtId="246" fontId="249" fillId="0" borderId="4621" applyFill="0" applyProtection="0">
      <alignment horizontal="center"/>
    </xf>
    <xf numFmtId="246" fontId="250" fillId="0" borderId="4621" applyFill="0" applyProtection="0">
      <alignment horizontal="center"/>
    </xf>
    <xf numFmtId="0" fontId="78" fillId="14" borderId="4623" applyFont="0" applyFill="0" applyBorder="0" applyAlignment="0" applyProtection="0"/>
    <xf numFmtId="0" fontId="25" fillId="10" borderId="4631" applyNumberFormat="0" applyProtection="0">
      <alignment horizontal="left" vertical="top"/>
    </xf>
    <xf numFmtId="0" fontId="25" fillId="10" borderId="4630" applyNumberFormat="0" applyProtection="0">
      <alignment horizontal="left" vertical="top"/>
    </xf>
    <xf numFmtId="0" fontId="25" fillId="10" borderId="4629" applyNumberFormat="0" applyProtection="0">
      <alignment horizontal="left" vertical="top"/>
    </xf>
    <xf numFmtId="0" fontId="25" fillId="10" borderId="4628" applyNumberFormat="0" applyProtection="0">
      <alignment horizontal="left" vertical="top"/>
    </xf>
    <xf numFmtId="0" fontId="214" fillId="0" borderId="4627" applyNumberFormat="0" applyFont="0" applyFill="0" applyAlignment="0" applyProtection="0"/>
    <xf numFmtId="0" fontId="2" fillId="0" borderId="4626" applyNumberFormat="0" applyAlignment="0" applyProtection="0"/>
    <xf numFmtId="186" fontId="140" fillId="3" borderId="4625">
      <alignment horizontal="center" vertical="center"/>
    </xf>
    <xf numFmtId="186" fontId="146" fillId="3" borderId="4624">
      <alignment horizontal="left"/>
    </xf>
    <xf numFmtId="0" fontId="75" fillId="0" borderId="4622" applyNumberFormat="0" applyFont="0" applyFill="0" applyAlignment="0" applyProtection="0"/>
    <xf numFmtId="222" fontId="79" fillId="0" borderId="4632" applyBorder="0"/>
    <xf numFmtId="0" fontId="101" fillId="0" borderId="4633" applyBorder="0"/>
    <xf numFmtId="222" fontId="79" fillId="0" borderId="4632" applyBorder="0"/>
    <xf numFmtId="0" fontId="113" fillId="0" borderId="4633" applyNumberFormat="0" applyFill="0" applyAlignment="0" applyProtection="0"/>
    <xf numFmtId="0" fontId="12" fillId="0" borderId="4633" applyNumberFormat="0" applyFill="0" applyBorder="0" applyAlignment="0" applyProtection="0">
      <alignment horizontal="center"/>
    </xf>
    <xf numFmtId="248" fontId="46" fillId="0" borderId="4633"/>
    <xf numFmtId="192" fontId="9" fillId="3" borderId="4633">
      <alignment horizontal="right" vertical="center"/>
    </xf>
    <xf numFmtId="180" fontId="9" fillId="3" borderId="4633">
      <alignment horizontal="right" vertical="center"/>
    </xf>
    <xf numFmtId="186" fontId="146" fillId="3" borderId="4633" applyBorder="0">
      <alignment horizontal="left" vertical="center"/>
    </xf>
    <xf numFmtId="0" fontId="165" fillId="0" borderId="4633" applyFill="0" applyProtection="0">
      <alignment horizontal="center"/>
    </xf>
    <xf numFmtId="0" fontId="166" fillId="0" borderId="4633">
      <alignment horizontal="center"/>
    </xf>
    <xf numFmtId="264" fontId="12" fillId="14" borderId="4633" applyFont="0" applyFill="0" applyBorder="0" applyAlignment="0" applyProtection="0">
      <alignment horizontal="right"/>
    </xf>
    <xf numFmtId="0" fontId="210" fillId="0" borderId="4633" applyNumberFormat="0" applyFill="0" applyBorder="0" applyAlignment="0">
      <protection locked="0"/>
    </xf>
    <xf numFmtId="254" fontId="240" fillId="0" borderId="4633" applyBorder="0" applyProtection="0">
      <alignment horizontal="right" vertical="center"/>
    </xf>
    <xf numFmtId="0" fontId="241" fillId="94" borderId="4633" applyBorder="0" applyProtection="0">
      <alignment horizontal="centerContinuous" vertical="center"/>
    </xf>
    <xf numFmtId="246" fontId="249" fillId="0" borderId="4633" applyFill="0" applyProtection="0">
      <alignment horizontal="center"/>
    </xf>
    <xf numFmtId="246" fontId="250" fillId="0" borderId="4633" applyFill="0" applyProtection="0">
      <alignment horizontal="center"/>
    </xf>
    <xf numFmtId="186" fontId="146" fillId="3" borderId="4636">
      <alignment horizontal="left"/>
    </xf>
    <xf numFmtId="0" fontId="75" fillId="0" borderId="4634" applyNumberFormat="0" applyFont="0" applyFill="0" applyAlignment="0" applyProtection="0"/>
    <xf numFmtId="0" fontId="113" fillId="0" borderId="4717" applyNumberFormat="0" applyFill="0" applyAlignment="0" applyProtection="0"/>
    <xf numFmtId="264" fontId="12" fillId="14" borderId="4717" applyFont="0" applyFill="0" applyBorder="0" applyAlignment="0" applyProtection="0">
      <alignment horizontal="right"/>
    </xf>
    <xf numFmtId="246" fontId="249" fillId="0" borderId="4717" applyFill="0" applyProtection="0">
      <alignment horizontal="center"/>
    </xf>
    <xf numFmtId="0" fontId="25" fillId="10" borderId="4643" applyNumberFormat="0" applyProtection="0">
      <alignment horizontal="left" vertical="top"/>
    </xf>
    <xf numFmtId="0" fontId="25" fillId="10" borderId="4641" applyNumberFormat="0" applyProtection="0">
      <alignment horizontal="left" vertical="top"/>
    </xf>
    <xf numFmtId="0" fontId="25" fillId="10" borderId="4642" applyNumberFormat="0" applyProtection="0">
      <alignment horizontal="left" vertical="top"/>
    </xf>
    <xf numFmtId="0" fontId="25" fillId="10" borderId="4640" applyNumberFormat="0" applyProtection="0">
      <alignment horizontal="left" vertical="top"/>
    </xf>
    <xf numFmtId="0" fontId="25" fillId="10" borderId="4643" applyNumberFormat="0" applyProtection="0">
      <alignment horizontal="left" vertical="top"/>
    </xf>
    <xf numFmtId="0" fontId="25" fillId="10" borderId="4642" applyNumberFormat="0" applyProtection="0">
      <alignment horizontal="left" vertical="top"/>
    </xf>
    <xf numFmtId="0" fontId="25" fillId="10" borderId="4641" applyNumberFormat="0" applyProtection="0">
      <alignment horizontal="left" vertical="top"/>
    </xf>
    <xf numFmtId="0" fontId="25" fillId="10" borderId="4640" applyNumberFormat="0" applyProtection="0">
      <alignment horizontal="left" vertical="top"/>
    </xf>
    <xf numFmtId="0" fontId="214" fillId="0" borderId="4639" applyNumberFormat="0" applyFont="0" applyFill="0" applyAlignment="0" applyProtection="0"/>
    <xf numFmtId="0" fontId="2" fillId="0" borderId="4638" applyNumberFormat="0" applyAlignment="0" applyProtection="0"/>
    <xf numFmtId="186" fontId="140" fillId="3" borderId="4637">
      <alignment horizontal="center" vertical="center"/>
    </xf>
    <xf numFmtId="186" fontId="140" fillId="3" borderId="4649">
      <alignment horizontal="center" vertical="center"/>
    </xf>
    <xf numFmtId="0" fontId="25" fillId="10" borderId="4652" applyNumberFormat="0" applyProtection="0">
      <alignment horizontal="left" vertical="top"/>
    </xf>
    <xf numFmtId="0" fontId="12" fillId="0" borderId="4717" applyNumberFormat="0" applyFill="0" applyBorder="0" applyAlignment="0" applyProtection="0">
      <alignment horizontal="center"/>
    </xf>
    <xf numFmtId="0" fontId="25" fillId="10" borderId="4714" applyNumberFormat="0" applyProtection="0">
      <alignment horizontal="left" vertical="top"/>
    </xf>
    <xf numFmtId="222" fontId="79" fillId="0" borderId="4704" applyBorder="0"/>
    <xf numFmtId="0" fontId="78" fillId="14" borderId="4707" applyFont="0" applyFill="0" applyBorder="0" applyAlignment="0" applyProtection="0"/>
    <xf numFmtId="222" fontId="79" fillId="0" borderId="4716" applyBorder="0"/>
    <xf numFmtId="0" fontId="101" fillId="0" borderId="4717" applyBorder="0"/>
    <xf numFmtId="222" fontId="79" fillId="0" borderId="4716" applyBorder="0"/>
    <xf numFmtId="248" fontId="46" fillId="0" borderId="4717"/>
    <xf numFmtId="192" fontId="9" fillId="3" borderId="4717">
      <alignment horizontal="right" vertical="center"/>
    </xf>
    <xf numFmtId="180" fontId="9" fillId="3" borderId="4717">
      <alignment horizontal="right" vertical="center"/>
    </xf>
    <xf numFmtId="186" fontId="146" fillId="3" borderId="4717" applyBorder="0">
      <alignment horizontal="left" vertical="center"/>
    </xf>
    <xf numFmtId="0" fontId="165" fillId="0" borderId="4717" applyFill="0" applyProtection="0">
      <alignment horizontal="center"/>
    </xf>
    <xf numFmtId="0" fontId="210" fillId="0" borderId="4717" applyNumberFormat="0" applyFill="0" applyBorder="0" applyAlignment="0">
      <protection locked="0"/>
    </xf>
    <xf numFmtId="254" fontId="240" fillId="0" borderId="4717" applyBorder="0" applyProtection="0">
      <alignment horizontal="right" vertical="center"/>
    </xf>
    <xf numFmtId="246" fontId="250" fillId="0" borderId="4717" applyFill="0" applyProtection="0">
      <alignment horizontal="center"/>
    </xf>
    <xf numFmtId="222" fontId="79" fillId="0" borderId="4656" applyBorder="0"/>
    <xf numFmtId="0" fontId="25" fillId="10" borderId="4653" applyNumberFormat="0" applyProtection="0">
      <alignment horizontal="left" vertical="top"/>
    </xf>
    <xf numFmtId="0" fontId="25" fillId="10" borderId="4655" applyNumberFormat="0" applyProtection="0">
      <alignment horizontal="left" vertical="top"/>
    </xf>
    <xf numFmtId="0" fontId="25" fillId="10" borderId="4652" applyNumberFormat="0" applyProtection="0">
      <alignment horizontal="left" vertical="top"/>
    </xf>
    <xf numFmtId="0" fontId="25" fillId="10" borderId="4653" applyNumberFormat="0" applyProtection="0">
      <alignment horizontal="left" vertical="top"/>
    </xf>
    <xf numFmtId="0" fontId="25" fillId="10" borderId="4654" applyNumberFormat="0" applyProtection="0">
      <alignment horizontal="left" vertical="top"/>
    </xf>
    <xf numFmtId="0" fontId="75" fillId="0" borderId="4658" applyNumberFormat="0" applyFont="0" applyFill="0" applyAlignment="0" applyProtection="0"/>
    <xf numFmtId="0" fontId="101" fillId="0" borderId="4669" applyBorder="0"/>
    <xf numFmtId="222" fontId="79" fillId="0" borderId="4668" applyBorder="0"/>
    <xf numFmtId="0" fontId="113" fillId="0" borderId="4669" applyNumberFormat="0" applyFill="0" applyAlignment="0" applyProtection="0"/>
    <xf numFmtId="0" fontId="12" fillId="0" borderId="4669" applyNumberFormat="0" applyFill="0" applyBorder="0" applyAlignment="0" applyProtection="0">
      <alignment horizontal="center"/>
    </xf>
    <xf numFmtId="248" fontId="46" fillId="0" borderId="4669"/>
    <xf numFmtId="192" fontId="9" fillId="3" borderId="4669">
      <alignment horizontal="right" vertical="center"/>
    </xf>
    <xf numFmtId="180" fontId="9" fillId="3" borderId="4669">
      <alignment horizontal="right" vertical="center"/>
    </xf>
    <xf numFmtId="186" fontId="146" fillId="3" borderId="4669" applyBorder="0">
      <alignment horizontal="left" vertical="center"/>
    </xf>
    <xf numFmtId="0" fontId="166" fillId="0" borderId="4669">
      <alignment horizontal="center"/>
    </xf>
    <xf numFmtId="0" fontId="210" fillId="0" borderId="4669" applyNumberFormat="0" applyFill="0" applyBorder="0" applyAlignment="0">
      <protection locked="0"/>
    </xf>
    <xf numFmtId="264" fontId="12" fillId="14" borderId="4669" applyFont="0" applyFill="0" applyBorder="0" applyAlignment="0" applyProtection="0">
      <alignment horizontal="right"/>
    </xf>
    <xf numFmtId="246" fontId="249" fillId="0" borderId="4669" applyFill="0" applyProtection="0">
      <alignment horizontal="center"/>
    </xf>
    <xf numFmtId="246" fontId="250" fillId="0" borderId="4669" applyFill="0" applyProtection="0">
      <alignment horizontal="center"/>
    </xf>
    <xf numFmtId="246" fontId="250" fillId="0" borderId="4693" applyFill="0" applyProtection="0">
      <alignment horizontal="center"/>
    </xf>
    <xf numFmtId="246" fontId="249" fillId="0" borderId="4693" applyFill="0" applyProtection="0">
      <alignment horizontal="center"/>
    </xf>
    <xf numFmtId="254" fontId="240" fillId="0" borderId="4693" applyBorder="0" applyProtection="0">
      <alignment horizontal="right" vertical="center"/>
    </xf>
    <xf numFmtId="264" fontId="12" fillId="14" borderId="4693" applyFont="0" applyFill="0" applyBorder="0" applyAlignment="0" applyProtection="0">
      <alignment horizontal="right"/>
    </xf>
    <xf numFmtId="0" fontId="165" fillId="0" borderId="4693" applyFill="0" applyProtection="0">
      <alignment horizontal="center"/>
    </xf>
    <xf numFmtId="180" fontId="9" fillId="3" borderId="4693">
      <alignment horizontal="right" vertical="center"/>
    </xf>
    <xf numFmtId="0" fontId="12" fillId="0" borderId="4693" applyNumberFormat="0" applyFill="0" applyBorder="0" applyAlignment="0" applyProtection="0">
      <alignment horizontal="center"/>
    </xf>
    <xf numFmtId="0" fontId="101" fillId="0" borderId="4693" applyBorder="0"/>
    <xf numFmtId="222" fontId="79" fillId="0" borderId="4692" applyBorder="0"/>
    <xf numFmtId="0" fontId="75" fillId="0" borderId="4682" applyNumberFormat="0" applyFont="0" applyFill="0" applyAlignment="0" applyProtection="0"/>
    <xf numFmtId="0" fontId="2" fillId="0" borderId="4686" applyNumberFormat="0" applyAlignment="0" applyProtection="0"/>
    <xf numFmtId="0" fontId="25" fillId="10" borderId="4688" applyNumberFormat="0" applyProtection="0">
      <alignment horizontal="left" vertical="top"/>
    </xf>
    <xf numFmtId="0" fontId="25" fillId="10" borderId="4691" applyNumberFormat="0" applyProtection="0">
      <alignment horizontal="left" vertical="top"/>
    </xf>
    <xf numFmtId="222" fontId="79" fillId="0" borderId="4680" applyBorder="0"/>
    <xf numFmtId="0" fontId="25" fillId="10" borderId="4666" applyNumberFormat="0" applyProtection="0">
      <alignment horizontal="left" vertical="top"/>
    </xf>
    <xf numFmtId="0" fontId="25" fillId="10" borderId="4664" applyNumberFormat="0" applyProtection="0">
      <alignment horizontal="left" vertical="top"/>
    </xf>
    <xf numFmtId="0" fontId="214" fillId="0" borderId="4663" applyNumberFormat="0" applyFont="0" applyFill="0" applyAlignment="0" applyProtection="0"/>
    <xf numFmtId="186" fontId="146" fillId="3" borderId="4660">
      <alignment horizontal="left"/>
    </xf>
    <xf numFmtId="222" fontId="79" fillId="0" borderId="4668" applyBorder="0"/>
    <xf numFmtId="0" fontId="101" fillId="0" borderId="4549" applyBorder="0"/>
    <xf numFmtId="0" fontId="113" fillId="0" borderId="4549" applyNumberFormat="0" applyFill="0" applyAlignment="0" applyProtection="0"/>
    <xf numFmtId="0" fontId="12" fillId="0" borderId="4549" applyNumberFormat="0" applyFill="0" applyBorder="0" applyAlignment="0" applyProtection="0">
      <alignment horizontal="center"/>
    </xf>
    <xf numFmtId="248" fontId="46" fillId="0" borderId="4549"/>
    <xf numFmtId="192" fontId="9" fillId="3" borderId="4549">
      <alignment horizontal="right" vertical="center"/>
    </xf>
    <xf numFmtId="180" fontId="9" fillId="3" borderId="4549">
      <alignment horizontal="right" vertical="center"/>
    </xf>
    <xf numFmtId="186" fontId="146" fillId="3" borderId="4549" applyBorder="0">
      <alignment horizontal="left" vertical="center"/>
    </xf>
    <xf numFmtId="0" fontId="165" fillId="0" borderId="4549" applyFill="0" applyProtection="0">
      <alignment horizontal="center"/>
    </xf>
    <xf numFmtId="0" fontId="166" fillId="0" borderId="4549">
      <alignment horizontal="center"/>
    </xf>
    <xf numFmtId="264" fontId="12" fillId="14" borderId="4549" applyFont="0" applyFill="0" applyBorder="0" applyAlignment="0" applyProtection="0">
      <alignment horizontal="right"/>
    </xf>
    <xf numFmtId="0" fontId="210" fillId="0" borderId="4549" applyNumberFormat="0" applyFill="0" applyBorder="0" applyAlignment="0">
      <protection locked="0"/>
    </xf>
    <xf numFmtId="248" fontId="46" fillId="0" borderId="4693"/>
    <xf numFmtId="222" fontId="79" fillId="0" borderId="4692" applyBorder="0"/>
    <xf numFmtId="186" fontId="140" fillId="3" borderId="4685">
      <alignment horizontal="center" vertical="center"/>
    </xf>
    <xf numFmtId="0" fontId="25" fillId="10" borderId="4690" applyNumberFormat="0" applyProtection="0">
      <alignment horizontal="left" vertical="top"/>
    </xf>
    <xf numFmtId="0" fontId="210" fillId="0" borderId="4693" applyNumberFormat="0" applyFill="0" applyBorder="0" applyAlignment="0">
      <protection locked="0"/>
    </xf>
    <xf numFmtId="192" fontId="9" fillId="3" borderId="4693">
      <alignment horizontal="right" vertical="center"/>
    </xf>
    <xf numFmtId="0" fontId="113" fillId="0" borderId="4693" applyNumberFormat="0" applyFill="0" applyAlignment="0" applyProtection="0"/>
    <xf numFmtId="186" fontId="146" fillId="3" borderId="4684">
      <alignment horizontal="left"/>
    </xf>
    <xf numFmtId="0" fontId="25" fillId="10" borderId="4689" applyNumberFormat="0" applyProtection="0">
      <alignment horizontal="left" vertical="top"/>
    </xf>
    <xf numFmtId="254" fontId="240" fillId="0" borderId="4549" applyBorder="0" applyProtection="0">
      <alignment horizontal="right" vertical="center"/>
    </xf>
    <xf numFmtId="0" fontId="241" fillId="94" borderId="4549" applyBorder="0" applyProtection="0">
      <alignment horizontal="centerContinuous" vertical="center"/>
    </xf>
    <xf numFmtId="246" fontId="249" fillId="0" borderId="4549" applyFill="0" applyProtection="0">
      <alignment horizontal="center"/>
    </xf>
    <xf numFmtId="246" fontId="250" fillId="0" borderId="4549" applyFill="0" applyProtection="0">
      <alignment horizontal="center"/>
    </xf>
    <xf numFmtId="0" fontId="25" fillId="10" borderId="4713" applyNumberFormat="0" applyProtection="0">
      <alignment horizontal="left" vertical="top"/>
    </xf>
    <xf numFmtId="0" fontId="25" fillId="10" borderId="4715" applyNumberFormat="0" applyProtection="0">
      <alignment horizontal="left" vertical="top"/>
    </xf>
    <xf numFmtId="222" fontId="79" fillId="0" borderId="4644" applyBorder="0"/>
    <xf numFmtId="0" fontId="214" fillId="0" borderId="4711" applyNumberFormat="0" applyFont="0" applyFill="0" applyAlignment="0" applyProtection="0"/>
    <xf numFmtId="0" fontId="75" fillId="0" borderId="4646" applyNumberFormat="0" applyFont="0" applyFill="0" applyAlignment="0" applyProtection="0"/>
    <xf numFmtId="0" fontId="25" fillId="10" borderId="4654" applyNumberFormat="0" applyProtection="0">
      <alignment horizontal="left" vertical="top"/>
    </xf>
    <xf numFmtId="0" fontId="25" fillId="10" borderId="4655" applyNumberFormat="0" applyProtection="0">
      <alignment horizontal="left" vertical="top"/>
    </xf>
    <xf numFmtId="0" fontId="165" fillId="0" borderId="4669" applyFill="0" applyProtection="0">
      <alignment horizontal="center"/>
    </xf>
    <xf numFmtId="254" fontId="240" fillId="0" borderId="4669" applyBorder="0" applyProtection="0">
      <alignment horizontal="right" vertical="center"/>
    </xf>
    <xf numFmtId="0" fontId="241" fillId="94" borderId="4669" applyBorder="0" applyProtection="0">
      <alignment horizontal="centerContinuous" vertical="center"/>
    </xf>
    <xf numFmtId="0" fontId="241" fillId="94" borderId="4693" applyBorder="0" applyProtection="0">
      <alignment horizontal="centerContinuous" vertical="center"/>
    </xf>
    <xf numFmtId="0" fontId="166" fillId="0" borderId="4693">
      <alignment horizontal="center"/>
    </xf>
    <xf numFmtId="186" fontId="146" fillId="3" borderId="4693" applyBorder="0">
      <alignment horizontal="left" vertical="center"/>
    </xf>
    <xf numFmtId="0" fontId="214" fillId="0" borderId="4687" applyNumberFormat="0" applyFont="0" applyFill="0" applyAlignment="0" applyProtection="0"/>
    <xf numFmtId="0" fontId="78" fillId="14" borderId="4683" applyFont="0" applyFill="0" applyBorder="0" applyAlignment="0" applyProtection="0"/>
    <xf numFmtId="0" fontId="78" fillId="14" borderId="4611" applyFont="0" applyFill="0" applyBorder="0" applyAlignment="0" applyProtection="0"/>
    <xf numFmtId="0" fontId="25" fillId="10" borderId="4547" applyNumberFormat="0" applyProtection="0">
      <alignment horizontal="left" vertical="top"/>
    </xf>
    <xf numFmtId="0" fontId="25" fillId="10" borderId="4546" applyNumberFormat="0" applyProtection="0">
      <alignment horizontal="left" vertical="top"/>
    </xf>
    <xf numFmtId="0" fontId="25" fillId="10" borderId="4545" applyNumberFormat="0" applyProtection="0">
      <alignment horizontal="left" vertical="top"/>
    </xf>
    <xf numFmtId="0" fontId="25" fillId="10" borderId="4544" applyNumberFormat="0" applyProtection="0">
      <alignment horizontal="left" vertical="top"/>
    </xf>
    <xf numFmtId="186" fontId="140" fillId="3" borderId="4709">
      <alignment horizontal="center" vertical="center"/>
    </xf>
    <xf numFmtId="0" fontId="214" fillId="0" borderId="4543" applyNumberFormat="0" applyFont="0" applyFill="0" applyAlignment="0" applyProtection="0"/>
    <xf numFmtId="0" fontId="2" fillId="0" borderId="4542" applyNumberFormat="0" applyAlignment="0" applyProtection="0"/>
    <xf numFmtId="186" fontId="140" fillId="3" borderId="4541">
      <alignment horizontal="center" vertical="center"/>
    </xf>
    <xf numFmtId="186" fontId="146" fillId="3" borderId="4540">
      <alignment horizontal="left"/>
    </xf>
    <xf numFmtId="186" fontId="146" fillId="3" borderId="4708">
      <alignment horizontal="left"/>
    </xf>
    <xf numFmtId="0" fontId="75" fillId="0" borderId="4538" applyNumberFormat="0" applyFont="0" applyFill="0" applyAlignment="0" applyProtection="0"/>
    <xf numFmtId="0" fontId="75" fillId="0" borderId="4706" applyNumberFormat="0" applyFont="0" applyFill="0" applyAlignment="0" applyProtection="0"/>
    <xf numFmtId="222" fontId="79" fillId="0" borderId="4620" applyBorder="0"/>
    <xf numFmtId="222" fontId="79" fillId="0" borderId="4620" applyBorder="0"/>
    <xf numFmtId="0" fontId="25" fillId="10" borderId="4712" applyNumberFormat="0" applyProtection="0">
      <alignment horizontal="left" vertical="top"/>
    </xf>
    <xf numFmtId="0" fontId="2" fillId="0" borderId="4710" applyNumberFormat="0" applyAlignment="0" applyProtection="0"/>
    <xf numFmtId="246" fontId="250" fillId="0" borderId="4645" applyFill="0" applyProtection="0">
      <alignment horizontal="center"/>
    </xf>
    <xf numFmtId="246" fontId="249" fillId="0" borderId="4645" applyFill="0" applyProtection="0">
      <alignment horizontal="center"/>
    </xf>
    <xf numFmtId="0" fontId="241" fillId="94" borderId="4645" applyBorder="0" applyProtection="0">
      <alignment horizontal="centerContinuous" vertical="center"/>
    </xf>
    <xf numFmtId="254" fontId="240" fillId="0" borderId="4645" applyBorder="0" applyProtection="0">
      <alignment horizontal="right" vertical="center"/>
    </xf>
    <xf numFmtId="0" fontId="210" fillId="0" borderId="4645" applyNumberFormat="0" applyFill="0" applyBorder="0" applyAlignment="0">
      <protection locked="0"/>
    </xf>
    <xf numFmtId="264" fontId="12" fillId="14" borderId="4645" applyFont="0" applyFill="0" applyBorder="0" applyAlignment="0" applyProtection="0">
      <alignment horizontal="right"/>
    </xf>
    <xf numFmtId="0" fontId="166" fillId="0" borderId="4645">
      <alignment horizontal="center"/>
    </xf>
    <xf numFmtId="0" fontId="165" fillId="0" borderId="4645" applyFill="0" applyProtection="0">
      <alignment horizontal="center"/>
    </xf>
    <xf numFmtId="186" fontId="146" fillId="3" borderId="4645" applyBorder="0">
      <alignment horizontal="left" vertical="center"/>
    </xf>
    <xf numFmtId="180" fontId="9" fillId="3" borderId="4645">
      <alignment horizontal="right" vertical="center"/>
    </xf>
    <xf numFmtId="192" fontId="9" fillId="3" borderId="4645">
      <alignment horizontal="right" vertical="center"/>
    </xf>
    <xf numFmtId="248" fontId="46" fillId="0" borderId="4645"/>
    <xf numFmtId="0" fontId="12" fillId="0" borderId="4645" applyNumberFormat="0" applyFill="0" applyBorder="0" applyAlignment="0" applyProtection="0">
      <alignment horizontal="center"/>
    </xf>
    <xf numFmtId="0" fontId="113" fillId="0" borderId="4645" applyNumberFormat="0" applyFill="0" applyAlignment="0" applyProtection="0"/>
    <xf numFmtId="222" fontId="79" fillId="0" borderId="4644" applyBorder="0"/>
    <xf numFmtId="0" fontId="101" fillId="0" borderId="4645" applyBorder="0"/>
    <xf numFmtId="222" fontId="79" fillId="0" borderId="4644" applyBorder="0"/>
    <xf numFmtId="0" fontId="75" fillId="0" borderId="4634" applyNumberFormat="0" applyFont="0" applyFill="0" applyAlignment="0" applyProtection="0"/>
    <xf numFmtId="186" fontId="146" fillId="3" borderId="4636">
      <alignment horizontal="left"/>
    </xf>
    <xf numFmtId="186" fontId="140" fillId="3" borderId="4637">
      <alignment horizontal="center" vertical="center"/>
    </xf>
    <xf numFmtId="0" fontId="2" fillId="0" borderId="4638" applyNumberFormat="0" applyAlignment="0" applyProtection="0"/>
    <xf numFmtId="0" fontId="214" fillId="0" borderId="4639" applyNumberFormat="0" applyFont="0" applyFill="0" applyAlignment="0" applyProtection="0"/>
    <xf numFmtId="0" fontId="25" fillId="10" borderId="4640" applyNumberFormat="0" applyProtection="0">
      <alignment horizontal="left" vertical="top"/>
    </xf>
    <xf numFmtId="0" fontId="25" fillId="10" borderId="4641" applyNumberFormat="0" applyProtection="0">
      <alignment horizontal="left" vertical="top"/>
    </xf>
    <xf numFmtId="0" fontId="25" fillId="10" borderId="4642" applyNumberFormat="0" applyProtection="0">
      <alignment horizontal="left" vertical="top"/>
    </xf>
    <xf numFmtId="0" fontId="25" fillId="10" borderId="4643" applyNumberFormat="0" applyProtection="0">
      <alignment horizontal="left" vertical="top"/>
    </xf>
    <xf numFmtId="0" fontId="78" fillId="14" borderId="4635" applyFont="0" applyFill="0" applyBorder="0" applyAlignment="0" applyProtection="0"/>
    <xf numFmtId="222" fontId="79" fillId="0" borderId="4632" applyBorder="0"/>
    <xf numFmtId="0" fontId="78" fillId="14" borderId="4611" applyFont="0" applyFill="0" applyBorder="0" applyAlignment="0" applyProtection="0"/>
    <xf numFmtId="222" fontId="79" fillId="0" borderId="4620" applyBorder="0"/>
    <xf numFmtId="0" fontId="78" fillId="14" borderId="4623" applyFont="0" applyFill="0" applyBorder="0" applyAlignment="0" applyProtection="0"/>
    <xf numFmtId="0" fontId="25" fillId="10" borderId="4631" applyNumberFormat="0" applyProtection="0">
      <alignment horizontal="left" vertical="top"/>
    </xf>
    <xf numFmtId="0" fontId="25" fillId="10" borderId="4630" applyNumberFormat="0" applyProtection="0">
      <alignment horizontal="left" vertical="top"/>
    </xf>
    <xf numFmtId="0" fontId="25" fillId="10" borderId="4629" applyNumberFormat="0" applyProtection="0">
      <alignment horizontal="left" vertical="top"/>
    </xf>
    <xf numFmtId="0" fontId="25" fillId="10" borderId="4628" applyNumberFormat="0" applyProtection="0">
      <alignment horizontal="left" vertical="top"/>
    </xf>
    <xf numFmtId="0" fontId="214" fillId="0" borderId="4627" applyNumberFormat="0" applyFont="0" applyFill="0" applyAlignment="0" applyProtection="0"/>
    <xf numFmtId="0" fontId="2" fillId="0" borderId="4542" applyNumberFormat="0" applyAlignment="0" applyProtection="0"/>
    <xf numFmtId="186" fontId="140" fillId="3" borderId="4625">
      <alignment horizontal="center" vertical="center"/>
    </xf>
    <xf numFmtId="186" fontId="146" fillId="3" borderId="4624">
      <alignment horizontal="left"/>
    </xf>
    <xf numFmtId="0" fontId="75" fillId="0" borderId="4622" applyNumberFormat="0" applyFont="0" applyFill="0" applyAlignment="0" applyProtection="0"/>
    <xf numFmtId="222" fontId="79" fillId="0" borderId="4632" applyBorder="0"/>
    <xf numFmtId="0" fontId="101" fillId="0" borderId="4633" applyBorder="0"/>
    <xf numFmtId="222" fontId="79" fillId="0" borderId="4632" applyBorder="0"/>
    <xf numFmtId="0" fontId="113" fillId="0" borderId="4633" applyNumberFormat="0" applyFill="0" applyAlignment="0" applyProtection="0"/>
    <xf numFmtId="0" fontId="12" fillId="0" borderId="4633" applyNumberFormat="0" applyFill="0" applyBorder="0" applyAlignment="0" applyProtection="0">
      <alignment horizontal="center"/>
    </xf>
    <xf numFmtId="248" fontId="46" fillId="0" borderId="4633"/>
    <xf numFmtId="192" fontId="9" fillId="3" borderId="4633">
      <alignment horizontal="right" vertical="center"/>
    </xf>
    <xf numFmtId="180" fontId="9" fillId="3" borderId="4633">
      <alignment horizontal="right" vertical="center"/>
    </xf>
    <xf numFmtId="186" fontId="146" fillId="3" borderId="4633" applyBorder="0">
      <alignment horizontal="left" vertical="center"/>
    </xf>
    <xf numFmtId="0" fontId="165" fillId="0" borderId="4633" applyFill="0" applyProtection="0">
      <alignment horizontal="center"/>
    </xf>
    <xf numFmtId="0" fontId="166" fillId="0" borderId="4633">
      <alignment horizontal="center"/>
    </xf>
    <xf numFmtId="264" fontId="12" fillId="14" borderId="4633" applyFont="0" applyFill="0" applyBorder="0" applyAlignment="0" applyProtection="0">
      <alignment horizontal="right"/>
    </xf>
    <xf numFmtId="0" fontId="210" fillId="0" borderId="4633" applyNumberFormat="0" applyFill="0" applyBorder="0" applyAlignment="0">
      <protection locked="0"/>
    </xf>
    <xf numFmtId="254" fontId="240" fillId="0" borderId="4633" applyBorder="0" applyProtection="0">
      <alignment horizontal="right" vertical="center"/>
    </xf>
    <xf numFmtId="0" fontId="241" fillId="94" borderId="4633" applyBorder="0" applyProtection="0">
      <alignment horizontal="centerContinuous" vertical="center"/>
    </xf>
    <xf numFmtId="246" fontId="249" fillId="0" borderId="4633" applyFill="0" applyProtection="0">
      <alignment horizontal="center"/>
    </xf>
    <xf numFmtId="246" fontId="250" fillId="0" borderId="4633" applyFill="0" applyProtection="0">
      <alignment horizontal="center"/>
    </xf>
    <xf numFmtId="0" fontId="241" fillId="94" borderId="4717" applyBorder="0" applyProtection="0">
      <alignment horizontal="centerContinuous" vertical="center"/>
    </xf>
    <xf numFmtId="0" fontId="166" fillId="0" borderId="4717">
      <alignment horizontal="center"/>
    </xf>
    <xf numFmtId="0" fontId="2" fillId="0" borderId="4650" applyNumberFormat="0" applyAlignment="0" applyProtection="0"/>
    <xf numFmtId="0" fontId="214" fillId="0" borderId="4651" applyNumberFormat="0" applyFont="0" applyFill="0" applyAlignment="0" applyProtection="0"/>
    <xf numFmtId="246" fontId="250" fillId="0" borderId="4657" applyFill="0" applyProtection="0">
      <alignment horizontal="center"/>
    </xf>
    <xf numFmtId="246" fontId="249" fillId="0" borderId="4657" applyFill="0" applyProtection="0">
      <alignment horizontal="center"/>
    </xf>
    <xf numFmtId="0" fontId="241" fillId="94" borderId="4657" applyBorder="0" applyProtection="0">
      <alignment horizontal="centerContinuous" vertical="center"/>
    </xf>
    <xf numFmtId="254" fontId="240" fillId="0" borderId="4657" applyBorder="0" applyProtection="0">
      <alignment horizontal="right" vertical="center"/>
    </xf>
    <xf numFmtId="0" fontId="210" fillId="0" borderId="4657" applyNumberFormat="0" applyFill="0" applyBorder="0" applyAlignment="0">
      <protection locked="0"/>
    </xf>
    <xf numFmtId="264" fontId="12" fillId="14" borderId="4657" applyFont="0" applyFill="0" applyBorder="0" applyAlignment="0" applyProtection="0">
      <alignment horizontal="right"/>
    </xf>
    <xf numFmtId="0" fontId="166" fillId="0" borderId="4657">
      <alignment horizontal="center"/>
    </xf>
    <xf numFmtId="0" fontId="165" fillId="0" borderId="4657" applyFill="0" applyProtection="0">
      <alignment horizontal="center"/>
    </xf>
    <xf numFmtId="186" fontId="146" fillId="3" borderId="4657" applyBorder="0">
      <alignment horizontal="left" vertical="center"/>
    </xf>
    <xf numFmtId="180" fontId="9" fillId="3" borderId="4657">
      <alignment horizontal="right" vertical="center"/>
    </xf>
    <xf numFmtId="192" fontId="9" fillId="3" borderId="4657">
      <alignment horizontal="right" vertical="center"/>
    </xf>
    <xf numFmtId="248" fontId="46" fillId="0" borderId="4657"/>
    <xf numFmtId="0" fontId="12" fillId="0" borderId="4657" applyNumberFormat="0" applyFill="0" applyBorder="0" applyAlignment="0" applyProtection="0">
      <alignment horizontal="center"/>
    </xf>
    <xf numFmtId="0" fontId="113" fillId="0" borderId="4657" applyNumberFormat="0" applyFill="0" applyAlignment="0" applyProtection="0"/>
    <xf numFmtId="222" fontId="79" fillId="0" borderId="4656" applyBorder="0"/>
    <xf numFmtId="0" fontId="101" fillId="0" borderId="4657" applyBorder="0"/>
    <xf numFmtId="222" fontId="79" fillId="0" borderId="4656" applyBorder="0"/>
    <xf numFmtId="0" fontId="75" fillId="0" borderId="4646" applyNumberFormat="0" applyFont="0" applyFill="0" applyAlignment="0" applyProtection="0"/>
    <xf numFmtId="186" fontId="146" fillId="3" borderId="4648">
      <alignment horizontal="left"/>
    </xf>
    <xf numFmtId="186" fontId="140" fillId="3" borderId="4649">
      <alignment horizontal="center" vertical="center"/>
    </xf>
    <xf numFmtId="0" fontId="2" fillId="0" borderId="4650" applyNumberFormat="0" applyAlignment="0" applyProtection="0"/>
    <xf numFmtId="0" fontId="214" fillId="0" borderId="4651" applyNumberFormat="0" applyFont="0" applyFill="0" applyAlignment="0" applyProtection="0"/>
    <xf numFmtId="0" fontId="25" fillId="10" borderId="4652" applyNumberFormat="0" applyProtection="0">
      <alignment horizontal="left" vertical="top"/>
    </xf>
    <xf numFmtId="0" fontId="25" fillId="10" borderId="4653" applyNumberFormat="0" applyProtection="0">
      <alignment horizontal="left" vertical="top"/>
    </xf>
    <xf numFmtId="0" fontId="25" fillId="10" borderId="4654" applyNumberFormat="0" applyProtection="0">
      <alignment horizontal="left" vertical="top"/>
    </xf>
    <xf numFmtId="0" fontId="25" fillId="10" borderId="4655" applyNumberFormat="0" applyProtection="0">
      <alignment horizontal="left" vertical="top"/>
    </xf>
    <xf numFmtId="0" fontId="78" fillId="14" borderId="4647" applyFont="0" applyFill="0" applyBorder="0" applyAlignment="0" applyProtection="0"/>
    <xf numFmtId="222" fontId="79" fillId="0" borderId="4644" applyBorder="0"/>
    <xf numFmtId="0" fontId="78" fillId="14" borderId="4659" applyFont="0" applyFill="0" applyBorder="0" applyAlignment="0" applyProtection="0"/>
    <xf numFmtId="186" fontId="146" fillId="3" borderId="4648">
      <alignment horizontal="left"/>
    </xf>
    <xf numFmtId="0" fontId="78" fillId="14" borderId="4635" applyFont="0" applyFill="0" applyBorder="0" applyAlignment="0" applyProtection="0"/>
    <xf numFmtId="222" fontId="79" fillId="0" borderId="4644" applyBorder="0"/>
    <xf numFmtId="0" fontId="2" fillId="0" borderId="4662" applyNumberFormat="0" applyAlignment="0" applyProtection="0"/>
    <xf numFmtId="0" fontId="78" fillId="14" borderId="4635" applyFont="0" applyFill="0" applyBorder="0" applyAlignment="0" applyProtection="0"/>
    <xf numFmtId="0" fontId="25" fillId="10" borderId="4643" applyNumberFormat="0" applyProtection="0">
      <alignment horizontal="left" vertical="top"/>
    </xf>
    <xf numFmtId="0" fontId="25" fillId="10" borderId="4642" applyNumberFormat="0" applyProtection="0">
      <alignment horizontal="left" vertical="top"/>
    </xf>
    <xf numFmtId="0" fontId="25" fillId="10" borderId="4641" applyNumberFormat="0" applyProtection="0">
      <alignment horizontal="left" vertical="top"/>
    </xf>
    <xf numFmtId="0" fontId="25" fillId="10" borderId="4640" applyNumberFormat="0" applyProtection="0">
      <alignment horizontal="left" vertical="top"/>
    </xf>
    <xf numFmtId="0" fontId="25" fillId="10" borderId="4665" applyNumberFormat="0" applyProtection="0">
      <alignment horizontal="left" vertical="top"/>
    </xf>
    <xf numFmtId="0" fontId="214" fillId="0" borderId="4639" applyNumberFormat="0" applyFont="0" applyFill="0" applyAlignment="0" applyProtection="0"/>
    <xf numFmtId="0" fontId="2" fillId="0" borderId="4638" applyNumberFormat="0" applyAlignment="0" applyProtection="0"/>
    <xf numFmtId="186" fontId="140" fillId="3" borderId="4637">
      <alignment horizontal="center" vertical="center"/>
    </xf>
    <xf numFmtId="186" fontId="146" fillId="3" borderId="4636">
      <alignment horizontal="left"/>
    </xf>
    <xf numFmtId="0" fontId="25" fillId="10" borderId="4667" applyNumberFormat="0" applyProtection="0">
      <alignment horizontal="left" vertical="top"/>
    </xf>
    <xf numFmtId="0" fontId="75" fillId="0" borderId="4634" applyNumberFormat="0" applyFont="0" applyFill="0" applyAlignment="0" applyProtection="0"/>
    <xf numFmtId="222" fontId="79" fillId="0" borderId="4644" applyBorder="0"/>
    <xf numFmtId="0" fontId="101" fillId="0" borderId="4645" applyBorder="0"/>
    <xf numFmtId="222" fontId="79" fillId="0" borderId="4644" applyBorder="0"/>
    <xf numFmtId="0" fontId="113" fillId="0" borderId="4645" applyNumberFormat="0" applyFill="0" applyAlignment="0" applyProtection="0"/>
    <xf numFmtId="0" fontId="12" fillId="0" borderId="4645" applyNumberFormat="0" applyFill="0" applyBorder="0" applyAlignment="0" applyProtection="0">
      <alignment horizontal="center"/>
    </xf>
    <xf numFmtId="248" fontId="46" fillId="0" borderId="4645"/>
    <xf numFmtId="192" fontId="9" fillId="3" borderId="4645">
      <alignment horizontal="right" vertical="center"/>
    </xf>
    <xf numFmtId="180" fontId="9" fillId="3" borderId="4645">
      <alignment horizontal="right" vertical="center"/>
    </xf>
    <xf numFmtId="186" fontId="146" fillId="3" borderId="4645" applyBorder="0">
      <alignment horizontal="left" vertical="center"/>
    </xf>
    <xf numFmtId="0" fontId="165" fillId="0" borderId="4645" applyFill="0" applyProtection="0">
      <alignment horizontal="center"/>
    </xf>
    <xf numFmtId="0" fontId="166" fillId="0" borderId="4645">
      <alignment horizontal="center"/>
    </xf>
    <xf numFmtId="264" fontId="12" fillId="14" borderId="4645" applyFont="0" applyFill="0" applyBorder="0" applyAlignment="0" applyProtection="0">
      <alignment horizontal="right"/>
    </xf>
    <xf numFmtId="0" fontId="210" fillId="0" borderId="4645" applyNumberFormat="0" applyFill="0" applyBorder="0" applyAlignment="0">
      <protection locked="0"/>
    </xf>
    <xf numFmtId="254" fontId="240" fillId="0" borderId="4645" applyBorder="0" applyProtection="0">
      <alignment horizontal="right" vertical="center"/>
    </xf>
    <xf numFmtId="0" fontId="241" fillId="94" borderId="4645" applyBorder="0" applyProtection="0">
      <alignment horizontal="centerContinuous" vertical="center"/>
    </xf>
    <xf numFmtId="246" fontId="249" fillId="0" borderId="4645" applyFill="0" applyProtection="0">
      <alignment horizontal="center"/>
    </xf>
    <xf numFmtId="246" fontId="250" fillId="0" borderId="4645" applyFill="0" applyProtection="0">
      <alignment horizontal="center"/>
    </xf>
    <xf numFmtId="186" fontId="140" fillId="3" borderId="4661">
      <alignment horizontal="center" vertical="center"/>
    </xf>
    <xf numFmtId="0" fontId="78" fillId="14" borderId="4647" applyFont="0" applyFill="0" applyBorder="0" applyAlignment="0" applyProtection="0"/>
    <xf numFmtId="222" fontId="79" fillId="0" borderId="4668" applyBorder="0"/>
    <xf numFmtId="0" fontId="78" fillId="14" borderId="4671" applyFont="0" applyFill="0" applyBorder="0" applyAlignment="0" applyProtection="0"/>
    <xf numFmtId="0" fontId="25" fillId="10" borderId="4679" applyNumberFormat="0" applyProtection="0">
      <alignment horizontal="left" vertical="top"/>
    </xf>
    <xf numFmtId="0" fontId="25" fillId="10" borderId="4678" applyNumberFormat="0" applyProtection="0">
      <alignment horizontal="left" vertical="top"/>
    </xf>
    <xf numFmtId="0" fontId="25" fillId="10" borderId="4677" applyNumberFormat="0" applyProtection="0">
      <alignment horizontal="left" vertical="top"/>
    </xf>
    <xf numFmtId="0" fontId="25" fillId="10" borderId="4676" applyNumberFormat="0" applyProtection="0">
      <alignment horizontal="left" vertical="top"/>
    </xf>
    <xf numFmtId="0" fontId="214" fillId="0" borderId="4675" applyNumberFormat="0" applyFont="0" applyFill="0" applyAlignment="0" applyProtection="0"/>
    <xf numFmtId="0" fontId="2" fillId="0" borderId="4674" applyNumberFormat="0" applyAlignment="0" applyProtection="0"/>
    <xf numFmtId="186" fontId="140" fillId="3" borderId="4673">
      <alignment horizontal="center" vertical="center"/>
    </xf>
    <xf numFmtId="186" fontId="146" fillId="3" borderId="4672">
      <alignment horizontal="left"/>
    </xf>
    <xf numFmtId="0" fontId="75" fillId="0" borderId="4670" applyNumberFormat="0" applyFont="0" applyFill="0" applyAlignment="0" applyProtection="0"/>
    <xf numFmtId="222" fontId="79" fillId="0" borderId="4680" applyBorder="0"/>
    <xf numFmtId="0" fontId="101" fillId="0" borderId="4681" applyBorder="0"/>
    <xf numFmtId="222" fontId="79" fillId="0" borderId="4680" applyBorder="0"/>
    <xf numFmtId="0" fontId="113" fillId="0" borderId="4681" applyNumberFormat="0" applyFill="0" applyAlignment="0" applyProtection="0"/>
    <xf numFmtId="0" fontId="12" fillId="0" borderId="4681" applyNumberFormat="0" applyFill="0" applyBorder="0" applyAlignment="0" applyProtection="0">
      <alignment horizontal="center"/>
    </xf>
    <xf numFmtId="248" fontId="46" fillId="0" borderId="4681"/>
    <xf numFmtId="192" fontId="9" fillId="3" borderId="4681">
      <alignment horizontal="right" vertical="center"/>
    </xf>
    <xf numFmtId="180" fontId="9" fillId="3" borderId="4681">
      <alignment horizontal="right" vertical="center"/>
    </xf>
    <xf numFmtId="186" fontId="146" fillId="3" borderId="4681" applyBorder="0">
      <alignment horizontal="left" vertical="center"/>
    </xf>
    <xf numFmtId="0" fontId="165" fillId="0" borderId="4681" applyFill="0" applyProtection="0">
      <alignment horizontal="center"/>
    </xf>
    <xf numFmtId="0" fontId="166" fillId="0" borderId="4681">
      <alignment horizontal="center"/>
    </xf>
    <xf numFmtId="264" fontId="12" fillId="14" borderId="4681" applyFont="0" applyFill="0" applyBorder="0" applyAlignment="0" applyProtection="0">
      <alignment horizontal="right"/>
    </xf>
    <xf numFmtId="0" fontId="210" fillId="0" borderId="4681" applyNumberFormat="0" applyFill="0" applyBorder="0" applyAlignment="0">
      <protection locked="0"/>
    </xf>
    <xf numFmtId="254" fontId="240" fillId="0" borderId="4681" applyBorder="0" applyProtection="0">
      <alignment horizontal="right" vertical="center"/>
    </xf>
    <xf numFmtId="0" fontId="241" fillId="94" borderId="4681" applyBorder="0" applyProtection="0">
      <alignment horizontal="centerContinuous" vertical="center"/>
    </xf>
    <xf numFmtId="246" fontId="249" fillId="0" borderId="4681" applyFill="0" applyProtection="0">
      <alignment horizontal="center"/>
    </xf>
    <xf numFmtId="246" fontId="250" fillId="0" borderId="4681" applyFill="0" applyProtection="0">
      <alignment horizontal="center"/>
    </xf>
    <xf numFmtId="222" fontId="79" fillId="0" borderId="4692" applyBorder="0"/>
    <xf numFmtId="0" fontId="78" fillId="14" borderId="4695" applyFont="0" applyFill="0" applyBorder="0" applyAlignment="0" applyProtection="0"/>
    <xf numFmtId="0" fontId="25" fillId="10" borderId="4703" applyNumberFormat="0" applyProtection="0">
      <alignment horizontal="left" vertical="top"/>
    </xf>
    <xf numFmtId="0" fontId="25" fillId="10" borderId="4702" applyNumberFormat="0" applyProtection="0">
      <alignment horizontal="left" vertical="top"/>
    </xf>
    <xf numFmtId="0" fontId="25" fillId="10" borderId="4701" applyNumberFormat="0" applyProtection="0">
      <alignment horizontal="left" vertical="top"/>
    </xf>
    <xf numFmtId="0" fontId="25" fillId="10" borderId="4700" applyNumberFormat="0" applyProtection="0">
      <alignment horizontal="left" vertical="top"/>
    </xf>
    <xf numFmtId="0" fontId="214" fillId="0" borderId="4699" applyNumberFormat="0" applyFont="0" applyFill="0" applyAlignment="0" applyProtection="0"/>
    <xf numFmtId="0" fontId="2" fillId="0" borderId="4698" applyNumberFormat="0" applyAlignment="0" applyProtection="0"/>
    <xf numFmtId="186" fontId="140" fillId="3" borderId="4697">
      <alignment horizontal="center" vertical="center"/>
    </xf>
    <xf numFmtId="186" fontId="146" fillId="3" borderId="4696">
      <alignment horizontal="left"/>
    </xf>
    <xf numFmtId="0" fontId="75" fillId="0" borderId="4694" applyNumberFormat="0" applyFont="0" applyFill="0" applyAlignment="0" applyProtection="0"/>
    <xf numFmtId="222" fontId="79" fillId="0" borderId="4704" applyBorder="0"/>
    <xf numFmtId="0" fontId="101" fillId="0" borderId="4705" applyBorder="0"/>
    <xf numFmtId="222" fontId="79" fillId="0" borderId="4704" applyBorder="0"/>
    <xf numFmtId="0" fontId="113" fillId="0" borderId="4705" applyNumberFormat="0" applyFill="0" applyAlignment="0" applyProtection="0"/>
    <xf numFmtId="0" fontId="12" fillId="0" borderId="4705" applyNumberFormat="0" applyFill="0" applyBorder="0" applyAlignment="0" applyProtection="0">
      <alignment horizontal="center"/>
    </xf>
    <xf numFmtId="248" fontId="46" fillId="0" borderId="4705"/>
    <xf numFmtId="192" fontId="9" fillId="3" borderId="4705">
      <alignment horizontal="right" vertical="center"/>
    </xf>
    <xf numFmtId="180" fontId="9" fillId="3" borderId="4705">
      <alignment horizontal="right" vertical="center"/>
    </xf>
    <xf numFmtId="186" fontId="146" fillId="3" borderId="4705" applyBorder="0">
      <alignment horizontal="left" vertical="center"/>
    </xf>
    <xf numFmtId="0" fontId="165" fillId="0" borderId="4705" applyFill="0" applyProtection="0">
      <alignment horizontal="center"/>
    </xf>
    <xf numFmtId="0" fontId="166" fillId="0" borderId="4705">
      <alignment horizontal="center"/>
    </xf>
    <xf numFmtId="264" fontId="12" fillId="14" borderId="4705" applyFont="0" applyFill="0" applyBorder="0" applyAlignment="0" applyProtection="0">
      <alignment horizontal="right"/>
    </xf>
    <xf numFmtId="0" fontId="210" fillId="0" borderId="4705" applyNumberFormat="0" applyFill="0" applyBorder="0" applyAlignment="0">
      <protection locked="0"/>
    </xf>
    <xf numFmtId="254" fontId="240" fillId="0" borderId="4705" applyBorder="0" applyProtection="0">
      <alignment horizontal="right" vertical="center"/>
    </xf>
    <xf numFmtId="0" fontId="241" fillId="94" borderId="4705" applyBorder="0" applyProtection="0">
      <alignment horizontal="centerContinuous" vertical="center"/>
    </xf>
    <xf numFmtId="246" fontId="249" fillId="0" borderId="4705" applyFill="0" applyProtection="0">
      <alignment horizontal="center"/>
    </xf>
    <xf numFmtId="246" fontId="250" fillId="0" borderId="4705" applyFill="0" applyProtection="0">
      <alignment horizontal="center"/>
    </xf>
    <xf numFmtId="0" fontId="75" fillId="0" borderId="4718" applyNumberFormat="0" applyFont="0" applyFill="0" applyAlignment="0" applyProtection="0"/>
    <xf numFmtId="0" fontId="78" fillId="14" borderId="4719" applyFont="0" applyFill="0" applyBorder="0" applyAlignment="0" applyProtection="0"/>
    <xf numFmtId="186" fontId="146" fillId="3" borderId="4720">
      <alignment horizontal="left"/>
    </xf>
    <xf numFmtId="186" fontId="140" fillId="3" borderId="4721">
      <alignment horizontal="center" vertical="center"/>
    </xf>
    <xf numFmtId="0" fontId="2" fillId="0" borderId="4722" applyNumberFormat="0" applyAlignment="0" applyProtection="0"/>
    <xf numFmtId="0" fontId="214" fillId="0" borderId="4723" applyNumberFormat="0" applyFont="0" applyFill="0" applyAlignment="0" applyProtection="0"/>
    <xf numFmtId="0" fontId="25" fillId="10" borderId="4724" applyNumberFormat="0" applyProtection="0">
      <alignment horizontal="left" vertical="top"/>
    </xf>
    <xf numFmtId="0" fontId="25" fillId="10" borderId="4725" applyNumberFormat="0" applyProtection="0">
      <alignment horizontal="left" vertical="top"/>
    </xf>
    <xf numFmtId="0" fontId="25" fillId="10" borderId="4726" applyNumberFormat="0" applyProtection="0">
      <alignment horizontal="left" vertical="top"/>
    </xf>
    <xf numFmtId="0" fontId="25" fillId="10" borderId="4727" applyNumberFormat="0" applyProtection="0">
      <alignment horizontal="left" vertical="top"/>
    </xf>
    <xf numFmtId="246" fontId="250" fillId="0" borderId="4717" applyFill="0" applyProtection="0">
      <alignment horizontal="center"/>
    </xf>
    <xf numFmtId="246" fontId="249" fillId="0" borderId="4717" applyFill="0" applyProtection="0">
      <alignment horizontal="center"/>
    </xf>
    <xf numFmtId="0" fontId="241" fillId="94" borderId="4717" applyBorder="0" applyProtection="0">
      <alignment horizontal="centerContinuous" vertical="center"/>
    </xf>
    <xf numFmtId="254" fontId="240" fillId="0" borderId="4717" applyBorder="0" applyProtection="0">
      <alignment horizontal="right" vertical="center"/>
    </xf>
    <xf numFmtId="0" fontId="210" fillId="0" borderId="4717" applyNumberFormat="0" applyFill="0" applyBorder="0" applyAlignment="0">
      <protection locked="0"/>
    </xf>
    <xf numFmtId="264" fontId="12" fillId="14" borderId="4717" applyFont="0" applyFill="0" applyBorder="0" applyAlignment="0" applyProtection="0">
      <alignment horizontal="right"/>
    </xf>
    <xf numFmtId="0" fontId="166" fillId="0" borderId="4717">
      <alignment horizontal="center"/>
    </xf>
    <xf numFmtId="0" fontId="165" fillId="0" borderId="4717" applyFill="0" applyProtection="0">
      <alignment horizontal="center"/>
    </xf>
    <xf numFmtId="186" fontId="146" fillId="3" borderId="4717" applyBorder="0">
      <alignment horizontal="left" vertical="center"/>
    </xf>
    <xf numFmtId="180" fontId="9" fillId="3" borderId="4717">
      <alignment horizontal="right" vertical="center"/>
    </xf>
    <xf numFmtId="192" fontId="9" fillId="3" borderId="4717">
      <alignment horizontal="right" vertical="center"/>
    </xf>
    <xf numFmtId="0" fontId="12" fillId="0" borderId="4717" applyNumberFormat="0" applyFill="0" applyBorder="0" applyAlignment="0" applyProtection="0">
      <alignment horizontal="center"/>
    </xf>
    <xf numFmtId="0" fontId="113" fillId="0" borderId="4717" applyNumberFormat="0" applyFill="0" applyAlignment="0" applyProtection="0"/>
    <xf numFmtId="222" fontId="79" fillId="0" borderId="4716" applyBorder="0"/>
    <xf numFmtId="0" fontId="101" fillId="0" borderId="4717" applyBorder="0"/>
    <xf numFmtId="248" fontId="46" fillId="0" borderId="4717"/>
    <xf numFmtId="0" fontId="101" fillId="0" borderId="4717" applyBorder="0"/>
    <xf numFmtId="222" fontId="79" fillId="0" borderId="4716" applyBorder="0"/>
    <xf numFmtId="0" fontId="113" fillId="0" borderId="4717" applyNumberFormat="0" applyFill="0" applyAlignment="0" applyProtection="0"/>
    <xf numFmtId="0" fontId="75" fillId="0" borderId="4718" applyNumberFormat="0" applyFont="0" applyFill="0" applyAlignment="0" applyProtection="0"/>
    <xf numFmtId="0" fontId="12" fillId="0" borderId="4717" applyNumberFormat="0" applyFill="0" applyBorder="0" applyAlignment="0" applyProtection="0">
      <alignment horizontal="center"/>
    </xf>
    <xf numFmtId="248" fontId="46" fillId="0" borderId="4717"/>
    <xf numFmtId="192" fontId="9" fillId="3" borderId="4717">
      <alignment horizontal="right" vertical="center"/>
    </xf>
    <xf numFmtId="180" fontId="9" fillId="3" borderId="4717">
      <alignment horizontal="right" vertical="center"/>
    </xf>
    <xf numFmtId="186" fontId="146" fillId="3" borderId="4717" applyBorder="0">
      <alignment horizontal="left" vertical="center"/>
    </xf>
    <xf numFmtId="186" fontId="146" fillId="3" borderId="4720">
      <alignment horizontal="left"/>
    </xf>
    <xf numFmtId="186" fontId="140" fillId="3" borderId="4721">
      <alignment horizontal="center" vertical="center"/>
    </xf>
    <xf numFmtId="0" fontId="165" fillId="0" borderId="4717" applyFill="0" applyProtection="0">
      <alignment horizontal="center"/>
    </xf>
    <xf numFmtId="0" fontId="166" fillId="0" borderId="4717">
      <alignment horizontal="center"/>
    </xf>
    <xf numFmtId="264" fontId="12" fillId="14" borderId="4717" applyFont="0" applyFill="0" applyBorder="0" applyAlignment="0" applyProtection="0">
      <alignment horizontal="right"/>
    </xf>
    <xf numFmtId="0" fontId="210" fillId="0" borderId="4717" applyNumberFormat="0" applyFill="0" applyBorder="0" applyAlignment="0">
      <protection locked="0"/>
    </xf>
    <xf numFmtId="0" fontId="2" fillId="0" borderId="4722" applyNumberFormat="0" applyAlignment="0" applyProtection="0"/>
    <xf numFmtId="0" fontId="214" fillId="0" borderId="4723" applyNumberFormat="0" applyFont="0" applyFill="0" applyAlignment="0" applyProtection="0"/>
    <xf numFmtId="0" fontId="25" fillId="10" borderId="4724" applyNumberFormat="0" applyProtection="0">
      <alignment horizontal="left" vertical="top"/>
    </xf>
    <xf numFmtId="0" fontId="25" fillId="10" borderId="4725" applyNumberFormat="0" applyProtection="0">
      <alignment horizontal="left" vertical="top"/>
    </xf>
    <xf numFmtId="0" fontId="25" fillId="10" borderId="4726" applyNumberFormat="0" applyProtection="0">
      <alignment horizontal="left" vertical="top"/>
    </xf>
    <xf numFmtId="0" fontId="25" fillId="10" borderId="4727" applyNumberFormat="0" applyProtection="0">
      <alignment horizontal="left" vertical="top"/>
    </xf>
    <xf numFmtId="0" fontId="25" fillId="10" borderId="4724" applyNumberFormat="0" applyProtection="0">
      <alignment horizontal="left" vertical="top"/>
    </xf>
    <xf numFmtId="0" fontId="25" fillId="10" borderId="4725" applyNumberFormat="0" applyProtection="0">
      <alignment horizontal="left" vertical="top"/>
    </xf>
    <xf numFmtId="0" fontId="25" fillId="10" borderId="4726" applyNumberFormat="0" applyProtection="0">
      <alignment horizontal="left" vertical="top"/>
    </xf>
    <xf numFmtId="0" fontId="25" fillId="10" borderId="4727" applyNumberFormat="0" applyProtection="0">
      <alignment horizontal="left" vertical="top"/>
    </xf>
    <xf numFmtId="254" fontId="240" fillId="0" borderId="4717" applyBorder="0" applyProtection="0">
      <alignment horizontal="right" vertical="center"/>
    </xf>
    <xf numFmtId="0" fontId="241" fillId="94" borderId="4717" applyBorder="0" applyProtection="0">
      <alignment horizontal="centerContinuous" vertical="center"/>
    </xf>
    <xf numFmtId="246" fontId="249" fillId="0" borderId="4717" applyFill="0" applyProtection="0">
      <alignment horizontal="center"/>
    </xf>
    <xf numFmtId="246" fontId="250" fillId="0" borderId="4717" applyFill="0" applyProtection="0">
      <alignment horizontal="center"/>
    </xf>
    <xf numFmtId="190" fontId="101" fillId="0" borderId="4717" applyBorder="0"/>
    <xf numFmtId="190" fontId="113" fillId="0" borderId="4717" applyNumberFormat="0" applyFill="0" applyAlignment="0" applyProtection="0"/>
    <xf numFmtId="190" fontId="75" fillId="0" borderId="4694" applyNumberFormat="0" applyFont="0" applyFill="0" applyAlignment="0" applyProtection="0"/>
    <xf numFmtId="190" fontId="12" fillId="0" borderId="4717" applyNumberFormat="0" applyFill="0" applyBorder="0" applyAlignment="0" applyProtection="0">
      <alignment horizontal="center"/>
    </xf>
    <xf numFmtId="190" fontId="78" fillId="14" borderId="4707" applyFont="0" applyFill="0" applyBorder="0" applyAlignment="0" applyProtection="0"/>
    <xf numFmtId="190" fontId="165" fillId="0" borderId="4717" applyFill="0" applyProtection="0">
      <alignment horizontal="center"/>
    </xf>
    <xf numFmtId="190" fontId="166" fillId="0" borderId="4717">
      <alignment horizontal="center"/>
    </xf>
    <xf numFmtId="190" fontId="210" fillId="0" borderId="4717" applyNumberFormat="0" applyFill="0" applyBorder="0" applyAlignment="0">
      <protection locked="0"/>
    </xf>
    <xf numFmtId="190" fontId="2" fillId="0" borderId="4698" applyNumberFormat="0" applyAlignment="0" applyProtection="0"/>
    <xf numFmtId="190" fontId="214" fillId="0" borderId="4699" applyNumberFormat="0" applyFont="0" applyFill="0" applyAlignment="0" applyProtection="0"/>
    <xf numFmtId="190" fontId="25" fillId="10" borderId="4700" applyNumberFormat="0" applyProtection="0">
      <alignment horizontal="left" vertical="top"/>
    </xf>
    <xf numFmtId="190" fontId="25" fillId="10" borderId="4701" applyNumberFormat="0" applyProtection="0">
      <alignment horizontal="left" vertical="top"/>
    </xf>
    <xf numFmtId="190" fontId="25" fillId="10" borderId="4702" applyNumberFormat="0" applyProtection="0">
      <alignment horizontal="left" vertical="top"/>
    </xf>
    <xf numFmtId="190" fontId="25" fillId="10" borderId="4703" applyNumberFormat="0" applyProtection="0">
      <alignment horizontal="left" vertical="top"/>
    </xf>
    <xf numFmtId="190" fontId="241" fillId="94" borderId="4717" applyBorder="0" applyProtection="0">
      <alignment horizontal="centerContinuous" vertical="center"/>
    </xf>
    <xf numFmtId="222" fontId="79" fillId="0" borderId="4716" applyBorder="0"/>
    <xf numFmtId="0" fontId="101" fillId="0" borderId="4717" applyBorder="0"/>
    <xf numFmtId="222" fontId="79" fillId="0" borderId="4716" applyBorder="0"/>
    <xf numFmtId="0" fontId="113" fillId="0" borderId="4717" applyNumberFormat="0" applyFill="0" applyAlignment="0" applyProtection="0"/>
    <xf numFmtId="0" fontId="75" fillId="0" borderId="4694" applyNumberFormat="0" applyFont="0" applyFill="0" applyAlignment="0" applyProtection="0"/>
    <xf numFmtId="0" fontId="12" fillId="0" borderId="4717" applyNumberFormat="0" applyFill="0" applyBorder="0" applyAlignment="0" applyProtection="0">
      <alignment horizontal="center"/>
    </xf>
    <xf numFmtId="248" fontId="46" fillId="0" borderId="4717"/>
    <xf numFmtId="192" fontId="9" fillId="3" borderId="4717">
      <alignment horizontal="right" vertical="center"/>
    </xf>
    <xf numFmtId="180" fontId="9" fillId="3" borderId="4717">
      <alignment horizontal="right" vertical="center"/>
    </xf>
    <xf numFmtId="186" fontId="146" fillId="3" borderId="4717" applyBorder="0">
      <alignment horizontal="left" vertical="center"/>
    </xf>
    <xf numFmtId="186" fontId="146" fillId="3" borderId="4696">
      <alignment horizontal="left"/>
    </xf>
    <xf numFmtId="186" fontId="140" fillId="3" borderId="4697">
      <alignment horizontal="center" vertical="center"/>
    </xf>
    <xf numFmtId="0" fontId="165" fillId="0" borderId="4717" applyFill="0" applyProtection="0">
      <alignment horizontal="center"/>
    </xf>
    <xf numFmtId="0" fontId="166" fillId="0" borderId="4717">
      <alignment horizontal="center"/>
    </xf>
    <xf numFmtId="264" fontId="12" fillId="14" borderId="4717" applyFont="0" applyFill="0" applyBorder="0" applyAlignment="0" applyProtection="0">
      <alignment horizontal="right"/>
    </xf>
    <xf numFmtId="0" fontId="210" fillId="0" borderId="4717" applyNumberFormat="0" applyFill="0" applyBorder="0" applyAlignment="0">
      <protection locked="0"/>
    </xf>
    <xf numFmtId="0" fontId="2" fillId="0" borderId="4698" applyNumberFormat="0" applyAlignment="0" applyProtection="0"/>
    <xf numFmtId="0" fontId="214" fillId="0" borderId="4699" applyNumberFormat="0" applyFont="0" applyFill="0" applyAlignment="0" applyProtection="0"/>
    <xf numFmtId="0" fontId="25" fillId="10" borderId="4700" applyNumberFormat="0" applyProtection="0">
      <alignment horizontal="left" vertical="top"/>
    </xf>
    <xf numFmtId="0" fontId="25" fillId="10" borderId="4701" applyNumberFormat="0" applyProtection="0">
      <alignment horizontal="left" vertical="top"/>
    </xf>
    <xf numFmtId="0" fontId="25" fillId="10" borderId="4702" applyNumberFormat="0" applyProtection="0">
      <alignment horizontal="left" vertical="top"/>
    </xf>
    <xf numFmtId="0" fontId="25" fillId="10" borderId="4703" applyNumberFormat="0" applyProtection="0">
      <alignment horizontal="left" vertical="top"/>
    </xf>
    <xf numFmtId="0" fontId="25" fillId="10" borderId="4700" applyNumberFormat="0" applyProtection="0">
      <alignment horizontal="left" vertical="top"/>
    </xf>
    <xf numFmtId="0" fontId="25" fillId="10" borderId="4701" applyNumberFormat="0" applyProtection="0">
      <alignment horizontal="left" vertical="top"/>
    </xf>
    <xf numFmtId="0" fontId="25" fillId="10" borderId="4702" applyNumberFormat="0" applyProtection="0">
      <alignment horizontal="left" vertical="top"/>
    </xf>
    <xf numFmtId="0" fontId="25" fillId="10" borderId="4703" applyNumberFormat="0" applyProtection="0">
      <alignment horizontal="left" vertical="top"/>
    </xf>
    <xf numFmtId="254" fontId="240" fillId="0" borderId="4717" applyBorder="0" applyProtection="0">
      <alignment horizontal="right" vertical="center"/>
    </xf>
    <xf numFmtId="0" fontId="241" fillId="94" borderId="4717" applyBorder="0" applyProtection="0">
      <alignment horizontal="centerContinuous" vertical="center"/>
    </xf>
    <xf numFmtId="246" fontId="249" fillId="0" borderId="4717" applyFill="0" applyProtection="0">
      <alignment horizontal="center"/>
    </xf>
    <xf numFmtId="246" fontId="250" fillId="0" borderId="4717" applyFill="0" applyProtection="0">
      <alignment horizontal="center"/>
    </xf>
    <xf numFmtId="312" fontId="101" fillId="0" borderId="4717" applyBorder="0"/>
    <xf numFmtId="312" fontId="113" fillId="0" borderId="4717" applyNumberFormat="0" applyFill="0" applyAlignment="0" applyProtection="0"/>
    <xf numFmtId="312" fontId="75" fillId="0" borderId="4694" applyNumberFormat="0" applyFont="0" applyFill="0" applyAlignment="0" applyProtection="0"/>
    <xf numFmtId="312" fontId="12" fillId="0" borderId="4717" applyNumberFormat="0" applyFill="0" applyBorder="0" applyAlignment="0" applyProtection="0">
      <alignment horizontal="center"/>
    </xf>
    <xf numFmtId="312" fontId="165" fillId="0" borderId="4717" applyFill="0" applyProtection="0">
      <alignment horizontal="center"/>
    </xf>
    <xf numFmtId="312" fontId="242" fillId="0" borderId="4717">
      <alignment horizontal="center"/>
    </xf>
    <xf numFmtId="312" fontId="210" fillId="0" borderId="4717" applyNumberFormat="0" applyFill="0" applyBorder="0" applyAlignment="0">
      <protection locked="0"/>
    </xf>
    <xf numFmtId="312" fontId="2" fillId="0" borderId="4698" applyNumberFormat="0" applyAlignment="0" applyProtection="0"/>
    <xf numFmtId="312" fontId="214" fillId="0" borderId="4699" applyNumberFormat="0" applyFont="0" applyFill="0" applyAlignment="0" applyProtection="0"/>
    <xf numFmtId="312" fontId="25" fillId="10" borderId="4700" applyNumberFormat="0" applyProtection="0">
      <alignment horizontal="left" vertical="top"/>
    </xf>
    <xf numFmtId="312" fontId="25" fillId="10" borderId="4701" applyNumberFormat="0" applyProtection="0">
      <alignment horizontal="left" vertical="top"/>
    </xf>
    <xf numFmtId="312" fontId="25" fillId="10" borderId="4702" applyNumberFormat="0" applyProtection="0">
      <alignment horizontal="left" vertical="top"/>
    </xf>
    <xf numFmtId="312" fontId="25" fillId="10" borderId="4703" applyNumberFormat="0" applyProtection="0">
      <alignment horizontal="left" vertical="top"/>
    </xf>
    <xf numFmtId="312" fontId="241" fillId="94" borderId="4717" applyBorder="0" applyProtection="0">
      <alignment horizontal="centerContinuous" vertical="center"/>
    </xf>
    <xf numFmtId="246" fontId="296" fillId="0" borderId="4717" applyFill="0" applyProtection="0">
      <alignment horizontal="center"/>
    </xf>
    <xf numFmtId="312" fontId="101" fillId="0" borderId="4717" applyBorder="0"/>
    <xf numFmtId="312" fontId="113" fillId="0" borderId="4717" applyNumberFormat="0" applyFill="0" applyAlignment="0" applyProtection="0"/>
    <xf numFmtId="312" fontId="75" fillId="0" borderId="4694" applyNumberFormat="0" applyFont="0" applyFill="0" applyAlignment="0" applyProtection="0"/>
    <xf numFmtId="312" fontId="12" fillId="0" borderId="4717" applyNumberFormat="0" applyFill="0" applyBorder="0" applyAlignment="0" applyProtection="0">
      <alignment horizontal="center"/>
    </xf>
    <xf numFmtId="312" fontId="165" fillId="0" borderId="4717" applyFill="0" applyProtection="0">
      <alignment horizontal="center"/>
    </xf>
    <xf numFmtId="312" fontId="242" fillId="0" borderId="4717">
      <alignment horizontal="center"/>
    </xf>
    <xf numFmtId="312" fontId="210" fillId="0" borderId="4717" applyNumberFormat="0" applyFill="0" applyBorder="0" applyAlignment="0">
      <protection locked="0"/>
    </xf>
    <xf numFmtId="312" fontId="2" fillId="0" borderId="4698" applyNumberFormat="0" applyAlignment="0" applyProtection="0"/>
    <xf numFmtId="312" fontId="214" fillId="0" borderId="4699" applyNumberFormat="0" applyFont="0" applyFill="0" applyAlignment="0" applyProtection="0"/>
    <xf numFmtId="312" fontId="25" fillId="10" borderId="4700" applyNumberFormat="0" applyProtection="0">
      <alignment horizontal="left" vertical="top"/>
    </xf>
    <xf numFmtId="312" fontId="25" fillId="10" borderId="4701" applyNumberFormat="0" applyProtection="0">
      <alignment horizontal="left" vertical="top"/>
    </xf>
    <xf numFmtId="312" fontId="25" fillId="10" borderId="4702" applyNumberFormat="0" applyProtection="0">
      <alignment horizontal="left" vertical="top"/>
    </xf>
    <xf numFmtId="312" fontId="25" fillId="10" borderId="4703" applyNumberFormat="0" applyProtection="0">
      <alignment horizontal="left" vertical="top"/>
    </xf>
    <xf numFmtId="312" fontId="25" fillId="10" borderId="4700" applyNumberFormat="0" applyProtection="0">
      <alignment horizontal="left" vertical="top"/>
    </xf>
    <xf numFmtId="312" fontId="25" fillId="10" borderId="4701" applyNumberFormat="0" applyProtection="0">
      <alignment horizontal="left" vertical="top"/>
    </xf>
    <xf numFmtId="312" fontId="25" fillId="10" borderId="4702" applyNumberFormat="0" applyProtection="0">
      <alignment horizontal="left" vertical="top"/>
    </xf>
    <xf numFmtId="312" fontId="25" fillId="10" borderId="4703" applyNumberFormat="0" applyProtection="0">
      <alignment horizontal="left" vertical="top"/>
    </xf>
    <xf numFmtId="312" fontId="241" fillId="94" borderId="4717" applyBorder="0" applyProtection="0">
      <alignment horizontal="centerContinuous" vertical="center"/>
    </xf>
    <xf numFmtId="246" fontId="296" fillId="0" borderId="4717" applyFill="0" applyProtection="0">
      <alignment horizontal="center"/>
    </xf>
    <xf numFmtId="246" fontId="250" fillId="0" borderId="4717" applyFill="0" applyProtection="0">
      <alignment horizontal="center"/>
    </xf>
    <xf numFmtId="246" fontId="249" fillId="0" borderId="4717" applyFill="0" applyProtection="0">
      <alignment horizontal="center"/>
    </xf>
    <xf numFmtId="0" fontId="241" fillId="94" borderId="4717" applyBorder="0" applyProtection="0">
      <alignment horizontal="centerContinuous" vertical="center"/>
    </xf>
    <xf numFmtId="254" fontId="240" fillId="0" borderId="4717" applyBorder="0" applyProtection="0">
      <alignment horizontal="right" vertical="center"/>
    </xf>
    <xf numFmtId="0" fontId="25" fillId="10" borderId="4715" applyNumberFormat="0" applyProtection="0">
      <alignment horizontal="left" vertical="top"/>
    </xf>
    <xf numFmtId="0" fontId="25" fillId="10" borderId="4714" applyNumberFormat="0" applyProtection="0">
      <alignment horizontal="left" vertical="top"/>
    </xf>
    <xf numFmtId="0" fontId="25" fillId="10" borderId="4713" applyNumberFormat="0" applyProtection="0">
      <alignment horizontal="left" vertical="top"/>
    </xf>
    <xf numFmtId="0" fontId="25" fillId="10" borderId="4712" applyNumberFormat="0" applyProtection="0">
      <alignment horizontal="left" vertical="top"/>
    </xf>
    <xf numFmtId="0" fontId="214" fillId="0" borderId="4711" applyNumberFormat="0" applyFont="0" applyFill="0" applyAlignment="0" applyProtection="0"/>
    <xf numFmtId="0" fontId="2" fillId="0" borderId="4710" applyNumberFormat="0" applyAlignment="0" applyProtection="0"/>
    <xf numFmtId="0" fontId="210" fillId="0" borderId="4717" applyNumberFormat="0" applyFill="0" applyBorder="0" applyAlignment="0">
      <protection locked="0"/>
    </xf>
    <xf numFmtId="264" fontId="12" fillId="14" borderId="4717" applyFont="0" applyFill="0" applyBorder="0" applyAlignment="0" applyProtection="0">
      <alignment horizontal="right"/>
    </xf>
    <xf numFmtId="0" fontId="166" fillId="0" borderId="4717">
      <alignment horizontal="center"/>
    </xf>
    <xf numFmtId="0" fontId="165" fillId="0" borderId="4717" applyFill="0" applyProtection="0">
      <alignment horizontal="center"/>
    </xf>
    <xf numFmtId="186" fontId="140" fillId="3" borderId="4709">
      <alignment horizontal="center" vertical="center"/>
    </xf>
    <xf numFmtId="186" fontId="146" fillId="3" borderId="4708">
      <alignment horizontal="left"/>
    </xf>
    <xf numFmtId="186" fontId="146" fillId="3" borderId="4717" applyBorder="0">
      <alignment horizontal="left" vertical="center"/>
    </xf>
    <xf numFmtId="180" fontId="9" fillId="3" borderId="4717">
      <alignment horizontal="right" vertical="center"/>
    </xf>
    <xf numFmtId="192" fontId="9" fillId="3" borderId="4717">
      <alignment horizontal="right" vertical="center"/>
    </xf>
    <xf numFmtId="248" fontId="46" fillId="0" borderId="4717"/>
    <xf numFmtId="0" fontId="78" fillId="14" borderId="4707" applyFont="0" applyFill="0" applyBorder="0" applyAlignment="0" applyProtection="0"/>
    <xf numFmtId="0" fontId="12" fillId="0" borderId="4717" applyNumberFormat="0" applyFill="0" applyBorder="0" applyAlignment="0" applyProtection="0">
      <alignment horizontal="center"/>
    </xf>
    <xf numFmtId="0" fontId="75" fillId="0" borderId="4706" applyNumberFormat="0" applyFont="0" applyFill="0" applyAlignment="0" applyProtection="0"/>
    <xf numFmtId="0" fontId="113" fillId="0" borderId="4717" applyNumberFormat="0" applyFill="0" applyAlignment="0" applyProtection="0"/>
    <xf numFmtId="222" fontId="79" fillId="0" borderId="4716" applyBorder="0"/>
    <xf numFmtId="0" fontId="101" fillId="0" borderId="4717" applyBorder="0"/>
    <xf numFmtId="0" fontId="25" fillId="10" borderId="4724" applyNumberFormat="0" applyProtection="0">
      <alignment horizontal="left" vertical="top"/>
    </xf>
    <xf numFmtId="0" fontId="25" fillId="10" borderId="4725" applyNumberFormat="0" applyProtection="0">
      <alignment horizontal="left" vertical="top"/>
    </xf>
    <xf numFmtId="0" fontId="25" fillId="10" borderId="4726" applyNumberFormat="0" applyProtection="0">
      <alignment horizontal="left" vertical="top"/>
    </xf>
    <xf numFmtId="0" fontId="25" fillId="10" borderId="4727" applyNumberFormat="0" applyProtection="0">
      <alignment horizontal="left" vertical="top"/>
    </xf>
    <xf numFmtId="246" fontId="250" fillId="0" borderId="4705" applyFill="0" applyProtection="0">
      <alignment horizontal="center"/>
    </xf>
    <xf numFmtId="246" fontId="249" fillId="0" borderId="4705" applyFill="0" applyProtection="0">
      <alignment horizontal="center"/>
    </xf>
    <xf numFmtId="0" fontId="241" fillId="94" borderId="4705" applyBorder="0" applyProtection="0">
      <alignment horizontal="centerContinuous" vertical="center"/>
    </xf>
    <xf numFmtId="254" fontId="240" fillId="0" borderId="4705" applyBorder="0" applyProtection="0">
      <alignment horizontal="right" vertical="center"/>
    </xf>
    <xf numFmtId="0" fontId="210" fillId="0" borderId="4705" applyNumberFormat="0" applyFill="0" applyBorder="0" applyAlignment="0">
      <protection locked="0"/>
    </xf>
    <xf numFmtId="264" fontId="12" fillId="14" borderId="4705" applyFont="0" applyFill="0" applyBorder="0" applyAlignment="0" applyProtection="0">
      <alignment horizontal="right"/>
    </xf>
    <xf numFmtId="0" fontId="166" fillId="0" borderId="4705">
      <alignment horizontal="center"/>
    </xf>
    <xf numFmtId="0" fontId="165" fillId="0" borderId="4705" applyFill="0" applyProtection="0">
      <alignment horizontal="center"/>
    </xf>
    <xf numFmtId="186" fontId="146" fillId="3" borderId="4705" applyBorder="0">
      <alignment horizontal="left" vertical="center"/>
    </xf>
    <xf numFmtId="180" fontId="9" fillId="3" borderId="4705">
      <alignment horizontal="right" vertical="center"/>
    </xf>
    <xf numFmtId="192" fontId="9" fillId="3" borderId="4705">
      <alignment horizontal="right" vertical="center"/>
    </xf>
    <xf numFmtId="248" fontId="46" fillId="0" borderId="4705"/>
    <xf numFmtId="0" fontId="12" fillId="0" borderId="4705" applyNumberFormat="0" applyFill="0" applyBorder="0" applyAlignment="0" applyProtection="0">
      <alignment horizontal="center"/>
    </xf>
    <xf numFmtId="0" fontId="113" fillId="0" borderId="4705" applyNumberFormat="0" applyFill="0" applyAlignment="0" applyProtection="0"/>
    <xf numFmtId="222" fontId="79" fillId="0" borderId="4704" applyBorder="0"/>
    <xf numFmtId="0" fontId="101" fillId="0" borderId="4705" applyBorder="0"/>
    <xf numFmtId="246" fontId="250" fillId="0" borderId="4705" applyFill="0" applyProtection="0">
      <alignment horizontal="center"/>
    </xf>
    <xf numFmtId="246" fontId="249" fillId="0" borderId="4705" applyFill="0" applyProtection="0">
      <alignment horizontal="center"/>
    </xf>
    <xf numFmtId="0" fontId="241" fillId="94" borderId="4705" applyBorder="0" applyProtection="0">
      <alignment horizontal="centerContinuous" vertical="center"/>
    </xf>
    <xf numFmtId="254" fontId="240" fillId="0" borderId="4705" applyBorder="0" applyProtection="0">
      <alignment horizontal="right" vertical="center"/>
    </xf>
    <xf numFmtId="0" fontId="210" fillId="0" borderId="4705" applyNumberFormat="0" applyFill="0" applyBorder="0" applyAlignment="0">
      <protection locked="0"/>
    </xf>
    <xf numFmtId="264" fontId="12" fillId="14" borderId="4705" applyFont="0" applyFill="0" applyBorder="0" applyAlignment="0" applyProtection="0">
      <alignment horizontal="right"/>
    </xf>
    <xf numFmtId="0" fontId="166" fillId="0" borderId="4705">
      <alignment horizontal="center"/>
    </xf>
    <xf numFmtId="0" fontId="165" fillId="0" borderId="4705" applyFill="0" applyProtection="0">
      <alignment horizontal="center"/>
    </xf>
    <xf numFmtId="186" fontId="146" fillId="3" borderId="4705" applyBorder="0">
      <alignment horizontal="left" vertical="center"/>
    </xf>
    <xf numFmtId="180" fontId="9" fillId="3" borderId="4705">
      <alignment horizontal="right" vertical="center"/>
    </xf>
    <xf numFmtId="192" fontId="9" fillId="3" borderId="4705">
      <alignment horizontal="right" vertical="center"/>
    </xf>
    <xf numFmtId="0" fontId="12" fillId="0" borderId="4705" applyNumberFormat="0" applyFill="0" applyBorder="0" applyAlignment="0" applyProtection="0">
      <alignment horizontal="center"/>
    </xf>
    <xf numFmtId="0" fontId="113" fillId="0" borderId="4705" applyNumberFormat="0" applyFill="0" applyAlignment="0" applyProtection="0"/>
    <xf numFmtId="222" fontId="79" fillId="0" borderId="4704" applyBorder="0"/>
    <xf numFmtId="0" fontId="101" fillId="0" borderId="4705" applyBorder="0"/>
    <xf numFmtId="248" fontId="46" fillId="0" borderId="4705"/>
    <xf numFmtId="246" fontId="250" fillId="0" borderId="4705" applyFill="0" applyProtection="0">
      <alignment horizontal="center"/>
    </xf>
    <xf numFmtId="246" fontId="249" fillId="0" borderId="4705" applyFill="0" applyProtection="0">
      <alignment horizontal="center"/>
    </xf>
    <xf numFmtId="0" fontId="241" fillId="94" borderId="4705" applyBorder="0" applyProtection="0">
      <alignment horizontal="centerContinuous" vertical="center"/>
    </xf>
    <xf numFmtId="254" fontId="240" fillId="0" borderId="4705" applyBorder="0" applyProtection="0">
      <alignment horizontal="right" vertical="center"/>
    </xf>
    <xf numFmtId="0" fontId="210" fillId="0" borderId="4705" applyNumberFormat="0" applyFill="0" applyBorder="0" applyAlignment="0">
      <protection locked="0"/>
    </xf>
    <xf numFmtId="264" fontId="12" fillId="14" borderId="4705" applyFont="0" applyFill="0" applyBorder="0" applyAlignment="0" applyProtection="0">
      <alignment horizontal="right"/>
    </xf>
    <xf numFmtId="0" fontId="166" fillId="0" borderId="4705">
      <alignment horizontal="center"/>
    </xf>
    <xf numFmtId="0" fontId="165" fillId="0" borderId="4705" applyFill="0" applyProtection="0">
      <alignment horizontal="center"/>
    </xf>
    <xf numFmtId="186" fontId="146" fillId="3" borderId="4705" applyBorder="0">
      <alignment horizontal="left" vertical="center"/>
    </xf>
    <xf numFmtId="180" fontId="9" fillId="3" borderId="4705">
      <alignment horizontal="right" vertical="center"/>
    </xf>
    <xf numFmtId="192" fontId="9" fillId="3" borderId="4705">
      <alignment horizontal="right" vertical="center"/>
    </xf>
    <xf numFmtId="248" fontId="46" fillId="0" borderId="4705"/>
    <xf numFmtId="0" fontId="12" fillId="0" borderId="4705" applyNumberFormat="0" applyFill="0" applyBorder="0" applyAlignment="0" applyProtection="0">
      <alignment horizontal="center"/>
    </xf>
    <xf numFmtId="0" fontId="113" fillId="0" borderId="4705" applyNumberFormat="0" applyFill="0" applyAlignment="0" applyProtection="0"/>
    <xf numFmtId="222" fontId="79" fillId="0" borderId="4704" applyBorder="0"/>
    <xf numFmtId="0" fontId="101" fillId="0" borderId="4705" applyBorder="0"/>
    <xf numFmtId="312" fontId="101" fillId="0" borderId="4810" applyBorder="0"/>
    <xf numFmtId="312" fontId="12" fillId="0" borderId="4729" applyNumberFormat="0" applyFill="0" applyBorder="0" applyAlignment="0" applyProtection="0"/>
    <xf numFmtId="312" fontId="46" fillId="0" borderId="4729" applyNumberFormat="0" applyFill="0" applyBorder="0" applyAlignment="0" applyProtection="0"/>
    <xf numFmtId="312" fontId="105" fillId="0" borderId="4729" applyNumberFormat="0" applyFill="0" applyBorder="0" applyAlignment="0" applyProtection="0"/>
    <xf numFmtId="312" fontId="48" fillId="0" borderId="4729" applyNumberFormat="0" applyFill="0" applyAlignment="0" applyProtection="0"/>
    <xf numFmtId="312" fontId="113" fillId="0" borderId="4810" applyNumberFormat="0" applyFill="0" applyAlignment="0" applyProtection="0"/>
    <xf numFmtId="312" fontId="75" fillId="0" borderId="4787" applyNumberFormat="0" applyFont="0" applyFill="0" applyAlignment="0" applyProtection="0"/>
    <xf numFmtId="312" fontId="12" fillId="0" borderId="4810" applyNumberFormat="0" applyFill="0" applyBorder="0" applyAlignment="0" applyProtection="0">
      <alignment horizontal="center"/>
    </xf>
    <xf numFmtId="312" fontId="78" fillId="14" borderId="4707" applyFont="0" applyFill="0" applyBorder="0" applyAlignment="0" applyProtection="0"/>
    <xf numFmtId="312" fontId="74" fillId="0" borderId="4728" applyFont="0" applyFill="0" applyBorder="0" applyAlignment="0" applyProtection="0">
      <alignment horizontal="center"/>
    </xf>
    <xf numFmtId="312" fontId="48" fillId="0" borderId="4728" applyFont="0" applyFill="0" applyBorder="0" applyAlignment="0" applyProtection="0">
      <alignment horizontal="center"/>
    </xf>
    <xf numFmtId="312" fontId="135" fillId="0" borderId="4730"/>
    <xf numFmtId="312" fontId="135" fillId="0" borderId="4730"/>
    <xf numFmtId="312" fontId="159" fillId="0" borderId="4730"/>
    <xf numFmtId="312" fontId="159" fillId="67" borderId="4730"/>
    <xf numFmtId="312" fontId="165" fillId="0" borderId="4810" applyFill="0" applyProtection="0">
      <alignment horizontal="center"/>
    </xf>
    <xf numFmtId="312" fontId="242" fillId="0" borderId="4810">
      <alignment horizontal="center"/>
    </xf>
    <xf numFmtId="312" fontId="25" fillId="69" borderId="4730">
      <alignment horizontal="left" vertical="center" wrapText="1"/>
    </xf>
    <xf numFmtId="312" fontId="184" fillId="0" borderId="4731" applyAlignment="0">
      <alignment horizontal="left" wrapText="1"/>
    </xf>
    <xf numFmtId="312" fontId="210" fillId="0" borderId="4810" applyNumberFormat="0" applyFill="0" applyBorder="0" applyAlignment="0">
      <protection locked="0"/>
    </xf>
    <xf numFmtId="312" fontId="2" fillId="0" borderId="4791" applyNumberFormat="0" applyAlignment="0" applyProtection="0"/>
    <xf numFmtId="312" fontId="214" fillId="0" borderId="4792" applyNumberFormat="0" applyFont="0" applyFill="0" applyAlignment="0" applyProtection="0"/>
    <xf numFmtId="312" fontId="225" fillId="53" borderId="4732" applyNumberFormat="0" applyProtection="0">
      <alignment horizontal="left" vertical="top" indent="1"/>
    </xf>
    <xf numFmtId="312" fontId="12" fillId="75" borderId="4732" applyNumberFormat="0" applyProtection="0">
      <alignment horizontal="left" vertical="center" indent="1"/>
    </xf>
    <xf numFmtId="312" fontId="12" fillId="75" borderId="4732" applyNumberFormat="0" applyProtection="0">
      <alignment horizontal="left" vertical="top" indent="1"/>
    </xf>
    <xf numFmtId="312" fontId="12" fillId="84" borderId="4732" applyNumberFormat="0" applyProtection="0">
      <alignment horizontal="left" vertical="center" indent="1"/>
    </xf>
    <xf numFmtId="312" fontId="12" fillId="84" borderId="4732" applyNumberFormat="0" applyProtection="0">
      <alignment horizontal="left" vertical="top" indent="1"/>
    </xf>
    <xf numFmtId="312" fontId="12" fillId="52" borderId="4732" applyNumberFormat="0" applyProtection="0">
      <alignment horizontal="left" vertical="center" indent="1"/>
    </xf>
    <xf numFmtId="312" fontId="12" fillId="52" borderId="4732" applyNumberFormat="0" applyProtection="0">
      <alignment horizontal="left" vertical="top" indent="1"/>
    </xf>
    <xf numFmtId="312" fontId="12" fillId="11" borderId="4732" applyNumberFormat="0" applyProtection="0">
      <alignment horizontal="left" vertical="center" indent="1"/>
    </xf>
    <xf numFmtId="312" fontId="12" fillId="11" borderId="4732" applyNumberFormat="0" applyProtection="0">
      <alignment horizontal="left" vertical="top" indent="1"/>
    </xf>
    <xf numFmtId="312" fontId="136" fillId="14" borderId="4732" applyNumberFormat="0" applyProtection="0">
      <alignment horizontal="left" vertical="top" indent="1"/>
    </xf>
    <xf numFmtId="312" fontId="136" fillId="84" borderId="4732" applyNumberFormat="0" applyProtection="0">
      <alignment horizontal="left" vertical="top" indent="1"/>
    </xf>
    <xf numFmtId="312" fontId="25" fillId="10" borderId="4730" applyNumberFormat="0" applyProtection="0">
      <alignment horizontal="center" vertical="top"/>
    </xf>
    <xf numFmtId="312" fontId="25" fillId="10" borderId="4730" applyNumberFormat="0" applyProtection="0">
      <alignment horizontal="center" vertical="top"/>
    </xf>
    <xf numFmtId="312" fontId="12" fillId="3" borderId="4730" applyNumberFormat="0" applyFont="0" applyAlignment="0" applyProtection="0"/>
    <xf numFmtId="312" fontId="12" fillId="10" borderId="4730" applyNumberFormat="0" applyFont="0" applyAlignment="0" applyProtection="0"/>
    <xf numFmtId="312" fontId="12" fillId="10" borderId="4730" applyNumberFormat="0" applyFont="0" applyProtection="0"/>
    <xf numFmtId="312" fontId="25" fillId="10" borderId="4735" applyNumberFormat="0" applyProtection="0">
      <alignment horizontal="left"/>
    </xf>
    <xf numFmtId="312" fontId="25" fillId="10" borderId="4736" applyNumberFormat="0" applyProtection="0">
      <alignment horizontal="left" vertical="top"/>
    </xf>
    <xf numFmtId="312" fontId="25" fillId="10" borderId="4737" applyNumberFormat="0" applyProtection="0">
      <alignment horizontal="left" vertical="top"/>
    </xf>
    <xf numFmtId="312" fontId="25" fillId="10" borderId="4793" applyNumberFormat="0" applyProtection="0">
      <alignment horizontal="left" vertical="top"/>
    </xf>
    <xf numFmtId="312" fontId="25" fillId="10" borderId="4794" applyNumberFormat="0" applyProtection="0">
      <alignment horizontal="left" vertical="top"/>
    </xf>
    <xf numFmtId="312" fontId="25" fillId="10" borderId="4738" applyNumberFormat="0" applyProtection="0">
      <alignment horizontal="left" vertical="top"/>
    </xf>
    <xf numFmtId="312" fontId="25" fillId="10" borderId="4795" applyNumberFormat="0" applyProtection="0">
      <alignment horizontal="left" vertical="top"/>
    </xf>
    <xf numFmtId="312" fontId="25" fillId="10" borderId="4739" applyNumberFormat="0" applyProtection="0">
      <alignment horizontal="left" vertical="top"/>
    </xf>
    <xf numFmtId="312" fontId="25" fillId="10" borderId="4796" applyNumberFormat="0" applyProtection="0">
      <alignment horizontal="left" vertical="top"/>
    </xf>
    <xf numFmtId="312" fontId="25" fillId="10" borderId="4740" applyNumberFormat="0" applyProtection="0">
      <alignment horizontal="left" vertical="top"/>
    </xf>
    <xf numFmtId="312" fontId="25" fillId="10" borderId="4741" applyNumberFormat="0" applyProtection="0">
      <alignment horizontal="left" vertical="top"/>
    </xf>
    <xf numFmtId="312" fontId="12" fillId="0" borderId="4729" applyNumberFormat="0" applyFill="0" applyBorder="0" applyAlignment="0" applyProtection="0"/>
    <xf numFmtId="312" fontId="241" fillId="94" borderId="4810" applyBorder="0" applyProtection="0">
      <alignment horizontal="centerContinuous" vertical="center"/>
    </xf>
    <xf numFmtId="246" fontId="296" fillId="0" borderId="4810" applyFill="0" applyProtection="0">
      <alignment horizontal="center"/>
    </xf>
    <xf numFmtId="10" fontId="12" fillId="3" borderId="4742" applyNumberFormat="0" applyFont="0" applyFill="0" applyBorder="0" applyAlignment="0">
      <protection locked="0"/>
    </xf>
    <xf numFmtId="312" fontId="12" fillId="0" borderId="4729" applyNumberFormat="0" applyFill="0" applyBorder="0" applyAlignment="0" applyProtection="0"/>
    <xf numFmtId="312" fontId="12" fillId="0" borderId="4729" applyNumberFormat="0" applyFill="0" applyBorder="0" applyAlignment="0" applyProtection="0"/>
    <xf numFmtId="312" fontId="12" fillId="0" borderId="4729" applyNumberFormat="0" applyFill="0" applyBorder="0" applyAlignment="0" applyProtection="0"/>
    <xf numFmtId="312" fontId="101" fillId="0" borderId="4810" applyBorder="0"/>
    <xf numFmtId="312" fontId="113" fillId="0" borderId="4810" applyNumberFormat="0" applyFill="0" applyAlignment="0" applyProtection="0"/>
    <xf numFmtId="312" fontId="75" fillId="0" borderId="4787" applyNumberFormat="0" applyFont="0" applyFill="0" applyAlignment="0" applyProtection="0"/>
    <xf numFmtId="312" fontId="12" fillId="0" borderId="4810" applyNumberFormat="0" applyFill="0" applyBorder="0" applyAlignment="0" applyProtection="0">
      <alignment horizontal="center"/>
    </xf>
    <xf numFmtId="312" fontId="78" fillId="14" borderId="4707" applyFont="0" applyFill="0" applyBorder="0" applyAlignment="0" applyProtection="0"/>
    <xf numFmtId="312" fontId="5" fillId="0" borderId="4745">
      <alignment horizontal="left" vertical="center"/>
    </xf>
    <xf numFmtId="312" fontId="165" fillId="0" borderId="4810" applyFill="0" applyProtection="0">
      <alignment horizontal="center"/>
    </xf>
    <xf numFmtId="312" fontId="242" fillId="0" borderId="4810">
      <alignment horizontal="center"/>
    </xf>
    <xf numFmtId="312" fontId="210" fillId="0" borderId="4810" applyNumberFormat="0" applyFill="0" applyBorder="0" applyAlignment="0">
      <protection locked="0"/>
    </xf>
    <xf numFmtId="312" fontId="2" fillId="0" borderId="4791" applyNumberFormat="0" applyAlignment="0" applyProtection="0"/>
    <xf numFmtId="312" fontId="214" fillId="0" borderId="4792" applyNumberFormat="0" applyFont="0" applyFill="0" applyAlignment="0" applyProtection="0"/>
    <xf numFmtId="312" fontId="25" fillId="10" borderId="4793" applyNumberFormat="0" applyProtection="0">
      <alignment horizontal="left" vertical="top"/>
    </xf>
    <xf numFmtId="312" fontId="25" fillId="10" borderId="4794" applyNumberFormat="0" applyProtection="0">
      <alignment horizontal="left" vertical="top"/>
    </xf>
    <xf numFmtId="312" fontId="25" fillId="10" borderId="4795" applyNumberFormat="0" applyProtection="0">
      <alignment horizontal="left" vertical="top"/>
    </xf>
    <xf numFmtId="312" fontId="25" fillId="10" borderId="4796" applyNumberFormat="0" applyProtection="0">
      <alignment horizontal="left" vertical="top"/>
    </xf>
    <xf numFmtId="312" fontId="25" fillId="10" borderId="4793" applyNumberFormat="0" applyProtection="0">
      <alignment horizontal="left" vertical="top"/>
    </xf>
    <xf numFmtId="312" fontId="25" fillId="10" borderId="4794" applyNumberFormat="0" applyProtection="0">
      <alignment horizontal="left" vertical="top"/>
    </xf>
    <xf numFmtId="312" fontId="25" fillId="10" borderId="4795" applyNumberFormat="0" applyProtection="0">
      <alignment horizontal="left" vertical="top"/>
    </xf>
    <xf numFmtId="312" fontId="25" fillId="10" borderId="4796" applyNumberFormat="0" applyProtection="0">
      <alignment horizontal="left" vertical="top"/>
    </xf>
    <xf numFmtId="312" fontId="241" fillId="94" borderId="4810" applyBorder="0" applyProtection="0">
      <alignment horizontal="centerContinuous" vertical="center"/>
    </xf>
    <xf numFmtId="246" fontId="296" fillId="0" borderId="4810" applyFill="0" applyProtection="0">
      <alignment horizontal="center"/>
    </xf>
    <xf numFmtId="0" fontId="75" fillId="0" borderId="4908" applyNumberFormat="0" applyFont="0" applyFill="0" applyAlignment="0" applyProtection="0"/>
    <xf numFmtId="312" fontId="25" fillId="10" borderId="4953" applyNumberFormat="0" applyProtection="0">
      <alignment horizontal="left" vertical="top"/>
    </xf>
    <xf numFmtId="10" fontId="12" fillId="3" borderId="4742" applyNumberFormat="0" applyFont="0" applyFill="0" applyBorder="0" applyAlignment="0">
      <protection locked="0"/>
    </xf>
    <xf numFmtId="1" fontId="154" fillId="65" borderId="4439" applyNumberFormat="0" applyBorder="0" applyAlignment="0">
      <alignment horizontal="centerContinuous" vertical="center"/>
      <protection locked="0"/>
    </xf>
    <xf numFmtId="0" fontId="12" fillId="0" borderId="4729" applyNumberFormat="0" applyFill="0" applyBorder="0" applyAlignment="0" applyProtection="0"/>
    <xf numFmtId="0" fontId="12" fillId="0" borderId="4729" applyNumberFormat="0" applyFill="0" applyBorder="0" applyAlignment="0" applyProtection="0"/>
    <xf numFmtId="0" fontId="12" fillId="0" borderId="4729" applyNumberFormat="0" applyFill="0" applyBorder="0" applyAlignment="0" applyProtection="0"/>
    <xf numFmtId="10" fontId="12" fillId="3" borderId="4742" applyNumberFormat="0" applyFont="0" applyFill="0" applyBorder="0" applyAlignment="0">
      <protection locked="0"/>
    </xf>
    <xf numFmtId="246" fontId="250" fillId="0" borderId="4810" applyFill="0" applyProtection="0">
      <alignment horizontal="center"/>
    </xf>
    <xf numFmtId="246" fontId="249" fillId="0" borderId="4810" applyFill="0" applyProtection="0">
      <alignment horizontal="center"/>
    </xf>
    <xf numFmtId="0" fontId="241" fillId="94" borderId="4810" applyBorder="0" applyProtection="0">
      <alignment horizontal="centerContinuous" vertical="center"/>
    </xf>
    <xf numFmtId="254" fontId="240" fillId="0" borderId="4810" applyBorder="0" applyProtection="0">
      <alignment horizontal="right" vertical="center"/>
    </xf>
    <xf numFmtId="0" fontId="12" fillId="0" borderId="4729" applyNumberFormat="0" applyFill="0" applyBorder="0" applyAlignment="0" applyProtection="0"/>
    <xf numFmtId="0" fontId="25" fillId="10" borderId="4741" applyNumberFormat="0" applyProtection="0">
      <alignment horizontal="left" vertical="top"/>
    </xf>
    <xf numFmtId="0" fontId="25" fillId="10" borderId="4740" applyNumberFormat="0" applyProtection="0">
      <alignment horizontal="left" vertical="top"/>
    </xf>
    <xf numFmtId="0" fontId="25" fillId="10" borderId="4727" applyNumberFormat="0" applyProtection="0">
      <alignment horizontal="left" vertical="top"/>
    </xf>
    <xf numFmtId="0" fontId="25" fillId="10" borderId="4739" applyNumberFormat="0" applyProtection="0">
      <alignment horizontal="left" vertical="top"/>
    </xf>
    <xf numFmtId="0" fontId="25" fillId="10" borderId="4726" applyNumberFormat="0" applyProtection="0">
      <alignment horizontal="left" vertical="top"/>
    </xf>
    <xf numFmtId="0" fontId="25" fillId="10" borderId="4738" applyNumberFormat="0" applyProtection="0">
      <alignment horizontal="left" vertical="top"/>
    </xf>
    <xf numFmtId="0" fontId="25" fillId="10" borderId="4725" applyNumberFormat="0" applyProtection="0">
      <alignment horizontal="left" vertical="top"/>
    </xf>
    <xf numFmtId="0" fontId="25" fillId="10" borderId="4724" applyNumberFormat="0" applyProtection="0">
      <alignment horizontal="left" vertical="top"/>
    </xf>
    <xf numFmtId="0" fontId="25" fillId="10" borderId="4737" applyNumberFormat="0" applyProtection="0">
      <alignment horizontal="left" vertical="top"/>
    </xf>
    <xf numFmtId="0" fontId="25" fillId="10" borderId="4736" applyNumberFormat="0" applyProtection="0">
      <alignment horizontal="left" vertical="top"/>
    </xf>
    <xf numFmtId="0" fontId="25" fillId="10" borderId="4735" applyNumberFormat="0" applyProtection="0">
      <alignment horizontal="left"/>
    </xf>
    <xf numFmtId="0" fontId="12" fillId="10" borderId="4730" applyNumberFormat="0" applyFont="0" applyProtection="0"/>
    <xf numFmtId="0" fontId="12" fillId="10" borderId="4730" applyNumberFormat="0" applyFont="0" applyAlignment="0" applyProtection="0"/>
    <xf numFmtId="0" fontId="12" fillId="3" borderId="4730" applyNumberFormat="0" applyFont="0" applyAlignment="0" applyProtection="0"/>
    <xf numFmtId="293" fontId="234" fillId="10" borderId="4730" applyFont="0" applyProtection="0"/>
    <xf numFmtId="293" fontId="234" fillId="10" borderId="4730" applyFont="0" applyProtection="0"/>
    <xf numFmtId="169" fontId="234" fillId="3" borderId="4730" applyFont="0" applyProtection="0"/>
    <xf numFmtId="293" fontId="234" fillId="3" borderId="4730" applyFont="0" applyProtection="0"/>
    <xf numFmtId="169" fontId="234" fillId="10" borderId="4730" applyFont="0" applyProtection="0"/>
    <xf numFmtId="0" fontId="25" fillId="10" borderId="4730" applyNumberFormat="0" applyProtection="0">
      <alignment horizontal="center" vertical="top"/>
    </xf>
    <xf numFmtId="0" fontId="25" fillId="10" borderId="4730" applyNumberFormat="0" applyProtection="0">
      <alignment horizontal="center" vertical="top"/>
    </xf>
    <xf numFmtId="2" fontId="12" fillId="60" borderId="4734" applyFont="0" applyFill="0" applyBorder="0" applyAlignment="0" applyProtection="0"/>
    <xf numFmtId="9" fontId="12" fillId="60" borderId="4734" applyFont="0" applyFill="0" applyBorder="0" applyAlignment="0" applyProtection="0"/>
    <xf numFmtId="10" fontId="12" fillId="60" borderId="4734" applyFont="0" applyFill="0" applyBorder="0" applyAlignment="0" applyProtection="0"/>
    <xf numFmtId="183" fontId="12" fillId="60" borderId="4734" applyFont="0" applyFill="0" applyBorder="0" applyAlignment="0" applyProtection="0"/>
    <xf numFmtId="4" fontId="12" fillId="60" borderId="4734" applyFont="0" applyFill="0" applyBorder="0" applyAlignment="0" applyProtection="0"/>
    <xf numFmtId="3" fontId="12" fillId="60" borderId="4734" applyFont="0" applyFill="0" applyBorder="0" applyAlignment="0" applyProtection="0"/>
    <xf numFmtId="4" fontId="230" fillId="11" borderId="4732" applyNumberFormat="0" applyProtection="0">
      <alignment horizontal="right" vertical="center"/>
    </xf>
    <xf numFmtId="4" fontId="229" fillId="84" borderId="4733" applyNumberFormat="0" applyProtection="0">
      <alignment horizontal="left" vertical="center" indent="1"/>
    </xf>
    <xf numFmtId="0" fontId="136" fillId="84" borderId="4732" applyNumberFormat="0" applyProtection="0">
      <alignment horizontal="left" vertical="top" indent="1"/>
    </xf>
    <xf numFmtId="4" fontId="223" fillId="52" borderId="4732" applyNumberFormat="0" applyProtection="0">
      <alignment horizontal="left" vertical="center" indent="1"/>
    </xf>
    <xf numFmtId="4" fontId="228" fillId="11" borderId="4732" applyNumberFormat="0" applyProtection="0">
      <alignment horizontal="right" vertical="center"/>
    </xf>
    <xf numFmtId="4" fontId="184" fillId="11" borderId="4732" applyNumberFormat="0" applyProtection="0">
      <alignment horizontal="right" vertical="center"/>
    </xf>
    <xf numFmtId="0" fontId="136" fillId="14" borderId="4732" applyNumberFormat="0" applyProtection="0">
      <alignment horizontal="left" vertical="top" indent="1"/>
    </xf>
    <xf numFmtId="4" fontId="227" fillId="52" borderId="4733" applyNumberFormat="0" applyProtection="0">
      <alignment horizontal="left" vertical="center" indent="1"/>
    </xf>
    <xf numFmtId="4" fontId="228" fillId="11" borderId="4732" applyNumberFormat="0" applyProtection="0">
      <alignment vertical="center"/>
    </xf>
    <xf numFmtId="4" fontId="226" fillId="11" borderId="4732" applyNumberFormat="0" applyProtection="0">
      <alignment vertical="center"/>
    </xf>
    <xf numFmtId="0" fontId="12" fillId="11" borderId="4732" applyNumberFormat="0" applyProtection="0">
      <alignment horizontal="left" vertical="top" indent="1"/>
    </xf>
    <xf numFmtId="0" fontId="12" fillId="11" borderId="4732" applyNumberFormat="0" applyProtection="0">
      <alignment horizontal="left" vertical="center" indent="1"/>
    </xf>
    <xf numFmtId="0" fontId="12" fillId="52" borderId="4732" applyNumberFormat="0" applyProtection="0">
      <alignment horizontal="left" vertical="top" indent="1"/>
    </xf>
    <xf numFmtId="0" fontId="12" fillId="52" borderId="4732" applyNumberFormat="0" applyProtection="0">
      <alignment horizontal="left" vertical="center" indent="1"/>
    </xf>
    <xf numFmtId="0" fontId="12" fillId="84" borderId="4732" applyNumberFormat="0" applyProtection="0">
      <alignment horizontal="left" vertical="top" indent="1"/>
    </xf>
    <xf numFmtId="0" fontId="12" fillId="84" borderId="4732" applyNumberFormat="0" applyProtection="0">
      <alignment horizontal="left" vertical="center" indent="1"/>
    </xf>
    <xf numFmtId="0" fontId="12" fillId="75" borderId="4732" applyNumberFormat="0" applyProtection="0">
      <alignment horizontal="left" vertical="top" indent="1"/>
    </xf>
    <xf numFmtId="0" fontId="12" fillId="75" borderId="4732" applyNumberFormat="0" applyProtection="0">
      <alignment horizontal="left" vertical="center" indent="1"/>
    </xf>
    <xf numFmtId="4" fontId="184" fillId="52" borderId="4732" applyNumberFormat="0" applyProtection="0">
      <alignment horizontal="right" vertical="center"/>
    </xf>
    <xf numFmtId="4" fontId="226" fillId="82" borderId="4732" applyNumberFormat="0" applyProtection="0">
      <alignment horizontal="right" vertical="center"/>
    </xf>
    <xf numFmtId="4" fontId="226" fillId="81" borderId="4732" applyNumberFormat="0" applyProtection="0">
      <alignment horizontal="right" vertical="center"/>
    </xf>
    <xf numFmtId="4" fontId="226" fillId="80" borderId="4732" applyNumberFormat="0" applyProtection="0">
      <alignment horizontal="right" vertical="center"/>
    </xf>
    <xf numFmtId="4" fontId="226" fillId="71" borderId="4732" applyNumberFormat="0" applyProtection="0">
      <alignment horizontal="right" vertical="center"/>
    </xf>
    <xf numFmtId="4" fontId="226" fillId="79" borderId="4732" applyNumberFormat="0" applyProtection="0">
      <alignment horizontal="right" vertical="center"/>
    </xf>
    <xf numFmtId="4" fontId="226" fillId="10" borderId="4732" applyNumberFormat="0" applyProtection="0">
      <alignment horizontal="right" vertical="center"/>
    </xf>
    <xf numFmtId="4" fontId="226" fillId="78" borderId="4732" applyNumberFormat="0" applyProtection="0">
      <alignment horizontal="right" vertical="center"/>
    </xf>
    <xf numFmtId="4" fontId="226" fillId="77" borderId="4732" applyNumberFormat="0" applyProtection="0">
      <alignment horizontal="right" vertical="center"/>
    </xf>
    <xf numFmtId="4" fontId="226" fillId="76" borderId="4732" applyNumberFormat="0" applyProtection="0">
      <alignment horizontal="right" vertical="center"/>
    </xf>
    <xf numFmtId="0" fontId="225" fillId="53" borderId="4732" applyNumberFormat="0" applyProtection="0">
      <alignment horizontal="left" vertical="top" indent="1"/>
    </xf>
    <xf numFmtId="4" fontId="184" fillId="53" borderId="4732" applyNumberFormat="0" applyProtection="0">
      <alignment horizontal="left" vertical="center" indent="1"/>
    </xf>
    <xf numFmtId="4" fontId="224" fillId="53" borderId="4732" applyNumberFormat="0" applyProtection="0">
      <alignment vertical="center"/>
    </xf>
    <xf numFmtId="4" fontId="223" fillId="53" borderId="4732" applyNumberFormat="0" applyProtection="0">
      <alignment vertical="center"/>
    </xf>
    <xf numFmtId="0" fontId="12" fillId="0" borderId="4729" applyNumberFormat="0" applyFill="0" applyBorder="0" applyAlignment="0" applyProtection="0"/>
    <xf numFmtId="0" fontId="46" fillId="0" borderId="4729" applyNumberFormat="0" applyFill="0" applyBorder="0" applyAlignment="0" applyProtection="0"/>
    <xf numFmtId="0" fontId="105" fillId="0" borderId="4729" applyNumberFormat="0" applyFill="0" applyBorder="0" applyAlignment="0" applyProtection="0"/>
    <xf numFmtId="0" fontId="48" fillId="0" borderId="4729" applyNumberFormat="0" applyFill="0" applyAlignment="0" applyProtection="0"/>
    <xf numFmtId="5" fontId="114" fillId="0" borderId="4728" applyAlignment="0" applyProtection="0"/>
    <xf numFmtId="0" fontId="214" fillId="0" borderId="4723" applyNumberFormat="0" applyFont="0" applyFill="0" applyAlignment="0" applyProtection="0"/>
    <xf numFmtId="0" fontId="2" fillId="0" borderId="3067" applyNumberFormat="0" applyAlignment="0" applyProtection="0"/>
    <xf numFmtId="0" fontId="210" fillId="0" borderId="4810" applyNumberFormat="0" applyFill="0" applyBorder="0" applyAlignment="0">
      <protection locked="0"/>
    </xf>
    <xf numFmtId="182" fontId="145" fillId="3" borderId="4728">
      <alignment horizontal="right" vertical="center"/>
    </xf>
    <xf numFmtId="186" fontId="48" fillId="3" borderId="4728">
      <alignment vertical="center"/>
    </xf>
    <xf numFmtId="0" fontId="135" fillId="0" borderId="4730"/>
    <xf numFmtId="0" fontId="135" fillId="0" borderId="4730"/>
    <xf numFmtId="188" fontId="25" fillId="0" borderId="4745" applyFont="0" applyFill="0" applyBorder="0" applyAlignment="0" applyProtection="0">
      <alignment horizontal="center"/>
    </xf>
    <xf numFmtId="0" fontId="184" fillId="0" borderId="4731" applyAlignment="0">
      <alignment horizontal="left" wrapText="1"/>
    </xf>
    <xf numFmtId="264" fontId="12" fillId="14" borderId="4810" applyFont="0" applyFill="0" applyBorder="0" applyAlignment="0" applyProtection="0">
      <alignment horizontal="right"/>
    </xf>
    <xf numFmtId="0" fontId="25" fillId="69" borderId="4730">
      <alignment horizontal="left" vertical="center" wrapText="1"/>
    </xf>
    <xf numFmtId="0" fontId="159" fillId="0" borderId="4730"/>
    <xf numFmtId="0" fontId="159" fillId="67" borderId="4730"/>
    <xf numFmtId="0" fontId="166" fillId="0" borderId="4810">
      <alignment horizontal="center"/>
    </xf>
    <xf numFmtId="0" fontId="165" fillId="0" borderId="4810" applyFill="0" applyProtection="0">
      <alignment horizontal="center"/>
    </xf>
    <xf numFmtId="0" fontId="159" fillId="67" borderId="4730"/>
    <xf numFmtId="0" fontId="159" fillId="0" borderId="4730"/>
    <xf numFmtId="0" fontId="25" fillId="69" borderId="4730">
      <alignment horizontal="left" vertical="center" wrapText="1"/>
    </xf>
    <xf numFmtId="0" fontId="184" fillId="0" borderId="4731" applyAlignment="0">
      <alignment horizontal="left" wrapText="1"/>
    </xf>
    <xf numFmtId="0" fontId="135" fillId="0" borderId="4730"/>
    <xf numFmtId="0" fontId="135" fillId="0" borderId="4730"/>
    <xf numFmtId="186" fontId="140" fillId="3" borderId="4721">
      <alignment horizontal="center" vertical="center"/>
    </xf>
    <xf numFmtId="186" fontId="48" fillId="3" borderId="4728">
      <alignment vertical="center"/>
    </xf>
    <xf numFmtId="186" fontId="146" fillId="3" borderId="4720">
      <alignment horizontal="left"/>
    </xf>
    <xf numFmtId="186" fontId="146" fillId="3" borderId="4810" applyBorder="0">
      <alignment horizontal="left" vertical="center"/>
    </xf>
    <xf numFmtId="180" fontId="9" fillId="3" borderId="4810">
      <alignment horizontal="right" vertical="center"/>
    </xf>
    <xf numFmtId="192" fontId="9" fillId="3" borderId="4810">
      <alignment horizontal="right" vertical="center"/>
    </xf>
    <xf numFmtId="182" fontId="145" fillId="3" borderId="4728">
      <alignment horizontal="right" vertical="center"/>
    </xf>
    <xf numFmtId="188" fontId="25" fillId="0" borderId="4745" applyFont="0" applyFill="0" applyBorder="0" applyAlignment="0" applyProtection="0">
      <alignment horizontal="center"/>
    </xf>
    <xf numFmtId="0" fontId="48" fillId="0" borderId="4728" applyFont="0" applyFill="0" applyBorder="0" applyAlignment="0" applyProtection="0">
      <alignment horizontal="center"/>
    </xf>
    <xf numFmtId="0" fontId="74" fillId="0" borderId="4728" applyFont="0" applyFill="0" applyBorder="0" applyAlignment="0" applyProtection="0">
      <alignment horizontal="center"/>
    </xf>
    <xf numFmtId="248" fontId="46" fillId="0" borderId="4810"/>
    <xf numFmtId="0" fontId="78" fillId="14" borderId="4719" applyFont="0" applyFill="0" applyBorder="0" applyAlignment="0" applyProtection="0"/>
    <xf numFmtId="0" fontId="12" fillId="0" borderId="4810" applyNumberFormat="0" applyFill="0" applyBorder="0" applyAlignment="0" applyProtection="0">
      <alignment horizontal="center"/>
    </xf>
    <xf numFmtId="0" fontId="75" fillId="0" borderId="4718" applyNumberFormat="0" applyFont="0" applyFill="0" applyAlignment="0" applyProtection="0"/>
    <xf numFmtId="5" fontId="114" fillId="0" borderId="4728" applyAlignment="0" applyProtection="0"/>
    <xf numFmtId="0" fontId="113" fillId="0" borderId="4810" applyNumberFormat="0" applyFill="0" applyAlignment="0" applyProtection="0"/>
    <xf numFmtId="0" fontId="48" fillId="0" borderId="4729" applyNumberFormat="0" applyFill="0" applyAlignment="0" applyProtection="0"/>
    <xf numFmtId="0" fontId="105" fillId="0" borderId="4729" applyNumberFormat="0" applyFill="0" applyBorder="0" applyAlignment="0" applyProtection="0"/>
    <xf numFmtId="0" fontId="46" fillId="0" borderId="4729" applyNumberFormat="0" applyFill="0" applyBorder="0" applyAlignment="0" applyProtection="0"/>
    <xf numFmtId="0" fontId="12" fillId="0" borderId="4729" applyNumberFormat="0" applyFill="0" applyBorder="0" applyAlignment="0" applyProtection="0"/>
    <xf numFmtId="222" fontId="79" fillId="0" borderId="4809" applyBorder="0"/>
    <xf numFmtId="0" fontId="101" fillId="0" borderId="4810" applyBorder="0"/>
    <xf numFmtId="4" fontId="223" fillId="53" borderId="4732" applyNumberFormat="0" applyProtection="0">
      <alignment vertical="center"/>
    </xf>
    <xf numFmtId="4" fontId="224" fillId="53" borderId="4732" applyNumberFormat="0" applyProtection="0">
      <alignment vertical="center"/>
    </xf>
    <xf numFmtId="4" fontId="184" fillId="53" borderId="4732" applyNumberFormat="0" applyProtection="0">
      <alignment horizontal="left" vertical="center" indent="1"/>
    </xf>
    <xf numFmtId="0" fontId="225" fillId="53" borderId="4732" applyNumberFormat="0" applyProtection="0">
      <alignment horizontal="left" vertical="top" indent="1"/>
    </xf>
    <xf numFmtId="4" fontId="226" fillId="76" borderId="4732" applyNumberFormat="0" applyProtection="0">
      <alignment horizontal="right" vertical="center"/>
    </xf>
    <xf numFmtId="4" fontId="226" fillId="77" borderId="4732" applyNumberFormat="0" applyProtection="0">
      <alignment horizontal="right" vertical="center"/>
    </xf>
    <xf numFmtId="4" fontId="226" fillId="78" borderId="4732" applyNumberFormat="0" applyProtection="0">
      <alignment horizontal="right" vertical="center"/>
    </xf>
    <xf numFmtId="4" fontId="226" fillId="10" borderId="4732" applyNumberFormat="0" applyProtection="0">
      <alignment horizontal="right" vertical="center"/>
    </xf>
    <xf numFmtId="4" fontId="226" fillId="79" borderId="4732" applyNumberFormat="0" applyProtection="0">
      <alignment horizontal="right" vertical="center"/>
    </xf>
    <xf numFmtId="4" fontId="226" fillId="71" borderId="4732" applyNumberFormat="0" applyProtection="0">
      <alignment horizontal="right" vertical="center"/>
    </xf>
    <xf numFmtId="4" fontId="226" fillId="81" borderId="4732" applyNumberFormat="0" applyProtection="0">
      <alignment horizontal="right" vertical="center"/>
    </xf>
    <xf numFmtId="4" fontId="226" fillId="80" borderId="4732" applyNumberFormat="0" applyProtection="0">
      <alignment horizontal="right" vertical="center"/>
    </xf>
    <xf numFmtId="4" fontId="226" fillId="82" borderId="4732" applyNumberFormat="0" applyProtection="0">
      <alignment horizontal="right" vertical="center"/>
    </xf>
    <xf numFmtId="4" fontId="184" fillId="52" borderId="4732" applyNumberFormat="0" applyProtection="0">
      <alignment horizontal="right" vertical="center"/>
    </xf>
    <xf numFmtId="0" fontId="12" fillId="75" borderId="4732" applyNumberFormat="0" applyProtection="0">
      <alignment horizontal="left" vertical="center" indent="1"/>
    </xf>
    <xf numFmtId="0" fontId="12" fillId="75" borderId="4732" applyNumberFormat="0" applyProtection="0">
      <alignment horizontal="left" vertical="top" indent="1"/>
    </xf>
    <xf numFmtId="0" fontId="12" fillId="84" borderId="4732" applyNumberFormat="0" applyProtection="0">
      <alignment horizontal="left" vertical="center" indent="1"/>
    </xf>
    <xf numFmtId="0" fontId="12" fillId="84" borderId="4732" applyNumberFormat="0" applyProtection="0">
      <alignment horizontal="left" vertical="top" indent="1"/>
    </xf>
    <xf numFmtId="0" fontId="12" fillId="52" borderId="4732" applyNumberFormat="0" applyProtection="0">
      <alignment horizontal="left" vertical="center" indent="1"/>
    </xf>
    <xf numFmtId="0" fontId="12" fillId="52" borderId="4732" applyNumberFormat="0" applyProtection="0">
      <alignment horizontal="left" vertical="top" indent="1"/>
    </xf>
    <xf numFmtId="0" fontId="12" fillId="11" borderId="4732" applyNumberFormat="0" applyProtection="0">
      <alignment horizontal="left" vertical="center" indent="1"/>
    </xf>
    <xf numFmtId="0" fontId="12" fillId="11" borderId="4732" applyNumberFormat="0" applyProtection="0">
      <alignment horizontal="left" vertical="top" indent="1"/>
    </xf>
    <xf numFmtId="4" fontId="226" fillId="11" borderId="4732" applyNumberFormat="0" applyProtection="0">
      <alignment vertical="center"/>
    </xf>
    <xf numFmtId="4" fontId="228" fillId="11" borderId="4732" applyNumberFormat="0" applyProtection="0">
      <alignment vertical="center"/>
    </xf>
    <xf numFmtId="4" fontId="227" fillId="52" borderId="4733" applyNumberFormat="0" applyProtection="0">
      <alignment horizontal="left" vertical="center" indent="1"/>
    </xf>
    <xf numFmtId="0" fontId="136" fillId="14" borderId="4732" applyNumberFormat="0" applyProtection="0">
      <alignment horizontal="left" vertical="top" indent="1"/>
    </xf>
    <xf numFmtId="4" fontId="184" fillId="11" borderId="4732" applyNumberFormat="0" applyProtection="0">
      <alignment horizontal="right" vertical="center"/>
    </xf>
    <xf numFmtId="4" fontId="228" fillId="11" borderId="4732" applyNumberFormat="0" applyProtection="0">
      <alignment horizontal="right" vertical="center"/>
    </xf>
    <xf numFmtId="4" fontId="223" fillId="52" borderId="4732" applyNumberFormat="0" applyProtection="0">
      <alignment horizontal="left" vertical="center" indent="1"/>
    </xf>
    <xf numFmtId="0" fontId="136" fillId="84" borderId="4732" applyNumberFormat="0" applyProtection="0">
      <alignment horizontal="left" vertical="top" indent="1"/>
    </xf>
    <xf numFmtId="4" fontId="229" fillId="84" borderId="4733" applyNumberFormat="0" applyProtection="0">
      <alignment horizontal="left" vertical="center" indent="1"/>
    </xf>
    <xf numFmtId="4" fontId="230" fillId="11" borderId="4732" applyNumberFormat="0" applyProtection="0">
      <alignment horizontal="right" vertical="center"/>
    </xf>
    <xf numFmtId="0" fontId="25" fillId="10" borderId="4817" applyNumberFormat="0" applyProtection="0">
      <alignment horizontal="left" vertical="top"/>
    </xf>
    <xf numFmtId="0" fontId="25" fillId="10" borderId="4818" applyNumberFormat="0" applyProtection="0">
      <alignment horizontal="left" vertical="top"/>
    </xf>
    <xf numFmtId="0" fontId="25" fillId="10" borderId="4819" applyNumberFormat="0" applyProtection="0">
      <alignment horizontal="left" vertical="top"/>
    </xf>
    <xf numFmtId="0" fontId="25" fillId="10" borderId="4820" applyNumberFormat="0" applyProtection="0">
      <alignment horizontal="left" vertical="top"/>
    </xf>
    <xf numFmtId="3" fontId="12" fillId="60" borderId="4734" applyFont="0" applyFill="0" applyBorder="0" applyAlignment="0" applyProtection="0"/>
    <xf numFmtId="4" fontId="12" fillId="60" borderId="4734" applyFont="0" applyFill="0" applyBorder="0" applyAlignment="0" applyProtection="0"/>
    <xf numFmtId="183" fontId="12" fillId="60" borderId="4734" applyFont="0" applyFill="0" applyBorder="0" applyAlignment="0" applyProtection="0"/>
    <xf numFmtId="10" fontId="12" fillId="60" borderId="4734" applyFont="0" applyFill="0" applyBorder="0" applyAlignment="0" applyProtection="0"/>
    <xf numFmtId="9" fontId="12" fillId="60" borderId="4734" applyFont="0" applyFill="0" applyBorder="0" applyAlignment="0" applyProtection="0"/>
    <xf numFmtId="2" fontId="12" fillId="60" borderId="4734" applyFont="0" applyFill="0" applyBorder="0" applyAlignment="0" applyProtection="0"/>
    <xf numFmtId="0" fontId="25" fillId="10" borderId="4730" applyNumberFormat="0" applyProtection="0">
      <alignment horizontal="center" vertical="top"/>
    </xf>
    <xf numFmtId="169" fontId="234" fillId="3" borderId="4730" applyFont="0" applyProtection="0"/>
    <xf numFmtId="169" fontId="234" fillId="10" borderId="4730" applyFont="0" applyProtection="0"/>
    <xf numFmtId="293" fontId="234" fillId="3" borderId="4730" applyFont="0" applyProtection="0"/>
    <xf numFmtId="293" fontId="234" fillId="10" borderId="4730" applyFont="0" applyProtection="0"/>
    <xf numFmtId="293" fontId="234" fillId="10" borderId="4730" applyFont="0" applyProtection="0"/>
    <xf numFmtId="0" fontId="12" fillId="3" borderId="4730" applyNumberFormat="0" applyFont="0" applyAlignment="0" applyProtection="0"/>
    <xf numFmtId="0" fontId="12" fillId="10" borderId="4730" applyNumberFormat="0" applyFont="0" applyAlignment="0" applyProtection="0"/>
    <xf numFmtId="0" fontId="12" fillId="10" borderId="4730" applyNumberFormat="0" applyFont="0" applyProtection="0"/>
    <xf numFmtId="0" fontId="25" fillId="10" borderId="4735" applyNumberFormat="0" applyProtection="0">
      <alignment horizontal="left"/>
    </xf>
    <xf numFmtId="0" fontId="25" fillId="10" borderId="4736" applyNumberFormat="0" applyProtection="0">
      <alignment horizontal="left" vertical="top"/>
    </xf>
    <xf numFmtId="0" fontId="25" fillId="10" borderId="4737" applyNumberFormat="0" applyProtection="0">
      <alignment horizontal="left" vertical="top"/>
    </xf>
    <xf numFmtId="0" fontId="25" fillId="10" borderId="4738" applyNumberFormat="0" applyProtection="0">
      <alignment horizontal="left" vertical="top"/>
    </xf>
    <xf numFmtId="0" fontId="25" fillId="10" borderId="4739" applyNumberFormat="0" applyProtection="0">
      <alignment horizontal="left" vertical="top"/>
    </xf>
    <xf numFmtId="0" fontId="25" fillId="10" borderId="4740" applyNumberFormat="0" applyProtection="0">
      <alignment horizontal="left" vertical="top"/>
    </xf>
    <xf numFmtId="0" fontId="25" fillId="10" borderId="4741" applyNumberFormat="0" applyProtection="0">
      <alignment horizontal="left" vertical="top"/>
    </xf>
    <xf numFmtId="10" fontId="12" fillId="3" borderId="4742" applyNumberFormat="0" applyFont="0" applyFill="0" applyBorder="0" applyAlignment="0">
      <protection locked="0"/>
    </xf>
    <xf numFmtId="0" fontId="12" fillId="0" borderId="4729" applyNumberFormat="0" applyFill="0" applyBorder="0" applyAlignment="0" applyProtection="0"/>
    <xf numFmtId="0" fontId="25" fillId="10" borderId="4730" applyNumberFormat="0" applyProtection="0">
      <alignment horizontal="center" vertical="top"/>
    </xf>
    <xf numFmtId="0" fontId="48" fillId="0" borderId="4728" applyFont="0" applyFill="0" applyBorder="0" applyAlignment="0" applyProtection="0">
      <alignment horizontal="center"/>
    </xf>
    <xf numFmtId="0" fontId="74" fillId="0" borderId="4728" applyFont="0" applyFill="0" applyBorder="0" applyAlignment="0" applyProtection="0">
      <alignment horizontal="center"/>
    </xf>
    <xf numFmtId="10" fontId="12" fillId="3" borderId="4742" applyNumberFormat="0" applyFont="0" applyFill="0" applyBorder="0" applyAlignment="0">
      <protection locked="0"/>
    </xf>
    <xf numFmtId="0" fontId="12" fillId="0" borderId="4729" applyNumberFormat="0" applyFill="0" applyBorder="0" applyAlignment="0" applyProtection="0"/>
    <xf numFmtId="0" fontId="12" fillId="0" borderId="4729" applyNumberFormat="0" applyFill="0" applyBorder="0" applyAlignment="0" applyProtection="0"/>
    <xf numFmtId="0" fontId="12" fillId="0" borderId="4729" applyNumberFormat="0" applyFill="0" applyBorder="0" applyAlignment="0" applyProtection="0"/>
    <xf numFmtId="10" fontId="12" fillId="3" borderId="4742" applyNumberFormat="0" applyFont="0" applyFill="0" applyBorder="0" applyAlignment="0">
      <protection locked="0"/>
    </xf>
    <xf numFmtId="246" fontId="250" fillId="0" borderId="4746" applyFill="0" applyProtection="0">
      <alignment horizontal="center"/>
    </xf>
    <xf numFmtId="246" fontId="249" fillId="0" borderId="4746" applyFill="0" applyProtection="0">
      <alignment horizontal="center"/>
    </xf>
    <xf numFmtId="0" fontId="241" fillId="94" borderId="4746" applyBorder="0" applyProtection="0">
      <alignment horizontal="centerContinuous" vertical="center"/>
    </xf>
    <xf numFmtId="254" fontId="240" fillId="0" borderId="4746" applyBorder="0" applyProtection="0">
      <alignment horizontal="right" vertical="center"/>
    </xf>
    <xf numFmtId="0" fontId="210" fillId="0" borderId="4746" applyNumberFormat="0" applyFill="0" applyBorder="0" applyAlignment="0">
      <protection locked="0"/>
    </xf>
    <xf numFmtId="188" fontId="25" fillId="0" borderId="4745" applyFont="0" applyFill="0" applyBorder="0" applyAlignment="0" applyProtection="0">
      <alignment horizontal="center"/>
    </xf>
    <xf numFmtId="264" fontId="12" fillId="14" borderId="4746" applyFont="0" applyFill="0" applyBorder="0" applyAlignment="0" applyProtection="0">
      <alignment horizontal="right"/>
    </xf>
    <xf numFmtId="0" fontId="166" fillId="0" borderId="4746">
      <alignment horizontal="center"/>
    </xf>
    <xf numFmtId="0" fontId="165" fillId="0" borderId="4746" applyFill="0" applyProtection="0">
      <alignment horizontal="center"/>
    </xf>
    <xf numFmtId="186" fontId="146" fillId="3" borderId="4746" applyBorder="0">
      <alignment horizontal="left" vertical="center"/>
    </xf>
    <xf numFmtId="180" fontId="9" fillId="3" borderId="4746">
      <alignment horizontal="right" vertical="center"/>
    </xf>
    <xf numFmtId="192" fontId="9" fillId="3" borderId="4746">
      <alignment horizontal="right" vertical="center"/>
    </xf>
    <xf numFmtId="248" fontId="46" fillId="0" borderId="4746"/>
    <xf numFmtId="0" fontId="12" fillId="0" borderId="4746" applyNumberFormat="0" applyFill="0" applyBorder="0" applyAlignment="0" applyProtection="0">
      <alignment horizontal="center"/>
    </xf>
    <xf numFmtId="0" fontId="113" fillId="0" borderId="4746" applyNumberFormat="0" applyFill="0" applyAlignment="0" applyProtection="0"/>
    <xf numFmtId="222" fontId="79" fillId="0" borderId="4716" applyBorder="0"/>
    <xf numFmtId="0" fontId="101" fillId="0" borderId="4746" applyBorder="0"/>
    <xf numFmtId="10" fontId="12" fillId="3" borderId="4742" applyNumberFormat="0" applyFont="0" applyFill="0" applyBorder="0" applyAlignment="0">
      <protection locked="0"/>
    </xf>
    <xf numFmtId="1" fontId="154" fillId="65" borderId="4439" applyNumberFormat="0" applyBorder="0" applyAlignment="0">
      <alignment horizontal="centerContinuous" vertical="center"/>
      <protection locked="0"/>
    </xf>
    <xf numFmtId="0" fontId="12" fillId="0" borderId="4729" applyNumberFormat="0" applyFill="0" applyBorder="0" applyAlignment="0" applyProtection="0"/>
    <xf numFmtId="0" fontId="12" fillId="0" borderId="4729" applyNumberFormat="0" applyFill="0" applyBorder="0" applyAlignment="0" applyProtection="0"/>
    <xf numFmtId="0" fontId="12" fillId="0" borderId="4729" applyNumberFormat="0" applyFill="0" applyBorder="0" applyAlignment="0" applyProtection="0"/>
    <xf numFmtId="10" fontId="12" fillId="3" borderId="4742" applyNumberFormat="0" applyFont="0" applyFill="0" applyBorder="0" applyAlignment="0">
      <protection locked="0"/>
    </xf>
    <xf numFmtId="246" fontId="250" fillId="0" borderId="4746" applyFill="0" applyProtection="0">
      <alignment horizontal="center"/>
    </xf>
    <xf numFmtId="246" fontId="249" fillId="0" borderId="4746" applyFill="0" applyProtection="0">
      <alignment horizontal="center"/>
    </xf>
    <xf numFmtId="0" fontId="241" fillId="94" borderId="4746" applyBorder="0" applyProtection="0">
      <alignment horizontal="centerContinuous" vertical="center"/>
    </xf>
    <xf numFmtId="254" fontId="240" fillId="0" borderId="4746" applyBorder="0" applyProtection="0">
      <alignment horizontal="right" vertical="center"/>
    </xf>
    <xf numFmtId="0" fontId="12" fillId="0" borderId="4729" applyNumberFormat="0" applyFill="0" applyBorder="0" applyAlignment="0" applyProtection="0"/>
    <xf numFmtId="0" fontId="25" fillId="10" borderId="4741" applyNumberFormat="0" applyProtection="0">
      <alignment horizontal="left" vertical="top"/>
    </xf>
    <xf numFmtId="0" fontId="25" fillId="10" borderId="4740" applyNumberFormat="0" applyProtection="0">
      <alignment horizontal="left" vertical="top"/>
    </xf>
    <xf numFmtId="0" fontId="25" fillId="10" borderId="4739" applyNumberFormat="0" applyProtection="0">
      <alignment horizontal="left" vertical="top"/>
    </xf>
    <xf numFmtId="0" fontId="25" fillId="10" borderId="4738" applyNumberFormat="0" applyProtection="0">
      <alignment horizontal="left" vertical="top"/>
    </xf>
    <xf numFmtId="0" fontId="25" fillId="10" borderId="4737" applyNumberFormat="0" applyProtection="0">
      <alignment horizontal="left" vertical="top"/>
    </xf>
    <xf numFmtId="0" fontId="25" fillId="10" borderId="4736" applyNumberFormat="0" applyProtection="0">
      <alignment horizontal="left" vertical="top"/>
    </xf>
    <xf numFmtId="0" fontId="25" fillId="10" borderId="4735" applyNumberFormat="0" applyProtection="0">
      <alignment horizontal="left"/>
    </xf>
    <xf numFmtId="0" fontId="12" fillId="10" borderId="4730" applyNumberFormat="0" applyFont="0" applyProtection="0"/>
    <xf numFmtId="0" fontId="12" fillId="10" borderId="4730" applyNumberFormat="0" applyFont="0" applyAlignment="0" applyProtection="0"/>
    <xf numFmtId="0" fontId="12" fillId="3" borderId="4730" applyNumberFormat="0" applyFont="0" applyAlignment="0" applyProtection="0"/>
    <xf numFmtId="293" fontId="234" fillId="10" borderId="4730" applyFont="0" applyProtection="0"/>
    <xf numFmtId="293" fontId="234" fillId="3" borderId="4730" applyFont="0" applyProtection="0"/>
    <xf numFmtId="293" fontId="234" fillId="10" borderId="4730" applyFont="0" applyProtection="0"/>
    <xf numFmtId="169" fontId="234" fillId="10" borderId="4730" applyFont="0" applyProtection="0"/>
    <xf numFmtId="169" fontId="234" fillId="3" borderId="4730" applyFont="0" applyProtection="0"/>
    <xf numFmtId="0" fontId="25" fillId="10" borderId="4730" applyNumberFormat="0" applyProtection="0">
      <alignment horizontal="center" vertical="top"/>
    </xf>
    <xf numFmtId="0" fontId="25" fillId="10" borderId="4730" applyNumberFormat="0" applyProtection="0">
      <alignment horizontal="center" vertical="top"/>
    </xf>
    <xf numFmtId="2" fontId="12" fillId="60" borderId="4734" applyFont="0" applyFill="0" applyBorder="0" applyAlignment="0" applyProtection="0"/>
    <xf numFmtId="9" fontId="12" fillId="60" borderId="4734" applyFont="0" applyFill="0" applyBorder="0" applyAlignment="0" applyProtection="0"/>
    <xf numFmtId="10" fontId="12" fillId="60" borderId="4734" applyFont="0" applyFill="0" applyBorder="0" applyAlignment="0" applyProtection="0"/>
    <xf numFmtId="183" fontId="12" fillId="60" borderId="4734" applyFont="0" applyFill="0" applyBorder="0" applyAlignment="0" applyProtection="0"/>
    <xf numFmtId="4" fontId="12" fillId="60" borderId="4734" applyFont="0" applyFill="0" applyBorder="0" applyAlignment="0" applyProtection="0"/>
    <xf numFmtId="3" fontId="12" fillId="60" borderId="4734" applyFont="0" applyFill="0" applyBorder="0" applyAlignment="0" applyProtection="0"/>
    <xf numFmtId="4" fontId="230" fillId="11" borderId="4732" applyNumberFormat="0" applyProtection="0">
      <alignment horizontal="right" vertical="center"/>
    </xf>
    <xf numFmtId="4" fontId="229" fillId="84" borderId="4733" applyNumberFormat="0" applyProtection="0">
      <alignment horizontal="left" vertical="center" indent="1"/>
    </xf>
    <xf numFmtId="0" fontId="136" fillId="84" borderId="4732" applyNumberFormat="0" applyProtection="0">
      <alignment horizontal="left" vertical="top" indent="1"/>
    </xf>
    <xf numFmtId="4" fontId="223" fillId="52" borderId="4732" applyNumberFormat="0" applyProtection="0">
      <alignment horizontal="left" vertical="center" indent="1"/>
    </xf>
    <xf numFmtId="4" fontId="228" fillId="11" borderId="4732" applyNumberFormat="0" applyProtection="0">
      <alignment horizontal="right" vertical="center"/>
    </xf>
    <xf numFmtId="4" fontId="184" fillId="11" borderId="4732" applyNumberFormat="0" applyProtection="0">
      <alignment horizontal="right" vertical="center"/>
    </xf>
    <xf numFmtId="0" fontId="136" fillId="14" borderId="4732" applyNumberFormat="0" applyProtection="0">
      <alignment horizontal="left" vertical="top" indent="1"/>
    </xf>
    <xf numFmtId="4" fontId="227" fillId="52" borderId="4733" applyNumberFormat="0" applyProtection="0">
      <alignment horizontal="left" vertical="center" indent="1"/>
    </xf>
    <xf numFmtId="4" fontId="228" fillId="11" borderId="4732" applyNumberFormat="0" applyProtection="0">
      <alignment vertical="center"/>
    </xf>
    <xf numFmtId="4" fontId="226" fillId="11" borderId="4732" applyNumberFormat="0" applyProtection="0">
      <alignment vertical="center"/>
    </xf>
    <xf numFmtId="0" fontId="12" fillId="11" borderId="4732" applyNumberFormat="0" applyProtection="0">
      <alignment horizontal="left" vertical="top" indent="1"/>
    </xf>
    <xf numFmtId="0" fontId="12" fillId="11" borderId="4732" applyNumberFormat="0" applyProtection="0">
      <alignment horizontal="left" vertical="center" indent="1"/>
    </xf>
    <xf numFmtId="0" fontId="12" fillId="52" borderId="4732" applyNumberFormat="0" applyProtection="0">
      <alignment horizontal="left" vertical="top" indent="1"/>
    </xf>
    <xf numFmtId="0" fontId="12" fillId="52" borderId="4732" applyNumberFormat="0" applyProtection="0">
      <alignment horizontal="left" vertical="center" indent="1"/>
    </xf>
    <xf numFmtId="0" fontId="12" fillId="84" borderId="4732" applyNumberFormat="0" applyProtection="0">
      <alignment horizontal="left" vertical="top" indent="1"/>
    </xf>
    <xf numFmtId="0" fontId="12" fillId="84" borderId="4732" applyNumberFormat="0" applyProtection="0">
      <alignment horizontal="left" vertical="center" indent="1"/>
    </xf>
    <xf numFmtId="0" fontId="12" fillId="75" borderId="4732" applyNumberFormat="0" applyProtection="0">
      <alignment horizontal="left" vertical="top" indent="1"/>
    </xf>
    <xf numFmtId="0" fontId="12" fillId="75" borderId="4732" applyNumberFormat="0" applyProtection="0">
      <alignment horizontal="left" vertical="center" indent="1"/>
    </xf>
    <xf numFmtId="4" fontId="184" fillId="52" borderId="4732" applyNumberFormat="0" applyProtection="0">
      <alignment horizontal="right" vertical="center"/>
    </xf>
    <xf numFmtId="4" fontId="226" fillId="82" borderId="4732" applyNumberFormat="0" applyProtection="0">
      <alignment horizontal="right" vertical="center"/>
    </xf>
    <xf numFmtId="4" fontId="226" fillId="81" borderId="4732" applyNumberFormat="0" applyProtection="0">
      <alignment horizontal="right" vertical="center"/>
    </xf>
    <xf numFmtId="4" fontId="226" fillId="80" borderId="4732" applyNumberFormat="0" applyProtection="0">
      <alignment horizontal="right" vertical="center"/>
    </xf>
    <xf numFmtId="4" fontId="226" fillId="71" borderId="4732" applyNumberFormat="0" applyProtection="0">
      <alignment horizontal="right" vertical="center"/>
    </xf>
    <xf numFmtId="4" fontId="226" fillId="79" borderId="4732" applyNumberFormat="0" applyProtection="0">
      <alignment horizontal="right" vertical="center"/>
    </xf>
    <xf numFmtId="4" fontId="226" fillId="10" borderId="4732" applyNumberFormat="0" applyProtection="0">
      <alignment horizontal="right" vertical="center"/>
    </xf>
    <xf numFmtId="4" fontId="226" fillId="78" borderId="4732" applyNumberFormat="0" applyProtection="0">
      <alignment horizontal="right" vertical="center"/>
    </xf>
    <xf numFmtId="4" fontId="226" fillId="77" borderId="4732" applyNumberFormat="0" applyProtection="0">
      <alignment horizontal="right" vertical="center"/>
    </xf>
    <xf numFmtId="4" fontId="226" fillId="76" borderId="4732" applyNumberFormat="0" applyProtection="0">
      <alignment horizontal="right" vertical="center"/>
    </xf>
    <xf numFmtId="0" fontId="225" fillId="53" borderId="4732" applyNumberFormat="0" applyProtection="0">
      <alignment horizontal="left" vertical="top" indent="1"/>
    </xf>
    <xf numFmtId="4" fontId="184" fillId="53" borderId="4732" applyNumberFormat="0" applyProtection="0">
      <alignment horizontal="left" vertical="center" indent="1"/>
    </xf>
    <xf numFmtId="4" fontId="224" fillId="53" borderId="4732" applyNumberFormat="0" applyProtection="0">
      <alignment vertical="center"/>
    </xf>
    <xf numFmtId="4" fontId="223" fillId="53" borderId="4732" applyNumberFormat="0" applyProtection="0">
      <alignment vertical="center"/>
    </xf>
    <xf numFmtId="0" fontId="210" fillId="0" borderId="4746" applyNumberFormat="0" applyFill="0" applyBorder="0" applyAlignment="0">
      <protection locked="0"/>
    </xf>
    <xf numFmtId="188" fontId="25" fillId="0" borderId="4745" applyFont="0" applyFill="0" applyBorder="0" applyAlignment="0" applyProtection="0">
      <alignment horizontal="center"/>
    </xf>
    <xf numFmtId="0" fontId="184" fillId="0" borderId="4731" applyAlignment="0">
      <alignment horizontal="left" wrapText="1"/>
    </xf>
    <xf numFmtId="264" fontId="12" fillId="14" borderId="4746" applyFont="0" applyFill="0" applyBorder="0" applyAlignment="0" applyProtection="0">
      <alignment horizontal="right"/>
    </xf>
    <xf numFmtId="0" fontId="25" fillId="69" borderId="4730">
      <alignment horizontal="left" vertical="center" wrapText="1"/>
    </xf>
    <xf numFmtId="0" fontId="166" fillId="0" borderId="4746">
      <alignment horizontal="center"/>
    </xf>
    <xf numFmtId="0" fontId="165" fillId="0" borderId="4746" applyFill="0" applyProtection="0">
      <alignment horizontal="center"/>
    </xf>
    <xf numFmtId="0" fontId="159" fillId="67" borderId="4730"/>
    <xf numFmtId="0" fontId="159" fillId="0" borderId="4730"/>
    <xf numFmtId="0" fontId="135" fillId="0" borderId="4730"/>
    <xf numFmtId="0" fontId="135" fillId="0" borderId="4730"/>
    <xf numFmtId="186" fontId="48" fillId="3" borderId="4728">
      <alignment vertical="center"/>
    </xf>
    <xf numFmtId="186" fontId="146" fillId="3" borderId="4746" applyBorder="0">
      <alignment horizontal="left" vertical="center"/>
    </xf>
    <xf numFmtId="180" fontId="9" fillId="3" borderId="4746">
      <alignment horizontal="right" vertical="center"/>
    </xf>
    <xf numFmtId="192" fontId="9" fillId="3" borderId="4746">
      <alignment horizontal="right" vertical="center"/>
    </xf>
    <xf numFmtId="182" fontId="145" fillId="3" borderId="4728">
      <alignment horizontal="right" vertical="center"/>
    </xf>
    <xf numFmtId="0" fontId="48" fillId="0" borderId="4728" applyFont="0" applyFill="0" applyBorder="0" applyAlignment="0" applyProtection="0">
      <alignment horizontal="center"/>
    </xf>
    <xf numFmtId="0" fontId="74" fillId="0" borderId="4728" applyFont="0" applyFill="0" applyBorder="0" applyAlignment="0" applyProtection="0">
      <alignment horizontal="center"/>
    </xf>
    <xf numFmtId="0" fontId="12" fillId="0" borderId="4746" applyNumberFormat="0" applyFill="0" applyBorder="0" applyAlignment="0" applyProtection="0">
      <alignment horizontal="center"/>
    </xf>
    <xf numFmtId="5" fontId="114" fillId="0" borderId="4728" applyAlignment="0" applyProtection="0"/>
    <xf numFmtId="0" fontId="113" fillId="0" borderId="4746" applyNumberFormat="0" applyFill="0" applyAlignment="0" applyProtection="0"/>
    <xf numFmtId="0" fontId="48" fillId="0" borderId="4729" applyNumberFormat="0" applyFill="0" applyAlignment="0" applyProtection="0"/>
    <xf numFmtId="0" fontId="105" fillId="0" borderId="4729" applyNumberFormat="0" applyFill="0" applyBorder="0" applyAlignment="0" applyProtection="0"/>
    <xf numFmtId="0" fontId="46" fillId="0" borderId="4729" applyNumberFormat="0" applyFill="0" applyBorder="0" applyAlignment="0" applyProtection="0"/>
    <xf numFmtId="0" fontId="12" fillId="0" borderId="4729" applyNumberFormat="0" applyFill="0" applyBorder="0" applyAlignment="0" applyProtection="0"/>
    <xf numFmtId="222" fontId="79" fillId="0" borderId="4716" applyBorder="0"/>
    <xf numFmtId="0" fontId="101" fillId="0" borderId="4746" applyBorder="0"/>
    <xf numFmtId="10" fontId="12" fillId="3" borderId="4742" applyNumberFormat="0" applyFont="0" applyFill="0" applyBorder="0" applyAlignment="0">
      <protection locked="0"/>
    </xf>
    <xf numFmtId="248" fontId="46" fillId="0" borderId="4746"/>
    <xf numFmtId="10" fontId="12" fillId="3" borderId="4742" applyNumberFormat="0" applyFont="0" applyFill="0" applyBorder="0" applyAlignment="0">
      <protection locked="0"/>
    </xf>
    <xf numFmtId="246" fontId="250" fillId="0" borderId="4746" applyFill="0" applyProtection="0">
      <alignment horizontal="center"/>
    </xf>
    <xf numFmtId="246" fontId="249" fillId="0" borderId="4746" applyFill="0" applyProtection="0">
      <alignment horizontal="center"/>
    </xf>
    <xf numFmtId="0" fontId="241" fillId="94" borderId="4746" applyBorder="0" applyProtection="0">
      <alignment horizontal="centerContinuous" vertical="center"/>
    </xf>
    <xf numFmtId="254" fontId="240" fillId="0" borderId="4746" applyBorder="0" applyProtection="0">
      <alignment horizontal="right" vertical="center"/>
    </xf>
    <xf numFmtId="0" fontId="210" fillId="0" borderId="4746" applyNumberFormat="0" applyFill="0" applyBorder="0" applyAlignment="0">
      <protection locked="0"/>
    </xf>
    <xf numFmtId="188" fontId="25" fillId="0" borderId="4745" applyFont="0" applyFill="0" applyBorder="0" applyAlignment="0" applyProtection="0">
      <alignment horizontal="center"/>
    </xf>
    <xf numFmtId="264" fontId="12" fillId="14" borderId="4746" applyFont="0" applyFill="0" applyBorder="0" applyAlignment="0" applyProtection="0">
      <alignment horizontal="right"/>
    </xf>
    <xf numFmtId="0" fontId="166" fillId="0" borderId="4746">
      <alignment horizontal="center"/>
    </xf>
    <xf numFmtId="0" fontId="165" fillId="0" borderId="4746" applyFill="0" applyProtection="0">
      <alignment horizontal="center"/>
    </xf>
    <xf numFmtId="186" fontId="146" fillId="3" borderId="4746" applyBorder="0">
      <alignment horizontal="left" vertical="center"/>
    </xf>
    <xf numFmtId="180" fontId="9" fillId="3" borderId="4746">
      <alignment horizontal="right" vertical="center"/>
    </xf>
    <xf numFmtId="192" fontId="9" fillId="3" borderId="4746">
      <alignment horizontal="right" vertical="center"/>
    </xf>
    <xf numFmtId="248" fontId="46" fillId="0" borderId="4746"/>
    <xf numFmtId="0" fontId="12" fillId="0" borderId="4746" applyNumberFormat="0" applyFill="0" applyBorder="0" applyAlignment="0" applyProtection="0">
      <alignment horizontal="center"/>
    </xf>
    <xf numFmtId="0" fontId="113" fillId="0" borderId="4746" applyNumberFormat="0" applyFill="0" applyAlignment="0" applyProtection="0"/>
    <xf numFmtId="222" fontId="79" fillId="0" borderId="4716" applyBorder="0"/>
    <xf numFmtId="0" fontId="101" fillId="0" borderId="4746" applyBorder="0"/>
    <xf numFmtId="10" fontId="12" fillId="3" borderId="4742" applyNumberFormat="0" applyFont="0" applyFill="0" applyBorder="0" applyAlignment="0">
      <protection locked="0"/>
    </xf>
    <xf numFmtId="169" fontId="234" fillId="10" borderId="5446" applyFont="0" applyProtection="0"/>
    <xf numFmtId="0" fontId="12" fillId="3" borderId="5446" applyNumberFormat="0" applyFont="0" applyAlignment="0" applyProtection="0"/>
    <xf numFmtId="0" fontId="25" fillId="10" borderId="5451" applyNumberFormat="0" applyProtection="0">
      <alignment horizontal="left"/>
    </xf>
    <xf numFmtId="0" fontId="25" fillId="10" borderId="5456" applyNumberFormat="0" applyProtection="0">
      <alignment horizontal="left" vertical="top"/>
    </xf>
    <xf numFmtId="312" fontId="214" fillId="0" borderId="4949" applyNumberFormat="0" applyFont="0" applyFill="0" applyAlignment="0" applyProtection="0"/>
    <xf numFmtId="312" fontId="2" fillId="0" borderId="4948" applyNumberFormat="0" applyAlignment="0" applyProtection="0"/>
    <xf numFmtId="188" fontId="25" fillId="0" borderId="5460" applyFont="0" applyFill="0" applyBorder="0" applyAlignment="0" applyProtection="0">
      <alignment horizontal="center"/>
    </xf>
    <xf numFmtId="312" fontId="210" fillId="0" borderId="4967" applyNumberFormat="0" applyFill="0" applyBorder="0" applyAlignment="0">
      <protection locked="0"/>
    </xf>
    <xf numFmtId="0" fontId="48" fillId="0" borderId="5445" applyNumberFormat="0" applyFill="0" applyAlignment="0" applyProtection="0"/>
    <xf numFmtId="182" fontId="145" fillId="3" borderId="5444">
      <alignment horizontal="right" vertical="center"/>
    </xf>
    <xf numFmtId="4" fontId="184" fillId="53" borderId="5448" applyNumberFormat="0" applyProtection="0">
      <alignment horizontal="left" vertical="center" indent="1"/>
    </xf>
    <xf numFmtId="4" fontId="226" fillId="77" borderId="5448" applyNumberFormat="0" applyProtection="0">
      <alignment horizontal="right" vertical="center"/>
    </xf>
    <xf numFmtId="4" fontId="226" fillId="81" borderId="5448" applyNumberFormat="0" applyProtection="0">
      <alignment horizontal="right" vertical="center"/>
    </xf>
    <xf numFmtId="0" fontId="12" fillId="75" borderId="5448" applyNumberFormat="0" applyProtection="0">
      <alignment horizontal="left" vertical="top" indent="1"/>
    </xf>
    <xf numFmtId="0" fontId="12" fillId="52" borderId="5448" applyNumberFormat="0" applyProtection="0">
      <alignment horizontal="left" vertical="center" indent="1"/>
    </xf>
    <xf numFmtId="0" fontId="12" fillId="11" borderId="5448" applyNumberFormat="0" applyProtection="0">
      <alignment horizontal="left" vertical="top" indent="1"/>
    </xf>
    <xf numFmtId="0" fontId="241" fillId="94" borderId="5433" applyBorder="0" applyProtection="0">
      <alignment horizontal="centerContinuous" vertical="center"/>
    </xf>
    <xf numFmtId="0" fontId="214" fillId="0" borderId="5472" applyNumberFormat="0" applyFont="0" applyFill="0" applyAlignment="0" applyProtection="0"/>
    <xf numFmtId="0" fontId="25" fillId="10" borderId="5084" applyNumberFormat="0" applyProtection="0">
      <alignment horizontal="left" vertical="top"/>
    </xf>
    <xf numFmtId="0" fontId="214" fillId="0" borderId="5081" applyNumberFormat="0" applyFont="0" applyFill="0" applyAlignment="0" applyProtection="0"/>
    <xf numFmtId="186" fontId="146" fillId="3" borderId="5078">
      <alignment horizontal="left"/>
    </xf>
    <xf numFmtId="0" fontId="25" fillId="10" borderId="5497" applyNumberFormat="0" applyProtection="0">
      <alignment horizontal="left" vertical="top"/>
    </xf>
    <xf numFmtId="0" fontId="2" fillId="0" borderId="5495" applyNumberFormat="0" applyAlignment="0" applyProtection="0"/>
    <xf numFmtId="222" fontId="79" fillId="0" borderId="5252" applyBorder="0"/>
    <xf numFmtId="0" fontId="50" fillId="117" borderId="5447" applyNumberFormat="0" applyFont="0" applyAlignment="0" applyProtection="0"/>
    <xf numFmtId="222" fontId="79" fillId="0" borderId="5252" applyBorder="0"/>
    <xf numFmtId="0" fontId="165" fillId="0" borderId="5433" applyFill="0" applyProtection="0">
      <alignment horizontal="center"/>
    </xf>
    <xf numFmtId="0" fontId="241" fillId="94" borderId="5433" applyBorder="0" applyProtection="0">
      <alignment horizontal="centerContinuous" vertical="center"/>
    </xf>
    <xf numFmtId="222" fontId="79" fillId="0" borderId="5252" applyBorder="0"/>
    <xf numFmtId="0" fontId="25" fillId="10" borderId="5083" applyNumberFormat="0" applyProtection="0">
      <alignment horizontal="left" vertical="top"/>
    </xf>
    <xf numFmtId="312" fontId="165" fillId="0" borderId="4967" applyFill="0" applyProtection="0">
      <alignment horizontal="center"/>
    </xf>
    <xf numFmtId="0" fontId="166" fillId="0" borderId="5433">
      <alignment horizontal="center"/>
    </xf>
    <xf numFmtId="0" fontId="241" fillId="94" borderId="5433" applyBorder="0" applyProtection="0">
      <alignment horizontal="centerContinuous" vertical="center"/>
    </xf>
    <xf numFmtId="222" fontId="79" fillId="0" borderId="5252" applyBorder="0"/>
    <xf numFmtId="0" fontId="25" fillId="10" borderId="5442" applyNumberFormat="0" applyProtection="0">
      <alignment horizontal="left" vertical="top"/>
    </xf>
    <xf numFmtId="192" fontId="9" fillId="3" borderId="5466">
      <alignment horizontal="right" vertical="center"/>
    </xf>
    <xf numFmtId="0" fontId="210" fillId="0" borderId="5466" applyNumberFormat="0" applyFill="0" applyBorder="0" applyAlignment="0">
      <protection locked="0"/>
    </xf>
    <xf numFmtId="0" fontId="75" fillId="0" borderId="5479" applyNumberFormat="0" applyFont="0" applyFill="0" applyAlignment="0" applyProtection="0"/>
    <xf numFmtId="248" fontId="46" fillId="0" borderId="5490"/>
    <xf numFmtId="254" fontId="240" fillId="0" borderId="5490" applyBorder="0" applyProtection="0">
      <alignment horizontal="right" vertical="center"/>
    </xf>
    <xf numFmtId="0" fontId="25" fillId="10" borderId="5509" applyNumberFormat="0" applyProtection="0">
      <alignment horizontal="left" vertical="top"/>
    </xf>
    <xf numFmtId="10" fontId="12" fillId="3" borderId="5458" applyNumberFormat="0" applyFont="0" applyFill="0" applyBorder="0" applyAlignment="0">
      <protection locked="0"/>
    </xf>
    <xf numFmtId="0" fontId="12" fillId="0" borderId="5445" applyNumberFormat="0" applyFill="0" applyBorder="0" applyAlignment="0" applyProtection="0"/>
    <xf numFmtId="0" fontId="25" fillId="10" borderId="5454" applyNumberFormat="0" applyProtection="0">
      <alignment horizontal="left" vertical="top"/>
    </xf>
    <xf numFmtId="10" fontId="12" fillId="3" borderId="5458" applyNumberFormat="0" applyFont="0" applyFill="0" applyBorder="0" applyAlignment="0">
      <protection locked="0"/>
    </xf>
    <xf numFmtId="190" fontId="159" fillId="67" borderId="5446"/>
    <xf numFmtId="186" fontId="146" fillId="3" borderId="5481">
      <alignment horizontal="left"/>
    </xf>
    <xf numFmtId="312" fontId="12" fillId="0" borderId="4967" applyNumberFormat="0" applyFill="0" applyBorder="0" applyAlignment="0" applyProtection="0">
      <alignment horizontal="center"/>
    </xf>
    <xf numFmtId="180" fontId="9" fillId="3" borderId="5502">
      <alignment horizontal="right" vertical="center"/>
    </xf>
    <xf numFmtId="0" fontId="25" fillId="10" borderId="5485" applyNumberFormat="0" applyProtection="0">
      <alignment horizontal="left" vertical="top"/>
    </xf>
    <xf numFmtId="0" fontId="25" fillId="10" borderId="5486" applyNumberFormat="0" applyProtection="0">
      <alignment horizontal="left" vertical="top"/>
    </xf>
    <xf numFmtId="312" fontId="113" fillId="0" borderId="4967" applyNumberFormat="0" applyFill="0" applyAlignment="0" applyProtection="0"/>
    <xf numFmtId="312" fontId="101" fillId="0" borderId="5502" applyBorder="0"/>
    <xf numFmtId="190" fontId="25" fillId="10" borderId="5446" applyNumberFormat="0" applyProtection="0">
      <alignment horizontal="center" vertical="top"/>
    </xf>
    <xf numFmtId="0" fontId="12" fillId="10" borderId="5446" applyNumberFormat="0" applyFont="0" applyAlignment="0" applyProtection="0"/>
    <xf numFmtId="0" fontId="25" fillId="10" borderId="4951" applyNumberFormat="0" applyProtection="0">
      <alignment horizontal="left" vertical="top"/>
    </xf>
    <xf numFmtId="248" fontId="46" fillId="0" borderId="4967"/>
    <xf numFmtId="0" fontId="113" fillId="0" borderId="4967" applyNumberFormat="0" applyFill="0" applyAlignment="0" applyProtection="0"/>
    <xf numFmtId="222" fontId="79" fillId="0" borderId="4966" applyBorder="0"/>
    <xf numFmtId="0" fontId="101" fillId="0" borderId="4967" applyBorder="0"/>
    <xf numFmtId="186" fontId="146" fillId="3" borderId="5469">
      <alignment horizontal="left"/>
    </xf>
    <xf numFmtId="0" fontId="12" fillId="0" borderId="5433" applyNumberFormat="0" applyFill="0" applyBorder="0" applyAlignment="0" applyProtection="0">
      <alignment horizontal="center"/>
    </xf>
    <xf numFmtId="190" fontId="25" fillId="10" borderId="4953" applyNumberFormat="0" applyProtection="0">
      <alignment horizontal="left" vertical="top"/>
    </xf>
    <xf numFmtId="190" fontId="2" fillId="0" borderId="4948" applyNumberFormat="0" applyAlignment="0" applyProtection="0"/>
    <xf numFmtId="188" fontId="25" fillId="0" borderId="5460" applyFont="0" applyFill="0" applyBorder="0" applyAlignment="0" applyProtection="0">
      <alignment horizontal="center"/>
    </xf>
    <xf numFmtId="0" fontId="12" fillId="0" borderId="5433" applyNumberFormat="0" applyFill="0" applyBorder="0" applyAlignment="0" applyProtection="0">
      <alignment horizontal="center"/>
    </xf>
    <xf numFmtId="254" fontId="240" fillId="0" borderId="5433" applyBorder="0" applyProtection="0">
      <alignment horizontal="right" vertical="center"/>
    </xf>
    <xf numFmtId="186" fontId="146" fillId="3" borderId="5433" applyBorder="0">
      <alignment horizontal="left" vertical="center"/>
    </xf>
    <xf numFmtId="248" fontId="46" fillId="0" borderId="5433"/>
    <xf numFmtId="0" fontId="101" fillId="0" borderId="5433" applyBorder="0"/>
    <xf numFmtId="0" fontId="25" fillId="10" borderId="5084" applyNumberFormat="0" applyProtection="0">
      <alignment horizontal="left" vertical="top"/>
    </xf>
    <xf numFmtId="190" fontId="166" fillId="0" borderId="4967">
      <alignment horizontal="center"/>
    </xf>
    <xf numFmtId="0" fontId="101" fillId="0" borderId="5502" applyBorder="0"/>
    <xf numFmtId="186" fontId="146" fillId="3" borderId="5502" applyBorder="0">
      <alignment horizontal="left" vertical="center"/>
    </xf>
    <xf numFmtId="0" fontId="25" fillId="10" borderId="5486" applyNumberFormat="0" applyProtection="0">
      <alignment horizontal="left" vertical="top"/>
    </xf>
    <xf numFmtId="190" fontId="113" fillId="0" borderId="4967" applyNumberFormat="0" applyFill="0" applyAlignment="0" applyProtection="0"/>
    <xf numFmtId="312" fontId="12" fillId="0" borderId="5502" applyNumberFormat="0" applyFill="0" applyBorder="0" applyAlignment="0" applyProtection="0">
      <alignment horizontal="center"/>
    </xf>
    <xf numFmtId="190" fontId="101" fillId="0" borderId="4967" applyBorder="0"/>
    <xf numFmtId="312" fontId="210" fillId="0" borderId="5502" applyNumberFormat="0" applyFill="0" applyBorder="0" applyAlignment="0">
      <protection locked="0"/>
    </xf>
    <xf numFmtId="312" fontId="12" fillId="75" borderId="5448" applyNumberFormat="0" applyProtection="0">
      <alignment horizontal="left" vertical="top" indent="1"/>
    </xf>
    <xf numFmtId="246" fontId="250" fillId="0" borderId="5478" applyFill="0" applyProtection="0">
      <alignment horizontal="center"/>
    </xf>
    <xf numFmtId="222" fontId="79" fillId="0" borderId="5465" applyBorder="0"/>
    <xf numFmtId="246" fontId="249" fillId="0" borderId="4967" applyFill="0" applyProtection="0">
      <alignment horizontal="center"/>
    </xf>
    <xf numFmtId="0" fontId="241" fillId="94" borderId="4967" applyBorder="0" applyProtection="0">
      <alignment horizontal="centerContinuous" vertical="center"/>
    </xf>
    <xf numFmtId="254" fontId="240" fillId="0" borderId="4967" applyBorder="0" applyProtection="0">
      <alignment horizontal="right" vertical="center"/>
    </xf>
    <xf numFmtId="0" fontId="25" fillId="10" borderId="4977" applyNumberFormat="0" applyProtection="0">
      <alignment horizontal="left" vertical="top"/>
    </xf>
    <xf numFmtId="0" fontId="25" fillId="10" borderId="4976" applyNumberFormat="0" applyProtection="0">
      <alignment horizontal="left" vertical="top"/>
    </xf>
    <xf numFmtId="0" fontId="25" fillId="10" borderId="4975" applyNumberFormat="0" applyProtection="0">
      <alignment horizontal="left" vertical="top"/>
    </xf>
    <xf numFmtId="0" fontId="25" fillId="10" borderId="4974" applyNumberFormat="0" applyProtection="0">
      <alignment horizontal="left" vertical="top"/>
    </xf>
    <xf numFmtId="0" fontId="25" fillId="10" borderId="4977" applyNumberFormat="0" applyProtection="0">
      <alignment horizontal="left" vertical="top"/>
    </xf>
    <xf numFmtId="0" fontId="25" fillId="10" borderId="4976" applyNumberFormat="0" applyProtection="0">
      <alignment horizontal="left" vertical="top"/>
    </xf>
    <xf numFmtId="0" fontId="25" fillId="10" borderId="4975" applyNumberFormat="0" applyProtection="0">
      <alignment horizontal="left" vertical="top"/>
    </xf>
    <xf numFmtId="0" fontId="25" fillId="10" borderId="4974" applyNumberFormat="0" applyProtection="0">
      <alignment horizontal="left" vertical="top"/>
    </xf>
    <xf numFmtId="0" fontId="214" fillId="0" borderId="4973" applyNumberFormat="0" applyFont="0" applyFill="0" applyAlignment="0" applyProtection="0"/>
    <xf numFmtId="0" fontId="2" fillId="0" borderId="4972" applyNumberFormat="0" applyAlignment="0" applyProtection="0"/>
    <xf numFmtId="0" fontId="210" fillId="0" borderId="4967" applyNumberFormat="0" applyFill="0" applyBorder="0" applyAlignment="0">
      <protection locked="0"/>
    </xf>
    <xf numFmtId="264" fontId="12" fillId="14" borderId="4967" applyFont="0" applyFill="0" applyBorder="0" applyAlignment="0" applyProtection="0">
      <alignment horizontal="right"/>
    </xf>
    <xf numFmtId="0" fontId="166" fillId="0" borderId="4967">
      <alignment horizontal="center"/>
    </xf>
    <xf numFmtId="0" fontId="165" fillId="0" borderId="4967" applyFill="0" applyProtection="0">
      <alignment horizontal="center"/>
    </xf>
    <xf numFmtId="0" fontId="12" fillId="0" borderId="4967" applyNumberFormat="0" applyFill="0" applyBorder="0" applyAlignment="0" applyProtection="0">
      <alignment horizontal="center"/>
    </xf>
    <xf numFmtId="0" fontId="25" fillId="10" borderId="5474" applyNumberFormat="0" applyProtection="0">
      <alignment horizontal="left" vertical="top"/>
    </xf>
    <xf numFmtId="248" fontId="46" fillId="0" borderId="4967"/>
    <xf numFmtId="222" fontId="79" fillId="0" borderId="4966" applyBorder="0"/>
    <xf numFmtId="0" fontId="113" fillId="0" borderId="4967" applyNumberFormat="0" applyFill="0" applyAlignment="0" applyProtection="0"/>
    <xf numFmtId="0" fontId="12" fillId="0" borderId="4967" applyNumberFormat="0" applyFill="0" applyBorder="0" applyAlignment="0" applyProtection="0">
      <alignment horizontal="center"/>
    </xf>
    <xf numFmtId="192" fontId="9" fillId="3" borderId="4967">
      <alignment horizontal="right" vertical="center"/>
    </xf>
    <xf numFmtId="180" fontId="9" fillId="3" borderId="4967">
      <alignment horizontal="right" vertical="center"/>
    </xf>
    <xf numFmtId="180" fontId="9" fillId="3" borderId="5490">
      <alignment horizontal="right" vertical="center"/>
    </xf>
    <xf numFmtId="0" fontId="166" fillId="0" borderId="4967">
      <alignment horizontal="center"/>
    </xf>
    <xf numFmtId="264" fontId="12" fillId="14" borderId="4967" applyFont="0" applyFill="0" applyBorder="0" applyAlignment="0" applyProtection="0">
      <alignment horizontal="right"/>
    </xf>
    <xf numFmtId="246" fontId="249" fillId="0" borderId="4967" applyFill="0" applyProtection="0">
      <alignment horizontal="center"/>
    </xf>
    <xf numFmtId="190" fontId="12" fillId="10" borderId="5446" applyNumberFormat="0" applyFont="0" applyAlignment="0" applyProtection="0"/>
    <xf numFmtId="190" fontId="25" fillId="10" borderId="5451" applyNumberFormat="0" applyProtection="0">
      <alignment horizontal="left"/>
    </xf>
    <xf numFmtId="0" fontId="12" fillId="0" borderId="5445" applyNumberFormat="0" applyFill="0" applyBorder="0" applyAlignment="0" applyProtection="0"/>
    <xf numFmtId="0" fontId="78" fillId="14" borderId="4969" applyFont="0" applyFill="0" applyBorder="0" applyAlignment="0" applyProtection="0"/>
    <xf numFmtId="246" fontId="250" fillId="0" borderId="4955" applyFill="0" applyProtection="0">
      <alignment horizontal="center"/>
    </xf>
    <xf numFmtId="246" fontId="249" fillId="0" borderId="4955" applyFill="0" applyProtection="0">
      <alignment horizontal="center"/>
    </xf>
    <xf numFmtId="0" fontId="166" fillId="0" borderId="4955">
      <alignment horizontal="center"/>
    </xf>
    <xf numFmtId="180" fontId="9" fillId="3" borderId="4955">
      <alignment horizontal="right" vertical="center"/>
    </xf>
    <xf numFmtId="192" fontId="9" fillId="3" borderId="4955">
      <alignment horizontal="right" vertical="center"/>
    </xf>
    <xf numFmtId="0" fontId="113" fillId="0" borderId="4955" applyNumberFormat="0" applyFill="0" applyAlignment="0" applyProtection="0"/>
    <xf numFmtId="222" fontId="79" fillId="0" borderId="4954" applyBorder="0"/>
    <xf numFmtId="0" fontId="101" fillId="0" borderId="4955" applyBorder="0"/>
    <xf numFmtId="186" fontId="146" fillId="3" borderId="4946">
      <alignment horizontal="left"/>
    </xf>
    <xf numFmtId="0" fontId="214" fillId="0" borderId="4949" applyNumberFormat="0" applyFont="0" applyFill="0" applyAlignment="0" applyProtection="0"/>
    <xf numFmtId="0" fontId="25" fillId="10" borderId="4952" applyNumberFormat="0" applyProtection="0">
      <alignment horizontal="left" vertical="top"/>
    </xf>
    <xf numFmtId="222" fontId="79" fillId="0" borderId="4942" applyBorder="0"/>
    <xf numFmtId="0" fontId="241" fillId="94" borderId="4931" applyBorder="0" applyProtection="0">
      <alignment horizontal="centerContinuous" vertical="center"/>
    </xf>
    <xf numFmtId="264" fontId="12" fillId="14" borderId="4931" applyFont="0" applyFill="0" applyBorder="0" applyAlignment="0" applyProtection="0">
      <alignment horizontal="right"/>
    </xf>
    <xf numFmtId="186" fontId="146" fillId="3" borderId="4931" applyBorder="0">
      <alignment horizontal="left" vertical="center"/>
    </xf>
    <xf numFmtId="248" fontId="46" fillId="0" borderId="4931"/>
    <xf numFmtId="222" fontId="79" fillId="0" borderId="4930" applyBorder="0"/>
    <xf numFmtId="0" fontId="75" fillId="0" borderId="4920" applyNumberFormat="0" applyFont="0" applyFill="0" applyAlignment="0" applyProtection="0"/>
    <xf numFmtId="0" fontId="2" fillId="0" borderId="4924" applyNumberFormat="0" applyAlignment="0" applyProtection="0"/>
    <xf numFmtId="0" fontId="78" fillId="14" borderId="4909" applyFont="0" applyFill="0" applyBorder="0" applyAlignment="0" applyProtection="0"/>
    <xf numFmtId="0" fontId="166" fillId="0" borderId="4907">
      <alignment horizontal="center"/>
    </xf>
    <xf numFmtId="180" fontId="9" fillId="3" borderId="4907">
      <alignment horizontal="right" vertical="center"/>
    </xf>
    <xf numFmtId="192" fontId="9" fillId="3" borderId="4907">
      <alignment horizontal="right" vertical="center"/>
    </xf>
    <xf numFmtId="248" fontId="46" fillId="0" borderId="4907"/>
    <xf numFmtId="0" fontId="12" fillId="0" borderId="4907" applyNumberFormat="0" applyFill="0" applyBorder="0" applyAlignment="0" applyProtection="0">
      <alignment horizontal="center"/>
    </xf>
    <xf numFmtId="0" fontId="113" fillId="0" borderId="4907" applyNumberFormat="0" applyFill="0" applyAlignment="0" applyProtection="0"/>
    <xf numFmtId="222" fontId="79" fillId="0" borderId="4918" applyBorder="0"/>
    <xf numFmtId="0" fontId="25" fillId="10" borderId="4917" applyNumberFormat="0" applyProtection="0">
      <alignment horizontal="left" vertical="top"/>
    </xf>
    <xf numFmtId="186" fontId="146" fillId="3" borderId="4910">
      <alignment horizontal="left"/>
    </xf>
    <xf numFmtId="186" fontId="140" fillId="3" borderId="4911">
      <alignment horizontal="center" vertical="center"/>
    </xf>
    <xf numFmtId="0" fontId="2" fillId="0" borderId="4912" applyNumberFormat="0" applyAlignment="0" applyProtection="0"/>
    <xf numFmtId="0" fontId="25" fillId="10" borderId="4914" applyNumberFormat="0" applyProtection="0">
      <alignment horizontal="left" vertical="top"/>
    </xf>
    <xf numFmtId="0" fontId="25" fillId="10" borderId="4916" applyNumberFormat="0" applyProtection="0">
      <alignment horizontal="left" vertical="top"/>
    </xf>
    <xf numFmtId="0" fontId="25" fillId="10" borderId="4917" applyNumberFormat="0" applyProtection="0">
      <alignment horizontal="left" vertical="top"/>
    </xf>
    <xf numFmtId="222" fontId="79" fillId="0" borderId="4918" applyBorder="0"/>
    <xf numFmtId="0" fontId="78" fillId="14" borderId="4909" applyFont="0" applyFill="0" applyBorder="0" applyAlignment="0" applyProtection="0"/>
    <xf numFmtId="222" fontId="79" fillId="0" borderId="4918" applyBorder="0"/>
    <xf numFmtId="0" fontId="25" fillId="10" borderId="4916" applyNumberFormat="0" applyProtection="0">
      <alignment horizontal="left" vertical="top"/>
    </xf>
    <xf numFmtId="0" fontId="25" fillId="10" borderId="4914" applyNumberFormat="0" applyProtection="0">
      <alignment horizontal="left" vertical="top"/>
    </xf>
    <xf numFmtId="0" fontId="214" fillId="0" borderId="4913" applyNumberFormat="0" applyFont="0" applyFill="0" applyAlignment="0" applyProtection="0"/>
    <xf numFmtId="186" fontId="146" fillId="3" borderId="4910">
      <alignment horizontal="left"/>
    </xf>
    <xf numFmtId="0" fontId="101" fillId="0" borderId="4907" applyBorder="0"/>
    <xf numFmtId="180" fontId="9" fillId="3" borderId="4907">
      <alignment horizontal="right" vertical="center"/>
    </xf>
    <xf numFmtId="0" fontId="166" fillId="0" borderId="4907">
      <alignment horizontal="center"/>
    </xf>
    <xf numFmtId="264" fontId="12" fillId="14" borderId="4907" applyFont="0" applyFill="0" applyBorder="0" applyAlignment="0" applyProtection="0">
      <alignment horizontal="right"/>
    </xf>
    <xf numFmtId="0" fontId="210" fillId="0" borderId="4907" applyNumberFormat="0" applyFill="0" applyBorder="0" applyAlignment="0">
      <protection locked="0"/>
    </xf>
    <xf numFmtId="190" fontId="25" fillId="10" borderId="5487" applyNumberFormat="0" applyProtection="0">
      <alignment horizontal="left" vertical="top"/>
    </xf>
    <xf numFmtId="190" fontId="25" fillId="10" borderId="5454" applyNumberFormat="0" applyProtection="0">
      <alignment horizontal="left" vertical="top"/>
    </xf>
    <xf numFmtId="190" fontId="25" fillId="10" borderId="5455" applyNumberFormat="0" applyProtection="0">
      <alignment horizontal="left" vertical="top"/>
    </xf>
    <xf numFmtId="222" fontId="79" fillId="0" borderId="4918" applyBorder="0"/>
    <xf numFmtId="0" fontId="2" fillId="0" borderId="4912" applyNumberFormat="0" applyAlignment="0" applyProtection="0"/>
    <xf numFmtId="0" fontId="214" fillId="0" borderId="4913" applyNumberFormat="0" applyFont="0" applyFill="0" applyAlignment="0" applyProtection="0"/>
    <xf numFmtId="0" fontId="25" fillId="10" borderId="4916" applyNumberFormat="0" applyProtection="0">
      <alignment horizontal="left" vertical="top"/>
    </xf>
    <xf numFmtId="222" fontId="79" fillId="0" borderId="5252" applyBorder="0"/>
    <xf numFmtId="0" fontId="78" fillId="14" borderId="4909" applyFont="0" applyFill="0" applyBorder="0" applyAlignment="0" applyProtection="0"/>
    <xf numFmtId="190" fontId="25" fillId="10" borderId="5486" applyNumberFormat="0" applyProtection="0">
      <alignment horizontal="left" vertical="top"/>
    </xf>
    <xf numFmtId="0" fontId="25" fillId="10" borderId="5085" applyNumberFormat="0" applyProtection="0">
      <alignment horizontal="left" vertical="top"/>
    </xf>
    <xf numFmtId="0" fontId="241" fillId="94" borderId="5502" applyBorder="0" applyProtection="0">
      <alignment horizontal="centerContinuous" vertical="center"/>
    </xf>
    <xf numFmtId="190" fontId="25" fillId="10" borderId="5457" applyNumberFormat="0" applyProtection="0">
      <alignment horizontal="left" vertical="top"/>
    </xf>
    <xf numFmtId="0" fontId="78" fillId="14" borderId="5480" applyFont="0" applyFill="0" applyBorder="0" applyAlignment="0" applyProtection="0"/>
    <xf numFmtId="264" fontId="12" fillId="14" borderId="5502" applyFont="0" applyFill="0" applyBorder="0" applyAlignment="0" applyProtection="0">
      <alignment horizontal="right"/>
    </xf>
    <xf numFmtId="312" fontId="48" fillId="0" borderId="5444" applyFont="0" applyFill="0" applyBorder="0" applyAlignment="0" applyProtection="0">
      <alignment horizontal="center"/>
    </xf>
    <xf numFmtId="248" fontId="46" fillId="0" borderId="5502"/>
    <xf numFmtId="0" fontId="113" fillId="0" borderId="4907" applyNumberFormat="0" applyFill="0" applyAlignment="0" applyProtection="0"/>
    <xf numFmtId="192" fontId="9" fillId="3" borderId="4907">
      <alignment horizontal="right" vertical="center"/>
    </xf>
    <xf numFmtId="180" fontId="9" fillId="3" borderId="4907">
      <alignment horizontal="right" vertical="center"/>
    </xf>
    <xf numFmtId="186" fontId="146" fillId="3" borderId="4907" applyBorder="0">
      <alignment horizontal="left" vertical="center"/>
    </xf>
    <xf numFmtId="264" fontId="12" fillId="14" borderId="4907" applyFont="0" applyFill="0" applyBorder="0" applyAlignment="0" applyProtection="0">
      <alignment horizontal="right"/>
    </xf>
    <xf numFmtId="0" fontId="210" fillId="0" borderId="4907" applyNumberFormat="0" applyFill="0" applyBorder="0" applyAlignment="0">
      <protection locked="0"/>
    </xf>
    <xf numFmtId="254" fontId="240" fillId="0" borderId="4907" applyBorder="0" applyProtection="0">
      <alignment horizontal="right" vertical="center"/>
    </xf>
    <xf numFmtId="0" fontId="241" fillId="94" borderId="4907" applyBorder="0" applyProtection="0">
      <alignment horizontal="centerContinuous" vertical="center"/>
    </xf>
    <xf numFmtId="246" fontId="249" fillId="0" borderId="4907" applyFill="0" applyProtection="0">
      <alignment horizontal="center"/>
    </xf>
    <xf numFmtId="246" fontId="250" fillId="0" borderId="4907" applyFill="0" applyProtection="0">
      <alignment horizontal="center"/>
    </xf>
    <xf numFmtId="0" fontId="75" fillId="0" borderId="4908" applyNumberFormat="0" applyFont="0" applyFill="0" applyAlignment="0" applyProtection="0"/>
    <xf numFmtId="186" fontId="146" fillId="3" borderId="4958">
      <alignment horizontal="left"/>
    </xf>
    <xf numFmtId="186" fontId="146" fillId="3" borderId="4910">
      <alignment horizontal="left"/>
    </xf>
    <xf numFmtId="186" fontId="140" fillId="3" borderId="4911">
      <alignment horizontal="center" vertical="center"/>
    </xf>
    <xf numFmtId="0" fontId="2" fillId="0" borderId="4912" applyNumberFormat="0" applyAlignment="0" applyProtection="0"/>
    <xf numFmtId="0" fontId="25" fillId="10" borderId="4914" applyNumberFormat="0" applyProtection="0">
      <alignment horizontal="left" vertical="top"/>
    </xf>
    <xf numFmtId="0" fontId="25" fillId="10" borderId="4915" applyNumberFormat="0" applyProtection="0">
      <alignment horizontal="left" vertical="top"/>
    </xf>
    <xf numFmtId="0" fontId="101" fillId="0" borderId="5873" applyBorder="0"/>
    <xf numFmtId="0" fontId="78" fillId="14" borderId="4909" applyFont="0" applyFill="0" applyBorder="0" applyAlignment="0" applyProtection="0"/>
    <xf numFmtId="0" fontId="78" fillId="14" borderId="4933" applyFont="0" applyFill="0" applyBorder="0" applyAlignment="0" applyProtection="0"/>
    <xf numFmtId="0" fontId="214" fillId="0" borderId="4937" applyNumberFormat="0" applyFont="0" applyFill="0" applyAlignment="0" applyProtection="0"/>
    <xf numFmtId="186" fontId="146" fillId="3" borderId="4943" applyBorder="0">
      <alignment horizontal="left" vertical="center"/>
    </xf>
    <xf numFmtId="0" fontId="166" fillId="0" borderId="4943">
      <alignment horizontal="center"/>
    </xf>
    <xf numFmtId="254" fontId="240" fillId="0" borderId="4919" applyBorder="0" applyProtection="0">
      <alignment horizontal="right" vertical="center"/>
    </xf>
    <xf numFmtId="222" fontId="79" fillId="0" borderId="4918" applyBorder="0"/>
    <xf numFmtId="0" fontId="25" fillId="10" borderId="4963" applyNumberFormat="0" applyProtection="0">
      <alignment horizontal="left" vertical="top"/>
    </xf>
    <xf numFmtId="246" fontId="249" fillId="0" borderId="4907" applyFill="0" applyProtection="0">
      <alignment horizontal="center"/>
    </xf>
    <xf numFmtId="0" fontId="25" fillId="10" borderId="4939" applyNumberFormat="0" applyProtection="0">
      <alignment horizontal="left" vertical="top"/>
    </xf>
    <xf numFmtId="186" fontId="146" fillId="3" borderId="4934">
      <alignment horizontal="left"/>
    </xf>
    <xf numFmtId="0" fontId="25" fillId="10" borderId="4940" applyNumberFormat="0" applyProtection="0">
      <alignment horizontal="left" vertical="top"/>
    </xf>
    <xf numFmtId="186" fontId="140" fillId="3" borderId="4935">
      <alignment horizontal="center" vertical="center"/>
    </xf>
    <xf numFmtId="222" fontId="79" fillId="0" borderId="4942" applyBorder="0"/>
    <xf numFmtId="248" fontId="46" fillId="0" borderId="4943"/>
    <xf numFmtId="264" fontId="12" fillId="14" borderId="4907" applyFont="0" applyFill="0" applyBorder="0" applyAlignment="0" applyProtection="0">
      <alignment horizontal="right"/>
    </xf>
    <xf numFmtId="0" fontId="166" fillId="0" borderId="4907">
      <alignment horizontal="center"/>
    </xf>
    <xf numFmtId="0" fontId="25" fillId="10" borderId="4917" applyNumberFormat="0" applyProtection="0">
      <alignment horizontal="left" vertical="top"/>
    </xf>
    <xf numFmtId="222" fontId="79" fillId="0" borderId="5252" applyBorder="0"/>
    <xf numFmtId="0" fontId="75" fillId="0" borderId="5479" applyNumberFormat="0" applyFont="0" applyFill="0" applyAlignment="0" applyProtection="0"/>
    <xf numFmtId="0" fontId="12" fillId="3" borderId="5446" applyNumberFormat="0" applyFont="0" applyAlignment="0" applyProtection="0"/>
    <xf numFmtId="0" fontId="166" fillId="0" borderId="5502">
      <alignment horizontal="center"/>
    </xf>
    <xf numFmtId="190" fontId="12" fillId="52" borderId="5448" applyNumberFormat="0" applyProtection="0">
      <alignment horizontal="left" vertical="center" indent="1"/>
    </xf>
    <xf numFmtId="10" fontId="12" fillId="3" borderId="5458" applyNumberFormat="0" applyFont="0" applyFill="0" applyBorder="0" applyAlignment="0">
      <protection locked="0"/>
    </xf>
    <xf numFmtId="0" fontId="210" fillId="0" borderId="5478" applyNumberFormat="0" applyFill="0" applyBorder="0" applyAlignment="0">
      <protection locked="0"/>
    </xf>
    <xf numFmtId="190" fontId="12" fillId="52" borderId="5448" applyNumberFormat="0" applyProtection="0">
      <alignment horizontal="left" vertical="top" indent="1"/>
    </xf>
    <xf numFmtId="0" fontId="165" fillId="0" borderId="5433" applyFill="0" applyProtection="0">
      <alignment horizontal="center"/>
    </xf>
    <xf numFmtId="0" fontId="241" fillId="94" borderId="5433" applyBorder="0" applyProtection="0">
      <alignment horizontal="centerContinuous" vertical="center"/>
    </xf>
    <xf numFmtId="0" fontId="25" fillId="10" borderId="5453" applyNumberFormat="0" applyProtection="0">
      <alignment horizontal="left" vertical="top"/>
    </xf>
    <xf numFmtId="0" fontId="25" fillId="10" borderId="4915" applyNumberFormat="0" applyProtection="0">
      <alignment horizontal="left" vertical="top"/>
    </xf>
    <xf numFmtId="0" fontId="25" fillId="10" borderId="4914" applyNumberFormat="0" applyProtection="0">
      <alignment horizontal="left" vertical="top"/>
    </xf>
    <xf numFmtId="0" fontId="25" fillId="10" borderId="4917" applyNumberFormat="0" applyProtection="0">
      <alignment horizontal="left" vertical="top"/>
    </xf>
    <xf numFmtId="0" fontId="214" fillId="0" borderId="4913" applyNumberFormat="0" applyFont="0" applyFill="0" applyAlignment="0" applyProtection="0"/>
    <xf numFmtId="0" fontId="2" fillId="0" borderId="4912" applyNumberFormat="0" applyAlignment="0" applyProtection="0"/>
    <xf numFmtId="222" fontId="79" fillId="0" borderId="5252" applyBorder="0"/>
    <xf numFmtId="0" fontId="25" fillId="10" borderId="5487" applyNumberFormat="0" applyProtection="0">
      <alignment horizontal="left" vertical="top"/>
    </xf>
    <xf numFmtId="186" fontId="146" fillId="3" borderId="4910">
      <alignment horizontal="left"/>
    </xf>
    <xf numFmtId="0" fontId="75" fillId="0" borderId="4908" applyNumberFormat="0" applyFont="0" applyFill="0" applyAlignment="0" applyProtection="0"/>
    <xf numFmtId="312" fontId="135" fillId="0" borderId="5446"/>
    <xf numFmtId="0" fontId="25" fillId="10" borderId="5498" applyNumberFormat="0" applyProtection="0">
      <alignment horizontal="left" vertical="top"/>
    </xf>
    <xf numFmtId="248" fontId="46" fillId="0" borderId="5885"/>
    <xf numFmtId="0" fontId="25" fillId="10" borderId="5894" applyNumberFormat="0" applyProtection="0">
      <alignment horizontal="left" vertical="top"/>
    </xf>
    <xf numFmtId="0" fontId="105" fillId="0" borderId="5445" applyNumberFormat="0" applyFill="0" applyBorder="0" applyAlignment="0" applyProtection="0"/>
    <xf numFmtId="0" fontId="135" fillId="0" borderId="5446"/>
    <xf numFmtId="0" fontId="25" fillId="69" borderId="5446">
      <alignment horizontal="left" vertical="center" wrapText="1"/>
    </xf>
    <xf numFmtId="4" fontId="184" fillId="53" borderId="5448" applyNumberFormat="0" applyProtection="0">
      <alignment horizontal="left" vertical="center" indent="1"/>
    </xf>
    <xf numFmtId="0" fontId="25" fillId="10" borderId="5452" applyNumberFormat="0" applyProtection="0">
      <alignment horizontal="left" vertical="top"/>
    </xf>
    <xf numFmtId="0" fontId="5" fillId="0" borderId="5460">
      <alignment horizontal="left" vertical="center"/>
    </xf>
    <xf numFmtId="0" fontId="74" fillId="0" borderId="5444" applyFont="0" applyFill="0" applyBorder="0" applyAlignment="0" applyProtection="0">
      <alignment horizontal="center"/>
    </xf>
    <xf numFmtId="4" fontId="223" fillId="53" borderId="5448" applyNumberFormat="0" applyProtection="0">
      <alignment vertical="center"/>
    </xf>
    <xf numFmtId="4" fontId="226" fillId="71" borderId="5448" applyNumberFormat="0" applyProtection="0">
      <alignment horizontal="right" vertical="center"/>
    </xf>
    <xf numFmtId="4" fontId="228" fillId="11" borderId="5448" applyNumberFormat="0" applyProtection="0">
      <alignment vertical="center"/>
    </xf>
    <xf numFmtId="186" fontId="146" fillId="3" borderId="5478" applyBorder="0">
      <alignment horizontal="left" vertical="center"/>
    </xf>
    <xf numFmtId="186" fontId="140" fillId="3" borderId="5494">
      <alignment horizontal="center" vertical="center"/>
    </xf>
    <xf numFmtId="186" fontId="140" fillId="3" borderId="5079">
      <alignment horizontal="center" vertical="center"/>
    </xf>
    <xf numFmtId="0" fontId="283" fillId="103" borderId="5462" applyNumberFormat="0" applyAlignment="0" applyProtection="0"/>
    <xf numFmtId="0" fontId="286" fillId="54" borderId="5463" applyNumberFormat="0" applyAlignment="0" applyProtection="0"/>
    <xf numFmtId="186" fontId="146" fillId="3" borderId="5433" applyBorder="0">
      <alignment horizontal="left" vertical="center"/>
    </xf>
    <xf numFmtId="246" fontId="250" fillId="0" borderId="5433" applyFill="0" applyProtection="0">
      <alignment horizontal="center"/>
    </xf>
    <xf numFmtId="0" fontId="210" fillId="0" borderId="5433" applyNumberFormat="0" applyFill="0" applyBorder="0" applyAlignment="0">
      <protection locked="0"/>
    </xf>
    <xf numFmtId="264" fontId="12" fillId="14" borderId="5433" applyFont="0" applyFill="0" applyBorder="0" applyAlignment="0" applyProtection="0">
      <alignment horizontal="right"/>
    </xf>
    <xf numFmtId="180" fontId="9" fillId="3" borderId="5433">
      <alignment horizontal="right" vertical="center"/>
    </xf>
    <xf numFmtId="0" fontId="12" fillId="0" borderId="5433" applyNumberFormat="0" applyFill="0" applyBorder="0" applyAlignment="0" applyProtection="0">
      <alignment horizontal="center"/>
    </xf>
    <xf numFmtId="0" fontId="113" fillId="0" borderId="5433" applyNumberFormat="0" applyFill="0" applyAlignment="0" applyProtection="0"/>
    <xf numFmtId="0" fontId="25" fillId="10" borderId="5082" applyNumberFormat="0" applyProtection="0">
      <alignment horizontal="left" vertical="top"/>
    </xf>
    <xf numFmtId="222" fontId="79" fillId="0" borderId="5252" applyBorder="0"/>
    <xf numFmtId="0" fontId="165" fillId="0" borderId="5433" applyFill="0" applyProtection="0">
      <alignment horizontal="center"/>
    </xf>
    <xf numFmtId="0" fontId="25" fillId="10" borderId="5443" applyNumberFormat="0" applyProtection="0">
      <alignment horizontal="left" vertical="top"/>
    </xf>
    <xf numFmtId="186" fontId="140" fillId="3" borderId="5437">
      <alignment horizontal="center" vertical="center"/>
    </xf>
    <xf numFmtId="0" fontId="12" fillId="0" borderId="5466" applyNumberFormat="0" applyFill="0" applyBorder="0" applyAlignment="0" applyProtection="0">
      <alignment horizontal="center"/>
    </xf>
    <xf numFmtId="0" fontId="165" fillId="0" borderId="5466" applyFill="0" applyProtection="0">
      <alignment horizontal="center"/>
    </xf>
    <xf numFmtId="246" fontId="249" fillId="0" borderId="5466" applyFill="0" applyProtection="0">
      <alignment horizontal="center"/>
    </xf>
    <xf numFmtId="186" fontId="146" fillId="3" borderId="5481">
      <alignment horizontal="left"/>
    </xf>
    <xf numFmtId="0" fontId="241" fillId="94" borderId="5502" applyBorder="0" applyProtection="0">
      <alignment horizontal="centerContinuous" vertical="center"/>
    </xf>
    <xf numFmtId="169" fontId="234" fillId="10" borderId="5446" applyFont="0" applyProtection="0"/>
    <xf numFmtId="182" fontId="145" fillId="3" borderId="5444">
      <alignment horizontal="right" vertical="center"/>
    </xf>
    <xf numFmtId="0" fontId="12" fillId="0" borderId="5445" applyNumberFormat="0" applyFill="0" applyBorder="0" applyAlignment="0" applyProtection="0"/>
    <xf numFmtId="0" fontId="101" fillId="0" borderId="5502" applyBorder="0"/>
    <xf numFmtId="222" fontId="79" fillId="0" borderId="5501" applyBorder="0"/>
    <xf numFmtId="0" fontId="113" fillId="0" borderId="5502" applyNumberFormat="0" applyFill="0" applyAlignment="0" applyProtection="0"/>
    <xf numFmtId="0" fontId="2" fillId="0" borderId="5507" applyNumberFormat="0" applyAlignment="0" applyProtection="0"/>
    <xf numFmtId="190" fontId="105" fillId="0" borderId="5445" applyNumberFormat="0" applyFill="0" applyBorder="0" applyAlignment="0" applyProtection="0"/>
    <xf numFmtId="190" fontId="113" fillId="0" borderId="5502" applyNumberFormat="0" applyFill="0" applyAlignment="0" applyProtection="0"/>
    <xf numFmtId="190" fontId="12" fillId="75" borderId="5448" applyNumberFormat="0" applyProtection="0">
      <alignment horizontal="left" vertical="center" indent="1"/>
    </xf>
    <xf numFmtId="0" fontId="165" fillId="0" borderId="5502" applyFill="0" applyProtection="0">
      <alignment horizontal="center"/>
    </xf>
    <xf numFmtId="0" fontId="166" fillId="0" borderId="5502">
      <alignment horizontal="center"/>
    </xf>
    <xf numFmtId="0" fontId="25" fillId="10" borderId="5487" applyNumberFormat="0" applyProtection="0">
      <alignment horizontal="left" vertical="top"/>
    </xf>
    <xf numFmtId="0" fontId="25" fillId="10" borderId="5488" applyNumberFormat="0" applyProtection="0">
      <alignment horizontal="left" vertical="top"/>
    </xf>
    <xf numFmtId="254" fontId="240" fillId="0" borderId="5502" applyBorder="0" applyProtection="0">
      <alignment horizontal="right" vertical="center"/>
    </xf>
    <xf numFmtId="246" fontId="250" fillId="0" borderId="5502" applyFill="0" applyProtection="0">
      <alignment horizontal="center"/>
    </xf>
    <xf numFmtId="312" fontId="2" fillId="0" borderId="5483" applyNumberFormat="0" applyAlignment="0" applyProtection="0"/>
    <xf numFmtId="312" fontId="12" fillId="84" borderId="5448" applyNumberFormat="0" applyProtection="0">
      <alignment horizontal="left" vertical="top" indent="1"/>
    </xf>
    <xf numFmtId="312" fontId="12" fillId="11" borderId="5448" applyNumberFormat="0" applyProtection="0">
      <alignment horizontal="left" vertical="center" indent="1"/>
    </xf>
    <xf numFmtId="312" fontId="136" fillId="84" borderId="5448" applyNumberFormat="0" applyProtection="0">
      <alignment horizontal="left" vertical="top" indent="1"/>
    </xf>
    <xf numFmtId="312" fontId="25" fillId="10" borderId="5446" applyNumberFormat="0" applyProtection="0">
      <alignment horizontal="center" vertical="top"/>
    </xf>
    <xf numFmtId="312" fontId="25" fillId="10" borderId="5452" applyNumberFormat="0" applyProtection="0">
      <alignment horizontal="left" vertical="top"/>
    </xf>
    <xf numFmtId="312" fontId="25" fillId="10" borderId="5487" applyNumberFormat="0" applyProtection="0">
      <alignment horizontal="left" vertical="top"/>
    </xf>
    <xf numFmtId="312" fontId="25" fillId="10" borderId="5456" applyNumberFormat="0" applyProtection="0">
      <alignment horizontal="left" vertical="top"/>
    </xf>
    <xf numFmtId="312" fontId="25" fillId="10" borderId="5457" applyNumberFormat="0" applyProtection="0">
      <alignment horizontal="left" vertical="top"/>
    </xf>
    <xf numFmtId="10" fontId="12" fillId="3" borderId="5458" applyNumberFormat="0" applyFont="0" applyFill="0" applyBorder="0" applyAlignment="0">
      <protection locked="0"/>
    </xf>
    <xf numFmtId="312" fontId="101" fillId="0" borderId="5502" applyBorder="0"/>
    <xf numFmtId="312" fontId="113" fillId="0" borderId="5502" applyNumberFormat="0" applyFill="0" applyAlignment="0" applyProtection="0"/>
    <xf numFmtId="312" fontId="75" fillId="0" borderId="5479" applyNumberFormat="0" applyFont="0" applyFill="0" applyAlignment="0" applyProtection="0"/>
    <xf numFmtId="312" fontId="12" fillId="0" borderId="5502" applyNumberFormat="0" applyFill="0" applyBorder="0" applyAlignment="0" applyProtection="0">
      <alignment horizontal="center"/>
    </xf>
    <xf numFmtId="312" fontId="78" fillId="14" borderId="5077" applyFont="0" applyFill="0" applyBorder="0" applyAlignment="0" applyProtection="0"/>
    <xf numFmtId="312" fontId="5" fillId="0" borderId="5460">
      <alignment horizontal="left" vertical="center"/>
    </xf>
    <xf numFmtId="312" fontId="165" fillId="0" borderId="5502" applyFill="0" applyProtection="0">
      <alignment horizontal="center"/>
    </xf>
    <xf numFmtId="0" fontId="12" fillId="3" borderId="5446" applyNumberFormat="0" applyFont="0" applyAlignment="0" applyProtection="0"/>
    <xf numFmtId="186" fontId="146" fillId="3" borderId="5325" applyBorder="0">
      <alignment horizontal="left" vertical="center"/>
    </xf>
    <xf numFmtId="0" fontId="25" fillId="10" borderId="5332" applyNumberFormat="0" applyProtection="0">
      <alignment horizontal="left" vertical="top"/>
    </xf>
    <xf numFmtId="0" fontId="25" fillId="10" borderId="5334" applyNumberFormat="0" applyProtection="0">
      <alignment horizontal="left" vertical="top"/>
    </xf>
    <xf numFmtId="0" fontId="113" fillId="0" borderId="5325" applyNumberFormat="0" applyFill="0" applyAlignment="0" applyProtection="0"/>
    <xf numFmtId="0" fontId="165" fillId="0" borderId="5325" applyFill="0" applyProtection="0">
      <alignment horizontal="center"/>
    </xf>
    <xf numFmtId="0" fontId="25" fillId="10" borderId="5334" applyNumberFormat="0" applyProtection="0">
      <alignment horizontal="left" vertical="top"/>
    </xf>
    <xf numFmtId="248" fontId="46" fillId="0" borderId="5325"/>
    <xf numFmtId="0" fontId="2" fillId="0" borderId="5330" applyNumberFormat="0" applyAlignment="0" applyProtection="0"/>
    <xf numFmtId="254" fontId="240" fillId="0" borderId="5253" applyBorder="0" applyProtection="0">
      <alignment horizontal="right" vertical="center"/>
    </xf>
    <xf numFmtId="0" fontId="25" fillId="10" borderId="5332" applyNumberFormat="0" applyProtection="0">
      <alignment horizontal="left" vertical="top"/>
    </xf>
    <xf numFmtId="254" fontId="240" fillId="0" borderId="5289" applyBorder="0" applyProtection="0">
      <alignment horizontal="right" vertical="center"/>
    </xf>
    <xf numFmtId="0" fontId="101" fillId="0" borderId="5313" applyBorder="0"/>
    <xf numFmtId="186" fontId="146" fillId="3" borderId="5253" applyBorder="0">
      <alignment horizontal="left" vertical="center"/>
    </xf>
    <xf numFmtId="312" fontId="25" fillId="69" borderId="5446">
      <alignment horizontal="left" vertical="center" wrapText="1"/>
    </xf>
    <xf numFmtId="0" fontId="159" fillId="0" borderId="5446"/>
    <xf numFmtId="0" fontId="25" fillId="10" borderId="5488" applyNumberFormat="0" applyProtection="0">
      <alignment horizontal="left" vertical="top"/>
    </xf>
    <xf numFmtId="190" fontId="12" fillId="11" borderId="5448" applyNumberFormat="0" applyProtection="0">
      <alignment horizontal="left" vertical="top" indent="1"/>
    </xf>
    <xf numFmtId="188" fontId="25" fillId="0" borderId="5460" applyFont="0" applyFill="0" applyBorder="0" applyAlignment="0" applyProtection="0">
      <alignment horizontal="center"/>
    </xf>
    <xf numFmtId="248" fontId="46" fillId="0" borderId="5433"/>
    <xf numFmtId="312" fontId="225" fillId="53" borderId="5448" applyNumberFormat="0" applyProtection="0">
      <alignment horizontal="left" vertical="top" indent="1"/>
    </xf>
    <xf numFmtId="0" fontId="12" fillId="0" borderId="4943" applyNumberFormat="0" applyFill="0" applyBorder="0" applyAlignment="0" applyProtection="0">
      <alignment horizontal="center"/>
    </xf>
    <xf numFmtId="0" fontId="25" fillId="69" borderId="5446">
      <alignment horizontal="left" vertical="center" wrapText="1"/>
    </xf>
    <xf numFmtId="248" fontId="46" fillId="0" borderId="4907"/>
    <xf numFmtId="0" fontId="210" fillId="0" borderId="4967" applyNumberFormat="0" applyFill="0" applyBorder="0" applyAlignment="0">
      <protection locked="0"/>
    </xf>
    <xf numFmtId="186" fontId="140" fillId="3" borderId="4947">
      <alignment horizontal="center" vertical="center"/>
    </xf>
    <xf numFmtId="222" fontId="79" fillId="0" borderId="5252" applyBorder="0"/>
    <xf numFmtId="180" fontId="9" fillId="3" borderId="4907">
      <alignment horizontal="right" vertical="center"/>
    </xf>
    <xf numFmtId="0" fontId="25" fillId="10" borderId="5892" applyNumberFormat="0" applyProtection="0">
      <alignment horizontal="left" vertical="top"/>
    </xf>
    <xf numFmtId="0" fontId="159" fillId="0" borderId="5446"/>
    <xf numFmtId="0" fontId="25" fillId="10" borderId="5454" applyNumberFormat="0" applyProtection="0">
      <alignment horizontal="left" vertical="top"/>
    </xf>
    <xf numFmtId="254" fontId="240" fillId="0" borderId="5433" applyBorder="0" applyProtection="0">
      <alignment horizontal="right" vertical="center"/>
    </xf>
    <xf numFmtId="246" fontId="249" fillId="0" borderId="5433" applyFill="0" applyProtection="0">
      <alignment horizontal="center"/>
    </xf>
    <xf numFmtId="0" fontId="25" fillId="10" borderId="4915" applyNumberFormat="0" applyProtection="0">
      <alignment horizontal="left" vertical="top"/>
    </xf>
    <xf numFmtId="0" fontId="12" fillId="75" borderId="5448" applyNumberFormat="0" applyProtection="0">
      <alignment horizontal="left" vertical="center" indent="1"/>
    </xf>
    <xf numFmtId="246" fontId="249" fillId="0" borderId="5433" applyFill="0" applyProtection="0">
      <alignment horizontal="center"/>
    </xf>
    <xf numFmtId="10" fontId="12" fillId="3" borderId="5458" applyNumberFormat="0" applyFont="0" applyFill="0" applyBorder="0" applyAlignment="0">
      <protection locked="0"/>
    </xf>
    <xf numFmtId="222" fontId="79" fillId="0" borderId="4918" applyBorder="0"/>
    <xf numFmtId="0" fontId="12" fillId="0" borderId="4907" applyNumberFormat="0" applyFill="0" applyBorder="0" applyAlignment="0" applyProtection="0">
      <alignment horizontal="center"/>
    </xf>
    <xf numFmtId="0" fontId="165" fillId="0" borderId="4967" applyFill="0" applyProtection="0">
      <alignment horizontal="center"/>
    </xf>
    <xf numFmtId="0" fontId="210" fillId="0" borderId="5433" applyNumberFormat="0" applyFill="0" applyBorder="0" applyAlignment="0">
      <protection locked="0"/>
    </xf>
    <xf numFmtId="190" fontId="48" fillId="0" borderId="5445" applyNumberFormat="0" applyFill="0" applyAlignment="0" applyProtection="0"/>
    <xf numFmtId="222" fontId="79" fillId="0" borderId="4822" applyBorder="0"/>
    <xf numFmtId="190" fontId="210" fillId="0" borderId="5502" applyNumberFormat="0" applyFill="0" applyBorder="0" applyAlignment="0">
      <protection locked="0"/>
    </xf>
    <xf numFmtId="0" fontId="113" fillId="0" borderId="5502" applyNumberFormat="0" applyFill="0" applyAlignment="0" applyProtection="0"/>
    <xf numFmtId="264" fontId="12" fillId="14" borderId="5885" applyFont="0" applyFill="0" applyBorder="0" applyAlignment="0" applyProtection="0">
      <alignment horizontal="right"/>
    </xf>
    <xf numFmtId="2" fontId="12" fillId="60" borderId="5450" applyFont="0" applyFill="0" applyBorder="0" applyAlignment="0" applyProtection="0"/>
    <xf numFmtId="0" fontId="101" fillId="0" borderId="4823" applyBorder="0"/>
    <xf numFmtId="222" fontId="79" fillId="0" borderId="4822" applyBorder="0"/>
    <xf numFmtId="0" fontId="113" fillId="0" borderId="4823" applyNumberFormat="0" applyFill="0" applyAlignment="0" applyProtection="0"/>
    <xf numFmtId="0" fontId="12" fillId="0" borderId="4823" applyNumberFormat="0" applyFill="0" applyBorder="0" applyAlignment="0" applyProtection="0">
      <alignment horizontal="center"/>
    </xf>
    <xf numFmtId="248" fontId="46" fillId="0" borderId="4823"/>
    <xf numFmtId="186" fontId="140" fillId="3" borderId="4971">
      <alignment horizontal="center" vertical="center"/>
    </xf>
    <xf numFmtId="0" fontId="75" fillId="0" borderId="4968" applyNumberFormat="0" applyFont="0" applyFill="0" applyAlignment="0" applyProtection="0"/>
    <xf numFmtId="192" fontId="9" fillId="3" borderId="4823">
      <alignment horizontal="right" vertical="center"/>
    </xf>
    <xf numFmtId="180" fontId="9" fillId="3" borderId="4823">
      <alignment horizontal="right" vertical="center"/>
    </xf>
    <xf numFmtId="186" fontId="146" fillId="3" borderId="4823" applyBorder="0">
      <alignment horizontal="left" vertical="center"/>
    </xf>
    <xf numFmtId="0" fontId="165" fillId="0" borderId="4967" applyFill="0" applyProtection="0">
      <alignment horizontal="center"/>
    </xf>
    <xf numFmtId="0" fontId="101" fillId="0" borderId="4907" applyBorder="0"/>
    <xf numFmtId="222" fontId="79" fillId="0" borderId="4918" applyBorder="0"/>
    <xf numFmtId="0" fontId="165" fillId="0" borderId="4823" applyFill="0" applyProtection="0">
      <alignment horizontal="center"/>
    </xf>
    <xf numFmtId="0" fontId="166" fillId="0" borderId="4823">
      <alignment horizontal="center"/>
    </xf>
    <xf numFmtId="222" fontId="79" fillId="0" borderId="4918" applyBorder="0"/>
    <xf numFmtId="264" fontId="12" fillId="14" borderId="4823" applyFont="0" applyFill="0" applyBorder="0" applyAlignment="0" applyProtection="0">
      <alignment horizontal="right"/>
    </xf>
    <xf numFmtId="0" fontId="25" fillId="10" borderId="4962" applyNumberFormat="0" applyProtection="0">
      <alignment horizontal="left" vertical="top"/>
    </xf>
    <xf numFmtId="0" fontId="12" fillId="0" borderId="5445" applyNumberFormat="0" applyFill="0" applyBorder="0" applyAlignment="0" applyProtection="0"/>
    <xf numFmtId="0" fontId="101" fillId="0" borderId="4967" applyBorder="0"/>
    <xf numFmtId="186" fontId="146" fillId="3" borderId="4967" applyBorder="0">
      <alignment horizontal="left" vertical="center"/>
    </xf>
    <xf numFmtId="0" fontId="210" fillId="0" borderId="4823" applyNumberFormat="0" applyFill="0" applyBorder="0" applyAlignment="0">
      <protection locked="0"/>
    </xf>
    <xf numFmtId="222" fontId="79" fillId="0" borderId="4918" applyBorder="0"/>
    <xf numFmtId="190" fontId="166" fillId="0" borderId="5502">
      <alignment horizontal="center"/>
    </xf>
    <xf numFmtId="190" fontId="225" fillId="53" borderId="5448" applyNumberFormat="0" applyProtection="0">
      <alignment horizontal="left" vertical="top" indent="1"/>
    </xf>
    <xf numFmtId="190" fontId="165" fillId="0" borderId="5502" applyFill="0" applyProtection="0">
      <alignment horizontal="center"/>
    </xf>
    <xf numFmtId="254" fontId="240" fillId="0" borderId="4823" applyBorder="0" applyProtection="0">
      <alignment horizontal="right" vertical="center"/>
    </xf>
    <xf numFmtId="0" fontId="241" fillId="94" borderId="4823" applyBorder="0" applyProtection="0">
      <alignment horizontal="centerContinuous" vertical="center"/>
    </xf>
    <xf numFmtId="246" fontId="249" fillId="0" borderId="4823" applyFill="0" applyProtection="0">
      <alignment horizontal="center"/>
    </xf>
    <xf numFmtId="246" fontId="250" fillId="0" borderId="4823" applyFill="0" applyProtection="0">
      <alignment horizontal="center"/>
    </xf>
    <xf numFmtId="192" fontId="9" fillId="3" borderId="5502">
      <alignment horizontal="right" vertical="center"/>
    </xf>
    <xf numFmtId="254" fontId="240" fillId="0" borderId="5849" applyBorder="0" applyProtection="0">
      <alignment horizontal="right" vertical="center"/>
    </xf>
    <xf numFmtId="0" fontId="113" fillId="0" borderId="5885" applyNumberFormat="0" applyFill="0" applyAlignment="0" applyProtection="0"/>
    <xf numFmtId="0" fontId="12" fillId="0" borderId="5445" applyNumberFormat="0" applyFill="0" applyBorder="0" applyAlignment="0" applyProtection="0"/>
    <xf numFmtId="0" fontId="2" fillId="0" borderId="4936" applyNumberFormat="0" applyAlignment="0" applyProtection="0"/>
    <xf numFmtId="0" fontId="165" fillId="0" borderId="5433" applyFill="0" applyProtection="0">
      <alignment horizontal="center"/>
    </xf>
    <xf numFmtId="222" fontId="79" fillId="0" borderId="4918" applyBorder="0"/>
    <xf numFmtId="190" fontId="135" fillId="0" borderId="5446"/>
    <xf numFmtId="186" fontId="146" fillId="3" borderId="4910">
      <alignment horizontal="left"/>
    </xf>
    <xf numFmtId="0" fontId="225" fillId="53" borderId="5448" applyNumberFormat="0" applyProtection="0">
      <alignment horizontal="left" vertical="top" indent="1"/>
    </xf>
    <xf numFmtId="254" fontId="240" fillId="0" borderId="4943" applyBorder="0" applyProtection="0">
      <alignment horizontal="right" vertical="center"/>
    </xf>
    <xf numFmtId="190" fontId="25" fillId="10" borderId="5446" applyNumberFormat="0" applyProtection="0">
      <alignment horizontal="center" vertical="top"/>
    </xf>
    <xf numFmtId="0" fontId="25" fillId="10" borderId="4950" applyNumberFormat="0" applyProtection="0">
      <alignment horizontal="left" vertical="top"/>
    </xf>
    <xf numFmtId="186" fontId="146" fillId="3" borderId="4967" applyBorder="0">
      <alignment horizontal="left" vertical="center"/>
    </xf>
    <xf numFmtId="0" fontId="210" fillId="0" borderId="4967" applyNumberFormat="0" applyFill="0" applyBorder="0" applyAlignment="0">
      <protection locked="0"/>
    </xf>
    <xf numFmtId="0" fontId="241" fillId="94" borderId="4955" applyBorder="0" applyProtection="0">
      <alignment horizontal="centerContinuous" vertical="center"/>
    </xf>
    <xf numFmtId="0" fontId="214" fillId="0" borderId="4925" applyNumberFormat="0" applyFont="0" applyFill="0" applyAlignment="0" applyProtection="0"/>
    <xf numFmtId="186" fontId="140" fillId="3" borderId="4911">
      <alignment horizontal="center" vertical="center"/>
    </xf>
    <xf numFmtId="4" fontId="226" fillId="78" borderId="5448" applyNumberFormat="0" applyProtection="0">
      <alignment horizontal="right" vertical="center"/>
    </xf>
    <xf numFmtId="0" fontId="12" fillId="75" borderId="5448" applyNumberFormat="0" applyProtection="0">
      <alignment horizontal="left" vertical="center" indent="1"/>
    </xf>
    <xf numFmtId="183" fontId="12" fillId="60" borderId="5450" applyFont="0" applyFill="0" applyBorder="0" applyAlignment="0" applyProtection="0"/>
    <xf numFmtId="0" fontId="25" fillId="10" borderId="5446" applyNumberFormat="0" applyProtection="0">
      <alignment horizontal="center" vertical="top"/>
    </xf>
    <xf numFmtId="0" fontId="25" fillId="10" borderId="5453" applyNumberFormat="0" applyProtection="0">
      <alignment horizontal="left" vertical="top"/>
    </xf>
    <xf numFmtId="0" fontId="12" fillId="0" borderId="5445" applyNumberFormat="0" applyFill="0" applyBorder="0" applyAlignment="0" applyProtection="0"/>
    <xf numFmtId="0" fontId="48" fillId="0" borderId="5444" applyFont="0" applyFill="0" applyBorder="0" applyAlignment="0" applyProtection="0">
      <alignment horizontal="center"/>
    </xf>
    <xf numFmtId="4" fontId="224" fillId="53" borderId="5448" applyNumberFormat="0" applyProtection="0">
      <alignment vertical="center"/>
    </xf>
    <xf numFmtId="4" fontId="226" fillId="80" borderId="5448" applyNumberFormat="0" applyProtection="0">
      <alignment horizontal="right" vertical="center"/>
    </xf>
    <xf numFmtId="264" fontId="12" fillId="14" borderId="5433" applyFont="0" applyFill="0" applyBorder="0" applyAlignment="0" applyProtection="0">
      <alignment horizontal="right"/>
    </xf>
    <xf numFmtId="0" fontId="288" fillId="0" borderId="5464" applyNumberFormat="0" applyFill="0" applyAlignment="0" applyProtection="0"/>
    <xf numFmtId="246" fontId="250" fillId="0" borderId="5466" applyFill="0" applyProtection="0">
      <alignment horizontal="center"/>
    </xf>
    <xf numFmtId="0" fontId="101" fillId="0" borderId="5490" applyBorder="0"/>
    <xf numFmtId="254" fontId="240" fillId="0" borderId="5502" applyBorder="0" applyProtection="0">
      <alignment horizontal="right" vertical="center"/>
    </xf>
    <xf numFmtId="169" fontId="234" fillId="3" borderId="5446" applyFont="0" applyProtection="0"/>
    <xf numFmtId="0" fontId="48" fillId="0" borderId="5444" applyFont="0" applyFill="0" applyBorder="0" applyAlignment="0" applyProtection="0">
      <alignment horizontal="center"/>
    </xf>
    <xf numFmtId="190" fontId="101" fillId="0" borderId="5502" applyBorder="0"/>
    <xf numFmtId="190" fontId="12" fillId="75" borderId="5448" applyNumberFormat="0" applyProtection="0">
      <alignment horizontal="left" vertical="top" indent="1"/>
    </xf>
    <xf numFmtId="10" fontId="12" fillId="3" borderId="5458" applyNumberFormat="0" applyFont="0" applyFill="0" applyBorder="0" applyAlignment="0">
      <protection locked="0"/>
    </xf>
    <xf numFmtId="312" fontId="78" fillId="14" borderId="5077" applyFont="0" applyFill="0" applyBorder="0" applyAlignment="0" applyProtection="0"/>
    <xf numFmtId="312" fontId="74" fillId="0" borderId="5444" applyFont="0" applyFill="0" applyBorder="0" applyAlignment="0" applyProtection="0">
      <alignment horizontal="center"/>
    </xf>
    <xf numFmtId="264" fontId="12" fillId="14" borderId="4919" applyFont="0" applyFill="0" applyBorder="0" applyAlignment="0" applyProtection="0">
      <alignment horizontal="right"/>
    </xf>
    <xf numFmtId="0" fontId="78" fillId="14" borderId="4825" applyFont="0" applyFill="0" applyBorder="0" applyAlignment="0" applyProtection="0"/>
    <xf numFmtId="0" fontId="25" fillId="10" borderId="4833" applyNumberFormat="0" applyProtection="0">
      <alignment horizontal="left" vertical="top"/>
    </xf>
    <xf numFmtId="0" fontId="25" fillId="10" borderId="4832" applyNumberFormat="0" applyProtection="0">
      <alignment horizontal="left" vertical="top"/>
    </xf>
    <xf numFmtId="0" fontId="25" fillId="10" borderId="4831" applyNumberFormat="0" applyProtection="0">
      <alignment horizontal="left" vertical="top"/>
    </xf>
    <xf numFmtId="0" fontId="25" fillId="10" borderId="4830" applyNumberFormat="0" applyProtection="0">
      <alignment horizontal="left" vertical="top"/>
    </xf>
    <xf numFmtId="0" fontId="214" fillId="0" borderId="4829" applyNumberFormat="0" applyFont="0" applyFill="0" applyAlignment="0" applyProtection="0"/>
    <xf numFmtId="0" fontId="2" fillId="0" borderId="4828" applyNumberFormat="0" applyAlignment="0" applyProtection="0"/>
    <xf numFmtId="0" fontId="75" fillId="0" borderId="4956" applyNumberFormat="0" applyFont="0" applyFill="0" applyAlignment="0" applyProtection="0"/>
    <xf numFmtId="186" fontId="140" fillId="3" borderId="4827">
      <alignment horizontal="center" vertical="center"/>
    </xf>
    <xf numFmtId="186" fontId="146" fillId="3" borderId="4826">
      <alignment horizontal="left"/>
    </xf>
    <xf numFmtId="180" fontId="9" fillId="3" borderId="4967">
      <alignment horizontal="right" vertical="center"/>
    </xf>
    <xf numFmtId="222" fontId="79" fillId="0" borderId="5501" applyBorder="0"/>
    <xf numFmtId="0" fontId="75" fillId="0" borderId="4824" applyNumberFormat="0" applyFont="0" applyFill="0" applyAlignment="0" applyProtection="0"/>
    <xf numFmtId="186" fontId="146" fillId="3" borderId="4919" applyBorder="0">
      <alignment horizontal="left" vertical="center"/>
    </xf>
    <xf numFmtId="186" fontId="140" fillId="3" borderId="5482">
      <alignment horizontal="center" vertical="center"/>
    </xf>
    <xf numFmtId="10" fontId="12" fillId="3" borderId="5458" applyNumberFormat="0" applyFont="0" applyFill="0" applyBorder="0" applyAlignment="0">
      <protection locked="0"/>
    </xf>
    <xf numFmtId="222" fontId="79" fillId="0" borderId="4834" applyBorder="0"/>
    <xf numFmtId="180" fontId="9" fillId="3" borderId="5466">
      <alignment horizontal="right" vertical="center"/>
    </xf>
    <xf numFmtId="0" fontId="101" fillId="0" borderId="4835" applyBorder="0"/>
    <xf numFmtId="222" fontId="79" fillId="0" borderId="4834" applyBorder="0"/>
    <xf numFmtId="0" fontId="113" fillId="0" borderId="4835" applyNumberFormat="0" applyFill="0" applyAlignment="0" applyProtection="0"/>
    <xf numFmtId="0" fontId="12" fillId="0" borderId="4835" applyNumberFormat="0" applyFill="0" applyBorder="0" applyAlignment="0" applyProtection="0">
      <alignment horizontal="center"/>
    </xf>
    <xf numFmtId="248" fontId="46" fillId="0" borderId="4835"/>
    <xf numFmtId="186" fontId="146" fillId="3" borderId="4970">
      <alignment horizontal="left"/>
    </xf>
    <xf numFmtId="0" fontId="113" fillId="0" borderId="4967" applyNumberFormat="0" applyFill="0" applyAlignment="0" applyProtection="0"/>
    <xf numFmtId="190" fontId="12" fillId="3" borderId="5446" applyNumberFormat="0" applyFont="0" applyAlignment="0" applyProtection="0"/>
    <xf numFmtId="192" fontId="9" fillId="3" borderId="4835">
      <alignment horizontal="right" vertical="center"/>
    </xf>
    <xf numFmtId="180" fontId="9" fillId="3" borderId="4835">
      <alignment horizontal="right" vertical="center"/>
    </xf>
    <xf numFmtId="186" fontId="146" fillId="3" borderId="4835" applyBorder="0">
      <alignment horizontal="left" vertical="center"/>
    </xf>
    <xf numFmtId="0" fontId="165" fillId="0" borderId="4835" applyFill="0" applyProtection="0">
      <alignment horizontal="center"/>
    </xf>
    <xf numFmtId="0" fontId="166" fillId="0" borderId="4835">
      <alignment horizontal="center"/>
    </xf>
    <xf numFmtId="264" fontId="12" fillId="14" borderId="4835" applyFont="0" applyFill="0" applyBorder="0" applyAlignment="0" applyProtection="0">
      <alignment horizontal="right"/>
    </xf>
    <xf numFmtId="0" fontId="210" fillId="0" borderId="4835" applyNumberFormat="0" applyFill="0" applyBorder="0" applyAlignment="0">
      <protection locked="0"/>
    </xf>
    <xf numFmtId="254" fontId="240" fillId="0" borderId="4835" applyBorder="0" applyProtection="0">
      <alignment horizontal="right" vertical="center"/>
    </xf>
    <xf numFmtId="0" fontId="241" fillId="94" borderId="4835" applyBorder="0" applyProtection="0">
      <alignment horizontal="centerContinuous" vertical="center"/>
    </xf>
    <xf numFmtId="246" fontId="249" fillId="0" borderId="4835" applyFill="0" applyProtection="0">
      <alignment horizontal="center"/>
    </xf>
    <xf numFmtId="246" fontId="250" fillId="0" borderId="4835" applyFill="0" applyProtection="0">
      <alignment horizontal="center"/>
    </xf>
    <xf numFmtId="0" fontId="166" fillId="0" borderId="4919">
      <alignment horizontal="center"/>
    </xf>
    <xf numFmtId="192" fontId="9" fillId="3" borderId="4919">
      <alignment horizontal="right" vertical="center"/>
    </xf>
    <xf numFmtId="248" fontId="46" fillId="0" borderId="4919"/>
    <xf numFmtId="0" fontId="12" fillId="0" borderId="4919" applyNumberFormat="0" applyFill="0" applyBorder="0" applyAlignment="0" applyProtection="0">
      <alignment horizontal="center"/>
    </xf>
    <xf numFmtId="0" fontId="113" fillId="0" borderId="4919" applyNumberFormat="0" applyFill="0" applyAlignment="0" applyProtection="0"/>
    <xf numFmtId="222" fontId="79" fillId="0" borderId="4918" applyBorder="0"/>
    <xf numFmtId="0" fontId="101" fillId="0" borderId="4919" applyBorder="0"/>
    <xf numFmtId="0" fontId="210" fillId="0" borderId="5502" applyNumberFormat="0" applyFill="0" applyBorder="0" applyAlignment="0">
      <protection locked="0"/>
    </xf>
    <xf numFmtId="0" fontId="25" fillId="10" borderId="5475" applyNumberFormat="0" applyProtection="0">
      <alignment horizontal="left" vertical="top"/>
    </xf>
    <xf numFmtId="0" fontId="25" fillId="10" borderId="5457" applyNumberFormat="0" applyProtection="0">
      <alignment horizontal="left" vertical="top"/>
    </xf>
    <xf numFmtId="186" fontId="146" fillId="3" borderId="4910">
      <alignment horizontal="left"/>
    </xf>
    <xf numFmtId="222" fontId="79" fillId="0" borderId="5489" applyBorder="0"/>
    <xf numFmtId="0" fontId="75" fillId="0" borderId="5467" applyNumberFormat="0" applyFont="0" applyFill="0" applyAlignment="0" applyProtection="0"/>
    <xf numFmtId="293" fontId="234" fillId="3" borderId="5446" applyFont="0" applyProtection="0"/>
    <xf numFmtId="0" fontId="75" fillId="0" borderId="5076" applyNumberFormat="0" applyFont="0" applyFill="0" applyAlignment="0" applyProtection="0"/>
    <xf numFmtId="192" fontId="9" fillId="3" borderId="5490">
      <alignment horizontal="right" vertical="center"/>
    </xf>
    <xf numFmtId="0" fontId="113" fillId="0" borderId="4967" applyNumberFormat="0" applyFill="0" applyAlignment="0" applyProtection="0"/>
    <xf numFmtId="0" fontId="25" fillId="10" borderId="4914" applyNumberFormat="0" applyProtection="0">
      <alignment horizontal="left" vertical="top"/>
    </xf>
    <xf numFmtId="186" fontId="140" fillId="3" borderId="4971">
      <alignment horizontal="center" vertical="center"/>
    </xf>
    <xf numFmtId="0" fontId="25" fillId="10" borderId="4977" applyNumberFormat="0" applyProtection="0">
      <alignment horizontal="left" vertical="top"/>
    </xf>
    <xf numFmtId="0" fontId="2" fillId="0" borderId="4972" applyNumberFormat="0" applyAlignment="0" applyProtection="0"/>
    <xf numFmtId="0" fontId="101" fillId="0" borderId="4943" applyBorder="0"/>
    <xf numFmtId="0" fontId="214" fillId="0" borderId="4913" applyNumberFormat="0" applyFont="0" applyFill="0" applyAlignment="0" applyProtection="0"/>
    <xf numFmtId="186" fontId="146" fillId="3" borderId="4970">
      <alignment horizontal="left"/>
    </xf>
    <xf numFmtId="0" fontId="25" fillId="10" borderId="4974" applyNumberFormat="0" applyProtection="0">
      <alignment horizontal="left" vertical="top"/>
    </xf>
    <xf numFmtId="0" fontId="25" fillId="10" borderId="4976" applyNumberFormat="0" applyProtection="0">
      <alignment horizontal="left" vertical="top"/>
    </xf>
    <xf numFmtId="0" fontId="25" fillId="10" borderId="4975" applyNumberFormat="0" applyProtection="0">
      <alignment horizontal="left" vertical="top"/>
    </xf>
    <xf numFmtId="0" fontId="214" fillId="0" borderId="4973" applyNumberFormat="0" applyFont="0" applyFill="0" applyAlignment="0" applyProtection="0"/>
    <xf numFmtId="0" fontId="210" fillId="0" borderId="4967" applyNumberFormat="0" applyFill="0" applyBorder="0" applyAlignment="0">
      <protection locked="0"/>
    </xf>
    <xf numFmtId="254" fontId="240" fillId="0" borderId="4907" applyBorder="0" applyProtection="0">
      <alignment horizontal="right" vertical="center"/>
    </xf>
    <xf numFmtId="246" fontId="249" fillId="0" borderId="4907" applyFill="0" applyProtection="0">
      <alignment horizontal="center"/>
    </xf>
    <xf numFmtId="0" fontId="214" fillId="0" borderId="4913" applyNumberFormat="0" applyFont="0" applyFill="0" applyAlignment="0" applyProtection="0"/>
    <xf numFmtId="0" fontId="166" fillId="0" borderId="4967">
      <alignment horizontal="center"/>
    </xf>
    <xf numFmtId="222" fontId="79" fillId="0" borderId="4918" applyBorder="0"/>
    <xf numFmtId="0" fontId="12" fillId="0" borderId="4967" applyNumberFormat="0" applyFill="0" applyBorder="0" applyAlignment="0" applyProtection="0">
      <alignment horizontal="center"/>
    </xf>
    <xf numFmtId="0" fontId="135" fillId="0" borderId="5446"/>
    <xf numFmtId="190" fontId="25" fillId="10" borderId="4952" applyNumberFormat="0" applyProtection="0">
      <alignment horizontal="left" vertical="top"/>
    </xf>
    <xf numFmtId="246" fontId="250" fillId="0" borderId="5253" applyFill="0" applyProtection="0">
      <alignment horizontal="center"/>
    </xf>
    <xf numFmtId="0" fontId="25" fillId="10" borderId="5452" applyNumberFormat="0" applyProtection="0">
      <alignment horizontal="left" vertical="top"/>
    </xf>
    <xf numFmtId="190" fontId="12" fillId="10" borderId="5446" applyNumberFormat="0" applyFont="0" applyProtection="0"/>
    <xf numFmtId="0" fontId="25" fillId="10" borderId="5476" applyNumberFormat="0" applyProtection="0">
      <alignment horizontal="left" vertical="top"/>
    </xf>
    <xf numFmtId="312" fontId="12" fillId="75" borderId="5448" applyNumberFormat="0" applyProtection="0">
      <alignment horizontal="left" vertical="center" indent="1"/>
    </xf>
    <xf numFmtId="0" fontId="283" fillId="103" borderId="5462" applyNumberFormat="0" applyAlignment="0" applyProtection="0"/>
    <xf numFmtId="0" fontId="12" fillId="0" borderId="5445" applyNumberFormat="0" applyFill="0" applyBorder="0" applyAlignment="0" applyProtection="0"/>
    <xf numFmtId="222" fontId="79" fillId="0" borderId="4966" applyBorder="0"/>
    <xf numFmtId="192" fontId="9" fillId="3" borderId="4967">
      <alignment horizontal="right" vertical="center"/>
    </xf>
    <xf numFmtId="186" fontId="146" fillId="3" borderId="4838">
      <alignment horizontal="left"/>
    </xf>
    <xf numFmtId="0" fontId="75" fillId="0" borderId="4836" applyNumberFormat="0" applyFont="0" applyFill="0" applyAlignment="0" applyProtection="0"/>
    <xf numFmtId="4" fontId="226" fillId="78" borderId="5448" applyNumberFormat="0" applyProtection="0">
      <alignment horizontal="right" vertical="center"/>
    </xf>
    <xf numFmtId="0" fontId="25" fillId="10" borderId="4914" applyNumberFormat="0" applyProtection="0">
      <alignment horizontal="left" vertical="top"/>
    </xf>
    <xf numFmtId="0" fontId="75" fillId="0" borderId="4908" applyNumberFormat="0" applyFont="0" applyFill="0" applyAlignment="0" applyProtection="0"/>
    <xf numFmtId="312" fontId="25" fillId="10" borderId="5451" applyNumberFormat="0" applyProtection="0">
      <alignment horizontal="left"/>
    </xf>
    <xf numFmtId="312" fontId="12" fillId="0" borderId="5445" applyNumberFormat="0" applyFill="0" applyBorder="0" applyAlignment="0" applyProtection="0"/>
    <xf numFmtId="312" fontId="25" fillId="10" borderId="5487" applyNumberFormat="0" applyProtection="0">
      <alignment horizontal="left" vertical="top"/>
    </xf>
    <xf numFmtId="293" fontId="234" fillId="3" borderId="5446" applyFont="0" applyProtection="0"/>
    <xf numFmtId="0" fontId="25" fillId="10" borderId="4941" applyNumberFormat="0" applyProtection="0">
      <alignment horizontal="left" vertical="top"/>
    </xf>
    <xf numFmtId="10" fontId="12" fillId="3" borderId="5458" applyNumberFormat="0" applyFont="0" applyFill="0" applyBorder="0" applyAlignment="0">
      <protection locked="0"/>
    </xf>
    <xf numFmtId="264" fontId="12" fillId="14" borderId="5433" applyFont="0" applyFill="0" applyBorder="0" applyAlignment="0" applyProtection="0">
      <alignment horizontal="right"/>
    </xf>
    <xf numFmtId="0" fontId="113" fillId="0" borderId="4919" applyNumberFormat="0" applyFill="0" applyAlignment="0" applyProtection="0"/>
    <xf numFmtId="0" fontId="78" fillId="14" borderId="5504" applyFont="0" applyFill="0" applyBorder="0" applyAlignment="0" applyProtection="0"/>
    <xf numFmtId="264" fontId="12" fillId="14" borderId="4919" applyFont="0" applyFill="0" applyBorder="0" applyAlignment="0" applyProtection="0">
      <alignment horizontal="right"/>
    </xf>
    <xf numFmtId="246" fontId="249" fillId="0" borderId="4919" applyFill="0" applyProtection="0">
      <alignment horizontal="center"/>
    </xf>
    <xf numFmtId="0" fontId="25" fillId="10" borderId="4845" applyNumberFormat="0" applyProtection="0">
      <alignment horizontal="left" vertical="top"/>
    </xf>
    <xf numFmtId="0" fontId="25" fillId="10" borderId="4843" applyNumberFormat="0" applyProtection="0">
      <alignment horizontal="left" vertical="top"/>
    </xf>
    <xf numFmtId="0" fontId="25" fillId="10" borderId="4844" applyNumberFormat="0" applyProtection="0">
      <alignment horizontal="left" vertical="top"/>
    </xf>
    <xf numFmtId="0" fontId="25" fillId="10" borderId="4842" applyNumberFormat="0" applyProtection="0">
      <alignment horizontal="left" vertical="top"/>
    </xf>
    <xf numFmtId="0" fontId="25" fillId="10" borderId="4845" applyNumberFormat="0" applyProtection="0">
      <alignment horizontal="left" vertical="top"/>
    </xf>
    <xf numFmtId="0" fontId="25" fillId="10" borderId="4844" applyNumberFormat="0" applyProtection="0">
      <alignment horizontal="left" vertical="top"/>
    </xf>
    <xf numFmtId="0" fontId="25" fillId="10" borderId="4843" applyNumberFormat="0" applyProtection="0">
      <alignment horizontal="left" vertical="top"/>
    </xf>
    <xf numFmtId="0" fontId="25" fillId="10" borderId="4842" applyNumberFormat="0" applyProtection="0">
      <alignment horizontal="left" vertical="top"/>
    </xf>
    <xf numFmtId="0" fontId="214" fillId="0" borderId="4841" applyNumberFormat="0" applyFont="0" applyFill="0" applyAlignment="0" applyProtection="0"/>
    <xf numFmtId="0" fontId="2" fillId="0" borderId="4840" applyNumberFormat="0" applyAlignment="0" applyProtection="0"/>
    <xf numFmtId="186" fontId="140" fillId="3" borderId="4839">
      <alignment horizontal="center" vertical="center"/>
    </xf>
    <xf numFmtId="0" fontId="48" fillId="0" borderId="5445" applyNumberFormat="0" applyFill="0" applyAlignment="0" applyProtection="0"/>
    <xf numFmtId="186" fontId="140" fillId="3" borderId="4851">
      <alignment horizontal="center" vertical="center"/>
    </xf>
    <xf numFmtId="0" fontId="25" fillId="10" borderId="4854" applyNumberFormat="0" applyProtection="0">
      <alignment horizontal="left" vertical="top"/>
    </xf>
    <xf numFmtId="0" fontId="12" fillId="0" borderId="4919" applyNumberFormat="0" applyFill="0" applyBorder="0" applyAlignment="0" applyProtection="0">
      <alignment horizontal="center"/>
    </xf>
    <xf numFmtId="0" fontId="25" fillId="10" borderId="4916" applyNumberFormat="0" applyProtection="0">
      <alignment horizontal="left" vertical="top"/>
    </xf>
    <xf numFmtId="0" fontId="241" fillId="94" borderId="5490" applyBorder="0" applyProtection="0">
      <alignment horizontal="centerContinuous" vertical="center"/>
    </xf>
    <xf numFmtId="222" fontId="79" fillId="0" borderId="4906" applyBorder="0"/>
    <xf numFmtId="0" fontId="78" fillId="14" borderId="4909" applyFont="0" applyFill="0" applyBorder="0" applyAlignment="0" applyProtection="0"/>
    <xf numFmtId="222" fontId="79" fillId="0" borderId="4918" applyBorder="0"/>
    <xf numFmtId="0" fontId="101" fillId="0" borderId="4919" applyBorder="0"/>
    <xf numFmtId="222" fontId="79" fillId="0" borderId="4918" applyBorder="0"/>
    <xf numFmtId="248" fontId="46" fillId="0" borderId="4919"/>
    <xf numFmtId="192" fontId="9" fillId="3" borderId="4919">
      <alignment horizontal="right" vertical="center"/>
    </xf>
    <xf numFmtId="180" fontId="9" fillId="3" borderId="4919">
      <alignment horizontal="right" vertical="center"/>
    </xf>
    <xf numFmtId="186" fontId="146" fillId="3" borderId="4919" applyBorder="0">
      <alignment horizontal="left" vertical="center"/>
    </xf>
    <xf numFmtId="0" fontId="165" fillId="0" borderId="4919" applyFill="0" applyProtection="0">
      <alignment horizontal="center"/>
    </xf>
    <xf numFmtId="0" fontId="210" fillId="0" borderId="4919" applyNumberFormat="0" applyFill="0" applyBorder="0" applyAlignment="0">
      <protection locked="0"/>
    </xf>
    <xf numFmtId="254" fontId="240" fillId="0" borderId="4919" applyBorder="0" applyProtection="0">
      <alignment horizontal="right" vertical="center"/>
    </xf>
    <xf numFmtId="246" fontId="250" fillId="0" borderId="4919" applyFill="0" applyProtection="0">
      <alignment horizontal="center"/>
    </xf>
    <xf numFmtId="312" fontId="210" fillId="0" borderId="5502" applyNumberFormat="0" applyFill="0" applyBorder="0" applyAlignment="0">
      <protection locked="0"/>
    </xf>
    <xf numFmtId="222" fontId="79" fillId="0" borderId="5252" applyBorder="0"/>
    <xf numFmtId="254" fontId="240" fillId="0" borderId="5502" applyBorder="0" applyProtection="0">
      <alignment horizontal="right" vertical="center"/>
    </xf>
    <xf numFmtId="222" fontId="79" fillId="0" borderId="4858" applyBorder="0"/>
    <xf numFmtId="0" fontId="25" fillId="10" borderId="4855" applyNumberFormat="0" applyProtection="0">
      <alignment horizontal="left" vertical="top"/>
    </xf>
    <xf numFmtId="0" fontId="25" fillId="10" borderId="4857" applyNumberFormat="0" applyProtection="0">
      <alignment horizontal="left" vertical="top"/>
    </xf>
    <xf numFmtId="0" fontId="25" fillId="10" borderId="4854" applyNumberFormat="0" applyProtection="0">
      <alignment horizontal="left" vertical="top"/>
    </xf>
    <xf numFmtId="0" fontId="25" fillId="10" borderId="4855" applyNumberFormat="0" applyProtection="0">
      <alignment horizontal="left" vertical="top"/>
    </xf>
    <xf numFmtId="0" fontId="25" fillId="10" borderId="4856" applyNumberFormat="0" applyProtection="0">
      <alignment horizontal="left" vertical="top"/>
    </xf>
    <xf numFmtId="0" fontId="75" fillId="0" borderId="4860" applyNumberFormat="0" applyFont="0" applyFill="0" applyAlignment="0" applyProtection="0"/>
    <xf numFmtId="0" fontId="101" fillId="0" borderId="4871" applyBorder="0"/>
    <xf numFmtId="222" fontId="79" fillId="0" borderId="4870" applyBorder="0"/>
    <xf numFmtId="0" fontId="113" fillId="0" borderId="4871" applyNumberFormat="0" applyFill="0" applyAlignment="0" applyProtection="0"/>
    <xf numFmtId="0" fontId="12" fillId="0" borderId="4871" applyNumberFormat="0" applyFill="0" applyBorder="0" applyAlignment="0" applyProtection="0">
      <alignment horizontal="center"/>
    </xf>
    <xf numFmtId="248" fontId="46" fillId="0" borderId="4871"/>
    <xf numFmtId="192" fontId="9" fillId="3" borderId="4871">
      <alignment horizontal="right" vertical="center"/>
    </xf>
    <xf numFmtId="180" fontId="9" fillId="3" borderId="4871">
      <alignment horizontal="right" vertical="center"/>
    </xf>
    <xf numFmtId="186" fontId="146" fillId="3" borderId="4871" applyBorder="0">
      <alignment horizontal="left" vertical="center"/>
    </xf>
    <xf numFmtId="0" fontId="166" fillId="0" borderId="4871">
      <alignment horizontal="center"/>
    </xf>
    <xf numFmtId="0" fontId="210" fillId="0" borderId="4871" applyNumberFormat="0" applyFill="0" applyBorder="0" applyAlignment="0">
      <protection locked="0"/>
    </xf>
    <xf numFmtId="264" fontId="12" fillId="14" borderId="4871" applyFont="0" applyFill="0" applyBorder="0" applyAlignment="0" applyProtection="0">
      <alignment horizontal="right"/>
    </xf>
    <xf numFmtId="246" fontId="249" fillId="0" borderId="4871" applyFill="0" applyProtection="0">
      <alignment horizontal="center"/>
    </xf>
    <xf numFmtId="246" fontId="250" fillId="0" borderId="4871" applyFill="0" applyProtection="0">
      <alignment horizontal="center"/>
    </xf>
    <xf numFmtId="246" fontId="250" fillId="0" borderId="4895" applyFill="0" applyProtection="0">
      <alignment horizontal="center"/>
    </xf>
    <xf numFmtId="246" fontId="249" fillId="0" borderId="4895" applyFill="0" applyProtection="0">
      <alignment horizontal="center"/>
    </xf>
    <xf numFmtId="254" fontId="240" fillId="0" borderId="4895" applyBorder="0" applyProtection="0">
      <alignment horizontal="right" vertical="center"/>
    </xf>
    <xf numFmtId="264" fontId="12" fillId="14" borderId="4895" applyFont="0" applyFill="0" applyBorder="0" applyAlignment="0" applyProtection="0">
      <alignment horizontal="right"/>
    </xf>
    <xf numFmtId="0" fontId="165" fillId="0" borderId="4895" applyFill="0" applyProtection="0">
      <alignment horizontal="center"/>
    </xf>
    <xf numFmtId="180" fontId="9" fillId="3" borderId="4895">
      <alignment horizontal="right" vertical="center"/>
    </xf>
    <xf numFmtId="0" fontId="12" fillId="0" borderId="4895" applyNumberFormat="0" applyFill="0" applyBorder="0" applyAlignment="0" applyProtection="0">
      <alignment horizontal="center"/>
    </xf>
    <xf numFmtId="0" fontId="101" fillId="0" borderId="4895" applyBorder="0"/>
    <xf numFmtId="222" fontId="79" fillId="0" borderId="4894" applyBorder="0"/>
    <xf numFmtId="0" fontId="75" fillId="0" borderId="4884" applyNumberFormat="0" applyFont="0" applyFill="0" applyAlignment="0" applyProtection="0"/>
    <xf numFmtId="0" fontId="2" fillId="0" borderId="4888" applyNumberFormat="0" applyAlignment="0" applyProtection="0"/>
    <xf numFmtId="0" fontId="25" fillId="10" borderId="4890" applyNumberFormat="0" applyProtection="0">
      <alignment horizontal="left" vertical="top"/>
    </xf>
    <xf numFmtId="0" fontId="25" fillId="10" borderId="4893" applyNumberFormat="0" applyProtection="0">
      <alignment horizontal="left" vertical="top"/>
    </xf>
    <xf numFmtId="222" fontId="79" fillId="0" borderId="4882" applyBorder="0"/>
    <xf numFmtId="0" fontId="25" fillId="10" borderId="5446" applyNumberFormat="0" applyProtection="0">
      <alignment horizontal="center" vertical="top"/>
    </xf>
    <xf numFmtId="0" fontId="25" fillId="10" borderId="4868" applyNumberFormat="0" applyProtection="0">
      <alignment horizontal="left" vertical="top"/>
    </xf>
    <xf numFmtId="10" fontId="12" fillId="60" borderId="5450" applyFont="0" applyFill="0" applyBorder="0" applyAlignment="0" applyProtection="0"/>
    <xf numFmtId="0" fontId="25" fillId="10" borderId="4866" applyNumberFormat="0" applyProtection="0">
      <alignment horizontal="left" vertical="top"/>
    </xf>
    <xf numFmtId="0" fontId="214" fillId="0" borderId="4865" applyNumberFormat="0" applyFont="0" applyFill="0" applyAlignment="0" applyProtection="0"/>
    <xf numFmtId="186" fontId="146" fillId="3" borderId="4862">
      <alignment horizontal="left"/>
    </xf>
    <xf numFmtId="222" fontId="79" fillId="0" borderId="4870" applyBorder="0"/>
    <xf numFmtId="222" fontId="79" fillId="0" borderId="4966" applyBorder="0"/>
    <xf numFmtId="186" fontId="140" fillId="3" borderId="4911">
      <alignment horizontal="center" vertical="center"/>
    </xf>
    <xf numFmtId="0" fontId="165" fillId="0" borderId="5885" applyFill="0" applyProtection="0">
      <alignment horizontal="center"/>
    </xf>
    <xf numFmtId="222" fontId="79" fillId="0" borderId="4930" applyBorder="0"/>
    <xf numFmtId="0" fontId="101" fillId="0" borderId="4746" applyBorder="0"/>
    <xf numFmtId="0" fontId="113" fillId="0" borderId="4746" applyNumberFormat="0" applyFill="0" applyAlignment="0" applyProtection="0"/>
    <xf numFmtId="0" fontId="12" fillId="0" borderId="4746" applyNumberFormat="0" applyFill="0" applyBorder="0" applyAlignment="0" applyProtection="0">
      <alignment horizontal="center"/>
    </xf>
    <xf numFmtId="248" fontId="46" fillId="0" borderId="4746"/>
    <xf numFmtId="192" fontId="9" fillId="3" borderId="4746">
      <alignment horizontal="right" vertical="center"/>
    </xf>
    <xf numFmtId="180" fontId="9" fillId="3" borderId="4746">
      <alignment horizontal="right" vertical="center"/>
    </xf>
    <xf numFmtId="186" fontId="146" fillId="3" borderId="4746" applyBorder="0">
      <alignment horizontal="left" vertical="center"/>
    </xf>
    <xf numFmtId="0" fontId="165" fillId="0" borderId="4746" applyFill="0" applyProtection="0">
      <alignment horizontal="center"/>
    </xf>
    <xf numFmtId="0" fontId="166" fillId="0" borderId="4746">
      <alignment horizontal="center"/>
    </xf>
    <xf numFmtId="264" fontId="12" fillId="14" borderId="4746" applyFont="0" applyFill="0" applyBorder="0" applyAlignment="0" applyProtection="0">
      <alignment horizontal="right"/>
    </xf>
    <xf numFmtId="0" fontId="210" fillId="0" borderId="4746" applyNumberFormat="0" applyFill="0" applyBorder="0" applyAlignment="0">
      <protection locked="0"/>
    </xf>
    <xf numFmtId="222" fontId="79" fillId="0" borderId="4966" applyBorder="0"/>
    <xf numFmtId="248" fontId="46" fillId="0" borderId="4895"/>
    <xf numFmtId="222" fontId="79" fillId="0" borderId="4894" applyBorder="0"/>
    <xf numFmtId="186" fontId="140" fillId="3" borderId="4887">
      <alignment horizontal="center" vertical="center"/>
    </xf>
    <xf numFmtId="0" fontId="25" fillId="10" borderId="4892" applyNumberFormat="0" applyProtection="0">
      <alignment horizontal="left" vertical="top"/>
    </xf>
    <xf numFmtId="0" fontId="210" fillId="0" borderId="4895" applyNumberFormat="0" applyFill="0" applyBorder="0" applyAlignment="0">
      <protection locked="0"/>
    </xf>
    <xf numFmtId="192" fontId="9" fillId="3" borderId="4895">
      <alignment horizontal="right" vertical="center"/>
    </xf>
    <xf numFmtId="0" fontId="113" fillId="0" borderId="4895" applyNumberFormat="0" applyFill="0" applyAlignment="0" applyProtection="0"/>
    <xf numFmtId="186" fontId="146" fillId="3" borderId="4886">
      <alignment horizontal="left"/>
    </xf>
    <xf numFmtId="0" fontId="25" fillId="10" borderId="4891" applyNumberFormat="0" applyProtection="0">
      <alignment horizontal="left" vertical="top"/>
    </xf>
    <xf numFmtId="254" fontId="240" fillId="0" borderId="4746" applyBorder="0" applyProtection="0">
      <alignment horizontal="right" vertical="center"/>
    </xf>
    <xf numFmtId="0" fontId="241" fillId="94" borderId="4746" applyBorder="0" applyProtection="0">
      <alignment horizontal="centerContinuous" vertical="center"/>
    </xf>
    <xf numFmtId="246" fontId="249" fillId="0" borderId="4746" applyFill="0" applyProtection="0">
      <alignment horizontal="center"/>
    </xf>
    <xf numFmtId="246" fontId="250" fillId="0" borderId="4746" applyFill="0" applyProtection="0">
      <alignment horizontal="center"/>
    </xf>
    <xf numFmtId="0" fontId="75" fillId="0" borderId="4932" applyNumberFormat="0" applyFont="0" applyFill="0" applyAlignment="0" applyProtection="0"/>
    <xf numFmtId="0" fontId="25" fillId="10" borderId="4915" applyNumberFormat="0" applyProtection="0">
      <alignment horizontal="left" vertical="top"/>
    </xf>
    <xf numFmtId="312" fontId="242" fillId="0" borderId="5502">
      <alignment horizontal="center"/>
    </xf>
    <xf numFmtId="0" fontId="25" fillId="10" borderId="4917" applyNumberFormat="0" applyProtection="0">
      <alignment horizontal="left" vertical="top"/>
    </xf>
    <xf numFmtId="246" fontId="249" fillId="0" borderId="4943" applyFill="0" applyProtection="0">
      <alignment horizontal="center"/>
    </xf>
    <xf numFmtId="222" fontId="79" fillId="0" borderId="4846" applyBorder="0"/>
    <xf numFmtId="0" fontId="214" fillId="0" borderId="4913" applyNumberFormat="0" applyFont="0" applyFill="0" applyAlignment="0" applyProtection="0"/>
    <xf numFmtId="0" fontId="75" fillId="0" borderId="4848" applyNumberFormat="0" applyFont="0" applyFill="0" applyAlignment="0" applyProtection="0"/>
    <xf numFmtId="0" fontId="25" fillId="10" borderId="4856" applyNumberFormat="0" applyProtection="0">
      <alignment horizontal="left" vertical="top"/>
    </xf>
    <xf numFmtId="0" fontId="25" fillId="10" borderId="4857" applyNumberFormat="0" applyProtection="0">
      <alignment horizontal="left" vertical="top"/>
    </xf>
    <xf numFmtId="0" fontId="165" fillId="0" borderId="4871" applyFill="0" applyProtection="0">
      <alignment horizontal="center"/>
    </xf>
    <xf numFmtId="254" fontId="240" fillId="0" borderId="4871" applyBorder="0" applyProtection="0">
      <alignment horizontal="right" vertical="center"/>
    </xf>
    <xf numFmtId="0" fontId="241" fillId="94" borderId="4871" applyBorder="0" applyProtection="0">
      <alignment horizontal="centerContinuous" vertical="center"/>
    </xf>
    <xf numFmtId="0" fontId="241" fillId="94" borderId="4895" applyBorder="0" applyProtection="0">
      <alignment horizontal="centerContinuous" vertical="center"/>
    </xf>
    <xf numFmtId="0" fontId="166" fillId="0" borderId="4895">
      <alignment horizontal="center"/>
    </xf>
    <xf numFmtId="186" fontId="146" fillId="3" borderId="4895" applyBorder="0">
      <alignment horizontal="left" vertical="center"/>
    </xf>
    <xf numFmtId="0" fontId="214" fillId="0" borderId="4889" applyNumberFormat="0" applyFont="0" applyFill="0" applyAlignment="0" applyProtection="0"/>
    <xf numFmtId="0" fontId="78" fillId="14" borderId="4885" applyFont="0" applyFill="0" applyBorder="0" applyAlignment="0" applyProtection="0"/>
    <xf numFmtId="0" fontId="210" fillId="0" borderId="4919" applyNumberFormat="0" applyFill="0" applyBorder="0" applyAlignment="0">
      <protection locked="0"/>
    </xf>
    <xf numFmtId="0" fontId="78" fillId="14" borderId="4812" applyFont="0" applyFill="0" applyBorder="0" applyAlignment="0" applyProtection="0"/>
    <xf numFmtId="0" fontId="25" fillId="10" borderId="4727" applyNumberFormat="0" applyProtection="0">
      <alignment horizontal="left" vertical="top"/>
    </xf>
    <xf numFmtId="0" fontId="25" fillId="10" borderId="4726" applyNumberFormat="0" applyProtection="0">
      <alignment horizontal="left" vertical="top"/>
    </xf>
    <xf numFmtId="0" fontId="25" fillId="10" borderId="4725" applyNumberFormat="0" applyProtection="0">
      <alignment horizontal="left" vertical="top"/>
    </xf>
    <xf numFmtId="0" fontId="25" fillId="10" borderId="4724" applyNumberFormat="0" applyProtection="0">
      <alignment horizontal="left" vertical="top"/>
    </xf>
    <xf numFmtId="186" fontId="140" fillId="3" borderId="4911">
      <alignment horizontal="center" vertical="center"/>
    </xf>
    <xf numFmtId="0" fontId="214" fillId="0" borderId="4723" applyNumberFormat="0" applyFont="0" applyFill="0" applyAlignment="0" applyProtection="0"/>
    <xf numFmtId="0" fontId="2" fillId="0" borderId="3067" applyNumberFormat="0" applyAlignment="0" applyProtection="0"/>
    <xf numFmtId="186" fontId="140" fillId="3" borderId="4721">
      <alignment horizontal="center" vertical="center"/>
    </xf>
    <xf numFmtId="186" fontId="146" fillId="3" borderId="4720">
      <alignment horizontal="left"/>
    </xf>
    <xf numFmtId="186" fontId="146" fillId="3" borderId="4910">
      <alignment horizontal="left"/>
    </xf>
    <xf numFmtId="0" fontId="75" fillId="0" borderId="4718" applyNumberFormat="0" applyFont="0" applyFill="0" applyAlignment="0" applyProtection="0"/>
    <xf numFmtId="180" fontId="9" fillId="3" borderId="4919">
      <alignment horizontal="right" vertical="center"/>
    </xf>
    <xf numFmtId="0" fontId="75" fillId="0" borderId="4908" applyNumberFormat="0" applyFont="0" applyFill="0" applyAlignment="0" applyProtection="0"/>
    <xf numFmtId="0" fontId="75" fillId="0" borderId="4908" applyNumberFormat="0" applyFont="0" applyFill="0" applyAlignment="0" applyProtection="0"/>
    <xf numFmtId="222" fontId="79" fillId="0" borderId="4822" applyBorder="0"/>
    <xf numFmtId="222" fontId="79" fillId="0" borderId="4822" applyBorder="0"/>
    <xf numFmtId="192" fontId="9" fillId="3" borderId="5433">
      <alignment horizontal="right" vertical="center"/>
    </xf>
    <xf numFmtId="0" fontId="25" fillId="10" borderId="4914" applyNumberFormat="0" applyProtection="0">
      <alignment horizontal="left" vertical="top"/>
    </xf>
    <xf numFmtId="180" fontId="9" fillId="3" borderId="5433">
      <alignment horizontal="right" vertical="center"/>
    </xf>
    <xf numFmtId="0" fontId="113" fillId="0" borderId="5433" applyNumberFormat="0" applyFill="0" applyAlignment="0" applyProtection="0"/>
    <xf numFmtId="0" fontId="2" fillId="0" borderId="4912" applyNumberFormat="0" applyAlignment="0" applyProtection="0"/>
    <xf numFmtId="0" fontId="2" fillId="0" borderId="5507" applyNumberFormat="0" applyAlignment="0" applyProtection="0"/>
    <xf numFmtId="246" fontId="250" fillId="0" borderId="4847" applyFill="0" applyProtection="0">
      <alignment horizontal="center"/>
    </xf>
    <xf numFmtId="246" fontId="249" fillId="0" borderId="4847" applyFill="0" applyProtection="0">
      <alignment horizontal="center"/>
    </xf>
    <xf numFmtId="0" fontId="241" fillId="94" borderId="4847" applyBorder="0" applyProtection="0">
      <alignment horizontal="centerContinuous" vertical="center"/>
    </xf>
    <xf numFmtId="254" fontId="240" fillId="0" borderId="4847" applyBorder="0" applyProtection="0">
      <alignment horizontal="right" vertical="center"/>
    </xf>
    <xf numFmtId="0" fontId="210" fillId="0" borderId="4847" applyNumberFormat="0" applyFill="0" applyBorder="0" applyAlignment="0">
      <protection locked="0"/>
    </xf>
    <xf numFmtId="264" fontId="12" fillId="14" borderId="4847" applyFont="0" applyFill="0" applyBorder="0" applyAlignment="0" applyProtection="0">
      <alignment horizontal="right"/>
    </xf>
    <xf numFmtId="0" fontId="166" fillId="0" borderId="4847">
      <alignment horizontal="center"/>
    </xf>
    <xf numFmtId="0" fontId="165" fillId="0" borderId="4847" applyFill="0" applyProtection="0">
      <alignment horizontal="center"/>
    </xf>
    <xf numFmtId="186" fontId="146" fillId="3" borderId="4847" applyBorder="0">
      <alignment horizontal="left" vertical="center"/>
    </xf>
    <xf numFmtId="180" fontId="9" fillId="3" borderId="4847">
      <alignment horizontal="right" vertical="center"/>
    </xf>
    <xf numFmtId="192" fontId="9" fillId="3" borderId="4847">
      <alignment horizontal="right" vertical="center"/>
    </xf>
    <xf numFmtId="248" fontId="46" fillId="0" borderId="4847"/>
    <xf numFmtId="0" fontId="12" fillId="0" borderId="4847" applyNumberFormat="0" applyFill="0" applyBorder="0" applyAlignment="0" applyProtection="0">
      <alignment horizontal="center"/>
    </xf>
    <xf numFmtId="0" fontId="113" fillId="0" borderId="4847" applyNumberFormat="0" applyFill="0" applyAlignment="0" applyProtection="0"/>
    <xf numFmtId="222" fontId="79" fillId="0" borderId="4846" applyBorder="0"/>
    <xf numFmtId="0" fontId="101" fillId="0" borderId="4847" applyBorder="0"/>
    <xf numFmtId="222" fontId="79" fillId="0" borderId="5276" applyBorder="0"/>
    <xf numFmtId="222" fontId="79" fillId="0" borderId="4846" applyBorder="0"/>
    <xf numFmtId="0" fontId="75" fillId="0" borderId="4836" applyNumberFormat="0" applyFont="0" applyFill="0" applyAlignment="0" applyProtection="0"/>
    <xf numFmtId="186" fontId="146" fillId="3" borderId="4838">
      <alignment horizontal="left"/>
    </xf>
    <xf numFmtId="186" fontId="140" fillId="3" borderId="4839">
      <alignment horizontal="center" vertical="center"/>
    </xf>
    <xf numFmtId="0" fontId="2" fillId="0" borderId="4840" applyNumberFormat="0" applyAlignment="0" applyProtection="0"/>
    <xf numFmtId="0" fontId="214" fillId="0" borderId="4841" applyNumberFormat="0" applyFont="0" applyFill="0" applyAlignment="0" applyProtection="0"/>
    <xf numFmtId="0" fontId="25" fillId="10" borderId="4842" applyNumberFormat="0" applyProtection="0">
      <alignment horizontal="left" vertical="top"/>
    </xf>
    <xf numFmtId="0" fontId="25" fillId="10" borderId="4843" applyNumberFormat="0" applyProtection="0">
      <alignment horizontal="left" vertical="top"/>
    </xf>
    <xf numFmtId="0" fontId="25" fillId="10" borderId="4844" applyNumberFormat="0" applyProtection="0">
      <alignment horizontal="left" vertical="top"/>
    </xf>
    <xf numFmtId="0" fontId="25" fillId="10" borderId="4845" applyNumberFormat="0" applyProtection="0">
      <alignment horizontal="left" vertical="top"/>
    </xf>
    <xf numFmtId="246" fontId="250" fillId="0" borderId="4907" applyFill="0" applyProtection="0">
      <alignment horizontal="center"/>
    </xf>
    <xf numFmtId="0" fontId="78" fillId="14" borderId="4837" applyFont="0" applyFill="0" applyBorder="0" applyAlignment="0" applyProtection="0"/>
    <xf numFmtId="264" fontId="12" fillId="14" borderId="4967" applyFont="0" applyFill="0" applyBorder="0" applyAlignment="0" applyProtection="0">
      <alignment horizontal="right"/>
    </xf>
    <xf numFmtId="186" fontId="146" fillId="3" borderId="4946">
      <alignment horizontal="left"/>
    </xf>
    <xf numFmtId="222" fontId="79" fillId="0" borderId="4834" applyBorder="0"/>
    <xf numFmtId="264" fontId="12" fillId="14" borderId="5433" applyFont="0" applyFill="0" applyBorder="0" applyAlignment="0" applyProtection="0">
      <alignment horizontal="right"/>
    </xf>
    <xf numFmtId="0" fontId="25" fillId="10" borderId="5457" applyNumberFormat="0" applyProtection="0">
      <alignment horizontal="left" vertical="top"/>
    </xf>
    <xf numFmtId="312" fontId="101" fillId="0" borderId="4967" applyBorder="0"/>
    <xf numFmtId="246" fontId="296" fillId="0" borderId="5502" applyFill="0" applyProtection="0">
      <alignment horizontal="center"/>
    </xf>
    <xf numFmtId="0" fontId="75" fillId="0" borderId="4944" applyNumberFormat="0" applyFont="0" applyFill="0" applyAlignment="0" applyProtection="0"/>
    <xf numFmtId="0" fontId="75" fillId="0" borderId="4908" applyNumberFormat="0" applyFont="0" applyFill="0" applyAlignment="0" applyProtection="0"/>
    <xf numFmtId="0" fontId="241" fillId="94" borderId="4907" applyBorder="0" applyProtection="0">
      <alignment horizontal="centerContinuous" vertical="center"/>
    </xf>
    <xf numFmtId="0" fontId="241" fillId="94" borderId="4967" applyBorder="0" applyProtection="0">
      <alignment horizontal="centerContinuous" vertical="center"/>
    </xf>
    <xf numFmtId="186" fontId="146" fillId="3" borderId="4910">
      <alignment horizontal="left"/>
    </xf>
    <xf numFmtId="0" fontId="165" fillId="0" borderId="5478" applyFill="0" applyProtection="0">
      <alignment horizontal="center"/>
    </xf>
    <xf numFmtId="0" fontId="12" fillId="0" borderId="5478" applyNumberFormat="0" applyFill="0" applyBorder="0" applyAlignment="0" applyProtection="0">
      <alignment horizontal="center"/>
    </xf>
    <xf numFmtId="4" fontId="223" fillId="52" borderId="5448" applyNumberFormat="0" applyProtection="0">
      <alignment horizontal="left" vertical="center" indent="1"/>
    </xf>
    <xf numFmtId="186" fontId="140" fillId="3" borderId="4911">
      <alignment horizontal="center" vertical="center"/>
    </xf>
    <xf numFmtId="192" fontId="9" fillId="3" borderId="4907">
      <alignment horizontal="right" vertical="center"/>
    </xf>
    <xf numFmtId="0" fontId="101" fillId="0" borderId="5478" applyBorder="0"/>
    <xf numFmtId="10" fontId="12" fillId="3" borderId="5458" applyNumberFormat="0" applyFont="0" applyFill="0" applyBorder="0" applyAlignment="0">
      <protection locked="0"/>
    </xf>
    <xf numFmtId="312" fontId="241" fillId="94" borderId="5502" applyBorder="0" applyProtection="0">
      <alignment horizontal="centerContinuous" vertical="center"/>
    </xf>
    <xf numFmtId="0" fontId="25" fillId="10" borderId="5453" applyNumberFormat="0" applyProtection="0">
      <alignment horizontal="left" vertical="top"/>
    </xf>
    <xf numFmtId="0" fontId="78" fillId="14" borderId="4812" applyFont="0" applyFill="0" applyBorder="0" applyAlignment="0" applyProtection="0"/>
    <xf numFmtId="222" fontId="79" fillId="0" borderId="4822" applyBorder="0"/>
    <xf numFmtId="0" fontId="214" fillId="0" borderId="4961" applyNumberFormat="0" applyFont="0" applyFill="0" applyAlignment="0" applyProtection="0"/>
    <xf numFmtId="0" fontId="2" fillId="0" borderId="4912" applyNumberFormat="0" applyAlignment="0" applyProtection="0"/>
    <xf numFmtId="0" fontId="12" fillId="10" borderId="5446" applyNumberFormat="0" applyFont="0" applyAlignment="0" applyProtection="0"/>
    <xf numFmtId="0" fontId="78" fillId="14" borderId="4825" applyFont="0" applyFill="0" applyBorder="0" applyAlignment="0" applyProtection="0"/>
    <xf numFmtId="0" fontId="25" fillId="10" borderId="4833" applyNumberFormat="0" applyProtection="0">
      <alignment horizontal="left" vertical="top"/>
    </xf>
    <xf numFmtId="0" fontId="25" fillId="10" borderId="4832" applyNumberFormat="0" applyProtection="0">
      <alignment horizontal="left" vertical="top"/>
    </xf>
    <xf numFmtId="0" fontId="25" fillId="10" borderId="4831" applyNumberFormat="0" applyProtection="0">
      <alignment horizontal="left" vertical="top"/>
    </xf>
    <xf numFmtId="0" fontId="25" fillId="10" borderId="4830" applyNumberFormat="0" applyProtection="0">
      <alignment horizontal="left" vertical="top"/>
    </xf>
    <xf numFmtId="0" fontId="214" fillId="0" borderId="4829" applyNumberFormat="0" applyFont="0" applyFill="0" applyAlignment="0" applyProtection="0"/>
    <xf numFmtId="0" fontId="2" fillId="0" borderId="3067" applyNumberFormat="0" applyAlignment="0" applyProtection="0"/>
    <xf numFmtId="186" fontId="140" fillId="3" borderId="4827">
      <alignment horizontal="center" vertical="center"/>
    </xf>
    <xf numFmtId="186" fontId="146" fillId="3" borderId="4826">
      <alignment horizontal="left"/>
    </xf>
    <xf numFmtId="0" fontId="75" fillId="0" borderId="4824" applyNumberFormat="0" applyFont="0" applyFill="0" applyAlignment="0" applyProtection="0"/>
    <xf numFmtId="312" fontId="25" fillId="10" borderId="5453" applyNumberFormat="0" applyProtection="0">
      <alignment horizontal="left" vertical="top"/>
    </xf>
    <xf numFmtId="222" fontId="79" fillId="0" borderId="4834" applyBorder="0"/>
    <xf numFmtId="0" fontId="101" fillId="0" borderId="4835" applyBorder="0"/>
    <xf numFmtId="222" fontId="79" fillId="0" borderId="4834" applyBorder="0"/>
    <xf numFmtId="0" fontId="113" fillId="0" borderId="4835" applyNumberFormat="0" applyFill="0" applyAlignment="0" applyProtection="0"/>
    <xf numFmtId="0" fontId="12" fillId="0" borderId="4835" applyNumberFormat="0" applyFill="0" applyBorder="0" applyAlignment="0" applyProtection="0">
      <alignment horizontal="center"/>
    </xf>
    <xf numFmtId="248" fontId="46" fillId="0" borderId="4835"/>
    <xf numFmtId="192" fontId="9" fillId="3" borderId="4835">
      <alignment horizontal="right" vertical="center"/>
    </xf>
    <xf numFmtId="180" fontId="9" fillId="3" borderId="4835">
      <alignment horizontal="right" vertical="center"/>
    </xf>
    <xf numFmtId="186" fontId="146" fillId="3" borderId="4835" applyBorder="0">
      <alignment horizontal="left" vertical="center"/>
    </xf>
    <xf numFmtId="0" fontId="165" fillId="0" borderId="4835" applyFill="0" applyProtection="0">
      <alignment horizontal="center"/>
    </xf>
    <xf numFmtId="0" fontId="166" fillId="0" borderId="4835">
      <alignment horizontal="center"/>
    </xf>
    <xf numFmtId="264" fontId="12" fillId="14" borderId="4835" applyFont="0" applyFill="0" applyBorder="0" applyAlignment="0" applyProtection="0">
      <alignment horizontal="right"/>
    </xf>
    <xf numFmtId="0" fontId="210" fillId="0" borderId="4835" applyNumberFormat="0" applyFill="0" applyBorder="0" applyAlignment="0">
      <protection locked="0"/>
    </xf>
    <xf numFmtId="254" fontId="240" fillId="0" borderId="4835" applyBorder="0" applyProtection="0">
      <alignment horizontal="right" vertical="center"/>
    </xf>
    <xf numFmtId="0" fontId="241" fillId="94" borderId="4835" applyBorder="0" applyProtection="0">
      <alignment horizontal="centerContinuous" vertical="center"/>
    </xf>
    <xf numFmtId="246" fontId="249" fillId="0" borderId="4835" applyFill="0" applyProtection="0">
      <alignment horizontal="center"/>
    </xf>
    <xf numFmtId="246" fontId="250" fillId="0" borderId="4835" applyFill="0" applyProtection="0">
      <alignment horizontal="center"/>
    </xf>
    <xf numFmtId="312" fontId="12" fillId="0" borderId="5445" applyNumberFormat="0" applyFill="0" applyBorder="0" applyAlignment="0" applyProtection="0"/>
    <xf numFmtId="0" fontId="241" fillId="94" borderId="4919" applyBorder="0" applyProtection="0">
      <alignment horizontal="centerContinuous" vertical="center"/>
    </xf>
    <xf numFmtId="0" fontId="166" fillId="0" borderId="4919">
      <alignment horizontal="center"/>
    </xf>
    <xf numFmtId="0" fontId="2" fillId="0" borderId="4852" applyNumberFormat="0" applyAlignment="0" applyProtection="0"/>
    <xf numFmtId="0" fontId="214" fillId="0" borderId="4853" applyNumberFormat="0" applyFont="0" applyFill="0" applyAlignment="0" applyProtection="0"/>
    <xf numFmtId="246" fontId="250" fillId="0" borderId="4859" applyFill="0" applyProtection="0">
      <alignment horizontal="center"/>
    </xf>
    <xf numFmtId="246" fontId="249" fillId="0" borderId="4859" applyFill="0" applyProtection="0">
      <alignment horizontal="center"/>
    </xf>
    <xf numFmtId="0" fontId="241" fillId="94" borderId="4859" applyBorder="0" applyProtection="0">
      <alignment horizontal="centerContinuous" vertical="center"/>
    </xf>
    <xf numFmtId="254" fontId="240" fillId="0" borderId="4859" applyBorder="0" applyProtection="0">
      <alignment horizontal="right" vertical="center"/>
    </xf>
    <xf numFmtId="0" fontId="210" fillId="0" borderId="4859" applyNumberFormat="0" applyFill="0" applyBorder="0" applyAlignment="0">
      <protection locked="0"/>
    </xf>
    <xf numFmtId="264" fontId="12" fillId="14" borderId="4859" applyFont="0" applyFill="0" applyBorder="0" applyAlignment="0" applyProtection="0">
      <alignment horizontal="right"/>
    </xf>
    <xf numFmtId="0" fontId="166" fillId="0" borderId="4859">
      <alignment horizontal="center"/>
    </xf>
    <xf numFmtId="0" fontId="165" fillId="0" borderId="4859" applyFill="0" applyProtection="0">
      <alignment horizontal="center"/>
    </xf>
    <xf numFmtId="186" fontId="146" fillId="3" borderId="4859" applyBorder="0">
      <alignment horizontal="left" vertical="center"/>
    </xf>
    <xf numFmtId="180" fontId="9" fillId="3" borderId="4859">
      <alignment horizontal="right" vertical="center"/>
    </xf>
    <xf numFmtId="192" fontId="9" fillId="3" borderId="4859">
      <alignment horizontal="right" vertical="center"/>
    </xf>
    <xf numFmtId="248" fontId="46" fillId="0" borderId="4859"/>
    <xf numFmtId="0" fontId="12" fillId="0" borderId="4859" applyNumberFormat="0" applyFill="0" applyBorder="0" applyAlignment="0" applyProtection="0">
      <alignment horizontal="center"/>
    </xf>
    <xf numFmtId="0" fontId="113" fillId="0" borderId="4859" applyNumberFormat="0" applyFill="0" applyAlignment="0" applyProtection="0"/>
    <xf numFmtId="222" fontId="79" fillId="0" borderId="4858" applyBorder="0"/>
    <xf numFmtId="0" fontId="101" fillId="0" borderId="4859" applyBorder="0"/>
    <xf numFmtId="222" fontId="79" fillId="0" borderId="4858" applyBorder="0"/>
    <xf numFmtId="0" fontId="75" fillId="0" borderId="4848" applyNumberFormat="0" applyFont="0" applyFill="0" applyAlignment="0" applyProtection="0"/>
    <xf numFmtId="186" fontId="146" fillId="3" borderId="4850">
      <alignment horizontal="left"/>
    </xf>
    <xf numFmtId="186" fontId="140" fillId="3" borderId="4851">
      <alignment horizontal="center" vertical="center"/>
    </xf>
    <xf numFmtId="0" fontId="2" fillId="0" borderId="4852" applyNumberFormat="0" applyAlignment="0" applyProtection="0"/>
    <xf numFmtId="0" fontId="214" fillId="0" borderId="4853" applyNumberFormat="0" applyFont="0" applyFill="0" applyAlignment="0" applyProtection="0"/>
    <xf numFmtId="0" fontId="25" fillId="10" borderId="4854" applyNumberFormat="0" applyProtection="0">
      <alignment horizontal="left" vertical="top"/>
    </xf>
    <xf numFmtId="0" fontId="25" fillId="10" borderId="4855" applyNumberFormat="0" applyProtection="0">
      <alignment horizontal="left" vertical="top"/>
    </xf>
    <xf numFmtId="0" fontId="25" fillId="10" borderId="4856" applyNumberFormat="0" applyProtection="0">
      <alignment horizontal="left" vertical="top"/>
    </xf>
    <xf numFmtId="0" fontId="25" fillId="10" borderId="4857" applyNumberFormat="0" applyProtection="0">
      <alignment horizontal="left" vertical="top"/>
    </xf>
    <xf numFmtId="0" fontId="78" fillId="14" borderId="4849" applyFont="0" applyFill="0" applyBorder="0" applyAlignment="0" applyProtection="0"/>
    <xf numFmtId="222" fontId="79" fillId="0" borderId="4846" applyBorder="0"/>
    <xf numFmtId="0" fontId="78" fillId="14" borderId="4861" applyFont="0" applyFill="0" applyBorder="0" applyAlignment="0" applyProtection="0"/>
    <xf numFmtId="186" fontId="146" fillId="3" borderId="4850">
      <alignment horizontal="left"/>
    </xf>
    <xf numFmtId="0" fontId="12" fillId="0" borderId="5502" applyNumberFormat="0" applyFill="0" applyBorder="0" applyAlignment="0" applyProtection="0">
      <alignment horizontal="center"/>
    </xf>
    <xf numFmtId="0" fontId="78" fillId="14" borderId="4837" applyFont="0" applyFill="0" applyBorder="0" applyAlignment="0" applyProtection="0"/>
    <xf numFmtId="222" fontId="79" fillId="0" borderId="4846" applyBorder="0"/>
    <xf numFmtId="0" fontId="2" fillId="0" borderId="4864" applyNumberFormat="0" applyAlignment="0" applyProtection="0"/>
    <xf numFmtId="0" fontId="78" fillId="14" borderId="4837" applyFont="0" applyFill="0" applyBorder="0" applyAlignment="0" applyProtection="0"/>
    <xf numFmtId="0" fontId="25" fillId="10" borderId="4845" applyNumberFormat="0" applyProtection="0">
      <alignment horizontal="left" vertical="top"/>
    </xf>
    <xf numFmtId="0" fontId="25" fillId="10" borderId="4844" applyNumberFormat="0" applyProtection="0">
      <alignment horizontal="left" vertical="top"/>
    </xf>
    <xf numFmtId="0" fontId="25" fillId="10" borderId="4843" applyNumberFormat="0" applyProtection="0">
      <alignment horizontal="left" vertical="top"/>
    </xf>
    <xf numFmtId="0" fontId="25" fillId="10" borderId="4842" applyNumberFormat="0" applyProtection="0">
      <alignment horizontal="left" vertical="top"/>
    </xf>
    <xf numFmtId="0" fontId="25" fillId="10" borderId="4867" applyNumberFormat="0" applyProtection="0">
      <alignment horizontal="left" vertical="top"/>
    </xf>
    <xf numFmtId="0" fontId="214" fillId="0" borderId="4841" applyNumberFormat="0" applyFont="0" applyFill="0" applyAlignment="0" applyProtection="0"/>
    <xf numFmtId="0" fontId="2" fillId="0" borderId="4840" applyNumberFormat="0" applyAlignment="0" applyProtection="0"/>
    <xf numFmtId="186" fontId="140" fillId="3" borderId="4839">
      <alignment horizontal="center" vertical="center"/>
    </xf>
    <xf numFmtId="186" fontId="146" fillId="3" borderId="4838">
      <alignment horizontal="left"/>
    </xf>
    <xf numFmtId="0" fontId="25" fillId="10" borderId="4869" applyNumberFormat="0" applyProtection="0">
      <alignment horizontal="left" vertical="top"/>
    </xf>
    <xf numFmtId="0" fontId="75" fillId="0" borderId="4836" applyNumberFormat="0" applyFont="0" applyFill="0" applyAlignment="0" applyProtection="0"/>
    <xf numFmtId="222" fontId="79" fillId="0" borderId="4846" applyBorder="0"/>
    <xf numFmtId="0" fontId="101" fillId="0" borderId="4847" applyBorder="0"/>
    <xf numFmtId="222" fontId="79" fillId="0" borderId="4846" applyBorder="0"/>
    <xf numFmtId="0" fontId="113" fillId="0" borderId="4847" applyNumberFormat="0" applyFill="0" applyAlignment="0" applyProtection="0"/>
    <xf numFmtId="0" fontId="12" fillId="0" borderId="4847" applyNumberFormat="0" applyFill="0" applyBorder="0" applyAlignment="0" applyProtection="0">
      <alignment horizontal="center"/>
    </xf>
    <xf numFmtId="248" fontId="46" fillId="0" borderId="4847"/>
    <xf numFmtId="192" fontId="9" fillId="3" borderId="4847">
      <alignment horizontal="right" vertical="center"/>
    </xf>
    <xf numFmtId="180" fontId="9" fillId="3" borderId="4847">
      <alignment horizontal="right" vertical="center"/>
    </xf>
    <xf numFmtId="186" fontId="146" fillId="3" borderId="4847" applyBorder="0">
      <alignment horizontal="left" vertical="center"/>
    </xf>
    <xf numFmtId="0" fontId="165" fillId="0" borderId="4847" applyFill="0" applyProtection="0">
      <alignment horizontal="center"/>
    </xf>
    <xf numFmtId="0" fontId="166" fillId="0" borderId="4847">
      <alignment horizontal="center"/>
    </xf>
    <xf numFmtId="264" fontId="12" fillId="14" borderId="4847" applyFont="0" applyFill="0" applyBorder="0" applyAlignment="0" applyProtection="0">
      <alignment horizontal="right"/>
    </xf>
    <xf numFmtId="0" fontId="210" fillId="0" borderId="4847" applyNumberFormat="0" applyFill="0" applyBorder="0" applyAlignment="0">
      <protection locked="0"/>
    </xf>
    <xf numFmtId="254" fontId="240" fillId="0" borderId="4847" applyBorder="0" applyProtection="0">
      <alignment horizontal="right" vertical="center"/>
    </xf>
    <xf numFmtId="0" fontId="241" fillId="94" borderId="4847" applyBorder="0" applyProtection="0">
      <alignment horizontal="centerContinuous" vertical="center"/>
    </xf>
    <xf numFmtId="246" fontId="249" fillId="0" borderId="4847" applyFill="0" applyProtection="0">
      <alignment horizontal="center"/>
    </xf>
    <xf numFmtId="246" fontId="250" fillId="0" borderId="4847" applyFill="0" applyProtection="0">
      <alignment horizontal="center"/>
    </xf>
    <xf numFmtId="186" fontId="140" fillId="3" borderId="4863">
      <alignment horizontal="center" vertical="center"/>
    </xf>
    <xf numFmtId="0" fontId="78" fillId="14" borderId="4849" applyFont="0" applyFill="0" applyBorder="0" applyAlignment="0" applyProtection="0"/>
    <xf numFmtId="222" fontId="79" fillId="0" borderId="4870" applyBorder="0"/>
    <xf numFmtId="0" fontId="78" fillId="14" borderId="4873" applyFont="0" applyFill="0" applyBorder="0" applyAlignment="0" applyProtection="0"/>
    <xf numFmtId="0" fontId="25" fillId="10" borderId="4881" applyNumberFormat="0" applyProtection="0">
      <alignment horizontal="left" vertical="top"/>
    </xf>
    <xf numFmtId="0" fontId="25" fillId="10" borderId="4880" applyNumberFormat="0" applyProtection="0">
      <alignment horizontal="left" vertical="top"/>
    </xf>
    <xf numFmtId="0" fontId="25" fillId="10" borderId="4879" applyNumberFormat="0" applyProtection="0">
      <alignment horizontal="left" vertical="top"/>
    </xf>
    <xf numFmtId="0" fontId="25" fillId="10" borderId="4878" applyNumberFormat="0" applyProtection="0">
      <alignment horizontal="left" vertical="top"/>
    </xf>
    <xf numFmtId="0" fontId="214" fillId="0" borderId="4877" applyNumberFormat="0" applyFont="0" applyFill="0" applyAlignment="0" applyProtection="0"/>
    <xf numFmtId="0" fontId="2" fillId="0" borderId="4876" applyNumberFormat="0" applyAlignment="0" applyProtection="0"/>
    <xf numFmtId="186" fontId="140" fillId="3" borderId="4875">
      <alignment horizontal="center" vertical="center"/>
    </xf>
    <xf numFmtId="186" fontId="146" fillId="3" borderId="4874">
      <alignment horizontal="left"/>
    </xf>
    <xf numFmtId="0" fontId="75" fillId="0" borderId="4872" applyNumberFormat="0" applyFont="0" applyFill="0" applyAlignment="0" applyProtection="0"/>
    <xf numFmtId="222" fontId="79" fillId="0" borderId="4882" applyBorder="0"/>
    <xf numFmtId="0" fontId="101" fillId="0" borderId="4883" applyBorder="0"/>
    <xf numFmtId="222" fontId="79" fillId="0" borderId="4882" applyBorder="0"/>
    <xf numFmtId="0" fontId="113" fillId="0" borderId="4883" applyNumberFormat="0" applyFill="0" applyAlignment="0" applyProtection="0"/>
    <xf numFmtId="0" fontId="12" fillId="0" borderId="4883" applyNumberFormat="0" applyFill="0" applyBorder="0" applyAlignment="0" applyProtection="0">
      <alignment horizontal="center"/>
    </xf>
    <xf numFmtId="248" fontId="46" fillId="0" borderId="4883"/>
    <xf numFmtId="192" fontId="9" fillId="3" borderId="4883">
      <alignment horizontal="right" vertical="center"/>
    </xf>
    <xf numFmtId="180" fontId="9" fillId="3" borderId="4883">
      <alignment horizontal="right" vertical="center"/>
    </xf>
    <xf numFmtId="186" fontId="146" fillId="3" borderId="4883" applyBorder="0">
      <alignment horizontal="left" vertical="center"/>
    </xf>
    <xf numFmtId="0" fontId="165" fillId="0" borderId="4883" applyFill="0" applyProtection="0">
      <alignment horizontal="center"/>
    </xf>
    <xf numFmtId="0" fontId="166" fillId="0" borderId="4883">
      <alignment horizontal="center"/>
    </xf>
    <xf numFmtId="264" fontId="12" fillId="14" borderId="4883" applyFont="0" applyFill="0" applyBorder="0" applyAlignment="0" applyProtection="0">
      <alignment horizontal="right"/>
    </xf>
    <xf numFmtId="0" fontId="210" fillId="0" borderId="4883" applyNumberFormat="0" applyFill="0" applyBorder="0" applyAlignment="0">
      <protection locked="0"/>
    </xf>
    <xf numFmtId="254" fontId="240" fillId="0" borderId="4883" applyBorder="0" applyProtection="0">
      <alignment horizontal="right" vertical="center"/>
    </xf>
    <xf numFmtId="0" fontId="241" fillId="94" borderId="4883" applyBorder="0" applyProtection="0">
      <alignment horizontal="centerContinuous" vertical="center"/>
    </xf>
    <xf numFmtId="246" fontId="249" fillId="0" borderId="4883" applyFill="0" applyProtection="0">
      <alignment horizontal="center"/>
    </xf>
    <xf numFmtId="246" fontId="250" fillId="0" borderId="4883" applyFill="0" applyProtection="0">
      <alignment horizontal="center"/>
    </xf>
    <xf numFmtId="222" fontId="79" fillId="0" borderId="4894" applyBorder="0"/>
    <xf numFmtId="0" fontId="78" fillId="14" borderId="4897" applyFont="0" applyFill="0" applyBorder="0" applyAlignment="0" applyProtection="0"/>
    <xf numFmtId="0" fontId="25" fillId="10" borderId="4905" applyNumberFormat="0" applyProtection="0">
      <alignment horizontal="left" vertical="top"/>
    </xf>
    <xf numFmtId="0" fontId="25" fillId="10" borderId="4904" applyNumberFormat="0" applyProtection="0">
      <alignment horizontal="left" vertical="top"/>
    </xf>
    <xf numFmtId="0" fontId="25" fillId="10" borderId="4903" applyNumberFormat="0" applyProtection="0">
      <alignment horizontal="left" vertical="top"/>
    </xf>
    <xf numFmtId="0" fontId="25" fillId="10" borderId="4902" applyNumberFormat="0" applyProtection="0">
      <alignment horizontal="left" vertical="top"/>
    </xf>
    <xf numFmtId="0" fontId="214" fillId="0" borderId="4901" applyNumberFormat="0" applyFont="0" applyFill="0" applyAlignment="0" applyProtection="0"/>
    <xf numFmtId="0" fontId="2" fillId="0" borderId="4900" applyNumberFormat="0" applyAlignment="0" applyProtection="0"/>
    <xf numFmtId="186" fontId="140" fillId="3" borderId="4899">
      <alignment horizontal="center" vertical="center"/>
    </xf>
    <xf numFmtId="186" fontId="146" fillId="3" borderId="4898">
      <alignment horizontal="left"/>
    </xf>
    <xf numFmtId="0" fontId="75" fillId="0" borderId="4896" applyNumberFormat="0" applyFont="0" applyFill="0" applyAlignment="0" applyProtection="0"/>
    <xf numFmtId="222" fontId="79" fillId="0" borderId="4906" applyBorder="0"/>
    <xf numFmtId="0" fontId="101" fillId="0" borderId="4907" applyBorder="0"/>
    <xf numFmtId="222" fontId="79" fillId="0" borderId="4906" applyBorder="0"/>
    <xf numFmtId="0" fontId="113" fillId="0" borderId="4907" applyNumberFormat="0" applyFill="0" applyAlignment="0" applyProtection="0"/>
    <xf numFmtId="0" fontId="12" fillId="0" borderId="4907" applyNumberFormat="0" applyFill="0" applyBorder="0" applyAlignment="0" applyProtection="0">
      <alignment horizontal="center"/>
    </xf>
    <xf numFmtId="248" fontId="46" fillId="0" borderId="4907"/>
    <xf numFmtId="192" fontId="9" fillId="3" borderId="4907">
      <alignment horizontal="right" vertical="center"/>
    </xf>
    <xf numFmtId="180" fontId="9" fillId="3" borderId="4907">
      <alignment horizontal="right" vertical="center"/>
    </xf>
    <xf numFmtId="186" fontId="146" fillId="3" borderId="4907" applyBorder="0">
      <alignment horizontal="left" vertical="center"/>
    </xf>
    <xf numFmtId="0" fontId="165" fillId="0" borderId="4907" applyFill="0" applyProtection="0">
      <alignment horizontal="center"/>
    </xf>
    <xf numFmtId="0" fontId="166" fillId="0" borderId="4907">
      <alignment horizontal="center"/>
    </xf>
    <xf numFmtId="264" fontId="12" fillId="14" borderId="4907" applyFont="0" applyFill="0" applyBorder="0" applyAlignment="0" applyProtection="0">
      <alignment horizontal="right"/>
    </xf>
    <xf numFmtId="0" fontId="210" fillId="0" borderId="4907" applyNumberFormat="0" applyFill="0" applyBorder="0" applyAlignment="0">
      <protection locked="0"/>
    </xf>
    <xf numFmtId="254" fontId="240" fillId="0" borderId="4907" applyBorder="0" applyProtection="0">
      <alignment horizontal="right" vertical="center"/>
    </xf>
    <xf numFmtId="0" fontId="241" fillId="94" borderId="4907" applyBorder="0" applyProtection="0">
      <alignment horizontal="centerContinuous" vertical="center"/>
    </xf>
    <xf numFmtId="246" fontId="249" fillId="0" borderId="4907" applyFill="0" applyProtection="0">
      <alignment horizontal="center"/>
    </xf>
    <xf numFmtId="246" fontId="250" fillId="0" borderId="4907" applyFill="0" applyProtection="0">
      <alignment horizontal="center"/>
    </xf>
    <xf numFmtId="0" fontId="75" fillId="0" borderId="4920" applyNumberFormat="0" applyFont="0" applyFill="0" applyAlignment="0" applyProtection="0"/>
    <xf numFmtId="0" fontId="25" fillId="10" borderId="5510" applyNumberFormat="0" applyProtection="0">
      <alignment horizontal="left" vertical="top"/>
    </xf>
    <xf numFmtId="0" fontId="78" fillId="14" borderId="4921" applyFont="0" applyFill="0" applyBorder="0" applyAlignment="0" applyProtection="0"/>
    <xf numFmtId="186" fontId="146" fillId="3" borderId="4922">
      <alignment horizontal="left"/>
    </xf>
    <xf numFmtId="186" fontId="140" fillId="3" borderId="4923">
      <alignment horizontal="center" vertical="center"/>
    </xf>
    <xf numFmtId="0" fontId="2" fillId="0" borderId="4924" applyNumberFormat="0" applyAlignment="0" applyProtection="0"/>
    <xf numFmtId="0" fontId="214" fillId="0" borderId="4925" applyNumberFormat="0" applyFont="0" applyFill="0" applyAlignment="0" applyProtection="0"/>
    <xf numFmtId="0" fontId="25" fillId="10" borderId="4926" applyNumberFormat="0" applyProtection="0">
      <alignment horizontal="left" vertical="top"/>
    </xf>
    <xf numFmtId="0" fontId="25" fillId="10" borderId="4927" applyNumberFormat="0" applyProtection="0">
      <alignment horizontal="left" vertical="top"/>
    </xf>
    <xf numFmtId="0" fontId="25" fillId="10" borderId="4928" applyNumberFormat="0" applyProtection="0">
      <alignment horizontal="left" vertical="top"/>
    </xf>
    <xf numFmtId="0" fontId="25" fillId="10" borderId="4929" applyNumberFormat="0" applyProtection="0">
      <alignment horizontal="left" vertical="top"/>
    </xf>
    <xf numFmtId="312" fontId="2" fillId="0" borderId="5483" applyNumberFormat="0" applyAlignment="0" applyProtection="0"/>
    <xf numFmtId="10" fontId="12" fillId="3" borderId="5458" applyNumberFormat="0" applyFont="0" applyFill="0" applyBorder="0" applyAlignment="0">
      <protection locked="0"/>
    </xf>
    <xf numFmtId="312" fontId="214" fillId="0" borderId="5484" applyNumberFormat="0" applyFont="0" applyFill="0" applyAlignment="0" applyProtection="0"/>
    <xf numFmtId="188" fontId="25" fillId="0" borderId="5460" applyFont="0" applyFill="0" applyBorder="0" applyAlignment="0" applyProtection="0">
      <alignment horizontal="center"/>
    </xf>
    <xf numFmtId="186" fontId="140" fillId="3" borderId="5470">
      <alignment horizontal="center" vertical="center"/>
    </xf>
    <xf numFmtId="0" fontId="25" fillId="10" borderId="4916" applyNumberFormat="0" applyProtection="0">
      <alignment horizontal="left" vertical="top"/>
    </xf>
    <xf numFmtId="190" fontId="210" fillId="0" borderId="4967" applyNumberFormat="0" applyFill="0" applyBorder="0" applyAlignment="0">
      <protection locked="0"/>
    </xf>
    <xf numFmtId="0" fontId="75" fillId="0" borderId="5886" applyNumberFormat="0" applyFont="0" applyFill="0" applyAlignment="0" applyProtection="0"/>
    <xf numFmtId="254" fontId="240" fillId="0" borderId="4955" applyBorder="0" applyProtection="0">
      <alignment horizontal="right" vertical="center"/>
    </xf>
    <xf numFmtId="0" fontId="210" fillId="0" borderId="5502" applyNumberFormat="0" applyFill="0" applyBorder="0" applyAlignment="0">
      <protection locked="0"/>
    </xf>
    <xf numFmtId="312" fontId="25" fillId="10" borderId="5486" applyNumberFormat="0" applyProtection="0">
      <alignment horizontal="left" vertical="top"/>
    </xf>
    <xf numFmtId="246" fontId="250" fillId="0" borderId="4919" applyFill="0" applyProtection="0">
      <alignment horizontal="center"/>
    </xf>
    <xf numFmtId="246" fontId="249" fillId="0" borderId="4919" applyFill="0" applyProtection="0">
      <alignment horizontal="center"/>
    </xf>
    <xf numFmtId="0" fontId="241" fillId="94" borderId="4919" applyBorder="0" applyProtection="0">
      <alignment horizontal="centerContinuous" vertical="center"/>
    </xf>
    <xf numFmtId="254" fontId="240" fillId="0" borderId="4919" applyBorder="0" applyProtection="0">
      <alignment horizontal="right" vertical="center"/>
    </xf>
    <xf numFmtId="190" fontId="74" fillId="0" borderId="5444" applyFont="0" applyFill="0" applyBorder="0" applyAlignment="0" applyProtection="0">
      <alignment horizontal="center"/>
    </xf>
    <xf numFmtId="0" fontId="25" fillId="10" borderId="5456" applyNumberFormat="0" applyProtection="0">
      <alignment horizontal="left" vertical="top"/>
    </xf>
    <xf numFmtId="0" fontId="74" fillId="0" borderId="5444" applyFont="0" applyFill="0" applyBorder="0" applyAlignment="0" applyProtection="0">
      <alignment horizontal="center"/>
    </xf>
    <xf numFmtId="0" fontId="165" fillId="0" borderId="5490" applyFill="0" applyProtection="0">
      <alignment horizontal="center"/>
    </xf>
    <xf numFmtId="222" fontId="79" fillId="0" borderId="5477" applyBorder="0"/>
    <xf numFmtId="0" fontId="210" fillId="0" borderId="4919" applyNumberFormat="0" applyFill="0" applyBorder="0" applyAlignment="0">
      <protection locked="0"/>
    </xf>
    <xf numFmtId="264" fontId="12" fillId="14" borderId="4919" applyFont="0" applyFill="0" applyBorder="0" applyAlignment="0" applyProtection="0">
      <alignment horizontal="right"/>
    </xf>
    <xf numFmtId="190" fontId="25" fillId="10" borderId="5456" applyNumberFormat="0" applyProtection="0">
      <alignment horizontal="left" vertical="top"/>
    </xf>
    <xf numFmtId="0" fontId="166" fillId="0" borderId="4919">
      <alignment horizontal="center"/>
    </xf>
    <xf numFmtId="0" fontId="165" fillId="0" borderId="4919" applyFill="0" applyProtection="0">
      <alignment horizontal="center"/>
    </xf>
    <xf numFmtId="246" fontId="250" fillId="0" borderId="4907" applyFill="0" applyProtection="0">
      <alignment horizontal="center"/>
    </xf>
    <xf numFmtId="0" fontId="25" fillId="10" borderId="4926" applyNumberFormat="0" applyProtection="0">
      <alignment horizontal="left" vertical="top"/>
    </xf>
    <xf numFmtId="0" fontId="165" fillId="0" borderId="5502" applyFill="0" applyProtection="0">
      <alignment horizontal="center"/>
    </xf>
    <xf numFmtId="186" fontId="146" fillId="3" borderId="4919" applyBorder="0">
      <alignment horizontal="left" vertical="center"/>
    </xf>
    <xf numFmtId="180" fontId="9" fillId="3" borderId="4919">
      <alignment horizontal="right" vertical="center"/>
    </xf>
    <xf numFmtId="192" fontId="9" fillId="3" borderId="4919">
      <alignment horizontal="right" vertical="center"/>
    </xf>
    <xf numFmtId="312" fontId="25" fillId="10" borderId="5446" applyNumberFormat="0" applyProtection="0">
      <alignment horizontal="center" vertical="top"/>
    </xf>
    <xf numFmtId="248" fontId="46" fillId="0" borderId="5502"/>
    <xf numFmtId="0" fontId="12" fillId="0" borderId="4919" applyNumberFormat="0" applyFill="0" applyBorder="0" applyAlignment="0" applyProtection="0">
      <alignment horizontal="center"/>
    </xf>
    <xf numFmtId="0" fontId="113" fillId="0" borderId="4919" applyNumberFormat="0" applyFill="0" applyAlignment="0" applyProtection="0"/>
    <xf numFmtId="0" fontId="25" fillId="10" borderId="4953" applyNumberFormat="0" applyProtection="0">
      <alignment horizontal="left" vertical="top"/>
    </xf>
    <xf numFmtId="246" fontId="250" fillId="0" borderId="4967" applyFill="0" applyProtection="0">
      <alignment horizontal="center"/>
    </xf>
    <xf numFmtId="222" fontId="79" fillId="0" borderId="4918" applyBorder="0"/>
    <xf numFmtId="0" fontId="101" fillId="0" borderId="4919" applyBorder="0"/>
    <xf numFmtId="312" fontId="25" fillId="10" borderId="5485" applyNumberFormat="0" applyProtection="0">
      <alignment horizontal="left" vertical="top"/>
    </xf>
    <xf numFmtId="186" fontId="146" fillId="3" borderId="5813" applyBorder="0">
      <alignment horizontal="left" vertical="center"/>
    </xf>
    <xf numFmtId="248" fontId="46" fillId="0" borderId="4919"/>
    <xf numFmtId="222" fontId="79" fillId="0" borderId="5836" applyBorder="0"/>
    <xf numFmtId="312" fontId="25" fillId="10" borderId="5487" applyNumberFormat="0" applyProtection="0">
      <alignment horizontal="left" vertical="top"/>
    </xf>
    <xf numFmtId="1" fontId="74" fillId="0" borderId="5460" applyFill="0" applyBorder="0" applyProtection="0">
      <alignment horizontal="right"/>
    </xf>
    <xf numFmtId="246" fontId="250" fillId="0" borderId="5813" applyFill="0" applyProtection="0">
      <alignment horizontal="center"/>
    </xf>
    <xf numFmtId="312" fontId="25" fillId="10" borderId="5488" applyNumberFormat="0" applyProtection="0">
      <alignment horizontal="left" vertical="top"/>
    </xf>
    <xf numFmtId="0" fontId="113" fillId="0" borderId="5502" applyNumberFormat="0" applyFill="0" applyAlignment="0" applyProtection="0"/>
    <xf numFmtId="0" fontId="101" fillId="0" borderId="4919" applyBorder="0"/>
    <xf numFmtId="222" fontId="79" fillId="0" borderId="4918" applyBorder="0"/>
    <xf numFmtId="0" fontId="113" fillId="0" borderId="4919" applyNumberFormat="0" applyFill="0" applyAlignment="0" applyProtection="0"/>
    <xf numFmtId="0" fontId="75" fillId="0" borderId="4920" applyNumberFormat="0" applyFont="0" applyFill="0" applyAlignment="0" applyProtection="0"/>
    <xf numFmtId="0" fontId="12" fillId="0" borderId="4919" applyNumberFormat="0" applyFill="0" applyBorder="0" applyAlignment="0" applyProtection="0">
      <alignment horizontal="center"/>
    </xf>
    <xf numFmtId="248" fontId="46" fillId="0" borderId="4919"/>
    <xf numFmtId="192" fontId="9" fillId="3" borderId="4919">
      <alignment horizontal="right" vertical="center"/>
    </xf>
    <xf numFmtId="180" fontId="9" fillId="3" borderId="4919">
      <alignment horizontal="right" vertical="center"/>
    </xf>
    <xf numFmtId="186" fontId="146" fillId="3" borderId="4919" applyBorder="0">
      <alignment horizontal="left" vertical="center"/>
    </xf>
    <xf numFmtId="186" fontId="146" fillId="3" borderId="4922">
      <alignment horizontal="left"/>
    </xf>
    <xf numFmtId="186" fontId="140" fillId="3" borderId="4923">
      <alignment horizontal="center" vertical="center"/>
    </xf>
    <xf numFmtId="0" fontId="165" fillId="0" borderId="4919" applyFill="0" applyProtection="0">
      <alignment horizontal="center"/>
    </xf>
    <xf numFmtId="0" fontId="166" fillId="0" borderId="4919">
      <alignment horizontal="center"/>
    </xf>
    <xf numFmtId="264" fontId="12" fillId="14" borderId="4919" applyFont="0" applyFill="0" applyBorder="0" applyAlignment="0" applyProtection="0">
      <alignment horizontal="right"/>
    </xf>
    <xf numFmtId="0" fontId="210" fillId="0" borderId="4919" applyNumberFormat="0" applyFill="0" applyBorder="0" applyAlignment="0">
      <protection locked="0"/>
    </xf>
    <xf numFmtId="0" fontId="2" fillId="0" borderId="4924" applyNumberFormat="0" applyAlignment="0" applyProtection="0"/>
    <xf numFmtId="0" fontId="214" fillId="0" borderId="4925" applyNumberFormat="0" applyFont="0" applyFill="0" applyAlignment="0" applyProtection="0"/>
    <xf numFmtId="0" fontId="25" fillId="10" borderId="4926" applyNumberFormat="0" applyProtection="0">
      <alignment horizontal="left" vertical="top"/>
    </xf>
    <xf numFmtId="0" fontId="25" fillId="10" borderId="4927" applyNumberFormat="0" applyProtection="0">
      <alignment horizontal="left" vertical="top"/>
    </xf>
    <xf numFmtId="0" fontId="25" fillId="10" borderId="4928" applyNumberFormat="0" applyProtection="0">
      <alignment horizontal="left" vertical="top"/>
    </xf>
    <xf numFmtId="0" fontId="25" fillId="10" borderId="4929" applyNumberFormat="0" applyProtection="0">
      <alignment horizontal="left" vertical="top"/>
    </xf>
    <xf numFmtId="0" fontId="25" fillId="10" borderId="4926" applyNumberFormat="0" applyProtection="0">
      <alignment horizontal="left" vertical="top"/>
    </xf>
    <xf numFmtId="0" fontId="25" fillId="10" borderId="4927" applyNumberFormat="0" applyProtection="0">
      <alignment horizontal="left" vertical="top"/>
    </xf>
    <xf numFmtId="0" fontId="25" fillId="10" borderId="4928" applyNumberFormat="0" applyProtection="0">
      <alignment horizontal="left" vertical="top"/>
    </xf>
    <xf numFmtId="0" fontId="25" fillId="10" borderId="4929" applyNumberFormat="0" applyProtection="0">
      <alignment horizontal="left" vertical="top"/>
    </xf>
    <xf numFmtId="254" fontId="240" fillId="0" borderId="4919" applyBorder="0" applyProtection="0">
      <alignment horizontal="right" vertical="center"/>
    </xf>
    <xf numFmtId="0" fontId="241" fillId="94" borderId="4919" applyBorder="0" applyProtection="0">
      <alignment horizontal="centerContinuous" vertical="center"/>
    </xf>
    <xf numFmtId="246" fontId="249" fillId="0" borderId="4919" applyFill="0" applyProtection="0">
      <alignment horizontal="center"/>
    </xf>
    <xf numFmtId="246" fontId="250" fillId="0" borderId="4919" applyFill="0" applyProtection="0">
      <alignment horizontal="center"/>
    </xf>
    <xf numFmtId="0" fontId="25" fillId="10" borderId="5892" applyNumberFormat="0" applyProtection="0">
      <alignment horizontal="left" vertical="top"/>
    </xf>
    <xf numFmtId="312" fontId="241" fillId="94" borderId="5502" applyBorder="0" applyProtection="0">
      <alignment horizontal="centerContinuous" vertical="center"/>
    </xf>
    <xf numFmtId="0" fontId="25" fillId="10" borderId="4915" applyNumberFormat="0" applyProtection="0">
      <alignment horizontal="left" vertical="top"/>
    </xf>
    <xf numFmtId="312" fontId="25" fillId="10" borderId="4950" applyNumberFormat="0" applyProtection="0">
      <alignment horizontal="left" vertical="top"/>
    </xf>
    <xf numFmtId="293" fontId="234" fillId="10" borderId="5446" applyFont="0" applyProtection="0"/>
    <xf numFmtId="0" fontId="276" fillId="54" borderId="5462" applyNumberFormat="0" applyAlignment="0" applyProtection="0"/>
    <xf numFmtId="0" fontId="113" fillId="0" borderId="5433" applyNumberFormat="0" applyFill="0" applyAlignment="0" applyProtection="0"/>
    <xf numFmtId="0" fontId="210" fillId="0" borderId="5433" applyNumberFormat="0" applyFill="0" applyBorder="0" applyAlignment="0">
      <protection locked="0"/>
    </xf>
    <xf numFmtId="0" fontId="165" fillId="0" borderId="5433" applyFill="0" applyProtection="0">
      <alignment horizontal="center"/>
    </xf>
    <xf numFmtId="0" fontId="75" fillId="0" borderId="5076" applyNumberFormat="0" applyFont="0" applyFill="0" applyAlignment="0" applyProtection="0"/>
    <xf numFmtId="0" fontId="25" fillId="10" borderId="5512" applyNumberFormat="0" applyProtection="0">
      <alignment horizontal="left" vertical="top"/>
    </xf>
    <xf numFmtId="10" fontId="12" fillId="3" borderId="5458" applyNumberFormat="0" applyFont="0" applyFill="0" applyBorder="0" applyAlignment="0">
      <protection locked="0"/>
    </xf>
    <xf numFmtId="293" fontId="234" fillId="10" borderId="5446" applyFont="0" applyProtection="0"/>
    <xf numFmtId="0" fontId="113" fillId="0" borderId="5502" applyNumberFormat="0" applyFill="0" applyAlignment="0" applyProtection="0"/>
    <xf numFmtId="190" fontId="12" fillId="0" borderId="5445" applyNumberFormat="0" applyFill="0" applyBorder="0" applyAlignment="0" applyProtection="0"/>
    <xf numFmtId="0" fontId="241" fillId="94" borderId="5502" applyBorder="0" applyProtection="0">
      <alignment horizontal="centerContinuous" vertical="center"/>
    </xf>
    <xf numFmtId="312" fontId="48" fillId="0" borderId="5445" applyNumberFormat="0" applyFill="0" applyAlignment="0" applyProtection="0"/>
    <xf numFmtId="190" fontId="101" fillId="0" borderId="4919" applyBorder="0"/>
    <xf numFmtId="9" fontId="12" fillId="60" borderId="5450" applyFont="0" applyFill="0" applyBorder="0" applyAlignment="0" applyProtection="0"/>
    <xf numFmtId="246" fontId="249" fillId="0" borderId="4967" applyFill="0" applyProtection="0">
      <alignment horizontal="center"/>
    </xf>
    <xf numFmtId="0" fontId="25" fillId="10" borderId="4952" applyNumberFormat="0" applyProtection="0">
      <alignment horizontal="left" vertical="top"/>
    </xf>
    <xf numFmtId="0" fontId="166" fillId="0" borderId="4967">
      <alignment horizontal="center"/>
    </xf>
    <xf numFmtId="186" fontId="146" fillId="3" borderId="4967" applyBorder="0">
      <alignment horizontal="left" vertical="center"/>
    </xf>
    <xf numFmtId="4" fontId="12" fillId="60" borderId="5450" applyFont="0" applyFill="0" applyBorder="0" applyAlignment="0" applyProtection="0"/>
    <xf numFmtId="190" fontId="113" fillId="0" borderId="4919" applyNumberFormat="0" applyFill="0" applyAlignment="0" applyProtection="0"/>
    <xf numFmtId="190" fontId="75" fillId="0" borderId="4896" applyNumberFormat="0" applyFont="0" applyFill="0" applyAlignment="0" applyProtection="0"/>
    <xf numFmtId="190" fontId="241" fillId="94" borderId="4967" applyBorder="0" applyProtection="0">
      <alignment horizontal="centerContinuous" vertical="center"/>
    </xf>
    <xf numFmtId="190" fontId="25" fillId="10" borderId="4951" applyNumberFormat="0" applyProtection="0">
      <alignment horizontal="left" vertical="top"/>
    </xf>
    <xf numFmtId="190" fontId="12" fillId="0" borderId="4919" applyNumberFormat="0" applyFill="0" applyBorder="0" applyAlignment="0" applyProtection="0">
      <alignment horizontal="center"/>
    </xf>
    <xf numFmtId="180" fontId="9" fillId="3" borderId="5433">
      <alignment horizontal="right" vertical="center"/>
    </xf>
    <xf numFmtId="186" fontId="146" fillId="3" borderId="5078">
      <alignment horizontal="left"/>
    </xf>
    <xf numFmtId="0" fontId="25" fillId="10" borderId="5487" applyNumberFormat="0" applyProtection="0">
      <alignment horizontal="left" vertical="top"/>
    </xf>
    <xf numFmtId="190" fontId="75" fillId="0" borderId="4944" applyNumberFormat="0" applyFont="0" applyFill="0" applyAlignment="0" applyProtection="0"/>
    <xf numFmtId="190" fontId="78" fillId="14" borderId="4909" applyFont="0" applyFill="0" applyBorder="0" applyAlignment="0" applyProtection="0"/>
    <xf numFmtId="312" fontId="25" fillId="10" borderId="5486" applyNumberFormat="0" applyProtection="0">
      <alignment horizontal="left" vertical="top"/>
    </xf>
    <xf numFmtId="254" fontId="240" fillId="0" borderId="4967" applyBorder="0" applyProtection="0">
      <alignment horizontal="right" vertical="center"/>
    </xf>
    <xf numFmtId="246" fontId="250" fillId="0" borderId="4967" applyFill="0" applyProtection="0">
      <alignment horizontal="center"/>
    </xf>
    <xf numFmtId="0" fontId="12" fillId="10" borderId="5446" applyNumberFormat="0" applyFont="0" applyAlignment="0" applyProtection="0"/>
    <xf numFmtId="0" fontId="165" fillId="0" borderId="4955" applyFill="0" applyProtection="0">
      <alignment horizontal="center"/>
    </xf>
    <xf numFmtId="248" fontId="46" fillId="0" borderId="4955"/>
    <xf numFmtId="222" fontId="79" fillId="0" borderId="4954" applyBorder="0"/>
    <xf numFmtId="186" fontId="140" fillId="3" borderId="4947">
      <alignment horizontal="center" vertical="center"/>
    </xf>
    <xf numFmtId="0" fontId="25" fillId="10" borderId="4950" applyNumberFormat="0" applyProtection="0">
      <alignment horizontal="left" vertical="top"/>
    </xf>
    <xf numFmtId="0" fontId="25" fillId="10" borderId="4953" applyNumberFormat="0" applyProtection="0">
      <alignment horizontal="left" vertical="top"/>
    </xf>
    <xf numFmtId="246" fontId="250" fillId="0" borderId="4931" applyFill="0" applyProtection="0">
      <alignment horizontal="center"/>
    </xf>
    <xf numFmtId="254" fontId="240" fillId="0" borderId="4931" applyBorder="0" applyProtection="0">
      <alignment horizontal="right" vertical="center"/>
    </xf>
    <xf numFmtId="0" fontId="166" fillId="0" borderId="4931">
      <alignment horizontal="center"/>
    </xf>
    <xf numFmtId="180" fontId="9" fillId="3" borderId="4931">
      <alignment horizontal="right" vertical="center"/>
    </xf>
    <xf numFmtId="0" fontId="12" fillId="0" borderId="4931" applyNumberFormat="0" applyFill="0" applyBorder="0" applyAlignment="0" applyProtection="0">
      <alignment horizontal="center"/>
    </xf>
    <xf numFmtId="0" fontId="101" fillId="0" borderId="4931" applyBorder="0"/>
    <xf numFmtId="186" fontId="146" fillId="3" borderId="4922">
      <alignment horizontal="left"/>
    </xf>
    <xf numFmtId="0" fontId="25" fillId="10" borderId="4927" applyNumberFormat="0" applyProtection="0">
      <alignment horizontal="left" vertical="top"/>
    </xf>
    <xf numFmtId="246" fontId="249" fillId="0" borderId="4907" applyFill="0" applyProtection="0">
      <alignment horizontal="center"/>
    </xf>
    <xf numFmtId="0" fontId="165" fillId="0" borderId="4907" applyFill="0" applyProtection="0">
      <alignment horizontal="center"/>
    </xf>
    <xf numFmtId="0" fontId="214" fillId="0" borderId="4913" applyNumberFormat="0" applyFont="0" applyFill="0" applyAlignment="0" applyProtection="0"/>
    <xf numFmtId="0" fontId="78" fillId="14" borderId="4909" applyFont="0" applyFill="0" applyBorder="0" applyAlignment="0" applyProtection="0"/>
    <xf numFmtId="0" fontId="2" fillId="0" borderId="4912" applyNumberFormat="0" applyAlignment="0" applyProtection="0"/>
    <xf numFmtId="0" fontId="75" fillId="0" borderId="4908" applyNumberFormat="0" applyFont="0" applyFill="0" applyAlignment="0" applyProtection="0"/>
    <xf numFmtId="0" fontId="12" fillId="0" borderId="4907" applyNumberFormat="0" applyFill="0" applyBorder="0" applyAlignment="0" applyProtection="0">
      <alignment horizontal="center"/>
    </xf>
    <xf numFmtId="186" fontId="146" fillId="3" borderId="4907" applyBorder="0">
      <alignment horizontal="left" vertical="center"/>
    </xf>
    <xf numFmtId="190" fontId="25" fillId="10" borderId="5485" applyNumberFormat="0" applyProtection="0">
      <alignment horizontal="left" vertical="top"/>
    </xf>
    <xf numFmtId="190" fontId="165" fillId="0" borderId="4919" applyFill="0" applyProtection="0">
      <alignment horizontal="center"/>
    </xf>
    <xf numFmtId="190" fontId="166" fillId="0" borderId="4919">
      <alignment horizontal="center"/>
    </xf>
    <xf numFmtId="248" fontId="46" fillId="0" borderId="5433"/>
    <xf numFmtId="0" fontId="25" fillId="10" borderId="4914" applyNumberFormat="0" applyProtection="0">
      <alignment horizontal="left" vertical="top"/>
    </xf>
    <xf numFmtId="0" fontId="25" fillId="10" borderId="4917" applyNumberFormat="0" applyProtection="0">
      <alignment horizontal="left" vertical="top"/>
    </xf>
    <xf numFmtId="1" fontId="154" fillId="65" borderId="5155" applyNumberFormat="0" applyBorder="0" applyAlignment="0">
      <alignment horizontal="centerContinuous" vertical="center"/>
      <protection locked="0"/>
    </xf>
    <xf numFmtId="222" fontId="79" fillId="0" borderId="4918" applyBorder="0"/>
    <xf numFmtId="0" fontId="25" fillId="10" borderId="5509" applyNumberFormat="0" applyProtection="0">
      <alignment horizontal="left" vertical="top"/>
    </xf>
    <xf numFmtId="0" fontId="101" fillId="0" borderId="4907" applyBorder="0"/>
    <xf numFmtId="0" fontId="12" fillId="0" borderId="4907" applyNumberFormat="0" applyFill="0" applyBorder="0" applyAlignment="0" applyProtection="0">
      <alignment horizontal="center"/>
    </xf>
    <xf numFmtId="0" fontId="165" fillId="0" borderId="4907" applyFill="0" applyProtection="0">
      <alignment horizontal="center"/>
    </xf>
    <xf numFmtId="0" fontId="214" fillId="0" borderId="4913" applyNumberFormat="0" applyFont="0" applyFill="0" applyAlignment="0" applyProtection="0"/>
    <xf numFmtId="0" fontId="25" fillId="10" borderId="4916" applyNumberFormat="0" applyProtection="0">
      <alignment horizontal="left" vertical="top"/>
    </xf>
    <xf numFmtId="0" fontId="241" fillId="94" borderId="4943" applyBorder="0" applyProtection="0">
      <alignment horizontal="centerContinuous" vertical="center"/>
    </xf>
    <xf numFmtId="0" fontId="165" fillId="0" borderId="4919" applyFill="0" applyProtection="0">
      <alignment horizontal="center"/>
    </xf>
    <xf numFmtId="0" fontId="25" fillId="10" borderId="4965" applyNumberFormat="0" applyProtection="0">
      <alignment horizontal="left" vertical="top"/>
    </xf>
    <xf numFmtId="186" fontId="146" fillId="3" borderId="5433" applyBorder="0">
      <alignment horizontal="left" vertical="center"/>
    </xf>
    <xf numFmtId="0" fontId="241" fillId="94" borderId="4907" applyBorder="0" applyProtection="0">
      <alignment horizontal="centerContinuous" vertical="center"/>
    </xf>
    <xf numFmtId="0" fontId="113" fillId="0" borderId="4943" applyNumberFormat="0" applyFill="0" applyAlignment="0" applyProtection="0"/>
    <xf numFmtId="0" fontId="165" fillId="0" borderId="4907" applyFill="0" applyProtection="0">
      <alignment horizontal="center"/>
    </xf>
    <xf numFmtId="0" fontId="25" fillId="10" borderId="4964" applyNumberFormat="0" applyProtection="0">
      <alignment horizontal="left" vertical="top"/>
    </xf>
    <xf numFmtId="293" fontId="234" fillId="10" borderId="5446" applyFont="0" applyProtection="0"/>
    <xf numFmtId="10" fontId="12" fillId="3" borderId="5458" applyNumberFormat="0" applyFont="0" applyFill="0" applyBorder="0" applyAlignment="0">
      <protection locked="0"/>
    </xf>
    <xf numFmtId="0" fontId="25" fillId="10" borderId="4917" applyNumberFormat="0" applyProtection="0">
      <alignment horizontal="left" vertical="top"/>
    </xf>
    <xf numFmtId="0" fontId="25" fillId="10" borderId="4916" applyNumberFormat="0" applyProtection="0">
      <alignment horizontal="left" vertical="top"/>
    </xf>
    <xf numFmtId="180" fontId="9" fillId="3" borderId="5433">
      <alignment horizontal="right" vertical="center"/>
    </xf>
    <xf numFmtId="0" fontId="241" fillId="94" borderId="5502" applyBorder="0" applyProtection="0">
      <alignment horizontal="centerContinuous" vertical="center"/>
    </xf>
    <xf numFmtId="190" fontId="210" fillId="0" borderId="4919" applyNumberFormat="0" applyFill="0" applyBorder="0" applyAlignment="0">
      <protection locked="0"/>
    </xf>
    <xf numFmtId="190" fontId="25" fillId="10" borderId="5452" applyNumberFormat="0" applyProtection="0">
      <alignment horizontal="left" vertical="top"/>
    </xf>
    <xf numFmtId="190" fontId="2" fillId="0" borderId="4900" applyNumberFormat="0" applyAlignment="0" applyProtection="0"/>
    <xf numFmtId="0" fontId="210" fillId="0" borderId="5433" applyNumberFormat="0" applyFill="0" applyBorder="0" applyAlignment="0">
      <protection locked="0"/>
    </xf>
    <xf numFmtId="190" fontId="136" fillId="84" borderId="5448" applyNumberFormat="0" applyProtection="0">
      <alignment horizontal="left" vertical="top" indent="1"/>
    </xf>
    <xf numFmtId="0" fontId="166" fillId="0" borderId="5466">
      <alignment horizontal="center"/>
    </xf>
    <xf numFmtId="190" fontId="214" fillId="0" borderId="4901" applyNumberFormat="0" applyFont="0" applyFill="0" applyAlignment="0" applyProtection="0"/>
    <xf numFmtId="0" fontId="135" fillId="0" borderId="5446"/>
    <xf numFmtId="0" fontId="276" fillId="54" borderId="5462" applyNumberFormat="0" applyAlignment="0" applyProtection="0"/>
    <xf numFmtId="222" fontId="79" fillId="0" borderId="5252" applyBorder="0"/>
    <xf numFmtId="0" fontId="25" fillId="10" borderId="5085" applyNumberFormat="0" applyProtection="0">
      <alignment horizontal="left" vertical="top"/>
    </xf>
    <xf numFmtId="0" fontId="101" fillId="0" borderId="5433" applyBorder="0"/>
    <xf numFmtId="0" fontId="210" fillId="0" borderId="5433" applyNumberFormat="0" applyFill="0" applyBorder="0" applyAlignment="0">
      <protection locked="0"/>
    </xf>
    <xf numFmtId="0" fontId="25" fillId="10" borderId="5440" applyNumberFormat="0" applyProtection="0">
      <alignment horizontal="left" vertical="top"/>
    </xf>
    <xf numFmtId="222" fontId="79" fillId="0" borderId="5465" applyBorder="0"/>
    <xf numFmtId="248" fontId="46" fillId="0" borderId="5466"/>
    <xf numFmtId="264" fontId="12" fillId="14" borderId="5466" applyFont="0" applyFill="0" applyBorder="0" applyAlignment="0" applyProtection="0">
      <alignment horizontal="right"/>
    </xf>
    <xf numFmtId="0" fontId="25" fillId="10" borderId="5486" applyNumberFormat="0" applyProtection="0">
      <alignment horizontal="left" vertical="top"/>
    </xf>
    <xf numFmtId="0" fontId="75" fillId="0" borderId="5503" applyNumberFormat="0" applyFont="0" applyFill="0" applyAlignment="0" applyProtection="0"/>
    <xf numFmtId="0" fontId="25" fillId="10" borderId="5511" applyNumberFormat="0" applyProtection="0">
      <alignment horizontal="left" vertical="top"/>
    </xf>
    <xf numFmtId="190" fontId="48" fillId="0" borderId="5444" applyFont="0" applyFill="0" applyBorder="0" applyAlignment="0" applyProtection="0">
      <alignment horizontal="center"/>
    </xf>
    <xf numFmtId="190" fontId="25" fillId="10" borderId="4902" applyNumberFormat="0" applyProtection="0">
      <alignment horizontal="left" vertical="top"/>
    </xf>
    <xf numFmtId="190" fontId="25" fillId="10" borderId="4903" applyNumberFormat="0" applyProtection="0">
      <alignment horizontal="left" vertical="top"/>
    </xf>
    <xf numFmtId="190" fontId="25" fillId="10" borderId="4904" applyNumberFormat="0" applyProtection="0">
      <alignment horizontal="left" vertical="top"/>
    </xf>
    <xf numFmtId="190" fontId="25" fillId="10" borderId="5453" applyNumberFormat="0" applyProtection="0">
      <alignment horizontal="left" vertical="top"/>
    </xf>
    <xf numFmtId="190" fontId="25" fillId="10" borderId="4905" applyNumberFormat="0" applyProtection="0">
      <alignment horizontal="left" vertical="top"/>
    </xf>
    <xf numFmtId="0" fontId="2" fillId="0" borderId="5483" applyNumberFormat="0" applyAlignment="0" applyProtection="0"/>
    <xf numFmtId="190" fontId="241" fillId="94" borderId="4919" applyBorder="0" applyProtection="0">
      <alignment horizontal="centerContinuous" vertical="center"/>
    </xf>
    <xf numFmtId="312" fontId="12" fillId="52" borderId="5448" applyNumberFormat="0" applyProtection="0">
      <alignment horizontal="left" vertical="center" indent="1"/>
    </xf>
    <xf numFmtId="312" fontId="25" fillId="10" borderId="5486" applyNumberFormat="0" applyProtection="0">
      <alignment horizontal="left" vertical="top"/>
    </xf>
    <xf numFmtId="312" fontId="25" fillId="10" borderId="5455" applyNumberFormat="0" applyProtection="0">
      <alignment horizontal="left" vertical="top"/>
    </xf>
    <xf numFmtId="246" fontId="296" fillId="0" borderId="5502" applyFill="0" applyProtection="0">
      <alignment horizontal="center"/>
    </xf>
    <xf numFmtId="312" fontId="12" fillId="0" borderId="5445" applyNumberFormat="0" applyFill="0" applyBorder="0" applyAlignment="0" applyProtection="0"/>
    <xf numFmtId="264" fontId="12" fillId="14" borderId="5325" applyFont="0" applyFill="0" applyBorder="0" applyAlignment="0" applyProtection="0">
      <alignment horizontal="right"/>
    </xf>
    <xf numFmtId="0" fontId="75" fillId="0" borderId="5326" applyNumberFormat="0" applyFont="0" applyFill="0" applyAlignment="0" applyProtection="0"/>
    <xf numFmtId="312" fontId="165" fillId="0" borderId="5502" applyFill="0" applyProtection="0">
      <alignment horizontal="center"/>
    </xf>
    <xf numFmtId="0" fontId="25" fillId="10" borderId="4916" applyNumberFormat="0" applyProtection="0">
      <alignment horizontal="left" vertical="top"/>
    </xf>
    <xf numFmtId="312" fontId="12" fillId="84" borderId="5448" applyNumberFormat="0" applyProtection="0">
      <alignment horizontal="left" vertical="center" indent="1"/>
    </xf>
    <xf numFmtId="180" fontId="9" fillId="3" borderId="4943">
      <alignment horizontal="right" vertical="center"/>
    </xf>
    <xf numFmtId="222" fontId="79" fillId="0" borderId="4918" applyBorder="0"/>
    <xf numFmtId="0" fontId="101" fillId="0" borderId="4919" applyBorder="0"/>
    <xf numFmtId="222" fontId="79" fillId="0" borderId="4918" applyBorder="0"/>
    <xf numFmtId="0" fontId="113" fillId="0" borderId="4919" applyNumberFormat="0" applyFill="0" applyAlignment="0" applyProtection="0"/>
    <xf numFmtId="0" fontId="75" fillId="0" borderId="4896" applyNumberFormat="0" applyFont="0" applyFill="0" applyAlignment="0" applyProtection="0"/>
    <xf numFmtId="0" fontId="12" fillId="0" borderId="4919" applyNumberFormat="0" applyFill="0" applyBorder="0" applyAlignment="0" applyProtection="0">
      <alignment horizontal="center"/>
    </xf>
    <xf numFmtId="248" fontId="46" fillId="0" borderId="4919"/>
    <xf numFmtId="192" fontId="9" fillId="3" borderId="4919">
      <alignment horizontal="right" vertical="center"/>
    </xf>
    <xf numFmtId="180" fontId="9" fillId="3" borderId="4919">
      <alignment horizontal="right" vertical="center"/>
    </xf>
    <xf numFmtId="186" fontId="146" fillId="3" borderId="4919" applyBorder="0">
      <alignment horizontal="left" vertical="center"/>
    </xf>
    <xf numFmtId="186" fontId="146" fillId="3" borderId="4898">
      <alignment horizontal="left"/>
    </xf>
    <xf numFmtId="186" fontId="140" fillId="3" borderId="4899">
      <alignment horizontal="center" vertical="center"/>
    </xf>
    <xf numFmtId="0" fontId="165" fillId="0" borderId="4919" applyFill="0" applyProtection="0">
      <alignment horizontal="center"/>
    </xf>
    <xf numFmtId="0" fontId="166" fillId="0" borderId="4919">
      <alignment horizontal="center"/>
    </xf>
    <xf numFmtId="264" fontId="12" fillId="14" borderId="4919" applyFont="0" applyFill="0" applyBorder="0" applyAlignment="0" applyProtection="0">
      <alignment horizontal="right"/>
    </xf>
    <xf numFmtId="0" fontId="210" fillId="0" borderId="4919" applyNumberFormat="0" applyFill="0" applyBorder="0" applyAlignment="0">
      <protection locked="0"/>
    </xf>
    <xf numFmtId="0" fontId="2" fillId="0" borderId="4900" applyNumberFormat="0" applyAlignment="0" applyProtection="0"/>
    <xf numFmtId="0" fontId="214" fillId="0" borderId="4901" applyNumberFormat="0" applyFont="0" applyFill="0" applyAlignment="0" applyProtection="0"/>
    <xf numFmtId="0" fontId="25" fillId="10" borderId="4902" applyNumberFormat="0" applyProtection="0">
      <alignment horizontal="left" vertical="top"/>
    </xf>
    <xf numFmtId="0" fontId="25" fillId="10" borderId="4903" applyNumberFormat="0" applyProtection="0">
      <alignment horizontal="left" vertical="top"/>
    </xf>
    <xf numFmtId="0" fontId="25" fillId="10" borderId="4904" applyNumberFormat="0" applyProtection="0">
      <alignment horizontal="left" vertical="top"/>
    </xf>
    <xf numFmtId="0" fontId="25" fillId="10" borderId="4905" applyNumberFormat="0" applyProtection="0">
      <alignment horizontal="left" vertical="top"/>
    </xf>
    <xf numFmtId="0" fontId="25" fillId="10" borderId="4902" applyNumberFormat="0" applyProtection="0">
      <alignment horizontal="left" vertical="top"/>
    </xf>
    <xf numFmtId="0" fontId="25" fillId="10" borderId="4903" applyNumberFormat="0" applyProtection="0">
      <alignment horizontal="left" vertical="top"/>
    </xf>
    <xf numFmtId="0" fontId="25" fillId="10" borderId="4904" applyNumberFormat="0" applyProtection="0">
      <alignment horizontal="left" vertical="top"/>
    </xf>
    <xf numFmtId="0" fontId="25" fillId="10" borderId="4905" applyNumberFormat="0" applyProtection="0">
      <alignment horizontal="left" vertical="top"/>
    </xf>
    <xf numFmtId="254" fontId="240" fillId="0" borderId="4919" applyBorder="0" applyProtection="0">
      <alignment horizontal="right" vertical="center"/>
    </xf>
    <xf numFmtId="0" fontId="241" fillId="94" borderId="4919" applyBorder="0" applyProtection="0">
      <alignment horizontal="centerContinuous" vertical="center"/>
    </xf>
    <xf numFmtId="246" fontId="249" fillId="0" borderId="4919" applyFill="0" applyProtection="0">
      <alignment horizontal="center"/>
    </xf>
    <xf numFmtId="246" fontId="250" fillId="0" borderId="4919" applyFill="0" applyProtection="0">
      <alignment horizontal="center"/>
    </xf>
    <xf numFmtId="248" fontId="46" fillId="0" borderId="4967"/>
    <xf numFmtId="0" fontId="166" fillId="0" borderId="5433">
      <alignment horizontal="center"/>
    </xf>
    <xf numFmtId="0" fontId="101" fillId="0" borderId="4967" applyBorder="0"/>
    <xf numFmtId="192" fontId="9" fillId="3" borderId="4907">
      <alignment horizontal="right" vertical="center"/>
    </xf>
    <xf numFmtId="0" fontId="25" fillId="10" borderId="5894" applyNumberFormat="0" applyProtection="0">
      <alignment horizontal="left" vertical="top"/>
    </xf>
    <xf numFmtId="0" fontId="25" fillId="10" borderId="5510" applyNumberFormat="0" applyProtection="0">
      <alignment horizontal="left" vertical="top"/>
    </xf>
    <xf numFmtId="190" fontId="12" fillId="84" borderId="5448" applyNumberFormat="0" applyProtection="0">
      <alignment horizontal="left" vertical="center" indent="1"/>
    </xf>
    <xf numFmtId="190" fontId="12" fillId="0" borderId="5502" applyNumberFormat="0" applyFill="0" applyBorder="0" applyAlignment="0" applyProtection="0">
      <alignment horizontal="center"/>
    </xf>
    <xf numFmtId="0" fontId="12" fillId="84" borderId="5448" applyNumberFormat="0" applyProtection="0">
      <alignment horizontal="left" vertical="center" indent="1"/>
    </xf>
    <xf numFmtId="0" fontId="214" fillId="0" borderId="5484" applyNumberFormat="0" applyFont="0" applyFill="0" applyAlignment="0" applyProtection="0"/>
    <xf numFmtId="0" fontId="25" fillId="10" borderId="4914" applyNumberFormat="0" applyProtection="0">
      <alignment horizontal="left" vertical="top"/>
    </xf>
    <xf numFmtId="312" fontId="25" fillId="10" borderId="4952" applyNumberFormat="0" applyProtection="0">
      <alignment horizontal="left" vertical="top"/>
    </xf>
    <xf numFmtId="186" fontId="48" fillId="3" borderId="5444">
      <alignment vertical="center"/>
    </xf>
    <xf numFmtId="0" fontId="25" fillId="10" borderId="5446" applyNumberFormat="0" applyProtection="0">
      <alignment horizontal="center" vertical="top"/>
    </xf>
    <xf numFmtId="192" fontId="9" fillId="3" borderId="5433">
      <alignment horizontal="right" vertical="center"/>
    </xf>
    <xf numFmtId="246" fontId="250" fillId="0" borderId="5433" applyFill="0" applyProtection="0">
      <alignment horizontal="center"/>
    </xf>
    <xf numFmtId="192" fontId="9" fillId="3" borderId="5433">
      <alignment horizontal="right" vertical="center"/>
    </xf>
    <xf numFmtId="0" fontId="2" fillId="0" borderId="5080" applyNumberFormat="0" applyAlignment="0" applyProtection="0"/>
    <xf numFmtId="186" fontId="140" fillId="3" borderId="5506">
      <alignment horizontal="center" vertical="center"/>
    </xf>
    <xf numFmtId="0" fontId="12" fillId="0" borderId="5445" applyNumberFormat="0" applyFill="0" applyBorder="0" applyAlignment="0" applyProtection="0"/>
    <xf numFmtId="0" fontId="25" fillId="10" borderId="5446" applyNumberFormat="0" applyProtection="0">
      <alignment horizontal="center" vertical="top"/>
    </xf>
    <xf numFmtId="222" fontId="79" fillId="0" borderId="5501" applyBorder="0"/>
    <xf numFmtId="190" fontId="214" fillId="0" borderId="5484" applyNumberFormat="0" applyFont="0" applyFill="0" applyAlignment="0" applyProtection="0"/>
    <xf numFmtId="10" fontId="12" fillId="3" borderId="5458" applyNumberFormat="0" applyFont="0" applyFill="0" applyBorder="0" applyAlignment="0">
      <protection locked="0"/>
    </xf>
    <xf numFmtId="312" fontId="75" fillId="0" borderId="4944" applyNumberFormat="0" applyFont="0" applyFill="0" applyAlignment="0" applyProtection="0"/>
    <xf numFmtId="312" fontId="75" fillId="0" borderId="5479" applyNumberFormat="0" applyFont="0" applyFill="0" applyAlignment="0" applyProtection="0"/>
    <xf numFmtId="312" fontId="101" fillId="0" borderId="4919" applyBorder="0"/>
    <xf numFmtId="0" fontId="241" fillId="94" borderId="4967" applyBorder="0" applyProtection="0">
      <alignment horizontal="centerContinuous" vertical="center"/>
    </xf>
    <xf numFmtId="0" fontId="25" fillId="10" borderId="4951" applyNumberFormat="0" applyProtection="0">
      <alignment horizontal="left" vertical="top"/>
    </xf>
    <xf numFmtId="0" fontId="165" fillId="0" borderId="4967" applyFill="0" applyProtection="0">
      <alignment horizontal="center"/>
    </xf>
    <xf numFmtId="180" fontId="9" fillId="3" borderId="4967">
      <alignment horizontal="right" vertical="center"/>
    </xf>
    <xf numFmtId="169" fontId="234" fillId="10" borderId="5446" applyFont="0" applyProtection="0"/>
    <xf numFmtId="0" fontId="25" fillId="10" borderId="5457" applyNumberFormat="0" applyProtection="0">
      <alignment horizontal="left" vertical="top"/>
    </xf>
    <xf numFmtId="312" fontId="113" fillId="0" borderId="4919" applyNumberFormat="0" applyFill="0" applyAlignment="0" applyProtection="0"/>
    <xf numFmtId="312" fontId="75" fillId="0" borderId="4896" applyNumberFormat="0" applyFont="0" applyFill="0" applyAlignment="0" applyProtection="0"/>
    <xf numFmtId="0" fontId="46" fillId="0" borderId="5445" applyNumberFormat="0" applyFill="0" applyBorder="0" applyAlignment="0" applyProtection="0"/>
    <xf numFmtId="5" fontId="114" fillId="0" borderId="5444" applyAlignment="0" applyProtection="0"/>
    <xf numFmtId="190" fontId="25" fillId="10" borderId="4950" applyNumberFormat="0" applyProtection="0">
      <alignment horizontal="left" vertical="top"/>
    </xf>
    <xf numFmtId="312" fontId="12" fillId="0" borderId="4919" applyNumberFormat="0" applyFill="0" applyBorder="0" applyAlignment="0" applyProtection="0">
      <alignment horizontal="center"/>
    </xf>
    <xf numFmtId="0" fontId="288" fillId="0" borderId="5464" applyNumberFormat="0" applyFill="0" applyAlignment="0" applyProtection="0"/>
    <xf numFmtId="0" fontId="101" fillId="0" borderId="5433" applyBorder="0"/>
    <xf numFmtId="0" fontId="166" fillId="0" borderId="5433">
      <alignment horizontal="center"/>
    </xf>
    <xf numFmtId="254" fontId="240" fillId="0" borderId="5433" applyBorder="0" applyProtection="0">
      <alignment horizontal="right" vertical="center"/>
    </xf>
    <xf numFmtId="0" fontId="214" fillId="0" borderId="5081" applyNumberFormat="0" applyFont="0" applyFill="0" applyAlignment="0" applyProtection="0"/>
    <xf numFmtId="246" fontId="249" fillId="0" borderId="5502" applyFill="0" applyProtection="0">
      <alignment horizontal="center"/>
    </xf>
    <xf numFmtId="312" fontId="12" fillId="3" borderId="5446" applyNumberFormat="0" applyFont="0" applyAlignment="0" applyProtection="0"/>
    <xf numFmtId="312" fontId="25" fillId="10" borderId="5488" applyNumberFormat="0" applyProtection="0">
      <alignment horizontal="left" vertical="top"/>
    </xf>
    <xf numFmtId="246" fontId="250" fillId="0" borderId="4967" applyFill="0" applyProtection="0">
      <alignment horizontal="center"/>
    </xf>
    <xf numFmtId="0" fontId="241" fillId="94" borderId="4967" applyBorder="0" applyProtection="0">
      <alignment horizontal="centerContinuous" vertical="center"/>
    </xf>
    <xf numFmtId="0" fontId="12" fillId="0" borderId="5445" applyNumberFormat="0" applyFill="0" applyBorder="0" applyAlignment="0" applyProtection="0"/>
    <xf numFmtId="0" fontId="75" fillId="0" borderId="4968" applyNumberFormat="0" applyFont="0" applyFill="0" applyAlignment="0" applyProtection="0"/>
    <xf numFmtId="186" fontId="146" fillId="3" borderId="4955" applyBorder="0">
      <alignment horizontal="left" vertical="center"/>
    </xf>
    <xf numFmtId="0" fontId="12" fillId="0" borderId="4955" applyNumberFormat="0" applyFill="0" applyBorder="0" applyAlignment="0" applyProtection="0">
      <alignment horizontal="center"/>
    </xf>
    <xf numFmtId="0" fontId="75" fillId="0" borderId="4944" applyNumberFormat="0" applyFont="0" applyFill="0" applyAlignment="0" applyProtection="0"/>
    <xf numFmtId="0" fontId="2" fillId="0" borderId="4948" applyNumberFormat="0" applyAlignment="0" applyProtection="0"/>
    <xf numFmtId="0" fontId="25" fillId="10" borderId="4951" applyNumberFormat="0" applyProtection="0">
      <alignment horizontal="left" vertical="top"/>
    </xf>
    <xf numFmtId="0" fontId="78" fillId="14" borderId="4945" applyFont="0" applyFill="0" applyBorder="0" applyAlignment="0" applyProtection="0"/>
    <xf numFmtId="246" fontId="249" fillId="0" borderId="4931" applyFill="0" applyProtection="0">
      <alignment horizontal="center"/>
    </xf>
    <xf numFmtId="0" fontId="210" fillId="0" borderId="4931" applyNumberFormat="0" applyFill="0" applyBorder="0" applyAlignment="0">
      <protection locked="0"/>
    </xf>
    <xf numFmtId="0" fontId="165" fillId="0" borderId="4931" applyFill="0" applyProtection="0">
      <alignment horizontal="center"/>
    </xf>
    <xf numFmtId="192" fontId="9" fillId="3" borderId="4931">
      <alignment horizontal="right" vertical="center"/>
    </xf>
    <xf numFmtId="0" fontId="113" fillId="0" borderId="4931" applyNumberFormat="0" applyFill="0" applyAlignment="0" applyProtection="0"/>
    <xf numFmtId="222" fontId="79" fillId="0" borderId="4930" applyBorder="0"/>
    <xf numFmtId="186" fontId="140" fillId="3" borderId="4923">
      <alignment horizontal="center" vertical="center"/>
    </xf>
    <xf numFmtId="0" fontId="25" fillId="10" borderId="4928" applyNumberFormat="0" applyProtection="0">
      <alignment horizontal="left" vertical="top"/>
    </xf>
    <xf numFmtId="0" fontId="241" fillId="94" borderId="4907" applyBorder="0" applyProtection="0">
      <alignment horizontal="centerContinuous" vertical="center"/>
    </xf>
    <xf numFmtId="186" fontId="146" fillId="3" borderId="4907" applyBorder="0">
      <alignment horizontal="left" vertical="center"/>
    </xf>
    <xf numFmtId="0" fontId="25" fillId="10" borderId="4915" applyNumberFormat="0" applyProtection="0">
      <alignment horizontal="left" vertical="top"/>
    </xf>
    <xf numFmtId="0" fontId="2" fillId="0" borderId="4912" applyNumberFormat="0" applyAlignment="0" applyProtection="0"/>
    <xf numFmtId="186" fontId="140" fillId="3" borderId="4911">
      <alignment horizontal="center" vertical="center"/>
    </xf>
    <xf numFmtId="222" fontId="79" fillId="0" borderId="4918" applyBorder="0"/>
    <xf numFmtId="248" fontId="46" fillId="0" borderId="4907"/>
    <xf numFmtId="0" fontId="165" fillId="0" borderId="4907" applyFill="0" applyProtection="0">
      <alignment horizontal="center"/>
    </xf>
    <xf numFmtId="312" fontId="165" fillId="0" borderId="4919" applyFill="0" applyProtection="0">
      <alignment horizontal="center"/>
    </xf>
    <xf numFmtId="312" fontId="242" fillId="0" borderId="4919">
      <alignment horizontal="center"/>
    </xf>
    <xf numFmtId="0" fontId="25" fillId="10" borderId="5512" applyNumberFormat="0" applyProtection="0">
      <alignment horizontal="left" vertical="top"/>
    </xf>
    <xf numFmtId="190" fontId="135" fillId="0" borderId="5446"/>
    <xf numFmtId="222" fontId="79" fillId="0" borderId="4918" applyBorder="0"/>
    <xf numFmtId="0" fontId="25" fillId="10" borderId="4915" applyNumberFormat="0" applyProtection="0">
      <alignment horizontal="left" vertical="top"/>
    </xf>
    <xf numFmtId="0" fontId="78" fillId="14" borderId="4909" applyFont="0" applyFill="0" applyBorder="0" applyAlignment="0" applyProtection="0"/>
    <xf numFmtId="222" fontId="79" fillId="0" borderId="4918" applyBorder="0"/>
    <xf numFmtId="0" fontId="12" fillId="10" borderId="5446" applyNumberFormat="0" applyFont="0" applyProtection="0"/>
    <xf numFmtId="190" fontId="25" fillId="10" borderId="5488" applyNumberFormat="0" applyProtection="0">
      <alignment horizontal="left" vertical="top"/>
    </xf>
    <xf numFmtId="0" fontId="166" fillId="0" borderId="5502">
      <alignment horizontal="center"/>
    </xf>
    <xf numFmtId="248" fontId="46" fillId="0" borderId="4907"/>
    <xf numFmtId="0" fontId="166" fillId="0" borderId="4907">
      <alignment horizontal="center"/>
    </xf>
    <xf numFmtId="186" fontId="140" fillId="3" borderId="4959">
      <alignment horizontal="center" vertical="center"/>
    </xf>
    <xf numFmtId="0" fontId="25" fillId="10" borderId="4917" applyNumberFormat="0" applyProtection="0">
      <alignment horizontal="left" vertical="top"/>
    </xf>
    <xf numFmtId="0" fontId="241" fillId="94" borderId="4919" applyBorder="0" applyProtection="0">
      <alignment horizontal="centerContinuous" vertical="center"/>
    </xf>
    <xf numFmtId="0" fontId="25" fillId="10" borderId="4917" applyNumberFormat="0" applyProtection="0">
      <alignment horizontal="left" vertical="top"/>
    </xf>
    <xf numFmtId="246" fontId="250" fillId="0" borderId="4907" applyFill="0" applyProtection="0">
      <alignment horizontal="center"/>
    </xf>
    <xf numFmtId="254" fontId="240" fillId="0" borderId="4907" applyBorder="0" applyProtection="0">
      <alignment horizontal="right" vertical="center"/>
    </xf>
    <xf numFmtId="192" fontId="9" fillId="3" borderId="4943">
      <alignment horizontal="right" vertical="center"/>
    </xf>
    <xf numFmtId="0" fontId="210" fillId="0" borderId="4907" applyNumberFormat="0" applyFill="0" applyBorder="0" applyAlignment="0">
      <protection locked="0"/>
    </xf>
    <xf numFmtId="186" fontId="146" fillId="3" borderId="4907" applyBorder="0">
      <alignment horizontal="left" vertical="center"/>
    </xf>
    <xf numFmtId="0" fontId="25" fillId="10" borderId="4916" applyNumberFormat="0" applyProtection="0">
      <alignment horizontal="left" vertical="top"/>
    </xf>
    <xf numFmtId="0" fontId="25" fillId="10" borderId="4915" applyNumberFormat="0" applyProtection="0">
      <alignment horizontal="left" vertical="top"/>
    </xf>
    <xf numFmtId="186" fontId="140" fillId="3" borderId="4911">
      <alignment horizontal="center" vertical="center"/>
    </xf>
    <xf numFmtId="312" fontId="210" fillId="0" borderId="4919" applyNumberFormat="0" applyFill="0" applyBorder="0" applyAlignment="0">
      <protection locked="0"/>
    </xf>
    <xf numFmtId="0" fontId="12" fillId="0" borderId="5502" applyNumberFormat="0" applyFill="0" applyBorder="0" applyAlignment="0" applyProtection="0">
      <alignment horizontal="center"/>
    </xf>
    <xf numFmtId="4" fontId="229" fillId="84" borderId="5449" applyNumberFormat="0" applyProtection="0">
      <alignment horizontal="left" vertical="center" indent="1"/>
    </xf>
    <xf numFmtId="222" fontId="79" fillId="0" borderId="5477" applyBorder="0"/>
    <xf numFmtId="312" fontId="2" fillId="0" borderId="4900" applyNumberFormat="0" applyAlignment="0" applyProtection="0"/>
    <xf numFmtId="0" fontId="214" fillId="0" borderId="5496" applyNumberFormat="0" applyFont="0" applyFill="0" applyAlignment="0" applyProtection="0"/>
    <xf numFmtId="192" fontId="9" fillId="3" borderId="5478">
      <alignment horizontal="right" vertical="center"/>
    </xf>
    <xf numFmtId="0" fontId="25" fillId="10" borderId="5455" applyNumberFormat="0" applyProtection="0">
      <alignment horizontal="left" vertical="top"/>
    </xf>
    <xf numFmtId="312" fontId="214" fillId="0" borderId="4901" applyNumberFormat="0" applyFont="0" applyFill="0" applyAlignment="0" applyProtection="0"/>
    <xf numFmtId="0" fontId="159" fillId="67" borderId="5446"/>
    <xf numFmtId="0" fontId="78" fillId="14" borderId="5077" applyFont="0" applyFill="0" applyBorder="0" applyAlignment="0" applyProtection="0"/>
    <xf numFmtId="186" fontId="140" fillId="3" borderId="5079">
      <alignment horizontal="center" vertical="center"/>
    </xf>
    <xf numFmtId="0" fontId="78" fillId="14" borderId="5077" applyFont="0" applyFill="0" applyBorder="0" applyAlignment="0" applyProtection="0"/>
    <xf numFmtId="186" fontId="146" fillId="3" borderId="5078">
      <alignment horizontal="left"/>
    </xf>
    <xf numFmtId="186" fontId="146" fillId="3" borderId="5433" applyBorder="0">
      <alignment horizontal="left" vertical="center"/>
    </xf>
    <xf numFmtId="0" fontId="78" fillId="14" borderId="5077" applyFont="0" applyFill="0" applyBorder="0" applyAlignment="0" applyProtection="0"/>
    <xf numFmtId="0" fontId="214" fillId="0" borderId="5439" applyNumberFormat="0" applyFont="0" applyFill="0" applyAlignment="0" applyProtection="0"/>
    <xf numFmtId="0" fontId="113" fillId="0" borderId="5466" applyNumberFormat="0" applyFill="0" applyAlignment="0" applyProtection="0"/>
    <xf numFmtId="186" fontId="146" fillId="3" borderId="5466" applyBorder="0">
      <alignment horizontal="left" vertical="center"/>
    </xf>
    <xf numFmtId="0" fontId="25" fillId="10" borderId="5485" applyNumberFormat="0" applyProtection="0">
      <alignment horizontal="left" vertical="top"/>
    </xf>
    <xf numFmtId="0" fontId="75" fillId="0" borderId="5503" applyNumberFormat="0" applyFont="0" applyFill="0" applyAlignment="0" applyProtection="0"/>
    <xf numFmtId="180" fontId="9" fillId="3" borderId="5502">
      <alignment horizontal="right" vertical="center"/>
    </xf>
    <xf numFmtId="0" fontId="25" fillId="10" borderId="5512" applyNumberFormat="0" applyProtection="0">
      <alignment horizontal="left" vertical="top"/>
    </xf>
    <xf numFmtId="190" fontId="75" fillId="0" borderId="5479" applyNumberFormat="0" applyFont="0" applyFill="0" applyAlignment="0" applyProtection="0"/>
    <xf numFmtId="190" fontId="78" fillId="14" borderId="5492" applyFont="0" applyFill="0" applyBorder="0" applyAlignment="0" applyProtection="0"/>
    <xf numFmtId="312" fontId="25" fillId="10" borderId="4902" applyNumberFormat="0" applyProtection="0">
      <alignment horizontal="left" vertical="top"/>
    </xf>
    <xf numFmtId="312" fontId="25" fillId="10" borderId="4903" applyNumberFormat="0" applyProtection="0">
      <alignment horizontal="left" vertical="top"/>
    </xf>
    <xf numFmtId="312" fontId="25" fillId="10" borderId="4904" applyNumberFormat="0" applyProtection="0">
      <alignment horizontal="left" vertical="top"/>
    </xf>
    <xf numFmtId="312" fontId="25" fillId="10" borderId="4905" applyNumberFormat="0" applyProtection="0">
      <alignment horizontal="left" vertical="top"/>
    </xf>
    <xf numFmtId="190" fontId="12" fillId="0" borderId="5445" applyNumberFormat="0" applyFill="0" applyBorder="0" applyAlignment="0" applyProtection="0"/>
    <xf numFmtId="312" fontId="241" fillId="94" borderId="4919" applyBorder="0" applyProtection="0">
      <alignment horizontal="centerContinuous" vertical="center"/>
    </xf>
    <xf numFmtId="312" fontId="184" fillId="0" borderId="5447" applyAlignment="0">
      <alignment horizontal="left" wrapText="1"/>
    </xf>
    <xf numFmtId="312" fontId="12" fillId="52" borderId="5448" applyNumberFormat="0" applyProtection="0">
      <alignment horizontal="left" vertical="top" indent="1"/>
    </xf>
    <xf numFmtId="312" fontId="12" fillId="10" borderId="5446" applyNumberFormat="0" applyFont="0" applyAlignment="0" applyProtection="0"/>
    <xf numFmtId="312" fontId="25" fillId="10" borderId="5454" applyNumberFormat="0" applyProtection="0">
      <alignment horizontal="left" vertical="top"/>
    </xf>
    <xf numFmtId="312" fontId="25" fillId="10" borderId="5488" applyNumberFormat="0" applyProtection="0">
      <alignment horizontal="left" vertical="top"/>
    </xf>
    <xf numFmtId="246" fontId="296" fillId="0" borderId="4919" applyFill="0" applyProtection="0">
      <alignment horizontal="center"/>
    </xf>
    <xf numFmtId="312" fontId="12" fillId="0" borderId="5445" applyNumberFormat="0" applyFill="0" applyBorder="0" applyAlignment="0" applyProtection="0"/>
    <xf numFmtId="248" fontId="46" fillId="0" borderId="5325"/>
    <xf numFmtId="0" fontId="25" fillId="10" borderId="5473" applyNumberFormat="0" applyProtection="0">
      <alignment horizontal="left" vertical="top"/>
    </xf>
    <xf numFmtId="0" fontId="25" fillId="10" borderId="4914" applyNumberFormat="0" applyProtection="0">
      <alignment horizontal="left" vertical="top"/>
    </xf>
    <xf numFmtId="0" fontId="241" fillId="94" borderId="5466" applyBorder="0" applyProtection="0">
      <alignment horizontal="centerContinuous" vertical="center"/>
    </xf>
    <xf numFmtId="0" fontId="25" fillId="10" borderId="4914" applyNumberFormat="0" applyProtection="0">
      <alignment horizontal="left" vertical="top"/>
    </xf>
    <xf numFmtId="254" fontId="240" fillId="0" borderId="4967" applyBorder="0" applyProtection="0">
      <alignment horizontal="right" vertical="center"/>
    </xf>
    <xf numFmtId="312" fontId="241" fillId="94" borderId="4967" applyBorder="0" applyProtection="0">
      <alignment horizontal="centerContinuous" vertical="center"/>
    </xf>
    <xf numFmtId="0" fontId="165" fillId="0" borderId="5502" applyFill="0" applyProtection="0">
      <alignment horizontal="center"/>
    </xf>
    <xf numFmtId="0" fontId="12" fillId="52" borderId="5448" applyNumberFormat="0" applyProtection="0">
      <alignment horizontal="left" vertical="center" indent="1"/>
    </xf>
    <xf numFmtId="186" fontId="146" fillId="3" borderId="5490" applyBorder="0">
      <alignment horizontal="left" vertical="center"/>
    </xf>
    <xf numFmtId="312" fontId="101" fillId="0" borderId="4919" applyBorder="0"/>
    <xf numFmtId="312" fontId="113" fillId="0" borderId="4919" applyNumberFormat="0" applyFill="0" applyAlignment="0" applyProtection="0"/>
    <xf numFmtId="312" fontId="75" fillId="0" borderId="4896" applyNumberFormat="0" applyFont="0" applyFill="0" applyAlignment="0" applyProtection="0"/>
    <xf numFmtId="312" fontId="12" fillId="0" borderId="4919" applyNumberFormat="0" applyFill="0" applyBorder="0" applyAlignment="0" applyProtection="0">
      <alignment horizontal="center"/>
    </xf>
    <xf numFmtId="222" fontId="79" fillId="0" borderId="4966" applyBorder="0"/>
    <xf numFmtId="0" fontId="113" fillId="0" borderId="4907" applyNumberFormat="0" applyFill="0" applyAlignment="0" applyProtection="0"/>
    <xf numFmtId="312" fontId="165" fillId="0" borderId="4919" applyFill="0" applyProtection="0">
      <alignment horizontal="center"/>
    </xf>
    <xf numFmtId="312" fontId="242" fillId="0" borderId="4919">
      <alignment horizontal="center"/>
    </xf>
    <xf numFmtId="312" fontId="210" fillId="0" borderId="4919" applyNumberFormat="0" applyFill="0" applyBorder="0" applyAlignment="0">
      <protection locked="0"/>
    </xf>
    <xf numFmtId="312" fontId="2" fillId="0" borderId="4900" applyNumberFormat="0" applyAlignment="0" applyProtection="0"/>
    <xf numFmtId="312" fontId="214" fillId="0" borderId="4901" applyNumberFormat="0" applyFont="0" applyFill="0" applyAlignment="0" applyProtection="0"/>
    <xf numFmtId="312" fontId="25" fillId="10" borderId="4902" applyNumberFormat="0" applyProtection="0">
      <alignment horizontal="left" vertical="top"/>
    </xf>
    <xf numFmtId="312" fontId="25" fillId="10" borderId="4903" applyNumberFormat="0" applyProtection="0">
      <alignment horizontal="left" vertical="top"/>
    </xf>
    <xf numFmtId="312" fontId="25" fillId="10" borderId="4904" applyNumberFormat="0" applyProtection="0">
      <alignment horizontal="left" vertical="top"/>
    </xf>
    <xf numFmtId="312" fontId="25" fillId="10" borderId="4905" applyNumberFormat="0" applyProtection="0">
      <alignment horizontal="left" vertical="top"/>
    </xf>
    <xf numFmtId="312" fontId="25" fillId="10" borderId="4902" applyNumberFormat="0" applyProtection="0">
      <alignment horizontal="left" vertical="top"/>
    </xf>
    <xf numFmtId="312" fontId="25" fillId="10" borderId="4903" applyNumberFormat="0" applyProtection="0">
      <alignment horizontal="left" vertical="top"/>
    </xf>
    <xf numFmtId="312" fontId="25" fillId="10" borderId="4904" applyNumberFormat="0" applyProtection="0">
      <alignment horizontal="left" vertical="top"/>
    </xf>
    <xf numFmtId="312" fontId="25" fillId="10" borderId="4905" applyNumberFormat="0" applyProtection="0">
      <alignment horizontal="left" vertical="top"/>
    </xf>
    <xf numFmtId="312" fontId="241" fillId="94" borderId="4919" applyBorder="0" applyProtection="0">
      <alignment horizontal="centerContinuous" vertical="center"/>
    </xf>
    <xf numFmtId="246" fontId="296" fillId="0" borderId="4919" applyFill="0" applyProtection="0">
      <alignment horizontal="center"/>
    </xf>
    <xf numFmtId="0" fontId="113" fillId="0" borderId="4907" applyNumberFormat="0" applyFill="0" applyAlignment="0" applyProtection="0"/>
    <xf numFmtId="0" fontId="12" fillId="52" borderId="5448" applyNumberFormat="0" applyProtection="0">
      <alignment horizontal="left" vertical="top" indent="1"/>
    </xf>
    <xf numFmtId="4" fontId="12" fillId="60" borderId="5450" applyFont="0" applyFill="0" applyBorder="0" applyAlignment="0" applyProtection="0"/>
    <xf numFmtId="0" fontId="25" fillId="10" borderId="4916" applyNumberFormat="0" applyProtection="0">
      <alignment horizontal="left" vertical="top"/>
    </xf>
    <xf numFmtId="312" fontId="12" fillId="10" borderId="5446" applyNumberFormat="0" applyFont="0" applyProtection="0"/>
    <xf numFmtId="312" fontId="25" fillId="10" borderId="5485" applyNumberFormat="0" applyProtection="0">
      <alignment horizontal="left" vertical="top"/>
    </xf>
    <xf numFmtId="4" fontId="226" fillId="11" borderId="5448" applyNumberFormat="0" applyProtection="0">
      <alignment vertical="center"/>
    </xf>
    <xf numFmtId="192" fontId="9" fillId="3" borderId="4967">
      <alignment horizontal="right" vertical="center"/>
    </xf>
    <xf numFmtId="246" fontId="250" fillId="0" borderId="5490" applyFill="0" applyProtection="0">
      <alignment horizontal="center"/>
    </xf>
    <xf numFmtId="0" fontId="25" fillId="10" borderId="4915" applyNumberFormat="0" applyProtection="0">
      <alignment horizontal="left" vertical="top"/>
    </xf>
    <xf numFmtId="0" fontId="159" fillId="0" borderId="5446"/>
    <xf numFmtId="246" fontId="250" fillId="0" borderId="4967" applyFill="0" applyProtection="0">
      <alignment horizontal="center"/>
    </xf>
    <xf numFmtId="0" fontId="101" fillId="0" borderId="4967" applyBorder="0"/>
    <xf numFmtId="0" fontId="78" fillId="14" borderId="4957" applyFont="0" applyFill="0" applyBorder="0" applyAlignment="0" applyProtection="0"/>
    <xf numFmtId="264" fontId="12" fillId="14" borderId="4967" applyFont="0" applyFill="0" applyBorder="0" applyAlignment="0" applyProtection="0">
      <alignment horizontal="right"/>
    </xf>
    <xf numFmtId="246" fontId="250" fillId="0" borderId="4919" applyFill="0" applyProtection="0">
      <alignment horizontal="center"/>
    </xf>
    <xf numFmtId="222" fontId="79" fillId="0" borderId="4942" applyBorder="0"/>
    <xf numFmtId="4" fontId="228" fillId="11" borderId="5448" applyNumberFormat="0" applyProtection="0">
      <alignment horizontal="right" vertical="center"/>
    </xf>
    <xf numFmtId="0" fontId="2" fillId="0" borderId="4912" applyNumberFormat="0" applyAlignment="0" applyProtection="0"/>
    <xf numFmtId="264" fontId="12" fillId="14" borderId="5433" applyFont="0" applyFill="0" applyBorder="0" applyAlignment="0" applyProtection="0">
      <alignment horizontal="right"/>
    </xf>
    <xf numFmtId="0" fontId="25" fillId="10" borderId="4915" applyNumberFormat="0" applyProtection="0">
      <alignment horizontal="left" vertical="top"/>
    </xf>
    <xf numFmtId="0" fontId="25" fillId="10" borderId="4917" applyNumberFormat="0" applyProtection="0">
      <alignment horizontal="left" vertical="top"/>
    </xf>
    <xf numFmtId="246" fontId="249" fillId="0" borderId="4967" applyFill="0" applyProtection="0">
      <alignment horizontal="center"/>
    </xf>
    <xf numFmtId="186" fontId="48" fillId="3" borderId="5444">
      <alignment vertical="center"/>
    </xf>
    <xf numFmtId="186" fontId="146" fillId="3" borderId="5493">
      <alignment horizontal="left"/>
    </xf>
    <xf numFmtId="4" fontId="226" fillId="77" borderId="5448" applyNumberFormat="0" applyProtection="0">
      <alignment horizontal="right" vertical="center"/>
    </xf>
    <xf numFmtId="186" fontId="146" fillId="3" borderId="4967" applyBorder="0">
      <alignment horizontal="left" vertical="center"/>
    </xf>
    <xf numFmtId="0" fontId="2" fillId="0" borderId="5080" applyNumberFormat="0" applyAlignment="0" applyProtection="0"/>
    <xf numFmtId="0" fontId="25" fillId="10" borderId="5084" applyNumberFormat="0" applyProtection="0">
      <alignment horizontal="left" vertical="top"/>
    </xf>
    <xf numFmtId="254" fontId="240" fillId="0" borderId="5478" applyBorder="0" applyProtection="0">
      <alignment horizontal="right" vertical="center"/>
    </xf>
    <xf numFmtId="248" fontId="46" fillId="0" borderId="5502"/>
    <xf numFmtId="248" fontId="46" fillId="0" borderId="5885"/>
    <xf numFmtId="0" fontId="12" fillId="0" borderId="5445" applyNumberFormat="0" applyFill="0" applyBorder="0" applyAlignment="0" applyProtection="0"/>
    <xf numFmtId="0" fontId="135" fillId="0" borderId="5446"/>
    <xf numFmtId="4" fontId="223" fillId="52" borderId="5448" applyNumberFormat="0" applyProtection="0">
      <alignment horizontal="left" vertical="center" indent="1"/>
    </xf>
    <xf numFmtId="4" fontId="228" fillId="11" borderId="5448" applyNumberFormat="0" applyProtection="0">
      <alignment vertical="center"/>
    </xf>
    <xf numFmtId="4" fontId="184" fillId="11" borderId="5448" applyNumberFormat="0" applyProtection="0">
      <alignment horizontal="right" vertical="center"/>
    </xf>
    <xf numFmtId="0" fontId="25" fillId="10" borderId="4916" applyNumberFormat="0" applyProtection="0">
      <alignment horizontal="left" vertical="top"/>
    </xf>
    <xf numFmtId="0" fontId="25" fillId="10" borderId="4915" applyNumberFormat="0" applyProtection="0">
      <alignment horizontal="left" vertical="top"/>
    </xf>
    <xf numFmtId="0" fontId="166" fillId="0" borderId="5502">
      <alignment horizontal="center"/>
    </xf>
    <xf numFmtId="248" fontId="46" fillId="0" borderId="4967"/>
    <xf numFmtId="0" fontId="101" fillId="0" borderId="4907" applyBorder="0"/>
    <xf numFmtId="190" fontId="78" fillId="14" borderId="4957" applyFont="0" applyFill="0" applyBorder="0" applyAlignment="0" applyProtection="0"/>
    <xf numFmtId="312" fontId="159" fillId="67" borderId="5446"/>
    <xf numFmtId="0" fontId="25" fillId="10" borderId="4917" applyNumberFormat="0" applyProtection="0">
      <alignment horizontal="left" vertical="top"/>
    </xf>
    <xf numFmtId="0" fontId="159" fillId="67" borderId="5446"/>
    <xf numFmtId="222" fontId="79" fillId="0" borderId="5477" applyBorder="0"/>
    <xf numFmtId="0" fontId="25" fillId="10" borderId="5499" applyNumberFormat="0" applyProtection="0">
      <alignment horizontal="left" vertical="top"/>
    </xf>
    <xf numFmtId="0" fontId="12" fillId="0" borderId="4967" applyNumberFormat="0" applyFill="0" applyBorder="0" applyAlignment="0" applyProtection="0">
      <alignment horizontal="center"/>
    </xf>
    <xf numFmtId="222" fontId="79" fillId="0" borderId="4954" applyBorder="0"/>
    <xf numFmtId="186" fontId="140" fillId="3" borderId="4911">
      <alignment horizontal="center" vertical="center"/>
    </xf>
    <xf numFmtId="248" fontId="46" fillId="0" borderId="5433"/>
    <xf numFmtId="0" fontId="25" fillId="10" borderId="4916" applyNumberFormat="0" applyProtection="0">
      <alignment horizontal="left" vertical="top"/>
    </xf>
    <xf numFmtId="190" fontId="12" fillId="0" borderId="5445" applyNumberFormat="0" applyFill="0" applyBorder="0" applyAlignment="0" applyProtection="0"/>
    <xf numFmtId="188" fontId="25" fillId="0" borderId="5460" applyFont="0" applyFill="0" applyBorder="0" applyAlignment="0" applyProtection="0">
      <alignment horizontal="center"/>
    </xf>
    <xf numFmtId="0" fontId="210" fillId="0" borderId="4955" applyNumberFormat="0" applyFill="0" applyBorder="0" applyAlignment="0">
      <protection locked="0"/>
    </xf>
    <xf numFmtId="246" fontId="250" fillId="0" borderId="4919" applyFill="0" applyProtection="0">
      <alignment horizontal="center"/>
    </xf>
    <xf numFmtId="246" fontId="249" fillId="0" borderId="4919" applyFill="0" applyProtection="0">
      <alignment horizontal="center"/>
    </xf>
    <xf numFmtId="312" fontId="12" fillId="11" borderId="5448" applyNumberFormat="0" applyProtection="0">
      <alignment horizontal="left" vertical="top" indent="1"/>
    </xf>
    <xf numFmtId="0" fontId="241" fillId="94" borderId="4919" applyBorder="0" applyProtection="0">
      <alignment horizontal="centerContinuous" vertical="center"/>
    </xf>
    <xf numFmtId="254" fontId="240" fillId="0" borderId="4919" applyBorder="0" applyProtection="0">
      <alignment horizontal="right" vertical="center"/>
    </xf>
    <xf numFmtId="0" fontId="25" fillId="10" borderId="4917" applyNumberFormat="0" applyProtection="0">
      <alignment horizontal="left" vertical="top"/>
    </xf>
    <xf numFmtId="0" fontId="25" fillId="10" borderId="4916" applyNumberFormat="0" applyProtection="0">
      <alignment horizontal="left" vertical="top"/>
    </xf>
    <xf numFmtId="0" fontId="25" fillId="10" borderId="4915" applyNumberFormat="0" applyProtection="0">
      <alignment horizontal="left" vertical="top"/>
    </xf>
    <xf numFmtId="0" fontId="25" fillId="10" borderId="4914" applyNumberFormat="0" applyProtection="0">
      <alignment horizontal="left" vertical="top"/>
    </xf>
    <xf numFmtId="190" fontId="159" fillId="0" borderId="5446"/>
    <xf numFmtId="246" fontId="249" fillId="0" borderId="5502" applyFill="0" applyProtection="0">
      <alignment horizontal="center"/>
    </xf>
    <xf numFmtId="264" fontId="12" fillId="14" borderId="5502" applyFont="0" applyFill="0" applyBorder="0" applyAlignment="0" applyProtection="0">
      <alignment horizontal="right"/>
    </xf>
    <xf numFmtId="5" fontId="114" fillId="0" borderId="5444" applyAlignment="0" applyProtection="0"/>
    <xf numFmtId="1" fontId="154" fillId="65" borderId="5513" applyNumberFormat="0" applyBorder="0" applyAlignment="0">
      <alignment horizontal="centerContinuous" vertical="center"/>
      <protection locked="0"/>
    </xf>
    <xf numFmtId="186" fontId="146" fillId="3" borderId="5502" applyBorder="0">
      <alignment horizontal="left" vertical="center"/>
    </xf>
    <xf numFmtId="0" fontId="25" fillId="10" borderId="5455" applyNumberFormat="0" applyProtection="0">
      <alignment horizontal="left" vertical="top"/>
    </xf>
    <xf numFmtId="186" fontId="146" fillId="3" borderId="5505">
      <alignment horizontal="left"/>
    </xf>
    <xf numFmtId="0" fontId="214" fillId="0" borderId="5484" applyNumberFormat="0" applyFont="0" applyFill="0" applyAlignment="0" applyProtection="0"/>
    <xf numFmtId="0" fontId="241" fillId="94" borderId="5433" applyBorder="0" applyProtection="0">
      <alignment horizontal="centerContinuous" vertical="center"/>
    </xf>
    <xf numFmtId="0" fontId="75" fillId="0" borderId="5076" applyNumberFormat="0" applyFont="0" applyFill="0" applyAlignment="0" applyProtection="0"/>
    <xf numFmtId="254" fontId="240" fillId="0" borderId="5433" applyBorder="0" applyProtection="0">
      <alignment horizontal="right" vertical="center"/>
    </xf>
    <xf numFmtId="4" fontId="184" fillId="52" borderId="5448" applyNumberFormat="0" applyProtection="0">
      <alignment horizontal="right" vertical="center"/>
    </xf>
    <xf numFmtId="4" fontId="226" fillId="76" borderId="5448" applyNumberFormat="0" applyProtection="0">
      <alignment horizontal="right" vertical="center"/>
    </xf>
    <xf numFmtId="0" fontId="25" fillId="69" borderId="5446">
      <alignment horizontal="left" vertical="center" wrapText="1"/>
    </xf>
    <xf numFmtId="0" fontId="46" fillId="0" borderId="5445" applyNumberFormat="0" applyFill="0" applyBorder="0" applyAlignment="0" applyProtection="0"/>
    <xf numFmtId="169" fontId="234" fillId="3" borderId="5446" applyFont="0" applyProtection="0"/>
    <xf numFmtId="0" fontId="12" fillId="52" borderId="5448" applyNumberFormat="0" applyProtection="0">
      <alignment horizontal="left" vertical="top" indent="1"/>
    </xf>
    <xf numFmtId="4" fontId="226" fillId="10" borderId="5448" applyNumberFormat="0" applyProtection="0">
      <alignment horizontal="right" vertical="center"/>
    </xf>
    <xf numFmtId="0" fontId="25" fillId="10" borderId="4953" applyNumberFormat="0" applyProtection="0">
      <alignment horizontal="left" vertical="top"/>
    </xf>
    <xf numFmtId="0" fontId="214" fillId="0" borderId="4949" applyNumberFormat="0" applyFont="0" applyFill="0" applyAlignment="0" applyProtection="0"/>
    <xf numFmtId="0" fontId="214" fillId="0" borderId="4913" applyNumberFormat="0" applyFont="0" applyFill="0" applyAlignment="0" applyProtection="0"/>
    <xf numFmtId="0" fontId="2" fillId="0" borderId="4912" applyNumberFormat="0" applyAlignment="0" applyProtection="0"/>
    <xf numFmtId="0" fontId="210" fillId="0" borderId="4919" applyNumberFormat="0" applyFill="0" applyBorder="0" applyAlignment="0">
      <protection locked="0"/>
    </xf>
    <xf numFmtId="0" fontId="25" fillId="10" borderId="4914" applyNumberFormat="0" applyProtection="0">
      <alignment horizontal="left" vertical="top"/>
    </xf>
    <xf numFmtId="264" fontId="12" fillId="14" borderId="4919" applyFont="0" applyFill="0" applyBorder="0" applyAlignment="0" applyProtection="0">
      <alignment horizontal="right"/>
    </xf>
    <xf numFmtId="0" fontId="78" fillId="14" borderId="4921" applyFont="0" applyFill="0" applyBorder="0" applyAlignment="0" applyProtection="0"/>
    <xf numFmtId="0" fontId="210" fillId="0" borderId="4907" applyNumberFormat="0" applyFill="0" applyBorder="0" applyAlignment="0">
      <protection locked="0"/>
    </xf>
    <xf numFmtId="0" fontId="75" fillId="0" borderId="4908" applyNumberFormat="0" applyFont="0" applyFill="0" applyAlignment="0" applyProtection="0"/>
    <xf numFmtId="0" fontId="166" fillId="0" borderId="4919">
      <alignment horizontal="center"/>
    </xf>
    <xf numFmtId="0" fontId="165" fillId="0" borderId="4919" applyFill="0" applyProtection="0">
      <alignment horizontal="center"/>
    </xf>
    <xf numFmtId="0" fontId="78" fillId="14" borderId="4909" applyFont="0" applyFill="0" applyBorder="0" applyAlignment="0" applyProtection="0"/>
    <xf numFmtId="186" fontId="146" fillId="3" borderId="4910">
      <alignment horizontal="left"/>
    </xf>
    <xf numFmtId="254" fontId="240" fillId="0" borderId="4907" applyBorder="0" applyProtection="0">
      <alignment horizontal="right" vertical="center"/>
    </xf>
    <xf numFmtId="0" fontId="25" fillId="10" borderId="4929" applyNumberFormat="0" applyProtection="0">
      <alignment horizontal="left" vertical="top"/>
    </xf>
    <xf numFmtId="310" fontId="267" fillId="0" borderId="5461">
      <alignment horizontal="left"/>
    </xf>
    <xf numFmtId="312" fontId="242" fillId="0" borderId="5502">
      <alignment horizontal="center"/>
    </xf>
    <xf numFmtId="186" fontId="140" fillId="3" borderId="4911">
      <alignment horizontal="center" vertical="center"/>
    </xf>
    <xf numFmtId="10" fontId="12" fillId="3" borderId="5458" applyNumberFormat="0" applyFont="0" applyFill="0" applyBorder="0" applyAlignment="0">
      <protection locked="0"/>
    </xf>
    <xf numFmtId="186" fontId="146" fillId="3" borderId="4910">
      <alignment horizontal="left"/>
    </xf>
    <xf numFmtId="186" fontId="146" fillId="3" borderId="4919" applyBorder="0">
      <alignment horizontal="left" vertical="center"/>
    </xf>
    <xf numFmtId="180" fontId="9" fillId="3" borderId="4919">
      <alignment horizontal="right" vertical="center"/>
    </xf>
    <xf numFmtId="192" fontId="9" fillId="3" borderId="4919">
      <alignment horizontal="right" vertical="center"/>
    </xf>
    <xf numFmtId="192" fontId="9" fillId="3" borderId="4967">
      <alignment horizontal="right" vertical="center"/>
    </xf>
    <xf numFmtId="248" fontId="46" fillId="0" borderId="4919"/>
    <xf numFmtId="0" fontId="78" fillId="14" borderId="4909" applyFont="0" applyFill="0" applyBorder="0" applyAlignment="0" applyProtection="0"/>
    <xf numFmtId="0" fontId="12" fillId="0" borderId="4919" applyNumberFormat="0" applyFill="0" applyBorder="0" applyAlignment="0" applyProtection="0">
      <alignment horizontal="center"/>
    </xf>
    <xf numFmtId="0" fontId="75" fillId="0" borderId="4908" applyNumberFormat="0" applyFont="0" applyFill="0" applyAlignment="0" applyProtection="0"/>
    <xf numFmtId="0" fontId="113" fillId="0" borderId="4919" applyNumberFormat="0" applyFill="0" applyAlignment="0" applyProtection="0"/>
    <xf numFmtId="0" fontId="25" fillId="10" borderId="4950" applyNumberFormat="0" applyProtection="0">
      <alignment horizontal="left" vertical="top"/>
    </xf>
    <xf numFmtId="254" fontId="240" fillId="0" borderId="4967" applyBorder="0" applyProtection="0">
      <alignment horizontal="right" vertical="center"/>
    </xf>
    <xf numFmtId="254" fontId="240" fillId="0" borderId="5433" applyBorder="0" applyProtection="0">
      <alignment horizontal="right" vertical="center"/>
    </xf>
    <xf numFmtId="222" fontId="79" fillId="0" borderId="4918" applyBorder="0"/>
    <xf numFmtId="0" fontId="101" fillId="0" borderId="4919" applyBorder="0"/>
    <xf numFmtId="4" fontId="223" fillId="53" borderId="5448" applyNumberFormat="0" applyProtection="0">
      <alignment vertical="center"/>
    </xf>
    <xf numFmtId="4" fontId="226" fillId="79" borderId="5448" applyNumberFormat="0" applyProtection="0">
      <alignment horizontal="right" vertical="center"/>
    </xf>
    <xf numFmtId="4" fontId="227" fillId="52" borderId="5449" applyNumberFormat="0" applyProtection="0">
      <alignment horizontal="left" vertical="center" indent="1"/>
    </xf>
    <xf numFmtId="293" fontId="234" fillId="10" borderId="5446" applyFont="0" applyProtection="0"/>
    <xf numFmtId="222" fontId="79" fillId="0" borderId="5252" applyBorder="0"/>
    <xf numFmtId="0" fontId="105" fillId="0" borderId="5445" applyNumberFormat="0" applyFill="0" applyBorder="0" applyAlignment="0" applyProtection="0"/>
    <xf numFmtId="0" fontId="184" fillId="0" borderId="5447" applyAlignment="0">
      <alignment horizontal="left" wrapText="1"/>
    </xf>
    <xf numFmtId="4" fontId="226" fillId="10" borderId="5448" applyNumberFormat="0" applyProtection="0">
      <alignment horizontal="right" vertical="center"/>
    </xf>
    <xf numFmtId="0" fontId="12" fillId="84" borderId="5448" applyNumberFormat="0" applyProtection="0">
      <alignment horizontal="left" vertical="top" indent="1"/>
    </xf>
    <xf numFmtId="0" fontId="25" fillId="10" borderId="4926" applyNumberFormat="0" applyProtection="0">
      <alignment horizontal="left" vertical="top"/>
    </xf>
    <xf numFmtId="0" fontId="25" fillId="10" borderId="4927" applyNumberFormat="0" applyProtection="0">
      <alignment horizontal="left" vertical="top"/>
    </xf>
    <xf numFmtId="0" fontId="25" fillId="10" borderId="4928" applyNumberFormat="0" applyProtection="0">
      <alignment horizontal="left" vertical="top"/>
    </xf>
    <xf numFmtId="0" fontId="25" fillId="10" borderId="4929" applyNumberFormat="0" applyProtection="0">
      <alignment horizontal="left" vertical="top"/>
    </xf>
    <xf numFmtId="222" fontId="79" fillId="0" borderId="5252" applyBorder="0"/>
    <xf numFmtId="246" fontId="249" fillId="0" borderId="5433" applyFill="0" applyProtection="0">
      <alignment horizontal="center"/>
    </xf>
    <xf numFmtId="0" fontId="214" fillId="0" borderId="5508" applyNumberFormat="0" applyFont="0" applyFill="0" applyAlignment="0" applyProtection="0"/>
    <xf numFmtId="0" fontId="12" fillId="0" borderId="5445" applyNumberFormat="0" applyFill="0" applyBorder="0" applyAlignment="0" applyProtection="0"/>
    <xf numFmtId="0" fontId="25" fillId="10" borderId="5452" applyNumberFormat="0" applyProtection="0">
      <alignment horizontal="left" vertical="top"/>
    </xf>
    <xf numFmtId="180" fontId="9" fillId="3" borderId="5502">
      <alignment horizontal="right" vertical="center"/>
    </xf>
    <xf numFmtId="0" fontId="105" fillId="0" borderId="5445" applyNumberFormat="0" applyFill="0" applyBorder="0" applyAlignment="0" applyProtection="0"/>
    <xf numFmtId="190" fontId="12" fillId="0" borderId="5445" applyNumberFormat="0" applyFill="0" applyBorder="0" applyAlignment="0" applyProtection="0"/>
    <xf numFmtId="248" fontId="46" fillId="0" borderId="5502"/>
    <xf numFmtId="0" fontId="2" fillId="0" borderId="5483" applyNumberFormat="0" applyAlignment="0" applyProtection="0"/>
    <xf numFmtId="190" fontId="12" fillId="0" borderId="4967" applyNumberFormat="0" applyFill="0" applyBorder="0" applyAlignment="0" applyProtection="0">
      <alignment horizontal="center"/>
    </xf>
    <xf numFmtId="0" fontId="165" fillId="0" borderId="4943" applyFill="0" applyProtection="0">
      <alignment horizontal="center"/>
    </xf>
    <xf numFmtId="190" fontId="214" fillId="0" borderId="4949" applyNumberFormat="0" applyFont="0" applyFill="0" applyAlignment="0" applyProtection="0"/>
    <xf numFmtId="264" fontId="12" fillId="14" borderId="5502" applyFont="0" applyFill="0" applyBorder="0" applyAlignment="0" applyProtection="0">
      <alignment horizontal="right"/>
    </xf>
    <xf numFmtId="312" fontId="242" fillId="0" borderId="4967">
      <alignment horizontal="center"/>
    </xf>
    <xf numFmtId="4" fontId="226" fillId="82" borderId="5448" applyNumberFormat="0" applyProtection="0">
      <alignment horizontal="right" vertical="center"/>
    </xf>
    <xf numFmtId="190" fontId="165" fillId="0" borderId="4967" applyFill="0" applyProtection="0">
      <alignment horizontal="center"/>
    </xf>
    <xf numFmtId="0" fontId="78" fillId="14" borderId="5435" applyFont="0" applyFill="0" applyBorder="0" applyAlignment="0" applyProtection="0"/>
    <xf numFmtId="246" fontId="250" fillId="0" borderId="5502" applyFill="0" applyProtection="0">
      <alignment horizontal="center"/>
    </xf>
    <xf numFmtId="0" fontId="25" fillId="10" borderId="4915" applyNumberFormat="0" applyProtection="0">
      <alignment horizontal="left" vertical="top"/>
    </xf>
    <xf numFmtId="0" fontId="25" fillId="10" borderId="4938" applyNumberFormat="0" applyProtection="0">
      <alignment horizontal="left" vertical="top"/>
    </xf>
    <xf numFmtId="264" fontId="12" fillId="14" borderId="4943" applyFont="0" applyFill="0" applyBorder="0" applyAlignment="0" applyProtection="0">
      <alignment horizontal="right"/>
    </xf>
    <xf numFmtId="246" fontId="250" fillId="0" borderId="4943" applyFill="0" applyProtection="0">
      <alignment horizontal="center"/>
    </xf>
    <xf numFmtId="180" fontId="9" fillId="3" borderId="4967">
      <alignment horizontal="right" vertical="center"/>
    </xf>
    <xf numFmtId="0" fontId="214" fillId="0" borderId="4913" applyNumberFormat="0" applyFont="0" applyFill="0" applyAlignment="0" applyProtection="0"/>
    <xf numFmtId="192" fontId="9" fillId="3" borderId="5433">
      <alignment horizontal="right" vertical="center"/>
    </xf>
    <xf numFmtId="312" fontId="135" fillId="0" borderId="5446"/>
    <xf numFmtId="246" fontId="249" fillId="0" borderId="4919" applyFill="0" applyProtection="0">
      <alignment horizontal="center"/>
    </xf>
    <xf numFmtId="0" fontId="241" fillId="94" borderId="5478" applyBorder="0" applyProtection="0">
      <alignment horizontal="centerContinuous" vertical="center"/>
    </xf>
    <xf numFmtId="0" fontId="25" fillId="10" borderId="5441" applyNumberFormat="0" applyProtection="0">
      <alignment horizontal="left" vertical="top"/>
    </xf>
    <xf numFmtId="10" fontId="12" fillId="3" borderId="5458" applyNumberFormat="0" applyFont="0" applyFill="0" applyBorder="0" applyAlignment="0">
      <protection locked="0"/>
    </xf>
    <xf numFmtId="246" fontId="249" fillId="0" borderId="5433" applyFill="0" applyProtection="0">
      <alignment horizontal="center"/>
    </xf>
    <xf numFmtId="254" fontId="240" fillId="0" borderId="5466" applyBorder="0" applyProtection="0">
      <alignment horizontal="right" vertical="center"/>
    </xf>
    <xf numFmtId="246" fontId="250" fillId="0" borderId="4907" applyFill="0" applyProtection="0">
      <alignment horizontal="center"/>
    </xf>
    <xf numFmtId="246" fontId="249" fillId="0" borderId="4907" applyFill="0" applyProtection="0">
      <alignment horizontal="center"/>
    </xf>
    <xf numFmtId="0" fontId="241" fillId="94" borderId="4907" applyBorder="0" applyProtection="0">
      <alignment horizontal="centerContinuous" vertical="center"/>
    </xf>
    <xf numFmtId="254" fontId="240" fillId="0" borderId="4907" applyBorder="0" applyProtection="0">
      <alignment horizontal="right" vertical="center"/>
    </xf>
    <xf numFmtId="0" fontId="210" fillId="0" borderId="4907" applyNumberFormat="0" applyFill="0" applyBorder="0" applyAlignment="0">
      <protection locked="0"/>
    </xf>
    <xf numFmtId="0" fontId="2" fillId="0" borderId="4960" applyNumberFormat="0" applyAlignment="0" applyProtection="0"/>
    <xf numFmtId="264" fontId="12" fillId="14" borderId="4907" applyFont="0" applyFill="0" applyBorder="0" applyAlignment="0" applyProtection="0">
      <alignment horizontal="right"/>
    </xf>
    <xf numFmtId="0" fontId="166" fillId="0" borderId="4907">
      <alignment horizontal="center"/>
    </xf>
    <xf numFmtId="0" fontId="165" fillId="0" borderId="4907" applyFill="0" applyProtection="0">
      <alignment horizontal="center"/>
    </xf>
    <xf numFmtId="186" fontId="146" fillId="3" borderId="4907" applyBorder="0">
      <alignment horizontal="left" vertical="center"/>
    </xf>
    <xf numFmtId="180" fontId="9" fillId="3" borderId="4907">
      <alignment horizontal="right" vertical="center"/>
    </xf>
    <xf numFmtId="192" fontId="9" fillId="3" borderId="4907">
      <alignment horizontal="right" vertical="center"/>
    </xf>
    <xf numFmtId="248" fontId="46" fillId="0" borderId="4907"/>
    <xf numFmtId="0" fontId="12" fillId="0" borderId="4907" applyNumberFormat="0" applyFill="0" applyBorder="0" applyAlignment="0" applyProtection="0">
      <alignment horizontal="center"/>
    </xf>
    <xf numFmtId="0" fontId="113" fillId="0" borderId="4907" applyNumberFormat="0" applyFill="0" applyAlignment="0" applyProtection="0"/>
    <xf numFmtId="222" fontId="79" fillId="0" borderId="4906" applyBorder="0"/>
    <xf numFmtId="0" fontId="101" fillId="0" borderId="4907" applyBorder="0"/>
    <xf numFmtId="0" fontId="25" fillId="10" borderId="5085" applyNumberFormat="0" applyProtection="0">
      <alignment horizontal="left" vertical="top"/>
    </xf>
    <xf numFmtId="0" fontId="78" fillId="14" borderId="5468" applyFont="0" applyFill="0" applyBorder="0" applyAlignment="0" applyProtection="0"/>
    <xf numFmtId="264" fontId="12" fillId="14" borderId="4955" applyFont="0" applyFill="0" applyBorder="0" applyAlignment="0" applyProtection="0">
      <alignment horizontal="right"/>
    </xf>
    <xf numFmtId="186" fontId="48" fillId="3" borderId="5444">
      <alignment vertical="center"/>
    </xf>
    <xf numFmtId="246" fontId="250" fillId="0" borderId="4907" applyFill="0" applyProtection="0">
      <alignment horizontal="center"/>
    </xf>
    <xf numFmtId="246" fontId="249" fillId="0" borderId="4907" applyFill="0" applyProtection="0">
      <alignment horizontal="center"/>
    </xf>
    <xf numFmtId="312" fontId="136" fillId="14" borderId="5448" applyNumberFormat="0" applyProtection="0">
      <alignment horizontal="left" vertical="top" indent="1"/>
    </xf>
    <xf numFmtId="0" fontId="241" fillId="94" borderId="4907" applyBorder="0" applyProtection="0">
      <alignment horizontal="centerContinuous" vertical="center"/>
    </xf>
    <xf numFmtId="254" fontId="240" fillId="0" borderId="4907" applyBorder="0" applyProtection="0">
      <alignment horizontal="right" vertical="center"/>
    </xf>
    <xf numFmtId="192" fontId="9" fillId="3" borderId="5502">
      <alignment horizontal="right" vertical="center"/>
    </xf>
    <xf numFmtId="190" fontId="46" fillId="0" borderId="5445" applyNumberFormat="0" applyFill="0" applyBorder="0" applyAlignment="0" applyProtection="0"/>
    <xf numFmtId="246" fontId="250" fillId="0" borderId="5502" applyFill="0" applyProtection="0">
      <alignment horizontal="center"/>
    </xf>
    <xf numFmtId="0" fontId="210" fillId="0" borderId="5502" applyNumberFormat="0" applyFill="0" applyBorder="0" applyAlignment="0">
      <protection locked="0"/>
    </xf>
    <xf numFmtId="192" fontId="9" fillId="3" borderId="5502">
      <alignment horizontal="right" vertical="center"/>
    </xf>
    <xf numFmtId="0" fontId="46" fillId="0" borderId="5445" applyNumberFormat="0" applyFill="0" applyBorder="0" applyAlignment="0" applyProtection="0"/>
    <xf numFmtId="293" fontId="234" fillId="10" borderId="5446" applyFont="0" applyProtection="0"/>
    <xf numFmtId="246" fontId="249" fillId="0" borderId="5502" applyFill="0" applyProtection="0">
      <alignment horizontal="center"/>
    </xf>
    <xf numFmtId="0" fontId="25" fillId="10" borderId="5511" applyNumberFormat="0" applyProtection="0">
      <alignment horizontal="left" vertical="top"/>
    </xf>
    <xf numFmtId="186" fontId="140" fillId="3" borderId="5482">
      <alignment horizontal="center" vertical="center"/>
    </xf>
    <xf numFmtId="0" fontId="286" fillId="54" borderId="5463" applyNumberFormat="0" applyAlignment="0" applyProtection="0"/>
    <xf numFmtId="248" fontId="46" fillId="0" borderId="5433"/>
    <xf numFmtId="222" fontId="79" fillId="0" borderId="5252" applyBorder="0"/>
    <xf numFmtId="0" fontId="75" fillId="0" borderId="5491" applyNumberFormat="0" applyFont="0" applyFill="0" applyAlignment="0" applyProtection="0"/>
    <xf numFmtId="0" fontId="166" fillId="0" borderId="5478">
      <alignment horizontal="center"/>
    </xf>
    <xf numFmtId="0" fontId="12" fillId="11" borderId="5448" applyNumberFormat="0" applyProtection="0">
      <alignment horizontal="left" vertical="center" indent="1"/>
    </xf>
    <xf numFmtId="4" fontId="226" fillId="79" borderId="5448" applyNumberFormat="0" applyProtection="0">
      <alignment horizontal="right" vertical="center"/>
    </xf>
    <xf numFmtId="188" fontId="25" fillId="0" borderId="5460" applyFont="0" applyFill="0" applyBorder="0" applyAlignment="0" applyProtection="0">
      <alignment horizontal="center"/>
    </xf>
    <xf numFmtId="188" fontId="25" fillId="0" borderId="5460" applyFont="0" applyFill="0" applyBorder="0" applyAlignment="0" applyProtection="0">
      <alignment horizontal="center"/>
    </xf>
    <xf numFmtId="2" fontId="12" fillId="14" borderId="5459" applyFill="0" applyBorder="0" applyProtection="0">
      <alignment horizontal="center"/>
    </xf>
    <xf numFmtId="0" fontId="12" fillId="0" borderId="5445" applyNumberFormat="0" applyFill="0" applyBorder="0" applyAlignment="0" applyProtection="0"/>
    <xf numFmtId="0" fontId="136" fillId="84" borderId="5448" applyNumberFormat="0" applyProtection="0">
      <alignment horizontal="left" vertical="top" indent="1"/>
    </xf>
    <xf numFmtId="4" fontId="226" fillId="71" borderId="5448" applyNumberFormat="0" applyProtection="0">
      <alignment horizontal="right" vertical="center"/>
    </xf>
    <xf numFmtId="4" fontId="224" fillId="53" borderId="5448" applyNumberFormat="0" applyProtection="0">
      <alignment vertical="center"/>
    </xf>
    <xf numFmtId="0" fontId="210" fillId="0" borderId="4907" applyNumberFormat="0" applyFill="0" applyBorder="0" applyAlignment="0">
      <protection locked="0"/>
    </xf>
    <xf numFmtId="264" fontId="12" fillId="14" borderId="4907" applyFont="0" applyFill="0" applyBorder="0" applyAlignment="0" applyProtection="0">
      <alignment horizontal="right"/>
    </xf>
    <xf numFmtId="312" fontId="159" fillId="0" borderId="5446"/>
    <xf numFmtId="0" fontId="166" fillId="0" borderId="4907">
      <alignment horizontal="center"/>
    </xf>
    <xf numFmtId="0" fontId="165" fillId="0" borderId="4907" applyFill="0" applyProtection="0">
      <alignment horizontal="center"/>
    </xf>
    <xf numFmtId="0" fontId="25" fillId="10" borderId="4917" applyNumberFormat="0" applyProtection="0">
      <alignment horizontal="left" vertical="top"/>
    </xf>
    <xf numFmtId="0" fontId="78" fillId="14" borderId="4909" applyFont="0" applyFill="0" applyBorder="0" applyAlignment="0" applyProtection="0"/>
    <xf numFmtId="264" fontId="12" fillId="14" borderId="4907" applyFont="0" applyFill="0" applyBorder="0" applyAlignment="0" applyProtection="0">
      <alignment horizontal="right"/>
    </xf>
    <xf numFmtId="222" fontId="79" fillId="0" borderId="4918" applyBorder="0"/>
    <xf numFmtId="246" fontId="249" fillId="0" borderId="5490" applyFill="0" applyProtection="0">
      <alignment horizontal="center"/>
    </xf>
    <xf numFmtId="186" fontId="146" fillId="3" borderId="4907" applyBorder="0">
      <alignment horizontal="left" vertical="center"/>
    </xf>
    <xf numFmtId="180" fontId="9" fillId="3" borderId="4907">
      <alignment horizontal="right" vertical="center"/>
    </xf>
    <xf numFmtId="192" fontId="9" fillId="3" borderId="4907">
      <alignment horizontal="right" vertical="center"/>
    </xf>
    <xf numFmtId="312" fontId="25" fillId="10" borderId="5485" applyNumberFormat="0" applyProtection="0">
      <alignment horizontal="left" vertical="top"/>
    </xf>
    <xf numFmtId="0" fontId="12" fillId="0" borderId="4907" applyNumberFormat="0" applyFill="0" applyBorder="0" applyAlignment="0" applyProtection="0">
      <alignment horizontal="center"/>
    </xf>
    <xf numFmtId="0" fontId="113" fillId="0" borderId="4907" applyNumberFormat="0" applyFill="0" applyAlignment="0" applyProtection="0"/>
    <xf numFmtId="0" fontId="2" fillId="0" borderId="4948" applyNumberFormat="0" applyAlignment="0" applyProtection="0"/>
    <xf numFmtId="0" fontId="25" fillId="10" borderId="4952" applyNumberFormat="0" applyProtection="0">
      <alignment horizontal="left" vertical="top"/>
    </xf>
    <xf numFmtId="222" fontId="79" fillId="0" borderId="4906" applyBorder="0"/>
    <xf numFmtId="0" fontId="101" fillId="0" borderId="4907" applyBorder="0"/>
    <xf numFmtId="248" fontId="46" fillId="0" borderId="4907"/>
    <xf numFmtId="264" fontId="12" fillId="14" borderId="5502" applyFont="0" applyFill="0" applyBorder="0" applyAlignment="0" applyProtection="0">
      <alignment horizontal="right"/>
    </xf>
    <xf numFmtId="246" fontId="250" fillId="0" borderId="4907" applyFill="0" applyProtection="0">
      <alignment horizontal="center"/>
    </xf>
    <xf numFmtId="246" fontId="249" fillId="0" borderId="4907" applyFill="0" applyProtection="0">
      <alignment horizontal="center"/>
    </xf>
    <xf numFmtId="0" fontId="241" fillId="94" borderId="4907" applyBorder="0" applyProtection="0">
      <alignment horizontal="centerContinuous" vertical="center"/>
    </xf>
    <xf numFmtId="254" fontId="240" fillId="0" borderId="4907" applyBorder="0" applyProtection="0">
      <alignment horizontal="right" vertical="center"/>
    </xf>
    <xf numFmtId="0" fontId="210" fillId="0" borderId="4907" applyNumberFormat="0" applyFill="0" applyBorder="0" applyAlignment="0">
      <protection locked="0"/>
    </xf>
    <xf numFmtId="246" fontId="249" fillId="0" borderId="5502" applyFill="0" applyProtection="0">
      <alignment horizontal="center"/>
    </xf>
    <xf numFmtId="264" fontId="12" fillId="14" borderId="4907" applyFont="0" applyFill="0" applyBorder="0" applyAlignment="0" applyProtection="0">
      <alignment horizontal="right"/>
    </xf>
    <xf numFmtId="0" fontId="166" fillId="0" borderId="4907">
      <alignment horizontal="center"/>
    </xf>
    <xf numFmtId="0" fontId="165" fillId="0" borderId="4907" applyFill="0" applyProtection="0">
      <alignment horizontal="center"/>
    </xf>
    <xf numFmtId="186" fontId="146" fillId="3" borderId="4907" applyBorder="0">
      <alignment horizontal="left" vertical="center"/>
    </xf>
    <xf numFmtId="180" fontId="9" fillId="3" borderId="4907">
      <alignment horizontal="right" vertical="center"/>
    </xf>
    <xf numFmtId="192" fontId="9" fillId="3" borderId="4907">
      <alignment horizontal="right" vertical="center"/>
    </xf>
    <xf numFmtId="248" fontId="46" fillId="0" borderId="4907"/>
    <xf numFmtId="0" fontId="12" fillId="0" borderId="4907" applyNumberFormat="0" applyFill="0" applyBorder="0" applyAlignment="0" applyProtection="0">
      <alignment horizontal="center"/>
    </xf>
    <xf numFmtId="0" fontId="113" fillId="0" borderId="4907" applyNumberFormat="0" applyFill="0" applyAlignment="0" applyProtection="0"/>
    <xf numFmtId="222" fontId="79" fillId="0" borderId="4906" applyBorder="0"/>
    <xf numFmtId="0" fontId="101" fillId="0" borderId="4907" applyBorder="0"/>
    <xf numFmtId="246" fontId="296" fillId="0" borderId="4967" applyFill="0" applyProtection="0">
      <alignment horizontal="center"/>
    </xf>
    <xf numFmtId="222" fontId="79" fillId="0" borderId="5252" applyBorder="0"/>
    <xf numFmtId="246" fontId="250" fillId="0" borderId="5502" applyFill="0" applyProtection="0">
      <alignment horizontal="center"/>
    </xf>
    <xf numFmtId="246" fontId="249" fillId="0" borderId="5433" applyFill="0" applyProtection="0">
      <alignment horizontal="center"/>
    </xf>
    <xf numFmtId="10" fontId="12" fillId="3" borderId="5458" applyNumberFormat="0" applyFont="0" applyFill="0" applyBorder="0" applyAlignment="0">
      <protection locked="0"/>
    </xf>
    <xf numFmtId="0" fontId="25" fillId="10" borderId="5456" applyNumberFormat="0" applyProtection="0">
      <alignment horizontal="left" vertical="top"/>
    </xf>
    <xf numFmtId="0" fontId="25" fillId="10" borderId="5446" applyNumberFormat="0" applyProtection="0">
      <alignment horizontal="center" vertical="top"/>
    </xf>
    <xf numFmtId="0" fontId="136" fillId="14" borderId="5448" applyNumberFormat="0" applyProtection="0">
      <alignment horizontal="left" vertical="top" indent="1"/>
    </xf>
    <xf numFmtId="312" fontId="214" fillId="0" borderId="5484" applyNumberFormat="0" applyFont="0" applyFill="0" applyAlignment="0" applyProtection="0"/>
    <xf numFmtId="312" fontId="101" fillId="0" borderId="4967" applyBorder="0"/>
    <xf numFmtId="312" fontId="113" fillId="0" borderId="4967" applyNumberFormat="0" applyFill="0" applyAlignment="0" applyProtection="0"/>
    <xf numFmtId="312" fontId="75" fillId="0" borderId="4944" applyNumberFormat="0" applyFont="0" applyFill="0" applyAlignment="0" applyProtection="0"/>
    <xf numFmtId="312" fontId="12" fillId="0" borderId="4967" applyNumberFormat="0" applyFill="0" applyBorder="0" applyAlignment="0" applyProtection="0">
      <alignment horizontal="center"/>
    </xf>
    <xf numFmtId="246" fontId="250" fillId="0" borderId="5433" applyFill="0" applyProtection="0">
      <alignment horizontal="center"/>
    </xf>
    <xf numFmtId="312" fontId="165" fillId="0" borderId="4967" applyFill="0" applyProtection="0">
      <alignment horizontal="center"/>
    </xf>
    <xf numFmtId="312" fontId="242" fillId="0" borderId="4967">
      <alignment horizontal="center"/>
    </xf>
    <xf numFmtId="312" fontId="210" fillId="0" borderId="4967" applyNumberFormat="0" applyFill="0" applyBorder="0" applyAlignment="0">
      <protection locked="0"/>
    </xf>
    <xf numFmtId="312" fontId="2" fillId="0" borderId="4948" applyNumberFormat="0" applyAlignment="0" applyProtection="0"/>
    <xf numFmtId="312" fontId="214" fillId="0" borderId="4949" applyNumberFormat="0" applyFont="0" applyFill="0" applyAlignment="0" applyProtection="0"/>
    <xf numFmtId="312" fontId="25" fillId="10" borderId="4950" applyNumberFormat="0" applyProtection="0">
      <alignment horizontal="left" vertical="top"/>
    </xf>
    <xf numFmtId="312" fontId="25" fillId="10" borderId="4951" applyNumberFormat="0" applyProtection="0">
      <alignment horizontal="left" vertical="top"/>
    </xf>
    <xf numFmtId="312" fontId="25" fillId="10" borderId="4952" applyNumberFormat="0" applyProtection="0">
      <alignment horizontal="left" vertical="top"/>
    </xf>
    <xf numFmtId="312" fontId="25" fillId="10" borderId="4953" applyNumberFormat="0" applyProtection="0">
      <alignment horizontal="left" vertical="top"/>
    </xf>
    <xf numFmtId="312" fontId="25" fillId="10" borderId="4950" applyNumberFormat="0" applyProtection="0">
      <alignment horizontal="left" vertical="top"/>
    </xf>
    <xf numFmtId="312" fontId="25" fillId="10" borderId="4951" applyNumberFormat="0" applyProtection="0">
      <alignment horizontal="left" vertical="top"/>
    </xf>
    <xf numFmtId="312" fontId="25" fillId="10" borderId="4952" applyNumberFormat="0" applyProtection="0">
      <alignment horizontal="left" vertical="top"/>
    </xf>
    <xf numFmtId="312" fontId="25" fillId="10" borderId="4953" applyNumberFormat="0" applyProtection="0">
      <alignment horizontal="left" vertical="top"/>
    </xf>
    <xf numFmtId="312" fontId="241" fillId="94" borderId="4967" applyBorder="0" applyProtection="0">
      <alignment horizontal="centerContinuous" vertical="center"/>
    </xf>
    <xf numFmtId="246" fontId="296" fillId="0" borderId="4967" applyFill="0" applyProtection="0">
      <alignment horizontal="center"/>
    </xf>
    <xf numFmtId="222" fontId="79" fillId="0" borderId="5252" applyBorder="0"/>
    <xf numFmtId="10" fontId="12" fillId="3" borderId="5458" applyNumberFormat="0" applyFont="0" applyFill="0" applyBorder="0" applyAlignment="0">
      <protection locked="0"/>
    </xf>
    <xf numFmtId="0" fontId="12" fillId="10" borderId="5446" applyNumberFormat="0" applyFont="0" applyProtection="0"/>
    <xf numFmtId="4" fontId="230" fillId="11" borderId="5448" applyNumberFormat="0" applyProtection="0">
      <alignment horizontal="right" vertical="center"/>
    </xf>
    <xf numFmtId="4" fontId="227" fillId="52" borderId="5449" applyNumberFormat="0" applyProtection="0">
      <alignment horizontal="left" vertical="center" indent="1"/>
    </xf>
    <xf numFmtId="190" fontId="136" fillId="14" borderId="5448" applyNumberFormat="0" applyProtection="0">
      <alignment horizontal="left" vertical="top" indent="1"/>
    </xf>
    <xf numFmtId="0" fontId="2" fillId="0" borderId="5471" applyNumberFormat="0" applyAlignment="0" applyProtection="0"/>
    <xf numFmtId="307" fontId="268" fillId="0" borderId="5461">
      <alignment horizontal="right" wrapText="1"/>
    </xf>
    <xf numFmtId="246" fontId="250" fillId="0" borderId="5433" applyFill="0" applyProtection="0">
      <alignment horizontal="center"/>
    </xf>
    <xf numFmtId="0" fontId="12" fillId="0" borderId="5433" applyNumberFormat="0" applyFill="0" applyBorder="0" applyAlignment="0" applyProtection="0">
      <alignment horizontal="center"/>
    </xf>
    <xf numFmtId="222" fontId="79" fillId="0" borderId="5252" applyBorder="0"/>
    <xf numFmtId="180" fontId="9" fillId="3" borderId="5502">
      <alignment horizontal="right" vertical="center"/>
    </xf>
    <xf numFmtId="180" fontId="9" fillId="3" borderId="5433">
      <alignment horizontal="right" vertical="center"/>
    </xf>
    <xf numFmtId="0" fontId="135" fillId="0" borderId="5446"/>
    <xf numFmtId="190" fontId="12" fillId="11" borderId="5448" applyNumberFormat="0" applyProtection="0">
      <alignment horizontal="left" vertical="center" indent="1"/>
    </xf>
    <xf numFmtId="190" fontId="25" fillId="69" borderId="5446">
      <alignment horizontal="left" vertical="center" wrapText="1"/>
    </xf>
    <xf numFmtId="192" fontId="9" fillId="3" borderId="5502">
      <alignment horizontal="right" vertical="center"/>
    </xf>
    <xf numFmtId="222" fontId="79" fillId="0" borderId="5501" applyBorder="0"/>
    <xf numFmtId="10" fontId="12" fillId="3" borderId="5458" applyNumberFormat="0" applyFont="0" applyFill="0" applyBorder="0" applyAlignment="0">
      <protection locked="0"/>
    </xf>
    <xf numFmtId="186" fontId="146" fillId="3" borderId="5502" applyBorder="0">
      <alignment horizontal="left" vertical="center"/>
    </xf>
    <xf numFmtId="246" fontId="249" fillId="0" borderId="5478" applyFill="0" applyProtection="0">
      <alignment horizontal="center"/>
    </xf>
    <xf numFmtId="0" fontId="12" fillId="0" borderId="5502" applyNumberFormat="0" applyFill="0" applyBorder="0" applyAlignment="0" applyProtection="0">
      <alignment horizontal="center"/>
    </xf>
    <xf numFmtId="222" fontId="79" fillId="0" borderId="5501" applyBorder="0"/>
    <xf numFmtId="293" fontId="234" fillId="3" borderId="5446" applyFont="0" applyProtection="0"/>
    <xf numFmtId="10" fontId="12" fillId="3" borderId="5458" applyNumberFormat="0" applyFont="0" applyFill="0" applyBorder="0" applyAlignment="0">
      <protection locked="0"/>
    </xf>
    <xf numFmtId="0" fontId="166" fillId="0" borderId="5433">
      <alignment horizontal="center"/>
    </xf>
    <xf numFmtId="180" fontId="9" fillId="3" borderId="5478">
      <alignment horizontal="right" vertical="center"/>
    </xf>
    <xf numFmtId="0" fontId="101" fillId="0" borderId="5502" applyBorder="0"/>
    <xf numFmtId="0" fontId="25" fillId="10" borderId="5451" applyNumberFormat="0" applyProtection="0">
      <alignment horizontal="left"/>
    </xf>
    <xf numFmtId="0" fontId="136" fillId="84" borderId="5448" applyNumberFormat="0" applyProtection="0">
      <alignment horizontal="left" vertical="top" indent="1"/>
    </xf>
    <xf numFmtId="293" fontId="234" fillId="10" borderId="5446" applyFont="0" applyProtection="0"/>
    <xf numFmtId="2" fontId="12" fillId="60" borderId="5450" applyFont="0" applyFill="0" applyBorder="0" applyAlignment="0" applyProtection="0"/>
    <xf numFmtId="0" fontId="78" fillId="14" borderId="5492" applyFont="0" applyFill="0" applyBorder="0" applyAlignment="0" applyProtection="0"/>
    <xf numFmtId="169" fontId="234" fillId="3" borderId="5446" applyFont="0" applyProtection="0"/>
    <xf numFmtId="0" fontId="25" fillId="10" borderId="5446" applyNumberFormat="0" applyProtection="0">
      <alignment horizontal="center" vertical="top"/>
    </xf>
    <xf numFmtId="0" fontId="25" fillId="10" borderId="5082" applyNumberFormat="0" applyProtection="0">
      <alignment horizontal="left" vertical="top"/>
    </xf>
    <xf numFmtId="254" fontId="240" fillId="0" borderId="5502" applyBorder="0" applyProtection="0">
      <alignment horizontal="right" vertical="center"/>
    </xf>
    <xf numFmtId="3" fontId="12" fillId="60" borderId="5450" applyFont="0" applyFill="0" applyBorder="0" applyAlignment="0" applyProtection="0"/>
    <xf numFmtId="186" fontId="140" fillId="3" borderId="5079">
      <alignment horizontal="center" vertical="center"/>
    </xf>
    <xf numFmtId="0" fontId="210" fillId="0" borderId="5502" applyNumberFormat="0" applyFill="0" applyBorder="0" applyAlignment="0">
      <protection locked="0"/>
    </xf>
    <xf numFmtId="192" fontId="9" fillId="3" borderId="5433">
      <alignment horizontal="right" vertical="center"/>
    </xf>
    <xf numFmtId="190" fontId="241" fillId="94" borderId="5502" applyBorder="0" applyProtection="0">
      <alignment horizontal="centerContinuous" vertical="center"/>
    </xf>
    <xf numFmtId="0" fontId="165" fillId="0" borderId="5502" applyFill="0" applyProtection="0">
      <alignment horizontal="center"/>
    </xf>
    <xf numFmtId="0" fontId="12" fillId="0" borderId="5445" applyNumberFormat="0" applyFill="0" applyBorder="0" applyAlignment="0" applyProtection="0"/>
    <xf numFmtId="246" fontId="250" fillId="0" borderId="5433" applyFill="0" applyProtection="0">
      <alignment horizontal="center"/>
    </xf>
    <xf numFmtId="264" fontId="12" fillId="14" borderId="5478" applyFont="0" applyFill="0" applyBorder="0" applyAlignment="0" applyProtection="0">
      <alignment horizontal="right"/>
    </xf>
    <xf numFmtId="0" fontId="25" fillId="10" borderId="5082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101" fillId="0" borderId="5433" applyBorder="0"/>
    <xf numFmtId="0" fontId="113" fillId="0" borderId="5478" applyNumberFormat="0" applyFill="0" applyAlignment="0" applyProtection="0"/>
    <xf numFmtId="248" fontId="46" fillId="0" borderId="5478"/>
    <xf numFmtId="190" fontId="12" fillId="84" borderId="5448" applyNumberFormat="0" applyProtection="0">
      <alignment horizontal="left" vertical="top" indent="1"/>
    </xf>
    <xf numFmtId="0" fontId="12" fillId="10" borderId="5446" applyNumberFormat="0" applyFont="0" applyProtection="0"/>
    <xf numFmtId="246" fontId="250" fillId="0" borderId="4967" applyFill="0" applyProtection="0">
      <alignment horizontal="center"/>
    </xf>
    <xf numFmtId="246" fontId="249" fillId="0" borderId="4967" applyFill="0" applyProtection="0">
      <alignment horizontal="center"/>
    </xf>
    <xf numFmtId="0" fontId="241" fillId="94" borderId="4967" applyBorder="0" applyProtection="0">
      <alignment horizontal="centerContinuous" vertical="center"/>
    </xf>
    <xf numFmtId="254" fontId="240" fillId="0" borderId="4967" applyBorder="0" applyProtection="0">
      <alignment horizontal="right" vertical="center"/>
    </xf>
    <xf numFmtId="182" fontId="145" fillId="3" borderId="5444">
      <alignment horizontal="right" vertical="center"/>
    </xf>
    <xf numFmtId="4" fontId="226" fillId="76" borderId="5448" applyNumberFormat="0" applyProtection="0">
      <alignment horizontal="right" vertical="center"/>
    </xf>
    <xf numFmtId="4" fontId="226" fillId="82" borderId="5448" applyNumberFormat="0" applyProtection="0">
      <alignment horizontal="right" vertical="center"/>
    </xf>
    <xf numFmtId="0" fontId="12" fillId="84" borderId="5448" applyNumberFormat="0" applyProtection="0">
      <alignment horizontal="left" vertical="top" indent="1"/>
    </xf>
    <xf numFmtId="4" fontId="226" fillId="11" borderId="5448" applyNumberFormat="0" applyProtection="0">
      <alignment vertical="center"/>
    </xf>
    <xf numFmtId="4" fontId="228" fillId="11" borderId="5448" applyNumberFormat="0" applyProtection="0">
      <alignment horizontal="right" vertical="center"/>
    </xf>
    <xf numFmtId="3" fontId="12" fillId="60" borderId="5450" applyFont="0" applyFill="0" applyBorder="0" applyAlignment="0" applyProtection="0"/>
    <xf numFmtId="9" fontId="12" fillId="60" borderId="5450" applyFont="0" applyFill="0" applyBorder="0" applyAlignment="0" applyProtection="0"/>
    <xf numFmtId="312" fontId="113" fillId="0" borderId="5502" applyNumberFormat="0" applyFill="0" applyAlignment="0" applyProtection="0"/>
    <xf numFmtId="312" fontId="46" fillId="0" borderId="5445" applyNumberFormat="0" applyFill="0" applyBorder="0" applyAlignment="0" applyProtection="0"/>
    <xf numFmtId="0" fontId="210" fillId="0" borderId="4967" applyNumberFormat="0" applyFill="0" applyBorder="0" applyAlignment="0">
      <protection locked="0"/>
    </xf>
    <xf numFmtId="186" fontId="146" fillId="3" borderId="5505">
      <alignment horizontal="left"/>
    </xf>
    <xf numFmtId="264" fontId="12" fillId="14" borderId="4967" applyFont="0" applyFill="0" applyBorder="0" applyAlignment="0" applyProtection="0">
      <alignment horizontal="right"/>
    </xf>
    <xf numFmtId="264" fontId="12" fillId="14" borderId="5490" applyFont="0" applyFill="0" applyBorder="0" applyAlignment="0" applyProtection="0">
      <alignment horizontal="right"/>
    </xf>
    <xf numFmtId="0" fontId="113" fillId="0" borderId="5490" applyNumberFormat="0" applyFill="0" applyAlignment="0" applyProtection="0"/>
    <xf numFmtId="0" fontId="214" fillId="0" borderId="5081" applyNumberFormat="0" applyFont="0" applyFill="0" applyAlignment="0" applyProtection="0"/>
    <xf numFmtId="0" fontId="166" fillId="0" borderId="4967">
      <alignment horizontal="center"/>
    </xf>
    <xf numFmtId="0" fontId="165" fillId="0" borderId="4967" applyFill="0" applyProtection="0">
      <alignment horizontal="center"/>
    </xf>
    <xf numFmtId="0" fontId="75" fillId="0" borderId="5434" applyNumberFormat="0" applyFont="0" applyFill="0" applyAlignment="0" applyProtection="0"/>
    <xf numFmtId="222" fontId="79" fillId="0" borderId="5465" applyBorder="0"/>
    <xf numFmtId="0" fontId="12" fillId="0" borderId="5490" applyNumberFormat="0" applyFill="0" applyBorder="0" applyAlignment="0" applyProtection="0">
      <alignment horizontal="center"/>
    </xf>
    <xf numFmtId="0" fontId="210" fillId="0" borderId="5490" applyNumberFormat="0" applyFill="0" applyBorder="0" applyAlignment="0">
      <protection locked="0"/>
    </xf>
    <xf numFmtId="10" fontId="12" fillId="3" borderId="5458" applyNumberFormat="0" applyFont="0" applyFill="0" applyBorder="0" applyAlignment="0">
      <protection locked="0"/>
    </xf>
    <xf numFmtId="0" fontId="12" fillId="0" borderId="5502" applyNumberFormat="0" applyFill="0" applyBorder="0" applyAlignment="0" applyProtection="0">
      <alignment horizontal="center"/>
    </xf>
    <xf numFmtId="186" fontId="140" fillId="3" borderId="5506">
      <alignment horizontal="center" vertical="center"/>
    </xf>
    <xf numFmtId="0" fontId="214" fillId="0" borderId="5508" applyNumberFormat="0" applyFont="0" applyFill="0" applyAlignment="0" applyProtection="0"/>
    <xf numFmtId="186" fontId="146" fillId="3" borderId="4967" applyBorder="0">
      <alignment horizontal="left" vertical="center"/>
    </xf>
    <xf numFmtId="180" fontId="9" fillId="3" borderId="4967">
      <alignment horizontal="right" vertical="center"/>
    </xf>
    <xf numFmtId="192" fontId="9" fillId="3" borderId="4967">
      <alignment horizontal="right" vertical="center"/>
    </xf>
    <xf numFmtId="248" fontId="46" fillId="0" borderId="4967"/>
    <xf numFmtId="0" fontId="12" fillId="0" borderId="4967" applyNumberFormat="0" applyFill="0" applyBorder="0" applyAlignment="0" applyProtection="0">
      <alignment horizontal="center"/>
    </xf>
    <xf numFmtId="0" fontId="25" fillId="10" borderId="5485" applyNumberFormat="0" applyProtection="0">
      <alignment horizontal="left" vertical="top"/>
    </xf>
    <xf numFmtId="0" fontId="113" fillId="0" borderId="4967" applyNumberFormat="0" applyFill="0" applyAlignment="0" applyProtection="0"/>
    <xf numFmtId="312" fontId="105" fillId="0" borderId="5445" applyNumberFormat="0" applyFill="0" applyBorder="0" applyAlignment="0" applyProtection="0"/>
    <xf numFmtId="222" fontId="79" fillId="0" borderId="4966" applyBorder="0"/>
    <xf numFmtId="0" fontId="101" fillId="0" borderId="4967" applyBorder="0"/>
    <xf numFmtId="10" fontId="12" fillId="60" borderId="5450" applyFont="0" applyFill="0" applyBorder="0" applyAlignment="0" applyProtection="0"/>
    <xf numFmtId="4" fontId="230" fillId="11" borderId="5448" applyNumberFormat="0" applyProtection="0">
      <alignment horizontal="right" vertical="center"/>
    </xf>
    <xf numFmtId="4" fontId="184" fillId="11" borderId="5448" applyNumberFormat="0" applyProtection="0">
      <alignment horizontal="right" vertical="center"/>
    </xf>
    <xf numFmtId="0" fontId="12" fillId="11" borderId="5448" applyNumberFormat="0" applyProtection="0">
      <alignment horizontal="left" vertical="top" indent="1"/>
    </xf>
    <xf numFmtId="4" fontId="184" fillId="52" borderId="5448" applyNumberFormat="0" applyProtection="0">
      <alignment horizontal="right" vertical="center"/>
    </xf>
    <xf numFmtId="0" fontId="12" fillId="84" borderId="5448" applyNumberFormat="0" applyProtection="0">
      <alignment horizontal="left" vertical="center" indent="1"/>
    </xf>
    <xf numFmtId="4" fontId="226" fillId="81" borderId="5448" applyNumberFormat="0" applyProtection="0">
      <alignment horizontal="right" vertical="center"/>
    </xf>
    <xf numFmtId="0" fontId="25" fillId="10" borderId="4974" applyNumberFormat="0" applyProtection="0">
      <alignment horizontal="left" vertical="top"/>
    </xf>
    <xf numFmtId="0" fontId="25" fillId="10" borderId="4975" applyNumberFormat="0" applyProtection="0">
      <alignment horizontal="left" vertical="top"/>
    </xf>
    <xf numFmtId="0" fontId="25" fillId="10" borderId="4976" applyNumberFormat="0" applyProtection="0">
      <alignment horizontal="left" vertical="top"/>
    </xf>
    <xf numFmtId="0" fontId="25" fillId="10" borderId="4977" applyNumberFormat="0" applyProtection="0">
      <alignment horizontal="left" vertical="top"/>
    </xf>
    <xf numFmtId="0" fontId="48" fillId="0" borderId="5444" applyFont="0" applyFill="0" applyBorder="0" applyAlignment="0" applyProtection="0">
      <alignment horizontal="center"/>
    </xf>
    <xf numFmtId="0" fontId="113" fillId="0" borderId="5433" applyNumberFormat="0" applyFill="0" applyAlignment="0" applyProtection="0"/>
    <xf numFmtId="222" fontId="79" fillId="0" borderId="5489" applyBorder="0"/>
    <xf numFmtId="0" fontId="25" fillId="10" borderId="5455" applyNumberFormat="0" applyProtection="0">
      <alignment horizontal="left" vertical="top"/>
    </xf>
    <xf numFmtId="0" fontId="12" fillId="0" borderId="5445" applyNumberFormat="0" applyFill="0" applyBorder="0" applyAlignment="0" applyProtection="0"/>
    <xf numFmtId="190" fontId="2" fillId="0" borderId="5483" applyNumberFormat="0" applyAlignment="0" applyProtection="0"/>
    <xf numFmtId="0" fontId="2" fillId="0" borderId="5438" applyNumberFormat="0" applyAlignment="0" applyProtection="0"/>
    <xf numFmtId="0" fontId="166" fillId="0" borderId="5433">
      <alignment horizontal="center"/>
    </xf>
    <xf numFmtId="0" fontId="101" fillId="0" borderId="5433" applyBorder="0"/>
    <xf numFmtId="186" fontId="146" fillId="3" borderId="5433" applyBorder="0">
      <alignment horizontal="left" vertical="center"/>
    </xf>
    <xf numFmtId="190" fontId="12" fillId="0" borderId="5445" applyNumberFormat="0" applyFill="0" applyBorder="0" applyAlignment="0" applyProtection="0"/>
    <xf numFmtId="0" fontId="12" fillId="0" borderId="5433" applyNumberFormat="0" applyFill="0" applyBorder="0" applyAlignment="0" applyProtection="0">
      <alignment horizontal="center"/>
    </xf>
    <xf numFmtId="0" fontId="25" fillId="10" borderId="5511" applyNumberFormat="0" applyProtection="0">
      <alignment horizontal="left" vertical="top"/>
    </xf>
    <xf numFmtId="10" fontId="12" fillId="3" borderId="5458" applyNumberFormat="0" applyFont="0" applyFill="0" applyBorder="0" applyAlignment="0">
      <protection locked="0"/>
    </xf>
    <xf numFmtId="222" fontId="79" fillId="0" borderId="5501" applyBorder="0"/>
    <xf numFmtId="10" fontId="12" fillId="3" borderId="5458" applyNumberFormat="0" applyFont="0" applyFill="0" applyBorder="0" applyAlignment="0">
      <protection locked="0"/>
    </xf>
    <xf numFmtId="0" fontId="25" fillId="10" borderId="5451" applyNumberFormat="0" applyProtection="0">
      <alignment horizontal="left"/>
    </xf>
    <xf numFmtId="0" fontId="74" fillId="0" borderId="5444" applyFont="0" applyFill="0" applyBorder="0" applyAlignment="0" applyProtection="0">
      <alignment horizontal="center"/>
    </xf>
    <xf numFmtId="0" fontId="135" fillId="0" borderId="5446"/>
    <xf numFmtId="0" fontId="159" fillId="67" borderId="5446"/>
    <xf numFmtId="0" fontId="184" fillId="0" borderId="5447" applyAlignment="0">
      <alignment horizontal="left" wrapText="1"/>
    </xf>
    <xf numFmtId="0" fontId="225" fillId="53" borderId="5448" applyNumberFormat="0" applyProtection="0">
      <alignment horizontal="left" vertical="top" indent="1"/>
    </xf>
    <xf numFmtId="4" fontId="226" fillId="80" borderId="5448" applyNumberFormat="0" applyProtection="0">
      <alignment horizontal="right" vertical="center"/>
    </xf>
    <xf numFmtId="0" fontId="12" fillId="75" borderId="5448" applyNumberFormat="0" applyProtection="0">
      <alignment horizontal="left" vertical="top" indent="1"/>
    </xf>
    <xf numFmtId="0" fontId="12" fillId="11" borderId="5448" applyNumberFormat="0" applyProtection="0">
      <alignment horizontal="left" vertical="center" indent="1"/>
    </xf>
    <xf numFmtId="0" fontId="136" fillId="14" borderId="5448" applyNumberFormat="0" applyProtection="0">
      <alignment horizontal="left" vertical="top" indent="1"/>
    </xf>
    <xf numFmtId="4" fontId="229" fillId="84" borderId="5449" applyNumberFormat="0" applyProtection="0">
      <alignment horizontal="left" vertical="center" indent="1"/>
    </xf>
    <xf numFmtId="190" fontId="184" fillId="0" borderId="5447" applyAlignment="0">
      <alignment horizontal="left" wrapText="1"/>
    </xf>
    <xf numFmtId="0" fontId="2" fillId="0" borderId="5080" applyNumberFormat="0" applyAlignment="0" applyProtection="0"/>
    <xf numFmtId="0" fontId="113" fillId="0" borderId="5433" applyNumberFormat="0" applyFill="0" applyAlignment="0" applyProtection="0"/>
    <xf numFmtId="186" fontId="146" fillId="3" borderId="5436">
      <alignment horizontal="left"/>
    </xf>
    <xf numFmtId="0" fontId="101" fillId="0" borderId="5466" applyBorder="0"/>
    <xf numFmtId="222" fontId="79" fillId="0" borderId="5489" applyBorder="0"/>
    <xf numFmtId="0" fontId="166" fillId="0" borderId="5490">
      <alignment horizontal="center"/>
    </xf>
    <xf numFmtId="10" fontId="12" fillId="3" borderId="5458" applyNumberFormat="0" applyFont="0" applyFill="0" applyBorder="0" applyAlignment="0">
      <protection locked="0"/>
    </xf>
    <xf numFmtId="186" fontId="146" fillId="3" borderId="5502" applyBorder="0">
      <alignment horizontal="left" vertical="center"/>
    </xf>
    <xf numFmtId="0" fontId="25" fillId="10" borderId="5510" applyNumberFormat="0" applyProtection="0">
      <alignment horizontal="left" vertical="top"/>
    </xf>
    <xf numFmtId="0" fontId="101" fillId="0" borderId="5502" applyBorder="0"/>
    <xf numFmtId="0" fontId="25" fillId="10" borderId="5488" applyNumberFormat="0" applyProtection="0">
      <alignment horizontal="left" vertical="top"/>
    </xf>
    <xf numFmtId="10" fontId="12" fillId="3" borderId="5458" applyNumberFormat="0" applyFont="0" applyFill="0" applyBorder="0" applyAlignment="0">
      <protection locked="0"/>
    </xf>
    <xf numFmtId="312" fontId="12" fillId="0" borderId="5445" applyNumberFormat="0" applyFill="0" applyBorder="0" applyAlignment="0" applyProtection="0"/>
    <xf numFmtId="186" fontId="146" fillId="3" borderId="5885" applyBorder="0">
      <alignment horizontal="left" vertical="center"/>
    </xf>
    <xf numFmtId="0" fontId="48" fillId="0" borderId="5445" applyNumberFormat="0" applyFill="0" applyAlignment="0" applyProtection="0"/>
    <xf numFmtId="222" fontId="79" fillId="0" borderId="5252" applyBorder="0"/>
    <xf numFmtId="0" fontId="25" fillId="10" borderId="5509" applyNumberFormat="0" applyProtection="0">
      <alignment horizontal="left" vertical="top"/>
    </xf>
    <xf numFmtId="10" fontId="12" fillId="3" borderId="5458" applyNumberFormat="0" applyFont="0" applyFill="0" applyBorder="0" applyAlignment="0">
      <protection locked="0"/>
    </xf>
    <xf numFmtId="10" fontId="12" fillId="3" borderId="5458" applyNumberFormat="0" applyFont="0" applyFill="0" applyBorder="0" applyAlignment="0">
      <protection locked="0"/>
    </xf>
    <xf numFmtId="0" fontId="25" fillId="10" borderId="5500" applyNumberFormat="0" applyProtection="0">
      <alignment horizontal="left" vertical="top"/>
    </xf>
    <xf numFmtId="0" fontId="25" fillId="10" borderId="5084" applyNumberFormat="0" applyProtection="0">
      <alignment horizontal="left" vertical="top"/>
    </xf>
    <xf numFmtId="0" fontId="25" fillId="10" borderId="5454" applyNumberFormat="0" applyProtection="0">
      <alignment horizontal="left" vertical="top"/>
    </xf>
    <xf numFmtId="222" fontId="79" fillId="0" borderId="4978" applyBorder="0"/>
    <xf numFmtId="0" fontId="101" fillId="0" borderId="4979" applyBorder="0"/>
    <xf numFmtId="222" fontId="79" fillId="0" borderId="4978" applyBorder="0"/>
    <xf numFmtId="0" fontId="113" fillId="0" borderId="4979" applyNumberFormat="0" applyFill="0" applyAlignment="0" applyProtection="0"/>
    <xf numFmtId="0" fontId="12" fillId="0" borderId="4979" applyNumberFormat="0" applyFill="0" applyBorder="0" applyAlignment="0" applyProtection="0">
      <alignment horizontal="center"/>
    </xf>
    <xf numFmtId="248" fontId="46" fillId="0" borderId="4979"/>
    <xf numFmtId="192" fontId="9" fillId="3" borderId="4979">
      <alignment horizontal="right" vertical="center"/>
    </xf>
    <xf numFmtId="180" fontId="9" fillId="3" borderId="4979">
      <alignment horizontal="right" vertical="center"/>
    </xf>
    <xf numFmtId="186" fontId="146" fillId="3" borderId="4979" applyBorder="0">
      <alignment horizontal="left" vertical="center"/>
    </xf>
    <xf numFmtId="0" fontId="165" fillId="0" borderId="4979" applyFill="0" applyProtection="0">
      <alignment horizontal="center"/>
    </xf>
    <xf numFmtId="0" fontId="166" fillId="0" borderId="4979">
      <alignment horizontal="center"/>
    </xf>
    <xf numFmtId="264" fontId="12" fillId="14" borderId="4979" applyFont="0" applyFill="0" applyBorder="0" applyAlignment="0" applyProtection="0">
      <alignment horizontal="right"/>
    </xf>
    <xf numFmtId="0" fontId="210" fillId="0" borderId="4979" applyNumberFormat="0" applyFill="0" applyBorder="0" applyAlignment="0">
      <protection locked="0"/>
    </xf>
    <xf numFmtId="254" fontId="240" fillId="0" borderId="4979" applyBorder="0" applyProtection="0">
      <alignment horizontal="right" vertical="center"/>
    </xf>
    <xf numFmtId="0" fontId="241" fillId="94" borderId="4979" applyBorder="0" applyProtection="0">
      <alignment horizontal="centerContinuous" vertical="center"/>
    </xf>
    <xf numFmtId="246" fontId="249" fillId="0" borderId="4979" applyFill="0" applyProtection="0">
      <alignment horizontal="center"/>
    </xf>
    <xf numFmtId="246" fontId="250" fillId="0" borderId="4979" applyFill="0" applyProtection="0">
      <alignment horizontal="center"/>
    </xf>
    <xf numFmtId="0" fontId="78" fillId="14" borderId="4981" applyFont="0" applyFill="0" applyBorder="0" applyAlignment="0" applyProtection="0"/>
    <xf numFmtId="0" fontId="25" fillId="10" borderId="4989" applyNumberFormat="0" applyProtection="0">
      <alignment horizontal="left" vertical="top"/>
    </xf>
    <xf numFmtId="0" fontId="25" fillId="10" borderId="4988" applyNumberFormat="0" applyProtection="0">
      <alignment horizontal="left" vertical="top"/>
    </xf>
    <xf numFmtId="0" fontId="25" fillId="10" borderId="4987" applyNumberFormat="0" applyProtection="0">
      <alignment horizontal="left" vertical="top"/>
    </xf>
    <xf numFmtId="0" fontId="25" fillId="10" borderId="4986" applyNumberFormat="0" applyProtection="0">
      <alignment horizontal="left" vertical="top"/>
    </xf>
    <xf numFmtId="0" fontId="214" fillId="0" borderId="4985" applyNumberFormat="0" applyFont="0" applyFill="0" applyAlignment="0" applyProtection="0"/>
    <xf numFmtId="0" fontId="2" fillId="0" borderId="4984" applyNumberFormat="0" applyAlignment="0" applyProtection="0"/>
    <xf numFmtId="186" fontId="140" fillId="3" borderId="4983">
      <alignment horizontal="center" vertical="center"/>
    </xf>
    <xf numFmtId="186" fontId="146" fillId="3" borderId="4982">
      <alignment horizontal="left"/>
    </xf>
    <xf numFmtId="0" fontId="75" fillId="0" borderId="4980" applyNumberFormat="0" applyFont="0" applyFill="0" applyAlignment="0" applyProtection="0"/>
    <xf numFmtId="222" fontId="79" fillId="0" borderId="4990" applyBorder="0"/>
    <xf numFmtId="0" fontId="101" fillId="0" borderId="4991" applyBorder="0"/>
    <xf numFmtId="222" fontId="79" fillId="0" borderId="4990" applyBorder="0"/>
    <xf numFmtId="0" fontId="113" fillId="0" borderId="4991" applyNumberFormat="0" applyFill="0" applyAlignment="0" applyProtection="0"/>
    <xf numFmtId="0" fontId="12" fillId="0" borderId="4991" applyNumberFormat="0" applyFill="0" applyBorder="0" applyAlignment="0" applyProtection="0">
      <alignment horizontal="center"/>
    </xf>
    <xf numFmtId="248" fontId="46" fillId="0" borderId="4991"/>
    <xf numFmtId="192" fontId="9" fillId="3" borderId="4991">
      <alignment horizontal="right" vertical="center"/>
    </xf>
    <xf numFmtId="180" fontId="9" fillId="3" borderId="4991">
      <alignment horizontal="right" vertical="center"/>
    </xf>
    <xf numFmtId="186" fontId="146" fillId="3" borderId="4991" applyBorder="0">
      <alignment horizontal="left" vertical="center"/>
    </xf>
    <xf numFmtId="0" fontId="165" fillId="0" borderId="4991" applyFill="0" applyProtection="0">
      <alignment horizontal="center"/>
    </xf>
    <xf numFmtId="0" fontId="166" fillId="0" borderId="4991">
      <alignment horizontal="center"/>
    </xf>
    <xf numFmtId="264" fontId="12" fillId="14" borderId="4991" applyFont="0" applyFill="0" applyBorder="0" applyAlignment="0" applyProtection="0">
      <alignment horizontal="right"/>
    </xf>
    <xf numFmtId="0" fontId="210" fillId="0" borderId="4991" applyNumberFormat="0" applyFill="0" applyBorder="0" applyAlignment="0">
      <protection locked="0"/>
    </xf>
    <xf numFmtId="254" fontId="240" fillId="0" borderId="4991" applyBorder="0" applyProtection="0">
      <alignment horizontal="right" vertical="center"/>
    </xf>
    <xf numFmtId="0" fontId="241" fillId="94" borderId="4991" applyBorder="0" applyProtection="0">
      <alignment horizontal="centerContinuous" vertical="center"/>
    </xf>
    <xf numFmtId="246" fontId="249" fillId="0" borderId="4991" applyFill="0" applyProtection="0">
      <alignment horizontal="center"/>
    </xf>
    <xf numFmtId="246" fontId="250" fillId="0" borderId="4991" applyFill="0" applyProtection="0">
      <alignment horizontal="center"/>
    </xf>
    <xf numFmtId="186" fontId="146" fillId="3" borderId="4994">
      <alignment horizontal="left"/>
    </xf>
    <xf numFmtId="0" fontId="75" fillId="0" borderId="4992" applyNumberFormat="0" applyFont="0" applyFill="0" applyAlignment="0" applyProtection="0"/>
    <xf numFmtId="0" fontId="113" fillId="0" borderId="5075" applyNumberFormat="0" applyFill="0" applyAlignment="0" applyProtection="0"/>
    <xf numFmtId="264" fontId="12" fillId="14" borderId="5075" applyFont="0" applyFill="0" applyBorder="0" applyAlignment="0" applyProtection="0">
      <alignment horizontal="right"/>
    </xf>
    <xf numFmtId="246" fontId="249" fillId="0" borderId="5075" applyFill="0" applyProtection="0">
      <alignment horizontal="center"/>
    </xf>
    <xf numFmtId="0" fontId="25" fillId="10" borderId="5001" applyNumberFormat="0" applyProtection="0">
      <alignment horizontal="left" vertical="top"/>
    </xf>
    <xf numFmtId="0" fontId="25" fillId="10" borderId="4999" applyNumberFormat="0" applyProtection="0">
      <alignment horizontal="left" vertical="top"/>
    </xf>
    <xf numFmtId="0" fontId="25" fillId="10" borderId="5000" applyNumberFormat="0" applyProtection="0">
      <alignment horizontal="left" vertical="top"/>
    </xf>
    <xf numFmtId="0" fontId="25" fillId="10" borderId="4998" applyNumberFormat="0" applyProtection="0">
      <alignment horizontal="left" vertical="top"/>
    </xf>
    <xf numFmtId="0" fontId="25" fillId="10" borderId="5001" applyNumberFormat="0" applyProtection="0">
      <alignment horizontal="left" vertical="top"/>
    </xf>
    <xf numFmtId="0" fontId="25" fillId="10" borderId="5000" applyNumberFormat="0" applyProtection="0">
      <alignment horizontal="left" vertical="top"/>
    </xf>
    <xf numFmtId="0" fontId="25" fillId="10" borderId="4999" applyNumberFormat="0" applyProtection="0">
      <alignment horizontal="left" vertical="top"/>
    </xf>
    <xf numFmtId="0" fontId="25" fillId="10" borderId="4998" applyNumberFormat="0" applyProtection="0">
      <alignment horizontal="left" vertical="top"/>
    </xf>
    <xf numFmtId="0" fontId="214" fillId="0" borderId="4997" applyNumberFormat="0" applyFont="0" applyFill="0" applyAlignment="0" applyProtection="0"/>
    <xf numFmtId="0" fontId="2" fillId="0" borderId="4996" applyNumberFormat="0" applyAlignment="0" applyProtection="0"/>
    <xf numFmtId="186" fontId="140" fillId="3" borderId="4995">
      <alignment horizontal="center" vertical="center"/>
    </xf>
    <xf numFmtId="186" fontId="140" fillId="3" borderId="5007">
      <alignment horizontal="center" vertical="center"/>
    </xf>
    <xf numFmtId="0" fontId="25" fillId="10" borderId="5010" applyNumberFormat="0" applyProtection="0">
      <alignment horizontal="left" vertical="top"/>
    </xf>
    <xf numFmtId="0" fontId="12" fillId="0" borderId="5075" applyNumberFormat="0" applyFill="0" applyBorder="0" applyAlignment="0" applyProtection="0">
      <alignment horizontal="center"/>
    </xf>
    <xf numFmtId="0" fontId="25" fillId="10" borderId="5072" applyNumberFormat="0" applyProtection="0">
      <alignment horizontal="left" vertical="top"/>
    </xf>
    <xf numFmtId="222" fontId="79" fillId="0" borderId="5062" applyBorder="0"/>
    <xf numFmtId="0" fontId="78" fillId="14" borderId="5065" applyFont="0" applyFill="0" applyBorder="0" applyAlignment="0" applyProtection="0"/>
    <xf numFmtId="222" fontId="79" fillId="0" borderId="5074" applyBorder="0"/>
    <xf numFmtId="0" fontId="101" fillId="0" borderId="5075" applyBorder="0"/>
    <xf numFmtId="222" fontId="79" fillId="0" borderId="5074" applyBorder="0"/>
    <xf numFmtId="248" fontId="46" fillId="0" borderId="5075"/>
    <xf numFmtId="192" fontId="9" fillId="3" borderId="5075">
      <alignment horizontal="right" vertical="center"/>
    </xf>
    <xf numFmtId="180" fontId="9" fillId="3" borderId="5075">
      <alignment horizontal="right" vertical="center"/>
    </xf>
    <xf numFmtId="186" fontId="146" fillId="3" borderId="5075" applyBorder="0">
      <alignment horizontal="left" vertical="center"/>
    </xf>
    <xf numFmtId="0" fontId="165" fillId="0" borderId="5075" applyFill="0" applyProtection="0">
      <alignment horizontal="center"/>
    </xf>
    <xf numFmtId="0" fontId="210" fillId="0" borderId="5075" applyNumberFormat="0" applyFill="0" applyBorder="0" applyAlignment="0">
      <protection locked="0"/>
    </xf>
    <xf numFmtId="254" fontId="240" fillId="0" borderId="5075" applyBorder="0" applyProtection="0">
      <alignment horizontal="right" vertical="center"/>
    </xf>
    <xf numFmtId="246" fontId="250" fillId="0" borderId="5075" applyFill="0" applyProtection="0">
      <alignment horizontal="center"/>
    </xf>
    <xf numFmtId="222" fontId="79" fillId="0" borderId="5014" applyBorder="0"/>
    <xf numFmtId="0" fontId="25" fillId="10" borderId="5011" applyNumberFormat="0" applyProtection="0">
      <alignment horizontal="left" vertical="top"/>
    </xf>
    <xf numFmtId="0" fontId="25" fillId="10" borderId="5013" applyNumberFormat="0" applyProtection="0">
      <alignment horizontal="left" vertical="top"/>
    </xf>
    <xf numFmtId="0" fontId="25" fillId="10" borderId="5010" applyNumberFormat="0" applyProtection="0">
      <alignment horizontal="left" vertical="top"/>
    </xf>
    <xf numFmtId="0" fontId="25" fillId="10" borderId="5011" applyNumberFormat="0" applyProtection="0">
      <alignment horizontal="left" vertical="top"/>
    </xf>
    <xf numFmtId="0" fontId="25" fillId="10" borderId="5012" applyNumberFormat="0" applyProtection="0">
      <alignment horizontal="left" vertical="top"/>
    </xf>
    <xf numFmtId="0" fontId="75" fillId="0" borderId="5016" applyNumberFormat="0" applyFont="0" applyFill="0" applyAlignment="0" applyProtection="0"/>
    <xf numFmtId="0" fontId="101" fillId="0" borderId="5027" applyBorder="0"/>
    <xf numFmtId="222" fontId="79" fillId="0" borderId="5026" applyBorder="0"/>
    <xf numFmtId="0" fontId="113" fillId="0" borderId="5027" applyNumberFormat="0" applyFill="0" applyAlignment="0" applyProtection="0"/>
    <xf numFmtId="0" fontId="12" fillId="0" borderId="5027" applyNumberFormat="0" applyFill="0" applyBorder="0" applyAlignment="0" applyProtection="0">
      <alignment horizontal="center"/>
    </xf>
    <xf numFmtId="248" fontId="46" fillId="0" borderId="5027"/>
    <xf numFmtId="192" fontId="9" fillId="3" borderId="5027">
      <alignment horizontal="right" vertical="center"/>
    </xf>
    <xf numFmtId="180" fontId="9" fillId="3" borderId="5027">
      <alignment horizontal="right" vertical="center"/>
    </xf>
    <xf numFmtId="186" fontId="146" fillId="3" borderId="5027" applyBorder="0">
      <alignment horizontal="left" vertical="center"/>
    </xf>
    <xf numFmtId="0" fontId="166" fillId="0" borderId="5027">
      <alignment horizontal="center"/>
    </xf>
    <xf numFmtId="0" fontId="210" fillId="0" borderId="5027" applyNumberFormat="0" applyFill="0" applyBorder="0" applyAlignment="0">
      <protection locked="0"/>
    </xf>
    <xf numFmtId="264" fontId="12" fillId="14" borderId="5027" applyFont="0" applyFill="0" applyBorder="0" applyAlignment="0" applyProtection="0">
      <alignment horizontal="right"/>
    </xf>
    <xf numFmtId="246" fontId="249" fillId="0" borderId="5027" applyFill="0" applyProtection="0">
      <alignment horizontal="center"/>
    </xf>
    <xf numFmtId="246" fontId="250" fillId="0" borderId="5027" applyFill="0" applyProtection="0">
      <alignment horizontal="center"/>
    </xf>
    <xf numFmtId="246" fontId="250" fillId="0" borderId="5051" applyFill="0" applyProtection="0">
      <alignment horizontal="center"/>
    </xf>
    <xf numFmtId="246" fontId="249" fillId="0" borderId="5051" applyFill="0" applyProtection="0">
      <alignment horizontal="center"/>
    </xf>
    <xf numFmtId="254" fontId="240" fillId="0" borderId="5051" applyBorder="0" applyProtection="0">
      <alignment horizontal="right" vertical="center"/>
    </xf>
    <xf numFmtId="264" fontId="12" fillId="14" borderId="5051" applyFont="0" applyFill="0" applyBorder="0" applyAlignment="0" applyProtection="0">
      <alignment horizontal="right"/>
    </xf>
    <xf numFmtId="0" fontId="165" fillId="0" borderId="5051" applyFill="0" applyProtection="0">
      <alignment horizontal="center"/>
    </xf>
    <xf numFmtId="180" fontId="9" fillId="3" borderId="5051">
      <alignment horizontal="right" vertical="center"/>
    </xf>
    <xf numFmtId="0" fontId="12" fillId="0" borderId="5051" applyNumberFormat="0" applyFill="0" applyBorder="0" applyAlignment="0" applyProtection="0">
      <alignment horizontal="center"/>
    </xf>
    <xf numFmtId="0" fontId="101" fillId="0" borderId="5051" applyBorder="0"/>
    <xf numFmtId="222" fontId="79" fillId="0" borderId="5050" applyBorder="0"/>
    <xf numFmtId="0" fontId="75" fillId="0" borderId="5040" applyNumberFormat="0" applyFont="0" applyFill="0" applyAlignment="0" applyProtection="0"/>
    <xf numFmtId="0" fontId="2" fillId="0" borderId="5044" applyNumberFormat="0" applyAlignment="0" applyProtection="0"/>
    <xf numFmtId="0" fontId="25" fillId="10" borderId="5046" applyNumberFormat="0" applyProtection="0">
      <alignment horizontal="left" vertical="top"/>
    </xf>
    <xf numFmtId="0" fontId="25" fillId="10" borderId="5049" applyNumberFormat="0" applyProtection="0">
      <alignment horizontal="left" vertical="top"/>
    </xf>
    <xf numFmtId="222" fontId="79" fillId="0" borderId="5038" applyBorder="0"/>
    <xf numFmtId="0" fontId="25" fillId="10" borderId="5024" applyNumberFormat="0" applyProtection="0">
      <alignment horizontal="left" vertical="top"/>
    </xf>
    <xf numFmtId="0" fontId="25" fillId="10" borderId="5022" applyNumberFormat="0" applyProtection="0">
      <alignment horizontal="left" vertical="top"/>
    </xf>
    <xf numFmtId="0" fontId="214" fillId="0" borderId="5021" applyNumberFormat="0" applyFont="0" applyFill="0" applyAlignment="0" applyProtection="0"/>
    <xf numFmtId="186" fontId="146" fillId="3" borderId="5018">
      <alignment horizontal="left"/>
    </xf>
    <xf numFmtId="222" fontId="79" fillId="0" borderId="5026" applyBorder="0"/>
    <xf numFmtId="0" fontId="101" fillId="0" borderId="4907" applyBorder="0"/>
    <xf numFmtId="0" fontId="113" fillId="0" borderId="4907" applyNumberFormat="0" applyFill="0" applyAlignment="0" applyProtection="0"/>
    <xf numFmtId="0" fontId="12" fillId="0" borderId="4907" applyNumberFormat="0" applyFill="0" applyBorder="0" applyAlignment="0" applyProtection="0">
      <alignment horizontal="center"/>
    </xf>
    <xf numFmtId="248" fontId="46" fillId="0" borderId="4907"/>
    <xf numFmtId="192" fontId="9" fillId="3" borderId="4907">
      <alignment horizontal="right" vertical="center"/>
    </xf>
    <xf numFmtId="180" fontId="9" fillId="3" borderId="4907">
      <alignment horizontal="right" vertical="center"/>
    </xf>
    <xf numFmtId="186" fontId="146" fillId="3" borderId="4907" applyBorder="0">
      <alignment horizontal="left" vertical="center"/>
    </xf>
    <xf numFmtId="0" fontId="165" fillId="0" borderId="4907" applyFill="0" applyProtection="0">
      <alignment horizontal="center"/>
    </xf>
    <xf numFmtId="0" fontId="166" fillId="0" borderId="4907">
      <alignment horizontal="center"/>
    </xf>
    <xf numFmtId="264" fontId="12" fillId="14" borderId="4907" applyFont="0" applyFill="0" applyBorder="0" applyAlignment="0" applyProtection="0">
      <alignment horizontal="right"/>
    </xf>
    <xf numFmtId="0" fontId="210" fillId="0" borderId="4907" applyNumberFormat="0" applyFill="0" applyBorder="0" applyAlignment="0">
      <protection locked="0"/>
    </xf>
    <xf numFmtId="248" fontId="46" fillId="0" borderId="5051"/>
    <xf numFmtId="222" fontId="79" fillId="0" borderId="5050" applyBorder="0"/>
    <xf numFmtId="186" fontId="140" fillId="3" borderId="5043">
      <alignment horizontal="center" vertical="center"/>
    </xf>
    <xf numFmtId="0" fontId="25" fillId="10" borderId="5048" applyNumberFormat="0" applyProtection="0">
      <alignment horizontal="left" vertical="top"/>
    </xf>
    <xf numFmtId="0" fontId="210" fillId="0" borderId="5051" applyNumberFormat="0" applyFill="0" applyBorder="0" applyAlignment="0">
      <protection locked="0"/>
    </xf>
    <xf numFmtId="192" fontId="9" fillId="3" borderId="5051">
      <alignment horizontal="right" vertical="center"/>
    </xf>
    <xf numFmtId="0" fontId="113" fillId="0" borderId="5051" applyNumberFormat="0" applyFill="0" applyAlignment="0" applyProtection="0"/>
    <xf numFmtId="186" fontId="146" fillId="3" borderId="5042">
      <alignment horizontal="left"/>
    </xf>
    <xf numFmtId="0" fontId="25" fillId="10" borderId="5047" applyNumberFormat="0" applyProtection="0">
      <alignment horizontal="left" vertical="top"/>
    </xf>
    <xf numFmtId="254" fontId="240" fillId="0" borderId="4907" applyBorder="0" applyProtection="0">
      <alignment horizontal="right" vertical="center"/>
    </xf>
    <xf numFmtId="0" fontId="241" fillId="94" borderId="4907" applyBorder="0" applyProtection="0">
      <alignment horizontal="centerContinuous" vertical="center"/>
    </xf>
    <xf numFmtId="246" fontId="249" fillId="0" borderId="4907" applyFill="0" applyProtection="0">
      <alignment horizontal="center"/>
    </xf>
    <xf numFmtId="246" fontId="250" fillId="0" borderId="4907" applyFill="0" applyProtection="0">
      <alignment horizontal="center"/>
    </xf>
    <xf numFmtId="0" fontId="25" fillId="10" borderId="5071" applyNumberFormat="0" applyProtection="0">
      <alignment horizontal="left" vertical="top"/>
    </xf>
    <xf numFmtId="0" fontId="25" fillId="10" borderId="5073" applyNumberFormat="0" applyProtection="0">
      <alignment horizontal="left" vertical="top"/>
    </xf>
    <xf numFmtId="222" fontId="79" fillId="0" borderId="5002" applyBorder="0"/>
    <xf numFmtId="0" fontId="214" fillId="0" borderId="5069" applyNumberFormat="0" applyFont="0" applyFill="0" applyAlignment="0" applyProtection="0"/>
    <xf numFmtId="0" fontId="75" fillId="0" borderId="5004" applyNumberFormat="0" applyFont="0" applyFill="0" applyAlignment="0" applyProtection="0"/>
    <xf numFmtId="0" fontId="25" fillId="10" borderId="5012" applyNumberFormat="0" applyProtection="0">
      <alignment horizontal="left" vertical="top"/>
    </xf>
    <xf numFmtId="0" fontId="25" fillId="10" borderId="5013" applyNumberFormat="0" applyProtection="0">
      <alignment horizontal="left" vertical="top"/>
    </xf>
    <xf numFmtId="0" fontId="165" fillId="0" borderId="5027" applyFill="0" applyProtection="0">
      <alignment horizontal="center"/>
    </xf>
    <xf numFmtId="254" fontId="240" fillId="0" borderId="5027" applyBorder="0" applyProtection="0">
      <alignment horizontal="right" vertical="center"/>
    </xf>
    <xf numFmtId="0" fontId="241" fillId="94" borderId="5027" applyBorder="0" applyProtection="0">
      <alignment horizontal="centerContinuous" vertical="center"/>
    </xf>
    <xf numFmtId="0" fontId="241" fillId="94" borderId="5051" applyBorder="0" applyProtection="0">
      <alignment horizontal="centerContinuous" vertical="center"/>
    </xf>
    <xf numFmtId="0" fontId="166" fillId="0" borderId="5051">
      <alignment horizontal="center"/>
    </xf>
    <xf numFmtId="186" fontId="146" fillId="3" borderId="5051" applyBorder="0">
      <alignment horizontal="left" vertical="center"/>
    </xf>
    <xf numFmtId="0" fontId="214" fillId="0" borderId="5045" applyNumberFormat="0" applyFont="0" applyFill="0" applyAlignment="0" applyProtection="0"/>
    <xf numFmtId="0" fontId="78" fillId="14" borderId="5041" applyFont="0" applyFill="0" applyBorder="0" applyAlignment="0" applyProtection="0"/>
    <xf numFmtId="0" fontId="78" fillId="14" borderId="4969" applyFont="0" applyFill="0" applyBorder="0" applyAlignment="0" applyProtection="0"/>
    <xf numFmtId="0" fontId="25" fillId="10" borderId="4917" applyNumberFormat="0" applyProtection="0">
      <alignment horizontal="left" vertical="top"/>
    </xf>
    <xf numFmtId="0" fontId="25" fillId="10" borderId="4916" applyNumberFormat="0" applyProtection="0">
      <alignment horizontal="left" vertical="top"/>
    </xf>
    <xf numFmtId="0" fontId="25" fillId="10" borderId="4915" applyNumberFormat="0" applyProtection="0">
      <alignment horizontal="left" vertical="top"/>
    </xf>
    <xf numFmtId="0" fontId="25" fillId="10" borderId="4914" applyNumberFormat="0" applyProtection="0">
      <alignment horizontal="left" vertical="top"/>
    </xf>
    <xf numFmtId="186" fontId="140" fillId="3" borderId="5067">
      <alignment horizontal="center" vertical="center"/>
    </xf>
    <xf numFmtId="0" fontId="214" fillId="0" borderId="4913" applyNumberFormat="0" applyFont="0" applyFill="0" applyAlignment="0" applyProtection="0"/>
    <xf numFmtId="0" fontId="2" fillId="0" borderId="4912" applyNumberFormat="0" applyAlignment="0" applyProtection="0"/>
    <xf numFmtId="186" fontId="140" fillId="3" borderId="4911">
      <alignment horizontal="center" vertical="center"/>
    </xf>
    <xf numFmtId="186" fontId="146" fillId="3" borderId="4910">
      <alignment horizontal="left"/>
    </xf>
    <xf numFmtId="186" fontId="146" fillId="3" borderId="5066">
      <alignment horizontal="left"/>
    </xf>
    <xf numFmtId="0" fontId="75" fillId="0" borderId="4908" applyNumberFormat="0" applyFont="0" applyFill="0" applyAlignment="0" applyProtection="0"/>
    <xf numFmtId="0" fontId="75" fillId="0" borderId="5064" applyNumberFormat="0" applyFont="0" applyFill="0" applyAlignment="0" applyProtection="0"/>
    <xf numFmtId="222" fontId="79" fillId="0" borderId="4978" applyBorder="0"/>
    <xf numFmtId="222" fontId="79" fillId="0" borderId="4978" applyBorder="0"/>
    <xf numFmtId="0" fontId="25" fillId="10" borderId="5070" applyNumberFormat="0" applyProtection="0">
      <alignment horizontal="left" vertical="top"/>
    </xf>
    <xf numFmtId="0" fontId="2" fillId="0" borderId="5068" applyNumberFormat="0" applyAlignment="0" applyProtection="0"/>
    <xf numFmtId="246" fontId="250" fillId="0" borderId="5003" applyFill="0" applyProtection="0">
      <alignment horizontal="center"/>
    </xf>
    <xf numFmtId="246" fontId="249" fillId="0" borderId="5003" applyFill="0" applyProtection="0">
      <alignment horizontal="center"/>
    </xf>
    <xf numFmtId="0" fontId="241" fillId="94" borderId="5003" applyBorder="0" applyProtection="0">
      <alignment horizontal="centerContinuous" vertical="center"/>
    </xf>
    <xf numFmtId="254" fontId="240" fillId="0" borderId="5003" applyBorder="0" applyProtection="0">
      <alignment horizontal="right" vertical="center"/>
    </xf>
    <xf numFmtId="0" fontId="210" fillId="0" borderId="5003" applyNumberFormat="0" applyFill="0" applyBorder="0" applyAlignment="0">
      <protection locked="0"/>
    </xf>
    <xf numFmtId="264" fontId="12" fillId="14" borderId="5003" applyFont="0" applyFill="0" applyBorder="0" applyAlignment="0" applyProtection="0">
      <alignment horizontal="right"/>
    </xf>
    <xf numFmtId="0" fontId="166" fillId="0" borderId="5003">
      <alignment horizontal="center"/>
    </xf>
    <xf numFmtId="0" fontId="165" fillId="0" borderId="5003" applyFill="0" applyProtection="0">
      <alignment horizontal="center"/>
    </xf>
    <xf numFmtId="186" fontId="146" fillId="3" borderId="5003" applyBorder="0">
      <alignment horizontal="left" vertical="center"/>
    </xf>
    <xf numFmtId="180" fontId="9" fillId="3" borderId="5003">
      <alignment horizontal="right" vertical="center"/>
    </xf>
    <xf numFmtId="192" fontId="9" fillId="3" borderId="5003">
      <alignment horizontal="right" vertical="center"/>
    </xf>
    <xf numFmtId="248" fontId="46" fillId="0" borderId="5003"/>
    <xf numFmtId="0" fontId="12" fillId="0" borderId="5003" applyNumberFormat="0" applyFill="0" applyBorder="0" applyAlignment="0" applyProtection="0">
      <alignment horizontal="center"/>
    </xf>
    <xf numFmtId="0" fontId="113" fillId="0" borderId="5003" applyNumberFormat="0" applyFill="0" applyAlignment="0" applyProtection="0"/>
    <xf numFmtId="222" fontId="79" fillId="0" borderId="5002" applyBorder="0"/>
    <xf numFmtId="0" fontId="101" fillId="0" borderId="5003" applyBorder="0"/>
    <xf numFmtId="222" fontId="79" fillId="0" borderId="5002" applyBorder="0"/>
    <xf numFmtId="0" fontId="75" fillId="0" borderId="4992" applyNumberFormat="0" applyFont="0" applyFill="0" applyAlignment="0" applyProtection="0"/>
    <xf numFmtId="186" fontId="146" fillId="3" borderId="4994">
      <alignment horizontal="left"/>
    </xf>
    <xf numFmtId="186" fontId="140" fillId="3" borderId="4995">
      <alignment horizontal="center" vertical="center"/>
    </xf>
    <xf numFmtId="0" fontId="2" fillId="0" borderId="4996" applyNumberFormat="0" applyAlignment="0" applyProtection="0"/>
    <xf numFmtId="0" fontId="214" fillId="0" borderId="4997" applyNumberFormat="0" applyFont="0" applyFill="0" applyAlignment="0" applyProtection="0"/>
    <xf numFmtId="0" fontId="25" fillId="10" borderId="4998" applyNumberFormat="0" applyProtection="0">
      <alignment horizontal="left" vertical="top"/>
    </xf>
    <xf numFmtId="0" fontId="25" fillId="10" borderId="4999" applyNumberFormat="0" applyProtection="0">
      <alignment horizontal="left" vertical="top"/>
    </xf>
    <xf numFmtId="0" fontId="25" fillId="10" borderId="5000" applyNumberFormat="0" applyProtection="0">
      <alignment horizontal="left" vertical="top"/>
    </xf>
    <xf numFmtId="0" fontId="25" fillId="10" borderId="5001" applyNumberFormat="0" applyProtection="0">
      <alignment horizontal="left" vertical="top"/>
    </xf>
    <xf numFmtId="0" fontId="78" fillId="14" borderId="4993" applyFont="0" applyFill="0" applyBorder="0" applyAlignment="0" applyProtection="0"/>
    <xf numFmtId="222" fontId="79" fillId="0" borderId="4990" applyBorder="0"/>
    <xf numFmtId="0" fontId="78" fillId="14" borderId="4969" applyFont="0" applyFill="0" applyBorder="0" applyAlignment="0" applyProtection="0"/>
    <xf numFmtId="222" fontId="79" fillId="0" borderId="4978" applyBorder="0"/>
    <xf numFmtId="0" fontId="78" fillId="14" borderId="4981" applyFont="0" applyFill="0" applyBorder="0" applyAlignment="0" applyProtection="0"/>
    <xf numFmtId="0" fontId="25" fillId="10" borderId="4989" applyNumberFormat="0" applyProtection="0">
      <alignment horizontal="left" vertical="top"/>
    </xf>
    <xf numFmtId="0" fontId="25" fillId="10" borderId="4988" applyNumberFormat="0" applyProtection="0">
      <alignment horizontal="left" vertical="top"/>
    </xf>
    <xf numFmtId="0" fontId="25" fillId="10" borderId="4987" applyNumberFormat="0" applyProtection="0">
      <alignment horizontal="left" vertical="top"/>
    </xf>
    <xf numFmtId="0" fontId="25" fillId="10" borderId="4986" applyNumberFormat="0" applyProtection="0">
      <alignment horizontal="left" vertical="top"/>
    </xf>
    <xf numFmtId="0" fontId="214" fillId="0" borderId="4985" applyNumberFormat="0" applyFont="0" applyFill="0" applyAlignment="0" applyProtection="0"/>
    <xf numFmtId="0" fontId="2" fillId="0" borderId="4912" applyNumberFormat="0" applyAlignment="0" applyProtection="0"/>
    <xf numFmtId="186" fontId="140" fillId="3" borderId="4983">
      <alignment horizontal="center" vertical="center"/>
    </xf>
    <xf numFmtId="186" fontId="146" fillId="3" borderId="4982">
      <alignment horizontal="left"/>
    </xf>
    <xf numFmtId="0" fontId="75" fillId="0" borderId="4980" applyNumberFormat="0" applyFont="0" applyFill="0" applyAlignment="0" applyProtection="0"/>
    <xf numFmtId="222" fontId="79" fillId="0" borderId="4990" applyBorder="0"/>
    <xf numFmtId="0" fontId="101" fillId="0" borderId="4991" applyBorder="0"/>
    <xf numFmtId="222" fontId="79" fillId="0" borderId="4990" applyBorder="0"/>
    <xf numFmtId="0" fontId="113" fillId="0" borderId="4991" applyNumberFormat="0" applyFill="0" applyAlignment="0" applyProtection="0"/>
    <xf numFmtId="0" fontId="12" fillId="0" borderId="4991" applyNumberFormat="0" applyFill="0" applyBorder="0" applyAlignment="0" applyProtection="0">
      <alignment horizontal="center"/>
    </xf>
    <xf numFmtId="248" fontId="46" fillId="0" borderId="4991"/>
    <xf numFmtId="192" fontId="9" fillId="3" borderId="4991">
      <alignment horizontal="right" vertical="center"/>
    </xf>
    <xf numFmtId="180" fontId="9" fillId="3" borderId="4991">
      <alignment horizontal="right" vertical="center"/>
    </xf>
    <xf numFmtId="186" fontId="146" fillId="3" borderId="4991" applyBorder="0">
      <alignment horizontal="left" vertical="center"/>
    </xf>
    <xf numFmtId="0" fontId="165" fillId="0" borderId="4991" applyFill="0" applyProtection="0">
      <alignment horizontal="center"/>
    </xf>
    <xf numFmtId="0" fontId="166" fillId="0" borderId="4991">
      <alignment horizontal="center"/>
    </xf>
    <xf numFmtId="264" fontId="12" fillId="14" borderId="4991" applyFont="0" applyFill="0" applyBorder="0" applyAlignment="0" applyProtection="0">
      <alignment horizontal="right"/>
    </xf>
    <xf numFmtId="0" fontId="210" fillId="0" borderId="4991" applyNumberFormat="0" applyFill="0" applyBorder="0" applyAlignment="0">
      <protection locked="0"/>
    </xf>
    <xf numFmtId="254" fontId="240" fillId="0" borderId="4991" applyBorder="0" applyProtection="0">
      <alignment horizontal="right" vertical="center"/>
    </xf>
    <xf numFmtId="0" fontId="241" fillId="94" borderId="4991" applyBorder="0" applyProtection="0">
      <alignment horizontal="centerContinuous" vertical="center"/>
    </xf>
    <xf numFmtId="246" fontId="249" fillId="0" borderId="4991" applyFill="0" applyProtection="0">
      <alignment horizontal="center"/>
    </xf>
    <xf numFmtId="246" fontId="250" fillId="0" borderId="4991" applyFill="0" applyProtection="0">
      <alignment horizontal="center"/>
    </xf>
    <xf numFmtId="0" fontId="241" fillId="94" borderId="5075" applyBorder="0" applyProtection="0">
      <alignment horizontal="centerContinuous" vertical="center"/>
    </xf>
    <xf numFmtId="0" fontId="166" fillId="0" borderId="5075">
      <alignment horizontal="center"/>
    </xf>
    <xf numFmtId="0" fontId="2" fillId="0" borderId="5008" applyNumberFormat="0" applyAlignment="0" applyProtection="0"/>
    <xf numFmtId="0" fontId="214" fillId="0" borderId="5009" applyNumberFormat="0" applyFont="0" applyFill="0" applyAlignment="0" applyProtection="0"/>
    <xf numFmtId="246" fontId="250" fillId="0" borderId="5015" applyFill="0" applyProtection="0">
      <alignment horizontal="center"/>
    </xf>
    <xf numFmtId="246" fontId="249" fillId="0" borderId="5015" applyFill="0" applyProtection="0">
      <alignment horizontal="center"/>
    </xf>
    <xf numFmtId="0" fontId="241" fillId="94" borderId="5015" applyBorder="0" applyProtection="0">
      <alignment horizontal="centerContinuous" vertical="center"/>
    </xf>
    <xf numFmtId="254" fontId="240" fillId="0" borderId="5015" applyBorder="0" applyProtection="0">
      <alignment horizontal="right" vertical="center"/>
    </xf>
    <xf numFmtId="0" fontId="210" fillId="0" borderId="5015" applyNumberFormat="0" applyFill="0" applyBorder="0" applyAlignment="0">
      <protection locked="0"/>
    </xf>
    <xf numFmtId="264" fontId="12" fillId="14" borderId="5015" applyFont="0" applyFill="0" applyBorder="0" applyAlignment="0" applyProtection="0">
      <alignment horizontal="right"/>
    </xf>
    <xf numFmtId="0" fontId="166" fillId="0" borderId="5015">
      <alignment horizontal="center"/>
    </xf>
    <xf numFmtId="0" fontId="165" fillId="0" borderId="5015" applyFill="0" applyProtection="0">
      <alignment horizontal="center"/>
    </xf>
    <xf numFmtId="186" fontId="146" fillId="3" borderId="5015" applyBorder="0">
      <alignment horizontal="left" vertical="center"/>
    </xf>
    <xf numFmtId="180" fontId="9" fillId="3" borderId="5015">
      <alignment horizontal="right" vertical="center"/>
    </xf>
    <xf numFmtId="192" fontId="9" fillId="3" borderId="5015">
      <alignment horizontal="right" vertical="center"/>
    </xf>
    <xf numFmtId="248" fontId="46" fillId="0" borderId="5015"/>
    <xf numFmtId="0" fontId="12" fillId="0" borderId="5015" applyNumberFormat="0" applyFill="0" applyBorder="0" applyAlignment="0" applyProtection="0">
      <alignment horizontal="center"/>
    </xf>
    <xf numFmtId="0" fontId="113" fillId="0" borderId="5015" applyNumberFormat="0" applyFill="0" applyAlignment="0" applyProtection="0"/>
    <xf numFmtId="222" fontId="79" fillId="0" borderId="5014" applyBorder="0"/>
    <xf numFmtId="0" fontId="101" fillId="0" borderId="5015" applyBorder="0"/>
    <xf numFmtId="222" fontId="79" fillId="0" borderId="5014" applyBorder="0"/>
    <xf numFmtId="0" fontId="75" fillId="0" borderId="5004" applyNumberFormat="0" applyFont="0" applyFill="0" applyAlignment="0" applyProtection="0"/>
    <xf numFmtId="186" fontId="146" fillId="3" borderId="5006">
      <alignment horizontal="left"/>
    </xf>
    <xf numFmtId="186" fontId="140" fillId="3" borderId="5007">
      <alignment horizontal="center" vertical="center"/>
    </xf>
    <xf numFmtId="0" fontId="2" fillId="0" borderId="5008" applyNumberFormat="0" applyAlignment="0" applyProtection="0"/>
    <xf numFmtId="0" fontId="214" fillId="0" borderId="5009" applyNumberFormat="0" applyFont="0" applyFill="0" applyAlignment="0" applyProtection="0"/>
    <xf numFmtId="0" fontId="25" fillId="10" borderId="5010" applyNumberFormat="0" applyProtection="0">
      <alignment horizontal="left" vertical="top"/>
    </xf>
    <xf numFmtId="0" fontId="25" fillId="10" borderId="5011" applyNumberFormat="0" applyProtection="0">
      <alignment horizontal="left" vertical="top"/>
    </xf>
    <xf numFmtId="0" fontId="25" fillId="10" borderId="5012" applyNumberFormat="0" applyProtection="0">
      <alignment horizontal="left" vertical="top"/>
    </xf>
    <xf numFmtId="0" fontId="25" fillId="10" borderId="5013" applyNumberFormat="0" applyProtection="0">
      <alignment horizontal="left" vertical="top"/>
    </xf>
    <xf numFmtId="0" fontId="78" fillId="14" borderId="5005" applyFont="0" applyFill="0" applyBorder="0" applyAlignment="0" applyProtection="0"/>
    <xf numFmtId="222" fontId="79" fillId="0" borderId="5002" applyBorder="0"/>
    <xf numFmtId="0" fontId="78" fillId="14" borderId="5017" applyFont="0" applyFill="0" applyBorder="0" applyAlignment="0" applyProtection="0"/>
    <xf numFmtId="186" fontId="146" fillId="3" borderId="5006">
      <alignment horizontal="left"/>
    </xf>
    <xf numFmtId="0" fontId="78" fillId="14" borderId="4993" applyFont="0" applyFill="0" applyBorder="0" applyAlignment="0" applyProtection="0"/>
    <xf numFmtId="222" fontId="79" fillId="0" borderId="5002" applyBorder="0"/>
    <xf numFmtId="0" fontId="2" fillId="0" borderId="5020" applyNumberFormat="0" applyAlignment="0" applyProtection="0"/>
    <xf numFmtId="0" fontId="78" fillId="14" borderId="4993" applyFont="0" applyFill="0" applyBorder="0" applyAlignment="0" applyProtection="0"/>
    <xf numFmtId="0" fontId="25" fillId="10" borderId="5001" applyNumberFormat="0" applyProtection="0">
      <alignment horizontal="left" vertical="top"/>
    </xf>
    <xf numFmtId="0" fontId="25" fillId="10" borderId="5000" applyNumberFormat="0" applyProtection="0">
      <alignment horizontal="left" vertical="top"/>
    </xf>
    <xf numFmtId="0" fontId="25" fillId="10" borderId="4999" applyNumberFormat="0" applyProtection="0">
      <alignment horizontal="left" vertical="top"/>
    </xf>
    <xf numFmtId="0" fontId="25" fillId="10" borderId="4998" applyNumberFormat="0" applyProtection="0">
      <alignment horizontal="left" vertical="top"/>
    </xf>
    <xf numFmtId="0" fontId="25" fillId="10" borderId="5023" applyNumberFormat="0" applyProtection="0">
      <alignment horizontal="left" vertical="top"/>
    </xf>
    <xf numFmtId="0" fontId="214" fillId="0" borderId="4997" applyNumberFormat="0" applyFont="0" applyFill="0" applyAlignment="0" applyProtection="0"/>
    <xf numFmtId="0" fontId="2" fillId="0" borderId="4996" applyNumberFormat="0" applyAlignment="0" applyProtection="0"/>
    <xf numFmtId="186" fontId="140" fillId="3" borderId="4995">
      <alignment horizontal="center" vertical="center"/>
    </xf>
    <xf numFmtId="186" fontId="146" fillId="3" borderId="4994">
      <alignment horizontal="left"/>
    </xf>
    <xf numFmtId="0" fontId="25" fillId="10" borderId="5025" applyNumberFormat="0" applyProtection="0">
      <alignment horizontal="left" vertical="top"/>
    </xf>
    <xf numFmtId="0" fontId="75" fillId="0" borderId="4992" applyNumberFormat="0" applyFont="0" applyFill="0" applyAlignment="0" applyProtection="0"/>
    <xf numFmtId="222" fontId="79" fillId="0" borderId="5002" applyBorder="0"/>
    <xf numFmtId="0" fontId="101" fillId="0" borderId="5003" applyBorder="0"/>
    <xf numFmtId="222" fontId="79" fillId="0" borderId="5002" applyBorder="0"/>
    <xf numFmtId="0" fontId="113" fillId="0" borderId="5003" applyNumberFormat="0" applyFill="0" applyAlignment="0" applyProtection="0"/>
    <xf numFmtId="0" fontId="12" fillId="0" borderId="5003" applyNumberFormat="0" applyFill="0" applyBorder="0" applyAlignment="0" applyProtection="0">
      <alignment horizontal="center"/>
    </xf>
    <xf numFmtId="248" fontId="46" fillId="0" borderId="5003"/>
    <xf numFmtId="192" fontId="9" fillId="3" borderId="5003">
      <alignment horizontal="right" vertical="center"/>
    </xf>
    <xf numFmtId="180" fontId="9" fillId="3" borderId="5003">
      <alignment horizontal="right" vertical="center"/>
    </xf>
    <xf numFmtId="186" fontId="146" fillId="3" borderId="5003" applyBorder="0">
      <alignment horizontal="left" vertical="center"/>
    </xf>
    <xf numFmtId="0" fontId="165" fillId="0" borderId="5003" applyFill="0" applyProtection="0">
      <alignment horizontal="center"/>
    </xf>
    <xf numFmtId="0" fontId="166" fillId="0" borderId="5003">
      <alignment horizontal="center"/>
    </xf>
    <xf numFmtId="264" fontId="12" fillId="14" borderId="5003" applyFont="0" applyFill="0" applyBorder="0" applyAlignment="0" applyProtection="0">
      <alignment horizontal="right"/>
    </xf>
    <xf numFmtId="0" fontId="210" fillId="0" borderId="5003" applyNumberFormat="0" applyFill="0" applyBorder="0" applyAlignment="0">
      <protection locked="0"/>
    </xf>
    <xf numFmtId="254" fontId="240" fillId="0" borderId="5003" applyBorder="0" applyProtection="0">
      <alignment horizontal="right" vertical="center"/>
    </xf>
    <xf numFmtId="0" fontId="241" fillId="94" borderId="5003" applyBorder="0" applyProtection="0">
      <alignment horizontal="centerContinuous" vertical="center"/>
    </xf>
    <xf numFmtId="246" fontId="249" fillId="0" borderId="5003" applyFill="0" applyProtection="0">
      <alignment horizontal="center"/>
    </xf>
    <xf numFmtId="246" fontId="250" fillId="0" borderId="5003" applyFill="0" applyProtection="0">
      <alignment horizontal="center"/>
    </xf>
    <xf numFmtId="186" fontId="140" fillId="3" borderId="5019">
      <alignment horizontal="center" vertical="center"/>
    </xf>
    <xf numFmtId="0" fontId="78" fillId="14" borderId="5005" applyFont="0" applyFill="0" applyBorder="0" applyAlignment="0" applyProtection="0"/>
    <xf numFmtId="222" fontId="79" fillId="0" borderId="5026" applyBorder="0"/>
    <xf numFmtId="0" fontId="78" fillId="14" borderId="5029" applyFont="0" applyFill="0" applyBorder="0" applyAlignment="0" applyProtection="0"/>
    <xf numFmtId="0" fontId="25" fillId="10" borderId="5037" applyNumberFormat="0" applyProtection="0">
      <alignment horizontal="left" vertical="top"/>
    </xf>
    <xf numFmtId="0" fontId="25" fillId="10" borderId="5036" applyNumberFormat="0" applyProtection="0">
      <alignment horizontal="left" vertical="top"/>
    </xf>
    <xf numFmtId="0" fontId="25" fillId="10" borderId="5035" applyNumberFormat="0" applyProtection="0">
      <alignment horizontal="left" vertical="top"/>
    </xf>
    <xf numFmtId="0" fontId="25" fillId="10" borderId="5034" applyNumberFormat="0" applyProtection="0">
      <alignment horizontal="left" vertical="top"/>
    </xf>
    <xf numFmtId="0" fontId="214" fillId="0" borderId="5033" applyNumberFormat="0" applyFont="0" applyFill="0" applyAlignment="0" applyProtection="0"/>
    <xf numFmtId="0" fontId="2" fillId="0" borderId="5032" applyNumberFormat="0" applyAlignment="0" applyProtection="0"/>
    <xf numFmtId="186" fontId="140" fillId="3" borderId="5031">
      <alignment horizontal="center" vertical="center"/>
    </xf>
    <xf numFmtId="186" fontId="146" fillId="3" borderId="5030">
      <alignment horizontal="left"/>
    </xf>
    <xf numFmtId="0" fontId="75" fillId="0" borderId="5028" applyNumberFormat="0" applyFont="0" applyFill="0" applyAlignment="0" applyProtection="0"/>
    <xf numFmtId="222" fontId="79" fillId="0" borderId="5038" applyBorder="0"/>
    <xf numFmtId="0" fontId="101" fillId="0" borderId="5039" applyBorder="0"/>
    <xf numFmtId="222" fontId="79" fillId="0" borderId="5038" applyBorder="0"/>
    <xf numFmtId="0" fontId="113" fillId="0" borderId="5039" applyNumberFormat="0" applyFill="0" applyAlignment="0" applyProtection="0"/>
    <xf numFmtId="0" fontId="12" fillId="0" borderId="5039" applyNumberFormat="0" applyFill="0" applyBorder="0" applyAlignment="0" applyProtection="0">
      <alignment horizontal="center"/>
    </xf>
    <xf numFmtId="248" fontId="46" fillId="0" borderId="5039"/>
    <xf numFmtId="192" fontId="9" fillId="3" borderId="5039">
      <alignment horizontal="right" vertical="center"/>
    </xf>
    <xf numFmtId="180" fontId="9" fillId="3" borderId="5039">
      <alignment horizontal="right" vertical="center"/>
    </xf>
    <xf numFmtId="186" fontId="146" fillId="3" borderId="5039" applyBorder="0">
      <alignment horizontal="left" vertical="center"/>
    </xf>
    <xf numFmtId="0" fontId="165" fillId="0" borderId="5039" applyFill="0" applyProtection="0">
      <alignment horizontal="center"/>
    </xf>
    <xf numFmtId="0" fontId="166" fillId="0" borderId="5039">
      <alignment horizontal="center"/>
    </xf>
    <xf numFmtId="264" fontId="12" fillId="14" borderId="5039" applyFont="0" applyFill="0" applyBorder="0" applyAlignment="0" applyProtection="0">
      <alignment horizontal="right"/>
    </xf>
    <xf numFmtId="0" fontId="210" fillId="0" borderId="5039" applyNumberFormat="0" applyFill="0" applyBorder="0" applyAlignment="0">
      <protection locked="0"/>
    </xf>
    <xf numFmtId="254" fontId="240" fillId="0" borderId="5039" applyBorder="0" applyProtection="0">
      <alignment horizontal="right" vertical="center"/>
    </xf>
    <xf numFmtId="0" fontId="241" fillId="94" borderId="5039" applyBorder="0" applyProtection="0">
      <alignment horizontal="centerContinuous" vertical="center"/>
    </xf>
    <xf numFmtId="246" fontId="249" fillId="0" borderId="5039" applyFill="0" applyProtection="0">
      <alignment horizontal="center"/>
    </xf>
    <xf numFmtId="246" fontId="250" fillId="0" borderId="5039" applyFill="0" applyProtection="0">
      <alignment horizontal="center"/>
    </xf>
    <xf numFmtId="222" fontId="79" fillId="0" borderId="5050" applyBorder="0"/>
    <xf numFmtId="0" fontId="78" fillId="14" borderId="5053" applyFont="0" applyFill="0" applyBorder="0" applyAlignment="0" applyProtection="0"/>
    <xf numFmtId="0" fontId="25" fillId="10" borderId="5061" applyNumberFormat="0" applyProtection="0">
      <alignment horizontal="left" vertical="top"/>
    </xf>
    <xf numFmtId="0" fontId="25" fillId="10" borderId="5060" applyNumberFormat="0" applyProtection="0">
      <alignment horizontal="left" vertical="top"/>
    </xf>
    <xf numFmtId="0" fontId="25" fillId="10" borderId="5059" applyNumberFormat="0" applyProtection="0">
      <alignment horizontal="left" vertical="top"/>
    </xf>
    <xf numFmtId="0" fontId="25" fillId="10" borderId="5058" applyNumberFormat="0" applyProtection="0">
      <alignment horizontal="left" vertical="top"/>
    </xf>
    <xf numFmtId="0" fontId="214" fillId="0" borderId="5057" applyNumberFormat="0" applyFont="0" applyFill="0" applyAlignment="0" applyProtection="0"/>
    <xf numFmtId="0" fontId="2" fillId="0" borderId="5056" applyNumberFormat="0" applyAlignment="0" applyProtection="0"/>
    <xf numFmtId="186" fontId="140" fillId="3" borderId="5055">
      <alignment horizontal="center" vertical="center"/>
    </xf>
    <xf numFmtId="186" fontId="146" fillId="3" borderId="5054">
      <alignment horizontal="left"/>
    </xf>
    <xf numFmtId="0" fontId="75" fillId="0" borderId="5052" applyNumberFormat="0" applyFont="0" applyFill="0" applyAlignment="0" applyProtection="0"/>
    <xf numFmtId="222" fontId="79" fillId="0" borderId="5062" applyBorder="0"/>
    <xf numFmtId="0" fontId="101" fillId="0" borderId="5063" applyBorder="0"/>
    <xf numFmtId="222" fontId="79" fillId="0" borderId="5062" applyBorder="0"/>
    <xf numFmtId="0" fontId="113" fillId="0" borderId="5063" applyNumberFormat="0" applyFill="0" applyAlignment="0" applyProtection="0"/>
    <xf numFmtId="0" fontId="12" fillId="0" borderId="5063" applyNumberFormat="0" applyFill="0" applyBorder="0" applyAlignment="0" applyProtection="0">
      <alignment horizontal="center"/>
    </xf>
    <xf numFmtId="248" fontId="46" fillId="0" borderId="5063"/>
    <xf numFmtId="192" fontId="9" fillId="3" borderId="5063">
      <alignment horizontal="right" vertical="center"/>
    </xf>
    <xf numFmtId="180" fontId="9" fillId="3" borderId="5063">
      <alignment horizontal="right" vertical="center"/>
    </xf>
    <xf numFmtId="186" fontId="146" fillId="3" borderId="5063" applyBorder="0">
      <alignment horizontal="left" vertical="center"/>
    </xf>
    <xf numFmtId="0" fontId="165" fillId="0" borderId="5063" applyFill="0" applyProtection="0">
      <alignment horizontal="center"/>
    </xf>
    <xf numFmtId="0" fontId="166" fillId="0" borderId="5063">
      <alignment horizontal="center"/>
    </xf>
    <xf numFmtId="264" fontId="12" fillId="14" borderId="5063" applyFont="0" applyFill="0" applyBorder="0" applyAlignment="0" applyProtection="0">
      <alignment horizontal="right"/>
    </xf>
    <xf numFmtId="0" fontId="210" fillId="0" borderId="5063" applyNumberFormat="0" applyFill="0" applyBorder="0" applyAlignment="0">
      <protection locked="0"/>
    </xf>
    <xf numFmtId="254" fontId="240" fillId="0" borderId="5063" applyBorder="0" applyProtection="0">
      <alignment horizontal="right" vertical="center"/>
    </xf>
    <xf numFmtId="0" fontId="241" fillId="94" borderId="5063" applyBorder="0" applyProtection="0">
      <alignment horizontal="centerContinuous" vertical="center"/>
    </xf>
    <xf numFmtId="246" fontId="249" fillId="0" borderId="5063" applyFill="0" applyProtection="0">
      <alignment horizontal="center"/>
    </xf>
    <xf numFmtId="246" fontId="250" fillId="0" borderId="5063" applyFill="0" applyProtection="0">
      <alignment horizontal="center"/>
    </xf>
    <xf numFmtId="0" fontId="75" fillId="0" borderId="5076" applyNumberFormat="0" applyFont="0" applyFill="0" applyAlignment="0" applyProtection="0"/>
    <xf numFmtId="0" fontId="78" fillId="14" borderId="5077" applyFont="0" applyFill="0" applyBorder="0" applyAlignment="0" applyProtection="0"/>
    <xf numFmtId="186" fontId="146" fillId="3" borderId="5078">
      <alignment horizontal="left"/>
    </xf>
    <xf numFmtId="186" fontId="140" fillId="3" borderId="5079">
      <alignment horizontal="center" vertical="center"/>
    </xf>
    <xf numFmtId="0" fontId="2" fillId="0" borderId="5080" applyNumberFormat="0" applyAlignment="0" applyProtection="0"/>
    <xf numFmtId="0" fontId="214" fillId="0" borderId="5081" applyNumberFormat="0" applyFont="0" applyFill="0" applyAlignment="0" applyProtection="0"/>
    <xf numFmtId="0" fontId="25" fillId="10" borderId="5082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25" fillId="10" borderId="5084" applyNumberFormat="0" applyProtection="0">
      <alignment horizontal="left" vertical="top"/>
    </xf>
    <xf numFmtId="0" fontId="25" fillId="10" borderId="5085" applyNumberFormat="0" applyProtection="0">
      <alignment horizontal="left" vertical="top"/>
    </xf>
    <xf numFmtId="246" fontId="250" fillId="0" borderId="5075" applyFill="0" applyProtection="0">
      <alignment horizontal="center"/>
    </xf>
    <xf numFmtId="246" fontId="249" fillId="0" borderId="5075" applyFill="0" applyProtection="0">
      <alignment horizontal="center"/>
    </xf>
    <xf numFmtId="0" fontId="241" fillId="94" borderId="5075" applyBorder="0" applyProtection="0">
      <alignment horizontal="centerContinuous" vertical="center"/>
    </xf>
    <xf numFmtId="254" fontId="240" fillId="0" borderId="5075" applyBorder="0" applyProtection="0">
      <alignment horizontal="right" vertical="center"/>
    </xf>
    <xf numFmtId="0" fontId="210" fillId="0" borderId="5075" applyNumberFormat="0" applyFill="0" applyBorder="0" applyAlignment="0">
      <protection locked="0"/>
    </xf>
    <xf numFmtId="264" fontId="12" fillId="14" borderId="5075" applyFont="0" applyFill="0" applyBorder="0" applyAlignment="0" applyProtection="0">
      <alignment horizontal="right"/>
    </xf>
    <xf numFmtId="0" fontId="166" fillId="0" borderId="5075">
      <alignment horizontal="center"/>
    </xf>
    <xf numFmtId="0" fontId="165" fillId="0" borderId="5075" applyFill="0" applyProtection="0">
      <alignment horizontal="center"/>
    </xf>
    <xf numFmtId="186" fontId="146" fillId="3" borderId="5075" applyBorder="0">
      <alignment horizontal="left" vertical="center"/>
    </xf>
    <xf numFmtId="180" fontId="9" fillId="3" borderId="5075">
      <alignment horizontal="right" vertical="center"/>
    </xf>
    <xf numFmtId="192" fontId="9" fillId="3" borderId="5075">
      <alignment horizontal="right" vertical="center"/>
    </xf>
    <xf numFmtId="0" fontId="12" fillId="0" borderId="5075" applyNumberFormat="0" applyFill="0" applyBorder="0" applyAlignment="0" applyProtection="0">
      <alignment horizontal="center"/>
    </xf>
    <xf numFmtId="0" fontId="113" fillId="0" borderId="5075" applyNumberFormat="0" applyFill="0" applyAlignment="0" applyProtection="0"/>
    <xf numFmtId="222" fontId="79" fillId="0" borderId="5074" applyBorder="0"/>
    <xf numFmtId="0" fontId="101" fillId="0" borderId="5075" applyBorder="0"/>
    <xf numFmtId="248" fontId="46" fillId="0" borderId="5075"/>
    <xf numFmtId="0" fontId="101" fillId="0" borderId="5075" applyBorder="0"/>
    <xf numFmtId="222" fontId="79" fillId="0" borderId="5074" applyBorder="0"/>
    <xf numFmtId="0" fontId="113" fillId="0" borderId="5075" applyNumberFormat="0" applyFill="0" applyAlignment="0" applyProtection="0"/>
    <xf numFmtId="0" fontId="75" fillId="0" borderId="5076" applyNumberFormat="0" applyFont="0" applyFill="0" applyAlignment="0" applyProtection="0"/>
    <xf numFmtId="0" fontId="12" fillId="0" borderId="5075" applyNumberFormat="0" applyFill="0" applyBorder="0" applyAlignment="0" applyProtection="0">
      <alignment horizontal="center"/>
    </xf>
    <xf numFmtId="248" fontId="46" fillId="0" borderId="5075"/>
    <xf numFmtId="192" fontId="9" fillId="3" borderId="5075">
      <alignment horizontal="right" vertical="center"/>
    </xf>
    <xf numFmtId="180" fontId="9" fillId="3" borderId="5075">
      <alignment horizontal="right" vertical="center"/>
    </xf>
    <xf numFmtId="186" fontId="146" fillId="3" borderId="5075" applyBorder="0">
      <alignment horizontal="left" vertical="center"/>
    </xf>
    <xf numFmtId="186" fontId="146" fillId="3" borderId="5078">
      <alignment horizontal="left"/>
    </xf>
    <xf numFmtId="186" fontId="140" fillId="3" borderId="5079">
      <alignment horizontal="center" vertical="center"/>
    </xf>
    <xf numFmtId="0" fontId="165" fillId="0" borderId="5075" applyFill="0" applyProtection="0">
      <alignment horizontal="center"/>
    </xf>
    <xf numFmtId="0" fontId="166" fillId="0" borderId="5075">
      <alignment horizontal="center"/>
    </xf>
    <xf numFmtId="264" fontId="12" fillId="14" borderId="5075" applyFont="0" applyFill="0" applyBorder="0" applyAlignment="0" applyProtection="0">
      <alignment horizontal="right"/>
    </xf>
    <xf numFmtId="0" fontId="210" fillId="0" borderId="5075" applyNumberFormat="0" applyFill="0" applyBorder="0" applyAlignment="0">
      <protection locked="0"/>
    </xf>
    <xf numFmtId="0" fontId="2" fillId="0" borderId="5080" applyNumberFormat="0" applyAlignment="0" applyProtection="0"/>
    <xf numFmtId="0" fontId="214" fillId="0" borderId="5081" applyNumberFormat="0" applyFont="0" applyFill="0" applyAlignment="0" applyProtection="0"/>
    <xf numFmtId="0" fontId="25" fillId="10" borderId="5082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25" fillId="10" borderId="5084" applyNumberFormat="0" applyProtection="0">
      <alignment horizontal="left" vertical="top"/>
    </xf>
    <xf numFmtId="0" fontId="25" fillId="10" borderId="5085" applyNumberFormat="0" applyProtection="0">
      <alignment horizontal="left" vertical="top"/>
    </xf>
    <xf numFmtId="0" fontId="25" fillId="10" borderId="5082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25" fillId="10" borderId="5084" applyNumberFormat="0" applyProtection="0">
      <alignment horizontal="left" vertical="top"/>
    </xf>
    <xf numFmtId="0" fontId="25" fillId="10" borderId="5085" applyNumberFormat="0" applyProtection="0">
      <alignment horizontal="left" vertical="top"/>
    </xf>
    <xf numFmtId="254" fontId="240" fillId="0" borderId="5075" applyBorder="0" applyProtection="0">
      <alignment horizontal="right" vertical="center"/>
    </xf>
    <xf numFmtId="0" fontId="241" fillId="94" borderId="5075" applyBorder="0" applyProtection="0">
      <alignment horizontal="centerContinuous" vertical="center"/>
    </xf>
    <xf numFmtId="246" fontId="249" fillId="0" borderId="5075" applyFill="0" applyProtection="0">
      <alignment horizontal="center"/>
    </xf>
    <xf numFmtId="246" fontId="250" fillId="0" borderId="5075" applyFill="0" applyProtection="0">
      <alignment horizontal="center"/>
    </xf>
    <xf numFmtId="190" fontId="101" fillId="0" borderId="5075" applyBorder="0"/>
    <xf numFmtId="190" fontId="113" fillId="0" borderId="5075" applyNumberFormat="0" applyFill="0" applyAlignment="0" applyProtection="0"/>
    <xf numFmtId="190" fontId="75" fillId="0" borderId="5052" applyNumberFormat="0" applyFont="0" applyFill="0" applyAlignment="0" applyProtection="0"/>
    <xf numFmtId="190" fontId="12" fillId="0" borderId="5075" applyNumberFormat="0" applyFill="0" applyBorder="0" applyAlignment="0" applyProtection="0">
      <alignment horizontal="center"/>
    </xf>
    <xf numFmtId="190" fontId="78" fillId="14" borderId="5065" applyFont="0" applyFill="0" applyBorder="0" applyAlignment="0" applyProtection="0"/>
    <xf numFmtId="190" fontId="165" fillId="0" borderId="5075" applyFill="0" applyProtection="0">
      <alignment horizontal="center"/>
    </xf>
    <xf numFmtId="190" fontId="166" fillId="0" borderId="5075">
      <alignment horizontal="center"/>
    </xf>
    <xf numFmtId="190" fontId="210" fillId="0" borderId="5075" applyNumberFormat="0" applyFill="0" applyBorder="0" applyAlignment="0">
      <protection locked="0"/>
    </xf>
    <xf numFmtId="190" fontId="2" fillId="0" borderId="5056" applyNumberFormat="0" applyAlignment="0" applyProtection="0"/>
    <xf numFmtId="190" fontId="214" fillId="0" borderId="5057" applyNumberFormat="0" applyFont="0" applyFill="0" applyAlignment="0" applyProtection="0"/>
    <xf numFmtId="190" fontId="25" fillId="10" borderId="5058" applyNumberFormat="0" applyProtection="0">
      <alignment horizontal="left" vertical="top"/>
    </xf>
    <xf numFmtId="190" fontId="25" fillId="10" borderId="5059" applyNumberFormat="0" applyProtection="0">
      <alignment horizontal="left" vertical="top"/>
    </xf>
    <xf numFmtId="190" fontId="25" fillId="10" borderId="5060" applyNumberFormat="0" applyProtection="0">
      <alignment horizontal="left" vertical="top"/>
    </xf>
    <xf numFmtId="190" fontId="25" fillId="10" borderId="5061" applyNumberFormat="0" applyProtection="0">
      <alignment horizontal="left" vertical="top"/>
    </xf>
    <xf numFmtId="190" fontId="241" fillId="94" borderId="5075" applyBorder="0" applyProtection="0">
      <alignment horizontal="centerContinuous" vertical="center"/>
    </xf>
    <xf numFmtId="222" fontId="79" fillId="0" borderId="5074" applyBorder="0"/>
    <xf numFmtId="0" fontId="101" fillId="0" borderId="5075" applyBorder="0"/>
    <xf numFmtId="222" fontId="79" fillId="0" borderId="5074" applyBorder="0"/>
    <xf numFmtId="0" fontId="113" fillId="0" borderId="5075" applyNumberFormat="0" applyFill="0" applyAlignment="0" applyProtection="0"/>
    <xf numFmtId="0" fontId="75" fillId="0" borderId="5052" applyNumberFormat="0" applyFont="0" applyFill="0" applyAlignment="0" applyProtection="0"/>
    <xf numFmtId="0" fontId="12" fillId="0" borderId="5075" applyNumberFormat="0" applyFill="0" applyBorder="0" applyAlignment="0" applyProtection="0">
      <alignment horizontal="center"/>
    </xf>
    <xf numFmtId="248" fontId="46" fillId="0" borderId="5075"/>
    <xf numFmtId="192" fontId="9" fillId="3" borderId="5075">
      <alignment horizontal="right" vertical="center"/>
    </xf>
    <xf numFmtId="180" fontId="9" fillId="3" borderId="5075">
      <alignment horizontal="right" vertical="center"/>
    </xf>
    <xf numFmtId="186" fontId="146" fillId="3" borderId="5075" applyBorder="0">
      <alignment horizontal="left" vertical="center"/>
    </xf>
    <xf numFmtId="186" fontId="146" fillId="3" borderId="5054">
      <alignment horizontal="left"/>
    </xf>
    <xf numFmtId="186" fontId="140" fillId="3" borderId="5055">
      <alignment horizontal="center" vertical="center"/>
    </xf>
    <xf numFmtId="0" fontId="165" fillId="0" borderId="5075" applyFill="0" applyProtection="0">
      <alignment horizontal="center"/>
    </xf>
    <xf numFmtId="0" fontId="166" fillId="0" borderId="5075">
      <alignment horizontal="center"/>
    </xf>
    <xf numFmtId="264" fontId="12" fillId="14" borderId="5075" applyFont="0" applyFill="0" applyBorder="0" applyAlignment="0" applyProtection="0">
      <alignment horizontal="right"/>
    </xf>
    <xf numFmtId="0" fontId="210" fillId="0" borderId="5075" applyNumberFormat="0" applyFill="0" applyBorder="0" applyAlignment="0">
      <protection locked="0"/>
    </xf>
    <xf numFmtId="0" fontId="2" fillId="0" borderId="5056" applyNumberFormat="0" applyAlignment="0" applyProtection="0"/>
    <xf numFmtId="0" fontId="214" fillId="0" borderId="5057" applyNumberFormat="0" applyFont="0" applyFill="0" applyAlignment="0" applyProtection="0"/>
    <xf numFmtId="0" fontId="25" fillId="10" borderId="5058" applyNumberFormat="0" applyProtection="0">
      <alignment horizontal="left" vertical="top"/>
    </xf>
    <xf numFmtId="0" fontId="25" fillId="10" borderId="5059" applyNumberFormat="0" applyProtection="0">
      <alignment horizontal="left" vertical="top"/>
    </xf>
    <xf numFmtId="0" fontId="25" fillId="10" borderId="5060" applyNumberFormat="0" applyProtection="0">
      <alignment horizontal="left" vertical="top"/>
    </xf>
    <xf numFmtId="0" fontId="25" fillId="10" borderId="5061" applyNumberFormat="0" applyProtection="0">
      <alignment horizontal="left" vertical="top"/>
    </xf>
    <xf numFmtId="0" fontId="25" fillId="10" borderId="5058" applyNumberFormat="0" applyProtection="0">
      <alignment horizontal="left" vertical="top"/>
    </xf>
    <xf numFmtId="0" fontId="25" fillId="10" borderId="5059" applyNumberFormat="0" applyProtection="0">
      <alignment horizontal="left" vertical="top"/>
    </xf>
    <xf numFmtId="0" fontId="25" fillId="10" borderId="5060" applyNumberFormat="0" applyProtection="0">
      <alignment horizontal="left" vertical="top"/>
    </xf>
    <xf numFmtId="0" fontId="25" fillId="10" borderId="5061" applyNumberFormat="0" applyProtection="0">
      <alignment horizontal="left" vertical="top"/>
    </xf>
    <xf numFmtId="254" fontId="240" fillId="0" borderId="5075" applyBorder="0" applyProtection="0">
      <alignment horizontal="right" vertical="center"/>
    </xf>
    <xf numFmtId="0" fontId="241" fillId="94" borderId="5075" applyBorder="0" applyProtection="0">
      <alignment horizontal="centerContinuous" vertical="center"/>
    </xf>
    <xf numFmtId="246" fontId="249" fillId="0" borderId="5075" applyFill="0" applyProtection="0">
      <alignment horizontal="center"/>
    </xf>
    <xf numFmtId="246" fontId="250" fillId="0" borderId="5075" applyFill="0" applyProtection="0">
      <alignment horizontal="center"/>
    </xf>
    <xf numFmtId="312" fontId="101" fillId="0" borderId="5075" applyBorder="0"/>
    <xf numFmtId="312" fontId="113" fillId="0" borderId="5075" applyNumberFormat="0" applyFill="0" applyAlignment="0" applyProtection="0"/>
    <xf numFmtId="312" fontId="75" fillId="0" borderId="5052" applyNumberFormat="0" applyFont="0" applyFill="0" applyAlignment="0" applyProtection="0"/>
    <xf numFmtId="312" fontId="12" fillId="0" borderId="5075" applyNumberFormat="0" applyFill="0" applyBorder="0" applyAlignment="0" applyProtection="0">
      <alignment horizontal="center"/>
    </xf>
    <xf numFmtId="312" fontId="165" fillId="0" borderId="5075" applyFill="0" applyProtection="0">
      <alignment horizontal="center"/>
    </xf>
    <xf numFmtId="312" fontId="242" fillId="0" borderId="5075">
      <alignment horizontal="center"/>
    </xf>
    <xf numFmtId="312" fontId="210" fillId="0" borderId="5075" applyNumberFormat="0" applyFill="0" applyBorder="0" applyAlignment="0">
      <protection locked="0"/>
    </xf>
    <xf numFmtId="312" fontId="2" fillId="0" borderId="5056" applyNumberFormat="0" applyAlignment="0" applyProtection="0"/>
    <xf numFmtId="312" fontId="214" fillId="0" borderId="5057" applyNumberFormat="0" applyFont="0" applyFill="0" applyAlignment="0" applyProtection="0"/>
    <xf numFmtId="312" fontId="25" fillId="10" borderId="5058" applyNumberFormat="0" applyProtection="0">
      <alignment horizontal="left" vertical="top"/>
    </xf>
    <xf numFmtId="312" fontId="25" fillId="10" borderId="5059" applyNumberFormat="0" applyProtection="0">
      <alignment horizontal="left" vertical="top"/>
    </xf>
    <xf numFmtId="312" fontId="25" fillId="10" borderId="5060" applyNumberFormat="0" applyProtection="0">
      <alignment horizontal="left" vertical="top"/>
    </xf>
    <xf numFmtId="312" fontId="25" fillId="10" borderId="5061" applyNumberFormat="0" applyProtection="0">
      <alignment horizontal="left" vertical="top"/>
    </xf>
    <xf numFmtId="312" fontId="241" fillId="94" borderId="5075" applyBorder="0" applyProtection="0">
      <alignment horizontal="centerContinuous" vertical="center"/>
    </xf>
    <xf numFmtId="246" fontId="296" fillId="0" borderId="5075" applyFill="0" applyProtection="0">
      <alignment horizontal="center"/>
    </xf>
    <xf numFmtId="312" fontId="101" fillId="0" borderId="5075" applyBorder="0"/>
    <xf numFmtId="312" fontId="113" fillId="0" borderId="5075" applyNumberFormat="0" applyFill="0" applyAlignment="0" applyProtection="0"/>
    <xf numFmtId="312" fontId="75" fillId="0" borderId="5052" applyNumberFormat="0" applyFont="0" applyFill="0" applyAlignment="0" applyProtection="0"/>
    <xf numFmtId="312" fontId="12" fillId="0" borderId="5075" applyNumberFormat="0" applyFill="0" applyBorder="0" applyAlignment="0" applyProtection="0">
      <alignment horizontal="center"/>
    </xf>
    <xf numFmtId="312" fontId="165" fillId="0" borderId="5075" applyFill="0" applyProtection="0">
      <alignment horizontal="center"/>
    </xf>
    <xf numFmtId="312" fontId="242" fillId="0" borderId="5075">
      <alignment horizontal="center"/>
    </xf>
    <xf numFmtId="312" fontId="210" fillId="0" borderId="5075" applyNumberFormat="0" applyFill="0" applyBorder="0" applyAlignment="0">
      <protection locked="0"/>
    </xf>
    <xf numFmtId="312" fontId="2" fillId="0" borderId="5056" applyNumberFormat="0" applyAlignment="0" applyProtection="0"/>
    <xf numFmtId="312" fontId="214" fillId="0" borderId="5057" applyNumberFormat="0" applyFont="0" applyFill="0" applyAlignment="0" applyProtection="0"/>
    <xf numFmtId="312" fontId="25" fillId="10" borderId="5058" applyNumberFormat="0" applyProtection="0">
      <alignment horizontal="left" vertical="top"/>
    </xf>
    <xf numFmtId="312" fontId="25" fillId="10" borderId="5059" applyNumberFormat="0" applyProtection="0">
      <alignment horizontal="left" vertical="top"/>
    </xf>
    <xf numFmtId="312" fontId="25" fillId="10" borderId="5060" applyNumberFormat="0" applyProtection="0">
      <alignment horizontal="left" vertical="top"/>
    </xf>
    <xf numFmtId="312" fontId="25" fillId="10" borderId="5061" applyNumberFormat="0" applyProtection="0">
      <alignment horizontal="left" vertical="top"/>
    </xf>
    <xf numFmtId="312" fontId="25" fillId="10" borderId="5058" applyNumberFormat="0" applyProtection="0">
      <alignment horizontal="left" vertical="top"/>
    </xf>
    <xf numFmtId="312" fontId="25" fillId="10" borderId="5059" applyNumberFormat="0" applyProtection="0">
      <alignment horizontal="left" vertical="top"/>
    </xf>
    <xf numFmtId="312" fontId="25" fillId="10" borderId="5060" applyNumberFormat="0" applyProtection="0">
      <alignment horizontal="left" vertical="top"/>
    </xf>
    <xf numFmtId="312" fontId="25" fillId="10" borderId="5061" applyNumberFormat="0" applyProtection="0">
      <alignment horizontal="left" vertical="top"/>
    </xf>
    <xf numFmtId="312" fontId="241" fillId="94" borderId="5075" applyBorder="0" applyProtection="0">
      <alignment horizontal="centerContinuous" vertical="center"/>
    </xf>
    <xf numFmtId="246" fontId="296" fillId="0" borderId="5075" applyFill="0" applyProtection="0">
      <alignment horizontal="center"/>
    </xf>
    <xf numFmtId="246" fontId="250" fillId="0" borderId="5075" applyFill="0" applyProtection="0">
      <alignment horizontal="center"/>
    </xf>
    <xf numFmtId="246" fontId="249" fillId="0" borderId="5075" applyFill="0" applyProtection="0">
      <alignment horizontal="center"/>
    </xf>
    <xf numFmtId="0" fontId="241" fillId="94" borderId="5075" applyBorder="0" applyProtection="0">
      <alignment horizontal="centerContinuous" vertical="center"/>
    </xf>
    <xf numFmtId="254" fontId="240" fillId="0" borderId="5075" applyBorder="0" applyProtection="0">
      <alignment horizontal="right" vertical="center"/>
    </xf>
    <xf numFmtId="0" fontId="25" fillId="10" borderId="5073" applyNumberFormat="0" applyProtection="0">
      <alignment horizontal="left" vertical="top"/>
    </xf>
    <xf numFmtId="0" fontId="25" fillId="10" borderId="5072" applyNumberFormat="0" applyProtection="0">
      <alignment horizontal="left" vertical="top"/>
    </xf>
    <xf numFmtId="0" fontId="25" fillId="10" borderId="5071" applyNumberFormat="0" applyProtection="0">
      <alignment horizontal="left" vertical="top"/>
    </xf>
    <xf numFmtId="0" fontId="25" fillId="10" borderId="5070" applyNumberFormat="0" applyProtection="0">
      <alignment horizontal="left" vertical="top"/>
    </xf>
    <xf numFmtId="0" fontId="214" fillId="0" borderId="5069" applyNumberFormat="0" applyFont="0" applyFill="0" applyAlignment="0" applyProtection="0"/>
    <xf numFmtId="0" fontId="2" fillId="0" borderId="5068" applyNumberFormat="0" applyAlignment="0" applyProtection="0"/>
    <xf numFmtId="0" fontId="210" fillId="0" borderId="5075" applyNumberFormat="0" applyFill="0" applyBorder="0" applyAlignment="0">
      <protection locked="0"/>
    </xf>
    <xf numFmtId="264" fontId="12" fillId="14" borderId="5075" applyFont="0" applyFill="0" applyBorder="0" applyAlignment="0" applyProtection="0">
      <alignment horizontal="right"/>
    </xf>
    <xf numFmtId="0" fontId="166" fillId="0" borderId="5075">
      <alignment horizontal="center"/>
    </xf>
    <xf numFmtId="0" fontId="165" fillId="0" borderId="5075" applyFill="0" applyProtection="0">
      <alignment horizontal="center"/>
    </xf>
    <xf numFmtId="186" fontId="140" fillId="3" borderId="5067">
      <alignment horizontal="center" vertical="center"/>
    </xf>
    <xf numFmtId="186" fontId="146" fillId="3" borderId="5066">
      <alignment horizontal="left"/>
    </xf>
    <xf numFmtId="186" fontId="146" fillId="3" borderId="5075" applyBorder="0">
      <alignment horizontal="left" vertical="center"/>
    </xf>
    <xf numFmtId="180" fontId="9" fillId="3" borderId="5075">
      <alignment horizontal="right" vertical="center"/>
    </xf>
    <xf numFmtId="192" fontId="9" fillId="3" borderId="5075">
      <alignment horizontal="right" vertical="center"/>
    </xf>
    <xf numFmtId="248" fontId="46" fillId="0" borderId="5075"/>
    <xf numFmtId="0" fontId="78" fillId="14" borderId="5065" applyFont="0" applyFill="0" applyBorder="0" applyAlignment="0" applyProtection="0"/>
    <xf numFmtId="0" fontId="12" fillId="0" borderId="5075" applyNumberFormat="0" applyFill="0" applyBorder="0" applyAlignment="0" applyProtection="0">
      <alignment horizontal="center"/>
    </xf>
    <xf numFmtId="0" fontId="75" fillId="0" borderId="5064" applyNumberFormat="0" applyFont="0" applyFill="0" applyAlignment="0" applyProtection="0"/>
    <xf numFmtId="0" fontId="113" fillId="0" borderId="5075" applyNumberFormat="0" applyFill="0" applyAlignment="0" applyProtection="0"/>
    <xf numFmtId="222" fontId="79" fillId="0" borderId="5074" applyBorder="0"/>
    <xf numFmtId="0" fontId="101" fillId="0" borderId="5075" applyBorder="0"/>
    <xf numFmtId="0" fontId="25" fillId="10" borderId="5082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25" fillId="10" borderId="5084" applyNumberFormat="0" applyProtection="0">
      <alignment horizontal="left" vertical="top"/>
    </xf>
    <xf numFmtId="0" fontId="25" fillId="10" borderId="5085" applyNumberFormat="0" applyProtection="0">
      <alignment horizontal="left" vertical="top"/>
    </xf>
    <xf numFmtId="246" fontId="250" fillId="0" borderId="5063" applyFill="0" applyProtection="0">
      <alignment horizontal="center"/>
    </xf>
    <xf numFmtId="246" fontId="249" fillId="0" borderId="5063" applyFill="0" applyProtection="0">
      <alignment horizontal="center"/>
    </xf>
    <xf numFmtId="0" fontId="241" fillId="94" borderId="5063" applyBorder="0" applyProtection="0">
      <alignment horizontal="centerContinuous" vertical="center"/>
    </xf>
    <xf numFmtId="254" fontId="240" fillId="0" borderId="5063" applyBorder="0" applyProtection="0">
      <alignment horizontal="right" vertical="center"/>
    </xf>
    <xf numFmtId="0" fontId="210" fillId="0" borderId="5063" applyNumberFormat="0" applyFill="0" applyBorder="0" applyAlignment="0">
      <protection locked="0"/>
    </xf>
    <xf numFmtId="264" fontId="12" fillId="14" borderId="5063" applyFont="0" applyFill="0" applyBorder="0" applyAlignment="0" applyProtection="0">
      <alignment horizontal="right"/>
    </xf>
    <xf numFmtId="0" fontId="166" fillId="0" borderId="5063">
      <alignment horizontal="center"/>
    </xf>
    <xf numFmtId="0" fontId="165" fillId="0" borderId="5063" applyFill="0" applyProtection="0">
      <alignment horizontal="center"/>
    </xf>
    <xf numFmtId="186" fontId="146" fillId="3" borderId="5063" applyBorder="0">
      <alignment horizontal="left" vertical="center"/>
    </xf>
    <xf numFmtId="180" fontId="9" fillId="3" borderId="5063">
      <alignment horizontal="right" vertical="center"/>
    </xf>
    <xf numFmtId="192" fontId="9" fillId="3" borderId="5063">
      <alignment horizontal="right" vertical="center"/>
    </xf>
    <xf numFmtId="248" fontId="46" fillId="0" borderId="5063"/>
    <xf numFmtId="0" fontId="12" fillId="0" borderId="5063" applyNumberFormat="0" applyFill="0" applyBorder="0" applyAlignment="0" applyProtection="0">
      <alignment horizontal="center"/>
    </xf>
    <xf numFmtId="0" fontId="113" fillId="0" borderId="5063" applyNumberFormat="0" applyFill="0" applyAlignment="0" applyProtection="0"/>
    <xf numFmtId="222" fontId="79" fillId="0" borderId="5062" applyBorder="0"/>
    <xf numFmtId="0" fontId="101" fillId="0" borderId="5063" applyBorder="0"/>
    <xf numFmtId="246" fontId="250" fillId="0" borderId="5063" applyFill="0" applyProtection="0">
      <alignment horizontal="center"/>
    </xf>
    <xf numFmtId="246" fontId="249" fillId="0" borderId="5063" applyFill="0" applyProtection="0">
      <alignment horizontal="center"/>
    </xf>
    <xf numFmtId="0" fontId="241" fillId="94" borderId="5063" applyBorder="0" applyProtection="0">
      <alignment horizontal="centerContinuous" vertical="center"/>
    </xf>
    <xf numFmtId="254" fontId="240" fillId="0" borderId="5063" applyBorder="0" applyProtection="0">
      <alignment horizontal="right" vertical="center"/>
    </xf>
    <xf numFmtId="0" fontId="210" fillId="0" borderId="5063" applyNumberFormat="0" applyFill="0" applyBorder="0" applyAlignment="0">
      <protection locked="0"/>
    </xf>
    <xf numFmtId="264" fontId="12" fillId="14" borderId="5063" applyFont="0" applyFill="0" applyBorder="0" applyAlignment="0" applyProtection="0">
      <alignment horizontal="right"/>
    </xf>
    <xf numFmtId="0" fontId="166" fillId="0" borderId="5063">
      <alignment horizontal="center"/>
    </xf>
    <xf numFmtId="0" fontId="165" fillId="0" borderId="5063" applyFill="0" applyProtection="0">
      <alignment horizontal="center"/>
    </xf>
    <xf numFmtId="186" fontId="146" fillId="3" borderId="5063" applyBorder="0">
      <alignment horizontal="left" vertical="center"/>
    </xf>
    <xf numFmtId="180" fontId="9" fillId="3" borderId="5063">
      <alignment horizontal="right" vertical="center"/>
    </xf>
    <xf numFmtId="192" fontId="9" fillId="3" borderId="5063">
      <alignment horizontal="right" vertical="center"/>
    </xf>
    <xf numFmtId="0" fontId="12" fillId="0" borderId="5063" applyNumberFormat="0" applyFill="0" applyBorder="0" applyAlignment="0" applyProtection="0">
      <alignment horizontal="center"/>
    </xf>
    <xf numFmtId="0" fontId="113" fillId="0" borderId="5063" applyNumberFormat="0" applyFill="0" applyAlignment="0" applyProtection="0"/>
    <xf numFmtId="222" fontId="79" fillId="0" borderId="5062" applyBorder="0"/>
    <xf numFmtId="0" fontId="101" fillId="0" borderId="5063" applyBorder="0"/>
    <xf numFmtId="248" fontId="46" fillId="0" borderId="5063"/>
    <xf numFmtId="246" fontId="250" fillId="0" borderId="5063" applyFill="0" applyProtection="0">
      <alignment horizontal="center"/>
    </xf>
    <xf numFmtId="246" fontId="249" fillId="0" borderId="5063" applyFill="0" applyProtection="0">
      <alignment horizontal="center"/>
    </xf>
    <xf numFmtId="0" fontId="241" fillId="94" borderId="5063" applyBorder="0" applyProtection="0">
      <alignment horizontal="centerContinuous" vertical="center"/>
    </xf>
    <xf numFmtId="254" fontId="240" fillId="0" borderId="5063" applyBorder="0" applyProtection="0">
      <alignment horizontal="right" vertical="center"/>
    </xf>
    <xf numFmtId="0" fontId="210" fillId="0" borderId="5063" applyNumberFormat="0" applyFill="0" applyBorder="0" applyAlignment="0">
      <protection locked="0"/>
    </xf>
    <xf numFmtId="264" fontId="12" fillId="14" borderId="5063" applyFont="0" applyFill="0" applyBorder="0" applyAlignment="0" applyProtection="0">
      <alignment horizontal="right"/>
    </xf>
    <xf numFmtId="0" fontId="166" fillId="0" borderId="5063">
      <alignment horizontal="center"/>
    </xf>
    <xf numFmtId="0" fontId="165" fillId="0" borderId="5063" applyFill="0" applyProtection="0">
      <alignment horizontal="center"/>
    </xf>
    <xf numFmtId="186" fontId="146" fillId="3" borderId="5063" applyBorder="0">
      <alignment horizontal="left" vertical="center"/>
    </xf>
    <xf numFmtId="180" fontId="9" fillId="3" borderId="5063">
      <alignment horizontal="right" vertical="center"/>
    </xf>
    <xf numFmtId="192" fontId="9" fillId="3" borderId="5063">
      <alignment horizontal="right" vertical="center"/>
    </xf>
    <xf numFmtId="248" fontId="46" fillId="0" borderId="5063"/>
    <xf numFmtId="0" fontId="12" fillId="0" borderId="5063" applyNumberFormat="0" applyFill="0" applyBorder="0" applyAlignment="0" applyProtection="0">
      <alignment horizontal="center"/>
    </xf>
    <xf numFmtId="0" fontId="113" fillId="0" borderId="5063" applyNumberFormat="0" applyFill="0" applyAlignment="0" applyProtection="0"/>
    <xf numFmtId="222" fontId="79" fillId="0" borderId="5062" applyBorder="0"/>
    <xf numFmtId="0" fontId="101" fillId="0" borderId="5063" applyBorder="0"/>
    <xf numFmtId="222" fontId="79" fillId="0" borderId="5143" applyBorder="0"/>
    <xf numFmtId="0" fontId="113" fillId="0" borderId="5265" applyNumberFormat="0" applyFill="0" applyAlignment="0" applyProtection="0"/>
    <xf numFmtId="0" fontId="210" fillId="0" borderId="5253" applyNumberFormat="0" applyFill="0" applyBorder="0" applyAlignment="0">
      <protection locked="0"/>
    </xf>
    <xf numFmtId="0" fontId="241" fillId="94" borderId="5265" applyBorder="0" applyProtection="0">
      <alignment horizontal="centerContinuous" vertical="center"/>
    </xf>
    <xf numFmtId="190" fontId="2" fillId="0" borderId="5306" applyNumberFormat="0" applyAlignment="0" applyProtection="0"/>
    <xf numFmtId="190" fontId="210" fillId="0" borderId="5325" applyNumberFormat="0" applyFill="0" applyBorder="0" applyAlignment="0">
      <protection locked="0"/>
    </xf>
    <xf numFmtId="190" fontId="166" fillId="0" borderId="5325">
      <alignment horizontal="center"/>
    </xf>
    <xf numFmtId="190" fontId="165" fillId="0" borderId="5325" applyFill="0" applyProtection="0">
      <alignment horizontal="center"/>
    </xf>
    <xf numFmtId="190" fontId="12" fillId="0" borderId="5325" applyNumberFormat="0" applyFill="0" applyBorder="0" applyAlignment="0" applyProtection="0">
      <alignment horizontal="center"/>
    </xf>
    <xf numFmtId="190" fontId="75" fillId="0" borderId="5302" applyNumberFormat="0" applyFont="0" applyFill="0" applyAlignment="0" applyProtection="0"/>
    <xf numFmtId="246" fontId="249" fillId="0" borderId="5325" applyFill="0" applyProtection="0">
      <alignment horizontal="center"/>
    </xf>
    <xf numFmtId="0" fontId="25" fillId="10" borderId="5335" applyNumberFormat="0" applyProtection="0">
      <alignment horizontal="left" vertical="top"/>
    </xf>
    <xf numFmtId="0" fontId="101" fillId="0" borderId="5325" applyBorder="0"/>
    <xf numFmtId="222" fontId="79" fillId="0" borderId="5324" applyBorder="0"/>
    <xf numFmtId="0" fontId="12" fillId="0" borderId="5325" applyNumberFormat="0" applyFill="0" applyBorder="0" applyAlignment="0" applyProtection="0">
      <alignment horizontal="center"/>
    </xf>
    <xf numFmtId="0" fontId="12" fillId="0" borderId="5087" applyNumberFormat="0" applyFill="0" applyBorder="0" applyAlignment="0" applyProtection="0"/>
    <xf numFmtId="0" fontId="46" fillId="0" borderId="5087" applyNumberFormat="0" applyFill="0" applyBorder="0" applyAlignment="0" applyProtection="0"/>
    <xf numFmtId="0" fontId="105" fillId="0" borderId="5087" applyNumberFormat="0" applyFill="0" applyBorder="0" applyAlignment="0" applyProtection="0"/>
    <xf numFmtId="0" fontId="48" fillId="0" borderId="5087" applyNumberFormat="0" applyFill="0" applyAlignment="0" applyProtection="0"/>
    <xf numFmtId="0" fontId="241" fillId="94" borderId="5325" applyBorder="0" applyProtection="0">
      <alignment horizontal="centerContinuous" vertical="center"/>
    </xf>
    <xf numFmtId="5" fontId="114" fillId="0" borderId="5086" applyAlignment="0" applyProtection="0"/>
    <xf numFmtId="0" fontId="25" fillId="10" borderId="5335" applyNumberFormat="0" applyProtection="0">
      <alignment horizontal="left" vertical="top"/>
    </xf>
    <xf numFmtId="0" fontId="25" fillId="10" borderId="5334" applyNumberFormat="0" applyProtection="0">
      <alignment horizontal="left" vertical="top"/>
    </xf>
    <xf numFmtId="0" fontId="25" fillId="10" borderId="5333" applyNumberFormat="0" applyProtection="0">
      <alignment horizontal="left" vertical="top"/>
    </xf>
    <xf numFmtId="0" fontId="25" fillId="10" borderId="5332" applyNumberFormat="0" applyProtection="0">
      <alignment horizontal="left" vertical="top"/>
    </xf>
    <xf numFmtId="186" fontId="140" fillId="3" borderId="5329">
      <alignment horizontal="center" vertical="center"/>
    </xf>
    <xf numFmtId="246" fontId="249" fillId="0" borderId="5313" applyFill="0" applyProtection="0">
      <alignment horizontal="center"/>
    </xf>
    <xf numFmtId="0" fontId="210" fillId="0" borderId="5313" applyNumberFormat="0" applyFill="0" applyBorder="0" applyAlignment="0">
      <protection locked="0"/>
    </xf>
    <xf numFmtId="264" fontId="12" fillId="14" borderId="5313" applyFont="0" applyFill="0" applyBorder="0" applyAlignment="0" applyProtection="0">
      <alignment horizontal="right"/>
    </xf>
    <xf numFmtId="192" fontId="9" fillId="3" borderId="5313">
      <alignment horizontal="right" vertical="center"/>
    </xf>
    <xf numFmtId="0" fontId="113" fillId="0" borderId="5313" applyNumberFormat="0" applyFill="0" applyAlignment="0" applyProtection="0"/>
    <xf numFmtId="222" fontId="79" fillId="0" borderId="5312" applyBorder="0"/>
    <xf numFmtId="0" fontId="75" fillId="0" borderId="5302" applyNumberFormat="0" applyFont="0" applyFill="0" applyAlignment="0" applyProtection="0"/>
    <xf numFmtId="186" fontId="146" fillId="3" borderId="5304">
      <alignment horizontal="left"/>
    </xf>
    <xf numFmtId="0" fontId="25" fillId="10" borderId="5309" applyNumberFormat="0" applyProtection="0">
      <alignment horizontal="left" vertical="top"/>
    </xf>
    <xf numFmtId="0" fontId="25" fillId="10" borderId="5310" applyNumberFormat="0" applyProtection="0">
      <alignment horizontal="left" vertical="top"/>
    </xf>
    <xf numFmtId="0" fontId="25" fillId="10" borderId="5311" applyNumberFormat="0" applyProtection="0">
      <alignment horizontal="left" vertical="top"/>
    </xf>
    <xf numFmtId="246" fontId="250" fillId="0" borderId="5289" applyFill="0" applyProtection="0">
      <alignment horizontal="center"/>
    </xf>
    <xf numFmtId="246" fontId="249" fillId="0" borderId="5289" applyFill="0" applyProtection="0">
      <alignment horizontal="center"/>
    </xf>
    <xf numFmtId="0" fontId="241" fillId="94" borderId="5289" applyBorder="0" applyProtection="0">
      <alignment horizontal="centerContinuous" vertical="center"/>
    </xf>
    <xf numFmtId="0" fontId="210" fillId="0" borderId="5289" applyNumberFormat="0" applyFill="0" applyBorder="0" applyAlignment="0">
      <protection locked="0"/>
    </xf>
    <xf numFmtId="0" fontId="165" fillId="0" borderId="5289" applyFill="0" applyProtection="0">
      <alignment horizontal="center"/>
    </xf>
    <xf numFmtId="192" fontId="9" fillId="3" borderId="5289">
      <alignment horizontal="right" vertical="center"/>
    </xf>
    <xf numFmtId="0" fontId="113" fillId="0" borderId="5289" applyNumberFormat="0" applyFill="0" applyAlignment="0" applyProtection="0"/>
    <xf numFmtId="222" fontId="79" fillId="0" borderId="5288" applyBorder="0"/>
    <xf numFmtId="186" fontId="140" fillId="3" borderId="5281">
      <alignment horizontal="center" vertical="center"/>
    </xf>
    <xf numFmtId="0" fontId="25" fillId="10" borderId="5284" applyNumberFormat="0" applyProtection="0">
      <alignment horizontal="left" vertical="top"/>
    </xf>
    <xf numFmtId="0" fontId="25" fillId="10" borderId="5287" applyNumberFormat="0" applyProtection="0">
      <alignment horizontal="left" vertical="top"/>
    </xf>
    <xf numFmtId="0" fontId="78" fillId="14" borderId="5255" applyFont="0" applyFill="0" applyBorder="0" applyAlignment="0" applyProtection="0"/>
    <xf numFmtId="186" fontId="140" fillId="3" borderId="5269">
      <alignment horizontal="center" vertical="center"/>
    </xf>
    <xf numFmtId="0" fontId="241" fillId="94" borderId="5265" applyBorder="0" applyProtection="0">
      <alignment horizontal="centerContinuous" vertical="center"/>
    </xf>
    <xf numFmtId="254" fontId="240" fillId="0" borderId="5265" applyBorder="0" applyProtection="0">
      <alignment horizontal="right" vertical="center"/>
    </xf>
    <xf numFmtId="0" fontId="210" fillId="0" borderId="5265" applyNumberFormat="0" applyFill="0" applyBorder="0" applyAlignment="0">
      <protection locked="0"/>
    </xf>
    <xf numFmtId="264" fontId="12" fillId="14" borderId="5265" applyFont="0" applyFill="0" applyBorder="0" applyAlignment="0" applyProtection="0">
      <alignment horizontal="right"/>
    </xf>
    <xf numFmtId="186" fontId="140" fillId="3" borderId="5257">
      <alignment horizontal="center" vertical="center"/>
    </xf>
    <xf numFmtId="186" fontId="146" fillId="3" borderId="5256">
      <alignment horizontal="left"/>
    </xf>
    <xf numFmtId="222" fontId="79" fillId="0" borderId="5264" applyBorder="0"/>
    <xf numFmtId="180" fontId="9" fillId="3" borderId="5253">
      <alignment horizontal="right" vertical="center"/>
    </xf>
    <xf numFmtId="192" fontId="9" fillId="3" borderId="5253">
      <alignment horizontal="right" vertical="center"/>
    </xf>
    <xf numFmtId="248" fontId="46" fillId="0" borderId="5253"/>
    <xf numFmtId="0" fontId="12" fillId="0" borderId="5253" applyNumberFormat="0" applyFill="0" applyBorder="0" applyAlignment="0" applyProtection="0">
      <alignment horizontal="center"/>
    </xf>
    <xf numFmtId="0" fontId="101" fillId="0" borderId="5253" applyBorder="0"/>
    <xf numFmtId="222" fontId="79" fillId="0" borderId="5143" applyBorder="0"/>
    <xf numFmtId="0" fontId="78" fillId="14" borderId="5134" applyFont="0" applyFill="0" applyBorder="0" applyAlignment="0" applyProtection="0"/>
    <xf numFmtId="222" fontId="79" fillId="0" borderId="5143" applyBorder="0"/>
    <xf numFmtId="0" fontId="25" fillId="10" borderId="5262" applyNumberFormat="0" applyProtection="0">
      <alignment horizontal="left" vertical="top"/>
    </xf>
    <xf numFmtId="0" fontId="214" fillId="0" borderId="5259" applyNumberFormat="0" applyFont="0" applyFill="0" applyAlignment="0" applyProtection="0"/>
    <xf numFmtId="186" fontId="146" fillId="3" borderId="5256">
      <alignment horizontal="left"/>
    </xf>
    <xf numFmtId="0" fontId="75" fillId="0" borderId="5254" applyNumberFormat="0" applyFont="0" applyFill="0" applyAlignment="0" applyProtection="0"/>
    <xf numFmtId="222" fontId="79" fillId="0" borderId="5264" applyBorder="0"/>
    <xf numFmtId="248" fontId="46" fillId="0" borderId="5265"/>
    <xf numFmtId="192" fontId="9" fillId="3" borderId="5265">
      <alignment horizontal="right" vertical="center"/>
    </xf>
    <xf numFmtId="180" fontId="9" fillId="3" borderId="5265">
      <alignment horizontal="right" vertical="center"/>
    </xf>
    <xf numFmtId="186" fontId="146" fillId="3" borderId="5265" applyBorder="0">
      <alignment horizontal="left" vertical="center"/>
    </xf>
    <xf numFmtId="0" fontId="165" fillId="0" borderId="5265" applyFill="0" applyProtection="0">
      <alignment horizontal="center"/>
    </xf>
    <xf numFmtId="0" fontId="166" fillId="0" borderId="5265">
      <alignment horizontal="center"/>
    </xf>
    <xf numFmtId="264" fontId="12" fillId="14" borderId="5265" applyFont="0" applyFill="0" applyBorder="0" applyAlignment="0" applyProtection="0">
      <alignment horizontal="right"/>
    </xf>
    <xf numFmtId="0" fontId="210" fillId="0" borderId="5265" applyNumberFormat="0" applyFill="0" applyBorder="0" applyAlignment="0">
      <protection locked="0"/>
    </xf>
    <xf numFmtId="254" fontId="240" fillId="0" borderId="5265" applyBorder="0" applyProtection="0">
      <alignment horizontal="right" vertical="center"/>
    </xf>
    <xf numFmtId="0" fontId="241" fillId="94" borderId="5265" applyBorder="0" applyProtection="0">
      <alignment horizontal="centerContinuous" vertical="center"/>
    </xf>
    <xf numFmtId="0" fontId="2" fillId="0" borderId="5318" applyNumberFormat="0" applyAlignment="0" applyProtection="0"/>
    <xf numFmtId="0" fontId="74" fillId="0" borderId="5086" applyFont="0" applyFill="0" applyBorder="0" applyAlignment="0" applyProtection="0">
      <alignment horizontal="center"/>
    </xf>
    <xf numFmtId="0" fontId="48" fillId="0" borderId="5086" applyFont="0" applyFill="0" applyBorder="0" applyAlignment="0" applyProtection="0">
      <alignment horizontal="center"/>
    </xf>
    <xf numFmtId="0" fontId="25" fillId="10" borderId="5320" applyNumberFormat="0" applyProtection="0">
      <alignment horizontal="left" vertical="top"/>
    </xf>
    <xf numFmtId="222" fontId="79" fillId="0" borderId="5143" applyBorder="0"/>
    <xf numFmtId="186" fontId="146" fillId="3" borderId="5316">
      <alignment horizontal="left"/>
    </xf>
    <xf numFmtId="186" fontId="140" fillId="3" borderId="5317">
      <alignment horizontal="center" vertical="center"/>
    </xf>
    <xf numFmtId="0" fontId="25" fillId="10" borderId="5082" applyNumberFormat="0" applyProtection="0">
      <alignment horizontal="left" vertical="top"/>
    </xf>
    <xf numFmtId="0" fontId="25" fillId="10" borderId="5085" applyNumberFormat="0" applyProtection="0">
      <alignment horizontal="left" vertical="top"/>
    </xf>
    <xf numFmtId="0" fontId="78" fillId="14" borderId="5134" applyFont="0" applyFill="0" applyBorder="0" applyAlignment="0" applyProtection="0"/>
    <xf numFmtId="0" fontId="78" fillId="14" borderId="5291" applyFont="0" applyFill="0" applyBorder="0" applyAlignment="0" applyProtection="0"/>
    <xf numFmtId="0" fontId="214" fillId="0" borderId="5295" applyNumberFormat="0" applyFont="0" applyFill="0" applyAlignment="0" applyProtection="0"/>
    <xf numFmtId="186" fontId="146" fillId="3" borderId="5301" applyBorder="0">
      <alignment horizontal="left" vertical="center"/>
    </xf>
    <xf numFmtId="0" fontId="166" fillId="0" borderId="5301">
      <alignment horizontal="center"/>
    </xf>
    <xf numFmtId="0" fontId="241" fillId="94" borderId="5301" applyBorder="0" applyProtection="0">
      <alignment horizontal="centerContinuous" vertical="center"/>
    </xf>
    <xf numFmtId="0" fontId="241" fillId="94" borderId="5277" applyBorder="0" applyProtection="0">
      <alignment horizontal="centerContinuous" vertical="center"/>
    </xf>
    <xf numFmtId="254" fontId="240" fillId="0" borderId="5277" applyBorder="0" applyProtection="0">
      <alignment horizontal="right" vertical="center"/>
    </xf>
    <xf numFmtId="0" fontId="165" fillId="0" borderId="5277" applyFill="0" applyProtection="0">
      <alignment horizontal="center"/>
    </xf>
    <xf numFmtId="0" fontId="25" fillId="10" borderId="5263" applyNumberFormat="0" applyProtection="0">
      <alignment horizontal="left" vertical="top"/>
    </xf>
    <xf numFmtId="0" fontId="25" fillId="10" borderId="5262" applyNumberFormat="0" applyProtection="0">
      <alignment horizontal="left" vertical="top"/>
    </xf>
    <xf numFmtId="0" fontId="75" fillId="0" borderId="5254" applyNumberFormat="0" applyFont="0" applyFill="0" applyAlignment="0" applyProtection="0"/>
    <xf numFmtId="0" fontId="214" fillId="0" borderId="5319" applyNumberFormat="0" applyFont="0" applyFill="0" applyAlignment="0" applyProtection="0"/>
    <xf numFmtId="222" fontId="79" fillId="0" borderId="5264" applyBorder="0"/>
    <xf numFmtId="0" fontId="25" fillId="10" borderId="5323" applyNumberFormat="0" applyProtection="0">
      <alignment horizontal="left" vertical="top"/>
    </xf>
    <xf numFmtId="254" fontId="240" fillId="0" borderId="5144" applyBorder="0" applyProtection="0">
      <alignment horizontal="right" vertical="center"/>
    </xf>
    <xf numFmtId="0" fontId="210" fillId="0" borderId="5144" applyNumberFormat="0" applyFill="0" applyBorder="0" applyAlignment="0">
      <protection locked="0"/>
    </xf>
    <xf numFmtId="264" fontId="12" fillId="14" borderId="5144" applyFont="0" applyFill="0" applyBorder="0" applyAlignment="0" applyProtection="0">
      <alignment horizontal="right"/>
    </xf>
    <xf numFmtId="0" fontId="166" fillId="0" borderId="5144">
      <alignment horizontal="center"/>
    </xf>
    <xf numFmtId="0" fontId="165" fillId="0" borderId="5144" applyFill="0" applyProtection="0">
      <alignment horizontal="center"/>
    </xf>
    <xf numFmtId="186" fontId="146" fillId="3" borderId="5144" applyBorder="0">
      <alignment horizontal="left" vertical="center"/>
    </xf>
    <xf numFmtId="182" fontId="145" fillId="3" borderId="5086">
      <alignment horizontal="right" vertical="center"/>
    </xf>
    <xf numFmtId="180" fontId="9" fillId="3" borderId="5144">
      <alignment horizontal="right" vertical="center"/>
    </xf>
    <xf numFmtId="186" fontId="146" fillId="3" borderId="5268">
      <alignment horizontal="left"/>
    </xf>
    <xf numFmtId="0" fontId="214" fillId="0" borderId="5271" applyNumberFormat="0" applyFont="0" applyFill="0" applyAlignment="0" applyProtection="0"/>
    <xf numFmtId="186" fontId="48" fillId="3" borderId="5086">
      <alignment vertical="center"/>
    </xf>
    <xf numFmtId="0" fontId="25" fillId="10" borderId="5272" applyNumberFormat="0" applyProtection="0">
      <alignment horizontal="left" vertical="top"/>
    </xf>
    <xf numFmtId="0" fontId="25" fillId="10" borderId="5274" applyNumberFormat="0" applyProtection="0">
      <alignment horizontal="left" vertical="top"/>
    </xf>
    <xf numFmtId="222" fontId="79" fillId="0" borderId="5288" applyBorder="0"/>
    <xf numFmtId="0" fontId="135" fillId="0" borderId="5088"/>
    <xf numFmtId="0" fontId="135" fillId="0" borderId="5088"/>
    <xf numFmtId="0" fontId="25" fillId="10" borderId="5299" applyNumberFormat="0" applyProtection="0">
      <alignment horizontal="left" vertical="top"/>
    </xf>
    <xf numFmtId="0" fontId="25" fillId="10" borderId="5296" applyNumberFormat="0" applyProtection="0">
      <alignment horizontal="left" vertical="top"/>
    </xf>
    <xf numFmtId="222" fontId="79" fillId="0" borderId="5300" applyBorder="0"/>
    <xf numFmtId="180" fontId="9" fillId="3" borderId="5301">
      <alignment horizontal="right" vertical="center"/>
    </xf>
    <xf numFmtId="254" fontId="240" fillId="0" borderId="5301" applyBorder="0" applyProtection="0">
      <alignment horizontal="right" vertical="center"/>
    </xf>
    <xf numFmtId="246" fontId="249" fillId="0" borderId="5301" applyFill="0" applyProtection="0">
      <alignment horizontal="center"/>
    </xf>
    <xf numFmtId="246" fontId="250" fillId="0" borderId="5301" applyFill="0" applyProtection="0">
      <alignment horizontal="center"/>
    </xf>
    <xf numFmtId="264" fontId="12" fillId="14" borderId="5277" applyFont="0" applyFill="0" applyBorder="0" applyAlignment="0" applyProtection="0">
      <alignment horizontal="right"/>
    </xf>
    <xf numFmtId="186" fontId="146" fillId="3" borderId="5277" applyBorder="0">
      <alignment horizontal="left" vertical="center"/>
    </xf>
    <xf numFmtId="180" fontId="9" fillId="3" borderId="5277">
      <alignment horizontal="right" vertical="center"/>
    </xf>
    <xf numFmtId="192" fontId="9" fillId="3" borderId="5277">
      <alignment horizontal="right" vertical="center"/>
    </xf>
    <xf numFmtId="248" fontId="46" fillId="0" borderId="5277"/>
    <xf numFmtId="0" fontId="12" fillId="0" borderId="5277" applyNumberFormat="0" applyFill="0" applyBorder="0" applyAlignment="0" applyProtection="0">
      <alignment horizontal="center"/>
    </xf>
    <xf numFmtId="0" fontId="113" fillId="0" borderId="5277" applyNumberFormat="0" applyFill="0" applyAlignment="0" applyProtection="0"/>
    <xf numFmtId="0" fontId="210" fillId="0" borderId="5325" applyNumberFormat="0" applyFill="0" applyBorder="0" applyAlignment="0">
      <protection locked="0"/>
    </xf>
    <xf numFmtId="0" fontId="165" fillId="0" borderId="5325" applyFill="0" applyProtection="0">
      <alignment horizontal="center"/>
    </xf>
    <xf numFmtId="192" fontId="9" fillId="3" borderId="5325">
      <alignment horizontal="right" vertical="center"/>
    </xf>
    <xf numFmtId="248" fontId="46" fillId="0" borderId="5325"/>
    <xf numFmtId="222" fontId="79" fillId="0" borderId="5324" applyBorder="0"/>
    <xf numFmtId="0" fontId="78" fillId="14" borderId="5315" applyFont="0" applyFill="0" applyBorder="0" applyAlignment="0" applyProtection="0"/>
    <xf numFmtId="0" fontId="25" fillId="10" borderId="5322" applyNumberFormat="0" applyProtection="0">
      <alignment horizontal="left" vertical="top"/>
    </xf>
    <xf numFmtId="186" fontId="140" fillId="3" borderId="5257">
      <alignment horizontal="center" vertical="center"/>
    </xf>
    <xf numFmtId="0" fontId="2" fillId="0" borderId="5258" applyNumberFormat="0" applyAlignment="0" applyProtection="0"/>
    <xf numFmtId="0" fontId="25" fillId="10" borderId="5261" applyNumberFormat="0" applyProtection="0">
      <alignment horizontal="left" vertical="top"/>
    </xf>
    <xf numFmtId="0" fontId="25" fillId="10" borderId="5260" applyNumberFormat="0" applyProtection="0">
      <alignment horizontal="left" vertical="top"/>
    </xf>
    <xf numFmtId="0" fontId="25" fillId="10" borderId="5263" applyNumberFormat="0" applyProtection="0">
      <alignment horizontal="left" vertical="top"/>
    </xf>
    <xf numFmtId="0" fontId="159" fillId="0" borderId="5088"/>
    <xf numFmtId="0" fontId="159" fillId="67" borderId="5088"/>
    <xf numFmtId="0" fontId="75" fillId="0" borderId="5254" applyNumberFormat="0" applyFont="0" applyFill="0" applyAlignment="0" applyProtection="0"/>
    <xf numFmtId="186" fontId="146" fillId="3" borderId="5256">
      <alignment horizontal="left"/>
    </xf>
    <xf numFmtId="246" fontId="250" fillId="0" borderId="5253" applyFill="0" applyProtection="0">
      <alignment horizontal="center"/>
    </xf>
    <xf numFmtId="0" fontId="210" fillId="0" borderId="5253" applyNumberFormat="0" applyFill="0" applyBorder="0" applyAlignment="0">
      <protection locked="0"/>
    </xf>
    <xf numFmtId="264" fontId="12" fillId="14" borderId="5253" applyFont="0" applyFill="0" applyBorder="0" applyAlignment="0" applyProtection="0">
      <alignment horizontal="right"/>
    </xf>
    <xf numFmtId="180" fontId="9" fillId="3" borderId="5253">
      <alignment horizontal="right" vertical="center"/>
    </xf>
    <xf numFmtId="248" fontId="46" fillId="0" borderId="5253"/>
    <xf numFmtId="0" fontId="25" fillId="69" borderId="5088">
      <alignment horizontal="left" vertical="center" wrapText="1"/>
    </xf>
    <xf numFmtId="0" fontId="184" fillId="0" borderId="5089" applyAlignment="0">
      <alignment horizontal="left" wrapText="1"/>
    </xf>
    <xf numFmtId="246" fontId="249" fillId="0" borderId="5253" applyFill="0" applyProtection="0">
      <alignment horizontal="center"/>
    </xf>
    <xf numFmtId="0" fontId="241" fillId="94" borderId="5253" applyBorder="0" applyProtection="0">
      <alignment horizontal="centerContinuous" vertical="center"/>
    </xf>
    <xf numFmtId="254" fontId="240" fillId="0" borderId="5253" applyBorder="0" applyProtection="0">
      <alignment horizontal="right" vertical="center"/>
    </xf>
    <xf numFmtId="4" fontId="223" fillId="53" borderId="5090" applyNumberFormat="0" applyProtection="0">
      <alignment vertical="center"/>
    </xf>
    <xf numFmtId="4" fontId="224" fillId="53" borderId="5090" applyNumberFormat="0" applyProtection="0">
      <alignment vertical="center"/>
    </xf>
    <xf numFmtId="4" fontId="184" fillId="53" borderId="5090" applyNumberFormat="0" applyProtection="0">
      <alignment horizontal="left" vertical="center" indent="1"/>
    </xf>
    <xf numFmtId="0" fontId="225" fillId="53" borderId="5090" applyNumberFormat="0" applyProtection="0">
      <alignment horizontal="left" vertical="top" indent="1"/>
    </xf>
    <xf numFmtId="4" fontId="226" fillId="76" borderId="5090" applyNumberFormat="0" applyProtection="0">
      <alignment horizontal="right" vertical="center"/>
    </xf>
    <xf numFmtId="4" fontId="226" fillId="77" borderId="5090" applyNumberFormat="0" applyProtection="0">
      <alignment horizontal="right" vertical="center"/>
    </xf>
    <xf numFmtId="4" fontId="226" fillId="78" borderId="5090" applyNumberFormat="0" applyProtection="0">
      <alignment horizontal="right" vertical="center"/>
    </xf>
    <xf numFmtId="4" fontId="226" fillId="10" borderId="5090" applyNumberFormat="0" applyProtection="0">
      <alignment horizontal="right" vertical="center"/>
    </xf>
    <xf numFmtId="4" fontId="226" fillId="79" borderId="5090" applyNumberFormat="0" applyProtection="0">
      <alignment horizontal="right" vertical="center"/>
    </xf>
    <xf numFmtId="4" fontId="226" fillId="71" borderId="5090" applyNumberFormat="0" applyProtection="0">
      <alignment horizontal="right" vertical="center"/>
    </xf>
    <xf numFmtId="4" fontId="226" fillId="80" borderId="5090" applyNumberFormat="0" applyProtection="0">
      <alignment horizontal="right" vertical="center"/>
    </xf>
    <xf numFmtId="4" fontId="226" fillId="81" borderId="5090" applyNumberFormat="0" applyProtection="0">
      <alignment horizontal="right" vertical="center"/>
    </xf>
    <xf numFmtId="4" fontId="226" fillId="82" borderId="5090" applyNumberFormat="0" applyProtection="0">
      <alignment horizontal="right" vertical="center"/>
    </xf>
    <xf numFmtId="4" fontId="184" fillId="52" borderId="5090" applyNumberFormat="0" applyProtection="0">
      <alignment horizontal="right" vertical="center"/>
    </xf>
    <xf numFmtId="0" fontId="12" fillId="75" borderId="5090" applyNumberFormat="0" applyProtection="0">
      <alignment horizontal="left" vertical="center" indent="1"/>
    </xf>
    <xf numFmtId="0" fontId="12" fillId="75" borderId="5090" applyNumberFormat="0" applyProtection="0">
      <alignment horizontal="left" vertical="top" indent="1"/>
    </xf>
    <xf numFmtId="0" fontId="12" fillId="84" borderId="5090" applyNumberFormat="0" applyProtection="0">
      <alignment horizontal="left" vertical="center" indent="1"/>
    </xf>
    <xf numFmtId="0" fontId="12" fillId="84" borderId="5090" applyNumberFormat="0" applyProtection="0">
      <alignment horizontal="left" vertical="top" indent="1"/>
    </xf>
    <xf numFmtId="0" fontId="12" fillId="52" borderId="5090" applyNumberFormat="0" applyProtection="0">
      <alignment horizontal="left" vertical="center" indent="1"/>
    </xf>
    <xf numFmtId="0" fontId="12" fillId="52" borderId="5090" applyNumberFormat="0" applyProtection="0">
      <alignment horizontal="left" vertical="top" indent="1"/>
    </xf>
    <xf numFmtId="0" fontId="12" fillId="11" borderId="5090" applyNumberFormat="0" applyProtection="0">
      <alignment horizontal="left" vertical="center" indent="1"/>
    </xf>
    <xf numFmtId="0" fontId="12" fillId="11" borderId="5090" applyNumberFormat="0" applyProtection="0">
      <alignment horizontal="left" vertical="top" indent="1"/>
    </xf>
    <xf numFmtId="4" fontId="226" fillId="11" borderId="5090" applyNumberFormat="0" applyProtection="0">
      <alignment vertical="center"/>
    </xf>
    <xf numFmtId="4" fontId="228" fillId="11" borderId="5090" applyNumberFormat="0" applyProtection="0">
      <alignment vertical="center"/>
    </xf>
    <xf numFmtId="4" fontId="227" fillId="52" borderId="5091" applyNumberFormat="0" applyProtection="0">
      <alignment horizontal="left" vertical="center" indent="1"/>
    </xf>
    <xf numFmtId="0" fontId="136" fillId="14" borderId="5090" applyNumberFormat="0" applyProtection="0">
      <alignment horizontal="left" vertical="top" indent="1"/>
    </xf>
    <xf numFmtId="4" fontId="184" fillId="11" borderId="5090" applyNumberFormat="0" applyProtection="0">
      <alignment horizontal="right" vertical="center"/>
    </xf>
    <xf numFmtId="4" fontId="228" fillId="11" borderId="5090" applyNumberFormat="0" applyProtection="0">
      <alignment horizontal="right" vertical="center"/>
    </xf>
    <xf numFmtId="4" fontId="223" fillId="52" borderId="5090" applyNumberFormat="0" applyProtection="0">
      <alignment horizontal="left" vertical="center" indent="1"/>
    </xf>
    <xf numFmtId="0" fontId="136" fillId="84" borderId="5090" applyNumberFormat="0" applyProtection="0">
      <alignment horizontal="left" vertical="top" indent="1"/>
    </xf>
    <xf numFmtId="4" fontId="229" fillId="84" borderId="5091" applyNumberFormat="0" applyProtection="0">
      <alignment horizontal="left" vertical="center" indent="1"/>
    </xf>
    <xf numFmtId="4" fontId="230" fillId="11" borderId="5090" applyNumberFormat="0" applyProtection="0">
      <alignment horizontal="right" vertical="center"/>
    </xf>
    <xf numFmtId="3" fontId="12" fillId="60" borderId="5092" applyFont="0" applyFill="0" applyBorder="0" applyAlignment="0" applyProtection="0"/>
    <xf numFmtId="4" fontId="12" fillId="60" borderId="5092" applyFont="0" applyFill="0" applyBorder="0" applyAlignment="0" applyProtection="0"/>
    <xf numFmtId="183" fontId="12" fillId="60" borderId="5092" applyFont="0" applyFill="0" applyBorder="0" applyAlignment="0" applyProtection="0"/>
    <xf numFmtId="10" fontId="12" fillId="60" borderId="5092" applyFont="0" applyFill="0" applyBorder="0" applyAlignment="0" applyProtection="0"/>
    <xf numFmtId="9" fontId="12" fillId="60" borderId="5092" applyFont="0" applyFill="0" applyBorder="0" applyAlignment="0" applyProtection="0"/>
    <xf numFmtId="2" fontId="12" fillId="60" borderId="5092" applyFont="0" applyFill="0" applyBorder="0" applyAlignment="0" applyProtection="0"/>
    <xf numFmtId="0" fontId="25" fillId="10" borderId="5088" applyNumberFormat="0" applyProtection="0">
      <alignment horizontal="center" vertical="top"/>
    </xf>
    <xf numFmtId="0" fontId="25" fillId="10" borderId="5088" applyNumberFormat="0" applyProtection="0">
      <alignment horizontal="center" vertical="top"/>
    </xf>
    <xf numFmtId="169" fontId="234" fillId="3" borderId="5088" applyFont="0" applyProtection="0"/>
    <xf numFmtId="169" fontId="234" fillId="10" borderId="5088" applyFont="0" applyProtection="0"/>
    <xf numFmtId="293" fontId="234" fillId="3" borderId="5088" applyFont="0" applyProtection="0"/>
    <xf numFmtId="293" fontId="234" fillId="10" borderId="5088" applyFont="0" applyProtection="0"/>
    <xf numFmtId="293" fontId="234" fillId="10" borderId="5088" applyFont="0" applyProtection="0"/>
    <xf numFmtId="0" fontId="12" fillId="3" borderId="5088" applyNumberFormat="0" applyFont="0" applyAlignment="0" applyProtection="0"/>
    <xf numFmtId="0" fontId="12" fillId="10" borderId="5088" applyNumberFormat="0" applyFont="0" applyAlignment="0" applyProtection="0"/>
    <xf numFmtId="0" fontId="12" fillId="10" borderId="5088" applyNumberFormat="0" applyFont="0" applyProtection="0"/>
    <xf numFmtId="0" fontId="25" fillId="10" borderId="5093" applyNumberFormat="0" applyProtection="0">
      <alignment horizontal="left"/>
    </xf>
    <xf numFmtId="0" fontId="25" fillId="10" borderId="5094" applyNumberFormat="0" applyProtection="0">
      <alignment horizontal="left" vertical="top"/>
    </xf>
    <xf numFmtId="0" fontId="25" fillId="10" borderId="5095" applyNumberFormat="0" applyProtection="0">
      <alignment horizontal="left" vertical="top"/>
    </xf>
    <xf numFmtId="0" fontId="25" fillId="10" borderId="5096" applyNumberFormat="0" applyProtection="0">
      <alignment horizontal="left" vertical="top"/>
    </xf>
    <xf numFmtId="0" fontId="25" fillId="10" borderId="5097" applyNumberFormat="0" applyProtection="0">
      <alignment horizontal="left" vertical="top"/>
    </xf>
    <xf numFmtId="0" fontId="25" fillId="10" borderId="5098" applyNumberFormat="0" applyProtection="0">
      <alignment horizontal="left" vertical="top"/>
    </xf>
    <xf numFmtId="0" fontId="25" fillId="10" borderId="5099" applyNumberFormat="0" applyProtection="0">
      <alignment horizontal="left" vertical="top"/>
    </xf>
    <xf numFmtId="0" fontId="12" fillId="0" borderId="5087" applyNumberFormat="0" applyFill="0" applyBorder="0" applyAlignment="0" applyProtection="0"/>
    <xf numFmtId="10" fontId="12" fillId="3" borderId="5100" applyNumberFormat="0" applyFont="0" applyFill="0" applyBorder="0" applyAlignment="0">
      <protection locked="0"/>
    </xf>
    <xf numFmtId="0" fontId="12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0" fontId="12" fillId="0" borderId="5253" applyNumberFormat="0" applyFill="0" applyBorder="0" applyAlignment="0" applyProtection="0">
      <alignment horizontal="center"/>
    </xf>
    <xf numFmtId="254" fontId="240" fillId="0" borderId="5265" applyBorder="0" applyProtection="0">
      <alignment horizontal="right" vertical="center"/>
    </xf>
    <xf numFmtId="264" fontId="12" fillId="14" borderId="5325" applyFont="0" applyFill="0" applyBorder="0" applyAlignment="0" applyProtection="0">
      <alignment horizontal="right"/>
    </xf>
    <xf numFmtId="0" fontId="25" fillId="10" borderId="5084" applyNumberFormat="0" applyProtection="0">
      <alignment horizontal="left" vertical="top"/>
    </xf>
    <xf numFmtId="254" fontId="240" fillId="0" borderId="5325" applyBorder="0" applyProtection="0">
      <alignment horizontal="right" vertical="center"/>
    </xf>
    <xf numFmtId="0" fontId="166" fillId="0" borderId="5265">
      <alignment horizontal="center"/>
    </xf>
    <xf numFmtId="186" fontId="146" fillId="3" borderId="5256">
      <alignment horizontal="left"/>
    </xf>
    <xf numFmtId="0" fontId="78" fillId="14" borderId="5134" applyFont="0" applyFill="0" applyBorder="0" applyAlignment="0" applyProtection="0"/>
    <xf numFmtId="246" fontId="249" fillId="0" borderId="5253" applyFill="0" applyProtection="0">
      <alignment horizontal="center"/>
    </xf>
    <xf numFmtId="0" fontId="78" fillId="14" borderId="5065" applyFont="0" applyFill="0" applyBorder="0" applyAlignment="0" applyProtection="0"/>
    <xf numFmtId="192" fontId="9" fillId="3" borderId="5253">
      <alignment horizontal="right" vertical="center"/>
    </xf>
    <xf numFmtId="222" fontId="79" fillId="0" borderId="5101" applyBorder="0"/>
    <xf numFmtId="0" fontId="101" fillId="0" borderId="5104" applyBorder="0"/>
    <xf numFmtId="222" fontId="79" fillId="0" borderId="5101" applyBorder="0"/>
    <xf numFmtId="0" fontId="113" fillId="0" borderId="5104" applyNumberFormat="0" applyFill="0" applyAlignment="0" applyProtection="0"/>
    <xf numFmtId="0" fontId="12" fillId="0" borderId="5104" applyNumberFormat="0" applyFill="0" applyBorder="0" applyAlignment="0" applyProtection="0">
      <alignment horizontal="center"/>
    </xf>
    <xf numFmtId="0" fontId="75" fillId="0" borderId="5254" applyNumberFormat="0" applyFont="0" applyFill="0" applyAlignment="0" applyProtection="0"/>
    <xf numFmtId="248" fontId="46" fillId="0" borderId="5104"/>
    <xf numFmtId="0" fontId="25" fillId="10" borderId="5297" applyNumberFormat="0" applyProtection="0">
      <alignment horizontal="left" vertical="top"/>
    </xf>
    <xf numFmtId="192" fontId="9" fillId="3" borderId="5144">
      <alignment horizontal="right" vertical="center"/>
    </xf>
    <xf numFmtId="192" fontId="9" fillId="3" borderId="5104">
      <alignment horizontal="right" vertical="center"/>
    </xf>
    <xf numFmtId="180" fontId="9" fillId="3" borderId="5104">
      <alignment horizontal="right" vertical="center"/>
    </xf>
    <xf numFmtId="186" fontId="146" fillId="3" borderId="5104" applyBorder="0">
      <alignment horizontal="left" vertical="center"/>
    </xf>
    <xf numFmtId="222" fontId="79" fillId="0" borderId="5276" applyBorder="0"/>
    <xf numFmtId="186" fontId="140" fillId="3" borderId="5043">
      <alignment horizontal="center" vertical="center"/>
    </xf>
    <xf numFmtId="188" fontId="25" fillId="0" borderId="5103" applyFont="0" applyFill="0" applyBorder="0" applyAlignment="0" applyProtection="0">
      <alignment horizontal="center"/>
    </xf>
    <xf numFmtId="2" fontId="12" fillId="14" borderId="5102" applyFill="0" applyBorder="0" applyProtection="0">
      <alignment horizontal="center"/>
    </xf>
    <xf numFmtId="0" fontId="5" fillId="0" borderId="5103">
      <alignment horizontal="left" vertical="center"/>
    </xf>
    <xf numFmtId="0" fontId="165" fillId="0" borderId="5104" applyFill="0" applyProtection="0">
      <alignment horizontal="center"/>
    </xf>
    <xf numFmtId="0" fontId="166" fillId="0" borderId="5104">
      <alignment horizontal="center"/>
    </xf>
    <xf numFmtId="188" fontId="25" fillId="0" borderId="5103" applyFont="0" applyFill="0" applyBorder="0" applyAlignment="0" applyProtection="0">
      <alignment horizontal="center"/>
    </xf>
    <xf numFmtId="264" fontId="12" fillId="14" borderId="5104" applyFont="0" applyFill="0" applyBorder="0" applyAlignment="0" applyProtection="0">
      <alignment horizontal="right"/>
    </xf>
    <xf numFmtId="188" fontId="25" fillId="0" borderId="5103" applyFont="0" applyFill="0" applyBorder="0" applyAlignment="0" applyProtection="0">
      <alignment horizontal="center"/>
    </xf>
    <xf numFmtId="0" fontId="12" fillId="0" borderId="5144" applyNumberFormat="0" applyFill="0" applyBorder="0" applyAlignment="0" applyProtection="0">
      <alignment horizontal="center"/>
    </xf>
    <xf numFmtId="192" fontId="9" fillId="3" borderId="5301">
      <alignment horizontal="right" vertical="center"/>
    </xf>
    <xf numFmtId="0" fontId="210" fillId="0" borderId="5104" applyNumberFormat="0" applyFill="0" applyBorder="0" applyAlignment="0">
      <protection locked="0"/>
    </xf>
    <xf numFmtId="0" fontId="214" fillId="0" borderId="5069" applyNumberFormat="0" applyFont="0" applyFill="0" applyAlignment="0" applyProtection="0"/>
    <xf numFmtId="0" fontId="25" fillId="10" borderId="5070" applyNumberFormat="0" applyProtection="0">
      <alignment horizontal="left" vertical="top"/>
    </xf>
    <xf numFmtId="0" fontId="25" fillId="10" borderId="5071" applyNumberFormat="0" applyProtection="0">
      <alignment horizontal="left" vertical="top"/>
    </xf>
    <xf numFmtId="0" fontId="25" fillId="10" borderId="5072" applyNumberFormat="0" applyProtection="0">
      <alignment horizontal="left" vertical="top"/>
    </xf>
    <xf numFmtId="0" fontId="25" fillId="10" borderId="5073" applyNumberFormat="0" applyProtection="0">
      <alignment horizontal="left" vertical="top"/>
    </xf>
    <xf numFmtId="0" fontId="25" fillId="10" borderId="5070" applyNumberFormat="0" applyProtection="0">
      <alignment horizontal="left" vertical="top"/>
    </xf>
    <xf numFmtId="0" fontId="25" fillId="10" borderId="5071" applyNumberFormat="0" applyProtection="0">
      <alignment horizontal="left" vertical="top"/>
    </xf>
    <xf numFmtId="0" fontId="25" fillId="10" borderId="5072" applyNumberFormat="0" applyProtection="0">
      <alignment horizontal="left" vertical="top"/>
    </xf>
    <xf numFmtId="0" fontId="25" fillId="10" borderId="5073" applyNumberFormat="0" applyProtection="0">
      <alignment horizontal="left" vertical="top"/>
    </xf>
    <xf numFmtId="254" fontId="240" fillId="0" borderId="5104" applyBorder="0" applyProtection="0">
      <alignment horizontal="right" vertical="center"/>
    </xf>
    <xf numFmtId="0" fontId="241" fillId="94" borderId="5104" applyBorder="0" applyProtection="0">
      <alignment horizontal="centerContinuous" vertical="center"/>
    </xf>
    <xf numFmtId="1" fontId="74" fillId="0" borderId="5103" applyFill="0" applyBorder="0" applyProtection="0">
      <alignment horizontal="right"/>
    </xf>
    <xf numFmtId="246" fontId="249" fillId="0" borderId="5104" applyFill="0" applyProtection="0">
      <alignment horizontal="center"/>
    </xf>
    <xf numFmtId="246" fontId="250" fillId="0" borderId="5104" applyFill="0" applyProtection="0">
      <alignment horizontal="center"/>
    </xf>
    <xf numFmtId="264" fontId="12" fillId="14" borderId="5253" applyFont="0" applyFill="0" applyBorder="0" applyAlignment="0" applyProtection="0">
      <alignment horizontal="right"/>
    </xf>
    <xf numFmtId="248" fontId="46" fillId="0" borderId="5253"/>
    <xf numFmtId="188" fontId="25" fillId="0" borderId="5103" applyFont="0" applyFill="0" applyBorder="0" applyAlignment="0" applyProtection="0">
      <alignment horizontal="center"/>
    </xf>
    <xf numFmtId="264" fontId="12" fillId="14" borderId="5253" applyFont="0" applyFill="0" applyBorder="0" applyAlignment="0" applyProtection="0">
      <alignment horizontal="right"/>
    </xf>
    <xf numFmtId="246" fontId="250" fillId="0" borderId="5265" applyFill="0" applyProtection="0">
      <alignment horizontal="center"/>
    </xf>
    <xf numFmtId="0" fontId="101" fillId="0" borderId="5253" applyBorder="0"/>
    <xf numFmtId="0" fontId="166" fillId="0" borderId="5253">
      <alignment horizontal="center"/>
    </xf>
    <xf numFmtId="0" fontId="12" fillId="0" borderId="5087" applyNumberFormat="0" applyFill="0" applyBorder="0" applyAlignment="0" applyProtection="0"/>
    <xf numFmtId="0" fontId="46" fillId="0" borderId="5087" applyNumberFormat="0" applyFill="0" applyBorder="0" applyAlignment="0" applyProtection="0"/>
    <xf numFmtId="0" fontId="105" fillId="0" borderId="5087" applyNumberFormat="0" applyFill="0" applyBorder="0" applyAlignment="0" applyProtection="0"/>
    <xf numFmtId="0" fontId="48" fillId="0" borderId="5087" applyNumberFormat="0" applyFill="0" applyAlignment="0" applyProtection="0"/>
    <xf numFmtId="5" fontId="114" fillId="0" borderId="5086" applyAlignment="0" applyProtection="0"/>
    <xf numFmtId="0" fontId="74" fillId="0" borderId="5086" applyFont="0" applyFill="0" applyBorder="0" applyAlignment="0" applyProtection="0">
      <alignment horizontal="center"/>
    </xf>
    <xf numFmtId="0" fontId="48" fillId="0" borderId="5086" applyFont="0" applyFill="0" applyBorder="0" applyAlignment="0" applyProtection="0">
      <alignment horizontal="center"/>
    </xf>
    <xf numFmtId="182" fontId="145" fillId="3" borderId="5086">
      <alignment horizontal="right" vertical="center"/>
    </xf>
    <xf numFmtId="186" fontId="48" fillId="3" borderId="5086">
      <alignment vertical="center"/>
    </xf>
    <xf numFmtId="0" fontId="135" fillId="0" borderId="5088"/>
    <xf numFmtId="0" fontId="135" fillId="0" borderId="5088"/>
    <xf numFmtId="1" fontId="154" fillId="65" borderId="4821" applyNumberFormat="0" applyBorder="0" applyAlignment="0">
      <alignment horizontal="centerContinuous" vertical="center"/>
      <protection locked="0"/>
    </xf>
    <xf numFmtId="0" fontId="159" fillId="0" borderId="5088"/>
    <xf numFmtId="0" fontId="159" fillId="67" borderId="5088"/>
    <xf numFmtId="0" fontId="25" fillId="69" borderId="5088">
      <alignment horizontal="left" vertical="center" wrapText="1"/>
    </xf>
    <xf numFmtId="0" fontId="184" fillId="0" borderId="5089" applyAlignment="0">
      <alignment horizontal="left" wrapText="1"/>
    </xf>
    <xf numFmtId="188" fontId="25" fillId="0" borderId="5103" applyFont="0" applyFill="0" applyBorder="0" applyAlignment="0" applyProtection="0">
      <alignment horizontal="center"/>
    </xf>
    <xf numFmtId="4" fontId="223" fillId="53" borderId="5090" applyNumberFormat="0" applyProtection="0">
      <alignment vertical="center"/>
    </xf>
    <xf numFmtId="4" fontId="224" fillId="53" borderId="5090" applyNumberFormat="0" applyProtection="0">
      <alignment vertical="center"/>
    </xf>
    <xf numFmtId="4" fontId="184" fillId="53" borderId="5090" applyNumberFormat="0" applyProtection="0">
      <alignment horizontal="left" vertical="center" indent="1"/>
    </xf>
    <xf numFmtId="0" fontId="225" fillId="53" borderId="5090" applyNumberFormat="0" applyProtection="0">
      <alignment horizontal="left" vertical="top" indent="1"/>
    </xf>
    <xf numFmtId="4" fontId="226" fillId="76" borderId="5090" applyNumberFormat="0" applyProtection="0">
      <alignment horizontal="right" vertical="center"/>
    </xf>
    <xf numFmtId="4" fontId="226" fillId="77" borderId="5090" applyNumberFormat="0" applyProtection="0">
      <alignment horizontal="right" vertical="center"/>
    </xf>
    <xf numFmtId="4" fontId="226" fillId="78" borderId="5090" applyNumberFormat="0" applyProtection="0">
      <alignment horizontal="right" vertical="center"/>
    </xf>
    <xf numFmtId="4" fontId="226" fillId="10" borderId="5090" applyNumberFormat="0" applyProtection="0">
      <alignment horizontal="right" vertical="center"/>
    </xf>
    <xf numFmtId="4" fontId="226" fillId="79" borderId="5090" applyNumberFormat="0" applyProtection="0">
      <alignment horizontal="right" vertical="center"/>
    </xf>
    <xf numFmtId="4" fontId="226" fillId="71" borderId="5090" applyNumberFormat="0" applyProtection="0">
      <alignment horizontal="right" vertical="center"/>
    </xf>
    <xf numFmtId="4" fontId="226" fillId="80" borderId="5090" applyNumberFormat="0" applyProtection="0">
      <alignment horizontal="right" vertical="center"/>
    </xf>
    <xf numFmtId="4" fontId="226" fillId="81" borderId="5090" applyNumberFormat="0" applyProtection="0">
      <alignment horizontal="right" vertical="center"/>
    </xf>
    <xf numFmtId="4" fontId="226" fillId="82" borderId="5090" applyNumberFormat="0" applyProtection="0">
      <alignment horizontal="right" vertical="center"/>
    </xf>
    <xf numFmtId="4" fontId="184" fillId="52" borderId="5090" applyNumberFormat="0" applyProtection="0">
      <alignment horizontal="right" vertical="center"/>
    </xf>
    <xf numFmtId="0" fontId="12" fillId="75" borderId="5090" applyNumberFormat="0" applyProtection="0">
      <alignment horizontal="left" vertical="center" indent="1"/>
    </xf>
    <xf numFmtId="0" fontId="12" fillId="75" borderId="5090" applyNumberFormat="0" applyProtection="0">
      <alignment horizontal="left" vertical="top" indent="1"/>
    </xf>
    <xf numFmtId="0" fontId="12" fillId="84" borderId="5090" applyNumberFormat="0" applyProtection="0">
      <alignment horizontal="left" vertical="center" indent="1"/>
    </xf>
    <xf numFmtId="0" fontId="12" fillId="84" borderId="5090" applyNumberFormat="0" applyProtection="0">
      <alignment horizontal="left" vertical="top" indent="1"/>
    </xf>
    <xf numFmtId="0" fontId="12" fillId="52" borderId="5090" applyNumberFormat="0" applyProtection="0">
      <alignment horizontal="left" vertical="center" indent="1"/>
    </xf>
    <xf numFmtId="0" fontId="12" fillId="52" borderId="5090" applyNumberFormat="0" applyProtection="0">
      <alignment horizontal="left" vertical="top" indent="1"/>
    </xf>
    <xf numFmtId="0" fontId="12" fillId="11" borderId="5090" applyNumberFormat="0" applyProtection="0">
      <alignment horizontal="left" vertical="center" indent="1"/>
    </xf>
    <xf numFmtId="0" fontId="12" fillId="11" borderId="5090" applyNumberFormat="0" applyProtection="0">
      <alignment horizontal="left" vertical="top" indent="1"/>
    </xf>
    <xf numFmtId="4" fontId="226" fillId="11" borderId="5090" applyNumberFormat="0" applyProtection="0">
      <alignment vertical="center"/>
    </xf>
    <xf numFmtId="4" fontId="228" fillId="11" borderId="5090" applyNumberFormat="0" applyProtection="0">
      <alignment vertical="center"/>
    </xf>
    <xf numFmtId="4" fontId="227" fillId="52" borderId="5091" applyNumberFormat="0" applyProtection="0">
      <alignment horizontal="left" vertical="center" indent="1"/>
    </xf>
    <xf numFmtId="0" fontId="136" fillId="14" borderId="5090" applyNumberFormat="0" applyProtection="0">
      <alignment horizontal="left" vertical="top" indent="1"/>
    </xf>
    <xf numFmtId="4" fontId="184" fillId="11" borderId="5090" applyNumberFormat="0" applyProtection="0">
      <alignment horizontal="right" vertical="center"/>
    </xf>
    <xf numFmtId="4" fontId="228" fillId="11" borderId="5090" applyNumberFormat="0" applyProtection="0">
      <alignment horizontal="right" vertical="center"/>
    </xf>
    <xf numFmtId="4" fontId="223" fillId="52" borderId="5090" applyNumberFormat="0" applyProtection="0">
      <alignment horizontal="left" vertical="center" indent="1"/>
    </xf>
    <xf numFmtId="0" fontId="136" fillId="84" borderId="5090" applyNumberFormat="0" applyProtection="0">
      <alignment horizontal="left" vertical="top" indent="1"/>
    </xf>
    <xf numFmtId="4" fontId="229" fillId="84" borderId="5091" applyNumberFormat="0" applyProtection="0">
      <alignment horizontal="left" vertical="center" indent="1"/>
    </xf>
    <xf numFmtId="4" fontId="230" fillId="11" borderId="5090" applyNumberFormat="0" applyProtection="0">
      <alignment horizontal="right" vertical="center"/>
    </xf>
    <xf numFmtId="3" fontId="12" fillId="60" borderId="5092" applyFont="0" applyFill="0" applyBorder="0" applyAlignment="0" applyProtection="0"/>
    <xf numFmtId="4" fontId="12" fillId="60" borderId="5092" applyFont="0" applyFill="0" applyBorder="0" applyAlignment="0" applyProtection="0"/>
    <xf numFmtId="183" fontId="12" fillId="60" borderId="5092" applyFont="0" applyFill="0" applyBorder="0" applyAlignment="0" applyProtection="0"/>
    <xf numFmtId="10" fontId="12" fillId="60" borderId="5092" applyFont="0" applyFill="0" applyBorder="0" applyAlignment="0" applyProtection="0"/>
    <xf numFmtId="9" fontId="12" fillId="60" borderId="5092" applyFont="0" applyFill="0" applyBorder="0" applyAlignment="0" applyProtection="0"/>
    <xf numFmtId="2" fontId="12" fillId="60" borderId="5092" applyFont="0" applyFill="0" applyBorder="0" applyAlignment="0" applyProtection="0"/>
    <xf numFmtId="0" fontId="25" fillId="10" borderId="5088" applyNumberFormat="0" applyProtection="0">
      <alignment horizontal="center" vertical="top"/>
    </xf>
    <xf numFmtId="0" fontId="25" fillId="10" borderId="5088" applyNumberFormat="0" applyProtection="0">
      <alignment horizontal="center" vertical="top"/>
    </xf>
    <xf numFmtId="169" fontId="234" fillId="3" borderId="5088" applyFont="0" applyProtection="0"/>
    <xf numFmtId="169" fontId="234" fillId="10" borderId="5088" applyFont="0" applyProtection="0"/>
    <xf numFmtId="293" fontId="234" fillId="3" borderId="5088" applyFont="0" applyProtection="0"/>
    <xf numFmtId="293" fontId="234" fillId="10" borderId="5088" applyFont="0" applyProtection="0"/>
    <xf numFmtId="293" fontId="234" fillId="10" borderId="5088" applyFont="0" applyProtection="0"/>
    <xf numFmtId="0" fontId="12" fillId="3" borderId="5088" applyNumberFormat="0" applyFont="0" applyAlignment="0" applyProtection="0"/>
    <xf numFmtId="0" fontId="12" fillId="10" borderId="5088" applyNumberFormat="0" applyFont="0" applyAlignment="0" applyProtection="0"/>
    <xf numFmtId="0" fontId="12" fillId="10" borderId="5088" applyNumberFormat="0" applyFont="0" applyProtection="0"/>
    <xf numFmtId="0" fontId="25" fillId="10" borderId="5093" applyNumberFormat="0" applyProtection="0">
      <alignment horizontal="left"/>
    </xf>
    <xf numFmtId="0" fontId="25" fillId="10" borderId="5094" applyNumberFormat="0" applyProtection="0">
      <alignment horizontal="left" vertical="top"/>
    </xf>
    <xf numFmtId="0" fontId="25" fillId="10" borderId="5095" applyNumberFormat="0" applyProtection="0">
      <alignment horizontal="left" vertical="top"/>
    </xf>
    <xf numFmtId="0" fontId="25" fillId="10" borderId="5096" applyNumberFormat="0" applyProtection="0">
      <alignment horizontal="left" vertical="top"/>
    </xf>
    <xf numFmtId="0" fontId="25" fillId="10" borderId="5097" applyNumberFormat="0" applyProtection="0">
      <alignment horizontal="left" vertical="top"/>
    </xf>
    <xf numFmtId="0" fontId="25" fillId="10" borderId="5098" applyNumberFormat="0" applyProtection="0">
      <alignment horizontal="left" vertical="top"/>
    </xf>
    <xf numFmtId="0" fontId="25" fillId="10" borderId="5099" applyNumberFormat="0" applyProtection="0">
      <alignment horizontal="left" vertical="top"/>
    </xf>
    <xf numFmtId="0" fontId="12" fillId="0" borderId="5087" applyNumberFormat="0" applyFill="0" applyBorder="0" applyAlignment="0" applyProtection="0"/>
    <xf numFmtId="10" fontId="12" fillId="3" borderId="5100" applyNumberFormat="0" applyFont="0" applyFill="0" applyBorder="0" applyAlignment="0">
      <protection locked="0"/>
    </xf>
    <xf numFmtId="0" fontId="12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186" fontId="146" fillId="3" borderId="5253" applyBorder="0">
      <alignment horizontal="left" vertical="center"/>
    </xf>
    <xf numFmtId="0" fontId="101" fillId="0" borderId="5265" applyBorder="0"/>
    <xf numFmtId="10" fontId="12" fillId="3" borderId="5100" applyNumberFormat="0" applyFont="0" applyFill="0" applyBorder="0" applyAlignment="0">
      <protection locked="0"/>
    </xf>
    <xf numFmtId="188" fontId="25" fillId="0" borderId="5103" applyFont="0" applyFill="0" applyBorder="0" applyAlignment="0" applyProtection="0">
      <alignment horizontal="center"/>
    </xf>
    <xf numFmtId="186" fontId="146" fillId="3" borderId="4970">
      <alignment horizontal="left"/>
    </xf>
    <xf numFmtId="0" fontId="113" fillId="0" borderId="5144" applyNumberFormat="0" applyFill="0" applyAlignment="0" applyProtection="0"/>
    <xf numFmtId="0" fontId="25" fillId="10" borderId="5298" applyNumberFormat="0" applyProtection="0">
      <alignment horizontal="left" vertical="top"/>
    </xf>
    <xf numFmtId="246" fontId="250" fillId="0" borderId="5144" applyFill="0" applyProtection="0">
      <alignment horizontal="center"/>
    </xf>
    <xf numFmtId="0" fontId="75" fillId="0" borderId="4968" applyNumberFormat="0" applyFont="0" applyFill="0" applyAlignment="0" applyProtection="0"/>
    <xf numFmtId="10" fontId="12" fillId="3" borderId="5100" applyNumberFormat="0" applyFont="0" applyFill="0" applyBorder="0" applyAlignment="0">
      <protection locked="0"/>
    </xf>
    <xf numFmtId="186" fontId="146" fillId="3" borderId="5265" applyBorder="0">
      <alignment horizontal="left" vertical="center"/>
    </xf>
    <xf numFmtId="180" fontId="9" fillId="3" borderId="5265">
      <alignment horizontal="right" vertical="center"/>
    </xf>
    <xf numFmtId="10" fontId="12" fillId="3" borderId="5100" applyNumberFormat="0" applyFont="0" applyFill="0" applyBorder="0" applyAlignment="0">
      <protection locked="0"/>
    </xf>
    <xf numFmtId="222" fontId="79" fillId="0" borderId="5101" applyBorder="0"/>
    <xf numFmtId="10" fontId="12" fillId="3" borderId="5100" applyNumberFormat="0" applyFont="0" applyFill="0" applyBorder="0" applyAlignment="0">
      <protection locked="0"/>
    </xf>
    <xf numFmtId="190" fontId="113" fillId="0" borderId="5325" applyNumberFormat="0" applyFill="0" applyAlignment="0" applyProtection="0"/>
    <xf numFmtId="0" fontId="101" fillId="0" borderId="5104" applyBorder="0"/>
    <xf numFmtId="222" fontId="79" fillId="0" borderId="5101" applyBorder="0"/>
    <xf numFmtId="0" fontId="113" fillId="0" borderId="5104" applyNumberFormat="0" applyFill="0" applyAlignment="0" applyProtection="0"/>
    <xf numFmtId="0" fontId="12" fillId="0" borderId="5104" applyNumberFormat="0" applyFill="0" applyBorder="0" applyAlignment="0" applyProtection="0">
      <alignment horizontal="center"/>
    </xf>
    <xf numFmtId="248" fontId="46" fillId="0" borderId="5104"/>
    <xf numFmtId="0" fontId="25" fillId="10" borderId="5321" applyNumberFormat="0" applyProtection="0">
      <alignment horizontal="left" vertical="top"/>
    </xf>
    <xf numFmtId="186" fontId="146" fillId="3" borderId="5292">
      <alignment horizontal="left"/>
    </xf>
    <xf numFmtId="248" fontId="46" fillId="0" borderId="5144"/>
    <xf numFmtId="192" fontId="9" fillId="3" borderId="5104">
      <alignment horizontal="right" vertical="center"/>
    </xf>
    <xf numFmtId="180" fontId="9" fillId="3" borderId="5104">
      <alignment horizontal="right" vertical="center"/>
    </xf>
    <xf numFmtId="186" fontId="146" fillId="3" borderId="5104" applyBorder="0">
      <alignment horizontal="left" vertical="center"/>
    </xf>
    <xf numFmtId="0" fontId="165" fillId="0" borderId="5104" applyFill="0" applyProtection="0">
      <alignment horizontal="center"/>
    </xf>
    <xf numFmtId="0" fontId="166" fillId="0" borderId="5104">
      <alignment horizontal="center"/>
    </xf>
    <xf numFmtId="264" fontId="12" fillId="14" borderId="5104" applyFont="0" applyFill="0" applyBorder="0" applyAlignment="0" applyProtection="0">
      <alignment horizontal="right"/>
    </xf>
    <xf numFmtId="0" fontId="210" fillId="0" borderId="5104" applyNumberFormat="0" applyFill="0" applyBorder="0" applyAlignment="0">
      <protection locked="0"/>
    </xf>
    <xf numFmtId="254" fontId="240" fillId="0" borderId="5104" applyBorder="0" applyProtection="0">
      <alignment horizontal="right" vertical="center"/>
    </xf>
    <xf numFmtId="0" fontId="241" fillId="94" borderId="5104" applyBorder="0" applyProtection="0">
      <alignment horizontal="centerContinuous" vertical="center"/>
    </xf>
    <xf numFmtId="246" fontId="249" fillId="0" borderId="5104" applyFill="0" applyProtection="0">
      <alignment horizontal="center"/>
    </xf>
    <xf numFmtId="246" fontId="250" fillId="0" borderId="5104" applyFill="0" applyProtection="0">
      <alignment horizontal="center"/>
    </xf>
    <xf numFmtId="248" fontId="46" fillId="0" borderId="5265"/>
    <xf numFmtId="0" fontId="12" fillId="0" borderId="5265" applyNumberFormat="0" applyFill="0" applyBorder="0" applyAlignment="0" applyProtection="0">
      <alignment horizontal="center"/>
    </xf>
    <xf numFmtId="192" fontId="9" fillId="3" borderId="5265">
      <alignment horizontal="right" vertical="center"/>
    </xf>
    <xf numFmtId="0" fontId="78" fillId="14" borderId="5134" applyFont="0" applyFill="0" applyBorder="0" applyAlignment="0" applyProtection="0"/>
    <xf numFmtId="0" fontId="2" fillId="0" borderId="5258" applyNumberFormat="0" applyAlignment="0" applyProtection="0"/>
    <xf numFmtId="222" fontId="79" fillId="0" borderId="5264" applyBorder="0"/>
    <xf numFmtId="10" fontId="12" fillId="3" borderId="5100" applyNumberFormat="0" applyFont="0" applyFill="0" applyBorder="0" applyAlignment="0">
      <protection locked="0"/>
    </xf>
    <xf numFmtId="0" fontId="101" fillId="0" borderId="5265" applyBorder="0"/>
    <xf numFmtId="10" fontId="12" fillId="3" borderId="5100" applyNumberFormat="0" applyFont="0" applyFill="0" applyBorder="0" applyAlignment="0">
      <protection locked="0"/>
    </xf>
    <xf numFmtId="222" fontId="79" fillId="0" borderId="5264" applyBorder="0"/>
    <xf numFmtId="0" fontId="25" fillId="10" borderId="5261" applyNumberFormat="0" applyProtection="0">
      <alignment horizontal="left" vertical="top"/>
    </xf>
    <xf numFmtId="0" fontId="25" fillId="10" borderId="5262" applyNumberFormat="0" applyProtection="0">
      <alignment horizontal="left" vertical="top"/>
    </xf>
    <xf numFmtId="0" fontId="25" fillId="10" borderId="5263" applyNumberFormat="0" applyProtection="0">
      <alignment horizontal="left" vertical="top"/>
    </xf>
    <xf numFmtId="0" fontId="75" fillId="0" borderId="5266" applyNumberFormat="0" applyFont="0" applyFill="0" applyAlignment="0" applyProtection="0"/>
    <xf numFmtId="222" fontId="79" fillId="0" borderId="5264" applyBorder="0"/>
    <xf numFmtId="310" fontId="267" fillId="0" borderId="5105">
      <alignment horizontal="left"/>
    </xf>
    <xf numFmtId="0" fontId="25" fillId="10" borderId="5261" applyNumberFormat="0" applyProtection="0">
      <alignment horizontal="left" vertical="top"/>
    </xf>
    <xf numFmtId="307" fontId="268" fillId="0" borderId="5105">
      <alignment horizontal="right" wrapText="1"/>
    </xf>
    <xf numFmtId="0" fontId="25" fillId="10" borderId="5260" applyNumberFormat="0" applyProtection="0">
      <alignment horizontal="left" vertical="top"/>
    </xf>
    <xf numFmtId="0" fontId="25" fillId="10" borderId="5261" applyNumberFormat="0" applyProtection="0">
      <alignment horizontal="left" vertical="top"/>
    </xf>
    <xf numFmtId="186" fontId="146" fillId="3" borderId="5078">
      <alignment horizontal="left"/>
    </xf>
    <xf numFmtId="0" fontId="75" fillId="0" borderId="5076" applyNumberFormat="0" applyFont="0" applyFill="0" applyAlignment="0" applyProtection="0"/>
    <xf numFmtId="0" fontId="214" fillId="0" borderId="5259" applyNumberFormat="0" applyFont="0" applyFill="0" applyAlignment="0" applyProtection="0"/>
    <xf numFmtId="0" fontId="78" fillId="14" borderId="5255" applyFont="0" applyFill="0" applyBorder="0" applyAlignment="0" applyProtection="0"/>
    <xf numFmtId="186" fontId="140" fillId="3" borderId="5329">
      <alignment horizontal="center" vertical="center"/>
    </xf>
    <xf numFmtId="180" fontId="9" fillId="3" borderId="5325">
      <alignment horizontal="right" vertical="center"/>
    </xf>
    <xf numFmtId="0" fontId="12" fillId="0" borderId="5325" applyNumberFormat="0" applyFill="0" applyBorder="0" applyAlignment="0" applyProtection="0">
      <alignment horizontal="center"/>
    </xf>
    <xf numFmtId="222" fontId="79" fillId="0" borderId="5324" applyBorder="0"/>
    <xf numFmtId="0" fontId="113" fillId="0" borderId="5144" applyNumberFormat="0" applyFill="0" applyAlignment="0" applyProtection="0"/>
    <xf numFmtId="264" fontId="12" fillId="14" borderId="5144" applyFont="0" applyFill="0" applyBorder="0" applyAlignment="0" applyProtection="0">
      <alignment horizontal="right"/>
    </xf>
    <xf numFmtId="246" fontId="249" fillId="0" borderId="5144" applyFill="0" applyProtection="0">
      <alignment horizontal="center"/>
    </xf>
    <xf numFmtId="0" fontId="25" fillId="10" borderId="5085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25" fillId="10" borderId="5084" applyNumberFormat="0" applyProtection="0">
      <alignment horizontal="left" vertical="top"/>
    </xf>
    <xf numFmtId="0" fontId="25" fillId="10" borderId="5082" applyNumberFormat="0" applyProtection="0">
      <alignment horizontal="left" vertical="top"/>
    </xf>
    <xf numFmtId="0" fontId="25" fillId="10" borderId="5085" applyNumberFormat="0" applyProtection="0">
      <alignment horizontal="left" vertical="top"/>
    </xf>
    <xf numFmtId="0" fontId="25" fillId="10" borderId="5084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25" fillId="10" borderId="5082" applyNumberFormat="0" applyProtection="0">
      <alignment horizontal="left" vertical="top"/>
    </xf>
    <xf numFmtId="0" fontId="214" fillId="0" borderId="5081" applyNumberFormat="0" applyFont="0" applyFill="0" applyAlignment="0" applyProtection="0"/>
    <xf numFmtId="0" fontId="2" fillId="0" borderId="5080" applyNumberFormat="0" applyAlignment="0" applyProtection="0"/>
    <xf numFmtId="186" fontId="140" fillId="3" borderId="5079">
      <alignment horizontal="center" vertical="center"/>
    </xf>
    <xf numFmtId="186" fontId="140" fillId="3" borderId="5043">
      <alignment horizontal="center" vertical="center"/>
    </xf>
    <xf numFmtId="0" fontId="25" fillId="10" borderId="5070" applyNumberFormat="0" applyProtection="0">
      <alignment horizontal="left" vertical="top"/>
    </xf>
    <xf numFmtId="0" fontId="12" fillId="0" borderId="5144" applyNumberFormat="0" applyFill="0" applyBorder="0" applyAlignment="0" applyProtection="0">
      <alignment horizontal="center"/>
    </xf>
    <xf numFmtId="0" fontId="25" fillId="10" borderId="5141" applyNumberFormat="0" applyProtection="0">
      <alignment horizontal="left" vertical="top"/>
    </xf>
    <xf numFmtId="0" fontId="78" fillId="14" borderId="5255" applyFont="0" applyFill="0" applyBorder="0" applyAlignment="0" applyProtection="0"/>
    <xf numFmtId="222" fontId="79" fillId="0" borderId="5131" applyBorder="0"/>
    <xf numFmtId="0" fontId="78" fillId="14" borderId="5134" applyFont="0" applyFill="0" applyBorder="0" applyAlignment="0" applyProtection="0"/>
    <xf numFmtId="222" fontId="79" fillId="0" borderId="5143" applyBorder="0"/>
    <xf numFmtId="0" fontId="101" fillId="0" borderId="5144" applyBorder="0"/>
    <xf numFmtId="222" fontId="79" fillId="0" borderId="5143" applyBorder="0"/>
    <xf numFmtId="248" fontId="46" fillId="0" borderId="5144"/>
    <xf numFmtId="192" fontId="9" fillId="3" borderId="5144">
      <alignment horizontal="right" vertical="center"/>
    </xf>
    <xf numFmtId="180" fontId="9" fillId="3" borderId="5144">
      <alignment horizontal="right" vertical="center"/>
    </xf>
    <xf numFmtId="186" fontId="146" fillId="3" borderId="5144" applyBorder="0">
      <alignment horizontal="left" vertical="center"/>
    </xf>
    <xf numFmtId="0" fontId="165" fillId="0" borderId="5144" applyFill="0" applyProtection="0">
      <alignment horizontal="center"/>
    </xf>
    <xf numFmtId="0" fontId="210" fillId="0" borderId="5144" applyNumberFormat="0" applyFill="0" applyBorder="0" applyAlignment="0">
      <protection locked="0"/>
    </xf>
    <xf numFmtId="254" fontId="240" fillId="0" borderId="5144" applyBorder="0" applyProtection="0">
      <alignment horizontal="right" vertical="center"/>
    </xf>
    <xf numFmtId="246" fontId="250" fillId="0" borderId="5144" applyFill="0" applyProtection="0">
      <alignment horizontal="center"/>
    </xf>
    <xf numFmtId="10" fontId="12" fillId="3" borderId="5100" applyNumberFormat="0" applyFont="0" applyFill="0" applyBorder="0" applyAlignment="0">
      <protection locked="0"/>
    </xf>
    <xf numFmtId="222" fontId="79" fillId="0" borderId="5101" applyBorder="0"/>
    <xf numFmtId="0" fontId="25" fillId="10" borderId="5071" applyNumberFormat="0" applyProtection="0">
      <alignment horizontal="left" vertical="top"/>
    </xf>
    <xf numFmtId="0" fontId="25" fillId="10" borderId="5073" applyNumberFormat="0" applyProtection="0">
      <alignment horizontal="left" vertical="top"/>
    </xf>
    <xf numFmtId="0" fontId="25" fillId="10" borderId="5070" applyNumberFormat="0" applyProtection="0">
      <alignment horizontal="left" vertical="top"/>
    </xf>
    <xf numFmtId="0" fontId="25" fillId="10" borderId="5071" applyNumberFormat="0" applyProtection="0">
      <alignment horizontal="left" vertical="top"/>
    </xf>
    <xf numFmtId="0" fontId="25" fillId="10" borderId="5072" applyNumberFormat="0" applyProtection="0">
      <alignment horizontal="left" vertical="top"/>
    </xf>
    <xf numFmtId="0" fontId="75" fillId="0" borderId="5076" applyNumberFormat="0" applyFont="0" applyFill="0" applyAlignment="0" applyProtection="0"/>
    <xf numFmtId="0" fontId="101" fillId="0" borderId="5104" applyBorder="0"/>
    <xf numFmtId="222" fontId="79" fillId="0" borderId="5101" applyBorder="0"/>
    <xf numFmtId="0" fontId="113" fillId="0" borderId="5104" applyNumberFormat="0" applyFill="0" applyAlignment="0" applyProtection="0"/>
    <xf numFmtId="0" fontId="12" fillId="0" borderId="5104" applyNumberFormat="0" applyFill="0" applyBorder="0" applyAlignment="0" applyProtection="0">
      <alignment horizontal="center"/>
    </xf>
    <xf numFmtId="248" fontId="46" fillId="0" borderId="5104"/>
    <xf numFmtId="192" fontId="9" fillId="3" borderId="5104">
      <alignment horizontal="right" vertical="center"/>
    </xf>
    <xf numFmtId="180" fontId="9" fillId="3" borderId="5104">
      <alignment horizontal="right" vertical="center"/>
    </xf>
    <xf numFmtId="186" fontId="146" fillId="3" borderId="5104" applyBorder="0">
      <alignment horizontal="left" vertical="center"/>
    </xf>
    <xf numFmtId="0" fontId="166" fillId="0" borderId="5104">
      <alignment horizontal="center"/>
    </xf>
    <xf numFmtId="0" fontId="210" fillId="0" borderId="5104" applyNumberFormat="0" applyFill="0" applyBorder="0" applyAlignment="0">
      <protection locked="0"/>
    </xf>
    <xf numFmtId="264" fontId="12" fillId="14" borderId="5104" applyFont="0" applyFill="0" applyBorder="0" applyAlignment="0" applyProtection="0">
      <alignment horizontal="right"/>
    </xf>
    <xf numFmtId="246" fontId="249" fillId="0" borderId="5104" applyFill="0" applyProtection="0">
      <alignment horizontal="center"/>
    </xf>
    <xf numFmtId="246" fontId="250" fillId="0" borderId="5104" applyFill="0" applyProtection="0">
      <alignment horizontal="center"/>
    </xf>
    <xf numFmtId="246" fontId="250" fillId="0" borderId="5120" applyFill="0" applyProtection="0">
      <alignment horizontal="center"/>
    </xf>
    <xf numFmtId="246" fontId="249" fillId="0" borderId="5120" applyFill="0" applyProtection="0">
      <alignment horizontal="center"/>
    </xf>
    <xf numFmtId="254" fontId="240" fillId="0" borderId="5120" applyBorder="0" applyProtection="0">
      <alignment horizontal="right" vertical="center"/>
    </xf>
    <xf numFmtId="264" fontId="12" fillId="14" borderId="5120" applyFont="0" applyFill="0" applyBorder="0" applyAlignment="0" applyProtection="0">
      <alignment horizontal="right"/>
    </xf>
    <xf numFmtId="0" fontId="165" fillId="0" borderId="5120" applyFill="0" applyProtection="0">
      <alignment horizontal="center"/>
    </xf>
    <xf numFmtId="180" fontId="9" fillId="3" borderId="5120">
      <alignment horizontal="right" vertical="center"/>
    </xf>
    <xf numFmtId="0" fontId="12" fillId="0" borderId="5120" applyNumberFormat="0" applyFill="0" applyBorder="0" applyAlignment="0" applyProtection="0">
      <alignment horizontal="center"/>
    </xf>
    <xf numFmtId="0" fontId="101" fillId="0" borderId="5120" applyBorder="0"/>
    <xf numFmtId="222" fontId="79" fillId="0" borderId="5119" applyBorder="0"/>
    <xf numFmtId="0" fontId="75" fillId="0" borderId="5109" applyNumberFormat="0" applyFont="0" applyFill="0" applyAlignment="0" applyProtection="0"/>
    <xf numFmtId="0" fontId="2" fillId="0" borderId="5113" applyNumberFormat="0" applyAlignment="0" applyProtection="0"/>
    <xf numFmtId="0" fontId="25" fillId="10" borderId="5115" applyNumberFormat="0" applyProtection="0">
      <alignment horizontal="left" vertical="top"/>
    </xf>
    <xf numFmtId="0" fontId="25" fillId="10" borderId="5118" applyNumberFormat="0" applyProtection="0">
      <alignment horizontal="left" vertical="top"/>
    </xf>
    <xf numFmtId="222" fontId="79" fillId="0" borderId="5101" applyBorder="0"/>
    <xf numFmtId="0" fontId="25" fillId="10" borderId="5084" applyNumberFormat="0" applyProtection="0">
      <alignment horizontal="left" vertical="top"/>
    </xf>
    <xf numFmtId="10" fontId="12" fillId="3" borderId="5100" applyNumberFormat="0" applyFont="0" applyFill="0" applyBorder="0" applyAlignment="0">
      <protection locked="0"/>
    </xf>
    <xf numFmtId="0" fontId="25" fillId="10" borderId="5082" applyNumberFormat="0" applyProtection="0">
      <alignment horizontal="left" vertical="top"/>
    </xf>
    <xf numFmtId="0" fontId="214" fillId="0" borderId="5081" applyNumberFormat="0" applyFont="0" applyFill="0" applyAlignment="0" applyProtection="0"/>
    <xf numFmtId="186" fontId="146" fillId="3" borderId="5078">
      <alignment horizontal="left"/>
    </xf>
    <xf numFmtId="222" fontId="79" fillId="0" borderId="5101" applyBorder="0"/>
    <xf numFmtId="186" fontId="146" fillId="3" borderId="5253" applyBorder="0">
      <alignment horizontal="left" vertical="center"/>
    </xf>
    <xf numFmtId="10" fontId="12" fillId="3" borderId="5100" applyNumberFormat="0" applyFont="0" applyFill="0" applyBorder="0" applyAlignment="0">
      <protection locked="0"/>
    </xf>
    <xf numFmtId="0" fontId="101" fillId="0" borderId="5075" applyBorder="0"/>
    <xf numFmtId="0" fontId="113" fillId="0" borderId="5075" applyNumberFormat="0" applyFill="0" applyAlignment="0" applyProtection="0"/>
    <xf numFmtId="0" fontId="12" fillId="0" borderId="5075" applyNumberFormat="0" applyFill="0" applyBorder="0" applyAlignment="0" applyProtection="0">
      <alignment horizontal="center"/>
    </xf>
    <xf numFmtId="248" fontId="46" fillId="0" borderId="5075"/>
    <xf numFmtId="192" fontId="9" fillId="3" borderId="5075">
      <alignment horizontal="right" vertical="center"/>
    </xf>
    <xf numFmtId="180" fontId="9" fillId="3" borderId="5075">
      <alignment horizontal="right" vertical="center"/>
    </xf>
    <xf numFmtId="186" fontId="146" fillId="3" borderId="5075" applyBorder="0">
      <alignment horizontal="left" vertical="center"/>
    </xf>
    <xf numFmtId="0" fontId="165" fillId="0" borderId="5075" applyFill="0" applyProtection="0">
      <alignment horizontal="center"/>
    </xf>
    <xf numFmtId="0" fontId="166" fillId="0" borderId="5075">
      <alignment horizontal="center"/>
    </xf>
    <xf numFmtId="264" fontId="12" fillId="14" borderId="5075" applyFont="0" applyFill="0" applyBorder="0" applyAlignment="0" applyProtection="0">
      <alignment horizontal="right"/>
    </xf>
    <xf numFmtId="0" fontId="210" fillId="0" borderId="5075" applyNumberFormat="0" applyFill="0" applyBorder="0" applyAlignment="0">
      <protection locked="0"/>
    </xf>
    <xf numFmtId="248" fontId="46" fillId="0" borderId="5120"/>
    <xf numFmtId="222" fontId="79" fillId="0" borderId="5119" applyBorder="0"/>
    <xf numFmtId="186" fontId="140" fillId="3" borderId="5112">
      <alignment horizontal="center" vertical="center"/>
    </xf>
    <xf numFmtId="0" fontId="25" fillId="10" borderId="5117" applyNumberFormat="0" applyProtection="0">
      <alignment horizontal="left" vertical="top"/>
    </xf>
    <xf numFmtId="0" fontId="210" fillId="0" borderId="5120" applyNumberFormat="0" applyFill="0" applyBorder="0" applyAlignment="0">
      <protection locked="0"/>
    </xf>
    <xf numFmtId="192" fontId="9" fillId="3" borderId="5120">
      <alignment horizontal="right" vertical="center"/>
    </xf>
    <xf numFmtId="0" fontId="113" fillId="0" borderId="5120" applyNumberFormat="0" applyFill="0" applyAlignment="0" applyProtection="0"/>
    <xf numFmtId="186" fontId="146" fillId="3" borderId="5111">
      <alignment horizontal="left"/>
    </xf>
    <xf numFmtId="0" fontId="25" fillId="10" borderId="5116" applyNumberFormat="0" applyProtection="0">
      <alignment horizontal="left" vertical="top"/>
    </xf>
    <xf numFmtId="254" fontId="240" fillId="0" borderId="5075" applyBorder="0" applyProtection="0">
      <alignment horizontal="right" vertical="center"/>
    </xf>
    <xf numFmtId="0" fontId="241" fillId="94" borderId="5075" applyBorder="0" applyProtection="0">
      <alignment horizontal="centerContinuous" vertical="center"/>
    </xf>
    <xf numFmtId="246" fontId="249" fillId="0" borderId="5075" applyFill="0" applyProtection="0">
      <alignment horizontal="center"/>
    </xf>
    <xf numFmtId="246" fontId="250" fillId="0" borderId="5075" applyFill="0" applyProtection="0">
      <alignment horizontal="center"/>
    </xf>
    <xf numFmtId="0" fontId="25" fillId="10" borderId="5140" applyNumberFormat="0" applyProtection="0">
      <alignment horizontal="left" vertical="top"/>
    </xf>
    <xf numFmtId="10" fontId="12" fillId="3" borderId="5100" applyNumberFormat="0" applyFont="0" applyFill="0" applyBorder="0" applyAlignment="0">
      <protection locked="0"/>
    </xf>
    <xf numFmtId="0" fontId="25" fillId="10" borderId="5142" applyNumberFormat="0" applyProtection="0">
      <alignment horizontal="left" vertical="top"/>
    </xf>
    <xf numFmtId="222" fontId="79" fillId="0" borderId="5101" applyBorder="0"/>
    <xf numFmtId="0" fontId="214" fillId="0" borderId="5138" applyNumberFormat="0" applyFont="0" applyFill="0" applyAlignment="0" applyProtection="0"/>
    <xf numFmtId="0" fontId="75" fillId="0" borderId="4968" applyNumberFormat="0" applyFont="0" applyFill="0" applyAlignment="0" applyProtection="0"/>
    <xf numFmtId="0" fontId="25" fillId="10" borderId="5072" applyNumberFormat="0" applyProtection="0">
      <alignment horizontal="left" vertical="top"/>
    </xf>
    <xf numFmtId="0" fontId="25" fillId="10" borderId="5073" applyNumberFormat="0" applyProtection="0">
      <alignment horizontal="left" vertical="top"/>
    </xf>
    <xf numFmtId="0" fontId="165" fillId="0" borderId="5104" applyFill="0" applyProtection="0">
      <alignment horizontal="center"/>
    </xf>
    <xf numFmtId="254" fontId="240" fillId="0" borderId="5104" applyBorder="0" applyProtection="0">
      <alignment horizontal="right" vertical="center"/>
    </xf>
    <xf numFmtId="0" fontId="241" fillId="94" borderId="5104" applyBorder="0" applyProtection="0">
      <alignment horizontal="centerContinuous" vertical="center"/>
    </xf>
    <xf numFmtId="0" fontId="241" fillId="94" borderId="5120" applyBorder="0" applyProtection="0">
      <alignment horizontal="centerContinuous" vertical="center"/>
    </xf>
    <xf numFmtId="0" fontId="166" fillId="0" borderId="5120">
      <alignment horizontal="center"/>
    </xf>
    <xf numFmtId="186" fontId="146" fillId="3" borderId="5120" applyBorder="0">
      <alignment horizontal="left" vertical="center"/>
    </xf>
    <xf numFmtId="0" fontId="214" fillId="0" borderId="5114" applyNumberFormat="0" applyFont="0" applyFill="0" applyAlignment="0" applyProtection="0"/>
    <xf numFmtId="0" fontId="78" fillId="14" borderId="5110" applyFont="0" applyFill="0" applyBorder="0" applyAlignment="0" applyProtection="0"/>
    <xf numFmtId="0" fontId="78" fillId="14" borderId="5065" applyFont="0" applyFill="0" applyBorder="0" applyAlignment="0" applyProtection="0"/>
    <xf numFmtId="0" fontId="25" fillId="10" borderId="5073" applyNumberFormat="0" applyProtection="0">
      <alignment horizontal="left" vertical="top"/>
    </xf>
    <xf numFmtId="0" fontId="25" fillId="10" borderId="5072" applyNumberFormat="0" applyProtection="0">
      <alignment horizontal="left" vertical="top"/>
    </xf>
    <xf numFmtId="0" fontId="25" fillId="10" borderId="5071" applyNumberFormat="0" applyProtection="0">
      <alignment horizontal="left" vertical="top"/>
    </xf>
    <xf numFmtId="0" fontId="25" fillId="10" borderId="5070" applyNumberFormat="0" applyProtection="0">
      <alignment horizontal="left" vertical="top"/>
    </xf>
    <xf numFmtId="186" fontId="140" fillId="3" borderId="5136">
      <alignment horizontal="center" vertical="center"/>
    </xf>
    <xf numFmtId="0" fontId="214" fillId="0" borderId="5069" applyNumberFormat="0" applyFont="0" applyFill="0" applyAlignment="0" applyProtection="0"/>
    <xf numFmtId="186" fontId="140" fillId="3" borderId="5043">
      <alignment horizontal="center" vertical="center"/>
    </xf>
    <xf numFmtId="186" fontId="146" fillId="3" borderId="4970">
      <alignment horizontal="left"/>
    </xf>
    <xf numFmtId="186" fontId="146" fillId="3" borderId="5135">
      <alignment horizontal="left"/>
    </xf>
    <xf numFmtId="0" fontId="75" fillId="0" borderId="4968" applyNumberFormat="0" applyFont="0" applyFill="0" applyAlignment="0" applyProtection="0"/>
    <xf numFmtId="0" fontId="75" fillId="0" borderId="5133" applyNumberFormat="0" applyFont="0" applyFill="0" applyAlignment="0" applyProtection="0"/>
    <xf numFmtId="222" fontId="79" fillId="0" borderId="5101" applyBorder="0"/>
    <xf numFmtId="222" fontId="79" fillId="0" borderId="5101" applyBorder="0"/>
    <xf numFmtId="0" fontId="25" fillId="10" borderId="5139" applyNumberFormat="0" applyProtection="0">
      <alignment horizontal="left" vertical="top"/>
    </xf>
    <xf numFmtId="0" fontId="2" fillId="0" borderId="5137" applyNumberFormat="0" applyAlignment="0" applyProtection="0"/>
    <xf numFmtId="246" fontId="250" fillId="0" borderId="5104" applyFill="0" applyProtection="0">
      <alignment horizontal="center"/>
    </xf>
    <xf numFmtId="246" fontId="249" fillId="0" borderId="5104" applyFill="0" applyProtection="0">
      <alignment horizontal="center"/>
    </xf>
    <xf numFmtId="0" fontId="241" fillId="94" borderId="5104" applyBorder="0" applyProtection="0">
      <alignment horizontal="centerContinuous" vertical="center"/>
    </xf>
    <xf numFmtId="254" fontId="240" fillId="0" borderId="5104" applyBorder="0" applyProtection="0">
      <alignment horizontal="right" vertical="center"/>
    </xf>
    <xf numFmtId="0" fontId="210" fillId="0" borderId="5104" applyNumberFormat="0" applyFill="0" applyBorder="0" applyAlignment="0">
      <protection locked="0"/>
    </xf>
    <xf numFmtId="264" fontId="12" fillId="14" borderId="5104" applyFont="0" applyFill="0" applyBorder="0" applyAlignment="0" applyProtection="0">
      <alignment horizontal="right"/>
    </xf>
    <xf numFmtId="0" fontId="166" fillId="0" borderId="5104">
      <alignment horizontal="center"/>
    </xf>
    <xf numFmtId="0" fontId="165" fillId="0" borderId="5104" applyFill="0" applyProtection="0">
      <alignment horizontal="center"/>
    </xf>
    <xf numFmtId="186" fontId="146" fillId="3" borderId="5104" applyBorder="0">
      <alignment horizontal="left" vertical="center"/>
    </xf>
    <xf numFmtId="180" fontId="9" fillId="3" borderId="5104">
      <alignment horizontal="right" vertical="center"/>
    </xf>
    <xf numFmtId="192" fontId="9" fillId="3" borderId="5104">
      <alignment horizontal="right" vertical="center"/>
    </xf>
    <xf numFmtId="248" fontId="46" fillId="0" borderId="5104"/>
    <xf numFmtId="0" fontId="12" fillId="0" borderId="5104" applyNumberFormat="0" applyFill="0" applyBorder="0" applyAlignment="0" applyProtection="0">
      <alignment horizontal="center"/>
    </xf>
    <xf numFmtId="0" fontId="113" fillId="0" borderId="5104" applyNumberFormat="0" applyFill="0" applyAlignment="0" applyProtection="0"/>
    <xf numFmtId="222" fontId="79" fillId="0" borderId="5101" applyBorder="0"/>
    <xf numFmtId="0" fontId="101" fillId="0" borderId="5104" applyBorder="0"/>
    <xf numFmtId="222" fontId="79" fillId="0" borderId="5101" applyBorder="0"/>
    <xf numFmtId="0" fontId="75" fillId="0" borderId="5076" applyNumberFormat="0" applyFont="0" applyFill="0" applyAlignment="0" applyProtection="0"/>
    <xf numFmtId="186" fontId="146" fillId="3" borderId="5078">
      <alignment horizontal="left"/>
    </xf>
    <xf numFmtId="186" fontId="140" fillId="3" borderId="5079">
      <alignment horizontal="center" vertical="center"/>
    </xf>
    <xf numFmtId="0" fontId="2" fillId="0" borderId="5080" applyNumberFormat="0" applyAlignment="0" applyProtection="0"/>
    <xf numFmtId="0" fontId="214" fillId="0" borderId="5081" applyNumberFormat="0" applyFont="0" applyFill="0" applyAlignment="0" applyProtection="0"/>
    <xf numFmtId="0" fontId="25" fillId="10" borderId="5082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25" fillId="10" borderId="5084" applyNumberFormat="0" applyProtection="0">
      <alignment horizontal="left" vertical="top"/>
    </xf>
    <xf numFmtId="0" fontId="25" fillId="10" borderId="5085" applyNumberFormat="0" applyProtection="0">
      <alignment horizontal="left" vertical="top"/>
    </xf>
    <xf numFmtId="0" fontId="78" fillId="14" borderId="5077" applyFont="0" applyFill="0" applyBorder="0" applyAlignment="0" applyProtection="0"/>
    <xf numFmtId="246" fontId="250" fillId="0" borderId="5325" applyFill="0" applyProtection="0">
      <alignment horizontal="center"/>
    </xf>
    <xf numFmtId="0" fontId="25" fillId="10" borderId="5335" applyNumberFormat="0" applyProtection="0">
      <alignment horizontal="left" vertical="top"/>
    </xf>
    <xf numFmtId="222" fontId="79" fillId="0" borderId="5101" applyBorder="0"/>
    <xf numFmtId="0" fontId="75" fillId="0" borderId="5326" applyNumberFormat="0" applyFont="0" applyFill="0" applyAlignment="0" applyProtection="0"/>
    <xf numFmtId="0" fontId="276" fillId="54" borderId="5106" applyNumberFormat="0" applyAlignment="0" applyProtection="0"/>
    <xf numFmtId="222" fontId="79" fillId="0" borderId="5312" applyBorder="0"/>
    <xf numFmtId="0" fontId="101" fillId="0" borderId="5277" applyBorder="0"/>
    <xf numFmtId="0" fontId="283" fillId="103" borderId="5106" applyNumberFormat="0" applyAlignment="0" applyProtection="0"/>
    <xf numFmtId="0" fontId="50" fillId="117" borderId="5089" applyNumberFormat="0" applyFont="0" applyAlignment="0" applyProtection="0"/>
    <xf numFmtId="0" fontId="78" fillId="14" borderId="5267" applyFont="0" applyFill="0" applyBorder="0" applyAlignment="0" applyProtection="0"/>
    <xf numFmtId="0" fontId="286" fillId="54" borderId="5107" applyNumberFormat="0" applyAlignment="0" applyProtection="0"/>
    <xf numFmtId="0" fontId="283" fillId="103" borderId="5106" applyNumberFormat="0" applyAlignment="0" applyProtection="0"/>
    <xf numFmtId="222" fontId="79" fillId="0" borderId="5264" applyBorder="0"/>
    <xf numFmtId="0" fontId="288" fillId="0" borderId="5108" applyNumberFormat="0" applyFill="0" applyAlignment="0" applyProtection="0"/>
    <xf numFmtId="0" fontId="276" fillId="54" borderId="5106" applyNumberFormat="0" applyAlignment="0" applyProtection="0"/>
    <xf numFmtId="0" fontId="2" fillId="0" borderId="5258" applyNumberFormat="0" applyAlignment="0" applyProtection="0"/>
    <xf numFmtId="0" fontId="214" fillId="0" borderId="5259" applyNumberFormat="0" applyFont="0" applyFill="0" applyAlignment="0" applyProtection="0"/>
    <xf numFmtId="0" fontId="78" fillId="14" borderId="5255" applyFont="0" applyFill="0" applyBorder="0" applyAlignment="0" applyProtection="0"/>
    <xf numFmtId="0" fontId="101" fillId="0" borderId="5325" applyBorder="0"/>
    <xf numFmtId="0" fontId="78" fillId="14" borderId="5065" applyFont="0" applyFill="0" applyBorder="0" applyAlignment="0" applyProtection="0"/>
    <xf numFmtId="222" fontId="79" fillId="0" borderId="5101" applyBorder="0"/>
    <xf numFmtId="186" fontId="146" fillId="3" borderId="5256">
      <alignment horizontal="left"/>
    </xf>
    <xf numFmtId="0" fontId="25" fillId="10" borderId="5333" applyNumberFormat="0" applyProtection="0">
      <alignment horizontal="left" vertical="top"/>
    </xf>
    <xf numFmtId="0" fontId="214" fillId="0" borderId="5331" applyNumberFormat="0" applyFont="0" applyFill="0" applyAlignment="0" applyProtection="0"/>
    <xf numFmtId="0" fontId="25" fillId="10" borderId="5275" applyNumberFormat="0" applyProtection="0">
      <alignment horizontal="left" vertical="top"/>
    </xf>
    <xf numFmtId="0" fontId="78" fillId="14" borderId="5065" applyFont="0" applyFill="0" applyBorder="0" applyAlignment="0" applyProtection="0"/>
    <xf numFmtId="0" fontId="25" fillId="10" borderId="5073" applyNumberFormat="0" applyProtection="0">
      <alignment horizontal="left" vertical="top"/>
    </xf>
    <xf numFmtId="0" fontId="25" fillId="10" borderId="5072" applyNumberFormat="0" applyProtection="0">
      <alignment horizontal="left" vertical="top"/>
    </xf>
    <xf numFmtId="0" fontId="25" fillId="10" borderId="5071" applyNumberFormat="0" applyProtection="0">
      <alignment horizontal="left" vertical="top"/>
    </xf>
    <xf numFmtId="0" fontId="25" fillId="10" borderId="5070" applyNumberFormat="0" applyProtection="0">
      <alignment horizontal="left" vertical="top"/>
    </xf>
    <xf numFmtId="0" fontId="166" fillId="0" borderId="5325">
      <alignment horizontal="center"/>
    </xf>
    <xf numFmtId="0" fontId="214" fillId="0" borderId="5069" applyNumberFormat="0" applyFont="0" applyFill="0" applyAlignment="0" applyProtection="0"/>
    <xf numFmtId="186" fontId="140" fillId="3" borderId="5043">
      <alignment horizontal="center" vertical="center"/>
    </xf>
    <xf numFmtId="186" fontId="146" fillId="3" borderId="4970">
      <alignment horizontal="left"/>
    </xf>
    <xf numFmtId="186" fontId="146" fillId="3" borderId="5328">
      <alignment horizontal="left"/>
    </xf>
    <xf numFmtId="0" fontId="75" fillId="0" borderId="4968" applyNumberFormat="0" applyFont="0" applyFill="0" applyAlignment="0" applyProtection="0"/>
    <xf numFmtId="192" fontId="9" fillId="3" borderId="5325">
      <alignment horizontal="right" vertical="center"/>
    </xf>
    <xf numFmtId="222" fontId="79" fillId="0" borderId="5101" applyBorder="0"/>
    <xf numFmtId="0" fontId="101" fillId="0" borderId="5104" applyBorder="0"/>
    <xf numFmtId="222" fontId="79" fillId="0" borderId="5101" applyBorder="0"/>
    <xf numFmtId="0" fontId="113" fillId="0" borderId="5104" applyNumberFormat="0" applyFill="0" applyAlignment="0" applyProtection="0"/>
    <xf numFmtId="0" fontId="12" fillId="0" borderId="5104" applyNumberFormat="0" applyFill="0" applyBorder="0" applyAlignment="0" applyProtection="0">
      <alignment horizontal="center"/>
    </xf>
    <xf numFmtId="248" fontId="46" fillId="0" borderId="5104"/>
    <xf numFmtId="192" fontId="9" fillId="3" borderId="5104">
      <alignment horizontal="right" vertical="center"/>
    </xf>
    <xf numFmtId="180" fontId="9" fillId="3" borderId="5104">
      <alignment horizontal="right" vertical="center"/>
    </xf>
    <xf numFmtId="186" fontId="146" fillId="3" borderId="5104" applyBorder="0">
      <alignment horizontal="left" vertical="center"/>
    </xf>
    <xf numFmtId="0" fontId="165" fillId="0" borderId="5104" applyFill="0" applyProtection="0">
      <alignment horizontal="center"/>
    </xf>
    <xf numFmtId="0" fontId="166" fillId="0" borderId="5104">
      <alignment horizontal="center"/>
    </xf>
    <xf numFmtId="264" fontId="12" fillId="14" borderId="5104" applyFont="0" applyFill="0" applyBorder="0" applyAlignment="0" applyProtection="0">
      <alignment horizontal="right"/>
    </xf>
    <xf numFmtId="0" fontId="210" fillId="0" borderId="5104" applyNumberFormat="0" applyFill="0" applyBorder="0" applyAlignment="0">
      <protection locked="0"/>
    </xf>
    <xf numFmtId="254" fontId="240" fillId="0" borderId="5104" applyBorder="0" applyProtection="0">
      <alignment horizontal="right" vertical="center"/>
    </xf>
    <xf numFmtId="0" fontId="241" fillId="94" borderId="5104" applyBorder="0" applyProtection="0">
      <alignment horizontal="centerContinuous" vertical="center"/>
    </xf>
    <xf numFmtId="246" fontId="249" fillId="0" borderId="5104" applyFill="0" applyProtection="0">
      <alignment horizontal="center"/>
    </xf>
    <xf numFmtId="246" fontId="250" fillId="0" borderId="5104" applyFill="0" applyProtection="0">
      <alignment horizontal="center"/>
    </xf>
    <xf numFmtId="0" fontId="25" fillId="10" borderId="5333" applyNumberFormat="0" applyProtection="0">
      <alignment horizontal="left" vertical="top"/>
    </xf>
    <xf numFmtId="0" fontId="286" fillId="54" borderId="5107" applyNumberFormat="0" applyAlignment="0" applyProtection="0"/>
    <xf numFmtId="0" fontId="75" fillId="0" borderId="5254" applyNumberFormat="0" applyFont="0" applyFill="0" applyAlignment="0" applyProtection="0"/>
    <xf numFmtId="0" fontId="210" fillId="0" borderId="5325" applyNumberFormat="0" applyFill="0" applyBorder="0" applyAlignment="0">
      <protection locked="0"/>
    </xf>
    <xf numFmtId="0" fontId="288" fillId="0" borderId="5108" applyNumberFormat="0" applyFill="0" applyAlignment="0" applyProtection="0"/>
    <xf numFmtId="0" fontId="25" fillId="10" borderId="5263" applyNumberFormat="0" applyProtection="0">
      <alignment horizontal="left" vertical="top"/>
    </xf>
    <xf numFmtId="0" fontId="25" fillId="10" borderId="5261" applyNumberFormat="0" applyProtection="0">
      <alignment horizontal="left" vertical="top"/>
    </xf>
    <xf numFmtId="0" fontId="25" fillId="10" borderId="5262" applyNumberFormat="0" applyProtection="0">
      <alignment horizontal="left" vertical="top"/>
    </xf>
    <xf numFmtId="0" fontId="25" fillId="10" borderId="5260" applyNumberFormat="0" applyProtection="0">
      <alignment horizontal="left" vertical="top"/>
    </xf>
    <xf numFmtId="186" fontId="140" fillId="3" borderId="5257">
      <alignment horizontal="center" vertical="center"/>
    </xf>
    <xf numFmtId="0" fontId="241" fillId="94" borderId="5144" applyBorder="0" applyProtection="0">
      <alignment horizontal="centerContinuous" vertical="center"/>
    </xf>
    <xf numFmtId="0" fontId="166" fillId="0" borderId="5144">
      <alignment horizontal="center"/>
    </xf>
    <xf numFmtId="0" fontId="214" fillId="0" borderId="5069" applyNumberFormat="0" applyFont="0" applyFill="0" applyAlignment="0" applyProtection="0"/>
    <xf numFmtId="246" fontId="250" fillId="0" borderId="5104" applyFill="0" applyProtection="0">
      <alignment horizontal="center"/>
    </xf>
    <xf numFmtId="246" fontId="249" fillId="0" borderId="5104" applyFill="0" applyProtection="0">
      <alignment horizontal="center"/>
    </xf>
    <xf numFmtId="0" fontId="241" fillId="94" borderId="5104" applyBorder="0" applyProtection="0">
      <alignment horizontal="centerContinuous" vertical="center"/>
    </xf>
    <xf numFmtId="254" fontId="240" fillId="0" borderId="5104" applyBorder="0" applyProtection="0">
      <alignment horizontal="right" vertical="center"/>
    </xf>
    <xf numFmtId="0" fontId="210" fillId="0" borderId="5104" applyNumberFormat="0" applyFill="0" applyBorder="0" applyAlignment="0">
      <protection locked="0"/>
    </xf>
    <xf numFmtId="264" fontId="12" fillId="14" borderId="5104" applyFont="0" applyFill="0" applyBorder="0" applyAlignment="0" applyProtection="0">
      <alignment horizontal="right"/>
    </xf>
    <xf numFmtId="0" fontId="166" fillId="0" borderId="5104">
      <alignment horizontal="center"/>
    </xf>
    <xf numFmtId="0" fontId="165" fillId="0" borderId="5104" applyFill="0" applyProtection="0">
      <alignment horizontal="center"/>
    </xf>
    <xf numFmtId="186" fontId="146" fillId="3" borderId="5104" applyBorder="0">
      <alignment horizontal="left" vertical="center"/>
    </xf>
    <xf numFmtId="180" fontId="9" fillId="3" borderId="5104">
      <alignment horizontal="right" vertical="center"/>
    </xf>
    <xf numFmtId="192" fontId="9" fillId="3" borderId="5104">
      <alignment horizontal="right" vertical="center"/>
    </xf>
    <xf numFmtId="248" fontId="46" fillId="0" borderId="5104"/>
    <xf numFmtId="0" fontId="12" fillId="0" borderId="5104" applyNumberFormat="0" applyFill="0" applyBorder="0" applyAlignment="0" applyProtection="0">
      <alignment horizontal="center"/>
    </xf>
    <xf numFmtId="0" fontId="113" fillId="0" borderId="5104" applyNumberFormat="0" applyFill="0" applyAlignment="0" applyProtection="0"/>
    <xf numFmtId="222" fontId="79" fillId="0" borderId="5101" applyBorder="0"/>
    <xf numFmtId="0" fontId="101" fillId="0" borderId="5104" applyBorder="0"/>
    <xf numFmtId="222" fontId="79" fillId="0" borderId="5101" applyBorder="0"/>
    <xf numFmtId="0" fontId="75" fillId="0" borderId="4968" applyNumberFormat="0" applyFont="0" applyFill="0" applyAlignment="0" applyProtection="0"/>
    <xf numFmtId="186" fontId="146" fillId="3" borderId="4970">
      <alignment horizontal="left"/>
    </xf>
    <xf numFmtId="186" fontId="140" fillId="3" borderId="5043">
      <alignment horizontal="center" vertical="center"/>
    </xf>
    <xf numFmtId="0" fontId="214" fillId="0" borderId="5069" applyNumberFormat="0" applyFont="0" applyFill="0" applyAlignment="0" applyProtection="0"/>
    <xf numFmtId="0" fontId="25" fillId="10" borderId="5070" applyNumberFormat="0" applyProtection="0">
      <alignment horizontal="left" vertical="top"/>
    </xf>
    <xf numFmtId="0" fontId="25" fillId="10" borderId="5071" applyNumberFormat="0" applyProtection="0">
      <alignment horizontal="left" vertical="top"/>
    </xf>
    <xf numFmtId="0" fontId="25" fillId="10" borderId="5072" applyNumberFormat="0" applyProtection="0">
      <alignment horizontal="left" vertical="top"/>
    </xf>
    <xf numFmtId="0" fontId="25" fillId="10" borderId="5073" applyNumberFormat="0" applyProtection="0">
      <alignment horizontal="left" vertical="top"/>
    </xf>
    <xf numFmtId="0" fontId="78" fillId="14" borderId="5077" applyFont="0" applyFill="0" applyBorder="0" applyAlignment="0" applyProtection="0"/>
    <xf numFmtId="222" fontId="79" fillId="0" borderId="5101" applyBorder="0"/>
    <xf numFmtId="0" fontId="78" fillId="14" borderId="5077" applyFont="0" applyFill="0" applyBorder="0" applyAlignment="0" applyProtection="0"/>
    <xf numFmtId="186" fontId="146" fillId="3" borderId="4970">
      <alignment horizontal="left"/>
    </xf>
    <xf numFmtId="0" fontId="78" fillId="14" borderId="5077" applyFont="0" applyFill="0" applyBorder="0" applyAlignment="0" applyProtection="0"/>
    <xf numFmtId="222" fontId="79" fillId="0" borderId="5101" applyBorder="0"/>
    <xf numFmtId="0" fontId="2" fillId="0" borderId="5080" applyNumberFormat="0" applyAlignment="0" applyProtection="0"/>
    <xf numFmtId="0" fontId="78" fillId="14" borderId="5077" applyFont="0" applyFill="0" applyBorder="0" applyAlignment="0" applyProtection="0"/>
    <xf numFmtId="0" fontId="25" fillId="10" borderId="5085" applyNumberFormat="0" applyProtection="0">
      <alignment horizontal="left" vertical="top"/>
    </xf>
    <xf numFmtId="0" fontId="25" fillId="10" borderId="5084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25" fillId="10" borderId="5082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214" fillId="0" borderId="5081" applyNumberFormat="0" applyFont="0" applyFill="0" applyAlignment="0" applyProtection="0"/>
    <xf numFmtId="0" fontId="2" fillId="0" borderId="5080" applyNumberFormat="0" applyAlignment="0" applyProtection="0"/>
    <xf numFmtId="186" fontId="140" fillId="3" borderId="5079">
      <alignment horizontal="center" vertical="center"/>
    </xf>
    <xf numFmtId="186" fontId="146" fillId="3" borderId="5078">
      <alignment horizontal="left"/>
    </xf>
    <xf numFmtId="0" fontId="25" fillId="10" borderId="5085" applyNumberFormat="0" applyProtection="0">
      <alignment horizontal="left" vertical="top"/>
    </xf>
    <xf numFmtId="0" fontId="75" fillId="0" borderId="5076" applyNumberFormat="0" applyFont="0" applyFill="0" applyAlignment="0" applyProtection="0"/>
    <xf numFmtId="222" fontId="79" fillId="0" borderId="5101" applyBorder="0"/>
    <xf numFmtId="0" fontId="101" fillId="0" borderId="5104" applyBorder="0"/>
    <xf numFmtId="222" fontId="79" fillId="0" borderId="5101" applyBorder="0"/>
    <xf numFmtId="0" fontId="113" fillId="0" borderId="5104" applyNumberFormat="0" applyFill="0" applyAlignment="0" applyProtection="0"/>
    <xf numFmtId="0" fontId="12" fillId="0" borderId="5104" applyNumberFormat="0" applyFill="0" applyBorder="0" applyAlignment="0" applyProtection="0">
      <alignment horizontal="center"/>
    </xf>
    <xf numFmtId="248" fontId="46" fillId="0" borderId="5104"/>
    <xf numFmtId="192" fontId="9" fillId="3" borderId="5104">
      <alignment horizontal="right" vertical="center"/>
    </xf>
    <xf numFmtId="180" fontId="9" fillId="3" borderId="5104">
      <alignment horizontal="right" vertical="center"/>
    </xf>
    <xf numFmtId="186" fontId="146" fillId="3" borderId="5104" applyBorder="0">
      <alignment horizontal="left" vertical="center"/>
    </xf>
    <xf numFmtId="0" fontId="165" fillId="0" borderId="5104" applyFill="0" applyProtection="0">
      <alignment horizontal="center"/>
    </xf>
    <xf numFmtId="0" fontId="166" fillId="0" borderId="5104">
      <alignment horizontal="center"/>
    </xf>
    <xf numFmtId="264" fontId="12" fillId="14" borderId="5104" applyFont="0" applyFill="0" applyBorder="0" applyAlignment="0" applyProtection="0">
      <alignment horizontal="right"/>
    </xf>
    <xf numFmtId="0" fontId="210" fillId="0" borderId="5104" applyNumberFormat="0" applyFill="0" applyBorder="0" applyAlignment="0">
      <protection locked="0"/>
    </xf>
    <xf numFmtId="254" fontId="240" fillId="0" borderId="5104" applyBorder="0" applyProtection="0">
      <alignment horizontal="right" vertical="center"/>
    </xf>
    <xf numFmtId="0" fontId="241" fillId="94" borderId="5104" applyBorder="0" applyProtection="0">
      <alignment horizontal="centerContinuous" vertical="center"/>
    </xf>
    <xf numFmtId="246" fontId="249" fillId="0" borderId="5104" applyFill="0" applyProtection="0">
      <alignment horizontal="center"/>
    </xf>
    <xf numFmtId="246" fontId="250" fillId="0" borderId="5104" applyFill="0" applyProtection="0">
      <alignment horizontal="center"/>
    </xf>
    <xf numFmtId="186" fontId="140" fillId="3" borderId="5079">
      <alignment horizontal="center" vertical="center"/>
    </xf>
    <xf numFmtId="0" fontId="78" fillId="14" borderId="5077" applyFont="0" applyFill="0" applyBorder="0" applyAlignment="0" applyProtection="0"/>
    <xf numFmtId="222" fontId="79" fillId="0" borderId="5101" applyBorder="0"/>
    <xf numFmtId="0" fontId="78" fillId="14" borderId="5077" applyFont="0" applyFill="0" applyBorder="0" applyAlignment="0" applyProtection="0"/>
    <xf numFmtId="0" fontId="25" fillId="10" borderId="5085" applyNumberFormat="0" applyProtection="0">
      <alignment horizontal="left" vertical="top"/>
    </xf>
    <xf numFmtId="0" fontId="25" fillId="10" borderId="5084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25" fillId="10" borderId="5082" applyNumberFormat="0" applyProtection="0">
      <alignment horizontal="left" vertical="top"/>
    </xf>
    <xf numFmtId="0" fontId="214" fillId="0" borderId="5081" applyNumberFormat="0" applyFont="0" applyFill="0" applyAlignment="0" applyProtection="0"/>
    <xf numFmtId="0" fontId="2" fillId="0" borderId="5080" applyNumberFormat="0" applyAlignment="0" applyProtection="0"/>
    <xf numFmtId="186" fontId="140" fillId="3" borderId="5079">
      <alignment horizontal="center" vertical="center"/>
    </xf>
    <xf numFmtId="186" fontId="146" fillId="3" borderId="5078">
      <alignment horizontal="left"/>
    </xf>
    <xf numFmtId="0" fontId="75" fillId="0" borderId="5076" applyNumberFormat="0" applyFont="0" applyFill="0" applyAlignment="0" applyProtection="0"/>
    <xf numFmtId="222" fontId="79" fillId="0" borderId="5101" applyBorder="0"/>
    <xf numFmtId="0" fontId="101" fillId="0" borderId="5104" applyBorder="0"/>
    <xf numFmtId="222" fontId="79" fillId="0" borderId="5101" applyBorder="0"/>
    <xf numFmtId="0" fontId="113" fillId="0" borderId="5104" applyNumberFormat="0" applyFill="0" applyAlignment="0" applyProtection="0"/>
    <xf numFmtId="0" fontId="12" fillId="0" borderId="5104" applyNumberFormat="0" applyFill="0" applyBorder="0" applyAlignment="0" applyProtection="0">
      <alignment horizontal="center"/>
    </xf>
    <xf numFmtId="248" fontId="46" fillId="0" borderId="5104"/>
    <xf numFmtId="192" fontId="9" fillId="3" borderId="5104">
      <alignment horizontal="right" vertical="center"/>
    </xf>
    <xf numFmtId="180" fontId="9" fillId="3" borderId="5104">
      <alignment horizontal="right" vertical="center"/>
    </xf>
    <xf numFmtId="186" fontId="146" fillId="3" borderId="5104" applyBorder="0">
      <alignment horizontal="left" vertical="center"/>
    </xf>
    <xf numFmtId="0" fontId="165" fillId="0" borderId="5104" applyFill="0" applyProtection="0">
      <alignment horizontal="center"/>
    </xf>
    <xf numFmtId="0" fontId="166" fillId="0" borderId="5104">
      <alignment horizontal="center"/>
    </xf>
    <xf numFmtId="264" fontId="12" fillId="14" borderId="5104" applyFont="0" applyFill="0" applyBorder="0" applyAlignment="0" applyProtection="0">
      <alignment horizontal="right"/>
    </xf>
    <xf numFmtId="0" fontId="210" fillId="0" borderId="5104" applyNumberFormat="0" applyFill="0" applyBorder="0" applyAlignment="0">
      <protection locked="0"/>
    </xf>
    <xf numFmtId="254" fontId="240" fillId="0" borderId="5104" applyBorder="0" applyProtection="0">
      <alignment horizontal="right" vertical="center"/>
    </xf>
    <xf numFmtId="0" fontId="241" fillId="94" borderId="5104" applyBorder="0" applyProtection="0">
      <alignment horizontal="centerContinuous" vertical="center"/>
    </xf>
    <xf numFmtId="246" fontId="249" fillId="0" borderId="5104" applyFill="0" applyProtection="0">
      <alignment horizontal="center"/>
    </xf>
    <xf numFmtId="246" fontId="250" fillId="0" borderId="5104" applyFill="0" applyProtection="0">
      <alignment horizontal="center"/>
    </xf>
    <xf numFmtId="222" fontId="79" fillId="0" borderId="5119" applyBorder="0"/>
    <xf numFmtId="0" fontId="78" fillId="14" borderId="5122" applyFont="0" applyFill="0" applyBorder="0" applyAlignment="0" applyProtection="0"/>
    <xf numFmtId="0" fontId="25" fillId="10" borderId="5130" applyNumberFormat="0" applyProtection="0">
      <alignment horizontal="left" vertical="top"/>
    </xf>
    <xf numFmtId="0" fontId="25" fillId="10" borderId="5129" applyNumberFormat="0" applyProtection="0">
      <alignment horizontal="left" vertical="top"/>
    </xf>
    <xf numFmtId="0" fontId="25" fillId="10" borderId="5128" applyNumberFormat="0" applyProtection="0">
      <alignment horizontal="left" vertical="top"/>
    </xf>
    <xf numFmtId="0" fontId="25" fillId="10" borderId="5127" applyNumberFormat="0" applyProtection="0">
      <alignment horizontal="left" vertical="top"/>
    </xf>
    <xf numFmtId="0" fontId="214" fillId="0" borderId="5126" applyNumberFormat="0" applyFont="0" applyFill="0" applyAlignment="0" applyProtection="0"/>
    <xf numFmtId="0" fontId="2" fillId="0" borderId="5125" applyNumberFormat="0" applyAlignment="0" applyProtection="0"/>
    <xf numFmtId="186" fontId="140" fillId="3" borderId="5124">
      <alignment horizontal="center" vertical="center"/>
    </xf>
    <xf numFmtId="186" fontId="146" fillId="3" borderId="5123">
      <alignment horizontal="left"/>
    </xf>
    <xf numFmtId="0" fontId="75" fillId="0" borderId="5121" applyNumberFormat="0" applyFont="0" applyFill="0" applyAlignment="0" applyProtection="0"/>
    <xf numFmtId="222" fontId="79" fillId="0" borderId="5131" applyBorder="0"/>
    <xf numFmtId="0" fontId="101" fillId="0" borderId="5132" applyBorder="0"/>
    <xf numFmtId="222" fontId="79" fillId="0" borderId="5131" applyBorder="0"/>
    <xf numFmtId="0" fontId="113" fillId="0" borderId="5132" applyNumberFormat="0" applyFill="0" applyAlignment="0" applyProtection="0"/>
    <xf numFmtId="0" fontId="12" fillId="0" borderId="5132" applyNumberFormat="0" applyFill="0" applyBorder="0" applyAlignment="0" applyProtection="0">
      <alignment horizontal="center"/>
    </xf>
    <xf numFmtId="248" fontId="46" fillId="0" borderId="5132"/>
    <xf numFmtId="192" fontId="9" fillId="3" borderId="5132">
      <alignment horizontal="right" vertical="center"/>
    </xf>
    <xf numFmtId="180" fontId="9" fillId="3" borderId="5132">
      <alignment horizontal="right" vertical="center"/>
    </xf>
    <xf numFmtId="186" fontId="146" fillId="3" borderId="5132" applyBorder="0">
      <alignment horizontal="left" vertical="center"/>
    </xf>
    <xf numFmtId="0" fontId="165" fillId="0" borderId="5132" applyFill="0" applyProtection="0">
      <alignment horizontal="center"/>
    </xf>
    <xf numFmtId="0" fontId="166" fillId="0" borderId="5132">
      <alignment horizontal="center"/>
    </xf>
    <xf numFmtId="264" fontId="12" fillId="14" borderId="5132" applyFont="0" applyFill="0" applyBorder="0" applyAlignment="0" applyProtection="0">
      <alignment horizontal="right"/>
    </xf>
    <xf numFmtId="0" fontId="210" fillId="0" borderId="5132" applyNumberFormat="0" applyFill="0" applyBorder="0" applyAlignment="0">
      <protection locked="0"/>
    </xf>
    <xf numFmtId="254" fontId="240" fillId="0" borderId="5132" applyBorder="0" applyProtection="0">
      <alignment horizontal="right" vertical="center"/>
    </xf>
    <xf numFmtId="0" fontId="241" fillId="94" borderId="5132" applyBorder="0" applyProtection="0">
      <alignment horizontal="centerContinuous" vertical="center"/>
    </xf>
    <xf numFmtId="246" fontId="249" fillId="0" borderId="5132" applyFill="0" applyProtection="0">
      <alignment horizontal="center"/>
    </xf>
    <xf numFmtId="246" fontId="250" fillId="0" borderId="5132" applyFill="0" applyProtection="0">
      <alignment horizontal="center"/>
    </xf>
    <xf numFmtId="0" fontId="113" fillId="0" borderId="5265" applyNumberFormat="0" applyFill="0" applyAlignment="0" applyProtection="0"/>
    <xf numFmtId="0" fontId="75" fillId="0" borderId="5145" applyNumberFormat="0" applyFont="0" applyFill="0" applyAlignment="0" applyProtection="0"/>
    <xf numFmtId="0" fontId="78" fillId="14" borderId="5146" applyFont="0" applyFill="0" applyBorder="0" applyAlignment="0" applyProtection="0"/>
    <xf numFmtId="186" fontId="146" fillId="3" borderId="5147">
      <alignment horizontal="left"/>
    </xf>
    <xf numFmtId="186" fontId="140" fillId="3" borderId="5148">
      <alignment horizontal="center" vertical="center"/>
    </xf>
    <xf numFmtId="0" fontId="2" fillId="0" borderId="5149" applyNumberFormat="0" applyAlignment="0" applyProtection="0"/>
    <xf numFmtId="0" fontId="214" fillId="0" borderId="5150" applyNumberFormat="0" applyFont="0" applyFill="0" applyAlignment="0" applyProtection="0"/>
    <xf numFmtId="0" fontId="25" fillId="10" borderId="5151" applyNumberFormat="0" applyProtection="0">
      <alignment horizontal="left" vertical="top"/>
    </xf>
    <xf numFmtId="0" fontId="25" fillId="10" borderId="5152" applyNumberFormat="0" applyProtection="0">
      <alignment horizontal="left" vertical="top"/>
    </xf>
    <xf numFmtId="0" fontId="25" fillId="10" borderId="5153" applyNumberFormat="0" applyProtection="0">
      <alignment horizontal="left" vertical="top"/>
    </xf>
    <xf numFmtId="0" fontId="25" fillId="10" borderId="5154" applyNumberFormat="0" applyProtection="0">
      <alignment horizontal="left" vertical="top"/>
    </xf>
    <xf numFmtId="10" fontId="12" fillId="3" borderId="5100" applyNumberFormat="0" applyFont="0" applyFill="0" applyBorder="0" applyAlignment="0">
      <protection locked="0"/>
    </xf>
    <xf numFmtId="0" fontId="12" fillId="0" borderId="5265" applyNumberFormat="0" applyFill="0" applyBorder="0" applyAlignment="0" applyProtection="0">
      <alignment horizontal="center"/>
    </xf>
    <xf numFmtId="10" fontId="12" fillId="3" borderId="5100" applyNumberFormat="0" applyFont="0" applyFill="0" applyBorder="0" applyAlignment="0">
      <protection locked="0"/>
    </xf>
    <xf numFmtId="0" fontId="101" fillId="0" borderId="5265" applyBorder="0"/>
    <xf numFmtId="248" fontId="46" fillId="0" borderId="5265"/>
    <xf numFmtId="1" fontId="154" fillId="65" borderId="5155" applyNumberFormat="0" applyBorder="0" applyAlignment="0">
      <alignment horizontal="centerContinuous" vertical="center"/>
      <protection locked="0"/>
    </xf>
    <xf numFmtId="0" fontId="12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10" fontId="12" fillId="3" borderId="5100" applyNumberFormat="0" applyFont="0" applyFill="0" applyBorder="0" applyAlignment="0">
      <protection locked="0"/>
    </xf>
    <xf numFmtId="246" fontId="250" fillId="0" borderId="5144" applyFill="0" applyProtection="0">
      <alignment horizontal="center"/>
    </xf>
    <xf numFmtId="246" fontId="249" fillId="0" borderId="5144" applyFill="0" applyProtection="0">
      <alignment horizontal="center"/>
    </xf>
    <xf numFmtId="0" fontId="241" fillId="94" borderId="5144" applyBorder="0" applyProtection="0">
      <alignment horizontal="centerContinuous" vertical="center"/>
    </xf>
    <xf numFmtId="254" fontId="240" fillId="0" borderId="5144" applyBorder="0" applyProtection="0">
      <alignment horizontal="right" vertical="center"/>
    </xf>
    <xf numFmtId="0" fontId="12" fillId="0" borderId="5087" applyNumberFormat="0" applyFill="0" applyBorder="0" applyAlignment="0" applyProtection="0"/>
    <xf numFmtId="0" fontId="25" fillId="10" borderId="5099" applyNumberFormat="0" applyProtection="0">
      <alignment horizontal="left" vertical="top"/>
    </xf>
    <xf numFmtId="0" fontId="25" fillId="10" borderId="5098" applyNumberFormat="0" applyProtection="0">
      <alignment horizontal="left" vertical="top"/>
    </xf>
    <xf numFmtId="0" fontId="25" fillId="10" borderId="5097" applyNumberFormat="0" applyProtection="0">
      <alignment horizontal="left" vertical="top"/>
    </xf>
    <xf numFmtId="0" fontId="25" fillId="10" borderId="5096" applyNumberFormat="0" applyProtection="0">
      <alignment horizontal="left" vertical="top"/>
    </xf>
    <xf numFmtId="0" fontId="25" fillId="10" borderId="5095" applyNumberFormat="0" applyProtection="0">
      <alignment horizontal="left" vertical="top"/>
    </xf>
    <xf numFmtId="0" fontId="25" fillId="10" borderId="5094" applyNumberFormat="0" applyProtection="0">
      <alignment horizontal="left" vertical="top"/>
    </xf>
    <xf numFmtId="0" fontId="25" fillId="10" borderId="5093" applyNumberFormat="0" applyProtection="0">
      <alignment horizontal="left"/>
    </xf>
    <xf numFmtId="0" fontId="12" fillId="10" borderId="5088" applyNumberFormat="0" applyFont="0" applyProtection="0"/>
    <xf numFmtId="0" fontId="12" fillId="10" borderId="5088" applyNumberFormat="0" applyFont="0" applyAlignment="0" applyProtection="0"/>
    <xf numFmtId="0" fontId="12" fillId="3" borderId="5088" applyNumberFormat="0" applyFont="0" applyAlignment="0" applyProtection="0"/>
    <xf numFmtId="293" fontId="234" fillId="10" borderId="5088" applyFont="0" applyProtection="0"/>
    <xf numFmtId="169" fontId="234" fillId="10" borderId="5088" applyFont="0" applyProtection="0"/>
    <xf numFmtId="293" fontId="234" fillId="10" borderId="5088" applyFont="0" applyProtection="0"/>
    <xf numFmtId="293" fontId="234" fillId="3" borderId="5088" applyFont="0" applyProtection="0"/>
    <xf numFmtId="169" fontId="234" fillId="3" borderId="5088" applyFont="0" applyProtection="0"/>
    <xf numFmtId="0" fontId="25" fillId="10" borderId="5088" applyNumberFormat="0" applyProtection="0">
      <alignment horizontal="center" vertical="top"/>
    </xf>
    <xf numFmtId="0" fontId="25" fillId="10" borderId="5088" applyNumberFormat="0" applyProtection="0">
      <alignment horizontal="center" vertical="top"/>
    </xf>
    <xf numFmtId="0" fontId="210" fillId="0" borderId="5144" applyNumberFormat="0" applyFill="0" applyBorder="0" applyAlignment="0">
      <protection locked="0"/>
    </xf>
    <xf numFmtId="188" fontId="25" fillId="0" borderId="5103" applyFont="0" applyFill="0" applyBorder="0" applyAlignment="0" applyProtection="0">
      <alignment horizontal="center"/>
    </xf>
    <xf numFmtId="264" fontId="12" fillId="14" borderId="5144" applyFont="0" applyFill="0" applyBorder="0" applyAlignment="0" applyProtection="0">
      <alignment horizontal="right"/>
    </xf>
    <xf numFmtId="0" fontId="25" fillId="69" borderId="5088">
      <alignment horizontal="left" vertical="center" wrapText="1"/>
    </xf>
    <xf numFmtId="0" fontId="166" fillId="0" borderId="5144">
      <alignment horizontal="center"/>
    </xf>
    <xf numFmtId="0" fontId="165" fillId="0" borderId="5144" applyFill="0" applyProtection="0">
      <alignment horizontal="center"/>
    </xf>
    <xf numFmtId="0" fontId="159" fillId="67" borderId="5088"/>
    <xf numFmtId="0" fontId="159" fillId="0" borderId="5088"/>
    <xf numFmtId="0" fontId="135" fillId="0" borderId="5088"/>
    <xf numFmtId="0" fontId="135" fillId="0" borderId="5088"/>
    <xf numFmtId="186" fontId="48" fillId="3" borderId="5086">
      <alignment vertical="center"/>
    </xf>
    <xf numFmtId="186" fontId="146" fillId="3" borderId="5144" applyBorder="0">
      <alignment horizontal="left" vertical="center"/>
    </xf>
    <xf numFmtId="180" fontId="9" fillId="3" borderId="5144">
      <alignment horizontal="right" vertical="center"/>
    </xf>
    <xf numFmtId="192" fontId="9" fillId="3" borderId="5144">
      <alignment horizontal="right" vertical="center"/>
    </xf>
    <xf numFmtId="182" fontId="145" fillId="3" borderId="5086">
      <alignment horizontal="right" vertical="center"/>
    </xf>
    <xf numFmtId="0" fontId="48" fillId="0" borderId="5086" applyFont="0" applyFill="0" applyBorder="0" applyAlignment="0" applyProtection="0">
      <alignment horizontal="center"/>
    </xf>
    <xf numFmtId="0" fontId="74" fillId="0" borderId="5086" applyFont="0" applyFill="0" applyBorder="0" applyAlignment="0" applyProtection="0">
      <alignment horizontal="center"/>
    </xf>
    <xf numFmtId="0" fontId="12" fillId="0" borderId="5144" applyNumberFormat="0" applyFill="0" applyBorder="0" applyAlignment="0" applyProtection="0">
      <alignment horizontal="center"/>
    </xf>
    <xf numFmtId="5" fontId="114" fillId="0" borderId="5086" applyAlignment="0" applyProtection="0"/>
    <xf numFmtId="0" fontId="113" fillId="0" borderId="5144" applyNumberFormat="0" applyFill="0" applyAlignment="0" applyProtection="0"/>
    <xf numFmtId="0" fontId="48" fillId="0" borderId="5087" applyNumberFormat="0" applyFill="0" applyAlignment="0" applyProtection="0"/>
    <xf numFmtId="0" fontId="105" fillId="0" borderId="5087" applyNumberFormat="0" applyFill="0" applyBorder="0" applyAlignment="0" applyProtection="0"/>
    <xf numFmtId="0" fontId="46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222" fontId="79" fillId="0" borderId="5143" applyBorder="0"/>
    <xf numFmtId="0" fontId="101" fillId="0" borderId="5144" applyBorder="0"/>
    <xf numFmtId="10" fontId="12" fillId="3" borderId="5100" applyNumberFormat="0" applyFont="0" applyFill="0" applyBorder="0" applyAlignment="0">
      <protection locked="0"/>
    </xf>
    <xf numFmtId="192" fontId="9" fillId="3" borderId="5265">
      <alignment horizontal="right" vertical="center"/>
    </xf>
    <xf numFmtId="248" fontId="46" fillId="0" borderId="5144"/>
    <xf numFmtId="180" fontId="9" fillId="3" borderId="5265">
      <alignment horizontal="right" vertical="center"/>
    </xf>
    <xf numFmtId="10" fontId="12" fillId="3" borderId="5100" applyNumberFormat="0" applyFont="0" applyFill="0" applyBorder="0" applyAlignment="0">
      <protection locked="0"/>
    </xf>
    <xf numFmtId="0" fontId="166" fillId="0" borderId="5253">
      <alignment horizontal="center"/>
    </xf>
    <xf numFmtId="186" fontId="146" fillId="3" borderId="5265" applyBorder="0">
      <alignment horizontal="left" vertical="center"/>
    </xf>
    <xf numFmtId="10" fontId="12" fillId="3" borderId="5100" applyNumberFormat="0" applyFont="0" applyFill="0" applyBorder="0" applyAlignment="0">
      <protection locked="0"/>
    </xf>
    <xf numFmtId="254" fontId="240" fillId="0" borderId="5253" applyBorder="0" applyProtection="0">
      <alignment horizontal="right" vertical="center"/>
    </xf>
    <xf numFmtId="10" fontId="12" fillId="3" borderId="5100" applyNumberFormat="0" applyFont="0" applyFill="0" applyBorder="0" applyAlignment="0">
      <protection locked="0"/>
    </xf>
    <xf numFmtId="0" fontId="101" fillId="0" borderId="5144" applyBorder="0"/>
    <xf numFmtId="222" fontId="79" fillId="0" borderId="5143" applyBorder="0"/>
    <xf numFmtId="0" fontId="113" fillId="0" borderId="5144" applyNumberFormat="0" applyFill="0" applyAlignment="0" applyProtection="0"/>
    <xf numFmtId="0" fontId="75" fillId="0" borderId="5145" applyNumberFormat="0" applyFont="0" applyFill="0" applyAlignment="0" applyProtection="0"/>
    <xf numFmtId="0" fontId="12" fillId="0" borderId="5144" applyNumberFormat="0" applyFill="0" applyBorder="0" applyAlignment="0" applyProtection="0">
      <alignment horizontal="center"/>
    </xf>
    <xf numFmtId="248" fontId="46" fillId="0" borderId="5144"/>
    <xf numFmtId="192" fontId="9" fillId="3" borderId="5144">
      <alignment horizontal="right" vertical="center"/>
    </xf>
    <xf numFmtId="180" fontId="9" fillId="3" borderId="5144">
      <alignment horizontal="right" vertical="center"/>
    </xf>
    <xf numFmtId="186" fontId="146" fillId="3" borderId="5144" applyBorder="0">
      <alignment horizontal="left" vertical="center"/>
    </xf>
    <xf numFmtId="186" fontId="146" fillId="3" borderId="5147">
      <alignment horizontal="left"/>
    </xf>
    <xf numFmtId="186" fontId="140" fillId="3" borderId="5148">
      <alignment horizontal="center" vertical="center"/>
    </xf>
    <xf numFmtId="0" fontId="165" fillId="0" borderId="5144" applyFill="0" applyProtection="0">
      <alignment horizontal="center"/>
    </xf>
    <xf numFmtId="0" fontId="166" fillId="0" borderId="5144">
      <alignment horizontal="center"/>
    </xf>
    <xf numFmtId="264" fontId="12" fillId="14" borderId="5144" applyFont="0" applyFill="0" applyBorder="0" applyAlignment="0" applyProtection="0">
      <alignment horizontal="right"/>
    </xf>
    <xf numFmtId="0" fontId="210" fillId="0" borderId="5144" applyNumberFormat="0" applyFill="0" applyBorder="0" applyAlignment="0">
      <protection locked="0"/>
    </xf>
    <xf numFmtId="0" fontId="2" fillId="0" borderId="5149" applyNumberFormat="0" applyAlignment="0" applyProtection="0"/>
    <xf numFmtId="0" fontId="214" fillId="0" borderId="5150" applyNumberFormat="0" applyFont="0" applyFill="0" applyAlignment="0" applyProtection="0"/>
    <xf numFmtId="0" fontId="25" fillId="10" borderId="5151" applyNumberFormat="0" applyProtection="0">
      <alignment horizontal="left" vertical="top"/>
    </xf>
    <xf numFmtId="0" fontId="25" fillId="10" borderId="5152" applyNumberFormat="0" applyProtection="0">
      <alignment horizontal="left" vertical="top"/>
    </xf>
    <xf numFmtId="0" fontId="25" fillId="10" borderId="5153" applyNumberFormat="0" applyProtection="0">
      <alignment horizontal="left" vertical="top"/>
    </xf>
    <xf numFmtId="0" fontId="25" fillId="10" borderId="5154" applyNumberFormat="0" applyProtection="0">
      <alignment horizontal="left" vertical="top"/>
    </xf>
    <xf numFmtId="0" fontId="25" fillId="10" borderId="5151" applyNumberFormat="0" applyProtection="0">
      <alignment horizontal="left" vertical="top"/>
    </xf>
    <xf numFmtId="0" fontId="25" fillId="10" borderId="5152" applyNumberFormat="0" applyProtection="0">
      <alignment horizontal="left" vertical="top"/>
    </xf>
    <xf numFmtId="0" fontId="25" fillId="10" borderId="5153" applyNumberFormat="0" applyProtection="0">
      <alignment horizontal="left" vertical="top"/>
    </xf>
    <xf numFmtId="0" fontId="25" fillId="10" borderId="5154" applyNumberFormat="0" applyProtection="0">
      <alignment horizontal="left" vertical="top"/>
    </xf>
    <xf numFmtId="254" fontId="240" fillId="0" borderId="5144" applyBorder="0" applyProtection="0">
      <alignment horizontal="right" vertical="center"/>
    </xf>
    <xf numFmtId="0" fontId="241" fillId="94" borderId="5144" applyBorder="0" applyProtection="0">
      <alignment horizontal="centerContinuous" vertical="center"/>
    </xf>
    <xf numFmtId="246" fontId="249" fillId="0" borderId="5144" applyFill="0" applyProtection="0">
      <alignment horizontal="center"/>
    </xf>
    <xf numFmtId="246" fontId="250" fillId="0" borderId="5144" applyFill="0" applyProtection="0">
      <alignment horizontal="center"/>
    </xf>
    <xf numFmtId="0" fontId="165" fillId="0" borderId="5265" applyFill="0" applyProtection="0">
      <alignment horizontal="center"/>
    </xf>
    <xf numFmtId="10" fontId="12" fillId="3" borderId="5100" applyNumberFormat="0" applyFont="0" applyFill="0" applyBorder="0" applyAlignment="0">
      <protection locked="0"/>
    </xf>
    <xf numFmtId="0" fontId="166" fillId="0" borderId="5265">
      <alignment horizontal="center"/>
    </xf>
    <xf numFmtId="0" fontId="241" fillId="94" borderId="5325" applyBorder="0" applyProtection="0">
      <alignment horizontal="centerContinuous" vertical="center"/>
    </xf>
    <xf numFmtId="190" fontId="101" fillId="0" borderId="5144" applyBorder="0"/>
    <xf numFmtId="186" fontId="146" fillId="3" borderId="5325" applyBorder="0">
      <alignment horizontal="left" vertical="center"/>
    </xf>
    <xf numFmtId="192" fontId="9" fillId="3" borderId="5325">
      <alignment horizontal="right" vertical="center"/>
    </xf>
    <xf numFmtId="190" fontId="12" fillId="0" borderId="5087" applyNumberFormat="0" applyFill="0" applyBorder="0" applyAlignment="0" applyProtection="0"/>
    <xf numFmtId="190" fontId="46" fillId="0" borderId="5087" applyNumberFormat="0" applyFill="0" applyBorder="0" applyAlignment="0" applyProtection="0"/>
    <xf numFmtId="190" fontId="105" fillId="0" borderId="5087" applyNumberFormat="0" applyFill="0" applyBorder="0" applyAlignment="0" applyProtection="0"/>
    <xf numFmtId="190" fontId="48" fillId="0" borderId="5087" applyNumberFormat="0" applyFill="0" applyAlignment="0" applyProtection="0"/>
    <xf numFmtId="0" fontId="210" fillId="0" borderId="5325" applyNumberFormat="0" applyFill="0" applyBorder="0" applyAlignment="0">
      <protection locked="0"/>
    </xf>
    <xf numFmtId="246" fontId="249" fillId="0" borderId="5325" applyFill="0" applyProtection="0">
      <alignment horizontal="center"/>
    </xf>
    <xf numFmtId="190" fontId="113" fillId="0" borderId="5144" applyNumberFormat="0" applyFill="0" applyAlignment="0" applyProtection="0"/>
    <xf numFmtId="190" fontId="75" fillId="0" borderId="5121" applyNumberFormat="0" applyFont="0" applyFill="0" applyAlignment="0" applyProtection="0"/>
    <xf numFmtId="0" fontId="214" fillId="0" borderId="5331" applyNumberFormat="0" applyFont="0" applyFill="0" applyAlignment="0" applyProtection="0"/>
    <xf numFmtId="186" fontId="146" fillId="3" borderId="5328">
      <alignment horizontal="left"/>
    </xf>
    <xf numFmtId="0" fontId="241" fillId="94" borderId="5313" applyBorder="0" applyProtection="0">
      <alignment horizontal="centerContinuous" vertical="center"/>
    </xf>
    <xf numFmtId="0" fontId="166" fillId="0" borderId="5313">
      <alignment horizontal="center"/>
    </xf>
    <xf numFmtId="248" fontId="46" fillId="0" borderId="5313"/>
    <xf numFmtId="0" fontId="214" fillId="0" borderId="5307" applyNumberFormat="0" applyFont="0" applyFill="0" applyAlignment="0" applyProtection="0"/>
    <xf numFmtId="186" fontId="140" fillId="3" borderId="5305">
      <alignment horizontal="center" vertical="center"/>
    </xf>
    <xf numFmtId="190" fontId="12" fillId="0" borderId="5144" applyNumberFormat="0" applyFill="0" applyBorder="0" applyAlignment="0" applyProtection="0">
      <alignment horizontal="center"/>
    </xf>
    <xf numFmtId="0" fontId="78" fillId="14" borderId="5303" applyFont="0" applyFill="0" applyBorder="0" applyAlignment="0" applyProtection="0"/>
    <xf numFmtId="264" fontId="12" fillId="14" borderId="5289" applyFont="0" applyFill="0" applyBorder="0" applyAlignment="0" applyProtection="0">
      <alignment horizontal="right"/>
    </xf>
    <xf numFmtId="186" fontId="146" fillId="3" borderId="5289" applyBorder="0">
      <alignment horizontal="left" vertical="center"/>
    </xf>
    <xf numFmtId="248" fontId="46" fillId="0" borderId="5289"/>
    <xf numFmtId="222" fontId="79" fillId="0" borderId="5288" applyBorder="0"/>
    <xf numFmtId="0" fontId="75" fillId="0" borderId="5278" applyNumberFormat="0" applyFont="0" applyFill="0" applyAlignment="0" applyProtection="0"/>
    <xf numFmtId="0" fontId="2" fillId="0" borderId="5282" applyNumberFormat="0" applyAlignment="0" applyProtection="0"/>
    <xf numFmtId="0" fontId="25" fillId="10" borderId="5285" applyNumberFormat="0" applyProtection="0">
      <alignment horizontal="left" vertical="top"/>
    </xf>
    <xf numFmtId="0" fontId="78" fillId="14" borderId="5279" applyFont="0" applyFill="0" applyBorder="0" applyAlignment="0" applyProtection="0"/>
    <xf numFmtId="246" fontId="250" fillId="0" borderId="5265" applyFill="0" applyProtection="0">
      <alignment horizontal="center"/>
    </xf>
    <xf numFmtId="0" fontId="113" fillId="0" borderId="5253" applyNumberFormat="0" applyFill="0" applyAlignment="0" applyProtection="0"/>
    <xf numFmtId="0" fontId="25" fillId="10" borderId="5261" applyNumberFormat="0" applyProtection="0">
      <alignment horizontal="left" vertical="top"/>
    </xf>
    <xf numFmtId="0" fontId="2" fillId="0" borderId="5258" applyNumberFormat="0" applyAlignment="0" applyProtection="0"/>
    <xf numFmtId="190" fontId="78" fillId="14" borderId="5134" applyFont="0" applyFill="0" applyBorder="0" applyAlignment="0" applyProtection="0"/>
    <xf numFmtId="0" fontId="113" fillId="0" borderId="5265" applyNumberFormat="0" applyFill="0" applyAlignment="0" applyProtection="0"/>
    <xf numFmtId="246" fontId="249" fillId="0" borderId="5265" applyFill="0" applyProtection="0">
      <alignment horizontal="center"/>
    </xf>
    <xf numFmtId="190" fontId="74" fillId="0" borderId="5086" applyFont="0" applyFill="0" applyBorder="0" applyAlignment="0" applyProtection="0">
      <alignment horizontal="center"/>
    </xf>
    <xf numFmtId="190" fontId="48" fillId="0" borderId="5086" applyFont="0" applyFill="0" applyBorder="0" applyAlignment="0" applyProtection="0">
      <alignment horizontal="center"/>
    </xf>
    <xf numFmtId="0" fontId="25" fillId="10" borderId="5083" applyNumberFormat="0" applyProtection="0">
      <alignment horizontal="left" vertical="top"/>
    </xf>
    <xf numFmtId="186" fontId="140" fillId="3" borderId="5293">
      <alignment horizontal="center" vertical="center"/>
    </xf>
    <xf numFmtId="190" fontId="135" fillId="0" borderId="5088"/>
    <xf numFmtId="190" fontId="135" fillId="0" borderId="5088"/>
    <xf numFmtId="0" fontId="2" fillId="0" borderId="5294" applyNumberFormat="0" applyAlignment="0" applyProtection="0"/>
    <xf numFmtId="0" fontId="101" fillId="0" borderId="5301" applyBorder="0"/>
    <xf numFmtId="0" fontId="165" fillId="0" borderId="5301" applyFill="0" applyProtection="0">
      <alignment horizontal="center"/>
    </xf>
    <xf numFmtId="246" fontId="250" fillId="0" borderId="5277" applyFill="0" applyProtection="0">
      <alignment horizontal="center"/>
    </xf>
    <xf numFmtId="0" fontId="210" fillId="0" borderId="5277" applyNumberFormat="0" applyFill="0" applyBorder="0" applyAlignment="0">
      <protection locked="0"/>
    </xf>
    <xf numFmtId="246" fontId="250" fillId="0" borderId="5325" applyFill="0" applyProtection="0">
      <alignment horizontal="center"/>
    </xf>
    <xf numFmtId="186" fontId="146" fillId="3" borderId="5325" applyBorder="0">
      <alignment horizontal="left" vertical="center"/>
    </xf>
    <xf numFmtId="0" fontId="101" fillId="0" borderId="5325" applyBorder="0"/>
    <xf numFmtId="222" fontId="79" fillId="0" borderId="5312" applyBorder="0"/>
    <xf numFmtId="0" fontId="12" fillId="0" borderId="5325" applyNumberFormat="0" applyFill="0" applyBorder="0" applyAlignment="0" applyProtection="0">
      <alignment horizontal="center"/>
    </xf>
    <xf numFmtId="0" fontId="214" fillId="0" borderId="5259" applyNumberFormat="0" applyFont="0" applyFill="0" applyAlignment="0" applyProtection="0"/>
    <xf numFmtId="0" fontId="25" fillId="10" borderId="5262" applyNumberFormat="0" applyProtection="0">
      <alignment horizontal="left" vertical="top"/>
    </xf>
    <xf numFmtId="0" fontId="25" fillId="10" borderId="5262" applyNumberFormat="0" applyProtection="0">
      <alignment horizontal="left" vertical="top"/>
    </xf>
    <xf numFmtId="246" fontId="249" fillId="0" borderId="5325" applyFill="0" applyProtection="0">
      <alignment horizontal="center"/>
    </xf>
    <xf numFmtId="0" fontId="113" fillId="0" borderId="5325" applyNumberFormat="0" applyFill="0" applyAlignment="0" applyProtection="0"/>
    <xf numFmtId="190" fontId="159" fillId="0" borderId="5088"/>
    <xf numFmtId="190" fontId="159" fillId="67" borderId="5088"/>
    <xf numFmtId="190" fontId="165" fillId="0" borderId="5144" applyFill="0" applyProtection="0">
      <alignment horizontal="center"/>
    </xf>
    <xf numFmtId="190" fontId="166" fillId="0" borderId="5144">
      <alignment horizontal="center"/>
    </xf>
    <xf numFmtId="246" fontId="249" fillId="0" borderId="5253" applyFill="0" applyProtection="0">
      <alignment horizontal="center"/>
    </xf>
    <xf numFmtId="0" fontId="166" fillId="0" borderId="5253">
      <alignment horizontal="center"/>
    </xf>
    <xf numFmtId="0" fontId="12" fillId="0" borderId="5253" applyNumberFormat="0" applyFill="0" applyBorder="0" applyAlignment="0" applyProtection="0">
      <alignment horizontal="center"/>
    </xf>
    <xf numFmtId="0" fontId="101" fillId="0" borderId="5253" applyBorder="0"/>
    <xf numFmtId="190" fontId="25" fillId="69" borderId="5088">
      <alignment horizontal="left" vertical="center" wrapText="1"/>
    </xf>
    <xf numFmtId="190" fontId="184" fillId="0" borderId="5089" applyAlignment="0">
      <alignment horizontal="left" wrapText="1"/>
    </xf>
    <xf numFmtId="190" fontId="210" fillId="0" borderId="5144" applyNumberFormat="0" applyFill="0" applyBorder="0" applyAlignment="0">
      <protection locked="0"/>
    </xf>
    <xf numFmtId="190" fontId="2" fillId="0" borderId="5125" applyNumberFormat="0" applyAlignment="0" applyProtection="0"/>
    <xf numFmtId="190" fontId="214" fillId="0" borderId="5126" applyNumberFormat="0" applyFont="0" applyFill="0" applyAlignment="0" applyProtection="0"/>
    <xf numFmtId="190" fontId="225" fillId="53" borderId="5090" applyNumberFormat="0" applyProtection="0">
      <alignment horizontal="left" vertical="top" indent="1"/>
    </xf>
    <xf numFmtId="190" fontId="12" fillId="75" borderId="5090" applyNumberFormat="0" applyProtection="0">
      <alignment horizontal="left" vertical="center" indent="1"/>
    </xf>
    <xf numFmtId="190" fontId="12" fillId="75" borderId="5090" applyNumberFormat="0" applyProtection="0">
      <alignment horizontal="left" vertical="top" indent="1"/>
    </xf>
    <xf numFmtId="190" fontId="12" fillId="84" borderId="5090" applyNumberFormat="0" applyProtection="0">
      <alignment horizontal="left" vertical="center" indent="1"/>
    </xf>
    <xf numFmtId="190" fontId="12" fillId="84" borderId="5090" applyNumberFormat="0" applyProtection="0">
      <alignment horizontal="left" vertical="top" indent="1"/>
    </xf>
    <xf numFmtId="190" fontId="12" fillId="52" borderId="5090" applyNumberFormat="0" applyProtection="0">
      <alignment horizontal="left" vertical="center" indent="1"/>
    </xf>
    <xf numFmtId="190" fontId="12" fillId="52" borderId="5090" applyNumberFormat="0" applyProtection="0">
      <alignment horizontal="left" vertical="top" indent="1"/>
    </xf>
    <xf numFmtId="190" fontId="12" fillId="11" borderId="5090" applyNumberFormat="0" applyProtection="0">
      <alignment horizontal="left" vertical="center" indent="1"/>
    </xf>
    <xf numFmtId="190" fontId="12" fillId="11" borderId="5090" applyNumberFormat="0" applyProtection="0">
      <alignment horizontal="left" vertical="top" indent="1"/>
    </xf>
    <xf numFmtId="190" fontId="136" fillId="14" borderId="5090" applyNumberFormat="0" applyProtection="0">
      <alignment horizontal="left" vertical="top" indent="1"/>
    </xf>
    <xf numFmtId="190" fontId="136" fillId="84" borderId="5090" applyNumberFormat="0" applyProtection="0">
      <alignment horizontal="left" vertical="top" indent="1"/>
    </xf>
    <xf numFmtId="190" fontId="25" fillId="10" borderId="5088" applyNumberFormat="0" applyProtection="0">
      <alignment horizontal="center" vertical="top"/>
    </xf>
    <xf numFmtId="190" fontId="25" fillId="10" borderId="5088" applyNumberFormat="0" applyProtection="0">
      <alignment horizontal="center" vertical="top"/>
    </xf>
    <xf numFmtId="190" fontId="12" fillId="3" borderId="5088" applyNumberFormat="0" applyFont="0" applyAlignment="0" applyProtection="0"/>
    <xf numFmtId="190" fontId="12" fillId="10" borderId="5088" applyNumberFormat="0" applyFont="0" applyAlignment="0" applyProtection="0"/>
    <xf numFmtId="190" fontId="12" fillId="10" borderId="5088" applyNumberFormat="0" applyFont="0" applyProtection="0"/>
    <xf numFmtId="190" fontId="25" fillId="10" borderId="5093" applyNumberFormat="0" applyProtection="0">
      <alignment horizontal="left"/>
    </xf>
    <xf numFmtId="190" fontId="25" fillId="10" borderId="5094" applyNumberFormat="0" applyProtection="0">
      <alignment horizontal="left" vertical="top"/>
    </xf>
    <xf numFmtId="190" fontId="25" fillId="10" borderId="5095" applyNumberFormat="0" applyProtection="0">
      <alignment horizontal="left" vertical="top"/>
    </xf>
    <xf numFmtId="190" fontId="25" fillId="10" borderId="5127" applyNumberFormat="0" applyProtection="0">
      <alignment horizontal="left" vertical="top"/>
    </xf>
    <xf numFmtId="190" fontId="25" fillId="10" borderId="5128" applyNumberFormat="0" applyProtection="0">
      <alignment horizontal="left" vertical="top"/>
    </xf>
    <xf numFmtId="190" fontId="25" fillId="10" borderId="5096" applyNumberFormat="0" applyProtection="0">
      <alignment horizontal="left" vertical="top"/>
    </xf>
    <xf numFmtId="190" fontId="25" fillId="10" borderId="5129" applyNumberFormat="0" applyProtection="0">
      <alignment horizontal="left" vertical="top"/>
    </xf>
    <xf numFmtId="190" fontId="25" fillId="10" borderId="5097" applyNumberFormat="0" applyProtection="0">
      <alignment horizontal="left" vertical="top"/>
    </xf>
    <xf numFmtId="190" fontId="25" fillId="10" borderId="5130" applyNumberFormat="0" applyProtection="0">
      <alignment horizontal="left" vertical="top"/>
    </xf>
    <xf numFmtId="190" fontId="25" fillId="10" borderId="5098" applyNumberFormat="0" applyProtection="0">
      <alignment horizontal="left" vertical="top"/>
    </xf>
    <xf numFmtId="190" fontId="25" fillId="10" borderId="5099" applyNumberFormat="0" applyProtection="0">
      <alignment horizontal="left" vertical="top"/>
    </xf>
    <xf numFmtId="190" fontId="12" fillId="0" borderId="5087" applyNumberFormat="0" applyFill="0" applyBorder="0" applyAlignment="0" applyProtection="0"/>
    <xf numFmtId="190" fontId="241" fillId="94" borderId="5144" applyBorder="0" applyProtection="0">
      <alignment horizontal="centerContinuous" vertical="center"/>
    </xf>
    <xf numFmtId="10" fontId="12" fillId="3" borderId="5100" applyNumberFormat="0" applyFont="0" applyFill="0" applyBorder="0" applyAlignment="0">
      <protection locked="0"/>
    </xf>
    <xf numFmtId="190" fontId="12" fillId="0" borderId="5087" applyNumberFormat="0" applyFill="0" applyBorder="0" applyAlignment="0" applyProtection="0"/>
    <xf numFmtId="190" fontId="12" fillId="0" borderId="5087" applyNumberFormat="0" applyFill="0" applyBorder="0" applyAlignment="0" applyProtection="0"/>
    <xf numFmtId="190" fontId="12" fillId="0" borderId="5087" applyNumberFormat="0" applyFill="0" applyBorder="0" applyAlignment="0" applyProtection="0"/>
    <xf numFmtId="0" fontId="165" fillId="0" borderId="5253" applyFill="0" applyProtection="0">
      <alignment horizontal="center"/>
    </xf>
    <xf numFmtId="222" fontId="79" fillId="0" borderId="5143" applyBorder="0"/>
    <xf numFmtId="10" fontId="12" fillId="3" borderId="5100" applyNumberFormat="0" applyFont="0" applyFill="0" applyBorder="0" applyAlignment="0">
      <protection locked="0"/>
    </xf>
    <xf numFmtId="0" fontId="101" fillId="0" borderId="5144" applyBorder="0"/>
    <xf numFmtId="222" fontId="79" fillId="0" borderId="5143" applyBorder="0"/>
    <xf numFmtId="0" fontId="113" fillId="0" borderId="5144" applyNumberFormat="0" applyFill="0" applyAlignment="0" applyProtection="0"/>
    <xf numFmtId="0" fontId="75" fillId="0" borderId="5121" applyNumberFormat="0" applyFont="0" applyFill="0" applyAlignment="0" applyProtection="0"/>
    <xf numFmtId="0" fontId="12" fillId="0" borderId="5144" applyNumberFormat="0" applyFill="0" applyBorder="0" applyAlignment="0" applyProtection="0">
      <alignment horizontal="center"/>
    </xf>
    <xf numFmtId="248" fontId="46" fillId="0" borderId="5144"/>
    <xf numFmtId="192" fontId="9" fillId="3" borderId="5144">
      <alignment horizontal="right" vertical="center"/>
    </xf>
    <xf numFmtId="180" fontId="9" fillId="3" borderId="5144">
      <alignment horizontal="right" vertical="center"/>
    </xf>
    <xf numFmtId="186" fontId="146" fillId="3" borderId="5144" applyBorder="0">
      <alignment horizontal="left" vertical="center"/>
    </xf>
    <xf numFmtId="186" fontId="146" fillId="3" borderId="5123">
      <alignment horizontal="left"/>
    </xf>
    <xf numFmtId="186" fontId="140" fillId="3" borderId="5124">
      <alignment horizontal="center" vertical="center"/>
    </xf>
    <xf numFmtId="0" fontId="165" fillId="0" borderId="5144" applyFill="0" applyProtection="0">
      <alignment horizontal="center"/>
    </xf>
    <xf numFmtId="0" fontId="166" fillId="0" borderId="5144">
      <alignment horizontal="center"/>
    </xf>
    <xf numFmtId="264" fontId="12" fillId="14" borderId="5144" applyFont="0" applyFill="0" applyBorder="0" applyAlignment="0" applyProtection="0">
      <alignment horizontal="right"/>
    </xf>
    <xf numFmtId="0" fontId="210" fillId="0" borderId="5144" applyNumberFormat="0" applyFill="0" applyBorder="0" applyAlignment="0">
      <protection locked="0"/>
    </xf>
    <xf numFmtId="0" fontId="2" fillId="0" borderId="5125" applyNumberFormat="0" applyAlignment="0" applyProtection="0"/>
    <xf numFmtId="0" fontId="214" fillId="0" borderId="5126" applyNumberFormat="0" applyFont="0" applyFill="0" applyAlignment="0" applyProtection="0"/>
    <xf numFmtId="0" fontId="25" fillId="10" borderId="5127" applyNumberFormat="0" applyProtection="0">
      <alignment horizontal="left" vertical="top"/>
    </xf>
    <xf numFmtId="0" fontId="25" fillId="10" borderId="5128" applyNumberFormat="0" applyProtection="0">
      <alignment horizontal="left" vertical="top"/>
    </xf>
    <xf numFmtId="0" fontId="25" fillId="10" borderId="5129" applyNumberFormat="0" applyProtection="0">
      <alignment horizontal="left" vertical="top"/>
    </xf>
    <xf numFmtId="0" fontId="25" fillId="10" borderId="5130" applyNumberFormat="0" applyProtection="0">
      <alignment horizontal="left" vertical="top"/>
    </xf>
    <xf numFmtId="0" fontId="25" fillId="10" borderId="5127" applyNumberFormat="0" applyProtection="0">
      <alignment horizontal="left" vertical="top"/>
    </xf>
    <xf numFmtId="0" fontId="25" fillId="10" borderId="5128" applyNumberFormat="0" applyProtection="0">
      <alignment horizontal="left" vertical="top"/>
    </xf>
    <xf numFmtId="0" fontId="25" fillId="10" borderId="5129" applyNumberFormat="0" applyProtection="0">
      <alignment horizontal="left" vertical="top"/>
    </xf>
    <xf numFmtId="0" fontId="25" fillId="10" borderId="5130" applyNumberFormat="0" applyProtection="0">
      <alignment horizontal="left" vertical="top"/>
    </xf>
    <xf numFmtId="254" fontId="240" fillId="0" borderId="5144" applyBorder="0" applyProtection="0">
      <alignment horizontal="right" vertical="center"/>
    </xf>
    <xf numFmtId="0" fontId="241" fillId="94" borderId="5144" applyBorder="0" applyProtection="0">
      <alignment horizontal="centerContinuous" vertical="center"/>
    </xf>
    <xf numFmtId="246" fontId="249" fillId="0" borderId="5144" applyFill="0" applyProtection="0">
      <alignment horizontal="center"/>
    </xf>
    <xf numFmtId="246" fontId="250" fillId="0" borderId="5144" applyFill="0" applyProtection="0">
      <alignment horizontal="center"/>
    </xf>
    <xf numFmtId="264" fontId="12" fillId="14" borderId="5265" applyFont="0" applyFill="0" applyBorder="0" applyAlignment="0" applyProtection="0">
      <alignment horizontal="right"/>
    </xf>
    <xf numFmtId="0" fontId="241" fillId="94" borderId="5144" applyBorder="0" applyProtection="0">
      <alignment horizontal="centerContinuous" vertical="center"/>
    </xf>
    <xf numFmtId="0" fontId="210" fillId="0" borderId="5265" applyNumberFormat="0" applyFill="0" applyBorder="0" applyAlignment="0">
      <protection locked="0"/>
    </xf>
    <xf numFmtId="10" fontId="12" fillId="3" borderId="5100" applyNumberFormat="0" applyFont="0" applyFill="0" applyBorder="0" applyAlignment="0">
      <protection locked="0"/>
    </xf>
    <xf numFmtId="0" fontId="166" fillId="0" borderId="5325">
      <alignment horizontal="center"/>
    </xf>
    <xf numFmtId="10" fontId="12" fillId="3" borderId="5100" applyNumberFormat="0" applyFont="0" applyFill="0" applyBorder="0" applyAlignment="0">
      <protection locked="0"/>
    </xf>
    <xf numFmtId="190" fontId="214" fillId="0" borderId="5307" applyNumberFormat="0" applyFont="0" applyFill="0" applyAlignment="0" applyProtection="0"/>
    <xf numFmtId="190" fontId="78" fillId="14" borderId="5315" applyFont="0" applyFill="0" applyBorder="0" applyAlignment="0" applyProtection="0"/>
    <xf numFmtId="190" fontId="101" fillId="0" borderId="5325" applyBorder="0"/>
    <xf numFmtId="254" fontId="240" fillId="0" borderId="5325" applyBorder="0" applyProtection="0">
      <alignment horizontal="right" vertical="center"/>
    </xf>
    <xf numFmtId="312" fontId="101" fillId="0" borderId="5144" applyBorder="0"/>
    <xf numFmtId="0" fontId="113" fillId="0" borderId="5325" applyNumberFormat="0" applyFill="0" applyAlignment="0" applyProtection="0"/>
    <xf numFmtId="180" fontId="9" fillId="3" borderId="5325">
      <alignment horizontal="right" vertical="center"/>
    </xf>
    <xf numFmtId="312" fontId="12" fillId="0" borderId="5087" applyNumberFormat="0" applyFill="0" applyBorder="0" applyAlignment="0" applyProtection="0"/>
    <xf numFmtId="312" fontId="46" fillId="0" borderId="5087" applyNumberFormat="0" applyFill="0" applyBorder="0" applyAlignment="0" applyProtection="0"/>
    <xf numFmtId="312" fontId="105" fillId="0" borderId="5087" applyNumberFormat="0" applyFill="0" applyBorder="0" applyAlignment="0" applyProtection="0"/>
    <xf numFmtId="312" fontId="48" fillId="0" borderId="5087" applyNumberFormat="0" applyFill="0" applyAlignment="0" applyProtection="0"/>
    <xf numFmtId="0" fontId="165" fillId="0" borderId="5325" applyFill="0" applyProtection="0">
      <alignment horizontal="center"/>
    </xf>
    <xf numFmtId="246" fontId="250" fillId="0" borderId="5325" applyFill="0" applyProtection="0">
      <alignment horizontal="center"/>
    </xf>
    <xf numFmtId="312" fontId="113" fillId="0" borderId="5144" applyNumberFormat="0" applyFill="0" applyAlignment="0" applyProtection="0"/>
    <xf numFmtId="312" fontId="75" fillId="0" borderId="5121" applyNumberFormat="0" applyFont="0" applyFill="0" applyAlignment="0" applyProtection="0"/>
    <xf numFmtId="0" fontId="2" fillId="0" borderId="5330" applyNumberFormat="0" applyAlignment="0" applyProtection="0"/>
    <xf numFmtId="0" fontId="78" fillId="14" borderId="5327" applyFont="0" applyFill="0" applyBorder="0" applyAlignment="0" applyProtection="0"/>
    <xf numFmtId="246" fontId="250" fillId="0" borderId="5313" applyFill="0" applyProtection="0">
      <alignment horizontal="center"/>
    </xf>
    <xf numFmtId="254" fontId="240" fillId="0" borderId="5313" applyBorder="0" applyProtection="0">
      <alignment horizontal="right" vertical="center"/>
    </xf>
    <xf numFmtId="0" fontId="165" fillId="0" borderId="5313" applyFill="0" applyProtection="0">
      <alignment horizontal="center"/>
    </xf>
    <xf numFmtId="0" fontId="12" fillId="0" borderId="5313" applyNumberFormat="0" applyFill="0" applyBorder="0" applyAlignment="0" applyProtection="0">
      <alignment horizontal="center"/>
    </xf>
    <xf numFmtId="0" fontId="25" fillId="10" borderId="5308" applyNumberFormat="0" applyProtection="0">
      <alignment horizontal="left" vertical="top"/>
    </xf>
    <xf numFmtId="0" fontId="2" fillId="0" borderId="5306" applyNumberFormat="0" applyAlignment="0" applyProtection="0"/>
    <xf numFmtId="312" fontId="12" fillId="0" borderId="5144" applyNumberFormat="0" applyFill="0" applyBorder="0" applyAlignment="0" applyProtection="0">
      <alignment horizontal="center"/>
    </xf>
    <xf numFmtId="222" fontId="79" fillId="0" borderId="5300" applyBorder="0"/>
    <xf numFmtId="0" fontId="166" fillId="0" borderId="5289">
      <alignment horizontal="center"/>
    </xf>
    <xf numFmtId="180" fontId="9" fillId="3" borderId="5289">
      <alignment horizontal="right" vertical="center"/>
    </xf>
    <xf numFmtId="0" fontId="12" fillId="0" borderId="5289" applyNumberFormat="0" applyFill="0" applyBorder="0" applyAlignment="0" applyProtection="0">
      <alignment horizontal="center"/>
    </xf>
    <xf numFmtId="0" fontId="101" fillId="0" borderId="5289" applyBorder="0"/>
    <xf numFmtId="186" fontId="146" fillId="3" borderId="5280">
      <alignment horizontal="left"/>
    </xf>
    <xf numFmtId="0" fontId="214" fillId="0" borderId="5283" applyNumberFormat="0" applyFont="0" applyFill="0" applyAlignment="0" applyProtection="0"/>
    <xf numFmtId="0" fontId="25" fillId="10" borderId="5286" applyNumberFormat="0" applyProtection="0">
      <alignment horizontal="left" vertical="top"/>
    </xf>
    <xf numFmtId="222" fontId="79" fillId="0" borderId="5276" applyBorder="0"/>
    <xf numFmtId="246" fontId="249" fillId="0" borderId="5265" applyFill="0" applyProtection="0">
      <alignment horizontal="center"/>
    </xf>
    <xf numFmtId="222" fontId="79" fillId="0" borderId="5143" applyBorder="0"/>
    <xf numFmtId="0" fontId="78" fillId="14" borderId="5255" applyFont="0" applyFill="0" applyBorder="0" applyAlignment="0" applyProtection="0"/>
    <xf numFmtId="0" fontId="25" fillId="10" borderId="5263" applyNumberFormat="0" applyProtection="0">
      <alignment horizontal="left" vertical="top"/>
    </xf>
    <xf numFmtId="0" fontId="25" fillId="10" borderId="5260" applyNumberFormat="0" applyProtection="0">
      <alignment horizontal="left" vertical="top"/>
    </xf>
    <xf numFmtId="186" fontId="140" fillId="3" borderId="5257">
      <alignment horizontal="center" vertical="center"/>
    </xf>
    <xf numFmtId="222" fontId="79" fillId="0" borderId="5264" applyBorder="0"/>
    <xf numFmtId="312" fontId="78" fillId="14" borderId="5065" applyFont="0" applyFill="0" applyBorder="0" applyAlignment="0" applyProtection="0"/>
    <xf numFmtId="0" fontId="12" fillId="0" borderId="5265" applyNumberFormat="0" applyFill="0" applyBorder="0" applyAlignment="0" applyProtection="0">
      <alignment horizontal="center"/>
    </xf>
    <xf numFmtId="246" fontId="250" fillId="0" borderId="5265" applyFill="0" applyProtection="0">
      <alignment horizontal="center"/>
    </xf>
    <xf numFmtId="312" fontId="74" fillId="0" borderId="5086" applyFont="0" applyFill="0" applyBorder="0" applyAlignment="0" applyProtection="0">
      <alignment horizontal="center"/>
    </xf>
    <xf numFmtId="312" fontId="48" fillId="0" borderId="5086" applyFont="0" applyFill="0" applyBorder="0" applyAlignment="0" applyProtection="0">
      <alignment horizontal="center"/>
    </xf>
    <xf numFmtId="222" fontId="79" fillId="0" borderId="5143" applyBorder="0"/>
    <xf numFmtId="0" fontId="75" fillId="0" borderId="5314" applyNumberFormat="0" applyFont="0" applyFill="0" applyAlignment="0" applyProtection="0"/>
    <xf numFmtId="0" fontId="25" fillId="10" borderId="5084" applyNumberFormat="0" applyProtection="0">
      <alignment horizontal="left" vertical="top"/>
    </xf>
    <xf numFmtId="222" fontId="79" fillId="0" borderId="5300" applyBorder="0"/>
    <xf numFmtId="312" fontId="135" fillId="0" borderId="5088"/>
    <xf numFmtId="312" fontId="135" fillId="0" borderId="5088"/>
    <xf numFmtId="0" fontId="75" fillId="0" borderId="5290" applyNumberFormat="0" applyFont="0" applyFill="0" applyAlignment="0" applyProtection="0"/>
    <xf numFmtId="0" fontId="12" fillId="0" borderId="5301" applyNumberFormat="0" applyFill="0" applyBorder="0" applyAlignment="0" applyProtection="0">
      <alignment horizontal="center"/>
    </xf>
    <xf numFmtId="264" fontId="12" fillId="14" borderId="5301" applyFont="0" applyFill="0" applyBorder="0" applyAlignment="0" applyProtection="0">
      <alignment horizontal="right"/>
    </xf>
    <xf numFmtId="246" fontId="249" fillId="0" borderId="5277" applyFill="0" applyProtection="0">
      <alignment horizontal="center"/>
    </xf>
    <xf numFmtId="0" fontId="166" fillId="0" borderId="5277">
      <alignment horizontal="center"/>
    </xf>
    <xf numFmtId="254" fontId="240" fillId="0" borderId="5325" applyBorder="0" applyProtection="0">
      <alignment horizontal="right" vertical="center"/>
    </xf>
    <xf numFmtId="180" fontId="9" fillId="3" borderId="5325">
      <alignment horizontal="right" vertical="center"/>
    </xf>
    <xf numFmtId="222" fontId="79" fillId="0" borderId="5324" applyBorder="0"/>
    <xf numFmtId="0" fontId="25" fillId="10" borderId="5260" applyNumberFormat="0" applyProtection="0">
      <alignment horizontal="left" vertical="top"/>
    </xf>
    <xf numFmtId="186" fontId="140" fillId="3" borderId="5257">
      <alignment horizontal="center" vertical="center"/>
    </xf>
    <xf numFmtId="0" fontId="25" fillId="10" borderId="5260" applyNumberFormat="0" applyProtection="0">
      <alignment horizontal="left" vertical="top"/>
    </xf>
    <xf numFmtId="0" fontId="25" fillId="10" borderId="5263" applyNumberFormat="0" applyProtection="0">
      <alignment horizontal="left" vertical="top"/>
    </xf>
    <xf numFmtId="0" fontId="25" fillId="10" borderId="5261" applyNumberFormat="0" applyProtection="0">
      <alignment horizontal="left" vertical="top"/>
    </xf>
    <xf numFmtId="264" fontId="12" fillId="14" borderId="5325" applyFont="0" applyFill="0" applyBorder="0" applyAlignment="0" applyProtection="0">
      <alignment horizontal="right"/>
    </xf>
    <xf numFmtId="312" fontId="159" fillId="0" borderId="5088"/>
    <xf numFmtId="312" fontId="159" fillId="67" borderId="5088"/>
    <xf numFmtId="312" fontId="165" fillId="0" borderId="5144" applyFill="0" applyProtection="0">
      <alignment horizontal="center"/>
    </xf>
    <xf numFmtId="312" fontId="242" fillId="0" borderId="5144">
      <alignment horizontal="center"/>
    </xf>
    <xf numFmtId="0" fontId="241" fillId="94" borderId="5253" applyBorder="0" applyProtection="0">
      <alignment horizontal="centerContinuous" vertical="center"/>
    </xf>
    <xf numFmtId="0" fontId="165" fillId="0" borderId="5253" applyFill="0" applyProtection="0">
      <alignment horizontal="center"/>
    </xf>
    <xf numFmtId="0" fontId="113" fillId="0" borderId="5253" applyNumberFormat="0" applyFill="0" applyAlignment="0" applyProtection="0"/>
    <xf numFmtId="312" fontId="25" fillId="69" borderId="5088">
      <alignment horizontal="left" vertical="center" wrapText="1"/>
    </xf>
    <xf numFmtId="312" fontId="184" fillId="0" borderId="5089" applyAlignment="0">
      <alignment horizontal="left" wrapText="1"/>
    </xf>
    <xf numFmtId="0" fontId="25" fillId="10" borderId="5084" applyNumberFormat="0" applyProtection="0">
      <alignment horizontal="left" vertical="top"/>
    </xf>
    <xf numFmtId="312" fontId="210" fillId="0" borderId="5144" applyNumberFormat="0" applyFill="0" applyBorder="0" applyAlignment="0">
      <protection locked="0"/>
    </xf>
    <xf numFmtId="312" fontId="2" fillId="0" borderId="5125" applyNumberFormat="0" applyAlignment="0" applyProtection="0"/>
    <xf numFmtId="312" fontId="214" fillId="0" borderId="5126" applyNumberFormat="0" applyFont="0" applyFill="0" applyAlignment="0" applyProtection="0"/>
    <xf numFmtId="312" fontId="225" fillId="53" borderId="5090" applyNumberFormat="0" applyProtection="0">
      <alignment horizontal="left" vertical="top" indent="1"/>
    </xf>
    <xf numFmtId="312" fontId="12" fillId="75" borderId="5090" applyNumberFormat="0" applyProtection="0">
      <alignment horizontal="left" vertical="center" indent="1"/>
    </xf>
    <xf numFmtId="312" fontId="12" fillId="75" borderId="5090" applyNumberFormat="0" applyProtection="0">
      <alignment horizontal="left" vertical="top" indent="1"/>
    </xf>
    <xf numFmtId="312" fontId="12" fillId="84" borderId="5090" applyNumberFormat="0" applyProtection="0">
      <alignment horizontal="left" vertical="center" indent="1"/>
    </xf>
    <xf numFmtId="312" fontId="12" fillId="84" borderId="5090" applyNumberFormat="0" applyProtection="0">
      <alignment horizontal="left" vertical="top" indent="1"/>
    </xf>
    <xf numFmtId="312" fontId="12" fillId="52" borderId="5090" applyNumberFormat="0" applyProtection="0">
      <alignment horizontal="left" vertical="center" indent="1"/>
    </xf>
    <xf numFmtId="312" fontId="12" fillId="52" borderId="5090" applyNumberFormat="0" applyProtection="0">
      <alignment horizontal="left" vertical="top" indent="1"/>
    </xf>
    <xf numFmtId="312" fontId="12" fillId="11" borderId="5090" applyNumberFormat="0" applyProtection="0">
      <alignment horizontal="left" vertical="center" indent="1"/>
    </xf>
    <xf numFmtId="312" fontId="12" fillId="11" borderId="5090" applyNumberFormat="0" applyProtection="0">
      <alignment horizontal="left" vertical="top" indent="1"/>
    </xf>
    <xf numFmtId="312" fontId="136" fillId="14" borderId="5090" applyNumberFormat="0" applyProtection="0">
      <alignment horizontal="left" vertical="top" indent="1"/>
    </xf>
    <xf numFmtId="312" fontId="136" fillId="84" borderId="5090" applyNumberFormat="0" applyProtection="0">
      <alignment horizontal="left" vertical="top" indent="1"/>
    </xf>
    <xf numFmtId="312" fontId="25" fillId="10" borderId="5088" applyNumberFormat="0" applyProtection="0">
      <alignment horizontal="center" vertical="top"/>
    </xf>
    <xf numFmtId="312" fontId="25" fillId="10" borderId="5088" applyNumberFormat="0" applyProtection="0">
      <alignment horizontal="center" vertical="top"/>
    </xf>
    <xf numFmtId="312" fontId="12" fillId="3" borderId="5088" applyNumberFormat="0" applyFont="0" applyAlignment="0" applyProtection="0"/>
    <xf numFmtId="312" fontId="12" fillId="10" borderId="5088" applyNumberFormat="0" applyFont="0" applyAlignment="0" applyProtection="0"/>
    <xf numFmtId="312" fontId="12" fillId="10" borderId="5088" applyNumberFormat="0" applyFont="0" applyProtection="0"/>
    <xf numFmtId="312" fontId="25" fillId="10" borderId="5093" applyNumberFormat="0" applyProtection="0">
      <alignment horizontal="left"/>
    </xf>
    <xf numFmtId="312" fontId="25" fillId="10" borderId="5094" applyNumberFormat="0" applyProtection="0">
      <alignment horizontal="left" vertical="top"/>
    </xf>
    <xf numFmtId="312" fontId="25" fillId="10" borderId="5095" applyNumberFormat="0" applyProtection="0">
      <alignment horizontal="left" vertical="top"/>
    </xf>
    <xf numFmtId="312" fontId="25" fillId="10" borderId="5127" applyNumberFormat="0" applyProtection="0">
      <alignment horizontal="left" vertical="top"/>
    </xf>
    <xf numFmtId="312" fontId="25" fillId="10" borderId="5128" applyNumberFormat="0" applyProtection="0">
      <alignment horizontal="left" vertical="top"/>
    </xf>
    <xf numFmtId="312" fontId="25" fillId="10" borderId="5096" applyNumberFormat="0" applyProtection="0">
      <alignment horizontal="left" vertical="top"/>
    </xf>
    <xf numFmtId="312" fontId="25" fillId="10" borderId="5129" applyNumberFormat="0" applyProtection="0">
      <alignment horizontal="left" vertical="top"/>
    </xf>
    <xf numFmtId="312" fontId="25" fillId="10" borderId="5097" applyNumberFormat="0" applyProtection="0">
      <alignment horizontal="left" vertical="top"/>
    </xf>
    <xf numFmtId="312" fontId="25" fillId="10" borderId="5130" applyNumberFormat="0" applyProtection="0">
      <alignment horizontal="left" vertical="top"/>
    </xf>
    <xf numFmtId="312" fontId="25" fillId="10" borderId="5098" applyNumberFormat="0" applyProtection="0">
      <alignment horizontal="left" vertical="top"/>
    </xf>
    <xf numFmtId="312" fontId="25" fillId="10" borderId="5099" applyNumberFormat="0" applyProtection="0">
      <alignment horizontal="left" vertical="top"/>
    </xf>
    <xf numFmtId="312" fontId="12" fillId="0" borderId="5087" applyNumberFormat="0" applyFill="0" applyBorder="0" applyAlignment="0" applyProtection="0"/>
    <xf numFmtId="312" fontId="241" fillId="94" borderId="5144" applyBorder="0" applyProtection="0">
      <alignment horizontal="centerContinuous" vertical="center"/>
    </xf>
    <xf numFmtId="246" fontId="296" fillId="0" borderId="5144" applyFill="0" applyProtection="0">
      <alignment horizontal="center"/>
    </xf>
    <xf numFmtId="10" fontId="12" fillId="3" borderId="5100" applyNumberFormat="0" applyFont="0" applyFill="0" applyBorder="0" applyAlignment="0">
      <protection locked="0"/>
    </xf>
    <xf numFmtId="312" fontId="12" fillId="0" borderId="5087" applyNumberFormat="0" applyFill="0" applyBorder="0" applyAlignment="0" applyProtection="0"/>
    <xf numFmtId="312" fontId="12" fillId="0" borderId="5087" applyNumberFormat="0" applyFill="0" applyBorder="0" applyAlignment="0" applyProtection="0"/>
    <xf numFmtId="312" fontId="12" fillId="0" borderId="5087" applyNumberFormat="0" applyFill="0" applyBorder="0" applyAlignment="0" applyProtection="0"/>
    <xf numFmtId="312" fontId="101" fillId="0" borderId="5144" applyBorder="0"/>
    <xf numFmtId="312" fontId="113" fillId="0" borderId="5144" applyNumberFormat="0" applyFill="0" applyAlignment="0" applyProtection="0"/>
    <xf numFmtId="312" fontId="75" fillId="0" borderId="5121" applyNumberFormat="0" applyFont="0" applyFill="0" applyAlignment="0" applyProtection="0"/>
    <xf numFmtId="312" fontId="12" fillId="0" borderId="5144" applyNumberFormat="0" applyFill="0" applyBorder="0" applyAlignment="0" applyProtection="0">
      <alignment horizontal="center"/>
    </xf>
    <xf numFmtId="312" fontId="78" fillId="14" borderId="5065" applyFont="0" applyFill="0" applyBorder="0" applyAlignment="0" applyProtection="0"/>
    <xf numFmtId="0" fontId="113" fillId="0" borderId="5301" applyNumberFormat="0" applyFill="0" applyAlignment="0" applyProtection="0"/>
    <xf numFmtId="312" fontId="5" fillId="0" borderId="5103">
      <alignment horizontal="left" vertical="center"/>
    </xf>
    <xf numFmtId="312" fontId="165" fillId="0" borderId="5144" applyFill="0" applyProtection="0">
      <alignment horizontal="center"/>
    </xf>
    <xf numFmtId="312" fontId="242" fillId="0" borderId="5144">
      <alignment horizontal="center"/>
    </xf>
    <xf numFmtId="0" fontId="210" fillId="0" borderId="5301" applyNumberFormat="0" applyFill="0" applyBorder="0" applyAlignment="0">
      <protection locked="0"/>
    </xf>
    <xf numFmtId="312" fontId="210" fillId="0" borderId="5144" applyNumberFormat="0" applyFill="0" applyBorder="0" applyAlignment="0">
      <protection locked="0"/>
    </xf>
    <xf numFmtId="312" fontId="2" fillId="0" borderId="5125" applyNumberFormat="0" applyAlignment="0" applyProtection="0"/>
    <xf numFmtId="312" fontId="214" fillId="0" borderId="5126" applyNumberFormat="0" applyFont="0" applyFill="0" applyAlignment="0" applyProtection="0"/>
    <xf numFmtId="312" fontId="25" fillId="10" borderId="5127" applyNumberFormat="0" applyProtection="0">
      <alignment horizontal="left" vertical="top"/>
    </xf>
    <xf numFmtId="312" fontId="25" fillId="10" borderId="5128" applyNumberFormat="0" applyProtection="0">
      <alignment horizontal="left" vertical="top"/>
    </xf>
    <xf numFmtId="312" fontId="25" fillId="10" borderId="5129" applyNumberFormat="0" applyProtection="0">
      <alignment horizontal="left" vertical="top"/>
    </xf>
    <xf numFmtId="312" fontId="25" fillId="10" borderId="5130" applyNumberFormat="0" applyProtection="0">
      <alignment horizontal="left" vertical="top"/>
    </xf>
    <xf numFmtId="312" fontId="25" fillId="10" borderId="5127" applyNumberFormat="0" applyProtection="0">
      <alignment horizontal="left" vertical="top"/>
    </xf>
    <xf numFmtId="312" fontId="25" fillId="10" borderId="5128" applyNumberFormat="0" applyProtection="0">
      <alignment horizontal="left" vertical="top"/>
    </xf>
    <xf numFmtId="312" fontId="25" fillId="10" borderId="5129" applyNumberFormat="0" applyProtection="0">
      <alignment horizontal="left" vertical="top"/>
    </xf>
    <xf numFmtId="312" fontId="25" fillId="10" borderId="5130" applyNumberFormat="0" applyProtection="0">
      <alignment horizontal="left" vertical="top"/>
    </xf>
    <xf numFmtId="312" fontId="241" fillId="94" borderId="5144" applyBorder="0" applyProtection="0">
      <alignment horizontal="centerContinuous" vertical="center"/>
    </xf>
    <xf numFmtId="246" fontId="296" fillId="0" borderId="5144" applyFill="0" applyProtection="0">
      <alignment horizontal="center"/>
    </xf>
    <xf numFmtId="0" fontId="241" fillId="94" borderId="5325" applyBorder="0" applyProtection="0">
      <alignment horizontal="centerContinuous" vertical="center"/>
    </xf>
    <xf numFmtId="10" fontId="12" fillId="3" borderId="5100" applyNumberFormat="0" applyFont="0" applyFill="0" applyBorder="0" applyAlignment="0">
      <protection locked="0"/>
    </xf>
    <xf numFmtId="0" fontId="241" fillId="94" borderId="5253" applyBorder="0" applyProtection="0">
      <alignment horizontal="centerContinuous" vertical="center"/>
    </xf>
    <xf numFmtId="0" fontId="210" fillId="0" borderId="5253" applyNumberFormat="0" applyFill="0" applyBorder="0" applyAlignment="0">
      <protection locked="0"/>
    </xf>
    <xf numFmtId="246" fontId="249" fillId="0" borderId="5265" applyFill="0" applyProtection="0">
      <alignment horizontal="center"/>
    </xf>
    <xf numFmtId="0" fontId="2" fillId="0" borderId="5270" applyNumberFormat="0" applyAlignment="0" applyProtection="0"/>
    <xf numFmtId="0" fontId="214" fillId="0" borderId="5259" applyNumberFormat="0" applyFont="0" applyFill="0" applyAlignment="0" applyProtection="0"/>
    <xf numFmtId="0" fontId="25" fillId="10" borderId="5262" applyNumberFormat="0" applyProtection="0">
      <alignment horizontal="left" vertical="top"/>
    </xf>
    <xf numFmtId="180" fontId="9" fillId="3" borderId="5253">
      <alignment horizontal="right" vertical="center"/>
    </xf>
    <xf numFmtId="0" fontId="165" fillId="0" borderId="5253" applyFill="0" applyProtection="0">
      <alignment horizontal="center"/>
    </xf>
    <xf numFmtId="1" fontId="154" fillId="65" borderId="4821" applyNumberFormat="0" applyBorder="0" applyAlignment="0">
      <alignment horizontal="centerContinuous" vertical="center"/>
      <protection locked="0"/>
    </xf>
    <xf numFmtId="0" fontId="12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10" fontId="12" fillId="3" borderId="5100" applyNumberFormat="0" applyFont="0" applyFill="0" applyBorder="0" applyAlignment="0">
      <protection locked="0"/>
    </xf>
    <xf numFmtId="246" fontId="250" fillId="0" borderId="5144" applyFill="0" applyProtection="0">
      <alignment horizontal="center"/>
    </xf>
    <xf numFmtId="246" fontId="249" fillId="0" borderId="5144" applyFill="0" applyProtection="0">
      <alignment horizontal="center"/>
    </xf>
    <xf numFmtId="0" fontId="241" fillId="94" borderId="5144" applyBorder="0" applyProtection="0">
      <alignment horizontal="centerContinuous" vertical="center"/>
    </xf>
    <xf numFmtId="254" fontId="240" fillId="0" borderId="5144" applyBorder="0" applyProtection="0">
      <alignment horizontal="right" vertical="center"/>
    </xf>
    <xf numFmtId="0" fontId="12" fillId="0" borderId="5087" applyNumberFormat="0" applyFill="0" applyBorder="0" applyAlignment="0" applyProtection="0"/>
    <xf numFmtId="0" fontId="25" fillId="10" borderId="5099" applyNumberFormat="0" applyProtection="0">
      <alignment horizontal="left" vertical="top"/>
    </xf>
    <xf numFmtId="0" fontId="25" fillId="10" borderId="5098" applyNumberFormat="0" applyProtection="0">
      <alignment horizontal="left" vertical="top"/>
    </xf>
    <xf numFmtId="0" fontId="25" fillId="10" borderId="5097" applyNumberFormat="0" applyProtection="0">
      <alignment horizontal="left" vertical="top"/>
    </xf>
    <xf numFmtId="0" fontId="25" fillId="10" borderId="5096" applyNumberFormat="0" applyProtection="0">
      <alignment horizontal="left" vertical="top"/>
    </xf>
    <xf numFmtId="0" fontId="25" fillId="10" borderId="5095" applyNumberFormat="0" applyProtection="0">
      <alignment horizontal="left" vertical="top"/>
    </xf>
    <xf numFmtId="0" fontId="25" fillId="10" borderId="5094" applyNumberFormat="0" applyProtection="0">
      <alignment horizontal="left" vertical="top"/>
    </xf>
    <xf numFmtId="0" fontId="25" fillId="10" borderId="5093" applyNumberFormat="0" applyProtection="0">
      <alignment horizontal="left"/>
    </xf>
    <xf numFmtId="0" fontId="12" fillId="10" borderId="5088" applyNumberFormat="0" applyFont="0" applyProtection="0"/>
    <xf numFmtId="0" fontId="12" fillId="10" borderId="5088" applyNumberFormat="0" applyFont="0" applyAlignment="0" applyProtection="0"/>
    <xf numFmtId="0" fontId="12" fillId="3" borderId="5088" applyNumberFormat="0" applyFont="0" applyAlignment="0" applyProtection="0"/>
    <xf numFmtId="293" fontId="234" fillId="10" borderId="5088" applyFont="0" applyProtection="0"/>
    <xf numFmtId="293" fontId="234" fillId="10" borderId="5088" applyFont="0" applyProtection="0"/>
    <xf numFmtId="169" fontId="234" fillId="3" borderId="5088" applyFont="0" applyProtection="0"/>
    <xf numFmtId="293" fontId="234" fillId="3" borderId="5088" applyFont="0" applyProtection="0"/>
    <xf numFmtId="169" fontId="234" fillId="10" borderId="5088" applyFont="0" applyProtection="0"/>
    <xf numFmtId="0" fontId="25" fillId="10" borderId="5088" applyNumberFormat="0" applyProtection="0">
      <alignment horizontal="center" vertical="top"/>
    </xf>
    <xf numFmtId="0" fontId="25" fillId="10" borderId="5088" applyNumberFormat="0" applyProtection="0">
      <alignment horizontal="center" vertical="top"/>
    </xf>
    <xf numFmtId="2" fontId="12" fillId="60" borderId="5092" applyFont="0" applyFill="0" applyBorder="0" applyAlignment="0" applyProtection="0"/>
    <xf numFmtId="9" fontId="12" fillId="60" borderId="5092" applyFont="0" applyFill="0" applyBorder="0" applyAlignment="0" applyProtection="0"/>
    <xf numFmtId="10" fontId="12" fillId="60" borderId="5092" applyFont="0" applyFill="0" applyBorder="0" applyAlignment="0" applyProtection="0"/>
    <xf numFmtId="183" fontId="12" fillId="60" borderId="5092" applyFont="0" applyFill="0" applyBorder="0" applyAlignment="0" applyProtection="0"/>
    <xf numFmtId="4" fontId="12" fillId="60" borderId="5092" applyFont="0" applyFill="0" applyBorder="0" applyAlignment="0" applyProtection="0"/>
    <xf numFmtId="3" fontId="12" fillId="60" borderId="5092" applyFont="0" applyFill="0" applyBorder="0" applyAlignment="0" applyProtection="0"/>
    <xf numFmtId="4" fontId="230" fillId="11" borderId="5090" applyNumberFormat="0" applyProtection="0">
      <alignment horizontal="right" vertical="center"/>
    </xf>
    <xf numFmtId="4" fontId="229" fillId="84" borderId="5091" applyNumberFormat="0" applyProtection="0">
      <alignment horizontal="left" vertical="center" indent="1"/>
    </xf>
    <xf numFmtId="0" fontId="136" fillId="84" borderId="5090" applyNumberFormat="0" applyProtection="0">
      <alignment horizontal="left" vertical="top" indent="1"/>
    </xf>
    <xf numFmtId="4" fontId="223" fillId="52" borderId="5090" applyNumberFormat="0" applyProtection="0">
      <alignment horizontal="left" vertical="center" indent="1"/>
    </xf>
    <xf numFmtId="4" fontId="228" fillId="11" borderId="5090" applyNumberFormat="0" applyProtection="0">
      <alignment horizontal="right" vertical="center"/>
    </xf>
    <xf numFmtId="4" fontId="184" fillId="11" borderId="5090" applyNumberFormat="0" applyProtection="0">
      <alignment horizontal="right" vertical="center"/>
    </xf>
    <xf numFmtId="0" fontId="136" fillId="14" borderId="5090" applyNumberFormat="0" applyProtection="0">
      <alignment horizontal="left" vertical="top" indent="1"/>
    </xf>
    <xf numFmtId="4" fontId="227" fillId="52" borderId="5091" applyNumberFormat="0" applyProtection="0">
      <alignment horizontal="left" vertical="center" indent="1"/>
    </xf>
    <xf numFmtId="4" fontId="228" fillId="11" borderId="5090" applyNumberFormat="0" applyProtection="0">
      <alignment vertical="center"/>
    </xf>
    <xf numFmtId="4" fontId="226" fillId="11" borderId="5090" applyNumberFormat="0" applyProtection="0">
      <alignment vertical="center"/>
    </xf>
    <xf numFmtId="0" fontId="12" fillId="11" borderId="5090" applyNumberFormat="0" applyProtection="0">
      <alignment horizontal="left" vertical="top" indent="1"/>
    </xf>
    <xf numFmtId="0" fontId="12" fillId="11" borderId="5090" applyNumberFormat="0" applyProtection="0">
      <alignment horizontal="left" vertical="center" indent="1"/>
    </xf>
    <xf numFmtId="0" fontId="12" fillId="52" borderId="5090" applyNumberFormat="0" applyProtection="0">
      <alignment horizontal="left" vertical="top" indent="1"/>
    </xf>
    <xf numFmtId="0" fontId="12" fillId="52" borderId="5090" applyNumberFormat="0" applyProtection="0">
      <alignment horizontal="left" vertical="center" indent="1"/>
    </xf>
    <xf numFmtId="0" fontId="12" fillId="84" borderId="5090" applyNumberFormat="0" applyProtection="0">
      <alignment horizontal="left" vertical="top" indent="1"/>
    </xf>
    <xf numFmtId="0" fontId="12" fillId="84" borderId="5090" applyNumberFormat="0" applyProtection="0">
      <alignment horizontal="left" vertical="center" indent="1"/>
    </xf>
    <xf numFmtId="0" fontId="12" fillId="75" borderId="5090" applyNumberFormat="0" applyProtection="0">
      <alignment horizontal="left" vertical="top" indent="1"/>
    </xf>
    <xf numFmtId="0" fontId="12" fillId="75" borderId="5090" applyNumberFormat="0" applyProtection="0">
      <alignment horizontal="left" vertical="center" indent="1"/>
    </xf>
    <xf numFmtId="4" fontId="184" fillId="52" borderId="5090" applyNumberFormat="0" applyProtection="0">
      <alignment horizontal="right" vertical="center"/>
    </xf>
    <xf numFmtId="4" fontId="226" fillId="82" borderId="5090" applyNumberFormat="0" applyProtection="0">
      <alignment horizontal="right" vertical="center"/>
    </xf>
    <xf numFmtId="4" fontId="226" fillId="81" borderId="5090" applyNumberFormat="0" applyProtection="0">
      <alignment horizontal="right" vertical="center"/>
    </xf>
    <xf numFmtId="4" fontId="226" fillId="80" borderId="5090" applyNumberFormat="0" applyProtection="0">
      <alignment horizontal="right" vertical="center"/>
    </xf>
    <xf numFmtId="4" fontId="226" fillId="71" borderId="5090" applyNumberFormat="0" applyProtection="0">
      <alignment horizontal="right" vertical="center"/>
    </xf>
    <xf numFmtId="4" fontId="226" fillId="79" borderId="5090" applyNumberFormat="0" applyProtection="0">
      <alignment horizontal="right" vertical="center"/>
    </xf>
    <xf numFmtId="4" fontId="226" fillId="10" borderId="5090" applyNumberFormat="0" applyProtection="0">
      <alignment horizontal="right" vertical="center"/>
    </xf>
    <xf numFmtId="4" fontId="226" fillId="78" borderId="5090" applyNumberFormat="0" applyProtection="0">
      <alignment horizontal="right" vertical="center"/>
    </xf>
    <xf numFmtId="4" fontId="226" fillId="77" borderId="5090" applyNumberFormat="0" applyProtection="0">
      <alignment horizontal="right" vertical="center"/>
    </xf>
    <xf numFmtId="4" fontId="226" fillId="76" borderId="5090" applyNumberFormat="0" applyProtection="0">
      <alignment horizontal="right" vertical="center"/>
    </xf>
    <xf numFmtId="0" fontId="225" fillId="53" borderId="5090" applyNumberFormat="0" applyProtection="0">
      <alignment horizontal="left" vertical="top" indent="1"/>
    </xf>
    <xf numFmtId="4" fontId="184" fillId="53" borderId="5090" applyNumberFormat="0" applyProtection="0">
      <alignment horizontal="left" vertical="center" indent="1"/>
    </xf>
    <xf numFmtId="4" fontId="224" fillId="53" borderId="5090" applyNumberFormat="0" applyProtection="0">
      <alignment vertical="center"/>
    </xf>
    <xf numFmtId="4" fontId="223" fillId="53" borderId="5090" applyNumberFormat="0" applyProtection="0">
      <alignment vertical="center"/>
    </xf>
    <xf numFmtId="0" fontId="12" fillId="0" borderId="5087" applyNumberFormat="0" applyFill="0" applyBorder="0" applyAlignment="0" applyProtection="0"/>
    <xf numFmtId="0" fontId="46" fillId="0" borderId="5087" applyNumberFormat="0" applyFill="0" applyBorder="0" applyAlignment="0" applyProtection="0"/>
    <xf numFmtId="0" fontId="105" fillId="0" borderId="5087" applyNumberFormat="0" applyFill="0" applyBorder="0" applyAlignment="0" applyProtection="0"/>
    <xf numFmtId="0" fontId="48" fillId="0" borderId="5087" applyNumberFormat="0" applyFill="0" applyAlignment="0" applyProtection="0"/>
    <xf numFmtId="5" fontId="114" fillId="0" borderId="5086" applyAlignment="0" applyProtection="0"/>
    <xf numFmtId="0" fontId="210" fillId="0" borderId="5144" applyNumberFormat="0" applyFill="0" applyBorder="0" applyAlignment="0">
      <protection locked="0"/>
    </xf>
    <xf numFmtId="182" fontId="145" fillId="3" borderId="5086">
      <alignment horizontal="right" vertical="center"/>
    </xf>
    <xf numFmtId="186" fontId="48" fillId="3" borderId="5086">
      <alignment vertical="center"/>
    </xf>
    <xf numFmtId="0" fontId="135" fillId="0" borderId="5088"/>
    <xf numFmtId="0" fontId="135" fillId="0" borderId="5088"/>
    <xf numFmtId="188" fontId="25" fillId="0" borderId="5103" applyFont="0" applyFill="0" applyBorder="0" applyAlignment="0" applyProtection="0">
      <alignment horizontal="center"/>
    </xf>
    <xf numFmtId="0" fontId="184" fillId="0" borderId="5089" applyAlignment="0">
      <alignment horizontal="left" wrapText="1"/>
    </xf>
    <xf numFmtId="264" fontId="12" fillId="14" borderId="5144" applyFont="0" applyFill="0" applyBorder="0" applyAlignment="0" applyProtection="0">
      <alignment horizontal="right"/>
    </xf>
    <xf numFmtId="0" fontId="25" fillId="69" borderId="5088">
      <alignment horizontal="left" vertical="center" wrapText="1"/>
    </xf>
    <xf numFmtId="0" fontId="159" fillId="0" borderId="5088"/>
    <xf numFmtId="0" fontId="159" fillId="67" borderId="5088"/>
    <xf numFmtId="192" fontId="9" fillId="3" borderId="5253">
      <alignment horizontal="right" vertical="center"/>
    </xf>
    <xf numFmtId="0" fontId="166" fillId="0" borderId="5144">
      <alignment horizontal="center"/>
    </xf>
    <xf numFmtId="0" fontId="165" fillId="0" borderId="5144" applyFill="0" applyProtection="0">
      <alignment horizontal="center"/>
    </xf>
    <xf numFmtId="0" fontId="159" fillId="67" borderId="5088"/>
    <xf numFmtId="0" fontId="159" fillId="0" borderId="5088"/>
    <xf numFmtId="0" fontId="25" fillId="69" borderId="5088">
      <alignment horizontal="left" vertical="center" wrapText="1"/>
    </xf>
    <xf numFmtId="0" fontId="184" fillId="0" borderId="5089" applyAlignment="0">
      <alignment horizontal="left" wrapText="1"/>
    </xf>
    <xf numFmtId="0" fontId="135" fillId="0" borderId="5088"/>
    <xf numFmtId="0" fontId="135" fillId="0" borderId="5088"/>
    <xf numFmtId="186" fontId="140" fillId="3" borderId="5043">
      <alignment horizontal="center" vertical="center"/>
    </xf>
    <xf numFmtId="186" fontId="48" fillId="3" borderId="5086">
      <alignment vertical="center"/>
    </xf>
    <xf numFmtId="186" fontId="146" fillId="3" borderId="4970">
      <alignment horizontal="left"/>
    </xf>
    <xf numFmtId="186" fontId="146" fillId="3" borderId="5144" applyBorder="0">
      <alignment horizontal="left" vertical="center"/>
    </xf>
    <xf numFmtId="180" fontId="9" fillId="3" borderId="5144">
      <alignment horizontal="right" vertical="center"/>
    </xf>
    <xf numFmtId="192" fontId="9" fillId="3" borderId="5144">
      <alignment horizontal="right" vertical="center"/>
    </xf>
    <xf numFmtId="0" fontId="101" fillId="0" borderId="5144" applyBorder="0"/>
    <xf numFmtId="182" fontId="145" fillId="3" borderId="5086">
      <alignment horizontal="right" vertical="center"/>
    </xf>
    <xf numFmtId="188" fontId="25" fillId="0" borderId="5103" applyFont="0" applyFill="0" applyBorder="0" applyAlignment="0" applyProtection="0">
      <alignment horizontal="center"/>
    </xf>
    <xf numFmtId="248" fontId="46" fillId="0" borderId="5301"/>
    <xf numFmtId="246" fontId="249" fillId="0" borderId="5144" applyFill="0" applyProtection="0">
      <alignment horizontal="center"/>
    </xf>
    <xf numFmtId="0" fontId="48" fillId="0" borderId="5086" applyFont="0" applyFill="0" applyBorder="0" applyAlignment="0" applyProtection="0">
      <alignment horizontal="center"/>
    </xf>
    <xf numFmtId="0" fontId="74" fillId="0" borderId="5086" applyFont="0" applyFill="0" applyBorder="0" applyAlignment="0" applyProtection="0">
      <alignment horizontal="center"/>
    </xf>
    <xf numFmtId="248" fontId="46" fillId="0" borderId="5144"/>
    <xf numFmtId="0" fontId="78" fillId="14" borderId="5077" applyFont="0" applyFill="0" applyBorder="0" applyAlignment="0" applyProtection="0"/>
    <xf numFmtId="0" fontId="12" fillId="0" borderId="5144" applyNumberFormat="0" applyFill="0" applyBorder="0" applyAlignment="0" applyProtection="0">
      <alignment horizontal="center"/>
    </xf>
    <xf numFmtId="186" fontId="146" fillId="3" borderId="5313" applyBorder="0">
      <alignment horizontal="left" vertical="center"/>
    </xf>
    <xf numFmtId="0" fontId="75" fillId="0" borderId="4968" applyNumberFormat="0" applyFont="0" applyFill="0" applyAlignment="0" applyProtection="0"/>
    <xf numFmtId="5" fontId="114" fillId="0" borderId="5086" applyAlignment="0" applyProtection="0"/>
    <xf numFmtId="0" fontId="113" fillId="0" borderId="5144" applyNumberFormat="0" applyFill="0" applyAlignment="0" applyProtection="0"/>
    <xf numFmtId="0" fontId="48" fillId="0" borderId="5087" applyNumberFormat="0" applyFill="0" applyAlignment="0" applyProtection="0"/>
    <xf numFmtId="0" fontId="105" fillId="0" borderId="5087" applyNumberFormat="0" applyFill="0" applyBorder="0" applyAlignment="0" applyProtection="0"/>
    <xf numFmtId="0" fontId="46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222" fontId="79" fillId="0" borderId="5143" applyBorder="0"/>
    <xf numFmtId="0" fontId="101" fillId="0" borderId="5144" applyBorder="0"/>
    <xf numFmtId="4" fontId="223" fillId="53" borderId="5090" applyNumberFormat="0" applyProtection="0">
      <alignment vertical="center"/>
    </xf>
    <xf numFmtId="4" fontId="224" fillId="53" borderId="5090" applyNumberFormat="0" applyProtection="0">
      <alignment vertical="center"/>
    </xf>
    <xf numFmtId="4" fontId="184" fillId="53" borderId="5090" applyNumberFormat="0" applyProtection="0">
      <alignment horizontal="left" vertical="center" indent="1"/>
    </xf>
    <xf numFmtId="0" fontId="225" fillId="53" borderId="5090" applyNumberFormat="0" applyProtection="0">
      <alignment horizontal="left" vertical="top" indent="1"/>
    </xf>
    <xf numFmtId="4" fontId="226" fillId="76" borderId="5090" applyNumberFormat="0" applyProtection="0">
      <alignment horizontal="right" vertical="center"/>
    </xf>
    <xf numFmtId="4" fontId="226" fillId="77" borderId="5090" applyNumberFormat="0" applyProtection="0">
      <alignment horizontal="right" vertical="center"/>
    </xf>
    <xf numFmtId="4" fontId="226" fillId="78" borderId="5090" applyNumberFormat="0" applyProtection="0">
      <alignment horizontal="right" vertical="center"/>
    </xf>
    <xf numFmtId="4" fontId="226" fillId="10" borderId="5090" applyNumberFormat="0" applyProtection="0">
      <alignment horizontal="right" vertical="center"/>
    </xf>
    <xf numFmtId="4" fontId="226" fillId="79" borderId="5090" applyNumberFormat="0" applyProtection="0">
      <alignment horizontal="right" vertical="center"/>
    </xf>
    <xf numFmtId="4" fontId="226" fillId="71" borderId="5090" applyNumberFormat="0" applyProtection="0">
      <alignment horizontal="right" vertical="center"/>
    </xf>
    <xf numFmtId="4" fontId="226" fillId="81" borderId="5090" applyNumberFormat="0" applyProtection="0">
      <alignment horizontal="right" vertical="center"/>
    </xf>
    <xf numFmtId="4" fontId="226" fillId="80" borderId="5090" applyNumberFormat="0" applyProtection="0">
      <alignment horizontal="right" vertical="center"/>
    </xf>
    <xf numFmtId="4" fontId="226" fillId="82" borderId="5090" applyNumberFormat="0" applyProtection="0">
      <alignment horizontal="right" vertical="center"/>
    </xf>
    <xf numFmtId="4" fontId="184" fillId="52" borderId="5090" applyNumberFormat="0" applyProtection="0">
      <alignment horizontal="right" vertical="center"/>
    </xf>
    <xf numFmtId="0" fontId="12" fillId="75" borderId="5090" applyNumberFormat="0" applyProtection="0">
      <alignment horizontal="left" vertical="center" indent="1"/>
    </xf>
    <xf numFmtId="0" fontId="12" fillId="75" borderId="5090" applyNumberFormat="0" applyProtection="0">
      <alignment horizontal="left" vertical="top" indent="1"/>
    </xf>
    <xf numFmtId="0" fontId="12" fillId="84" borderId="5090" applyNumberFormat="0" applyProtection="0">
      <alignment horizontal="left" vertical="center" indent="1"/>
    </xf>
    <xf numFmtId="0" fontId="12" fillId="84" borderId="5090" applyNumberFormat="0" applyProtection="0">
      <alignment horizontal="left" vertical="top" indent="1"/>
    </xf>
    <xf numFmtId="0" fontId="12" fillId="52" borderId="5090" applyNumberFormat="0" applyProtection="0">
      <alignment horizontal="left" vertical="center" indent="1"/>
    </xf>
    <xf numFmtId="0" fontId="12" fillId="52" borderId="5090" applyNumberFormat="0" applyProtection="0">
      <alignment horizontal="left" vertical="top" indent="1"/>
    </xf>
    <xf numFmtId="0" fontId="12" fillId="11" borderId="5090" applyNumberFormat="0" applyProtection="0">
      <alignment horizontal="left" vertical="center" indent="1"/>
    </xf>
    <xf numFmtId="0" fontId="12" fillId="11" borderId="5090" applyNumberFormat="0" applyProtection="0">
      <alignment horizontal="left" vertical="top" indent="1"/>
    </xf>
    <xf numFmtId="4" fontId="226" fillId="11" borderId="5090" applyNumberFormat="0" applyProtection="0">
      <alignment vertical="center"/>
    </xf>
    <xf numFmtId="4" fontId="228" fillId="11" borderId="5090" applyNumberFormat="0" applyProtection="0">
      <alignment vertical="center"/>
    </xf>
    <xf numFmtId="4" fontId="227" fillId="52" borderId="5091" applyNumberFormat="0" applyProtection="0">
      <alignment horizontal="left" vertical="center" indent="1"/>
    </xf>
    <xf numFmtId="0" fontId="136" fillId="14" borderId="5090" applyNumberFormat="0" applyProtection="0">
      <alignment horizontal="left" vertical="top" indent="1"/>
    </xf>
    <xf numFmtId="4" fontId="184" fillId="11" borderId="5090" applyNumberFormat="0" applyProtection="0">
      <alignment horizontal="right" vertical="center"/>
    </xf>
    <xf numFmtId="4" fontId="228" fillId="11" borderId="5090" applyNumberFormat="0" applyProtection="0">
      <alignment horizontal="right" vertical="center"/>
    </xf>
    <xf numFmtId="4" fontId="223" fillId="52" borderId="5090" applyNumberFormat="0" applyProtection="0">
      <alignment horizontal="left" vertical="center" indent="1"/>
    </xf>
    <xf numFmtId="0" fontId="136" fillId="84" borderId="5090" applyNumberFormat="0" applyProtection="0">
      <alignment horizontal="left" vertical="top" indent="1"/>
    </xf>
    <xf numFmtId="4" fontId="229" fillId="84" borderId="5091" applyNumberFormat="0" applyProtection="0">
      <alignment horizontal="left" vertical="center" indent="1"/>
    </xf>
    <xf numFmtId="4" fontId="230" fillId="11" borderId="5090" applyNumberFormat="0" applyProtection="0">
      <alignment horizontal="right" vertical="center"/>
    </xf>
    <xf numFmtId="0" fontId="25" fillId="10" borderId="5151" applyNumberFormat="0" applyProtection="0">
      <alignment horizontal="left" vertical="top"/>
    </xf>
    <xf numFmtId="0" fontId="25" fillId="10" borderId="5152" applyNumberFormat="0" applyProtection="0">
      <alignment horizontal="left" vertical="top"/>
    </xf>
    <xf numFmtId="0" fontId="25" fillId="10" borderId="5153" applyNumberFormat="0" applyProtection="0">
      <alignment horizontal="left" vertical="top"/>
    </xf>
    <xf numFmtId="0" fontId="25" fillId="10" borderId="5154" applyNumberFormat="0" applyProtection="0">
      <alignment horizontal="left" vertical="top"/>
    </xf>
    <xf numFmtId="3" fontId="12" fillId="60" borderId="5092" applyFont="0" applyFill="0" applyBorder="0" applyAlignment="0" applyProtection="0"/>
    <xf numFmtId="4" fontId="12" fillId="60" borderId="5092" applyFont="0" applyFill="0" applyBorder="0" applyAlignment="0" applyProtection="0"/>
    <xf numFmtId="183" fontId="12" fillId="60" borderId="5092" applyFont="0" applyFill="0" applyBorder="0" applyAlignment="0" applyProtection="0"/>
    <xf numFmtId="10" fontId="12" fillId="60" borderId="5092" applyFont="0" applyFill="0" applyBorder="0" applyAlignment="0" applyProtection="0"/>
    <xf numFmtId="9" fontId="12" fillId="60" borderId="5092" applyFont="0" applyFill="0" applyBorder="0" applyAlignment="0" applyProtection="0"/>
    <xf numFmtId="2" fontId="12" fillId="60" borderId="5092" applyFont="0" applyFill="0" applyBorder="0" applyAlignment="0" applyProtection="0"/>
    <xf numFmtId="0" fontId="25" fillId="10" borderId="5088" applyNumberFormat="0" applyProtection="0">
      <alignment horizontal="center" vertical="top"/>
    </xf>
    <xf numFmtId="169" fontId="234" fillId="3" borderId="5088" applyFont="0" applyProtection="0"/>
    <xf numFmtId="169" fontId="234" fillId="10" borderId="5088" applyFont="0" applyProtection="0"/>
    <xf numFmtId="293" fontId="234" fillId="3" borderId="5088" applyFont="0" applyProtection="0"/>
    <xf numFmtId="293" fontId="234" fillId="10" borderId="5088" applyFont="0" applyProtection="0"/>
    <xf numFmtId="293" fontId="234" fillId="10" borderId="5088" applyFont="0" applyProtection="0"/>
    <xf numFmtId="0" fontId="12" fillId="3" borderId="5088" applyNumberFormat="0" applyFont="0" applyAlignment="0" applyProtection="0"/>
    <xf numFmtId="0" fontId="12" fillId="10" borderId="5088" applyNumberFormat="0" applyFont="0" applyAlignment="0" applyProtection="0"/>
    <xf numFmtId="0" fontId="12" fillId="10" borderId="5088" applyNumberFormat="0" applyFont="0" applyProtection="0"/>
    <xf numFmtId="0" fontId="25" fillId="10" borderId="5093" applyNumberFormat="0" applyProtection="0">
      <alignment horizontal="left"/>
    </xf>
    <xf numFmtId="0" fontId="25" fillId="10" borderId="5094" applyNumberFormat="0" applyProtection="0">
      <alignment horizontal="left" vertical="top"/>
    </xf>
    <xf numFmtId="0" fontId="25" fillId="10" borderId="5095" applyNumberFormat="0" applyProtection="0">
      <alignment horizontal="left" vertical="top"/>
    </xf>
    <xf numFmtId="0" fontId="25" fillId="10" borderId="5096" applyNumberFormat="0" applyProtection="0">
      <alignment horizontal="left" vertical="top"/>
    </xf>
    <xf numFmtId="0" fontId="25" fillId="10" borderId="5097" applyNumberFormat="0" applyProtection="0">
      <alignment horizontal="left" vertical="top"/>
    </xf>
    <xf numFmtId="0" fontId="25" fillId="10" borderId="5098" applyNumberFormat="0" applyProtection="0">
      <alignment horizontal="left" vertical="top"/>
    </xf>
    <xf numFmtId="0" fontId="25" fillId="10" borderId="5099" applyNumberFormat="0" applyProtection="0">
      <alignment horizontal="left" vertical="top"/>
    </xf>
    <xf numFmtId="10" fontId="12" fillId="3" borderId="5100" applyNumberFormat="0" applyFont="0" applyFill="0" applyBorder="0" applyAlignment="0">
      <protection locked="0"/>
    </xf>
    <xf numFmtId="0" fontId="12" fillId="0" borderId="5087" applyNumberFormat="0" applyFill="0" applyBorder="0" applyAlignment="0" applyProtection="0"/>
    <xf numFmtId="0" fontId="25" fillId="10" borderId="5088" applyNumberFormat="0" applyProtection="0">
      <alignment horizontal="center" vertical="top"/>
    </xf>
    <xf numFmtId="0" fontId="113" fillId="0" borderId="5253" applyNumberFormat="0" applyFill="0" applyAlignment="0" applyProtection="0"/>
    <xf numFmtId="222" fontId="79" fillId="0" borderId="5264" applyBorder="0"/>
    <xf numFmtId="0" fontId="25" fillId="10" borderId="5260" applyNumberFormat="0" applyProtection="0">
      <alignment horizontal="left" vertical="top"/>
    </xf>
    <xf numFmtId="0" fontId="165" fillId="0" borderId="5265" applyFill="0" applyProtection="0">
      <alignment horizontal="center"/>
    </xf>
    <xf numFmtId="0" fontId="25" fillId="10" borderId="5273" applyNumberFormat="0" applyProtection="0">
      <alignment horizontal="left" vertical="top"/>
    </xf>
    <xf numFmtId="222" fontId="79" fillId="0" borderId="5264" applyBorder="0"/>
    <xf numFmtId="0" fontId="2" fillId="0" borderId="5258" applyNumberFormat="0" applyAlignment="0" applyProtection="0"/>
    <xf numFmtId="0" fontId="25" fillId="10" borderId="5263" applyNumberFormat="0" applyProtection="0">
      <alignment horizontal="left" vertical="top"/>
    </xf>
    <xf numFmtId="0" fontId="48" fillId="0" borderId="5086" applyFont="0" applyFill="0" applyBorder="0" applyAlignment="0" applyProtection="0">
      <alignment horizontal="center"/>
    </xf>
    <xf numFmtId="0" fontId="74" fillId="0" borderId="5086" applyFont="0" applyFill="0" applyBorder="0" applyAlignment="0" applyProtection="0">
      <alignment horizontal="center"/>
    </xf>
    <xf numFmtId="10" fontId="12" fillId="3" borderId="5100" applyNumberFormat="0" applyFont="0" applyFill="0" applyBorder="0" applyAlignment="0">
      <protection locked="0"/>
    </xf>
    <xf numFmtId="0" fontId="12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10" fontId="12" fillId="3" borderId="5100" applyNumberFormat="0" applyFont="0" applyFill="0" applyBorder="0" applyAlignment="0">
      <protection locked="0"/>
    </xf>
    <xf numFmtId="246" fontId="250" fillId="0" borderId="5104" applyFill="0" applyProtection="0">
      <alignment horizontal="center"/>
    </xf>
    <xf numFmtId="246" fontId="249" fillId="0" borderId="5104" applyFill="0" applyProtection="0">
      <alignment horizontal="center"/>
    </xf>
    <xf numFmtId="0" fontId="241" fillId="94" borderId="5104" applyBorder="0" applyProtection="0">
      <alignment horizontal="centerContinuous" vertical="center"/>
    </xf>
    <xf numFmtId="254" fontId="240" fillId="0" borderId="5104" applyBorder="0" applyProtection="0">
      <alignment horizontal="right" vertical="center"/>
    </xf>
    <xf numFmtId="0" fontId="210" fillId="0" borderId="5104" applyNumberFormat="0" applyFill="0" applyBorder="0" applyAlignment="0">
      <protection locked="0"/>
    </xf>
    <xf numFmtId="188" fontId="25" fillId="0" borderId="5103" applyFont="0" applyFill="0" applyBorder="0" applyAlignment="0" applyProtection="0">
      <alignment horizontal="center"/>
    </xf>
    <xf numFmtId="264" fontId="12" fillId="14" borderId="5104" applyFont="0" applyFill="0" applyBorder="0" applyAlignment="0" applyProtection="0">
      <alignment horizontal="right"/>
    </xf>
    <xf numFmtId="0" fontId="166" fillId="0" borderId="5104">
      <alignment horizontal="center"/>
    </xf>
    <xf numFmtId="0" fontId="165" fillId="0" borderId="5104" applyFill="0" applyProtection="0">
      <alignment horizontal="center"/>
    </xf>
    <xf numFmtId="186" fontId="146" fillId="3" borderId="5104" applyBorder="0">
      <alignment horizontal="left" vertical="center"/>
    </xf>
    <xf numFmtId="180" fontId="9" fillId="3" borderId="5104">
      <alignment horizontal="right" vertical="center"/>
    </xf>
    <xf numFmtId="192" fontId="9" fillId="3" borderId="5104">
      <alignment horizontal="right" vertical="center"/>
    </xf>
    <xf numFmtId="248" fontId="46" fillId="0" borderId="5104"/>
    <xf numFmtId="0" fontId="12" fillId="0" borderId="5104" applyNumberFormat="0" applyFill="0" applyBorder="0" applyAlignment="0" applyProtection="0">
      <alignment horizontal="center"/>
    </xf>
    <xf numFmtId="0" fontId="113" fillId="0" borderId="5104" applyNumberFormat="0" applyFill="0" applyAlignment="0" applyProtection="0"/>
    <xf numFmtId="222" fontId="79" fillId="0" borderId="5074" applyBorder="0"/>
    <xf numFmtId="0" fontId="101" fillId="0" borderId="5104" applyBorder="0"/>
    <xf numFmtId="10" fontId="12" fillId="3" borderId="5100" applyNumberFormat="0" applyFont="0" applyFill="0" applyBorder="0" applyAlignment="0">
      <protection locked="0"/>
    </xf>
    <xf numFmtId="1" fontId="154" fillId="65" borderId="4821" applyNumberFormat="0" applyBorder="0" applyAlignment="0">
      <alignment horizontal="centerContinuous" vertical="center"/>
      <protection locked="0"/>
    </xf>
    <xf numFmtId="0" fontId="12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10" fontId="12" fillId="3" borderId="5100" applyNumberFormat="0" applyFont="0" applyFill="0" applyBorder="0" applyAlignment="0">
      <protection locked="0"/>
    </xf>
    <xf numFmtId="246" fontId="250" fillId="0" borderId="5104" applyFill="0" applyProtection="0">
      <alignment horizontal="center"/>
    </xf>
    <xf numFmtId="246" fontId="249" fillId="0" borderId="5104" applyFill="0" applyProtection="0">
      <alignment horizontal="center"/>
    </xf>
    <xf numFmtId="0" fontId="241" fillId="94" borderId="5104" applyBorder="0" applyProtection="0">
      <alignment horizontal="centerContinuous" vertical="center"/>
    </xf>
    <xf numFmtId="254" fontId="240" fillId="0" borderId="5104" applyBorder="0" applyProtection="0">
      <alignment horizontal="right" vertical="center"/>
    </xf>
    <xf numFmtId="0" fontId="12" fillId="0" borderId="5087" applyNumberFormat="0" applyFill="0" applyBorder="0" applyAlignment="0" applyProtection="0"/>
    <xf numFmtId="0" fontId="25" fillId="10" borderId="5099" applyNumberFormat="0" applyProtection="0">
      <alignment horizontal="left" vertical="top"/>
    </xf>
    <xf numFmtId="0" fontId="25" fillId="10" borderId="5098" applyNumberFormat="0" applyProtection="0">
      <alignment horizontal="left" vertical="top"/>
    </xf>
    <xf numFmtId="0" fontId="25" fillId="10" borderId="5097" applyNumberFormat="0" applyProtection="0">
      <alignment horizontal="left" vertical="top"/>
    </xf>
    <xf numFmtId="0" fontId="25" fillId="10" borderId="5096" applyNumberFormat="0" applyProtection="0">
      <alignment horizontal="left" vertical="top"/>
    </xf>
    <xf numFmtId="0" fontId="25" fillId="10" borderId="5095" applyNumberFormat="0" applyProtection="0">
      <alignment horizontal="left" vertical="top"/>
    </xf>
    <xf numFmtId="0" fontId="25" fillId="10" borderId="5094" applyNumberFormat="0" applyProtection="0">
      <alignment horizontal="left" vertical="top"/>
    </xf>
    <xf numFmtId="0" fontId="25" fillId="10" borderId="5093" applyNumberFormat="0" applyProtection="0">
      <alignment horizontal="left"/>
    </xf>
    <xf numFmtId="0" fontId="12" fillId="10" borderId="5088" applyNumberFormat="0" applyFont="0" applyProtection="0"/>
    <xf numFmtId="0" fontId="12" fillId="10" borderId="5088" applyNumberFormat="0" applyFont="0" applyAlignment="0" applyProtection="0"/>
    <xf numFmtId="0" fontId="12" fillId="3" borderId="5088" applyNumberFormat="0" applyFont="0" applyAlignment="0" applyProtection="0"/>
    <xf numFmtId="293" fontId="234" fillId="10" borderId="5088" applyFont="0" applyProtection="0"/>
    <xf numFmtId="293" fontId="234" fillId="3" borderId="5088" applyFont="0" applyProtection="0"/>
    <xf numFmtId="293" fontId="234" fillId="10" borderId="5088" applyFont="0" applyProtection="0"/>
    <xf numFmtId="169" fontId="234" fillId="10" borderId="5088" applyFont="0" applyProtection="0"/>
    <xf numFmtId="169" fontId="234" fillId="3" borderId="5088" applyFont="0" applyProtection="0"/>
    <xf numFmtId="0" fontId="25" fillId="10" borderId="5088" applyNumberFormat="0" applyProtection="0">
      <alignment horizontal="center" vertical="top"/>
    </xf>
    <xf numFmtId="0" fontId="25" fillId="10" borderId="5088" applyNumberFormat="0" applyProtection="0">
      <alignment horizontal="center" vertical="top"/>
    </xf>
    <xf numFmtId="2" fontId="12" fillId="60" borderId="5092" applyFont="0" applyFill="0" applyBorder="0" applyAlignment="0" applyProtection="0"/>
    <xf numFmtId="9" fontId="12" fillId="60" borderId="5092" applyFont="0" applyFill="0" applyBorder="0" applyAlignment="0" applyProtection="0"/>
    <xf numFmtId="10" fontId="12" fillId="60" borderId="5092" applyFont="0" applyFill="0" applyBorder="0" applyAlignment="0" applyProtection="0"/>
    <xf numFmtId="183" fontId="12" fillId="60" borderId="5092" applyFont="0" applyFill="0" applyBorder="0" applyAlignment="0" applyProtection="0"/>
    <xf numFmtId="4" fontId="12" fillId="60" borderId="5092" applyFont="0" applyFill="0" applyBorder="0" applyAlignment="0" applyProtection="0"/>
    <xf numFmtId="3" fontId="12" fillId="60" borderId="5092" applyFont="0" applyFill="0" applyBorder="0" applyAlignment="0" applyProtection="0"/>
    <xf numFmtId="4" fontId="230" fillId="11" borderId="5090" applyNumberFormat="0" applyProtection="0">
      <alignment horizontal="right" vertical="center"/>
    </xf>
    <xf numFmtId="4" fontId="229" fillId="84" borderId="5091" applyNumberFormat="0" applyProtection="0">
      <alignment horizontal="left" vertical="center" indent="1"/>
    </xf>
    <xf numFmtId="0" fontId="136" fillId="84" borderId="5090" applyNumberFormat="0" applyProtection="0">
      <alignment horizontal="left" vertical="top" indent="1"/>
    </xf>
    <xf numFmtId="4" fontId="223" fillId="52" borderId="5090" applyNumberFormat="0" applyProtection="0">
      <alignment horizontal="left" vertical="center" indent="1"/>
    </xf>
    <xf numFmtId="4" fontId="228" fillId="11" borderId="5090" applyNumberFormat="0" applyProtection="0">
      <alignment horizontal="right" vertical="center"/>
    </xf>
    <xf numFmtId="4" fontId="184" fillId="11" borderId="5090" applyNumberFormat="0" applyProtection="0">
      <alignment horizontal="right" vertical="center"/>
    </xf>
    <xf numFmtId="0" fontId="136" fillId="14" borderId="5090" applyNumberFormat="0" applyProtection="0">
      <alignment horizontal="left" vertical="top" indent="1"/>
    </xf>
    <xf numFmtId="4" fontId="227" fillId="52" borderId="5091" applyNumberFormat="0" applyProtection="0">
      <alignment horizontal="left" vertical="center" indent="1"/>
    </xf>
    <xf numFmtId="4" fontId="228" fillId="11" borderId="5090" applyNumberFormat="0" applyProtection="0">
      <alignment vertical="center"/>
    </xf>
    <xf numFmtId="4" fontId="226" fillId="11" borderId="5090" applyNumberFormat="0" applyProtection="0">
      <alignment vertical="center"/>
    </xf>
    <xf numFmtId="0" fontId="12" fillId="11" borderId="5090" applyNumberFormat="0" applyProtection="0">
      <alignment horizontal="left" vertical="top" indent="1"/>
    </xf>
    <xf numFmtId="0" fontId="12" fillId="11" borderId="5090" applyNumberFormat="0" applyProtection="0">
      <alignment horizontal="left" vertical="center" indent="1"/>
    </xf>
    <xf numFmtId="0" fontId="12" fillId="52" borderId="5090" applyNumberFormat="0" applyProtection="0">
      <alignment horizontal="left" vertical="top" indent="1"/>
    </xf>
    <xf numFmtId="0" fontId="12" fillId="52" borderId="5090" applyNumberFormat="0" applyProtection="0">
      <alignment horizontal="left" vertical="center" indent="1"/>
    </xf>
    <xf numFmtId="0" fontId="12" fillId="84" borderId="5090" applyNumberFormat="0" applyProtection="0">
      <alignment horizontal="left" vertical="top" indent="1"/>
    </xf>
    <xf numFmtId="0" fontId="12" fillId="84" borderId="5090" applyNumberFormat="0" applyProtection="0">
      <alignment horizontal="left" vertical="center" indent="1"/>
    </xf>
    <xf numFmtId="0" fontId="12" fillId="75" borderId="5090" applyNumberFormat="0" applyProtection="0">
      <alignment horizontal="left" vertical="top" indent="1"/>
    </xf>
    <xf numFmtId="0" fontId="12" fillId="75" borderId="5090" applyNumberFormat="0" applyProtection="0">
      <alignment horizontal="left" vertical="center" indent="1"/>
    </xf>
    <xf numFmtId="4" fontId="184" fillId="52" borderId="5090" applyNumberFormat="0" applyProtection="0">
      <alignment horizontal="right" vertical="center"/>
    </xf>
    <xf numFmtId="4" fontId="226" fillId="82" borderId="5090" applyNumberFormat="0" applyProtection="0">
      <alignment horizontal="right" vertical="center"/>
    </xf>
    <xf numFmtId="4" fontId="226" fillId="81" borderId="5090" applyNumberFormat="0" applyProtection="0">
      <alignment horizontal="right" vertical="center"/>
    </xf>
    <xf numFmtId="4" fontId="226" fillId="80" borderId="5090" applyNumberFormat="0" applyProtection="0">
      <alignment horizontal="right" vertical="center"/>
    </xf>
    <xf numFmtId="4" fontId="226" fillId="71" borderId="5090" applyNumberFormat="0" applyProtection="0">
      <alignment horizontal="right" vertical="center"/>
    </xf>
    <xf numFmtId="4" fontId="226" fillId="79" borderId="5090" applyNumberFormat="0" applyProtection="0">
      <alignment horizontal="right" vertical="center"/>
    </xf>
    <xf numFmtId="4" fontId="226" fillId="10" borderId="5090" applyNumberFormat="0" applyProtection="0">
      <alignment horizontal="right" vertical="center"/>
    </xf>
    <xf numFmtId="4" fontId="226" fillId="78" borderId="5090" applyNumberFormat="0" applyProtection="0">
      <alignment horizontal="right" vertical="center"/>
    </xf>
    <xf numFmtId="4" fontId="226" fillId="77" borderId="5090" applyNumberFormat="0" applyProtection="0">
      <alignment horizontal="right" vertical="center"/>
    </xf>
    <xf numFmtId="4" fontId="226" fillId="76" borderId="5090" applyNumberFormat="0" applyProtection="0">
      <alignment horizontal="right" vertical="center"/>
    </xf>
    <xf numFmtId="0" fontId="225" fillId="53" borderId="5090" applyNumberFormat="0" applyProtection="0">
      <alignment horizontal="left" vertical="top" indent="1"/>
    </xf>
    <xf numFmtId="4" fontId="184" fillId="53" borderId="5090" applyNumberFormat="0" applyProtection="0">
      <alignment horizontal="left" vertical="center" indent="1"/>
    </xf>
    <xf numFmtId="4" fontId="224" fillId="53" borderId="5090" applyNumberFormat="0" applyProtection="0">
      <alignment vertical="center"/>
    </xf>
    <xf numFmtId="4" fontId="223" fillId="53" borderId="5090" applyNumberFormat="0" applyProtection="0">
      <alignment vertical="center"/>
    </xf>
    <xf numFmtId="0" fontId="210" fillId="0" borderId="5104" applyNumberFormat="0" applyFill="0" applyBorder="0" applyAlignment="0">
      <protection locked="0"/>
    </xf>
    <xf numFmtId="188" fontId="25" fillId="0" borderId="5103" applyFont="0" applyFill="0" applyBorder="0" applyAlignment="0" applyProtection="0">
      <alignment horizontal="center"/>
    </xf>
    <xf numFmtId="0" fontId="184" fillId="0" borderId="5089" applyAlignment="0">
      <alignment horizontal="left" wrapText="1"/>
    </xf>
    <xf numFmtId="264" fontId="12" fillId="14" borderId="5104" applyFont="0" applyFill="0" applyBorder="0" applyAlignment="0" applyProtection="0">
      <alignment horizontal="right"/>
    </xf>
    <xf numFmtId="0" fontId="25" fillId="69" borderId="5088">
      <alignment horizontal="left" vertical="center" wrapText="1"/>
    </xf>
    <xf numFmtId="0" fontId="166" fillId="0" borderId="5104">
      <alignment horizontal="center"/>
    </xf>
    <xf numFmtId="0" fontId="165" fillId="0" borderId="5104" applyFill="0" applyProtection="0">
      <alignment horizontal="center"/>
    </xf>
    <xf numFmtId="0" fontId="159" fillId="67" borderId="5088"/>
    <xf numFmtId="0" fontId="159" fillId="0" borderId="5088"/>
    <xf numFmtId="0" fontId="135" fillId="0" borderId="5088"/>
    <xf numFmtId="0" fontId="135" fillId="0" borderId="5088"/>
    <xf numFmtId="186" fontId="48" fillId="3" borderId="5086">
      <alignment vertical="center"/>
    </xf>
    <xf numFmtId="186" fontId="146" fillId="3" borderId="5104" applyBorder="0">
      <alignment horizontal="left" vertical="center"/>
    </xf>
    <xf numFmtId="180" fontId="9" fillId="3" borderId="5104">
      <alignment horizontal="right" vertical="center"/>
    </xf>
    <xf numFmtId="192" fontId="9" fillId="3" borderId="5104">
      <alignment horizontal="right" vertical="center"/>
    </xf>
    <xf numFmtId="182" fontId="145" fillId="3" borderId="5086">
      <alignment horizontal="right" vertical="center"/>
    </xf>
    <xf numFmtId="0" fontId="48" fillId="0" borderId="5086" applyFont="0" applyFill="0" applyBorder="0" applyAlignment="0" applyProtection="0">
      <alignment horizontal="center"/>
    </xf>
    <xf numFmtId="0" fontId="74" fillId="0" borderId="5086" applyFont="0" applyFill="0" applyBorder="0" applyAlignment="0" applyProtection="0">
      <alignment horizontal="center"/>
    </xf>
    <xf numFmtId="0" fontId="12" fillId="0" borderId="5104" applyNumberFormat="0" applyFill="0" applyBorder="0" applyAlignment="0" applyProtection="0">
      <alignment horizontal="center"/>
    </xf>
    <xf numFmtId="180" fontId="9" fillId="3" borderId="5313">
      <alignment horizontal="right" vertical="center"/>
    </xf>
    <xf numFmtId="5" fontId="114" fillId="0" borderId="5086" applyAlignment="0" applyProtection="0"/>
    <xf numFmtId="0" fontId="113" fillId="0" borderId="5104" applyNumberFormat="0" applyFill="0" applyAlignment="0" applyProtection="0"/>
    <xf numFmtId="0" fontId="48" fillId="0" borderId="5087" applyNumberFormat="0" applyFill="0" applyAlignment="0" applyProtection="0"/>
    <xf numFmtId="0" fontId="105" fillId="0" borderId="5087" applyNumberFormat="0" applyFill="0" applyBorder="0" applyAlignment="0" applyProtection="0"/>
    <xf numFmtId="0" fontId="46" fillId="0" borderId="5087" applyNumberFormat="0" applyFill="0" applyBorder="0" applyAlignment="0" applyProtection="0"/>
    <xf numFmtId="0" fontId="12" fillId="0" borderId="5087" applyNumberFormat="0" applyFill="0" applyBorder="0" applyAlignment="0" applyProtection="0"/>
    <xf numFmtId="222" fontId="79" fillId="0" borderId="5074" applyBorder="0"/>
    <xf numFmtId="0" fontId="101" fillId="0" borderId="5104" applyBorder="0"/>
    <xf numFmtId="10" fontId="12" fillId="3" borderId="5100" applyNumberFormat="0" applyFont="0" applyFill="0" applyBorder="0" applyAlignment="0">
      <protection locked="0"/>
    </xf>
    <xf numFmtId="248" fontId="46" fillId="0" borderId="5104"/>
    <xf numFmtId="10" fontId="12" fillId="3" borderId="5100" applyNumberFormat="0" applyFont="0" applyFill="0" applyBorder="0" applyAlignment="0">
      <protection locked="0"/>
    </xf>
    <xf numFmtId="10" fontId="12" fillId="3" borderId="5100" applyNumberFormat="0" applyFont="0" applyFill="0" applyBorder="0" applyAlignment="0">
      <protection locked="0"/>
    </xf>
    <xf numFmtId="246" fontId="250" fillId="0" borderId="5104" applyFill="0" applyProtection="0">
      <alignment horizontal="center"/>
    </xf>
    <xf numFmtId="246" fontId="249" fillId="0" borderId="5104" applyFill="0" applyProtection="0">
      <alignment horizontal="center"/>
    </xf>
    <xf numFmtId="0" fontId="241" fillId="94" borderId="5104" applyBorder="0" applyProtection="0">
      <alignment horizontal="centerContinuous" vertical="center"/>
    </xf>
    <xf numFmtId="254" fontId="240" fillId="0" borderId="5104" applyBorder="0" applyProtection="0">
      <alignment horizontal="right" vertical="center"/>
    </xf>
    <xf numFmtId="0" fontId="210" fillId="0" borderId="5104" applyNumberFormat="0" applyFill="0" applyBorder="0" applyAlignment="0">
      <protection locked="0"/>
    </xf>
    <xf numFmtId="188" fontId="25" fillId="0" borderId="5103" applyFont="0" applyFill="0" applyBorder="0" applyAlignment="0" applyProtection="0">
      <alignment horizontal="center"/>
    </xf>
    <xf numFmtId="264" fontId="12" fillId="14" borderId="5104" applyFont="0" applyFill="0" applyBorder="0" applyAlignment="0" applyProtection="0">
      <alignment horizontal="right"/>
    </xf>
    <xf numFmtId="0" fontId="166" fillId="0" borderId="5104">
      <alignment horizontal="center"/>
    </xf>
    <xf numFmtId="0" fontId="165" fillId="0" borderId="5104" applyFill="0" applyProtection="0">
      <alignment horizontal="center"/>
    </xf>
    <xf numFmtId="186" fontId="146" fillId="3" borderId="5104" applyBorder="0">
      <alignment horizontal="left" vertical="center"/>
    </xf>
    <xf numFmtId="180" fontId="9" fillId="3" borderId="5104">
      <alignment horizontal="right" vertical="center"/>
    </xf>
    <xf numFmtId="192" fontId="9" fillId="3" borderId="5104">
      <alignment horizontal="right" vertical="center"/>
    </xf>
    <xf numFmtId="248" fontId="46" fillId="0" borderId="5104"/>
    <xf numFmtId="0" fontId="12" fillId="0" borderId="5104" applyNumberFormat="0" applyFill="0" applyBorder="0" applyAlignment="0" applyProtection="0">
      <alignment horizontal="center"/>
    </xf>
    <xf numFmtId="0" fontId="113" fillId="0" borderId="5104" applyNumberFormat="0" applyFill="0" applyAlignment="0" applyProtection="0"/>
    <xf numFmtId="222" fontId="79" fillId="0" borderId="5074" applyBorder="0"/>
    <xf numFmtId="0" fontId="101" fillId="0" borderId="5104" applyBorder="0"/>
    <xf numFmtId="10" fontId="12" fillId="3" borderId="5100" applyNumberFormat="0" applyFont="0" applyFill="0" applyBorder="0" applyAlignment="0">
      <protection locked="0"/>
    </xf>
    <xf numFmtId="246" fontId="250" fillId="0" borderId="5253" applyFill="0" applyProtection="0">
      <alignment horizontal="center"/>
    </xf>
    <xf numFmtId="0" fontId="166" fillId="0" borderId="5325">
      <alignment horizontal="center"/>
    </xf>
    <xf numFmtId="222" fontId="79" fillId="0" borderId="5143" applyBorder="0"/>
    <xf numFmtId="222" fontId="79" fillId="0" borderId="5156" applyBorder="0"/>
    <xf numFmtId="0" fontId="101" fillId="0" borderId="5157" applyBorder="0"/>
    <xf numFmtId="222" fontId="79" fillId="0" borderId="5156" applyBorder="0"/>
    <xf numFmtId="0" fontId="113" fillId="0" borderId="5157" applyNumberFormat="0" applyFill="0" applyAlignment="0" applyProtection="0"/>
    <xf numFmtId="0" fontId="12" fillId="0" borderId="5157" applyNumberFormat="0" applyFill="0" applyBorder="0" applyAlignment="0" applyProtection="0">
      <alignment horizontal="center"/>
    </xf>
    <xf numFmtId="248" fontId="46" fillId="0" borderId="5157"/>
    <xf numFmtId="192" fontId="9" fillId="3" borderId="5157">
      <alignment horizontal="right" vertical="center"/>
    </xf>
    <xf numFmtId="180" fontId="9" fillId="3" borderId="5157">
      <alignment horizontal="right" vertical="center"/>
    </xf>
    <xf numFmtId="186" fontId="146" fillId="3" borderId="5157" applyBorder="0">
      <alignment horizontal="left" vertical="center"/>
    </xf>
    <xf numFmtId="0" fontId="165" fillId="0" borderId="5157" applyFill="0" applyProtection="0">
      <alignment horizontal="center"/>
    </xf>
    <xf numFmtId="0" fontId="166" fillId="0" borderId="5157">
      <alignment horizontal="center"/>
    </xf>
    <xf numFmtId="264" fontId="12" fillId="14" borderId="5157" applyFont="0" applyFill="0" applyBorder="0" applyAlignment="0" applyProtection="0">
      <alignment horizontal="right"/>
    </xf>
    <xf numFmtId="0" fontId="210" fillId="0" borderId="5157" applyNumberFormat="0" applyFill="0" applyBorder="0" applyAlignment="0">
      <protection locked="0"/>
    </xf>
    <xf numFmtId="254" fontId="240" fillId="0" borderId="5157" applyBorder="0" applyProtection="0">
      <alignment horizontal="right" vertical="center"/>
    </xf>
    <xf numFmtId="0" fontId="241" fillId="94" borderId="5157" applyBorder="0" applyProtection="0">
      <alignment horizontal="centerContinuous" vertical="center"/>
    </xf>
    <xf numFmtId="246" fontId="249" fillId="0" borderId="5157" applyFill="0" applyProtection="0">
      <alignment horizontal="center"/>
    </xf>
    <xf numFmtId="246" fontId="250" fillId="0" borderId="5157" applyFill="0" applyProtection="0">
      <alignment horizontal="center"/>
    </xf>
    <xf numFmtId="0" fontId="78" fillId="14" borderId="5159" applyFont="0" applyFill="0" applyBorder="0" applyAlignment="0" applyProtection="0"/>
    <xf numFmtId="0" fontId="25" fillId="10" borderId="5167" applyNumberFormat="0" applyProtection="0">
      <alignment horizontal="left" vertical="top"/>
    </xf>
    <xf numFmtId="0" fontId="25" fillId="10" borderId="5166" applyNumberFormat="0" applyProtection="0">
      <alignment horizontal="left" vertical="top"/>
    </xf>
    <xf numFmtId="0" fontId="25" fillId="10" borderId="5165" applyNumberFormat="0" applyProtection="0">
      <alignment horizontal="left" vertical="top"/>
    </xf>
    <xf numFmtId="0" fontId="25" fillId="10" borderId="5164" applyNumberFormat="0" applyProtection="0">
      <alignment horizontal="left" vertical="top"/>
    </xf>
    <xf numFmtId="0" fontId="214" fillId="0" borderId="5163" applyNumberFormat="0" applyFont="0" applyFill="0" applyAlignment="0" applyProtection="0"/>
    <xf numFmtId="0" fontId="2" fillId="0" borderId="5162" applyNumberFormat="0" applyAlignment="0" applyProtection="0"/>
    <xf numFmtId="186" fontId="140" fillId="3" borderId="5161">
      <alignment horizontal="center" vertical="center"/>
    </xf>
    <xf numFmtId="186" fontId="146" fillId="3" borderId="5160">
      <alignment horizontal="left"/>
    </xf>
    <xf numFmtId="0" fontId="75" fillId="0" borderId="5158" applyNumberFormat="0" applyFont="0" applyFill="0" applyAlignment="0" applyProtection="0"/>
    <xf numFmtId="222" fontId="79" fillId="0" borderId="5168" applyBorder="0"/>
    <xf numFmtId="0" fontId="101" fillId="0" borderId="5169" applyBorder="0"/>
    <xf numFmtId="222" fontId="79" fillId="0" borderId="5168" applyBorder="0"/>
    <xf numFmtId="0" fontId="113" fillId="0" borderId="5169" applyNumberFormat="0" applyFill="0" applyAlignment="0" applyProtection="0"/>
    <xf numFmtId="0" fontId="12" fillId="0" borderId="5169" applyNumberFormat="0" applyFill="0" applyBorder="0" applyAlignment="0" applyProtection="0">
      <alignment horizontal="center"/>
    </xf>
    <xf numFmtId="248" fontId="46" fillId="0" borderId="5169"/>
    <xf numFmtId="192" fontId="9" fillId="3" borderId="5169">
      <alignment horizontal="right" vertical="center"/>
    </xf>
    <xf numFmtId="180" fontId="9" fillId="3" borderId="5169">
      <alignment horizontal="right" vertical="center"/>
    </xf>
    <xf numFmtId="186" fontId="146" fillId="3" borderId="5169" applyBorder="0">
      <alignment horizontal="left" vertical="center"/>
    </xf>
    <xf numFmtId="0" fontId="165" fillId="0" borderId="5169" applyFill="0" applyProtection="0">
      <alignment horizontal="center"/>
    </xf>
    <xf numFmtId="0" fontId="166" fillId="0" borderId="5169">
      <alignment horizontal="center"/>
    </xf>
    <xf numFmtId="264" fontId="12" fillId="14" borderId="5169" applyFont="0" applyFill="0" applyBorder="0" applyAlignment="0" applyProtection="0">
      <alignment horizontal="right"/>
    </xf>
    <xf numFmtId="0" fontId="210" fillId="0" borderId="5169" applyNumberFormat="0" applyFill="0" applyBorder="0" applyAlignment="0">
      <protection locked="0"/>
    </xf>
    <xf numFmtId="254" fontId="240" fillId="0" borderId="5169" applyBorder="0" applyProtection="0">
      <alignment horizontal="right" vertical="center"/>
    </xf>
    <xf numFmtId="0" fontId="241" fillId="94" borderId="5169" applyBorder="0" applyProtection="0">
      <alignment horizontal="centerContinuous" vertical="center"/>
    </xf>
    <xf numFmtId="246" fontId="249" fillId="0" borderId="5169" applyFill="0" applyProtection="0">
      <alignment horizontal="center"/>
    </xf>
    <xf numFmtId="246" fontId="250" fillId="0" borderId="5169" applyFill="0" applyProtection="0">
      <alignment horizontal="center"/>
    </xf>
    <xf numFmtId="186" fontId="146" fillId="3" borderId="5172">
      <alignment horizontal="left"/>
    </xf>
    <xf numFmtId="0" fontId="75" fillId="0" borderId="5170" applyNumberFormat="0" applyFont="0" applyFill="0" applyAlignment="0" applyProtection="0"/>
    <xf numFmtId="0" fontId="113" fillId="0" borderId="5253" applyNumberFormat="0" applyFill="0" applyAlignment="0" applyProtection="0"/>
    <xf numFmtId="264" fontId="12" fillId="14" borderId="5253" applyFont="0" applyFill="0" applyBorder="0" applyAlignment="0" applyProtection="0">
      <alignment horizontal="right"/>
    </xf>
    <xf numFmtId="246" fontId="249" fillId="0" borderId="5253" applyFill="0" applyProtection="0">
      <alignment horizontal="center"/>
    </xf>
    <xf numFmtId="0" fontId="25" fillId="10" borderId="5179" applyNumberFormat="0" applyProtection="0">
      <alignment horizontal="left" vertical="top"/>
    </xf>
    <xf numFmtId="0" fontId="25" fillId="10" borderId="5177" applyNumberFormat="0" applyProtection="0">
      <alignment horizontal="left" vertical="top"/>
    </xf>
    <xf numFmtId="0" fontId="25" fillId="10" borderId="5178" applyNumberFormat="0" applyProtection="0">
      <alignment horizontal="left" vertical="top"/>
    </xf>
    <xf numFmtId="0" fontId="25" fillId="10" borderId="5176" applyNumberFormat="0" applyProtection="0">
      <alignment horizontal="left" vertical="top"/>
    </xf>
    <xf numFmtId="0" fontId="25" fillId="10" borderId="5179" applyNumberFormat="0" applyProtection="0">
      <alignment horizontal="left" vertical="top"/>
    </xf>
    <xf numFmtId="0" fontId="25" fillId="10" borderId="5178" applyNumberFormat="0" applyProtection="0">
      <alignment horizontal="left" vertical="top"/>
    </xf>
    <xf numFmtId="0" fontId="25" fillId="10" borderId="5177" applyNumberFormat="0" applyProtection="0">
      <alignment horizontal="left" vertical="top"/>
    </xf>
    <xf numFmtId="0" fontId="25" fillId="10" borderId="5176" applyNumberFormat="0" applyProtection="0">
      <alignment horizontal="left" vertical="top"/>
    </xf>
    <xf numFmtId="0" fontId="214" fillId="0" borderId="5175" applyNumberFormat="0" applyFont="0" applyFill="0" applyAlignment="0" applyProtection="0"/>
    <xf numFmtId="0" fontId="2" fillId="0" borderId="5174" applyNumberFormat="0" applyAlignment="0" applyProtection="0"/>
    <xf numFmtId="186" fontId="140" fillId="3" borderId="5173">
      <alignment horizontal="center" vertical="center"/>
    </xf>
    <xf numFmtId="186" fontId="140" fillId="3" borderId="5185">
      <alignment horizontal="center" vertical="center"/>
    </xf>
    <xf numFmtId="0" fontId="25" fillId="10" borderId="5188" applyNumberFormat="0" applyProtection="0">
      <alignment horizontal="left" vertical="top"/>
    </xf>
    <xf numFmtId="0" fontId="12" fillId="0" borderId="5253" applyNumberFormat="0" applyFill="0" applyBorder="0" applyAlignment="0" applyProtection="0">
      <alignment horizontal="center"/>
    </xf>
    <xf numFmtId="0" fontId="25" fillId="10" borderId="5250" applyNumberFormat="0" applyProtection="0">
      <alignment horizontal="left" vertical="top"/>
    </xf>
    <xf numFmtId="222" fontId="79" fillId="0" borderId="5240" applyBorder="0"/>
    <xf numFmtId="0" fontId="78" fillId="14" borderId="5243" applyFont="0" applyFill="0" applyBorder="0" applyAlignment="0" applyProtection="0"/>
    <xf numFmtId="222" fontId="79" fillId="0" borderId="5252" applyBorder="0"/>
    <xf numFmtId="0" fontId="101" fillId="0" borderId="5253" applyBorder="0"/>
    <xf numFmtId="222" fontId="79" fillId="0" borderId="5252" applyBorder="0"/>
    <xf numFmtId="248" fontId="46" fillId="0" borderId="5253"/>
    <xf numFmtId="192" fontId="9" fillId="3" borderId="5253">
      <alignment horizontal="right" vertical="center"/>
    </xf>
    <xf numFmtId="180" fontId="9" fillId="3" borderId="5253">
      <alignment horizontal="right" vertical="center"/>
    </xf>
    <xf numFmtId="186" fontId="146" fillId="3" borderId="5253" applyBorder="0">
      <alignment horizontal="left" vertical="center"/>
    </xf>
    <xf numFmtId="0" fontId="165" fillId="0" borderId="5253" applyFill="0" applyProtection="0">
      <alignment horizontal="center"/>
    </xf>
    <xf numFmtId="0" fontId="210" fillId="0" borderId="5253" applyNumberFormat="0" applyFill="0" applyBorder="0" applyAlignment="0">
      <protection locked="0"/>
    </xf>
    <xf numFmtId="254" fontId="240" fillId="0" borderId="5253" applyBorder="0" applyProtection="0">
      <alignment horizontal="right" vertical="center"/>
    </xf>
    <xf numFmtId="246" fontId="250" fillId="0" borderId="5253" applyFill="0" applyProtection="0">
      <alignment horizontal="center"/>
    </xf>
    <xf numFmtId="222" fontId="79" fillId="0" borderId="5192" applyBorder="0"/>
    <xf numFmtId="0" fontId="25" fillId="10" borderId="5189" applyNumberFormat="0" applyProtection="0">
      <alignment horizontal="left" vertical="top"/>
    </xf>
    <xf numFmtId="0" fontId="25" fillId="10" borderId="5191" applyNumberFormat="0" applyProtection="0">
      <alignment horizontal="left" vertical="top"/>
    </xf>
    <xf numFmtId="0" fontId="25" fillId="10" borderId="5188" applyNumberFormat="0" applyProtection="0">
      <alignment horizontal="left" vertical="top"/>
    </xf>
    <xf numFmtId="0" fontId="25" fillId="10" borderId="5189" applyNumberFormat="0" applyProtection="0">
      <alignment horizontal="left" vertical="top"/>
    </xf>
    <xf numFmtId="0" fontId="25" fillId="10" borderId="5190" applyNumberFormat="0" applyProtection="0">
      <alignment horizontal="left" vertical="top"/>
    </xf>
    <xf numFmtId="0" fontId="75" fillId="0" borderId="5194" applyNumberFormat="0" applyFont="0" applyFill="0" applyAlignment="0" applyProtection="0"/>
    <xf numFmtId="0" fontId="101" fillId="0" borderId="5205" applyBorder="0"/>
    <xf numFmtId="222" fontId="79" fillId="0" borderId="5204" applyBorder="0"/>
    <xf numFmtId="0" fontId="113" fillId="0" borderId="5205" applyNumberFormat="0" applyFill="0" applyAlignment="0" applyProtection="0"/>
    <xf numFmtId="0" fontId="12" fillId="0" borderId="5205" applyNumberFormat="0" applyFill="0" applyBorder="0" applyAlignment="0" applyProtection="0">
      <alignment horizontal="center"/>
    </xf>
    <xf numFmtId="248" fontId="46" fillId="0" borderId="5205"/>
    <xf numFmtId="192" fontId="9" fillId="3" borderId="5205">
      <alignment horizontal="right" vertical="center"/>
    </xf>
    <xf numFmtId="180" fontId="9" fillId="3" borderId="5205">
      <alignment horizontal="right" vertical="center"/>
    </xf>
    <xf numFmtId="186" fontId="146" fillId="3" borderId="5205" applyBorder="0">
      <alignment horizontal="left" vertical="center"/>
    </xf>
    <xf numFmtId="0" fontId="166" fillId="0" borderId="5205">
      <alignment horizontal="center"/>
    </xf>
    <xf numFmtId="0" fontId="210" fillId="0" borderId="5205" applyNumberFormat="0" applyFill="0" applyBorder="0" applyAlignment="0">
      <protection locked="0"/>
    </xf>
    <xf numFmtId="264" fontId="12" fillId="14" borderId="5205" applyFont="0" applyFill="0" applyBorder="0" applyAlignment="0" applyProtection="0">
      <alignment horizontal="right"/>
    </xf>
    <xf numFmtId="246" fontId="249" fillId="0" borderId="5205" applyFill="0" applyProtection="0">
      <alignment horizontal="center"/>
    </xf>
    <xf numFmtId="246" fontId="250" fillId="0" borderId="5205" applyFill="0" applyProtection="0">
      <alignment horizontal="center"/>
    </xf>
    <xf numFmtId="246" fontId="250" fillId="0" borderId="5229" applyFill="0" applyProtection="0">
      <alignment horizontal="center"/>
    </xf>
    <xf numFmtId="246" fontId="249" fillId="0" borderId="5229" applyFill="0" applyProtection="0">
      <alignment horizontal="center"/>
    </xf>
    <xf numFmtId="254" fontId="240" fillId="0" borderId="5229" applyBorder="0" applyProtection="0">
      <alignment horizontal="right" vertical="center"/>
    </xf>
    <xf numFmtId="264" fontId="12" fillId="14" borderId="5229" applyFont="0" applyFill="0" applyBorder="0" applyAlignment="0" applyProtection="0">
      <alignment horizontal="right"/>
    </xf>
    <xf numFmtId="0" fontId="165" fillId="0" borderId="5229" applyFill="0" applyProtection="0">
      <alignment horizontal="center"/>
    </xf>
    <xf numFmtId="180" fontId="9" fillId="3" borderId="5229">
      <alignment horizontal="right" vertical="center"/>
    </xf>
    <xf numFmtId="0" fontId="12" fillId="0" borderId="5229" applyNumberFormat="0" applyFill="0" applyBorder="0" applyAlignment="0" applyProtection="0">
      <alignment horizontal="center"/>
    </xf>
    <xf numFmtId="0" fontId="101" fillId="0" borderId="5229" applyBorder="0"/>
    <xf numFmtId="222" fontId="79" fillId="0" borderId="5228" applyBorder="0"/>
    <xf numFmtId="0" fontId="75" fillId="0" borderId="5218" applyNumberFormat="0" applyFont="0" applyFill="0" applyAlignment="0" applyProtection="0"/>
    <xf numFmtId="0" fontId="2" fillId="0" borderId="5222" applyNumberFormat="0" applyAlignment="0" applyProtection="0"/>
    <xf numFmtId="0" fontId="25" fillId="10" borderId="5224" applyNumberFormat="0" applyProtection="0">
      <alignment horizontal="left" vertical="top"/>
    </xf>
    <xf numFmtId="0" fontId="25" fillId="10" borderId="5227" applyNumberFormat="0" applyProtection="0">
      <alignment horizontal="left" vertical="top"/>
    </xf>
    <xf numFmtId="222" fontId="79" fillId="0" borderId="5216" applyBorder="0"/>
    <xf numFmtId="0" fontId="25" fillId="10" borderId="5202" applyNumberFormat="0" applyProtection="0">
      <alignment horizontal="left" vertical="top"/>
    </xf>
    <xf numFmtId="0" fontId="25" fillId="10" borderId="5200" applyNumberFormat="0" applyProtection="0">
      <alignment horizontal="left" vertical="top"/>
    </xf>
    <xf numFmtId="0" fontId="214" fillId="0" borderId="5199" applyNumberFormat="0" applyFont="0" applyFill="0" applyAlignment="0" applyProtection="0"/>
    <xf numFmtId="186" fontId="146" fillId="3" borderId="5196">
      <alignment horizontal="left"/>
    </xf>
    <xf numFmtId="222" fontId="79" fillId="0" borderId="5204" applyBorder="0"/>
    <xf numFmtId="0" fontId="101" fillId="0" borderId="5104" applyBorder="0"/>
    <xf numFmtId="0" fontId="113" fillId="0" borderId="5104" applyNumberFormat="0" applyFill="0" applyAlignment="0" applyProtection="0"/>
    <xf numFmtId="0" fontId="12" fillId="0" borderId="5104" applyNumberFormat="0" applyFill="0" applyBorder="0" applyAlignment="0" applyProtection="0">
      <alignment horizontal="center"/>
    </xf>
    <xf numFmtId="248" fontId="46" fillId="0" borderId="5104"/>
    <xf numFmtId="192" fontId="9" fillId="3" borderId="5104">
      <alignment horizontal="right" vertical="center"/>
    </xf>
    <xf numFmtId="180" fontId="9" fillId="3" borderId="5104">
      <alignment horizontal="right" vertical="center"/>
    </xf>
    <xf numFmtId="186" fontId="146" fillId="3" borderId="5104" applyBorder="0">
      <alignment horizontal="left" vertical="center"/>
    </xf>
    <xf numFmtId="0" fontId="165" fillId="0" borderId="5104" applyFill="0" applyProtection="0">
      <alignment horizontal="center"/>
    </xf>
    <xf numFmtId="0" fontId="166" fillId="0" borderId="5104">
      <alignment horizontal="center"/>
    </xf>
    <xf numFmtId="264" fontId="12" fillId="14" borderId="5104" applyFont="0" applyFill="0" applyBorder="0" applyAlignment="0" applyProtection="0">
      <alignment horizontal="right"/>
    </xf>
    <xf numFmtId="0" fontId="210" fillId="0" borderId="5104" applyNumberFormat="0" applyFill="0" applyBorder="0" applyAlignment="0">
      <protection locked="0"/>
    </xf>
    <xf numFmtId="248" fontId="46" fillId="0" borderId="5229"/>
    <xf numFmtId="222" fontId="79" fillId="0" borderId="5228" applyBorder="0"/>
    <xf numFmtId="186" fontId="140" fillId="3" borderId="5221">
      <alignment horizontal="center" vertical="center"/>
    </xf>
    <xf numFmtId="0" fontId="25" fillId="10" borderId="5226" applyNumberFormat="0" applyProtection="0">
      <alignment horizontal="left" vertical="top"/>
    </xf>
    <xf numFmtId="0" fontId="210" fillId="0" borderId="5229" applyNumberFormat="0" applyFill="0" applyBorder="0" applyAlignment="0">
      <protection locked="0"/>
    </xf>
    <xf numFmtId="192" fontId="9" fillId="3" borderId="5229">
      <alignment horizontal="right" vertical="center"/>
    </xf>
    <xf numFmtId="0" fontId="113" fillId="0" borderId="5229" applyNumberFormat="0" applyFill="0" applyAlignment="0" applyProtection="0"/>
    <xf numFmtId="186" fontId="146" fillId="3" borderId="5220">
      <alignment horizontal="left"/>
    </xf>
    <xf numFmtId="0" fontId="25" fillId="10" borderId="5225" applyNumberFormat="0" applyProtection="0">
      <alignment horizontal="left" vertical="top"/>
    </xf>
    <xf numFmtId="254" fontId="240" fillId="0" borderId="5104" applyBorder="0" applyProtection="0">
      <alignment horizontal="right" vertical="center"/>
    </xf>
    <xf numFmtId="0" fontId="241" fillId="94" borderId="5104" applyBorder="0" applyProtection="0">
      <alignment horizontal="centerContinuous" vertical="center"/>
    </xf>
    <xf numFmtId="246" fontId="249" fillId="0" borderId="5104" applyFill="0" applyProtection="0">
      <alignment horizontal="center"/>
    </xf>
    <xf numFmtId="246" fontId="250" fillId="0" borderId="5104" applyFill="0" applyProtection="0">
      <alignment horizontal="center"/>
    </xf>
    <xf numFmtId="0" fontId="25" fillId="10" borderId="5249" applyNumberFormat="0" applyProtection="0">
      <alignment horizontal="left" vertical="top"/>
    </xf>
    <xf numFmtId="0" fontId="25" fillId="10" borderId="5251" applyNumberFormat="0" applyProtection="0">
      <alignment horizontal="left" vertical="top"/>
    </xf>
    <xf numFmtId="222" fontId="79" fillId="0" borderId="5180" applyBorder="0"/>
    <xf numFmtId="0" fontId="214" fillId="0" borderId="5247" applyNumberFormat="0" applyFont="0" applyFill="0" applyAlignment="0" applyProtection="0"/>
    <xf numFmtId="0" fontId="75" fillId="0" borderId="5182" applyNumberFormat="0" applyFont="0" applyFill="0" applyAlignment="0" applyProtection="0"/>
    <xf numFmtId="0" fontId="25" fillId="10" borderId="5190" applyNumberFormat="0" applyProtection="0">
      <alignment horizontal="left" vertical="top"/>
    </xf>
    <xf numFmtId="0" fontId="25" fillId="10" borderId="5191" applyNumberFormat="0" applyProtection="0">
      <alignment horizontal="left" vertical="top"/>
    </xf>
    <xf numFmtId="0" fontId="165" fillId="0" borderId="5205" applyFill="0" applyProtection="0">
      <alignment horizontal="center"/>
    </xf>
    <xf numFmtId="254" fontId="240" fillId="0" borderId="5205" applyBorder="0" applyProtection="0">
      <alignment horizontal="right" vertical="center"/>
    </xf>
    <xf numFmtId="0" fontId="241" fillId="94" borderId="5205" applyBorder="0" applyProtection="0">
      <alignment horizontal="centerContinuous" vertical="center"/>
    </xf>
    <xf numFmtId="0" fontId="241" fillId="94" borderId="5229" applyBorder="0" applyProtection="0">
      <alignment horizontal="centerContinuous" vertical="center"/>
    </xf>
    <xf numFmtId="0" fontId="166" fillId="0" borderId="5229">
      <alignment horizontal="center"/>
    </xf>
    <xf numFmtId="186" fontId="146" fillId="3" borderId="5229" applyBorder="0">
      <alignment horizontal="left" vertical="center"/>
    </xf>
    <xf numFmtId="0" fontId="214" fillId="0" borderId="5223" applyNumberFormat="0" applyFont="0" applyFill="0" applyAlignment="0" applyProtection="0"/>
    <xf numFmtId="0" fontId="78" fillId="14" borderId="5219" applyFont="0" applyFill="0" applyBorder="0" applyAlignment="0" applyProtection="0"/>
    <xf numFmtId="0" fontId="78" fillId="14" borderId="5146" applyFont="0" applyFill="0" applyBorder="0" applyAlignment="0" applyProtection="0"/>
    <xf numFmtId="0" fontId="25" fillId="10" borderId="5073" applyNumberFormat="0" applyProtection="0">
      <alignment horizontal="left" vertical="top"/>
    </xf>
    <xf numFmtId="0" fontId="25" fillId="10" borderId="5072" applyNumberFormat="0" applyProtection="0">
      <alignment horizontal="left" vertical="top"/>
    </xf>
    <xf numFmtId="0" fontId="25" fillId="10" borderId="5071" applyNumberFormat="0" applyProtection="0">
      <alignment horizontal="left" vertical="top"/>
    </xf>
    <xf numFmtId="0" fontId="25" fillId="10" borderId="5070" applyNumberFormat="0" applyProtection="0">
      <alignment horizontal="left" vertical="top"/>
    </xf>
    <xf numFmtId="186" fontId="140" fillId="3" borderId="5245">
      <alignment horizontal="center" vertical="center"/>
    </xf>
    <xf numFmtId="0" fontId="214" fillId="0" borderId="5069" applyNumberFormat="0" applyFont="0" applyFill="0" applyAlignment="0" applyProtection="0"/>
    <xf numFmtId="186" fontId="140" fillId="3" borderId="5043">
      <alignment horizontal="center" vertical="center"/>
    </xf>
    <xf numFmtId="186" fontId="146" fillId="3" borderId="4970">
      <alignment horizontal="left"/>
    </xf>
    <xf numFmtId="186" fontId="146" fillId="3" borderId="5244">
      <alignment horizontal="left"/>
    </xf>
    <xf numFmtId="0" fontId="75" fillId="0" borderId="4968" applyNumberFormat="0" applyFont="0" applyFill="0" applyAlignment="0" applyProtection="0"/>
    <xf numFmtId="0" fontId="75" fillId="0" borderId="5242" applyNumberFormat="0" applyFont="0" applyFill="0" applyAlignment="0" applyProtection="0"/>
    <xf numFmtId="222" fontId="79" fillId="0" borderId="5156" applyBorder="0"/>
    <xf numFmtId="222" fontId="79" fillId="0" borderId="5156" applyBorder="0"/>
    <xf numFmtId="0" fontId="25" fillId="10" borderId="5248" applyNumberFormat="0" applyProtection="0">
      <alignment horizontal="left" vertical="top"/>
    </xf>
    <xf numFmtId="0" fontId="2" fillId="0" borderId="5246" applyNumberFormat="0" applyAlignment="0" applyProtection="0"/>
    <xf numFmtId="246" fontId="250" fillId="0" borderId="5181" applyFill="0" applyProtection="0">
      <alignment horizontal="center"/>
    </xf>
    <xf numFmtId="246" fontId="249" fillId="0" borderId="5181" applyFill="0" applyProtection="0">
      <alignment horizontal="center"/>
    </xf>
    <xf numFmtId="0" fontId="241" fillId="94" borderId="5181" applyBorder="0" applyProtection="0">
      <alignment horizontal="centerContinuous" vertical="center"/>
    </xf>
    <xf numFmtId="254" fontId="240" fillId="0" borderId="5181" applyBorder="0" applyProtection="0">
      <alignment horizontal="right" vertical="center"/>
    </xf>
    <xf numFmtId="0" fontId="210" fillId="0" borderId="5181" applyNumberFormat="0" applyFill="0" applyBorder="0" applyAlignment="0">
      <protection locked="0"/>
    </xf>
    <xf numFmtId="264" fontId="12" fillId="14" borderId="5181" applyFont="0" applyFill="0" applyBorder="0" applyAlignment="0" applyProtection="0">
      <alignment horizontal="right"/>
    </xf>
    <xf numFmtId="0" fontId="166" fillId="0" borderId="5181">
      <alignment horizontal="center"/>
    </xf>
    <xf numFmtId="0" fontId="165" fillId="0" borderId="5181" applyFill="0" applyProtection="0">
      <alignment horizontal="center"/>
    </xf>
    <xf numFmtId="186" fontId="146" fillId="3" borderId="5181" applyBorder="0">
      <alignment horizontal="left" vertical="center"/>
    </xf>
    <xf numFmtId="180" fontId="9" fillId="3" borderId="5181">
      <alignment horizontal="right" vertical="center"/>
    </xf>
    <xf numFmtId="192" fontId="9" fillId="3" borderId="5181">
      <alignment horizontal="right" vertical="center"/>
    </xf>
    <xf numFmtId="248" fontId="46" fillId="0" borderId="5181"/>
    <xf numFmtId="0" fontId="12" fillId="0" borderId="5181" applyNumberFormat="0" applyFill="0" applyBorder="0" applyAlignment="0" applyProtection="0">
      <alignment horizontal="center"/>
    </xf>
    <xf numFmtId="0" fontId="113" fillId="0" borderId="5181" applyNumberFormat="0" applyFill="0" applyAlignment="0" applyProtection="0"/>
    <xf numFmtId="222" fontId="79" fillId="0" borderId="5180" applyBorder="0"/>
    <xf numFmtId="0" fontId="101" fillId="0" borderId="5181" applyBorder="0"/>
    <xf numFmtId="222" fontId="79" fillId="0" borderId="5180" applyBorder="0"/>
    <xf numFmtId="0" fontId="75" fillId="0" borderId="5170" applyNumberFormat="0" applyFont="0" applyFill="0" applyAlignment="0" applyProtection="0"/>
    <xf numFmtId="186" fontId="146" fillId="3" borderId="5172">
      <alignment horizontal="left"/>
    </xf>
    <xf numFmtId="186" fontId="140" fillId="3" borderId="5173">
      <alignment horizontal="center" vertical="center"/>
    </xf>
    <xf numFmtId="0" fontId="2" fillId="0" borderId="5174" applyNumberFormat="0" applyAlignment="0" applyProtection="0"/>
    <xf numFmtId="0" fontId="214" fillId="0" borderId="5175" applyNumberFormat="0" applyFont="0" applyFill="0" applyAlignment="0" applyProtection="0"/>
    <xf numFmtId="0" fontId="25" fillId="10" borderId="5176" applyNumberFormat="0" applyProtection="0">
      <alignment horizontal="left" vertical="top"/>
    </xf>
    <xf numFmtId="0" fontId="25" fillId="10" borderId="5177" applyNumberFormat="0" applyProtection="0">
      <alignment horizontal="left" vertical="top"/>
    </xf>
    <xf numFmtId="0" fontId="25" fillId="10" borderId="5178" applyNumberFormat="0" applyProtection="0">
      <alignment horizontal="left" vertical="top"/>
    </xf>
    <xf numFmtId="0" fontId="25" fillId="10" borderId="5179" applyNumberFormat="0" applyProtection="0">
      <alignment horizontal="left" vertical="top"/>
    </xf>
    <xf numFmtId="0" fontId="78" fillId="14" borderId="5171" applyFont="0" applyFill="0" applyBorder="0" applyAlignment="0" applyProtection="0"/>
    <xf numFmtId="222" fontId="79" fillId="0" borderId="5168" applyBorder="0"/>
    <xf numFmtId="0" fontId="78" fillId="14" borderId="5146" applyFont="0" applyFill="0" applyBorder="0" applyAlignment="0" applyProtection="0"/>
    <xf numFmtId="222" fontId="79" fillId="0" borderId="5156" applyBorder="0"/>
    <xf numFmtId="0" fontId="78" fillId="14" borderId="5159" applyFont="0" applyFill="0" applyBorder="0" applyAlignment="0" applyProtection="0"/>
    <xf numFmtId="0" fontId="25" fillId="10" borderId="5167" applyNumberFormat="0" applyProtection="0">
      <alignment horizontal="left" vertical="top"/>
    </xf>
    <xf numFmtId="0" fontId="25" fillId="10" borderId="5166" applyNumberFormat="0" applyProtection="0">
      <alignment horizontal="left" vertical="top"/>
    </xf>
    <xf numFmtId="0" fontId="25" fillId="10" borderId="5165" applyNumberFormat="0" applyProtection="0">
      <alignment horizontal="left" vertical="top"/>
    </xf>
    <xf numFmtId="0" fontId="25" fillId="10" borderId="5164" applyNumberFormat="0" applyProtection="0">
      <alignment horizontal="left" vertical="top"/>
    </xf>
    <xf numFmtId="0" fontId="214" fillId="0" borderId="5163" applyNumberFormat="0" applyFont="0" applyFill="0" applyAlignment="0" applyProtection="0"/>
    <xf numFmtId="186" fontId="140" fillId="3" borderId="5161">
      <alignment horizontal="center" vertical="center"/>
    </xf>
    <xf numFmtId="186" fontId="146" fillId="3" borderId="5160">
      <alignment horizontal="left"/>
    </xf>
    <xf numFmtId="0" fontId="75" fillId="0" borderId="5158" applyNumberFormat="0" applyFont="0" applyFill="0" applyAlignment="0" applyProtection="0"/>
    <xf numFmtId="222" fontId="79" fillId="0" borderId="5168" applyBorder="0"/>
    <xf numFmtId="0" fontId="101" fillId="0" borderId="5169" applyBorder="0"/>
    <xf numFmtId="222" fontId="79" fillId="0" borderId="5168" applyBorder="0"/>
    <xf numFmtId="0" fontId="113" fillId="0" borderId="5169" applyNumberFormat="0" applyFill="0" applyAlignment="0" applyProtection="0"/>
    <xf numFmtId="0" fontId="12" fillId="0" borderId="5169" applyNumberFormat="0" applyFill="0" applyBorder="0" applyAlignment="0" applyProtection="0">
      <alignment horizontal="center"/>
    </xf>
    <xf numFmtId="248" fontId="46" fillId="0" borderId="5169"/>
    <xf numFmtId="192" fontId="9" fillId="3" borderId="5169">
      <alignment horizontal="right" vertical="center"/>
    </xf>
    <xf numFmtId="180" fontId="9" fillId="3" borderId="5169">
      <alignment horizontal="right" vertical="center"/>
    </xf>
    <xf numFmtId="186" fontId="146" fillId="3" borderId="5169" applyBorder="0">
      <alignment horizontal="left" vertical="center"/>
    </xf>
    <xf numFmtId="0" fontId="165" fillId="0" borderId="5169" applyFill="0" applyProtection="0">
      <alignment horizontal="center"/>
    </xf>
    <xf numFmtId="0" fontId="166" fillId="0" borderId="5169">
      <alignment horizontal="center"/>
    </xf>
    <xf numFmtId="264" fontId="12" fillId="14" borderId="5169" applyFont="0" applyFill="0" applyBorder="0" applyAlignment="0" applyProtection="0">
      <alignment horizontal="right"/>
    </xf>
    <xf numFmtId="0" fontId="210" fillId="0" borderId="5169" applyNumberFormat="0" applyFill="0" applyBorder="0" applyAlignment="0">
      <protection locked="0"/>
    </xf>
    <xf numFmtId="254" fontId="240" fillId="0" borderId="5169" applyBorder="0" applyProtection="0">
      <alignment horizontal="right" vertical="center"/>
    </xf>
    <xf numFmtId="0" fontId="241" fillId="94" borderId="5169" applyBorder="0" applyProtection="0">
      <alignment horizontal="centerContinuous" vertical="center"/>
    </xf>
    <xf numFmtId="246" fontId="249" fillId="0" borderId="5169" applyFill="0" applyProtection="0">
      <alignment horizontal="center"/>
    </xf>
    <xf numFmtId="246" fontId="250" fillId="0" borderId="5169" applyFill="0" applyProtection="0">
      <alignment horizontal="center"/>
    </xf>
    <xf numFmtId="0" fontId="241" fillId="94" borderId="5253" applyBorder="0" applyProtection="0">
      <alignment horizontal="centerContinuous" vertical="center"/>
    </xf>
    <xf numFmtId="0" fontId="166" fillId="0" borderId="5253">
      <alignment horizontal="center"/>
    </xf>
    <xf numFmtId="0" fontId="2" fillId="0" borderId="5186" applyNumberFormat="0" applyAlignment="0" applyProtection="0"/>
    <xf numFmtId="0" fontId="214" fillId="0" borderId="5187" applyNumberFormat="0" applyFont="0" applyFill="0" applyAlignment="0" applyProtection="0"/>
    <xf numFmtId="246" fontId="250" fillId="0" borderId="5193" applyFill="0" applyProtection="0">
      <alignment horizontal="center"/>
    </xf>
    <xf numFmtId="246" fontId="249" fillId="0" borderId="5193" applyFill="0" applyProtection="0">
      <alignment horizontal="center"/>
    </xf>
    <xf numFmtId="0" fontId="241" fillId="94" borderId="5193" applyBorder="0" applyProtection="0">
      <alignment horizontal="centerContinuous" vertical="center"/>
    </xf>
    <xf numFmtId="254" fontId="240" fillId="0" borderId="5193" applyBorder="0" applyProtection="0">
      <alignment horizontal="right" vertical="center"/>
    </xf>
    <xf numFmtId="0" fontId="210" fillId="0" borderId="5193" applyNumberFormat="0" applyFill="0" applyBorder="0" applyAlignment="0">
      <protection locked="0"/>
    </xf>
    <xf numFmtId="264" fontId="12" fillId="14" borderId="5193" applyFont="0" applyFill="0" applyBorder="0" applyAlignment="0" applyProtection="0">
      <alignment horizontal="right"/>
    </xf>
    <xf numFmtId="0" fontId="166" fillId="0" borderId="5193">
      <alignment horizontal="center"/>
    </xf>
    <xf numFmtId="0" fontId="165" fillId="0" borderId="5193" applyFill="0" applyProtection="0">
      <alignment horizontal="center"/>
    </xf>
    <xf numFmtId="186" fontId="146" fillId="3" borderId="5193" applyBorder="0">
      <alignment horizontal="left" vertical="center"/>
    </xf>
    <xf numFmtId="180" fontId="9" fillId="3" borderId="5193">
      <alignment horizontal="right" vertical="center"/>
    </xf>
    <xf numFmtId="192" fontId="9" fillId="3" borderId="5193">
      <alignment horizontal="right" vertical="center"/>
    </xf>
    <xf numFmtId="248" fontId="46" fillId="0" borderId="5193"/>
    <xf numFmtId="0" fontId="12" fillId="0" borderId="5193" applyNumberFormat="0" applyFill="0" applyBorder="0" applyAlignment="0" applyProtection="0">
      <alignment horizontal="center"/>
    </xf>
    <xf numFmtId="0" fontId="113" fillId="0" borderId="5193" applyNumberFormat="0" applyFill="0" applyAlignment="0" applyProtection="0"/>
    <xf numFmtId="222" fontId="79" fillId="0" borderId="5192" applyBorder="0"/>
    <xf numFmtId="0" fontId="101" fillId="0" borderId="5193" applyBorder="0"/>
    <xf numFmtId="222" fontId="79" fillId="0" borderId="5192" applyBorder="0"/>
    <xf numFmtId="0" fontId="75" fillId="0" borderId="5182" applyNumberFormat="0" applyFont="0" applyFill="0" applyAlignment="0" applyProtection="0"/>
    <xf numFmtId="186" fontId="146" fillId="3" borderId="5184">
      <alignment horizontal="left"/>
    </xf>
    <xf numFmtId="186" fontId="140" fillId="3" borderId="5185">
      <alignment horizontal="center" vertical="center"/>
    </xf>
    <xf numFmtId="0" fontId="2" fillId="0" borderId="5186" applyNumberFormat="0" applyAlignment="0" applyProtection="0"/>
    <xf numFmtId="0" fontId="214" fillId="0" borderId="5187" applyNumberFormat="0" applyFont="0" applyFill="0" applyAlignment="0" applyProtection="0"/>
    <xf numFmtId="0" fontId="25" fillId="10" borderId="5188" applyNumberFormat="0" applyProtection="0">
      <alignment horizontal="left" vertical="top"/>
    </xf>
    <xf numFmtId="0" fontId="25" fillId="10" borderId="5189" applyNumberFormat="0" applyProtection="0">
      <alignment horizontal="left" vertical="top"/>
    </xf>
    <xf numFmtId="0" fontId="25" fillId="10" borderId="5190" applyNumberFormat="0" applyProtection="0">
      <alignment horizontal="left" vertical="top"/>
    </xf>
    <xf numFmtId="0" fontId="25" fillId="10" borderId="5191" applyNumberFormat="0" applyProtection="0">
      <alignment horizontal="left" vertical="top"/>
    </xf>
    <xf numFmtId="0" fontId="78" fillId="14" borderId="5183" applyFont="0" applyFill="0" applyBorder="0" applyAlignment="0" applyProtection="0"/>
    <xf numFmtId="222" fontId="79" fillId="0" borderId="5180" applyBorder="0"/>
    <xf numFmtId="0" fontId="78" fillId="14" borderId="5195" applyFont="0" applyFill="0" applyBorder="0" applyAlignment="0" applyProtection="0"/>
    <xf numFmtId="186" fontId="146" fillId="3" borderId="5184">
      <alignment horizontal="left"/>
    </xf>
    <xf numFmtId="0" fontId="78" fillId="14" borderId="5171" applyFont="0" applyFill="0" applyBorder="0" applyAlignment="0" applyProtection="0"/>
    <xf numFmtId="222" fontId="79" fillId="0" borderId="5180" applyBorder="0"/>
    <xf numFmtId="0" fontId="2" fillId="0" borderId="5198" applyNumberFormat="0" applyAlignment="0" applyProtection="0"/>
    <xf numFmtId="0" fontId="78" fillId="14" borderId="5171" applyFont="0" applyFill="0" applyBorder="0" applyAlignment="0" applyProtection="0"/>
    <xf numFmtId="0" fontId="25" fillId="10" borderId="5179" applyNumberFormat="0" applyProtection="0">
      <alignment horizontal="left" vertical="top"/>
    </xf>
    <xf numFmtId="0" fontId="25" fillId="10" borderId="5178" applyNumberFormat="0" applyProtection="0">
      <alignment horizontal="left" vertical="top"/>
    </xf>
    <xf numFmtId="0" fontId="25" fillId="10" borderId="5177" applyNumberFormat="0" applyProtection="0">
      <alignment horizontal="left" vertical="top"/>
    </xf>
    <xf numFmtId="0" fontId="25" fillId="10" borderId="5176" applyNumberFormat="0" applyProtection="0">
      <alignment horizontal="left" vertical="top"/>
    </xf>
    <xf numFmtId="0" fontId="25" fillId="10" borderId="5201" applyNumberFormat="0" applyProtection="0">
      <alignment horizontal="left" vertical="top"/>
    </xf>
    <xf numFmtId="0" fontId="214" fillId="0" borderId="5175" applyNumberFormat="0" applyFont="0" applyFill="0" applyAlignment="0" applyProtection="0"/>
    <xf numFmtId="0" fontId="2" fillId="0" borderId="5174" applyNumberFormat="0" applyAlignment="0" applyProtection="0"/>
    <xf numFmtId="186" fontId="140" fillId="3" borderId="5173">
      <alignment horizontal="center" vertical="center"/>
    </xf>
    <xf numFmtId="186" fontId="146" fillId="3" borderId="5172">
      <alignment horizontal="left"/>
    </xf>
    <xf numFmtId="0" fontId="25" fillId="10" borderId="5203" applyNumberFormat="0" applyProtection="0">
      <alignment horizontal="left" vertical="top"/>
    </xf>
    <xf numFmtId="0" fontId="75" fillId="0" borderId="5170" applyNumberFormat="0" applyFont="0" applyFill="0" applyAlignment="0" applyProtection="0"/>
    <xf numFmtId="222" fontId="79" fillId="0" borderId="5180" applyBorder="0"/>
    <xf numFmtId="0" fontId="101" fillId="0" borderId="5181" applyBorder="0"/>
    <xf numFmtId="222" fontId="79" fillId="0" borderId="5180" applyBorder="0"/>
    <xf numFmtId="0" fontId="113" fillId="0" borderId="5181" applyNumberFormat="0" applyFill="0" applyAlignment="0" applyProtection="0"/>
    <xf numFmtId="0" fontId="12" fillId="0" borderId="5181" applyNumberFormat="0" applyFill="0" applyBorder="0" applyAlignment="0" applyProtection="0">
      <alignment horizontal="center"/>
    </xf>
    <xf numFmtId="248" fontId="46" fillId="0" borderId="5181"/>
    <xf numFmtId="192" fontId="9" fillId="3" borderId="5181">
      <alignment horizontal="right" vertical="center"/>
    </xf>
    <xf numFmtId="180" fontId="9" fillId="3" borderId="5181">
      <alignment horizontal="right" vertical="center"/>
    </xf>
    <xf numFmtId="186" fontId="146" fillId="3" borderId="5181" applyBorder="0">
      <alignment horizontal="left" vertical="center"/>
    </xf>
    <xf numFmtId="0" fontId="165" fillId="0" borderId="5181" applyFill="0" applyProtection="0">
      <alignment horizontal="center"/>
    </xf>
    <xf numFmtId="0" fontId="166" fillId="0" borderId="5181">
      <alignment horizontal="center"/>
    </xf>
    <xf numFmtId="264" fontId="12" fillId="14" borderId="5181" applyFont="0" applyFill="0" applyBorder="0" applyAlignment="0" applyProtection="0">
      <alignment horizontal="right"/>
    </xf>
    <xf numFmtId="0" fontId="210" fillId="0" borderId="5181" applyNumberFormat="0" applyFill="0" applyBorder="0" applyAlignment="0">
      <protection locked="0"/>
    </xf>
    <xf numFmtId="254" fontId="240" fillId="0" borderId="5181" applyBorder="0" applyProtection="0">
      <alignment horizontal="right" vertical="center"/>
    </xf>
    <xf numFmtId="0" fontId="241" fillId="94" borderId="5181" applyBorder="0" applyProtection="0">
      <alignment horizontal="centerContinuous" vertical="center"/>
    </xf>
    <xf numFmtId="246" fontId="249" fillId="0" borderId="5181" applyFill="0" applyProtection="0">
      <alignment horizontal="center"/>
    </xf>
    <xf numFmtId="246" fontId="250" fillId="0" borderId="5181" applyFill="0" applyProtection="0">
      <alignment horizontal="center"/>
    </xf>
    <xf numFmtId="186" fontId="140" fillId="3" borderId="5197">
      <alignment horizontal="center" vertical="center"/>
    </xf>
    <xf numFmtId="0" fontId="78" fillId="14" borderId="5183" applyFont="0" applyFill="0" applyBorder="0" applyAlignment="0" applyProtection="0"/>
    <xf numFmtId="222" fontId="79" fillId="0" borderId="5204" applyBorder="0"/>
    <xf numFmtId="0" fontId="78" fillId="14" borderId="5207" applyFont="0" applyFill="0" applyBorder="0" applyAlignment="0" applyProtection="0"/>
    <xf numFmtId="0" fontId="25" fillId="10" borderId="5215" applyNumberFormat="0" applyProtection="0">
      <alignment horizontal="left" vertical="top"/>
    </xf>
    <xf numFmtId="0" fontId="25" fillId="10" borderId="5214" applyNumberFormat="0" applyProtection="0">
      <alignment horizontal="left" vertical="top"/>
    </xf>
    <xf numFmtId="0" fontId="25" fillId="10" borderId="5213" applyNumberFormat="0" applyProtection="0">
      <alignment horizontal="left" vertical="top"/>
    </xf>
    <xf numFmtId="0" fontId="25" fillId="10" borderId="5212" applyNumberFormat="0" applyProtection="0">
      <alignment horizontal="left" vertical="top"/>
    </xf>
    <xf numFmtId="0" fontId="214" fillId="0" borderId="5211" applyNumberFormat="0" applyFont="0" applyFill="0" applyAlignment="0" applyProtection="0"/>
    <xf numFmtId="0" fontId="2" fillId="0" borderId="5210" applyNumberFormat="0" applyAlignment="0" applyProtection="0"/>
    <xf numFmtId="186" fontId="140" fillId="3" borderId="5209">
      <alignment horizontal="center" vertical="center"/>
    </xf>
    <xf numFmtId="186" fontId="146" fillId="3" borderId="5208">
      <alignment horizontal="left"/>
    </xf>
    <xf numFmtId="0" fontId="75" fillId="0" borderId="5206" applyNumberFormat="0" applyFont="0" applyFill="0" applyAlignment="0" applyProtection="0"/>
    <xf numFmtId="222" fontId="79" fillId="0" borderId="5216" applyBorder="0"/>
    <xf numFmtId="0" fontId="101" fillId="0" borderId="5217" applyBorder="0"/>
    <xf numFmtId="222" fontId="79" fillId="0" borderId="5216" applyBorder="0"/>
    <xf numFmtId="0" fontId="113" fillId="0" borderId="5217" applyNumberFormat="0" applyFill="0" applyAlignment="0" applyProtection="0"/>
    <xf numFmtId="0" fontId="12" fillId="0" borderId="5217" applyNumberFormat="0" applyFill="0" applyBorder="0" applyAlignment="0" applyProtection="0">
      <alignment horizontal="center"/>
    </xf>
    <xf numFmtId="248" fontId="46" fillId="0" borderId="5217"/>
    <xf numFmtId="192" fontId="9" fillId="3" borderId="5217">
      <alignment horizontal="right" vertical="center"/>
    </xf>
    <xf numFmtId="180" fontId="9" fillId="3" borderId="5217">
      <alignment horizontal="right" vertical="center"/>
    </xf>
    <xf numFmtId="186" fontId="146" fillId="3" borderId="5217" applyBorder="0">
      <alignment horizontal="left" vertical="center"/>
    </xf>
    <xf numFmtId="0" fontId="165" fillId="0" borderId="5217" applyFill="0" applyProtection="0">
      <alignment horizontal="center"/>
    </xf>
    <xf numFmtId="0" fontId="166" fillId="0" borderId="5217">
      <alignment horizontal="center"/>
    </xf>
    <xf numFmtId="264" fontId="12" fillId="14" borderId="5217" applyFont="0" applyFill="0" applyBorder="0" applyAlignment="0" applyProtection="0">
      <alignment horizontal="right"/>
    </xf>
    <xf numFmtId="0" fontId="210" fillId="0" borderId="5217" applyNumberFormat="0" applyFill="0" applyBorder="0" applyAlignment="0">
      <protection locked="0"/>
    </xf>
    <xf numFmtId="254" fontId="240" fillId="0" borderId="5217" applyBorder="0" applyProtection="0">
      <alignment horizontal="right" vertical="center"/>
    </xf>
    <xf numFmtId="0" fontId="241" fillId="94" borderId="5217" applyBorder="0" applyProtection="0">
      <alignment horizontal="centerContinuous" vertical="center"/>
    </xf>
    <xf numFmtId="246" fontId="249" fillId="0" borderId="5217" applyFill="0" applyProtection="0">
      <alignment horizontal="center"/>
    </xf>
    <xf numFmtId="246" fontId="250" fillId="0" borderId="5217" applyFill="0" applyProtection="0">
      <alignment horizontal="center"/>
    </xf>
    <xf numFmtId="222" fontId="79" fillId="0" borderId="5228" applyBorder="0"/>
    <xf numFmtId="0" fontId="78" fillId="14" borderId="5231" applyFont="0" applyFill="0" applyBorder="0" applyAlignment="0" applyProtection="0"/>
    <xf numFmtId="0" fontId="25" fillId="10" borderId="5239" applyNumberFormat="0" applyProtection="0">
      <alignment horizontal="left" vertical="top"/>
    </xf>
    <xf numFmtId="0" fontId="25" fillId="10" borderId="5238" applyNumberFormat="0" applyProtection="0">
      <alignment horizontal="left" vertical="top"/>
    </xf>
    <xf numFmtId="0" fontId="25" fillId="10" borderId="5237" applyNumberFormat="0" applyProtection="0">
      <alignment horizontal="left" vertical="top"/>
    </xf>
    <xf numFmtId="0" fontId="25" fillId="10" borderId="5236" applyNumberFormat="0" applyProtection="0">
      <alignment horizontal="left" vertical="top"/>
    </xf>
    <xf numFmtId="0" fontId="214" fillId="0" borderId="5235" applyNumberFormat="0" applyFont="0" applyFill="0" applyAlignment="0" applyProtection="0"/>
    <xf numFmtId="0" fontId="2" fillId="0" borderId="5234" applyNumberFormat="0" applyAlignment="0" applyProtection="0"/>
    <xf numFmtId="186" fontId="140" fillId="3" borderId="5233">
      <alignment horizontal="center" vertical="center"/>
    </xf>
    <xf numFmtId="186" fontId="146" fillId="3" borderId="5232">
      <alignment horizontal="left"/>
    </xf>
    <xf numFmtId="0" fontId="75" fillId="0" borderId="5230" applyNumberFormat="0" applyFont="0" applyFill="0" applyAlignment="0" applyProtection="0"/>
    <xf numFmtId="222" fontId="79" fillId="0" borderId="5240" applyBorder="0"/>
    <xf numFmtId="0" fontId="101" fillId="0" borderId="5241" applyBorder="0"/>
    <xf numFmtId="222" fontId="79" fillId="0" borderId="5240" applyBorder="0"/>
    <xf numFmtId="0" fontId="113" fillId="0" borderId="5241" applyNumberFormat="0" applyFill="0" applyAlignment="0" applyProtection="0"/>
    <xf numFmtId="0" fontId="12" fillId="0" borderId="5241" applyNumberFormat="0" applyFill="0" applyBorder="0" applyAlignment="0" applyProtection="0">
      <alignment horizontal="center"/>
    </xf>
    <xf numFmtId="248" fontId="46" fillId="0" borderId="5241"/>
    <xf numFmtId="192" fontId="9" fillId="3" borderId="5241">
      <alignment horizontal="right" vertical="center"/>
    </xf>
    <xf numFmtId="180" fontId="9" fillId="3" borderId="5241">
      <alignment horizontal="right" vertical="center"/>
    </xf>
    <xf numFmtId="186" fontId="146" fillId="3" borderId="5241" applyBorder="0">
      <alignment horizontal="left" vertical="center"/>
    </xf>
    <xf numFmtId="0" fontId="165" fillId="0" borderId="5241" applyFill="0" applyProtection="0">
      <alignment horizontal="center"/>
    </xf>
    <xf numFmtId="0" fontId="166" fillId="0" borderId="5241">
      <alignment horizontal="center"/>
    </xf>
    <xf numFmtId="264" fontId="12" fillId="14" borderId="5241" applyFont="0" applyFill="0" applyBorder="0" applyAlignment="0" applyProtection="0">
      <alignment horizontal="right"/>
    </xf>
    <xf numFmtId="0" fontId="210" fillId="0" borderId="5241" applyNumberFormat="0" applyFill="0" applyBorder="0" applyAlignment="0">
      <protection locked="0"/>
    </xf>
    <xf numFmtId="254" fontId="240" fillId="0" borderId="5241" applyBorder="0" applyProtection="0">
      <alignment horizontal="right" vertical="center"/>
    </xf>
    <xf numFmtId="0" fontId="241" fillId="94" borderId="5241" applyBorder="0" applyProtection="0">
      <alignment horizontal="centerContinuous" vertical="center"/>
    </xf>
    <xf numFmtId="246" fontId="249" fillId="0" borderId="5241" applyFill="0" applyProtection="0">
      <alignment horizontal="center"/>
    </xf>
    <xf numFmtId="246" fontId="250" fillId="0" borderId="5241" applyFill="0" applyProtection="0">
      <alignment horizontal="center"/>
    </xf>
    <xf numFmtId="0" fontId="75" fillId="0" borderId="5254" applyNumberFormat="0" applyFont="0" applyFill="0" applyAlignment="0" applyProtection="0"/>
    <xf numFmtId="0" fontId="78" fillId="14" borderId="5255" applyFont="0" applyFill="0" applyBorder="0" applyAlignment="0" applyProtection="0"/>
    <xf numFmtId="186" fontId="146" fillId="3" borderId="5256">
      <alignment horizontal="left"/>
    </xf>
    <xf numFmtId="186" fontId="140" fillId="3" borderId="5257">
      <alignment horizontal="center" vertical="center"/>
    </xf>
    <xf numFmtId="0" fontId="2" fillId="0" borderId="5258" applyNumberFormat="0" applyAlignment="0" applyProtection="0"/>
    <xf numFmtId="0" fontId="214" fillId="0" borderId="5259" applyNumberFormat="0" applyFont="0" applyFill="0" applyAlignment="0" applyProtection="0"/>
    <xf numFmtId="0" fontId="25" fillId="10" borderId="5260" applyNumberFormat="0" applyProtection="0">
      <alignment horizontal="left" vertical="top"/>
    </xf>
    <xf numFmtId="0" fontId="25" fillId="10" borderId="5261" applyNumberFormat="0" applyProtection="0">
      <alignment horizontal="left" vertical="top"/>
    </xf>
    <xf numFmtId="0" fontId="25" fillId="10" borderId="5262" applyNumberFormat="0" applyProtection="0">
      <alignment horizontal="left" vertical="top"/>
    </xf>
    <xf numFmtId="0" fontId="25" fillId="10" borderId="5263" applyNumberFormat="0" applyProtection="0">
      <alignment horizontal="left" vertical="top"/>
    </xf>
    <xf numFmtId="246" fontId="250" fillId="0" borderId="5253" applyFill="0" applyProtection="0">
      <alignment horizontal="center"/>
    </xf>
    <xf numFmtId="246" fontId="249" fillId="0" borderId="5253" applyFill="0" applyProtection="0">
      <alignment horizontal="center"/>
    </xf>
    <xf numFmtId="0" fontId="241" fillId="94" borderId="5253" applyBorder="0" applyProtection="0">
      <alignment horizontal="centerContinuous" vertical="center"/>
    </xf>
    <xf numFmtId="254" fontId="240" fillId="0" borderId="5253" applyBorder="0" applyProtection="0">
      <alignment horizontal="right" vertical="center"/>
    </xf>
    <xf numFmtId="0" fontId="210" fillId="0" borderId="5253" applyNumberFormat="0" applyFill="0" applyBorder="0" applyAlignment="0">
      <protection locked="0"/>
    </xf>
    <xf numFmtId="264" fontId="12" fillId="14" borderId="5253" applyFont="0" applyFill="0" applyBorder="0" applyAlignment="0" applyProtection="0">
      <alignment horizontal="right"/>
    </xf>
    <xf numFmtId="0" fontId="166" fillId="0" borderId="5253">
      <alignment horizontal="center"/>
    </xf>
    <xf numFmtId="0" fontId="165" fillId="0" borderId="5253" applyFill="0" applyProtection="0">
      <alignment horizontal="center"/>
    </xf>
    <xf numFmtId="186" fontId="146" fillId="3" borderId="5253" applyBorder="0">
      <alignment horizontal="left" vertical="center"/>
    </xf>
    <xf numFmtId="180" fontId="9" fillId="3" borderId="5253">
      <alignment horizontal="right" vertical="center"/>
    </xf>
    <xf numFmtId="192" fontId="9" fillId="3" borderId="5253">
      <alignment horizontal="right" vertical="center"/>
    </xf>
    <xf numFmtId="0" fontId="12" fillId="0" borderId="5253" applyNumberFormat="0" applyFill="0" applyBorder="0" applyAlignment="0" applyProtection="0">
      <alignment horizontal="center"/>
    </xf>
    <xf numFmtId="0" fontId="113" fillId="0" borderId="5253" applyNumberFormat="0" applyFill="0" applyAlignment="0" applyProtection="0"/>
    <xf numFmtId="222" fontId="79" fillId="0" borderId="5252" applyBorder="0"/>
    <xf numFmtId="0" fontId="101" fillId="0" borderId="5253" applyBorder="0"/>
    <xf numFmtId="248" fontId="46" fillId="0" borderId="5253"/>
    <xf numFmtId="0" fontId="101" fillId="0" borderId="5253" applyBorder="0"/>
    <xf numFmtId="222" fontId="79" fillId="0" borderId="5252" applyBorder="0"/>
    <xf numFmtId="0" fontId="113" fillId="0" borderId="5253" applyNumberFormat="0" applyFill="0" applyAlignment="0" applyProtection="0"/>
    <xf numFmtId="0" fontId="75" fillId="0" borderId="5254" applyNumberFormat="0" applyFont="0" applyFill="0" applyAlignment="0" applyProtection="0"/>
    <xf numFmtId="0" fontId="12" fillId="0" borderId="5253" applyNumberFormat="0" applyFill="0" applyBorder="0" applyAlignment="0" applyProtection="0">
      <alignment horizontal="center"/>
    </xf>
    <xf numFmtId="248" fontId="46" fillId="0" borderId="5253"/>
    <xf numFmtId="192" fontId="9" fillId="3" borderId="5253">
      <alignment horizontal="right" vertical="center"/>
    </xf>
    <xf numFmtId="180" fontId="9" fillId="3" borderId="5253">
      <alignment horizontal="right" vertical="center"/>
    </xf>
    <xf numFmtId="186" fontId="146" fillId="3" borderId="5253" applyBorder="0">
      <alignment horizontal="left" vertical="center"/>
    </xf>
    <xf numFmtId="186" fontId="146" fillId="3" borderId="5256">
      <alignment horizontal="left"/>
    </xf>
    <xf numFmtId="186" fontId="140" fillId="3" borderId="5257">
      <alignment horizontal="center" vertical="center"/>
    </xf>
    <xf numFmtId="0" fontId="165" fillId="0" borderId="5253" applyFill="0" applyProtection="0">
      <alignment horizontal="center"/>
    </xf>
    <xf numFmtId="0" fontId="166" fillId="0" borderId="5253">
      <alignment horizontal="center"/>
    </xf>
    <xf numFmtId="264" fontId="12" fillId="14" borderId="5253" applyFont="0" applyFill="0" applyBorder="0" applyAlignment="0" applyProtection="0">
      <alignment horizontal="right"/>
    </xf>
    <xf numFmtId="0" fontId="210" fillId="0" borderId="5253" applyNumberFormat="0" applyFill="0" applyBorder="0" applyAlignment="0">
      <protection locked="0"/>
    </xf>
    <xf numFmtId="0" fontId="2" fillId="0" borderId="5258" applyNumberFormat="0" applyAlignment="0" applyProtection="0"/>
    <xf numFmtId="0" fontId="214" fillId="0" borderId="5259" applyNumberFormat="0" applyFont="0" applyFill="0" applyAlignment="0" applyProtection="0"/>
    <xf numFmtId="0" fontId="25" fillId="10" borderId="5260" applyNumberFormat="0" applyProtection="0">
      <alignment horizontal="left" vertical="top"/>
    </xf>
    <xf numFmtId="0" fontId="25" fillId="10" borderId="5261" applyNumberFormat="0" applyProtection="0">
      <alignment horizontal="left" vertical="top"/>
    </xf>
    <xf numFmtId="0" fontId="25" fillId="10" borderId="5262" applyNumberFormat="0" applyProtection="0">
      <alignment horizontal="left" vertical="top"/>
    </xf>
    <xf numFmtId="0" fontId="25" fillId="10" borderId="5263" applyNumberFormat="0" applyProtection="0">
      <alignment horizontal="left" vertical="top"/>
    </xf>
    <xf numFmtId="0" fontId="25" fillId="10" borderId="5260" applyNumberFormat="0" applyProtection="0">
      <alignment horizontal="left" vertical="top"/>
    </xf>
    <xf numFmtId="0" fontId="25" fillId="10" borderId="5261" applyNumberFormat="0" applyProtection="0">
      <alignment horizontal="left" vertical="top"/>
    </xf>
    <xf numFmtId="0" fontId="25" fillId="10" borderId="5262" applyNumberFormat="0" applyProtection="0">
      <alignment horizontal="left" vertical="top"/>
    </xf>
    <xf numFmtId="0" fontId="25" fillId="10" borderId="5263" applyNumberFormat="0" applyProtection="0">
      <alignment horizontal="left" vertical="top"/>
    </xf>
    <xf numFmtId="254" fontId="240" fillId="0" borderId="5253" applyBorder="0" applyProtection="0">
      <alignment horizontal="right" vertical="center"/>
    </xf>
    <xf numFmtId="0" fontId="241" fillId="94" borderId="5253" applyBorder="0" applyProtection="0">
      <alignment horizontal="centerContinuous" vertical="center"/>
    </xf>
    <xf numFmtId="246" fontId="249" fillId="0" borderId="5253" applyFill="0" applyProtection="0">
      <alignment horizontal="center"/>
    </xf>
    <xf numFmtId="246" fontId="250" fillId="0" borderId="5253" applyFill="0" applyProtection="0">
      <alignment horizontal="center"/>
    </xf>
    <xf numFmtId="190" fontId="101" fillId="0" borderId="5253" applyBorder="0"/>
    <xf numFmtId="190" fontId="113" fillId="0" borderId="5253" applyNumberFormat="0" applyFill="0" applyAlignment="0" applyProtection="0"/>
    <xf numFmtId="190" fontId="75" fillId="0" borderId="5230" applyNumberFormat="0" applyFont="0" applyFill="0" applyAlignment="0" applyProtection="0"/>
    <xf numFmtId="190" fontId="12" fillId="0" borderId="5253" applyNumberFormat="0" applyFill="0" applyBorder="0" applyAlignment="0" applyProtection="0">
      <alignment horizontal="center"/>
    </xf>
    <xf numFmtId="190" fontId="78" fillId="14" borderId="5243" applyFont="0" applyFill="0" applyBorder="0" applyAlignment="0" applyProtection="0"/>
    <xf numFmtId="190" fontId="165" fillId="0" borderId="5253" applyFill="0" applyProtection="0">
      <alignment horizontal="center"/>
    </xf>
    <xf numFmtId="190" fontId="166" fillId="0" borderId="5253">
      <alignment horizontal="center"/>
    </xf>
    <xf numFmtId="190" fontId="210" fillId="0" borderId="5253" applyNumberFormat="0" applyFill="0" applyBorder="0" applyAlignment="0">
      <protection locked="0"/>
    </xf>
    <xf numFmtId="190" fontId="2" fillId="0" borderId="5234" applyNumberFormat="0" applyAlignment="0" applyProtection="0"/>
    <xf numFmtId="190" fontId="214" fillId="0" borderId="5235" applyNumberFormat="0" applyFont="0" applyFill="0" applyAlignment="0" applyProtection="0"/>
    <xf numFmtId="190" fontId="25" fillId="10" borderId="5236" applyNumberFormat="0" applyProtection="0">
      <alignment horizontal="left" vertical="top"/>
    </xf>
    <xf numFmtId="190" fontId="25" fillId="10" borderId="5237" applyNumberFormat="0" applyProtection="0">
      <alignment horizontal="left" vertical="top"/>
    </xf>
    <xf numFmtId="190" fontId="25" fillId="10" borderId="5238" applyNumberFormat="0" applyProtection="0">
      <alignment horizontal="left" vertical="top"/>
    </xf>
    <xf numFmtId="190" fontId="25" fillId="10" borderId="5239" applyNumberFormat="0" applyProtection="0">
      <alignment horizontal="left" vertical="top"/>
    </xf>
    <xf numFmtId="190" fontId="241" fillId="94" borderId="5253" applyBorder="0" applyProtection="0">
      <alignment horizontal="centerContinuous" vertical="center"/>
    </xf>
    <xf numFmtId="222" fontId="79" fillId="0" borderId="5252" applyBorder="0"/>
    <xf numFmtId="0" fontId="101" fillId="0" borderId="5253" applyBorder="0"/>
    <xf numFmtId="222" fontId="79" fillId="0" borderId="5252" applyBorder="0"/>
    <xf numFmtId="0" fontId="113" fillId="0" borderId="5253" applyNumberFormat="0" applyFill="0" applyAlignment="0" applyProtection="0"/>
    <xf numFmtId="0" fontId="75" fillId="0" borderId="5230" applyNumberFormat="0" applyFont="0" applyFill="0" applyAlignment="0" applyProtection="0"/>
    <xf numFmtId="0" fontId="12" fillId="0" borderId="5253" applyNumberFormat="0" applyFill="0" applyBorder="0" applyAlignment="0" applyProtection="0">
      <alignment horizontal="center"/>
    </xf>
    <xf numFmtId="248" fontId="46" fillId="0" borderId="5253"/>
    <xf numFmtId="192" fontId="9" fillId="3" borderId="5253">
      <alignment horizontal="right" vertical="center"/>
    </xf>
    <xf numFmtId="180" fontId="9" fillId="3" borderId="5253">
      <alignment horizontal="right" vertical="center"/>
    </xf>
    <xf numFmtId="186" fontId="146" fillId="3" borderId="5253" applyBorder="0">
      <alignment horizontal="left" vertical="center"/>
    </xf>
    <xf numFmtId="186" fontId="146" fillId="3" borderId="5232">
      <alignment horizontal="left"/>
    </xf>
    <xf numFmtId="186" fontId="140" fillId="3" borderId="5233">
      <alignment horizontal="center" vertical="center"/>
    </xf>
    <xf numFmtId="0" fontId="165" fillId="0" borderId="5253" applyFill="0" applyProtection="0">
      <alignment horizontal="center"/>
    </xf>
    <xf numFmtId="0" fontId="166" fillId="0" borderId="5253">
      <alignment horizontal="center"/>
    </xf>
    <xf numFmtId="264" fontId="12" fillId="14" borderId="5253" applyFont="0" applyFill="0" applyBorder="0" applyAlignment="0" applyProtection="0">
      <alignment horizontal="right"/>
    </xf>
    <xf numFmtId="0" fontId="210" fillId="0" borderId="5253" applyNumberFormat="0" applyFill="0" applyBorder="0" applyAlignment="0">
      <protection locked="0"/>
    </xf>
    <xf numFmtId="0" fontId="2" fillId="0" borderId="5234" applyNumberFormat="0" applyAlignment="0" applyProtection="0"/>
    <xf numFmtId="0" fontId="214" fillId="0" borderId="5235" applyNumberFormat="0" applyFont="0" applyFill="0" applyAlignment="0" applyProtection="0"/>
    <xf numFmtId="0" fontId="25" fillId="10" borderId="5236" applyNumberFormat="0" applyProtection="0">
      <alignment horizontal="left" vertical="top"/>
    </xf>
    <xf numFmtId="0" fontId="25" fillId="10" borderId="5237" applyNumberFormat="0" applyProtection="0">
      <alignment horizontal="left" vertical="top"/>
    </xf>
    <xf numFmtId="0" fontId="25" fillId="10" borderId="5238" applyNumberFormat="0" applyProtection="0">
      <alignment horizontal="left" vertical="top"/>
    </xf>
    <xf numFmtId="0" fontId="25" fillId="10" borderId="5239" applyNumberFormat="0" applyProtection="0">
      <alignment horizontal="left" vertical="top"/>
    </xf>
    <xf numFmtId="0" fontId="25" fillId="10" borderId="5236" applyNumberFormat="0" applyProtection="0">
      <alignment horizontal="left" vertical="top"/>
    </xf>
    <xf numFmtId="0" fontId="25" fillId="10" borderId="5237" applyNumberFormat="0" applyProtection="0">
      <alignment horizontal="left" vertical="top"/>
    </xf>
    <xf numFmtId="0" fontId="25" fillId="10" borderId="5238" applyNumberFormat="0" applyProtection="0">
      <alignment horizontal="left" vertical="top"/>
    </xf>
    <xf numFmtId="0" fontId="25" fillId="10" borderId="5239" applyNumberFormat="0" applyProtection="0">
      <alignment horizontal="left" vertical="top"/>
    </xf>
    <xf numFmtId="254" fontId="240" fillId="0" borderId="5253" applyBorder="0" applyProtection="0">
      <alignment horizontal="right" vertical="center"/>
    </xf>
    <xf numFmtId="0" fontId="241" fillId="94" borderId="5253" applyBorder="0" applyProtection="0">
      <alignment horizontal="centerContinuous" vertical="center"/>
    </xf>
    <xf numFmtId="246" fontId="249" fillId="0" borderId="5253" applyFill="0" applyProtection="0">
      <alignment horizontal="center"/>
    </xf>
    <xf numFmtId="246" fontId="250" fillId="0" borderId="5253" applyFill="0" applyProtection="0">
      <alignment horizontal="center"/>
    </xf>
    <xf numFmtId="312" fontId="101" fillId="0" borderId="5253" applyBorder="0"/>
    <xf numFmtId="312" fontId="113" fillId="0" borderId="5253" applyNumberFormat="0" applyFill="0" applyAlignment="0" applyProtection="0"/>
    <xf numFmtId="312" fontId="75" fillId="0" borderId="5230" applyNumberFormat="0" applyFont="0" applyFill="0" applyAlignment="0" applyProtection="0"/>
    <xf numFmtId="312" fontId="12" fillId="0" borderId="5253" applyNumberFormat="0" applyFill="0" applyBorder="0" applyAlignment="0" applyProtection="0">
      <alignment horizontal="center"/>
    </xf>
    <xf numFmtId="312" fontId="165" fillId="0" borderId="5253" applyFill="0" applyProtection="0">
      <alignment horizontal="center"/>
    </xf>
    <xf numFmtId="312" fontId="242" fillId="0" borderId="5253">
      <alignment horizontal="center"/>
    </xf>
    <xf numFmtId="312" fontId="210" fillId="0" borderId="5253" applyNumberFormat="0" applyFill="0" applyBorder="0" applyAlignment="0">
      <protection locked="0"/>
    </xf>
    <xf numFmtId="312" fontId="2" fillId="0" borderId="5234" applyNumberFormat="0" applyAlignment="0" applyProtection="0"/>
    <xf numFmtId="312" fontId="214" fillId="0" borderId="5235" applyNumberFormat="0" applyFont="0" applyFill="0" applyAlignment="0" applyProtection="0"/>
    <xf numFmtId="312" fontId="25" fillId="10" borderId="5236" applyNumberFormat="0" applyProtection="0">
      <alignment horizontal="left" vertical="top"/>
    </xf>
    <xf numFmtId="312" fontId="25" fillId="10" borderId="5237" applyNumberFormat="0" applyProtection="0">
      <alignment horizontal="left" vertical="top"/>
    </xf>
    <xf numFmtId="312" fontId="25" fillId="10" borderId="5238" applyNumberFormat="0" applyProtection="0">
      <alignment horizontal="left" vertical="top"/>
    </xf>
    <xf numFmtId="312" fontId="25" fillId="10" borderId="5239" applyNumberFormat="0" applyProtection="0">
      <alignment horizontal="left" vertical="top"/>
    </xf>
    <xf numFmtId="312" fontId="241" fillId="94" borderId="5253" applyBorder="0" applyProtection="0">
      <alignment horizontal="centerContinuous" vertical="center"/>
    </xf>
    <xf numFmtId="246" fontId="296" fillId="0" borderId="5253" applyFill="0" applyProtection="0">
      <alignment horizontal="center"/>
    </xf>
    <xf numFmtId="312" fontId="101" fillId="0" borderId="5253" applyBorder="0"/>
    <xf numFmtId="312" fontId="113" fillId="0" borderId="5253" applyNumberFormat="0" applyFill="0" applyAlignment="0" applyProtection="0"/>
    <xf numFmtId="312" fontId="75" fillId="0" borderId="5230" applyNumberFormat="0" applyFont="0" applyFill="0" applyAlignment="0" applyProtection="0"/>
    <xf numFmtId="312" fontId="12" fillId="0" borderId="5253" applyNumberFormat="0" applyFill="0" applyBorder="0" applyAlignment="0" applyProtection="0">
      <alignment horizontal="center"/>
    </xf>
    <xf numFmtId="312" fontId="165" fillId="0" borderId="5253" applyFill="0" applyProtection="0">
      <alignment horizontal="center"/>
    </xf>
    <xf numFmtId="312" fontId="242" fillId="0" borderId="5253">
      <alignment horizontal="center"/>
    </xf>
    <xf numFmtId="312" fontId="210" fillId="0" borderId="5253" applyNumberFormat="0" applyFill="0" applyBorder="0" applyAlignment="0">
      <protection locked="0"/>
    </xf>
    <xf numFmtId="312" fontId="2" fillId="0" borderId="5234" applyNumberFormat="0" applyAlignment="0" applyProtection="0"/>
    <xf numFmtId="312" fontId="214" fillId="0" borderId="5235" applyNumberFormat="0" applyFont="0" applyFill="0" applyAlignment="0" applyProtection="0"/>
    <xf numFmtId="312" fontId="25" fillId="10" borderId="5236" applyNumberFormat="0" applyProtection="0">
      <alignment horizontal="left" vertical="top"/>
    </xf>
    <xf numFmtId="312" fontId="25" fillId="10" borderId="5237" applyNumberFormat="0" applyProtection="0">
      <alignment horizontal="left" vertical="top"/>
    </xf>
    <xf numFmtId="312" fontId="25" fillId="10" borderId="5238" applyNumberFormat="0" applyProtection="0">
      <alignment horizontal="left" vertical="top"/>
    </xf>
    <xf numFmtId="312" fontId="25" fillId="10" borderId="5239" applyNumberFormat="0" applyProtection="0">
      <alignment horizontal="left" vertical="top"/>
    </xf>
    <xf numFmtId="312" fontId="25" fillId="10" borderId="5236" applyNumberFormat="0" applyProtection="0">
      <alignment horizontal="left" vertical="top"/>
    </xf>
    <xf numFmtId="312" fontId="25" fillId="10" borderId="5237" applyNumberFormat="0" applyProtection="0">
      <alignment horizontal="left" vertical="top"/>
    </xf>
    <xf numFmtId="312" fontId="25" fillId="10" borderId="5238" applyNumberFormat="0" applyProtection="0">
      <alignment horizontal="left" vertical="top"/>
    </xf>
    <xf numFmtId="312" fontId="25" fillId="10" borderId="5239" applyNumberFormat="0" applyProtection="0">
      <alignment horizontal="left" vertical="top"/>
    </xf>
    <xf numFmtId="312" fontId="241" fillId="94" borderId="5253" applyBorder="0" applyProtection="0">
      <alignment horizontal="centerContinuous" vertical="center"/>
    </xf>
    <xf numFmtId="246" fontId="296" fillId="0" borderId="5253" applyFill="0" applyProtection="0">
      <alignment horizontal="center"/>
    </xf>
    <xf numFmtId="246" fontId="250" fillId="0" borderId="5253" applyFill="0" applyProtection="0">
      <alignment horizontal="center"/>
    </xf>
    <xf numFmtId="246" fontId="249" fillId="0" borderId="5253" applyFill="0" applyProtection="0">
      <alignment horizontal="center"/>
    </xf>
    <xf numFmtId="0" fontId="241" fillId="94" borderId="5253" applyBorder="0" applyProtection="0">
      <alignment horizontal="centerContinuous" vertical="center"/>
    </xf>
    <xf numFmtId="254" fontId="240" fillId="0" borderId="5253" applyBorder="0" applyProtection="0">
      <alignment horizontal="right" vertical="center"/>
    </xf>
    <xf numFmtId="0" fontId="25" fillId="10" borderId="5251" applyNumberFormat="0" applyProtection="0">
      <alignment horizontal="left" vertical="top"/>
    </xf>
    <xf numFmtId="0" fontId="25" fillId="10" borderId="5250" applyNumberFormat="0" applyProtection="0">
      <alignment horizontal="left" vertical="top"/>
    </xf>
    <xf numFmtId="0" fontId="25" fillId="10" borderId="5249" applyNumberFormat="0" applyProtection="0">
      <alignment horizontal="left" vertical="top"/>
    </xf>
    <xf numFmtId="0" fontId="25" fillId="10" borderId="5248" applyNumberFormat="0" applyProtection="0">
      <alignment horizontal="left" vertical="top"/>
    </xf>
    <xf numFmtId="0" fontId="214" fillId="0" borderId="5247" applyNumberFormat="0" applyFont="0" applyFill="0" applyAlignment="0" applyProtection="0"/>
    <xf numFmtId="0" fontId="2" fillId="0" borderId="5246" applyNumberFormat="0" applyAlignment="0" applyProtection="0"/>
    <xf numFmtId="0" fontId="210" fillId="0" borderId="5253" applyNumberFormat="0" applyFill="0" applyBorder="0" applyAlignment="0">
      <protection locked="0"/>
    </xf>
    <xf numFmtId="264" fontId="12" fillId="14" borderId="5253" applyFont="0" applyFill="0" applyBorder="0" applyAlignment="0" applyProtection="0">
      <alignment horizontal="right"/>
    </xf>
    <xf numFmtId="0" fontId="166" fillId="0" borderId="5253">
      <alignment horizontal="center"/>
    </xf>
    <xf numFmtId="0" fontId="165" fillId="0" borderId="5253" applyFill="0" applyProtection="0">
      <alignment horizontal="center"/>
    </xf>
    <xf numFmtId="186" fontId="140" fillId="3" borderId="5245">
      <alignment horizontal="center" vertical="center"/>
    </xf>
    <xf numFmtId="186" fontId="146" fillId="3" borderId="5244">
      <alignment horizontal="left"/>
    </xf>
    <xf numFmtId="186" fontId="146" fillId="3" borderId="5253" applyBorder="0">
      <alignment horizontal="left" vertical="center"/>
    </xf>
    <xf numFmtId="180" fontId="9" fillId="3" borderId="5253">
      <alignment horizontal="right" vertical="center"/>
    </xf>
    <xf numFmtId="192" fontId="9" fillId="3" borderId="5253">
      <alignment horizontal="right" vertical="center"/>
    </xf>
    <xf numFmtId="248" fontId="46" fillId="0" borderId="5253"/>
    <xf numFmtId="0" fontId="78" fillId="14" borderId="5243" applyFont="0" applyFill="0" applyBorder="0" applyAlignment="0" applyProtection="0"/>
    <xf numFmtId="0" fontId="12" fillId="0" borderId="5253" applyNumberFormat="0" applyFill="0" applyBorder="0" applyAlignment="0" applyProtection="0">
      <alignment horizontal="center"/>
    </xf>
    <xf numFmtId="0" fontId="75" fillId="0" borderId="5242" applyNumberFormat="0" applyFont="0" applyFill="0" applyAlignment="0" applyProtection="0"/>
    <xf numFmtId="0" fontId="113" fillId="0" borderId="5253" applyNumberFormat="0" applyFill="0" applyAlignment="0" applyProtection="0"/>
    <xf numFmtId="222" fontId="79" fillId="0" borderId="5252" applyBorder="0"/>
    <xf numFmtId="0" fontId="101" fillId="0" borderId="5253" applyBorder="0"/>
    <xf numFmtId="0" fontId="25" fillId="10" borderId="5260" applyNumberFormat="0" applyProtection="0">
      <alignment horizontal="left" vertical="top"/>
    </xf>
    <xf numFmtId="0" fontId="25" fillId="10" borderId="5261" applyNumberFormat="0" applyProtection="0">
      <alignment horizontal="left" vertical="top"/>
    </xf>
    <xf numFmtId="0" fontId="25" fillId="10" borderId="5262" applyNumberFormat="0" applyProtection="0">
      <alignment horizontal="left" vertical="top"/>
    </xf>
    <xf numFmtId="0" fontId="25" fillId="10" borderId="5263" applyNumberFormat="0" applyProtection="0">
      <alignment horizontal="left" vertical="top"/>
    </xf>
    <xf numFmtId="246" fontId="250" fillId="0" borderId="5241" applyFill="0" applyProtection="0">
      <alignment horizontal="center"/>
    </xf>
    <xf numFmtId="246" fontId="249" fillId="0" borderId="5241" applyFill="0" applyProtection="0">
      <alignment horizontal="center"/>
    </xf>
    <xf numFmtId="0" fontId="241" fillId="94" borderId="5241" applyBorder="0" applyProtection="0">
      <alignment horizontal="centerContinuous" vertical="center"/>
    </xf>
    <xf numFmtId="254" fontId="240" fillId="0" borderId="5241" applyBorder="0" applyProtection="0">
      <alignment horizontal="right" vertical="center"/>
    </xf>
    <xf numFmtId="0" fontId="210" fillId="0" borderId="5241" applyNumberFormat="0" applyFill="0" applyBorder="0" applyAlignment="0">
      <protection locked="0"/>
    </xf>
    <xf numFmtId="264" fontId="12" fillId="14" borderId="5241" applyFont="0" applyFill="0" applyBorder="0" applyAlignment="0" applyProtection="0">
      <alignment horizontal="right"/>
    </xf>
    <xf numFmtId="0" fontId="166" fillId="0" borderId="5241">
      <alignment horizontal="center"/>
    </xf>
    <xf numFmtId="0" fontId="165" fillId="0" borderId="5241" applyFill="0" applyProtection="0">
      <alignment horizontal="center"/>
    </xf>
    <xf numFmtId="186" fontId="146" fillId="3" borderId="5241" applyBorder="0">
      <alignment horizontal="left" vertical="center"/>
    </xf>
    <xf numFmtId="180" fontId="9" fillId="3" borderId="5241">
      <alignment horizontal="right" vertical="center"/>
    </xf>
    <xf numFmtId="192" fontId="9" fillId="3" borderId="5241">
      <alignment horizontal="right" vertical="center"/>
    </xf>
    <xf numFmtId="248" fontId="46" fillId="0" borderId="5241"/>
    <xf numFmtId="0" fontId="12" fillId="0" borderId="5241" applyNumberFormat="0" applyFill="0" applyBorder="0" applyAlignment="0" applyProtection="0">
      <alignment horizontal="center"/>
    </xf>
    <xf numFmtId="0" fontId="113" fillId="0" borderId="5241" applyNumberFormat="0" applyFill="0" applyAlignment="0" applyProtection="0"/>
    <xf numFmtId="222" fontId="79" fillId="0" borderId="5240" applyBorder="0"/>
    <xf numFmtId="0" fontId="101" fillId="0" borderId="5241" applyBorder="0"/>
    <xf numFmtId="246" fontId="250" fillId="0" borderId="5241" applyFill="0" applyProtection="0">
      <alignment horizontal="center"/>
    </xf>
    <xf numFmtId="246" fontId="249" fillId="0" borderId="5241" applyFill="0" applyProtection="0">
      <alignment horizontal="center"/>
    </xf>
    <xf numFmtId="0" fontId="241" fillId="94" borderId="5241" applyBorder="0" applyProtection="0">
      <alignment horizontal="centerContinuous" vertical="center"/>
    </xf>
    <xf numFmtId="254" fontId="240" fillId="0" borderId="5241" applyBorder="0" applyProtection="0">
      <alignment horizontal="right" vertical="center"/>
    </xf>
    <xf numFmtId="0" fontId="210" fillId="0" borderId="5241" applyNumberFormat="0" applyFill="0" applyBorder="0" applyAlignment="0">
      <protection locked="0"/>
    </xf>
    <xf numFmtId="264" fontId="12" fillId="14" borderId="5241" applyFont="0" applyFill="0" applyBorder="0" applyAlignment="0" applyProtection="0">
      <alignment horizontal="right"/>
    </xf>
    <xf numFmtId="0" fontId="166" fillId="0" borderId="5241">
      <alignment horizontal="center"/>
    </xf>
    <xf numFmtId="0" fontId="165" fillId="0" borderId="5241" applyFill="0" applyProtection="0">
      <alignment horizontal="center"/>
    </xf>
    <xf numFmtId="186" fontId="146" fillId="3" borderId="5241" applyBorder="0">
      <alignment horizontal="left" vertical="center"/>
    </xf>
    <xf numFmtId="180" fontId="9" fillId="3" borderId="5241">
      <alignment horizontal="right" vertical="center"/>
    </xf>
    <xf numFmtId="192" fontId="9" fillId="3" borderId="5241">
      <alignment horizontal="right" vertical="center"/>
    </xf>
    <xf numFmtId="0" fontId="12" fillId="0" borderId="5241" applyNumberFormat="0" applyFill="0" applyBorder="0" applyAlignment="0" applyProtection="0">
      <alignment horizontal="center"/>
    </xf>
    <xf numFmtId="0" fontId="113" fillId="0" borderId="5241" applyNumberFormat="0" applyFill="0" applyAlignment="0" applyProtection="0"/>
    <xf numFmtId="222" fontId="79" fillId="0" borderId="5240" applyBorder="0"/>
    <xf numFmtId="0" fontId="101" fillId="0" borderId="5241" applyBorder="0"/>
    <xf numFmtId="248" fontId="46" fillId="0" borderId="5241"/>
    <xf numFmtId="246" fontId="250" fillId="0" borderId="5241" applyFill="0" applyProtection="0">
      <alignment horizontal="center"/>
    </xf>
    <xf numFmtId="246" fontId="249" fillId="0" borderId="5241" applyFill="0" applyProtection="0">
      <alignment horizontal="center"/>
    </xf>
    <xf numFmtId="0" fontId="241" fillId="94" borderId="5241" applyBorder="0" applyProtection="0">
      <alignment horizontal="centerContinuous" vertical="center"/>
    </xf>
    <xf numFmtId="254" fontId="240" fillId="0" borderId="5241" applyBorder="0" applyProtection="0">
      <alignment horizontal="right" vertical="center"/>
    </xf>
    <xf numFmtId="0" fontId="210" fillId="0" borderId="5241" applyNumberFormat="0" applyFill="0" applyBorder="0" applyAlignment="0">
      <protection locked="0"/>
    </xf>
    <xf numFmtId="264" fontId="12" fillId="14" borderId="5241" applyFont="0" applyFill="0" applyBorder="0" applyAlignment="0" applyProtection="0">
      <alignment horizontal="right"/>
    </xf>
    <xf numFmtId="0" fontId="166" fillId="0" borderId="5241">
      <alignment horizontal="center"/>
    </xf>
    <xf numFmtId="0" fontId="165" fillId="0" borderId="5241" applyFill="0" applyProtection="0">
      <alignment horizontal="center"/>
    </xf>
    <xf numFmtId="186" fontId="146" fillId="3" borderId="5241" applyBorder="0">
      <alignment horizontal="left" vertical="center"/>
    </xf>
    <xf numFmtId="180" fontId="9" fillId="3" borderId="5241">
      <alignment horizontal="right" vertical="center"/>
    </xf>
    <xf numFmtId="192" fontId="9" fillId="3" borderId="5241">
      <alignment horizontal="right" vertical="center"/>
    </xf>
    <xf numFmtId="248" fontId="46" fillId="0" borderId="5241"/>
    <xf numFmtId="0" fontId="12" fillId="0" borderId="5241" applyNumberFormat="0" applyFill="0" applyBorder="0" applyAlignment="0" applyProtection="0">
      <alignment horizontal="center"/>
    </xf>
    <xf numFmtId="0" fontId="113" fillId="0" borderId="5241" applyNumberFormat="0" applyFill="0" applyAlignment="0" applyProtection="0"/>
    <xf numFmtId="222" fontId="79" fillId="0" borderId="5240" applyBorder="0"/>
    <xf numFmtId="0" fontId="101" fillId="0" borderId="5241" applyBorder="0"/>
    <xf numFmtId="190" fontId="25" fillId="10" borderId="5308" applyNumberFormat="0" applyProtection="0">
      <alignment horizontal="left" vertical="top"/>
    </xf>
    <xf numFmtId="190" fontId="25" fillId="10" borderId="5309" applyNumberFormat="0" applyProtection="0">
      <alignment horizontal="left" vertical="top"/>
    </xf>
    <xf numFmtId="190" fontId="25" fillId="10" borderId="5310" applyNumberFormat="0" applyProtection="0">
      <alignment horizontal="left" vertical="top"/>
    </xf>
    <xf numFmtId="190" fontId="25" fillId="10" borderId="5311" applyNumberFormat="0" applyProtection="0">
      <alignment horizontal="left" vertical="top"/>
    </xf>
    <xf numFmtId="190" fontId="241" fillId="94" borderId="5325" applyBorder="0" applyProtection="0">
      <alignment horizontal="centerContinuous" vertical="center"/>
    </xf>
    <xf numFmtId="222" fontId="79" fillId="0" borderId="5324" applyBorder="0"/>
    <xf numFmtId="0" fontId="101" fillId="0" borderId="5325" applyBorder="0"/>
    <xf numFmtId="222" fontId="79" fillId="0" borderId="5324" applyBorder="0"/>
    <xf numFmtId="0" fontId="113" fillId="0" borderId="5325" applyNumberFormat="0" applyFill="0" applyAlignment="0" applyProtection="0"/>
    <xf numFmtId="0" fontId="75" fillId="0" borderId="5302" applyNumberFormat="0" applyFont="0" applyFill="0" applyAlignment="0" applyProtection="0"/>
    <xf numFmtId="0" fontId="12" fillId="0" borderId="5325" applyNumberFormat="0" applyFill="0" applyBorder="0" applyAlignment="0" applyProtection="0">
      <alignment horizontal="center"/>
    </xf>
    <xf numFmtId="248" fontId="46" fillId="0" borderId="5325"/>
    <xf numFmtId="192" fontId="9" fillId="3" borderId="5325">
      <alignment horizontal="right" vertical="center"/>
    </xf>
    <xf numFmtId="180" fontId="9" fillId="3" borderId="5325">
      <alignment horizontal="right" vertical="center"/>
    </xf>
    <xf numFmtId="186" fontId="146" fillId="3" borderId="5325" applyBorder="0">
      <alignment horizontal="left" vertical="center"/>
    </xf>
    <xf numFmtId="186" fontId="146" fillId="3" borderId="5304">
      <alignment horizontal="left"/>
    </xf>
    <xf numFmtId="186" fontId="140" fillId="3" borderId="5305">
      <alignment horizontal="center" vertical="center"/>
    </xf>
    <xf numFmtId="0" fontId="165" fillId="0" borderId="5325" applyFill="0" applyProtection="0">
      <alignment horizontal="center"/>
    </xf>
    <xf numFmtId="0" fontId="166" fillId="0" borderId="5325">
      <alignment horizontal="center"/>
    </xf>
    <xf numFmtId="264" fontId="12" fillId="14" borderId="5325" applyFont="0" applyFill="0" applyBorder="0" applyAlignment="0" applyProtection="0">
      <alignment horizontal="right"/>
    </xf>
    <xf numFmtId="0" fontId="210" fillId="0" borderId="5325" applyNumberFormat="0" applyFill="0" applyBorder="0" applyAlignment="0">
      <protection locked="0"/>
    </xf>
    <xf numFmtId="0" fontId="2" fillId="0" borderId="5306" applyNumberFormat="0" applyAlignment="0" applyProtection="0"/>
    <xf numFmtId="0" fontId="214" fillId="0" borderId="5307" applyNumberFormat="0" applyFont="0" applyFill="0" applyAlignment="0" applyProtection="0"/>
    <xf numFmtId="0" fontId="25" fillId="10" borderId="5308" applyNumberFormat="0" applyProtection="0">
      <alignment horizontal="left" vertical="top"/>
    </xf>
    <xf numFmtId="0" fontId="25" fillId="10" borderId="5309" applyNumberFormat="0" applyProtection="0">
      <alignment horizontal="left" vertical="top"/>
    </xf>
    <xf numFmtId="0" fontId="25" fillId="10" borderId="5310" applyNumberFormat="0" applyProtection="0">
      <alignment horizontal="left" vertical="top"/>
    </xf>
    <xf numFmtId="0" fontId="25" fillId="10" borderId="5311" applyNumberFormat="0" applyProtection="0">
      <alignment horizontal="left" vertical="top"/>
    </xf>
    <xf numFmtId="0" fontId="25" fillId="10" borderId="5308" applyNumberFormat="0" applyProtection="0">
      <alignment horizontal="left" vertical="top"/>
    </xf>
    <xf numFmtId="0" fontId="25" fillId="10" borderId="5309" applyNumberFormat="0" applyProtection="0">
      <alignment horizontal="left" vertical="top"/>
    </xf>
    <xf numFmtId="0" fontId="25" fillId="10" borderId="5310" applyNumberFormat="0" applyProtection="0">
      <alignment horizontal="left" vertical="top"/>
    </xf>
    <xf numFmtId="0" fontId="25" fillId="10" borderId="5311" applyNumberFormat="0" applyProtection="0">
      <alignment horizontal="left" vertical="top"/>
    </xf>
    <xf numFmtId="254" fontId="240" fillId="0" borderId="5325" applyBorder="0" applyProtection="0">
      <alignment horizontal="right" vertical="center"/>
    </xf>
    <xf numFmtId="0" fontId="241" fillId="94" borderId="5325" applyBorder="0" applyProtection="0">
      <alignment horizontal="centerContinuous" vertical="center"/>
    </xf>
    <xf numFmtId="246" fontId="249" fillId="0" borderId="5325" applyFill="0" applyProtection="0">
      <alignment horizontal="center"/>
    </xf>
    <xf numFmtId="246" fontId="250" fillId="0" borderId="5325" applyFill="0" applyProtection="0">
      <alignment horizontal="center"/>
    </xf>
    <xf numFmtId="312" fontId="101" fillId="0" borderId="5325" applyBorder="0"/>
    <xf numFmtId="312" fontId="113" fillId="0" borderId="5325" applyNumberFormat="0" applyFill="0" applyAlignment="0" applyProtection="0"/>
    <xf numFmtId="312" fontId="75" fillId="0" borderId="5302" applyNumberFormat="0" applyFont="0" applyFill="0" applyAlignment="0" applyProtection="0"/>
    <xf numFmtId="312" fontId="12" fillId="0" borderId="5325" applyNumberFormat="0" applyFill="0" applyBorder="0" applyAlignment="0" applyProtection="0">
      <alignment horizontal="center"/>
    </xf>
    <xf numFmtId="312" fontId="78" fillId="14" borderId="5134" applyFont="0" applyFill="0" applyBorder="0" applyAlignment="0" applyProtection="0"/>
    <xf numFmtId="312" fontId="165" fillId="0" borderId="5325" applyFill="0" applyProtection="0">
      <alignment horizontal="center"/>
    </xf>
    <xf numFmtId="312" fontId="242" fillId="0" borderId="5325">
      <alignment horizontal="center"/>
    </xf>
    <xf numFmtId="312" fontId="210" fillId="0" borderId="5325" applyNumberFormat="0" applyFill="0" applyBorder="0" applyAlignment="0">
      <protection locked="0"/>
    </xf>
    <xf numFmtId="312" fontId="2" fillId="0" borderId="5306" applyNumberFormat="0" applyAlignment="0" applyProtection="0"/>
    <xf numFmtId="312" fontId="214" fillId="0" borderId="5307" applyNumberFormat="0" applyFont="0" applyFill="0" applyAlignment="0" applyProtection="0"/>
    <xf numFmtId="312" fontId="25" fillId="10" borderId="5308" applyNumberFormat="0" applyProtection="0">
      <alignment horizontal="left" vertical="top"/>
    </xf>
    <xf numFmtId="312" fontId="25" fillId="10" borderId="5309" applyNumberFormat="0" applyProtection="0">
      <alignment horizontal="left" vertical="top"/>
    </xf>
    <xf numFmtId="312" fontId="25" fillId="10" borderId="5310" applyNumberFormat="0" applyProtection="0">
      <alignment horizontal="left" vertical="top"/>
    </xf>
    <xf numFmtId="312" fontId="25" fillId="10" borderId="5311" applyNumberFormat="0" applyProtection="0">
      <alignment horizontal="left" vertical="top"/>
    </xf>
    <xf numFmtId="312" fontId="241" fillId="94" borderId="5325" applyBorder="0" applyProtection="0">
      <alignment horizontal="centerContinuous" vertical="center"/>
    </xf>
    <xf numFmtId="246" fontId="296" fillId="0" borderId="5325" applyFill="0" applyProtection="0">
      <alignment horizontal="center"/>
    </xf>
    <xf numFmtId="312" fontId="101" fillId="0" borderId="5325" applyBorder="0"/>
    <xf numFmtId="312" fontId="113" fillId="0" borderId="5325" applyNumberFormat="0" applyFill="0" applyAlignment="0" applyProtection="0"/>
    <xf numFmtId="312" fontId="75" fillId="0" borderId="5302" applyNumberFormat="0" applyFont="0" applyFill="0" applyAlignment="0" applyProtection="0"/>
    <xf numFmtId="312" fontId="12" fillId="0" borderId="5325" applyNumberFormat="0" applyFill="0" applyBorder="0" applyAlignment="0" applyProtection="0">
      <alignment horizontal="center"/>
    </xf>
    <xf numFmtId="312" fontId="78" fillId="14" borderId="5134" applyFont="0" applyFill="0" applyBorder="0" applyAlignment="0" applyProtection="0"/>
    <xf numFmtId="312" fontId="165" fillId="0" borderId="5325" applyFill="0" applyProtection="0">
      <alignment horizontal="center"/>
    </xf>
    <xf numFmtId="312" fontId="242" fillId="0" borderId="5325">
      <alignment horizontal="center"/>
    </xf>
    <xf numFmtId="312" fontId="210" fillId="0" borderId="5325" applyNumberFormat="0" applyFill="0" applyBorder="0" applyAlignment="0">
      <protection locked="0"/>
    </xf>
    <xf numFmtId="312" fontId="2" fillId="0" borderId="5306" applyNumberFormat="0" applyAlignment="0" applyProtection="0"/>
    <xf numFmtId="312" fontId="214" fillId="0" borderId="5307" applyNumberFormat="0" applyFont="0" applyFill="0" applyAlignment="0" applyProtection="0"/>
    <xf numFmtId="312" fontId="25" fillId="10" borderId="5308" applyNumberFormat="0" applyProtection="0">
      <alignment horizontal="left" vertical="top"/>
    </xf>
    <xf numFmtId="312" fontId="25" fillId="10" borderId="5309" applyNumberFormat="0" applyProtection="0">
      <alignment horizontal="left" vertical="top"/>
    </xf>
    <xf numFmtId="312" fontId="25" fillId="10" borderId="5310" applyNumberFormat="0" applyProtection="0">
      <alignment horizontal="left" vertical="top"/>
    </xf>
    <xf numFmtId="312" fontId="25" fillId="10" borderId="5311" applyNumberFormat="0" applyProtection="0">
      <alignment horizontal="left" vertical="top"/>
    </xf>
    <xf numFmtId="312" fontId="25" fillId="10" borderId="5308" applyNumberFormat="0" applyProtection="0">
      <alignment horizontal="left" vertical="top"/>
    </xf>
    <xf numFmtId="312" fontId="25" fillId="10" borderId="5309" applyNumberFormat="0" applyProtection="0">
      <alignment horizontal="left" vertical="top"/>
    </xf>
    <xf numFmtId="312" fontId="25" fillId="10" borderId="5310" applyNumberFormat="0" applyProtection="0">
      <alignment horizontal="left" vertical="top"/>
    </xf>
    <xf numFmtId="312" fontId="25" fillId="10" borderId="5311" applyNumberFormat="0" applyProtection="0">
      <alignment horizontal="left" vertical="top"/>
    </xf>
    <xf numFmtId="312" fontId="241" fillId="94" borderId="5325" applyBorder="0" applyProtection="0">
      <alignment horizontal="centerContinuous" vertical="center"/>
    </xf>
    <xf numFmtId="246" fontId="296" fillId="0" borderId="5325" applyFill="0" applyProtection="0">
      <alignment horizontal="center"/>
    </xf>
    <xf numFmtId="246" fontId="250" fillId="0" borderId="5325" applyFill="0" applyProtection="0">
      <alignment horizontal="center"/>
    </xf>
    <xf numFmtId="246" fontId="249" fillId="0" borderId="5325" applyFill="0" applyProtection="0">
      <alignment horizontal="center"/>
    </xf>
    <xf numFmtId="0" fontId="241" fillId="94" borderId="5325" applyBorder="0" applyProtection="0">
      <alignment horizontal="centerContinuous" vertical="center"/>
    </xf>
    <xf numFmtId="254" fontId="240" fillId="0" borderId="5325" applyBorder="0" applyProtection="0">
      <alignment horizontal="right" vertical="center"/>
    </xf>
    <xf numFmtId="0" fontId="25" fillId="10" borderId="5263" applyNumberFormat="0" applyProtection="0">
      <alignment horizontal="left" vertical="top"/>
    </xf>
    <xf numFmtId="0" fontId="25" fillId="10" borderId="5262" applyNumberFormat="0" applyProtection="0">
      <alignment horizontal="left" vertical="top"/>
    </xf>
    <xf numFmtId="0" fontId="25" fillId="10" borderId="5261" applyNumberFormat="0" applyProtection="0">
      <alignment horizontal="left" vertical="top"/>
    </xf>
    <xf numFmtId="0" fontId="25" fillId="10" borderId="5260" applyNumberFormat="0" applyProtection="0">
      <alignment horizontal="left" vertical="top"/>
    </xf>
    <xf numFmtId="0" fontId="214" fillId="0" borderId="5259" applyNumberFormat="0" applyFont="0" applyFill="0" applyAlignment="0" applyProtection="0"/>
    <xf numFmtId="0" fontId="2" fillId="0" borderId="5258" applyNumberFormat="0" applyAlignment="0" applyProtection="0"/>
    <xf numFmtId="0" fontId="210" fillId="0" borderId="5325" applyNumberFormat="0" applyFill="0" applyBorder="0" applyAlignment="0">
      <protection locked="0"/>
    </xf>
    <xf numFmtId="264" fontId="12" fillId="14" borderId="5325" applyFont="0" applyFill="0" applyBorder="0" applyAlignment="0" applyProtection="0">
      <alignment horizontal="right"/>
    </xf>
    <xf numFmtId="0" fontId="166" fillId="0" borderId="5325">
      <alignment horizontal="center"/>
    </xf>
    <xf numFmtId="0" fontId="165" fillId="0" borderId="5325" applyFill="0" applyProtection="0">
      <alignment horizontal="center"/>
    </xf>
    <xf numFmtId="186" fontId="140" fillId="3" borderId="5257">
      <alignment horizontal="center" vertical="center"/>
    </xf>
    <xf numFmtId="186" fontId="146" fillId="3" borderId="5256">
      <alignment horizontal="left"/>
    </xf>
    <xf numFmtId="186" fontId="146" fillId="3" borderId="5325" applyBorder="0">
      <alignment horizontal="left" vertical="center"/>
    </xf>
    <xf numFmtId="180" fontId="9" fillId="3" borderId="5325">
      <alignment horizontal="right" vertical="center"/>
    </xf>
    <xf numFmtId="192" fontId="9" fillId="3" borderId="5325">
      <alignment horizontal="right" vertical="center"/>
    </xf>
    <xf numFmtId="248" fontId="46" fillId="0" borderId="5325"/>
    <xf numFmtId="0" fontId="78" fillId="14" borderId="5255" applyFont="0" applyFill="0" applyBorder="0" applyAlignment="0" applyProtection="0"/>
    <xf numFmtId="0" fontId="12" fillId="0" borderId="5325" applyNumberFormat="0" applyFill="0" applyBorder="0" applyAlignment="0" applyProtection="0">
      <alignment horizontal="center"/>
    </xf>
    <xf numFmtId="0" fontId="75" fillId="0" borderId="5254" applyNumberFormat="0" applyFont="0" applyFill="0" applyAlignment="0" applyProtection="0"/>
    <xf numFmtId="0" fontId="113" fillId="0" borderId="5325" applyNumberFormat="0" applyFill="0" applyAlignment="0" applyProtection="0"/>
    <xf numFmtId="222" fontId="79" fillId="0" borderId="5324" applyBorder="0"/>
    <xf numFmtId="0" fontId="101" fillId="0" borderId="5325" applyBorder="0"/>
    <xf numFmtId="0" fontId="25" fillId="10" borderId="5332" applyNumberFormat="0" applyProtection="0">
      <alignment horizontal="left" vertical="top"/>
    </xf>
    <xf numFmtId="0" fontId="25" fillId="10" borderId="5333" applyNumberFormat="0" applyProtection="0">
      <alignment horizontal="left" vertical="top"/>
    </xf>
    <xf numFmtId="0" fontId="25" fillId="10" borderId="5334" applyNumberFormat="0" applyProtection="0">
      <alignment horizontal="left" vertical="top"/>
    </xf>
    <xf numFmtId="0" fontId="25" fillId="10" borderId="5335" applyNumberFormat="0" applyProtection="0">
      <alignment horizontal="left" vertical="top"/>
    </xf>
    <xf numFmtId="246" fontId="250" fillId="0" borderId="5265" applyFill="0" applyProtection="0">
      <alignment horizontal="center"/>
    </xf>
    <xf numFmtId="246" fontId="249" fillId="0" borderId="5265" applyFill="0" applyProtection="0">
      <alignment horizontal="center"/>
    </xf>
    <xf numFmtId="0" fontId="241" fillId="94" borderId="5265" applyBorder="0" applyProtection="0">
      <alignment horizontal="centerContinuous" vertical="center"/>
    </xf>
    <xf numFmtId="254" fontId="240" fillId="0" borderId="5265" applyBorder="0" applyProtection="0">
      <alignment horizontal="right" vertical="center"/>
    </xf>
    <xf numFmtId="0" fontId="210" fillId="0" borderId="5265" applyNumberFormat="0" applyFill="0" applyBorder="0" applyAlignment="0">
      <protection locked="0"/>
    </xf>
    <xf numFmtId="264" fontId="12" fillId="14" borderId="5265" applyFont="0" applyFill="0" applyBorder="0" applyAlignment="0" applyProtection="0">
      <alignment horizontal="right"/>
    </xf>
    <xf numFmtId="0" fontId="166" fillId="0" borderId="5265">
      <alignment horizontal="center"/>
    </xf>
    <xf numFmtId="0" fontId="165" fillId="0" borderId="5265" applyFill="0" applyProtection="0">
      <alignment horizontal="center"/>
    </xf>
    <xf numFmtId="186" fontId="146" fillId="3" borderId="5265" applyBorder="0">
      <alignment horizontal="left" vertical="center"/>
    </xf>
    <xf numFmtId="180" fontId="9" fillId="3" borderId="5265">
      <alignment horizontal="right" vertical="center"/>
    </xf>
    <xf numFmtId="192" fontId="9" fillId="3" borderId="5265">
      <alignment horizontal="right" vertical="center"/>
    </xf>
    <xf numFmtId="248" fontId="46" fillId="0" borderId="5265"/>
    <xf numFmtId="0" fontId="12" fillId="0" borderId="5265" applyNumberFormat="0" applyFill="0" applyBorder="0" applyAlignment="0" applyProtection="0">
      <alignment horizontal="center"/>
    </xf>
    <xf numFmtId="0" fontId="113" fillId="0" borderId="5265" applyNumberFormat="0" applyFill="0" applyAlignment="0" applyProtection="0"/>
    <xf numFmtId="222" fontId="79" fillId="0" borderId="5143" applyBorder="0"/>
    <xf numFmtId="0" fontId="101" fillId="0" borderId="5265" applyBorder="0"/>
    <xf numFmtId="246" fontId="250" fillId="0" borderId="5265" applyFill="0" applyProtection="0">
      <alignment horizontal="center"/>
    </xf>
    <xf numFmtId="246" fontId="249" fillId="0" borderId="5265" applyFill="0" applyProtection="0">
      <alignment horizontal="center"/>
    </xf>
    <xf numFmtId="0" fontId="241" fillId="94" borderId="5265" applyBorder="0" applyProtection="0">
      <alignment horizontal="centerContinuous" vertical="center"/>
    </xf>
    <xf numFmtId="254" fontId="240" fillId="0" borderId="5265" applyBorder="0" applyProtection="0">
      <alignment horizontal="right" vertical="center"/>
    </xf>
    <xf numFmtId="0" fontId="210" fillId="0" borderId="5265" applyNumberFormat="0" applyFill="0" applyBorder="0" applyAlignment="0">
      <protection locked="0"/>
    </xf>
    <xf numFmtId="264" fontId="12" fillId="14" borderId="5265" applyFont="0" applyFill="0" applyBorder="0" applyAlignment="0" applyProtection="0">
      <alignment horizontal="right"/>
    </xf>
    <xf numFmtId="0" fontId="166" fillId="0" borderId="5265">
      <alignment horizontal="center"/>
    </xf>
    <xf numFmtId="0" fontId="165" fillId="0" borderId="5265" applyFill="0" applyProtection="0">
      <alignment horizontal="center"/>
    </xf>
    <xf numFmtId="186" fontId="146" fillId="3" borderId="5265" applyBorder="0">
      <alignment horizontal="left" vertical="center"/>
    </xf>
    <xf numFmtId="180" fontId="9" fillId="3" borderId="5265">
      <alignment horizontal="right" vertical="center"/>
    </xf>
    <xf numFmtId="192" fontId="9" fillId="3" borderId="5265">
      <alignment horizontal="right" vertical="center"/>
    </xf>
    <xf numFmtId="0" fontId="12" fillId="0" borderId="5265" applyNumberFormat="0" applyFill="0" applyBorder="0" applyAlignment="0" applyProtection="0">
      <alignment horizontal="center"/>
    </xf>
    <xf numFmtId="0" fontId="113" fillId="0" borderId="5265" applyNumberFormat="0" applyFill="0" applyAlignment="0" applyProtection="0"/>
    <xf numFmtId="222" fontId="79" fillId="0" borderId="5143" applyBorder="0"/>
    <xf numFmtId="0" fontId="101" fillId="0" borderId="5265" applyBorder="0"/>
    <xf numFmtId="248" fontId="46" fillId="0" borderId="5265"/>
    <xf numFmtId="246" fontId="250" fillId="0" borderId="5265" applyFill="0" applyProtection="0">
      <alignment horizontal="center"/>
    </xf>
    <xf numFmtId="246" fontId="249" fillId="0" borderId="5265" applyFill="0" applyProtection="0">
      <alignment horizontal="center"/>
    </xf>
    <xf numFmtId="0" fontId="241" fillId="94" borderId="5265" applyBorder="0" applyProtection="0">
      <alignment horizontal="centerContinuous" vertical="center"/>
    </xf>
    <xf numFmtId="254" fontId="240" fillId="0" borderId="5265" applyBorder="0" applyProtection="0">
      <alignment horizontal="right" vertical="center"/>
    </xf>
    <xf numFmtId="0" fontId="210" fillId="0" borderId="5265" applyNumberFormat="0" applyFill="0" applyBorder="0" applyAlignment="0">
      <protection locked="0"/>
    </xf>
    <xf numFmtId="264" fontId="12" fillId="14" borderId="5265" applyFont="0" applyFill="0" applyBorder="0" applyAlignment="0" applyProtection="0">
      <alignment horizontal="right"/>
    </xf>
    <xf numFmtId="0" fontId="166" fillId="0" borderId="5265">
      <alignment horizontal="center"/>
    </xf>
    <xf numFmtId="0" fontId="165" fillId="0" borderId="5265" applyFill="0" applyProtection="0">
      <alignment horizontal="center"/>
    </xf>
    <xf numFmtId="186" fontId="146" fillId="3" borderId="5265" applyBorder="0">
      <alignment horizontal="left" vertical="center"/>
    </xf>
    <xf numFmtId="180" fontId="9" fillId="3" borderId="5265">
      <alignment horizontal="right" vertical="center"/>
    </xf>
    <xf numFmtId="192" fontId="9" fillId="3" borderId="5265">
      <alignment horizontal="right" vertical="center"/>
    </xf>
    <xf numFmtId="248" fontId="46" fillId="0" borderId="5265"/>
    <xf numFmtId="0" fontId="12" fillId="0" borderId="5265" applyNumberFormat="0" applyFill="0" applyBorder="0" applyAlignment="0" applyProtection="0">
      <alignment horizontal="center"/>
    </xf>
    <xf numFmtId="0" fontId="113" fillId="0" borderId="5265" applyNumberFormat="0" applyFill="0" applyAlignment="0" applyProtection="0"/>
    <xf numFmtId="222" fontId="79" fillId="0" borderId="5143" applyBorder="0"/>
    <xf numFmtId="0" fontId="101" fillId="0" borderId="5265" applyBorder="0"/>
    <xf numFmtId="222" fontId="79" fillId="0" borderId="5336" applyBorder="0"/>
    <xf numFmtId="0" fontId="101" fillId="0" borderId="5337" applyBorder="0"/>
    <xf numFmtId="222" fontId="79" fillId="0" borderId="5336" applyBorder="0"/>
    <xf numFmtId="0" fontId="113" fillId="0" borderId="5337" applyNumberFormat="0" applyFill="0" applyAlignment="0" applyProtection="0"/>
    <xf numFmtId="0" fontId="12" fillId="0" borderId="5337" applyNumberFormat="0" applyFill="0" applyBorder="0" applyAlignment="0" applyProtection="0">
      <alignment horizontal="center"/>
    </xf>
    <xf numFmtId="248" fontId="46" fillId="0" borderId="5337"/>
    <xf numFmtId="192" fontId="9" fillId="3" borderId="5337">
      <alignment horizontal="right" vertical="center"/>
    </xf>
    <xf numFmtId="180" fontId="9" fillId="3" borderId="5337">
      <alignment horizontal="right" vertical="center"/>
    </xf>
    <xf numFmtId="186" fontId="146" fillId="3" borderId="5337" applyBorder="0">
      <alignment horizontal="left" vertical="center"/>
    </xf>
    <xf numFmtId="0" fontId="165" fillId="0" borderId="5337" applyFill="0" applyProtection="0">
      <alignment horizontal="center"/>
    </xf>
    <xf numFmtId="0" fontId="166" fillId="0" borderId="5337">
      <alignment horizontal="center"/>
    </xf>
    <xf numFmtId="264" fontId="12" fillId="14" borderId="5337" applyFont="0" applyFill="0" applyBorder="0" applyAlignment="0" applyProtection="0">
      <alignment horizontal="right"/>
    </xf>
    <xf numFmtId="0" fontId="210" fillId="0" borderId="5337" applyNumberFormat="0" applyFill="0" applyBorder="0" applyAlignment="0">
      <protection locked="0"/>
    </xf>
    <xf numFmtId="254" fontId="240" fillId="0" borderId="5337" applyBorder="0" applyProtection="0">
      <alignment horizontal="right" vertical="center"/>
    </xf>
    <xf numFmtId="0" fontId="241" fillId="94" borderId="5337" applyBorder="0" applyProtection="0">
      <alignment horizontal="centerContinuous" vertical="center"/>
    </xf>
    <xf numFmtId="246" fontId="249" fillId="0" borderId="5337" applyFill="0" applyProtection="0">
      <alignment horizontal="center"/>
    </xf>
    <xf numFmtId="246" fontId="250" fillId="0" borderId="5337" applyFill="0" applyProtection="0">
      <alignment horizontal="center"/>
    </xf>
    <xf numFmtId="0" fontId="78" fillId="14" borderId="5339" applyFont="0" applyFill="0" applyBorder="0" applyAlignment="0" applyProtection="0"/>
    <xf numFmtId="0" fontId="25" fillId="10" borderId="5347" applyNumberFormat="0" applyProtection="0">
      <alignment horizontal="left" vertical="top"/>
    </xf>
    <xf numFmtId="0" fontId="25" fillId="10" borderId="5346" applyNumberFormat="0" applyProtection="0">
      <alignment horizontal="left" vertical="top"/>
    </xf>
    <xf numFmtId="0" fontId="25" fillId="10" borderId="5345" applyNumberFormat="0" applyProtection="0">
      <alignment horizontal="left" vertical="top"/>
    </xf>
    <xf numFmtId="0" fontId="25" fillId="10" borderId="5344" applyNumberFormat="0" applyProtection="0">
      <alignment horizontal="left" vertical="top"/>
    </xf>
    <xf numFmtId="0" fontId="214" fillId="0" borderId="5343" applyNumberFormat="0" applyFont="0" applyFill="0" applyAlignment="0" applyProtection="0"/>
    <xf numFmtId="0" fontId="2" fillId="0" borderId="5342" applyNumberFormat="0" applyAlignment="0" applyProtection="0"/>
    <xf numFmtId="186" fontId="140" fillId="3" borderId="5341">
      <alignment horizontal="center" vertical="center"/>
    </xf>
    <xf numFmtId="186" fontId="146" fillId="3" borderId="5340">
      <alignment horizontal="left"/>
    </xf>
    <xf numFmtId="0" fontId="75" fillId="0" borderId="5338" applyNumberFormat="0" applyFont="0" applyFill="0" applyAlignment="0" applyProtection="0"/>
    <xf numFmtId="222" fontId="79" fillId="0" borderId="5348" applyBorder="0"/>
    <xf numFmtId="0" fontId="101" fillId="0" borderId="5349" applyBorder="0"/>
    <xf numFmtId="222" fontId="79" fillId="0" borderId="5348" applyBorder="0"/>
    <xf numFmtId="0" fontId="113" fillId="0" borderId="5349" applyNumberFormat="0" applyFill="0" applyAlignment="0" applyProtection="0"/>
    <xf numFmtId="0" fontId="12" fillId="0" borderId="5349" applyNumberFormat="0" applyFill="0" applyBorder="0" applyAlignment="0" applyProtection="0">
      <alignment horizontal="center"/>
    </xf>
    <xf numFmtId="248" fontId="46" fillId="0" borderId="5349"/>
    <xf numFmtId="192" fontId="9" fillId="3" borderId="5349">
      <alignment horizontal="right" vertical="center"/>
    </xf>
    <xf numFmtId="180" fontId="9" fillId="3" borderId="5349">
      <alignment horizontal="right" vertical="center"/>
    </xf>
    <xf numFmtId="186" fontId="146" fillId="3" borderId="5349" applyBorder="0">
      <alignment horizontal="left" vertical="center"/>
    </xf>
    <xf numFmtId="0" fontId="165" fillId="0" borderId="5349" applyFill="0" applyProtection="0">
      <alignment horizontal="center"/>
    </xf>
    <xf numFmtId="0" fontId="166" fillId="0" borderId="5349">
      <alignment horizontal="center"/>
    </xf>
    <xf numFmtId="264" fontId="12" fillId="14" borderId="5349" applyFont="0" applyFill="0" applyBorder="0" applyAlignment="0" applyProtection="0">
      <alignment horizontal="right"/>
    </xf>
    <xf numFmtId="0" fontId="210" fillId="0" borderId="5349" applyNumberFormat="0" applyFill="0" applyBorder="0" applyAlignment="0">
      <protection locked="0"/>
    </xf>
    <xf numFmtId="254" fontId="240" fillId="0" borderId="5349" applyBorder="0" applyProtection="0">
      <alignment horizontal="right" vertical="center"/>
    </xf>
    <xf numFmtId="0" fontId="241" fillId="94" borderId="5349" applyBorder="0" applyProtection="0">
      <alignment horizontal="centerContinuous" vertical="center"/>
    </xf>
    <xf numFmtId="246" fontId="249" fillId="0" borderId="5349" applyFill="0" applyProtection="0">
      <alignment horizontal="center"/>
    </xf>
    <xf numFmtId="246" fontId="250" fillId="0" borderId="5349" applyFill="0" applyProtection="0">
      <alignment horizontal="center"/>
    </xf>
    <xf numFmtId="186" fontId="146" fillId="3" borderId="5352">
      <alignment horizontal="left"/>
    </xf>
    <xf numFmtId="0" fontId="75" fillId="0" borderId="5350" applyNumberFormat="0" applyFont="0" applyFill="0" applyAlignment="0" applyProtection="0"/>
    <xf numFmtId="0" fontId="113" fillId="0" borderId="5433" applyNumberFormat="0" applyFill="0" applyAlignment="0" applyProtection="0"/>
    <xf numFmtId="264" fontId="12" fillId="14" borderId="5433" applyFont="0" applyFill="0" applyBorder="0" applyAlignment="0" applyProtection="0">
      <alignment horizontal="right"/>
    </xf>
    <xf numFmtId="246" fontId="249" fillId="0" borderId="5433" applyFill="0" applyProtection="0">
      <alignment horizontal="center"/>
    </xf>
    <xf numFmtId="0" fontId="25" fillId="10" borderId="5359" applyNumberFormat="0" applyProtection="0">
      <alignment horizontal="left" vertical="top"/>
    </xf>
    <xf numFmtId="0" fontId="25" fillId="10" borderId="5357" applyNumberFormat="0" applyProtection="0">
      <alignment horizontal="left" vertical="top"/>
    </xf>
    <xf numFmtId="0" fontId="25" fillId="10" borderId="5358" applyNumberFormat="0" applyProtection="0">
      <alignment horizontal="left" vertical="top"/>
    </xf>
    <xf numFmtId="0" fontId="25" fillId="10" borderId="5356" applyNumberFormat="0" applyProtection="0">
      <alignment horizontal="left" vertical="top"/>
    </xf>
    <xf numFmtId="0" fontId="25" fillId="10" borderId="5359" applyNumberFormat="0" applyProtection="0">
      <alignment horizontal="left" vertical="top"/>
    </xf>
    <xf numFmtId="0" fontId="25" fillId="10" borderId="5358" applyNumberFormat="0" applyProtection="0">
      <alignment horizontal="left" vertical="top"/>
    </xf>
    <xf numFmtId="0" fontId="25" fillId="10" borderId="5357" applyNumberFormat="0" applyProtection="0">
      <alignment horizontal="left" vertical="top"/>
    </xf>
    <xf numFmtId="0" fontId="25" fillId="10" borderId="5356" applyNumberFormat="0" applyProtection="0">
      <alignment horizontal="left" vertical="top"/>
    </xf>
    <xf numFmtId="0" fontId="214" fillId="0" borderId="5355" applyNumberFormat="0" applyFont="0" applyFill="0" applyAlignment="0" applyProtection="0"/>
    <xf numFmtId="0" fontId="2" fillId="0" borderId="5354" applyNumberFormat="0" applyAlignment="0" applyProtection="0"/>
    <xf numFmtId="186" fontId="140" fillId="3" borderId="5353">
      <alignment horizontal="center" vertical="center"/>
    </xf>
    <xf numFmtId="186" fontId="140" fillId="3" borderId="5365">
      <alignment horizontal="center" vertical="center"/>
    </xf>
    <xf numFmtId="0" fontId="25" fillId="10" borderId="5368" applyNumberFormat="0" applyProtection="0">
      <alignment horizontal="left" vertical="top"/>
    </xf>
    <xf numFmtId="0" fontId="12" fillId="0" borderId="5433" applyNumberFormat="0" applyFill="0" applyBorder="0" applyAlignment="0" applyProtection="0">
      <alignment horizontal="center"/>
    </xf>
    <xf numFmtId="0" fontId="25" fillId="10" borderId="5430" applyNumberFormat="0" applyProtection="0">
      <alignment horizontal="left" vertical="top"/>
    </xf>
    <xf numFmtId="222" fontId="79" fillId="0" borderId="5420" applyBorder="0"/>
    <xf numFmtId="0" fontId="78" fillId="14" borderId="5423" applyFont="0" applyFill="0" applyBorder="0" applyAlignment="0" applyProtection="0"/>
    <xf numFmtId="222" fontId="79" fillId="0" borderId="5432" applyBorder="0"/>
    <xf numFmtId="0" fontId="101" fillId="0" borderId="5433" applyBorder="0"/>
    <xf numFmtId="222" fontId="79" fillId="0" borderId="5432" applyBorder="0"/>
    <xf numFmtId="248" fontId="46" fillId="0" borderId="5433"/>
    <xf numFmtId="192" fontId="9" fillId="3" borderId="5433">
      <alignment horizontal="right" vertical="center"/>
    </xf>
    <xf numFmtId="180" fontId="9" fillId="3" borderId="5433">
      <alignment horizontal="right" vertical="center"/>
    </xf>
    <xf numFmtId="186" fontId="146" fillId="3" borderId="5433" applyBorder="0">
      <alignment horizontal="left" vertical="center"/>
    </xf>
    <xf numFmtId="0" fontId="165" fillId="0" borderId="5433" applyFill="0" applyProtection="0">
      <alignment horizontal="center"/>
    </xf>
    <xf numFmtId="0" fontId="210" fillId="0" borderId="5433" applyNumberFormat="0" applyFill="0" applyBorder="0" applyAlignment="0">
      <protection locked="0"/>
    </xf>
    <xf numFmtId="254" fontId="240" fillId="0" borderId="5433" applyBorder="0" applyProtection="0">
      <alignment horizontal="right" vertical="center"/>
    </xf>
    <xf numFmtId="246" fontId="250" fillId="0" borderId="5433" applyFill="0" applyProtection="0">
      <alignment horizontal="center"/>
    </xf>
    <xf numFmtId="222" fontId="79" fillId="0" borderId="5372" applyBorder="0"/>
    <xf numFmtId="0" fontId="25" fillId="10" borderId="5369" applyNumberFormat="0" applyProtection="0">
      <alignment horizontal="left" vertical="top"/>
    </xf>
    <xf numFmtId="0" fontId="25" fillId="10" borderId="5371" applyNumberFormat="0" applyProtection="0">
      <alignment horizontal="left" vertical="top"/>
    </xf>
    <xf numFmtId="0" fontId="25" fillId="10" borderId="5368" applyNumberFormat="0" applyProtection="0">
      <alignment horizontal="left" vertical="top"/>
    </xf>
    <xf numFmtId="0" fontId="25" fillId="10" borderId="5369" applyNumberFormat="0" applyProtection="0">
      <alignment horizontal="left" vertical="top"/>
    </xf>
    <xf numFmtId="0" fontId="25" fillId="10" borderId="5370" applyNumberFormat="0" applyProtection="0">
      <alignment horizontal="left" vertical="top"/>
    </xf>
    <xf numFmtId="0" fontId="75" fillId="0" borderId="5374" applyNumberFormat="0" applyFont="0" applyFill="0" applyAlignment="0" applyProtection="0"/>
    <xf numFmtId="0" fontId="101" fillId="0" borderId="5385" applyBorder="0"/>
    <xf numFmtId="222" fontId="79" fillId="0" borderId="5384" applyBorder="0"/>
    <xf numFmtId="0" fontId="113" fillId="0" borderId="5385" applyNumberFormat="0" applyFill="0" applyAlignment="0" applyProtection="0"/>
    <xf numFmtId="0" fontId="12" fillId="0" borderId="5385" applyNumberFormat="0" applyFill="0" applyBorder="0" applyAlignment="0" applyProtection="0">
      <alignment horizontal="center"/>
    </xf>
    <xf numFmtId="248" fontId="46" fillId="0" borderId="5385"/>
    <xf numFmtId="192" fontId="9" fillId="3" borderId="5385">
      <alignment horizontal="right" vertical="center"/>
    </xf>
    <xf numFmtId="180" fontId="9" fillId="3" borderId="5385">
      <alignment horizontal="right" vertical="center"/>
    </xf>
    <xf numFmtId="186" fontId="146" fillId="3" borderId="5385" applyBorder="0">
      <alignment horizontal="left" vertical="center"/>
    </xf>
    <xf numFmtId="0" fontId="166" fillId="0" borderId="5385">
      <alignment horizontal="center"/>
    </xf>
    <xf numFmtId="0" fontId="210" fillId="0" borderId="5385" applyNumberFormat="0" applyFill="0" applyBorder="0" applyAlignment="0">
      <protection locked="0"/>
    </xf>
    <xf numFmtId="264" fontId="12" fillId="14" borderId="5385" applyFont="0" applyFill="0" applyBorder="0" applyAlignment="0" applyProtection="0">
      <alignment horizontal="right"/>
    </xf>
    <xf numFmtId="246" fontId="249" fillId="0" borderId="5385" applyFill="0" applyProtection="0">
      <alignment horizontal="center"/>
    </xf>
    <xf numFmtId="246" fontId="250" fillId="0" borderId="5385" applyFill="0" applyProtection="0">
      <alignment horizontal="center"/>
    </xf>
    <xf numFmtId="246" fontId="250" fillId="0" borderId="5409" applyFill="0" applyProtection="0">
      <alignment horizontal="center"/>
    </xf>
    <xf numFmtId="246" fontId="249" fillId="0" borderId="5409" applyFill="0" applyProtection="0">
      <alignment horizontal="center"/>
    </xf>
    <xf numFmtId="254" fontId="240" fillId="0" borderId="5409" applyBorder="0" applyProtection="0">
      <alignment horizontal="right" vertical="center"/>
    </xf>
    <xf numFmtId="264" fontId="12" fillId="14" borderId="5409" applyFont="0" applyFill="0" applyBorder="0" applyAlignment="0" applyProtection="0">
      <alignment horizontal="right"/>
    </xf>
    <xf numFmtId="0" fontId="165" fillId="0" borderId="5409" applyFill="0" applyProtection="0">
      <alignment horizontal="center"/>
    </xf>
    <xf numFmtId="180" fontId="9" fillId="3" borderId="5409">
      <alignment horizontal="right" vertical="center"/>
    </xf>
    <xf numFmtId="0" fontId="12" fillId="0" borderId="5409" applyNumberFormat="0" applyFill="0" applyBorder="0" applyAlignment="0" applyProtection="0">
      <alignment horizontal="center"/>
    </xf>
    <xf numFmtId="0" fontId="101" fillId="0" borderId="5409" applyBorder="0"/>
    <xf numFmtId="222" fontId="79" fillId="0" borderId="5408" applyBorder="0"/>
    <xf numFmtId="0" fontId="75" fillId="0" borderId="5398" applyNumberFormat="0" applyFont="0" applyFill="0" applyAlignment="0" applyProtection="0"/>
    <xf numFmtId="0" fontId="2" fillId="0" borderId="5402" applyNumberFormat="0" applyAlignment="0" applyProtection="0"/>
    <xf numFmtId="0" fontId="25" fillId="10" borderId="5404" applyNumberFormat="0" applyProtection="0">
      <alignment horizontal="left" vertical="top"/>
    </xf>
    <xf numFmtId="0" fontId="25" fillId="10" borderId="5407" applyNumberFormat="0" applyProtection="0">
      <alignment horizontal="left" vertical="top"/>
    </xf>
    <xf numFmtId="222" fontId="79" fillId="0" borderId="5396" applyBorder="0"/>
    <xf numFmtId="0" fontId="25" fillId="10" borderId="5382" applyNumberFormat="0" applyProtection="0">
      <alignment horizontal="left" vertical="top"/>
    </xf>
    <xf numFmtId="0" fontId="25" fillId="10" borderId="5380" applyNumberFormat="0" applyProtection="0">
      <alignment horizontal="left" vertical="top"/>
    </xf>
    <xf numFmtId="0" fontId="214" fillId="0" borderId="5379" applyNumberFormat="0" applyFont="0" applyFill="0" applyAlignment="0" applyProtection="0"/>
    <xf numFmtId="186" fontId="146" fillId="3" borderId="5376">
      <alignment horizontal="left"/>
    </xf>
    <xf numFmtId="222" fontId="79" fillId="0" borderId="5384" applyBorder="0"/>
    <xf numFmtId="0" fontId="101" fillId="0" borderId="5265" applyBorder="0"/>
    <xf numFmtId="0" fontId="113" fillId="0" borderId="5265" applyNumberFormat="0" applyFill="0" applyAlignment="0" applyProtection="0"/>
    <xf numFmtId="0" fontId="12" fillId="0" borderId="5265" applyNumberFormat="0" applyFill="0" applyBorder="0" applyAlignment="0" applyProtection="0">
      <alignment horizontal="center"/>
    </xf>
    <xf numFmtId="248" fontId="46" fillId="0" borderId="5265"/>
    <xf numFmtId="192" fontId="9" fillId="3" borderId="5265">
      <alignment horizontal="right" vertical="center"/>
    </xf>
    <xf numFmtId="180" fontId="9" fillId="3" borderId="5265">
      <alignment horizontal="right" vertical="center"/>
    </xf>
    <xf numFmtId="186" fontId="146" fillId="3" borderId="5265" applyBorder="0">
      <alignment horizontal="left" vertical="center"/>
    </xf>
    <xf numFmtId="0" fontId="165" fillId="0" borderId="5265" applyFill="0" applyProtection="0">
      <alignment horizontal="center"/>
    </xf>
    <xf numFmtId="0" fontId="166" fillId="0" borderId="5265">
      <alignment horizontal="center"/>
    </xf>
    <xf numFmtId="264" fontId="12" fillId="14" borderId="5265" applyFont="0" applyFill="0" applyBorder="0" applyAlignment="0" applyProtection="0">
      <alignment horizontal="right"/>
    </xf>
    <xf numFmtId="0" fontId="210" fillId="0" borderId="5265" applyNumberFormat="0" applyFill="0" applyBorder="0" applyAlignment="0">
      <protection locked="0"/>
    </xf>
    <xf numFmtId="248" fontId="46" fillId="0" borderId="5409"/>
    <xf numFmtId="222" fontId="79" fillId="0" borderId="5408" applyBorder="0"/>
    <xf numFmtId="186" fontId="140" fillId="3" borderId="5401">
      <alignment horizontal="center" vertical="center"/>
    </xf>
    <xf numFmtId="0" fontId="25" fillId="10" borderId="5406" applyNumberFormat="0" applyProtection="0">
      <alignment horizontal="left" vertical="top"/>
    </xf>
    <xf numFmtId="0" fontId="210" fillId="0" borderId="5409" applyNumberFormat="0" applyFill="0" applyBorder="0" applyAlignment="0">
      <protection locked="0"/>
    </xf>
    <xf numFmtId="192" fontId="9" fillId="3" borderId="5409">
      <alignment horizontal="right" vertical="center"/>
    </xf>
    <xf numFmtId="0" fontId="113" fillId="0" borderId="5409" applyNumberFormat="0" applyFill="0" applyAlignment="0" applyProtection="0"/>
    <xf numFmtId="186" fontId="146" fillId="3" borderId="5400">
      <alignment horizontal="left"/>
    </xf>
    <xf numFmtId="0" fontId="25" fillId="10" borderId="5405" applyNumberFormat="0" applyProtection="0">
      <alignment horizontal="left" vertical="top"/>
    </xf>
    <xf numFmtId="254" fontId="240" fillId="0" borderId="5265" applyBorder="0" applyProtection="0">
      <alignment horizontal="right" vertical="center"/>
    </xf>
    <xf numFmtId="0" fontId="241" fillId="94" borderId="5265" applyBorder="0" applyProtection="0">
      <alignment horizontal="centerContinuous" vertical="center"/>
    </xf>
    <xf numFmtId="246" fontId="249" fillId="0" borderId="5265" applyFill="0" applyProtection="0">
      <alignment horizontal="center"/>
    </xf>
    <xf numFmtId="246" fontId="250" fillId="0" borderId="5265" applyFill="0" applyProtection="0">
      <alignment horizontal="center"/>
    </xf>
    <xf numFmtId="0" fontId="25" fillId="10" borderId="5429" applyNumberFormat="0" applyProtection="0">
      <alignment horizontal="left" vertical="top"/>
    </xf>
    <xf numFmtId="0" fontId="25" fillId="10" borderId="5431" applyNumberFormat="0" applyProtection="0">
      <alignment horizontal="left" vertical="top"/>
    </xf>
    <xf numFmtId="222" fontId="79" fillId="0" borderId="5360" applyBorder="0"/>
    <xf numFmtId="0" fontId="214" fillId="0" borderId="5427" applyNumberFormat="0" applyFont="0" applyFill="0" applyAlignment="0" applyProtection="0"/>
    <xf numFmtId="0" fontId="75" fillId="0" borderId="5362" applyNumberFormat="0" applyFont="0" applyFill="0" applyAlignment="0" applyProtection="0"/>
    <xf numFmtId="0" fontId="25" fillId="10" borderId="5370" applyNumberFormat="0" applyProtection="0">
      <alignment horizontal="left" vertical="top"/>
    </xf>
    <xf numFmtId="0" fontId="25" fillId="10" borderId="5371" applyNumberFormat="0" applyProtection="0">
      <alignment horizontal="left" vertical="top"/>
    </xf>
    <xf numFmtId="0" fontId="165" fillId="0" borderId="5385" applyFill="0" applyProtection="0">
      <alignment horizontal="center"/>
    </xf>
    <xf numFmtId="254" fontId="240" fillId="0" borderId="5385" applyBorder="0" applyProtection="0">
      <alignment horizontal="right" vertical="center"/>
    </xf>
    <xf numFmtId="0" fontId="241" fillId="94" borderId="5385" applyBorder="0" applyProtection="0">
      <alignment horizontal="centerContinuous" vertical="center"/>
    </xf>
    <xf numFmtId="0" fontId="241" fillId="94" borderId="5409" applyBorder="0" applyProtection="0">
      <alignment horizontal="centerContinuous" vertical="center"/>
    </xf>
    <xf numFmtId="0" fontId="166" fillId="0" borderId="5409">
      <alignment horizontal="center"/>
    </xf>
    <xf numFmtId="186" fontId="146" fillId="3" borderId="5409" applyBorder="0">
      <alignment horizontal="left" vertical="center"/>
    </xf>
    <xf numFmtId="0" fontId="214" fillId="0" borderId="5403" applyNumberFormat="0" applyFont="0" applyFill="0" applyAlignment="0" applyProtection="0"/>
    <xf numFmtId="0" fontId="78" fillId="14" borderId="5399" applyFont="0" applyFill="0" applyBorder="0" applyAlignment="0" applyProtection="0"/>
    <xf numFmtId="0" fontId="78" fillId="14" borderId="5327" applyFont="0" applyFill="0" applyBorder="0" applyAlignment="0" applyProtection="0"/>
    <xf numFmtId="0" fontId="25" fillId="10" borderId="5263" applyNumberFormat="0" applyProtection="0">
      <alignment horizontal="left" vertical="top"/>
    </xf>
    <xf numFmtId="0" fontId="25" fillId="10" borderId="5262" applyNumberFormat="0" applyProtection="0">
      <alignment horizontal="left" vertical="top"/>
    </xf>
    <xf numFmtId="0" fontId="25" fillId="10" borderId="5261" applyNumberFormat="0" applyProtection="0">
      <alignment horizontal="left" vertical="top"/>
    </xf>
    <xf numFmtId="0" fontId="25" fillId="10" borderId="5260" applyNumberFormat="0" applyProtection="0">
      <alignment horizontal="left" vertical="top"/>
    </xf>
    <xf numFmtId="186" fontId="140" fillId="3" borderId="5425">
      <alignment horizontal="center" vertical="center"/>
    </xf>
    <xf numFmtId="0" fontId="214" fillId="0" borderId="5259" applyNumberFormat="0" applyFont="0" applyFill="0" applyAlignment="0" applyProtection="0"/>
    <xf numFmtId="0" fontId="2" fillId="0" borderId="5258" applyNumberFormat="0" applyAlignment="0" applyProtection="0"/>
    <xf numFmtId="186" fontId="140" fillId="3" borderId="5257">
      <alignment horizontal="center" vertical="center"/>
    </xf>
    <xf numFmtId="186" fontId="146" fillId="3" borderId="5256">
      <alignment horizontal="left"/>
    </xf>
    <xf numFmtId="186" fontId="146" fillId="3" borderId="5424">
      <alignment horizontal="left"/>
    </xf>
    <xf numFmtId="0" fontId="75" fillId="0" borderId="5254" applyNumberFormat="0" applyFont="0" applyFill="0" applyAlignment="0" applyProtection="0"/>
    <xf numFmtId="0" fontId="75" fillId="0" borderId="5422" applyNumberFormat="0" applyFont="0" applyFill="0" applyAlignment="0" applyProtection="0"/>
    <xf numFmtId="222" fontId="79" fillId="0" borderId="5336" applyBorder="0"/>
    <xf numFmtId="222" fontId="79" fillId="0" borderId="5336" applyBorder="0"/>
    <xf numFmtId="0" fontId="25" fillId="10" borderId="5428" applyNumberFormat="0" applyProtection="0">
      <alignment horizontal="left" vertical="top"/>
    </xf>
    <xf numFmtId="0" fontId="2" fillId="0" borderId="5426" applyNumberFormat="0" applyAlignment="0" applyProtection="0"/>
    <xf numFmtId="246" fontId="250" fillId="0" borderId="5361" applyFill="0" applyProtection="0">
      <alignment horizontal="center"/>
    </xf>
    <xf numFmtId="246" fontId="249" fillId="0" borderId="5361" applyFill="0" applyProtection="0">
      <alignment horizontal="center"/>
    </xf>
    <xf numFmtId="0" fontId="241" fillId="94" borderId="5361" applyBorder="0" applyProtection="0">
      <alignment horizontal="centerContinuous" vertical="center"/>
    </xf>
    <xf numFmtId="254" fontId="240" fillId="0" borderId="5361" applyBorder="0" applyProtection="0">
      <alignment horizontal="right" vertical="center"/>
    </xf>
    <xf numFmtId="0" fontId="210" fillId="0" borderId="5361" applyNumberFormat="0" applyFill="0" applyBorder="0" applyAlignment="0">
      <protection locked="0"/>
    </xf>
    <xf numFmtId="264" fontId="12" fillId="14" borderId="5361" applyFont="0" applyFill="0" applyBorder="0" applyAlignment="0" applyProtection="0">
      <alignment horizontal="right"/>
    </xf>
    <xf numFmtId="0" fontId="166" fillId="0" borderId="5361">
      <alignment horizontal="center"/>
    </xf>
    <xf numFmtId="0" fontId="165" fillId="0" borderId="5361" applyFill="0" applyProtection="0">
      <alignment horizontal="center"/>
    </xf>
    <xf numFmtId="186" fontId="146" fillId="3" borderId="5361" applyBorder="0">
      <alignment horizontal="left" vertical="center"/>
    </xf>
    <xf numFmtId="180" fontId="9" fillId="3" borderId="5361">
      <alignment horizontal="right" vertical="center"/>
    </xf>
    <xf numFmtId="192" fontId="9" fillId="3" borderId="5361">
      <alignment horizontal="right" vertical="center"/>
    </xf>
    <xf numFmtId="248" fontId="46" fillId="0" borderId="5361"/>
    <xf numFmtId="0" fontId="12" fillId="0" borderId="5361" applyNumberFormat="0" applyFill="0" applyBorder="0" applyAlignment="0" applyProtection="0">
      <alignment horizontal="center"/>
    </xf>
    <xf numFmtId="0" fontId="113" fillId="0" borderId="5361" applyNumberFormat="0" applyFill="0" applyAlignment="0" applyProtection="0"/>
    <xf numFmtId="222" fontId="79" fillId="0" borderId="5360" applyBorder="0"/>
    <xf numFmtId="0" fontId="101" fillId="0" borderId="5361" applyBorder="0"/>
    <xf numFmtId="222" fontId="79" fillId="0" borderId="5360" applyBorder="0"/>
    <xf numFmtId="0" fontId="75" fillId="0" borderId="5350" applyNumberFormat="0" applyFont="0" applyFill="0" applyAlignment="0" applyProtection="0"/>
    <xf numFmtId="186" fontId="146" fillId="3" borderId="5352">
      <alignment horizontal="left"/>
    </xf>
    <xf numFmtId="186" fontId="140" fillId="3" borderId="5353">
      <alignment horizontal="center" vertical="center"/>
    </xf>
    <xf numFmtId="0" fontId="2" fillId="0" borderId="5354" applyNumberFormat="0" applyAlignment="0" applyProtection="0"/>
    <xf numFmtId="0" fontId="214" fillId="0" borderId="5355" applyNumberFormat="0" applyFont="0" applyFill="0" applyAlignment="0" applyProtection="0"/>
    <xf numFmtId="0" fontId="25" fillId="10" borderId="5356" applyNumberFormat="0" applyProtection="0">
      <alignment horizontal="left" vertical="top"/>
    </xf>
    <xf numFmtId="0" fontId="25" fillId="10" borderId="5357" applyNumberFormat="0" applyProtection="0">
      <alignment horizontal="left" vertical="top"/>
    </xf>
    <xf numFmtId="0" fontId="25" fillId="10" borderId="5358" applyNumberFormat="0" applyProtection="0">
      <alignment horizontal="left" vertical="top"/>
    </xf>
    <xf numFmtId="0" fontId="25" fillId="10" borderId="5359" applyNumberFormat="0" applyProtection="0">
      <alignment horizontal="left" vertical="top"/>
    </xf>
    <xf numFmtId="0" fontId="78" fillId="14" borderId="5351" applyFont="0" applyFill="0" applyBorder="0" applyAlignment="0" applyProtection="0"/>
    <xf numFmtId="222" fontId="79" fillId="0" borderId="5348" applyBorder="0"/>
    <xf numFmtId="0" fontId="78" fillId="14" borderId="5327" applyFont="0" applyFill="0" applyBorder="0" applyAlignment="0" applyProtection="0"/>
    <xf numFmtId="222" fontId="79" fillId="0" borderId="5336" applyBorder="0"/>
    <xf numFmtId="0" fontId="78" fillId="14" borderId="5339" applyFont="0" applyFill="0" applyBorder="0" applyAlignment="0" applyProtection="0"/>
    <xf numFmtId="0" fontId="25" fillId="10" borderId="5347" applyNumberFormat="0" applyProtection="0">
      <alignment horizontal="left" vertical="top"/>
    </xf>
    <xf numFmtId="0" fontId="25" fillId="10" borderId="5346" applyNumberFormat="0" applyProtection="0">
      <alignment horizontal="left" vertical="top"/>
    </xf>
    <xf numFmtId="0" fontId="25" fillId="10" borderId="5345" applyNumberFormat="0" applyProtection="0">
      <alignment horizontal="left" vertical="top"/>
    </xf>
    <xf numFmtId="0" fontId="25" fillId="10" borderId="5344" applyNumberFormat="0" applyProtection="0">
      <alignment horizontal="left" vertical="top"/>
    </xf>
    <xf numFmtId="0" fontId="214" fillId="0" borderId="5343" applyNumberFormat="0" applyFont="0" applyFill="0" applyAlignment="0" applyProtection="0"/>
    <xf numFmtId="0" fontId="2" fillId="0" borderId="5258" applyNumberFormat="0" applyAlignment="0" applyProtection="0"/>
    <xf numFmtId="186" fontId="140" fillId="3" borderId="5341">
      <alignment horizontal="center" vertical="center"/>
    </xf>
    <xf numFmtId="186" fontId="146" fillId="3" borderId="5340">
      <alignment horizontal="left"/>
    </xf>
    <xf numFmtId="0" fontId="75" fillId="0" borderId="5338" applyNumberFormat="0" applyFont="0" applyFill="0" applyAlignment="0" applyProtection="0"/>
    <xf numFmtId="222" fontId="79" fillId="0" borderId="5348" applyBorder="0"/>
    <xf numFmtId="0" fontId="101" fillId="0" borderId="5349" applyBorder="0"/>
    <xf numFmtId="222" fontId="79" fillId="0" borderId="5348" applyBorder="0"/>
    <xf numFmtId="0" fontId="113" fillId="0" borderId="5349" applyNumberFormat="0" applyFill="0" applyAlignment="0" applyProtection="0"/>
    <xf numFmtId="0" fontId="12" fillId="0" borderId="5349" applyNumberFormat="0" applyFill="0" applyBorder="0" applyAlignment="0" applyProtection="0">
      <alignment horizontal="center"/>
    </xf>
    <xf numFmtId="248" fontId="46" fillId="0" borderId="5349"/>
    <xf numFmtId="192" fontId="9" fillId="3" borderId="5349">
      <alignment horizontal="right" vertical="center"/>
    </xf>
    <xf numFmtId="180" fontId="9" fillId="3" borderId="5349">
      <alignment horizontal="right" vertical="center"/>
    </xf>
    <xf numFmtId="186" fontId="146" fillId="3" borderId="5349" applyBorder="0">
      <alignment horizontal="left" vertical="center"/>
    </xf>
    <xf numFmtId="0" fontId="165" fillId="0" borderId="5349" applyFill="0" applyProtection="0">
      <alignment horizontal="center"/>
    </xf>
    <xf numFmtId="0" fontId="166" fillId="0" borderId="5349">
      <alignment horizontal="center"/>
    </xf>
    <xf numFmtId="264" fontId="12" fillId="14" borderId="5349" applyFont="0" applyFill="0" applyBorder="0" applyAlignment="0" applyProtection="0">
      <alignment horizontal="right"/>
    </xf>
    <xf numFmtId="0" fontId="210" fillId="0" borderId="5349" applyNumberFormat="0" applyFill="0" applyBorder="0" applyAlignment="0">
      <protection locked="0"/>
    </xf>
    <xf numFmtId="254" fontId="240" fillId="0" borderId="5349" applyBorder="0" applyProtection="0">
      <alignment horizontal="right" vertical="center"/>
    </xf>
    <xf numFmtId="0" fontId="241" fillId="94" borderId="5349" applyBorder="0" applyProtection="0">
      <alignment horizontal="centerContinuous" vertical="center"/>
    </xf>
    <xf numFmtId="246" fontId="249" fillId="0" borderId="5349" applyFill="0" applyProtection="0">
      <alignment horizontal="center"/>
    </xf>
    <xf numFmtId="246" fontId="250" fillId="0" borderId="5349" applyFill="0" applyProtection="0">
      <alignment horizontal="center"/>
    </xf>
    <xf numFmtId="0" fontId="241" fillId="94" borderId="5433" applyBorder="0" applyProtection="0">
      <alignment horizontal="centerContinuous" vertical="center"/>
    </xf>
    <xf numFmtId="0" fontId="166" fillId="0" borderId="5433">
      <alignment horizontal="center"/>
    </xf>
    <xf numFmtId="0" fontId="2" fillId="0" borderId="5366" applyNumberFormat="0" applyAlignment="0" applyProtection="0"/>
    <xf numFmtId="0" fontId="214" fillId="0" borderId="5367" applyNumberFormat="0" applyFont="0" applyFill="0" applyAlignment="0" applyProtection="0"/>
    <xf numFmtId="246" fontId="250" fillId="0" borderId="5373" applyFill="0" applyProtection="0">
      <alignment horizontal="center"/>
    </xf>
    <xf numFmtId="246" fontId="249" fillId="0" borderId="5373" applyFill="0" applyProtection="0">
      <alignment horizontal="center"/>
    </xf>
    <xf numFmtId="0" fontId="241" fillId="94" borderId="5373" applyBorder="0" applyProtection="0">
      <alignment horizontal="centerContinuous" vertical="center"/>
    </xf>
    <xf numFmtId="254" fontId="240" fillId="0" borderId="5373" applyBorder="0" applyProtection="0">
      <alignment horizontal="right" vertical="center"/>
    </xf>
    <xf numFmtId="0" fontId="210" fillId="0" borderId="5373" applyNumberFormat="0" applyFill="0" applyBorder="0" applyAlignment="0">
      <protection locked="0"/>
    </xf>
    <xf numFmtId="264" fontId="12" fillId="14" borderId="5373" applyFont="0" applyFill="0" applyBorder="0" applyAlignment="0" applyProtection="0">
      <alignment horizontal="right"/>
    </xf>
    <xf numFmtId="0" fontId="166" fillId="0" borderId="5373">
      <alignment horizontal="center"/>
    </xf>
    <xf numFmtId="0" fontId="165" fillId="0" borderId="5373" applyFill="0" applyProtection="0">
      <alignment horizontal="center"/>
    </xf>
    <xf numFmtId="186" fontId="146" fillId="3" borderId="5373" applyBorder="0">
      <alignment horizontal="left" vertical="center"/>
    </xf>
    <xf numFmtId="180" fontId="9" fillId="3" borderId="5373">
      <alignment horizontal="right" vertical="center"/>
    </xf>
    <xf numFmtId="192" fontId="9" fillId="3" borderId="5373">
      <alignment horizontal="right" vertical="center"/>
    </xf>
    <xf numFmtId="248" fontId="46" fillId="0" borderId="5373"/>
    <xf numFmtId="0" fontId="12" fillId="0" borderId="5373" applyNumberFormat="0" applyFill="0" applyBorder="0" applyAlignment="0" applyProtection="0">
      <alignment horizontal="center"/>
    </xf>
    <xf numFmtId="0" fontId="113" fillId="0" borderId="5373" applyNumberFormat="0" applyFill="0" applyAlignment="0" applyProtection="0"/>
    <xf numFmtId="222" fontId="79" fillId="0" borderId="5372" applyBorder="0"/>
    <xf numFmtId="0" fontId="101" fillId="0" borderId="5373" applyBorder="0"/>
    <xf numFmtId="222" fontId="79" fillId="0" borderId="5372" applyBorder="0"/>
    <xf numFmtId="0" fontId="75" fillId="0" borderId="5362" applyNumberFormat="0" applyFont="0" applyFill="0" applyAlignment="0" applyProtection="0"/>
    <xf numFmtId="186" fontId="146" fillId="3" borderId="5364">
      <alignment horizontal="left"/>
    </xf>
    <xf numFmtId="186" fontId="140" fillId="3" borderId="5365">
      <alignment horizontal="center" vertical="center"/>
    </xf>
    <xf numFmtId="0" fontId="2" fillId="0" borderId="5366" applyNumberFormat="0" applyAlignment="0" applyProtection="0"/>
    <xf numFmtId="0" fontId="214" fillId="0" borderId="5367" applyNumberFormat="0" applyFont="0" applyFill="0" applyAlignment="0" applyProtection="0"/>
    <xf numFmtId="0" fontId="25" fillId="10" borderId="5368" applyNumberFormat="0" applyProtection="0">
      <alignment horizontal="left" vertical="top"/>
    </xf>
    <xf numFmtId="0" fontId="25" fillId="10" borderId="5369" applyNumberFormat="0" applyProtection="0">
      <alignment horizontal="left" vertical="top"/>
    </xf>
    <xf numFmtId="0" fontId="25" fillId="10" borderId="5370" applyNumberFormat="0" applyProtection="0">
      <alignment horizontal="left" vertical="top"/>
    </xf>
    <xf numFmtId="0" fontId="25" fillId="10" borderId="5371" applyNumberFormat="0" applyProtection="0">
      <alignment horizontal="left" vertical="top"/>
    </xf>
    <xf numFmtId="0" fontId="78" fillId="14" borderId="5363" applyFont="0" applyFill="0" applyBorder="0" applyAlignment="0" applyProtection="0"/>
    <xf numFmtId="222" fontId="79" fillId="0" borderId="5360" applyBorder="0"/>
    <xf numFmtId="0" fontId="78" fillId="14" borderId="5375" applyFont="0" applyFill="0" applyBorder="0" applyAlignment="0" applyProtection="0"/>
    <xf numFmtId="186" fontId="146" fillId="3" borderId="5364">
      <alignment horizontal="left"/>
    </xf>
    <xf numFmtId="0" fontId="78" fillId="14" borderId="5351" applyFont="0" applyFill="0" applyBorder="0" applyAlignment="0" applyProtection="0"/>
    <xf numFmtId="222" fontId="79" fillId="0" borderId="5360" applyBorder="0"/>
    <xf numFmtId="0" fontId="2" fillId="0" borderId="5378" applyNumberFormat="0" applyAlignment="0" applyProtection="0"/>
    <xf numFmtId="0" fontId="78" fillId="14" borderId="5351" applyFont="0" applyFill="0" applyBorder="0" applyAlignment="0" applyProtection="0"/>
    <xf numFmtId="0" fontId="25" fillId="10" borderId="5359" applyNumberFormat="0" applyProtection="0">
      <alignment horizontal="left" vertical="top"/>
    </xf>
    <xf numFmtId="0" fontId="25" fillId="10" borderId="5358" applyNumberFormat="0" applyProtection="0">
      <alignment horizontal="left" vertical="top"/>
    </xf>
    <xf numFmtId="0" fontId="25" fillId="10" borderId="5357" applyNumberFormat="0" applyProtection="0">
      <alignment horizontal="left" vertical="top"/>
    </xf>
    <xf numFmtId="0" fontId="25" fillId="10" borderId="5356" applyNumberFormat="0" applyProtection="0">
      <alignment horizontal="left" vertical="top"/>
    </xf>
    <xf numFmtId="0" fontId="25" fillId="10" borderId="5381" applyNumberFormat="0" applyProtection="0">
      <alignment horizontal="left" vertical="top"/>
    </xf>
    <xf numFmtId="0" fontId="214" fillId="0" borderId="5355" applyNumberFormat="0" applyFont="0" applyFill="0" applyAlignment="0" applyProtection="0"/>
    <xf numFmtId="0" fontId="2" fillId="0" borderId="5354" applyNumberFormat="0" applyAlignment="0" applyProtection="0"/>
    <xf numFmtId="186" fontId="140" fillId="3" borderId="5353">
      <alignment horizontal="center" vertical="center"/>
    </xf>
    <xf numFmtId="186" fontId="146" fillId="3" borderId="5352">
      <alignment horizontal="left"/>
    </xf>
    <xf numFmtId="0" fontId="25" fillId="10" borderId="5383" applyNumberFormat="0" applyProtection="0">
      <alignment horizontal="left" vertical="top"/>
    </xf>
    <xf numFmtId="0" fontId="75" fillId="0" borderId="5350" applyNumberFormat="0" applyFont="0" applyFill="0" applyAlignment="0" applyProtection="0"/>
    <xf numFmtId="222" fontId="79" fillId="0" borderId="5360" applyBorder="0"/>
    <xf numFmtId="0" fontId="101" fillId="0" borderId="5361" applyBorder="0"/>
    <xf numFmtId="222" fontId="79" fillId="0" borderId="5360" applyBorder="0"/>
    <xf numFmtId="0" fontId="113" fillId="0" borderId="5361" applyNumberFormat="0" applyFill="0" applyAlignment="0" applyProtection="0"/>
    <xf numFmtId="0" fontId="12" fillId="0" borderId="5361" applyNumberFormat="0" applyFill="0" applyBorder="0" applyAlignment="0" applyProtection="0">
      <alignment horizontal="center"/>
    </xf>
    <xf numFmtId="248" fontId="46" fillId="0" borderId="5361"/>
    <xf numFmtId="192" fontId="9" fillId="3" borderId="5361">
      <alignment horizontal="right" vertical="center"/>
    </xf>
    <xf numFmtId="180" fontId="9" fillId="3" borderId="5361">
      <alignment horizontal="right" vertical="center"/>
    </xf>
    <xf numFmtId="186" fontId="146" fillId="3" borderId="5361" applyBorder="0">
      <alignment horizontal="left" vertical="center"/>
    </xf>
    <xf numFmtId="0" fontId="165" fillId="0" borderId="5361" applyFill="0" applyProtection="0">
      <alignment horizontal="center"/>
    </xf>
    <xf numFmtId="0" fontId="166" fillId="0" borderId="5361">
      <alignment horizontal="center"/>
    </xf>
    <xf numFmtId="264" fontId="12" fillId="14" borderId="5361" applyFont="0" applyFill="0" applyBorder="0" applyAlignment="0" applyProtection="0">
      <alignment horizontal="right"/>
    </xf>
    <xf numFmtId="0" fontId="210" fillId="0" borderId="5361" applyNumberFormat="0" applyFill="0" applyBorder="0" applyAlignment="0">
      <protection locked="0"/>
    </xf>
    <xf numFmtId="254" fontId="240" fillId="0" borderId="5361" applyBorder="0" applyProtection="0">
      <alignment horizontal="right" vertical="center"/>
    </xf>
    <xf numFmtId="0" fontId="241" fillId="94" borderId="5361" applyBorder="0" applyProtection="0">
      <alignment horizontal="centerContinuous" vertical="center"/>
    </xf>
    <xf numFmtId="246" fontId="249" fillId="0" borderId="5361" applyFill="0" applyProtection="0">
      <alignment horizontal="center"/>
    </xf>
    <xf numFmtId="246" fontId="250" fillId="0" borderId="5361" applyFill="0" applyProtection="0">
      <alignment horizontal="center"/>
    </xf>
    <xf numFmtId="186" fontId="140" fillId="3" borderId="5377">
      <alignment horizontal="center" vertical="center"/>
    </xf>
    <xf numFmtId="0" fontId="78" fillId="14" borderId="5363" applyFont="0" applyFill="0" applyBorder="0" applyAlignment="0" applyProtection="0"/>
    <xf numFmtId="222" fontId="79" fillId="0" borderId="5384" applyBorder="0"/>
    <xf numFmtId="0" fontId="78" fillId="14" borderId="5387" applyFont="0" applyFill="0" applyBorder="0" applyAlignment="0" applyProtection="0"/>
    <xf numFmtId="0" fontId="25" fillId="10" borderId="5395" applyNumberFormat="0" applyProtection="0">
      <alignment horizontal="left" vertical="top"/>
    </xf>
    <xf numFmtId="0" fontId="25" fillId="10" borderId="5394" applyNumberFormat="0" applyProtection="0">
      <alignment horizontal="left" vertical="top"/>
    </xf>
    <xf numFmtId="0" fontId="25" fillId="10" borderId="5393" applyNumberFormat="0" applyProtection="0">
      <alignment horizontal="left" vertical="top"/>
    </xf>
    <xf numFmtId="0" fontId="25" fillId="10" borderId="5392" applyNumberFormat="0" applyProtection="0">
      <alignment horizontal="left" vertical="top"/>
    </xf>
    <xf numFmtId="0" fontId="214" fillId="0" borderId="5391" applyNumberFormat="0" applyFont="0" applyFill="0" applyAlignment="0" applyProtection="0"/>
    <xf numFmtId="0" fontId="2" fillId="0" borderId="5390" applyNumberFormat="0" applyAlignment="0" applyProtection="0"/>
    <xf numFmtId="186" fontId="140" fillId="3" borderId="5389">
      <alignment horizontal="center" vertical="center"/>
    </xf>
    <xf numFmtId="186" fontId="146" fillId="3" borderId="5388">
      <alignment horizontal="left"/>
    </xf>
    <xf numFmtId="0" fontId="75" fillId="0" borderId="5386" applyNumberFormat="0" applyFont="0" applyFill="0" applyAlignment="0" applyProtection="0"/>
    <xf numFmtId="222" fontId="79" fillId="0" borderId="5396" applyBorder="0"/>
    <xf numFmtId="0" fontId="101" fillId="0" borderId="5397" applyBorder="0"/>
    <xf numFmtId="222" fontId="79" fillId="0" borderId="5396" applyBorder="0"/>
    <xf numFmtId="0" fontId="113" fillId="0" borderId="5397" applyNumberFormat="0" applyFill="0" applyAlignment="0" applyProtection="0"/>
    <xf numFmtId="0" fontId="12" fillId="0" borderId="5397" applyNumberFormat="0" applyFill="0" applyBorder="0" applyAlignment="0" applyProtection="0">
      <alignment horizontal="center"/>
    </xf>
    <xf numFmtId="248" fontId="46" fillId="0" borderId="5397"/>
    <xf numFmtId="192" fontId="9" fillId="3" borderId="5397">
      <alignment horizontal="right" vertical="center"/>
    </xf>
    <xf numFmtId="180" fontId="9" fillId="3" borderId="5397">
      <alignment horizontal="right" vertical="center"/>
    </xf>
    <xf numFmtId="186" fontId="146" fillId="3" borderId="5397" applyBorder="0">
      <alignment horizontal="left" vertical="center"/>
    </xf>
    <xf numFmtId="0" fontId="165" fillId="0" borderId="5397" applyFill="0" applyProtection="0">
      <alignment horizontal="center"/>
    </xf>
    <xf numFmtId="0" fontId="166" fillId="0" borderId="5397">
      <alignment horizontal="center"/>
    </xf>
    <xf numFmtId="264" fontId="12" fillId="14" borderId="5397" applyFont="0" applyFill="0" applyBorder="0" applyAlignment="0" applyProtection="0">
      <alignment horizontal="right"/>
    </xf>
    <xf numFmtId="0" fontId="210" fillId="0" borderId="5397" applyNumberFormat="0" applyFill="0" applyBorder="0" applyAlignment="0">
      <protection locked="0"/>
    </xf>
    <xf numFmtId="254" fontId="240" fillId="0" borderId="5397" applyBorder="0" applyProtection="0">
      <alignment horizontal="right" vertical="center"/>
    </xf>
    <xf numFmtId="0" fontId="241" fillId="94" borderId="5397" applyBorder="0" applyProtection="0">
      <alignment horizontal="centerContinuous" vertical="center"/>
    </xf>
    <xf numFmtId="246" fontId="249" fillId="0" borderId="5397" applyFill="0" applyProtection="0">
      <alignment horizontal="center"/>
    </xf>
    <xf numFmtId="246" fontId="250" fillId="0" borderId="5397" applyFill="0" applyProtection="0">
      <alignment horizontal="center"/>
    </xf>
    <xf numFmtId="222" fontId="79" fillId="0" borderId="5408" applyBorder="0"/>
    <xf numFmtId="0" fontId="78" fillId="14" borderId="5411" applyFont="0" applyFill="0" applyBorder="0" applyAlignment="0" applyProtection="0"/>
    <xf numFmtId="0" fontId="25" fillId="10" borderId="5419" applyNumberFormat="0" applyProtection="0">
      <alignment horizontal="left" vertical="top"/>
    </xf>
    <xf numFmtId="0" fontId="25" fillId="10" borderId="5418" applyNumberFormat="0" applyProtection="0">
      <alignment horizontal="left" vertical="top"/>
    </xf>
    <xf numFmtId="0" fontId="25" fillId="10" borderId="5417" applyNumberFormat="0" applyProtection="0">
      <alignment horizontal="left" vertical="top"/>
    </xf>
    <xf numFmtId="0" fontId="25" fillId="10" borderId="5416" applyNumberFormat="0" applyProtection="0">
      <alignment horizontal="left" vertical="top"/>
    </xf>
    <xf numFmtId="0" fontId="214" fillId="0" borderId="5415" applyNumberFormat="0" applyFont="0" applyFill="0" applyAlignment="0" applyProtection="0"/>
    <xf numFmtId="0" fontId="2" fillId="0" borderId="5414" applyNumberFormat="0" applyAlignment="0" applyProtection="0"/>
    <xf numFmtId="186" fontId="140" fillId="3" borderId="5413">
      <alignment horizontal="center" vertical="center"/>
    </xf>
    <xf numFmtId="186" fontId="146" fillId="3" borderId="5412">
      <alignment horizontal="left"/>
    </xf>
    <xf numFmtId="0" fontId="75" fillId="0" borderId="5410" applyNumberFormat="0" applyFont="0" applyFill="0" applyAlignment="0" applyProtection="0"/>
    <xf numFmtId="222" fontId="79" fillId="0" borderId="5420" applyBorder="0"/>
    <xf numFmtId="0" fontId="101" fillId="0" borderId="5421" applyBorder="0"/>
    <xf numFmtId="222" fontId="79" fillId="0" borderId="5420" applyBorder="0"/>
    <xf numFmtId="0" fontId="113" fillId="0" borderId="5421" applyNumberFormat="0" applyFill="0" applyAlignment="0" applyProtection="0"/>
    <xf numFmtId="0" fontId="12" fillId="0" borderId="5421" applyNumberFormat="0" applyFill="0" applyBorder="0" applyAlignment="0" applyProtection="0">
      <alignment horizontal="center"/>
    </xf>
    <xf numFmtId="248" fontId="46" fillId="0" borderId="5421"/>
    <xf numFmtId="192" fontId="9" fillId="3" borderId="5421">
      <alignment horizontal="right" vertical="center"/>
    </xf>
    <xf numFmtId="180" fontId="9" fillId="3" borderId="5421">
      <alignment horizontal="right" vertical="center"/>
    </xf>
    <xf numFmtId="186" fontId="146" fillId="3" borderId="5421" applyBorder="0">
      <alignment horizontal="left" vertical="center"/>
    </xf>
    <xf numFmtId="0" fontId="165" fillId="0" borderId="5421" applyFill="0" applyProtection="0">
      <alignment horizontal="center"/>
    </xf>
    <xf numFmtId="0" fontId="166" fillId="0" borderId="5421">
      <alignment horizontal="center"/>
    </xf>
    <xf numFmtId="264" fontId="12" fillId="14" borderId="5421" applyFont="0" applyFill="0" applyBorder="0" applyAlignment="0" applyProtection="0">
      <alignment horizontal="right"/>
    </xf>
    <xf numFmtId="0" fontId="210" fillId="0" borderId="5421" applyNumberFormat="0" applyFill="0" applyBorder="0" applyAlignment="0">
      <protection locked="0"/>
    </xf>
    <xf numFmtId="254" fontId="240" fillId="0" borderId="5421" applyBorder="0" applyProtection="0">
      <alignment horizontal="right" vertical="center"/>
    </xf>
    <xf numFmtId="0" fontId="241" fillId="94" borderId="5421" applyBorder="0" applyProtection="0">
      <alignment horizontal="centerContinuous" vertical="center"/>
    </xf>
    <xf numFmtId="246" fontId="249" fillId="0" borderId="5421" applyFill="0" applyProtection="0">
      <alignment horizontal="center"/>
    </xf>
    <xf numFmtId="246" fontId="250" fillId="0" borderId="5421" applyFill="0" applyProtection="0">
      <alignment horizontal="center"/>
    </xf>
    <xf numFmtId="0" fontId="75" fillId="0" borderId="5434" applyNumberFormat="0" applyFont="0" applyFill="0" applyAlignment="0" applyProtection="0"/>
    <xf numFmtId="0" fontId="78" fillId="14" borderId="5435" applyFont="0" applyFill="0" applyBorder="0" applyAlignment="0" applyProtection="0"/>
    <xf numFmtId="186" fontId="146" fillId="3" borderId="5436">
      <alignment horizontal="left"/>
    </xf>
    <xf numFmtId="186" fontId="140" fillId="3" borderId="5437">
      <alignment horizontal="center" vertical="center"/>
    </xf>
    <xf numFmtId="0" fontId="2" fillId="0" borderId="5438" applyNumberFormat="0" applyAlignment="0" applyProtection="0"/>
    <xf numFmtId="0" fontId="214" fillId="0" borderId="5439" applyNumberFormat="0" applyFont="0" applyFill="0" applyAlignment="0" applyProtection="0"/>
    <xf numFmtId="0" fontId="25" fillId="10" borderId="5440" applyNumberFormat="0" applyProtection="0">
      <alignment horizontal="left" vertical="top"/>
    </xf>
    <xf numFmtId="0" fontId="25" fillId="10" borderId="5441" applyNumberFormat="0" applyProtection="0">
      <alignment horizontal="left" vertical="top"/>
    </xf>
    <xf numFmtId="0" fontId="25" fillId="10" borderId="5442" applyNumberFormat="0" applyProtection="0">
      <alignment horizontal="left" vertical="top"/>
    </xf>
    <xf numFmtId="0" fontId="25" fillId="10" borderId="5443" applyNumberFormat="0" applyProtection="0">
      <alignment horizontal="left" vertical="top"/>
    </xf>
    <xf numFmtId="246" fontId="250" fillId="0" borderId="5433" applyFill="0" applyProtection="0">
      <alignment horizontal="center"/>
    </xf>
    <xf numFmtId="246" fontId="249" fillId="0" borderId="5433" applyFill="0" applyProtection="0">
      <alignment horizontal="center"/>
    </xf>
    <xf numFmtId="0" fontId="241" fillId="94" borderId="5433" applyBorder="0" applyProtection="0">
      <alignment horizontal="centerContinuous" vertical="center"/>
    </xf>
    <xf numFmtId="254" fontId="240" fillId="0" borderId="5433" applyBorder="0" applyProtection="0">
      <alignment horizontal="right" vertical="center"/>
    </xf>
    <xf numFmtId="0" fontId="210" fillId="0" borderId="5433" applyNumberFormat="0" applyFill="0" applyBorder="0" applyAlignment="0">
      <protection locked="0"/>
    </xf>
    <xf numFmtId="264" fontId="12" fillId="14" borderId="5433" applyFont="0" applyFill="0" applyBorder="0" applyAlignment="0" applyProtection="0">
      <alignment horizontal="right"/>
    </xf>
    <xf numFmtId="0" fontId="166" fillId="0" borderId="5433">
      <alignment horizontal="center"/>
    </xf>
    <xf numFmtId="0" fontId="165" fillId="0" borderId="5433" applyFill="0" applyProtection="0">
      <alignment horizontal="center"/>
    </xf>
    <xf numFmtId="186" fontId="146" fillId="3" borderId="5433" applyBorder="0">
      <alignment horizontal="left" vertical="center"/>
    </xf>
    <xf numFmtId="180" fontId="9" fillId="3" borderId="5433">
      <alignment horizontal="right" vertical="center"/>
    </xf>
    <xf numFmtId="192" fontId="9" fillId="3" borderId="5433">
      <alignment horizontal="right" vertical="center"/>
    </xf>
    <xf numFmtId="0" fontId="12" fillId="0" borderId="5433" applyNumberFormat="0" applyFill="0" applyBorder="0" applyAlignment="0" applyProtection="0">
      <alignment horizontal="center"/>
    </xf>
    <xf numFmtId="0" fontId="113" fillId="0" borderId="5433" applyNumberFormat="0" applyFill="0" applyAlignment="0" applyProtection="0"/>
    <xf numFmtId="222" fontId="79" fillId="0" borderId="5432" applyBorder="0"/>
    <xf numFmtId="0" fontId="101" fillId="0" borderId="5433" applyBorder="0"/>
    <xf numFmtId="248" fontId="46" fillId="0" borderId="5433"/>
    <xf numFmtId="0" fontId="101" fillId="0" borderId="5433" applyBorder="0"/>
    <xf numFmtId="222" fontId="79" fillId="0" borderId="5432" applyBorder="0"/>
    <xf numFmtId="0" fontId="113" fillId="0" borderId="5433" applyNumberFormat="0" applyFill="0" applyAlignment="0" applyProtection="0"/>
    <xf numFmtId="0" fontId="75" fillId="0" borderId="5434" applyNumberFormat="0" applyFont="0" applyFill="0" applyAlignment="0" applyProtection="0"/>
    <xf numFmtId="0" fontId="12" fillId="0" borderId="5433" applyNumberFormat="0" applyFill="0" applyBorder="0" applyAlignment="0" applyProtection="0">
      <alignment horizontal="center"/>
    </xf>
    <xf numFmtId="248" fontId="46" fillId="0" borderId="5433"/>
    <xf numFmtId="192" fontId="9" fillId="3" borderId="5433">
      <alignment horizontal="right" vertical="center"/>
    </xf>
    <xf numFmtId="180" fontId="9" fillId="3" borderId="5433">
      <alignment horizontal="right" vertical="center"/>
    </xf>
    <xf numFmtId="186" fontId="146" fillId="3" borderId="5433" applyBorder="0">
      <alignment horizontal="left" vertical="center"/>
    </xf>
    <xf numFmtId="186" fontId="146" fillId="3" borderId="5436">
      <alignment horizontal="left"/>
    </xf>
    <xf numFmtId="186" fontId="140" fillId="3" borderId="5437">
      <alignment horizontal="center" vertical="center"/>
    </xf>
    <xf numFmtId="0" fontId="165" fillId="0" borderId="5433" applyFill="0" applyProtection="0">
      <alignment horizontal="center"/>
    </xf>
    <xf numFmtId="0" fontId="166" fillId="0" borderId="5433">
      <alignment horizontal="center"/>
    </xf>
    <xf numFmtId="264" fontId="12" fillId="14" borderId="5433" applyFont="0" applyFill="0" applyBorder="0" applyAlignment="0" applyProtection="0">
      <alignment horizontal="right"/>
    </xf>
    <xf numFmtId="0" fontId="210" fillId="0" borderId="5433" applyNumberFormat="0" applyFill="0" applyBorder="0" applyAlignment="0">
      <protection locked="0"/>
    </xf>
    <xf numFmtId="0" fontId="2" fillId="0" borderId="5438" applyNumberFormat="0" applyAlignment="0" applyProtection="0"/>
    <xf numFmtId="0" fontId="214" fillId="0" borderId="5439" applyNumberFormat="0" applyFont="0" applyFill="0" applyAlignment="0" applyProtection="0"/>
    <xf numFmtId="0" fontId="25" fillId="10" borderId="5440" applyNumberFormat="0" applyProtection="0">
      <alignment horizontal="left" vertical="top"/>
    </xf>
    <xf numFmtId="0" fontId="25" fillId="10" borderId="5441" applyNumberFormat="0" applyProtection="0">
      <alignment horizontal="left" vertical="top"/>
    </xf>
    <xf numFmtId="0" fontId="25" fillId="10" borderId="5442" applyNumberFormat="0" applyProtection="0">
      <alignment horizontal="left" vertical="top"/>
    </xf>
    <xf numFmtId="0" fontId="25" fillId="10" borderId="5443" applyNumberFormat="0" applyProtection="0">
      <alignment horizontal="left" vertical="top"/>
    </xf>
    <xf numFmtId="0" fontId="25" fillId="10" borderId="5440" applyNumberFormat="0" applyProtection="0">
      <alignment horizontal="left" vertical="top"/>
    </xf>
    <xf numFmtId="0" fontId="25" fillId="10" borderId="5441" applyNumberFormat="0" applyProtection="0">
      <alignment horizontal="left" vertical="top"/>
    </xf>
    <xf numFmtId="0" fontId="25" fillId="10" borderId="5442" applyNumberFormat="0" applyProtection="0">
      <alignment horizontal="left" vertical="top"/>
    </xf>
    <xf numFmtId="0" fontId="25" fillId="10" borderId="5443" applyNumberFormat="0" applyProtection="0">
      <alignment horizontal="left" vertical="top"/>
    </xf>
    <xf numFmtId="254" fontId="240" fillId="0" borderId="5433" applyBorder="0" applyProtection="0">
      <alignment horizontal="right" vertical="center"/>
    </xf>
    <xf numFmtId="0" fontId="241" fillId="94" borderId="5433" applyBorder="0" applyProtection="0">
      <alignment horizontal="centerContinuous" vertical="center"/>
    </xf>
    <xf numFmtId="246" fontId="249" fillId="0" borderId="5433" applyFill="0" applyProtection="0">
      <alignment horizontal="center"/>
    </xf>
    <xf numFmtId="246" fontId="250" fillId="0" borderId="5433" applyFill="0" applyProtection="0">
      <alignment horizontal="center"/>
    </xf>
    <xf numFmtId="190" fontId="101" fillId="0" borderId="5433" applyBorder="0"/>
    <xf numFmtId="190" fontId="113" fillId="0" borderId="5433" applyNumberFormat="0" applyFill="0" applyAlignment="0" applyProtection="0"/>
    <xf numFmtId="190" fontId="75" fillId="0" borderId="5410" applyNumberFormat="0" applyFont="0" applyFill="0" applyAlignment="0" applyProtection="0"/>
    <xf numFmtId="190" fontId="12" fillId="0" borderId="5433" applyNumberFormat="0" applyFill="0" applyBorder="0" applyAlignment="0" applyProtection="0">
      <alignment horizontal="center"/>
    </xf>
    <xf numFmtId="190" fontId="78" fillId="14" borderId="5423" applyFont="0" applyFill="0" applyBorder="0" applyAlignment="0" applyProtection="0"/>
    <xf numFmtId="190" fontId="165" fillId="0" borderId="5433" applyFill="0" applyProtection="0">
      <alignment horizontal="center"/>
    </xf>
    <xf numFmtId="190" fontId="166" fillId="0" borderId="5433">
      <alignment horizontal="center"/>
    </xf>
    <xf numFmtId="190" fontId="210" fillId="0" borderId="5433" applyNumberFormat="0" applyFill="0" applyBorder="0" applyAlignment="0">
      <protection locked="0"/>
    </xf>
    <xf numFmtId="190" fontId="2" fillId="0" borderId="5414" applyNumberFormat="0" applyAlignment="0" applyProtection="0"/>
    <xf numFmtId="190" fontId="214" fillId="0" borderId="5415" applyNumberFormat="0" applyFont="0" applyFill="0" applyAlignment="0" applyProtection="0"/>
    <xf numFmtId="190" fontId="25" fillId="10" borderId="5416" applyNumberFormat="0" applyProtection="0">
      <alignment horizontal="left" vertical="top"/>
    </xf>
    <xf numFmtId="190" fontId="25" fillId="10" borderId="5417" applyNumberFormat="0" applyProtection="0">
      <alignment horizontal="left" vertical="top"/>
    </xf>
    <xf numFmtId="190" fontId="25" fillId="10" borderId="5418" applyNumberFormat="0" applyProtection="0">
      <alignment horizontal="left" vertical="top"/>
    </xf>
    <xf numFmtId="190" fontId="25" fillId="10" borderId="5419" applyNumberFormat="0" applyProtection="0">
      <alignment horizontal="left" vertical="top"/>
    </xf>
    <xf numFmtId="190" fontId="241" fillId="94" borderId="5433" applyBorder="0" applyProtection="0">
      <alignment horizontal="centerContinuous" vertical="center"/>
    </xf>
    <xf numFmtId="222" fontId="79" fillId="0" borderId="5432" applyBorder="0"/>
    <xf numFmtId="0" fontId="101" fillId="0" borderId="5433" applyBorder="0"/>
    <xf numFmtId="222" fontId="79" fillId="0" borderId="5432" applyBorder="0"/>
    <xf numFmtId="0" fontId="113" fillId="0" borderId="5433" applyNumberFormat="0" applyFill="0" applyAlignment="0" applyProtection="0"/>
    <xf numFmtId="0" fontId="75" fillId="0" borderId="5410" applyNumberFormat="0" applyFont="0" applyFill="0" applyAlignment="0" applyProtection="0"/>
    <xf numFmtId="0" fontId="12" fillId="0" borderId="5433" applyNumberFormat="0" applyFill="0" applyBorder="0" applyAlignment="0" applyProtection="0">
      <alignment horizontal="center"/>
    </xf>
    <xf numFmtId="248" fontId="46" fillId="0" borderId="5433"/>
    <xf numFmtId="192" fontId="9" fillId="3" borderId="5433">
      <alignment horizontal="right" vertical="center"/>
    </xf>
    <xf numFmtId="180" fontId="9" fillId="3" borderId="5433">
      <alignment horizontal="right" vertical="center"/>
    </xf>
    <xf numFmtId="186" fontId="146" fillId="3" borderId="5433" applyBorder="0">
      <alignment horizontal="left" vertical="center"/>
    </xf>
    <xf numFmtId="186" fontId="146" fillId="3" borderId="5412">
      <alignment horizontal="left"/>
    </xf>
    <xf numFmtId="186" fontId="140" fillId="3" borderId="5413">
      <alignment horizontal="center" vertical="center"/>
    </xf>
    <xf numFmtId="0" fontId="165" fillId="0" borderId="5433" applyFill="0" applyProtection="0">
      <alignment horizontal="center"/>
    </xf>
    <xf numFmtId="0" fontId="166" fillId="0" borderId="5433">
      <alignment horizontal="center"/>
    </xf>
    <xf numFmtId="264" fontId="12" fillId="14" borderId="5433" applyFont="0" applyFill="0" applyBorder="0" applyAlignment="0" applyProtection="0">
      <alignment horizontal="right"/>
    </xf>
    <xf numFmtId="0" fontId="210" fillId="0" borderId="5433" applyNumberFormat="0" applyFill="0" applyBorder="0" applyAlignment="0">
      <protection locked="0"/>
    </xf>
    <xf numFmtId="0" fontId="2" fillId="0" borderId="5414" applyNumberFormat="0" applyAlignment="0" applyProtection="0"/>
    <xf numFmtId="0" fontId="214" fillId="0" borderId="5415" applyNumberFormat="0" applyFont="0" applyFill="0" applyAlignment="0" applyProtection="0"/>
    <xf numFmtId="0" fontId="25" fillId="10" borderId="5416" applyNumberFormat="0" applyProtection="0">
      <alignment horizontal="left" vertical="top"/>
    </xf>
    <xf numFmtId="0" fontId="25" fillId="10" borderId="5417" applyNumberFormat="0" applyProtection="0">
      <alignment horizontal="left" vertical="top"/>
    </xf>
    <xf numFmtId="0" fontId="25" fillId="10" borderId="5418" applyNumberFormat="0" applyProtection="0">
      <alignment horizontal="left" vertical="top"/>
    </xf>
    <xf numFmtId="0" fontId="25" fillId="10" borderId="5419" applyNumberFormat="0" applyProtection="0">
      <alignment horizontal="left" vertical="top"/>
    </xf>
    <xf numFmtId="0" fontId="25" fillId="10" borderId="5416" applyNumberFormat="0" applyProtection="0">
      <alignment horizontal="left" vertical="top"/>
    </xf>
    <xf numFmtId="0" fontId="25" fillId="10" borderId="5417" applyNumberFormat="0" applyProtection="0">
      <alignment horizontal="left" vertical="top"/>
    </xf>
    <xf numFmtId="0" fontId="25" fillId="10" borderId="5418" applyNumberFormat="0" applyProtection="0">
      <alignment horizontal="left" vertical="top"/>
    </xf>
    <xf numFmtId="0" fontId="25" fillId="10" borderId="5419" applyNumberFormat="0" applyProtection="0">
      <alignment horizontal="left" vertical="top"/>
    </xf>
    <xf numFmtId="254" fontId="240" fillId="0" borderId="5433" applyBorder="0" applyProtection="0">
      <alignment horizontal="right" vertical="center"/>
    </xf>
    <xf numFmtId="0" fontId="241" fillId="94" borderId="5433" applyBorder="0" applyProtection="0">
      <alignment horizontal="centerContinuous" vertical="center"/>
    </xf>
    <xf numFmtId="246" fontId="249" fillId="0" borderId="5433" applyFill="0" applyProtection="0">
      <alignment horizontal="center"/>
    </xf>
    <xf numFmtId="246" fontId="250" fillId="0" borderId="5433" applyFill="0" applyProtection="0">
      <alignment horizontal="center"/>
    </xf>
    <xf numFmtId="312" fontId="101" fillId="0" borderId="5433" applyBorder="0"/>
    <xf numFmtId="312" fontId="113" fillId="0" borderId="5433" applyNumberFormat="0" applyFill="0" applyAlignment="0" applyProtection="0"/>
    <xf numFmtId="312" fontId="75" fillId="0" borderId="5410" applyNumberFormat="0" applyFont="0" applyFill="0" applyAlignment="0" applyProtection="0"/>
    <xf numFmtId="312" fontId="12" fillId="0" borderId="5433" applyNumberFormat="0" applyFill="0" applyBorder="0" applyAlignment="0" applyProtection="0">
      <alignment horizontal="center"/>
    </xf>
    <xf numFmtId="312" fontId="165" fillId="0" borderId="5433" applyFill="0" applyProtection="0">
      <alignment horizontal="center"/>
    </xf>
    <xf numFmtId="312" fontId="242" fillId="0" borderId="5433">
      <alignment horizontal="center"/>
    </xf>
    <xf numFmtId="312" fontId="210" fillId="0" borderId="5433" applyNumberFormat="0" applyFill="0" applyBorder="0" applyAlignment="0">
      <protection locked="0"/>
    </xf>
    <xf numFmtId="312" fontId="2" fillId="0" borderId="5414" applyNumberFormat="0" applyAlignment="0" applyProtection="0"/>
    <xf numFmtId="312" fontId="214" fillId="0" borderId="5415" applyNumberFormat="0" applyFont="0" applyFill="0" applyAlignment="0" applyProtection="0"/>
    <xf numFmtId="312" fontId="25" fillId="10" borderId="5416" applyNumberFormat="0" applyProtection="0">
      <alignment horizontal="left" vertical="top"/>
    </xf>
    <xf numFmtId="312" fontId="25" fillId="10" borderId="5417" applyNumberFormat="0" applyProtection="0">
      <alignment horizontal="left" vertical="top"/>
    </xf>
    <xf numFmtId="312" fontId="25" fillId="10" borderId="5418" applyNumberFormat="0" applyProtection="0">
      <alignment horizontal="left" vertical="top"/>
    </xf>
    <xf numFmtId="312" fontId="25" fillId="10" borderId="5419" applyNumberFormat="0" applyProtection="0">
      <alignment horizontal="left" vertical="top"/>
    </xf>
    <xf numFmtId="312" fontId="241" fillId="94" borderId="5433" applyBorder="0" applyProtection="0">
      <alignment horizontal="centerContinuous" vertical="center"/>
    </xf>
    <xf numFmtId="246" fontId="296" fillId="0" borderId="5433" applyFill="0" applyProtection="0">
      <alignment horizontal="center"/>
    </xf>
    <xf numFmtId="312" fontId="101" fillId="0" borderId="5433" applyBorder="0"/>
    <xf numFmtId="312" fontId="113" fillId="0" borderId="5433" applyNumberFormat="0" applyFill="0" applyAlignment="0" applyProtection="0"/>
    <xf numFmtId="312" fontId="75" fillId="0" borderId="5410" applyNumberFormat="0" applyFont="0" applyFill="0" applyAlignment="0" applyProtection="0"/>
    <xf numFmtId="312" fontId="12" fillId="0" borderId="5433" applyNumberFormat="0" applyFill="0" applyBorder="0" applyAlignment="0" applyProtection="0">
      <alignment horizontal="center"/>
    </xf>
    <xf numFmtId="312" fontId="165" fillId="0" borderId="5433" applyFill="0" applyProtection="0">
      <alignment horizontal="center"/>
    </xf>
    <xf numFmtId="312" fontId="242" fillId="0" borderId="5433">
      <alignment horizontal="center"/>
    </xf>
    <xf numFmtId="312" fontId="210" fillId="0" borderId="5433" applyNumberFormat="0" applyFill="0" applyBorder="0" applyAlignment="0">
      <protection locked="0"/>
    </xf>
    <xf numFmtId="312" fontId="2" fillId="0" borderId="5414" applyNumberFormat="0" applyAlignment="0" applyProtection="0"/>
    <xf numFmtId="312" fontId="214" fillId="0" borderId="5415" applyNumberFormat="0" applyFont="0" applyFill="0" applyAlignment="0" applyProtection="0"/>
    <xf numFmtId="312" fontId="25" fillId="10" borderId="5416" applyNumberFormat="0" applyProtection="0">
      <alignment horizontal="left" vertical="top"/>
    </xf>
    <xf numFmtId="312" fontId="25" fillId="10" borderId="5417" applyNumberFormat="0" applyProtection="0">
      <alignment horizontal="left" vertical="top"/>
    </xf>
    <xf numFmtId="312" fontId="25" fillId="10" borderId="5418" applyNumberFormat="0" applyProtection="0">
      <alignment horizontal="left" vertical="top"/>
    </xf>
    <xf numFmtId="312" fontId="25" fillId="10" borderId="5419" applyNumberFormat="0" applyProtection="0">
      <alignment horizontal="left" vertical="top"/>
    </xf>
    <xf numFmtId="312" fontId="25" fillId="10" borderId="5416" applyNumberFormat="0" applyProtection="0">
      <alignment horizontal="left" vertical="top"/>
    </xf>
    <xf numFmtId="312" fontId="25" fillId="10" borderId="5417" applyNumberFormat="0" applyProtection="0">
      <alignment horizontal="left" vertical="top"/>
    </xf>
    <xf numFmtId="312" fontId="25" fillId="10" borderId="5418" applyNumberFormat="0" applyProtection="0">
      <alignment horizontal="left" vertical="top"/>
    </xf>
    <xf numFmtId="312" fontId="25" fillId="10" borderId="5419" applyNumberFormat="0" applyProtection="0">
      <alignment horizontal="left" vertical="top"/>
    </xf>
    <xf numFmtId="312" fontId="241" fillId="94" borderId="5433" applyBorder="0" applyProtection="0">
      <alignment horizontal="centerContinuous" vertical="center"/>
    </xf>
    <xf numFmtId="246" fontId="296" fillId="0" borderId="5433" applyFill="0" applyProtection="0">
      <alignment horizontal="center"/>
    </xf>
    <xf numFmtId="246" fontId="250" fillId="0" borderId="5433" applyFill="0" applyProtection="0">
      <alignment horizontal="center"/>
    </xf>
    <xf numFmtId="246" fontId="249" fillId="0" borderId="5433" applyFill="0" applyProtection="0">
      <alignment horizontal="center"/>
    </xf>
    <xf numFmtId="0" fontId="241" fillId="94" borderId="5433" applyBorder="0" applyProtection="0">
      <alignment horizontal="centerContinuous" vertical="center"/>
    </xf>
    <xf numFmtId="254" fontId="240" fillId="0" borderId="5433" applyBorder="0" applyProtection="0">
      <alignment horizontal="right" vertical="center"/>
    </xf>
    <xf numFmtId="0" fontId="25" fillId="10" borderId="5431" applyNumberFormat="0" applyProtection="0">
      <alignment horizontal="left" vertical="top"/>
    </xf>
    <xf numFmtId="0" fontId="25" fillId="10" borderId="5430" applyNumberFormat="0" applyProtection="0">
      <alignment horizontal="left" vertical="top"/>
    </xf>
    <xf numFmtId="0" fontId="25" fillId="10" borderId="5429" applyNumberFormat="0" applyProtection="0">
      <alignment horizontal="left" vertical="top"/>
    </xf>
    <xf numFmtId="0" fontId="25" fillId="10" borderId="5428" applyNumberFormat="0" applyProtection="0">
      <alignment horizontal="left" vertical="top"/>
    </xf>
    <xf numFmtId="0" fontId="214" fillId="0" borderId="5427" applyNumberFormat="0" applyFont="0" applyFill="0" applyAlignment="0" applyProtection="0"/>
    <xf numFmtId="0" fontId="2" fillId="0" borderId="5426" applyNumberFormat="0" applyAlignment="0" applyProtection="0"/>
    <xf numFmtId="0" fontId="210" fillId="0" borderId="5433" applyNumberFormat="0" applyFill="0" applyBorder="0" applyAlignment="0">
      <protection locked="0"/>
    </xf>
    <xf numFmtId="264" fontId="12" fillId="14" borderId="5433" applyFont="0" applyFill="0" applyBorder="0" applyAlignment="0" applyProtection="0">
      <alignment horizontal="right"/>
    </xf>
    <xf numFmtId="0" fontId="166" fillId="0" borderId="5433">
      <alignment horizontal="center"/>
    </xf>
    <xf numFmtId="0" fontId="165" fillId="0" borderId="5433" applyFill="0" applyProtection="0">
      <alignment horizontal="center"/>
    </xf>
    <xf numFmtId="186" fontId="140" fillId="3" borderId="5425">
      <alignment horizontal="center" vertical="center"/>
    </xf>
    <xf numFmtId="186" fontId="146" fillId="3" borderId="5424">
      <alignment horizontal="left"/>
    </xf>
    <xf numFmtId="186" fontId="146" fillId="3" borderId="5433" applyBorder="0">
      <alignment horizontal="left" vertical="center"/>
    </xf>
    <xf numFmtId="180" fontId="9" fillId="3" borderId="5433">
      <alignment horizontal="right" vertical="center"/>
    </xf>
    <xf numFmtId="192" fontId="9" fillId="3" borderId="5433">
      <alignment horizontal="right" vertical="center"/>
    </xf>
    <xf numFmtId="248" fontId="46" fillId="0" borderId="5433"/>
    <xf numFmtId="0" fontId="78" fillId="14" borderId="5423" applyFont="0" applyFill="0" applyBorder="0" applyAlignment="0" applyProtection="0"/>
    <xf numFmtId="0" fontId="12" fillId="0" borderId="5433" applyNumberFormat="0" applyFill="0" applyBorder="0" applyAlignment="0" applyProtection="0">
      <alignment horizontal="center"/>
    </xf>
    <xf numFmtId="0" fontId="75" fillId="0" borderId="5422" applyNumberFormat="0" applyFont="0" applyFill="0" applyAlignment="0" applyProtection="0"/>
    <xf numFmtId="0" fontId="113" fillId="0" borderId="5433" applyNumberFormat="0" applyFill="0" applyAlignment="0" applyProtection="0"/>
    <xf numFmtId="222" fontId="79" fillId="0" borderId="5432" applyBorder="0"/>
    <xf numFmtId="0" fontId="101" fillId="0" borderId="5433" applyBorder="0"/>
    <xf numFmtId="0" fontId="25" fillId="10" borderId="5440" applyNumberFormat="0" applyProtection="0">
      <alignment horizontal="left" vertical="top"/>
    </xf>
    <xf numFmtId="0" fontId="25" fillId="10" borderId="5441" applyNumberFormat="0" applyProtection="0">
      <alignment horizontal="left" vertical="top"/>
    </xf>
    <xf numFmtId="0" fontId="25" fillId="10" borderId="5442" applyNumberFormat="0" applyProtection="0">
      <alignment horizontal="left" vertical="top"/>
    </xf>
    <xf numFmtId="0" fontId="25" fillId="10" borderId="5443" applyNumberFormat="0" applyProtection="0">
      <alignment horizontal="left" vertical="top"/>
    </xf>
    <xf numFmtId="246" fontId="250" fillId="0" borderId="5421" applyFill="0" applyProtection="0">
      <alignment horizontal="center"/>
    </xf>
    <xf numFmtId="246" fontId="249" fillId="0" borderId="5421" applyFill="0" applyProtection="0">
      <alignment horizontal="center"/>
    </xf>
    <xf numFmtId="0" fontId="241" fillId="94" borderId="5421" applyBorder="0" applyProtection="0">
      <alignment horizontal="centerContinuous" vertical="center"/>
    </xf>
    <xf numFmtId="254" fontId="240" fillId="0" borderId="5421" applyBorder="0" applyProtection="0">
      <alignment horizontal="right" vertical="center"/>
    </xf>
    <xf numFmtId="0" fontId="210" fillId="0" borderId="5421" applyNumberFormat="0" applyFill="0" applyBorder="0" applyAlignment="0">
      <protection locked="0"/>
    </xf>
    <xf numFmtId="264" fontId="12" fillId="14" borderId="5421" applyFont="0" applyFill="0" applyBorder="0" applyAlignment="0" applyProtection="0">
      <alignment horizontal="right"/>
    </xf>
    <xf numFmtId="0" fontId="166" fillId="0" borderId="5421">
      <alignment horizontal="center"/>
    </xf>
    <xf numFmtId="0" fontId="165" fillId="0" borderId="5421" applyFill="0" applyProtection="0">
      <alignment horizontal="center"/>
    </xf>
    <xf numFmtId="186" fontId="146" fillId="3" borderId="5421" applyBorder="0">
      <alignment horizontal="left" vertical="center"/>
    </xf>
    <xf numFmtId="180" fontId="9" fillId="3" borderId="5421">
      <alignment horizontal="right" vertical="center"/>
    </xf>
    <xf numFmtId="192" fontId="9" fillId="3" borderId="5421">
      <alignment horizontal="right" vertical="center"/>
    </xf>
    <xf numFmtId="248" fontId="46" fillId="0" borderId="5421"/>
    <xf numFmtId="0" fontId="12" fillId="0" borderId="5421" applyNumberFormat="0" applyFill="0" applyBorder="0" applyAlignment="0" applyProtection="0">
      <alignment horizontal="center"/>
    </xf>
    <xf numFmtId="0" fontId="113" fillId="0" borderId="5421" applyNumberFormat="0" applyFill="0" applyAlignment="0" applyProtection="0"/>
    <xf numFmtId="222" fontId="79" fillId="0" borderId="5420" applyBorder="0"/>
    <xf numFmtId="0" fontId="101" fillId="0" borderId="5421" applyBorder="0"/>
    <xf numFmtId="246" fontId="250" fillId="0" borderId="5421" applyFill="0" applyProtection="0">
      <alignment horizontal="center"/>
    </xf>
    <xf numFmtId="246" fontId="249" fillId="0" borderId="5421" applyFill="0" applyProtection="0">
      <alignment horizontal="center"/>
    </xf>
    <xf numFmtId="0" fontId="241" fillId="94" borderId="5421" applyBorder="0" applyProtection="0">
      <alignment horizontal="centerContinuous" vertical="center"/>
    </xf>
    <xf numFmtId="254" fontId="240" fillId="0" borderId="5421" applyBorder="0" applyProtection="0">
      <alignment horizontal="right" vertical="center"/>
    </xf>
    <xf numFmtId="0" fontId="210" fillId="0" borderId="5421" applyNumberFormat="0" applyFill="0" applyBorder="0" applyAlignment="0">
      <protection locked="0"/>
    </xf>
    <xf numFmtId="264" fontId="12" fillId="14" borderId="5421" applyFont="0" applyFill="0" applyBorder="0" applyAlignment="0" applyProtection="0">
      <alignment horizontal="right"/>
    </xf>
    <xf numFmtId="0" fontId="166" fillId="0" borderId="5421">
      <alignment horizontal="center"/>
    </xf>
    <xf numFmtId="0" fontId="165" fillId="0" borderId="5421" applyFill="0" applyProtection="0">
      <alignment horizontal="center"/>
    </xf>
    <xf numFmtId="186" fontId="146" fillId="3" borderId="5421" applyBorder="0">
      <alignment horizontal="left" vertical="center"/>
    </xf>
    <xf numFmtId="180" fontId="9" fillId="3" borderId="5421">
      <alignment horizontal="right" vertical="center"/>
    </xf>
    <xf numFmtId="192" fontId="9" fillId="3" borderId="5421">
      <alignment horizontal="right" vertical="center"/>
    </xf>
    <xf numFmtId="0" fontId="12" fillId="0" borderId="5421" applyNumberFormat="0" applyFill="0" applyBorder="0" applyAlignment="0" applyProtection="0">
      <alignment horizontal="center"/>
    </xf>
    <xf numFmtId="0" fontId="113" fillId="0" borderId="5421" applyNumberFormat="0" applyFill="0" applyAlignment="0" applyProtection="0"/>
    <xf numFmtId="222" fontId="79" fillId="0" borderId="5420" applyBorder="0"/>
    <xf numFmtId="0" fontId="101" fillId="0" borderId="5421" applyBorder="0"/>
    <xf numFmtId="248" fontId="46" fillId="0" borderId="5421"/>
    <xf numFmtId="246" fontId="250" fillId="0" borderId="5421" applyFill="0" applyProtection="0">
      <alignment horizontal="center"/>
    </xf>
    <xf numFmtId="246" fontId="249" fillId="0" borderId="5421" applyFill="0" applyProtection="0">
      <alignment horizontal="center"/>
    </xf>
    <xf numFmtId="0" fontId="241" fillId="94" borderId="5421" applyBorder="0" applyProtection="0">
      <alignment horizontal="centerContinuous" vertical="center"/>
    </xf>
    <xf numFmtId="254" fontId="240" fillId="0" borderId="5421" applyBorder="0" applyProtection="0">
      <alignment horizontal="right" vertical="center"/>
    </xf>
    <xf numFmtId="0" fontId="210" fillId="0" borderId="5421" applyNumberFormat="0" applyFill="0" applyBorder="0" applyAlignment="0">
      <protection locked="0"/>
    </xf>
    <xf numFmtId="264" fontId="12" fillId="14" borderId="5421" applyFont="0" applyFill="0" applyBorder="0" applyAlignment="0" applyProtection="0">
      <alignment horizontal="right"/>
    </xf>
    <xf numFmtId="0" fontId="166" fillId="0" borderId="5421">
      <alignment horizontal="center"/>
    </xf>
    <xf numFmtId="0" fontId="165" fillId="0" borderId="5421" applyFill="0" applyProtection="0">
      <alignment horizontal="center"/>
    </xf>
    <xf numFmtId="186" fontId="146" fillId="3" borderId="5421" applyBorder="0">
      <alignment horizontal="left" vertical="center"/>
    </xf>
    <xf numFmtId="180" fontId="9" fillId="3" borderId="5421">
      <alignment horizontal="right" vertical="center"/>
    </xf>
    <xf numFmtId="192" fontId="9" fillId="3" borderId="5421">
      <alignment horizontal="right" vertical="center"/>
    </xf>
    <xf numFmtId="248" fontId="46" fillId="0" borderId="5421"/>
    <xf numFmtId="0" fontId="12" fillId="0" borderId="5421" applyNumberFormat="0" applyFill="0" applyBorder="0" applyAlignment="0" applyProtection="0">
      <alignment horizontal="center"/>
    </xf>
    <xf numFmtId="0" fontId="113" fillId="0" borderId="5421" applyNumberFormat="0" applyFill="0" applyAlignment="0" applyProtection="0"/>
    <xf numFmtId="222" fontId="79" fillId="0" borderId="5420" applyBorder="0"/>
    <xf numFmtId="0" fontId="101" fillId="0" borderId="5421" applyBorder="0"/>
    <xf numFmtId="1" fontId="154" fillId="65" borderId="5155" applyNumberFormat="0" applyBorder="0" applyAlignment="0">
      <alignment horizontal="centerContinuous" vertical="center"/>
      <protection locked="0"/>
    </xf>
    <xf numFmtId="0" fontId="12" fillId="0" borderId="5445" applyNumberFormat="0" applyFill="0" applyBorder="0" applyAlignment="0" applyProtection="0"/>
    <xf numFmtId="0" fontId="12" fillId="0" borderId="5445" applyNumberFormat="0" applyFill="0" applyBorder="0" applyAlignment="0" applyProtection="0"/>
    <xf numFmtId="0" fontId="12" fillId="0" borderId="5445" applyNumberFormat="0" applyFill="0" applyBorder="0" applyAlignment="0" applyProtection="0"/>
    <xf numFmtId="10" fontId="12" fillId="3" borderId="5458" applyNumberFormat="0" applyFont="0" applyFill="0" applyBorder="0" applyAlignment="0">
      <protection locked="0"/>
    </xf>
    <xf numFmtId="246" fontId="250" fillId="0" borderId="5502" applyFill="0" applyProtection="0">
      <alignment horizontal="center"/>
    </xf>
    <xf numFmtId="246" fontId="249" fillId="0" borderId="5502" applyFill="0" applyProtection="0">
      <alignment horizontal="center"/>
    </xf>
    <xf numFmtId="0" fontId="241" fillId="94" borderId="5502" applyBorder="0" applyProtection="0">
      <alignment horizontal="centerContinuous" vertical="center"/>
    </xf>
    <xf numFmtId="254" fontId="240" fillId="0" borderId="5502" applyBorder="0" applyProtection="0">
      <alignment horizontal="right" vertical="center"/>
    </xf>
    <xf numFmtId="0" fontId="12" fillId="0" borderId="5445" applyNumberFormat="0" applyFill="0" applyBorder="0" applyAlignment="0" applyProtection="0"/>
    <xf numFmtId="0" fontId="25" fillId="10" borderId="5457" applyNumberFormat="0" applyProtection="0">
      <alignment horizontal="left" vertical="top"/>
    </xf>
    <xf numFmtId="0" fontId="25" fillId="10" borderId="5456" applyNumberFormat="0" applyProtection="0">
      <alignment horizontal="left" vertical="top"/>
    </xf>
    <xf numFmtId="0" fontId="25" fillId="10" borderId="5085" applyNumberFormat="0" applyProtection="0">
      <alignment horizontal="left" vertical="top"/>
    </xf>
    <xf numFmtId="0" fontId="25" fillId="10" borderId="5455" applyNumberFormat="0" applyProtection="0">
      <alignment horizontal="left" vertical="top"/>
    </xf>
    <xf numFmtId="0" fontId="25" fillId="10" borderId="5084" applyNumberFormat="0" applyProtection="0">
      <alignment horizontal="left" vertical="top"/>
    </xf>
    <xf numFmtId="0" fontId="25" fillId="10" borderId="5454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25" fillId="10" borderId="5082" applyNumberFormat="0" applyProtection="0">
      <alignment horizontal="left" vertical="top"/>
    </xf>
    <xf numFmtId="0" fontId="25" fillId="10" borderId="5453" applyNumberFormat="0" applyProtection="0">
      <alignment horizontal="left" vertical="top"/>
    </xf>
    <xf numFmtId="0" fontId="25" fillId="10" borderId="5452" applyNumberFormat="0" applyProtection="0">
      <alignment horizontal="left" vertical="top"/>
    </xf>
    <xf numFmtId="0" fontId="25" fillId="10" borderId="5451" applyNumberFormat="0" applyProtection="0">
      <alignment horizontal="left"/>
    </xf>
    <xf numFmtId="0" fontId="12" fillId="10" borderId="5446" applyNumberFormat="0" applyFont="0" applyProtection="0"/>
    <xf numFmtId="0" fontId="12" fillId="10" borderId="5446" applyNumberFormat="0" applyFont="0" applyAlignment="0" applyProtection="0"/>
    <xf numFmtId="0" fontId="12" fillId="3" borderId="5446" applyNumberFormat="0" applyFont="0" applyAlignment="0" applyProtection="0"/>
    <xf numFmtId="293" fontId="234" fillId="10" borderId="5446" applyFont="0" applyProtection="0"/>
    <xf numFmtId="293" fontId="234" fillId="10" borderId="5446" applyFont="0" applyProtection="0"/>
    <xf numFmtId="169" fontId="234" fillId="3" borderId="5446" applyFont="0" applyProtection="0"/>
    <xf numFmtId="293" fontId="234" fillId="3" borderId="5446" applyFont="0" applyProtection="0"/>
    <xf numFmtId="169" fontId="234" fillId="10" borderId="5446" applyFont="0" applyProtection="0"/>
    <xf numFmtId="0" fontId="25" fillId="10" borderId="5446" applyNumberFormat="0" applyProtection="0">
      <alignment horizontal="center" vertical="top"/>
    </xf>
    <xf numFmtId="0" fontId="25" fillId="10" borderId="5446" applyNumberFormat="0" applyProtection="0">
      <alignment horizontal="center" vertical="top"/>
    </xf>
    <xf numFmtId="2" fontId="12" fillId="60" borderId="5450" applyFont="0" applyFill="0" applyBorder="0" applyAlignment="0" applyProtection="0"/>
    <xf numFmtId="9" fontId="12" fillId="60" borderId="5450" applyFont="0" applyFill="0" applyBorder="0" applyAlignment="0" applyProtection="0"/>
    <xf numFmtId="10" fontId="12" fillId="60" borderId="5450" applyFont="0" applyFill="0" applyBorder="0" applyAlignment="0" applyProtection="0"/>
    <xf numFmtId="183" fontId="12" fillId="60" borderId="5450" applyFont="0" applyFill="0" applyBorder="0" applyAlignment="0" applyProtection="0"/>
    <xf numFmtId="4" fontId="12" fillId="60" borderId="5450" applyFont="0" applyFill="0" applyBorder="0" applyAlignment="0" applyProtection="0"/>
    <xf numFmtId="3" fontId="12" fillId="60" borderId="5450" applyFont="0" applyFill="0" applyBorder="0" applyAlignment="0" applyProtection="0"/>
    <xf numFmtId="4" fontId="230" fillId="11" borderId="5448" applyNumberFormat="0" applyProtection="0">
      <alignment horizontal="right" vertical="center"/>
    </xf>
    <xf numFmtId="4" fontId="229" fillId="84" borderId="5449" applyNumberFormat="0" applyProtection="0">
      <alignment horizontal="left" vertical="center" indent="1"/>
    </xf>
    <xf numFmtId="0" fontId="136" fillId="84" borderId="5448" applyNumberFormat="0" applyProtection="0">
      <alignment horizontal="left" vertical="top" indent="1"/>
    </xf>
    <xf numFmtId="4" fontId="223" fillId="52" borderId="5448" applyNumberFormat="0" applyProtection="0">
      <alignment horizontal="left" vertical="center" indent="1"/>
    </xf>
    <xf numFmtId="4" fontId="228" fillId="11" borderId="5448" applyNumberFormat="0" applyProtection="0">
      <alignment horizontal="right" vertical="center"/>
    </xf>
    <xf numFmtId="4" fontId="184" fillId="11" borderId="5448" applyNumberFormat="0" applyProtection="0">
      <alignment horizontal="right" vertical="center"/>
    </xf>
    <xf numFmtId="0" fontId="136" fillId="14" borderId="5448" applyNumberFormat="0" applyProtection="0">
      <alignment horizontal="left" vertical="top" indent="1"/>
    </xf>
    <xf numFmtId="4" fontId="227" fillId="52" borderId="5449" applyNumberFormat="0" applyProtection="0">
      <alignment horizontal="left" vertical="center" indent="1"/>
    </xf>
    <xf numFmtId="4" fontId="228" fillId="11" borderId="5448" applyNumberFormat="0" applyProtection="0">
      <alignment vertical="center"/>
    </xf>
    <xf numFmtId="4" fontId="226" fillId="11" borderId="5448" applyNumberFormat="0" applyProtection="0">
      <alignment vertical="center"/>
    </xf>
    <xf numFmtId="0" fontId="12" fillId="11" borderId="5448" applyNumberFormat="0" applyProtection="0">
      <alignment horizontal="left" vertical="top" indent="1"/>
    </xf>
    <xf numFmtId="0" fontId="12" fillId="11" borderId="5448" applyNumberFormat="0" applyProtection="0">
      <alignment horizontal="left" vertical="center" indent="1"/>
    </xf>
    <xf numFmtId="0" fontId="12" fillId="52" borderId="5448" applyNumberFormat="0" applyProtection="0">
      <alignment horizontal="left" vertical="top" indent="1"/>
    </xf>
    <xf numFmtId="0" fontId="12" fillId="52" borderId="5448" applyNumberFormat="0" applyProtection="0">
      <alignment horizontal="left" vertical="center" indent="1"/>
    </xf>
    <xf numFmtId="0" fontId="12" fillId="84" borderId="5448" applyNumberFormat="0" applyProtection="0">
      <alignment horizontal="left" vertical="top" indent="1"/>
    </xf>
    <xf numFmtId="0" fontId="12" fillId="84" borderId="5448" applyNumberFormat="0" applyProtection="0">
      <alignment horizontal="left" vertical="center" indent="1"/>
    </xf>
    <xf numFmtId="0" fontId="12" fillId="75" borderId="5448" applyNumberFormat="0" applyProtection="0">
      <alignment horizontal="left" vertical="top" indent="1"/>
    </xf>
    <xf numFmtId="0" fontId="12" fillId="75" borderId="5448" applyNumberFormat="0" applyProtection="0">
      <alignment horizontal="left" vertical="center" indent="1"/>
    </xf>
    <xf numFmtId="4" fontId="184" fillId="52" borderId="5448" applyNumberFormat="0" applyProtection="0">
      <alignment horizontal="right" vertical="center"/>
    </xf>
    <xf numFmtId="4" fontId="226" fillId="82" borderId="5448" applyNumberFormat="0" applyProtection="0">
      <alignment horizontal="right" vertical="center"/>
    </xf>
    <xf numFmtId="4" fontId="226" fillId="81" borderId="5448" applyNumberFormat="0" applyProtection="0">
      <alignment horizontal="right" vertical="center"/>
    </xf>
    <xf numFmtId="4" fontId="226" fillId="80" borderId="5448" applyNumberFormat="0" applyProtection="0">
      <alignment horizontal="right" vertical="center"/>
    </xf>
    <xf numFmtId="4" fontId="226" fillId="71" borderId="5448" applyNumberFormat="0" applyProtection="0">
      <alignment horizontal="right" vertical="center"/>
    </xf>
    <xf numFmtId="4" fontId="226" fillId="79" borderId="5448" applyNumberFormat="0" applyProtection="0">
      <alignment horizontal="right" vertical="center"/>
    </xf>
    <xf numFmtId="4" fontId="226" fillId="10" borderId="5448" applyNumberFormat="0" applyProtection="0">
      <alignment horizontal="right" vertical="center"/>
    </xf>
    <xf numFmtId="4" fontId="226" fillId="78" borderId="5448" applyNumberFormat="0" applyProtection="0">
      <alignment horizontal="right" vertical="center"/>
    </xf>
    <xf numFmtId="4" fontId="226" fillId="77" borderId="5448" applyNumberFormat="0" applyProtection="0">
      <alignment horizontal="right" vertical="center"/>
    </xf>
    <xf numFmtId="4" fontId="226" fillId="76" borderId="5448" applyNumberFormat="0" applyProtection="0">
      <alignment horizontal="right" vertical="center"/>
    </xf>
    <xf numFmtId="0" fontId="225" fillId="53" borderId="5448" applyNumberFormat="0" applyProtection="0">
      <alignment horizontal="left" vertical="top" indent="1"/>
    </xf>
    <xf numFmtId="4" fontId="184" fillId="53" borderId="5448" applyNumberFormat="0" applyProtection="0">
      <alignment horizontal="left" vertical="center" indent="1"/>
    </xf>
    <xf numFmtId="4" fontId="224" fillId="53" borderId="5448" applyNumberFormat="0" applyProtection="0">
      <alignment vertical="center"/>
    </xf>
    <xf numFmtId="4" fontId="223" fillId="53" borderId="5448" applyNumberFormat="0" applyProtection="0">
      <alignment vertical="center"/>
    </xf>
    <xf numFmtId="0" fontId="12" fillId="0" borderId="5445" applyNumberFormat="0" applyFill="0" applyBorder="0" applyAlignment="0" applyProtection="0"/>
    <xf numFmtId="0" fontId="46" fillId="0" borderId="5445" applyNumberFormat="0" applyFill="0" applyBorder="0" applyAlignment="0" applyProtection="0"/>
    <xf numFmtId="0" fontId="105" fillId="0" borderId="5445" applyNumberFormat="0" applyFill="0" applyBorder="0" applyAlignment="0" applyProtection="0"/>
    <xf numFmtId="0" fontId="48" fillId="0" borderId="5445" applyNumberFormat="0" applyFill="0" applyAlignment="0" applyProtection="0"/>
    <xf numFmtId="5" fontId="114" fillId="0" borderId="5444" applyAlignment="0" applyProtection="0"/>
    <xf numFmtId="0" fontId="214" fillId="0" borderId="5081" applyNumberFormat="0" applyFont="0" applyFill="0" applyAlignment="0" applyProtection="0"/>
    <xf numFmtId="0" fontId="2" fillId="0" borderId="5080" applyNumberFormat="0" applyAlignment="0" applyProtection="0"/>
    <xf numFmtId="0" fontId="210" fillId="0" borderId="5502" applyNumberFormat="0" applyFill="0" applyBorder="0" applyAlignment="0">
      <protection locked="0"/>
    </xf>
    <xf numFmtId="182" fontId="145" fillId="3" borderId="5444">
      <alignment horizontal="right" vertical="center"/>
    </xf>
    <xf numFmtId="186" fontId="48" fillId="3" borderId="5444">
      <alignment vertical="center"/>
    </xf>
    <xf numFmtId="0" fontId="135" fillId="0" borderId="5446"/>
    <xf numFmtId="0" fontId="135" fillId="0" borderId="5446"/>
    <xf numFmtId="188" fontId="25" fillId="0" borderId="5460" applyFont="0" applyFill="0" applyBorder="0" applyAlignment="0" applyProtection="0">
      <alignment horizontal="center"/>
    </xf>
    <xf numFmtId="0" fontId="184" fillId="0" borderId="5447" applyAlignment="0">
      <alignment horizontal="left" wrapText="1"/>
    </xf>
    <xf numFmtId="264" fontId="12" fillId="14" borderId="5502" applyFont="0" applyFill="0" applyBorder="0" applyAlignment="0" applyProtection="0">
      <alignment horizontal="right"/>
    </xf>
    <xf numFmtId="0" fontId="25" fillId="69" borderId="5446">
      <alignment horizontal="left" vertical="center" wrapText="1"/>
    </xf>
    <xf numFmtId="0" fontId="159" fillId="0" borderId="5446"/>
    <xf numFmtId="0" fontId="159" fillId="67" borderId="5446"/>
    <xf numFmtId="0" fontId="166" fillId="0" borderId="5502">
      <alignment horizontal="center"/>
    </xf>
    <xf numFmtId="0" fontId="165" fillId="0" borderId="5502" applyFill="0" applyProtection="0">
      <alignment horizontal="center"/>
    </xf>
    <xf numFmtId="0" fontId="159" fillId="67" borderId="5446"/>
    <xf numFmtId="0" fontId="159" fillId="0" borderId="5446"/>
    <xf numFmtId="0" fontId="25" fillId="69" borderId="5446">
      <alignment horizontal="left" vertical="center" wrapText="1"/>
    </xf>
    <xf numFmtId="0" fontId="184" fillId="0" borderId="5447" applyAlignment="0">
      <alignment horizontal="left" wrapText="1"/>
    </xf>
    <xf numFmtId="0" fontId="135" fillId="0" borderId="5446"/>
    <xf numFmtId="0" fontId="135" fillId="0" borderId="5446"/>
    <xf numFmtId="186" fontId="140" fillId="3" borderId="5079">
      <alignment horizontal="center" vertical="center"/>
    </xf>
    <xf numFmtId="186" fontId="48" fillId="3" borderId="5444">
      <alignment vertical="center"/>
    </xf>
    <xf numFmtId="186" fontId="146" fillId="3" borderId="5078">
      <alignment horizontal="left"/>
    </xf>
    <xf numFmtId="186" fontId="146" fillId="3" borderId="5502" applyBorder="0">
      <alignment horizontal="left" vertical="center"/>
    </xf>
    <xf numFmtId="180" fontId="9" fillId="3" borderId="5502">
      <alignment horizontal="right" vertical="center"/>
    </xf>
    <xf numFmtId="192" fontId="9" fillId="3" borderId="5502">
      <alignment horizontal="right" vertical="center"/>
    </xf>
    <xf numFmtId="182" fontId="145" fillId="3" borderId="5444">
      <alignment horizontal="right" vertical="center"/>
    </xf>
    <xf numFmtId="188" fontId="25" fillId="0" borderId="5460" applyFont="0" applyFill="0" applyBorder="0" applyAlignment="0" applyProtection="0">
      <alignment horizontal="center"/>
    </xf>
    <xf numFmtId="0" fontId="48" fillId="0" borderId="5444" applyFont="0" applyFill="0" applyBorder="0" applyAlignment="0" applyProtection="0">
      <alignment horizontal="center"/>
    </xf>
    <xf numFmtId="0" fontId="74" fillId="0" borderId="5444" applyFont="0" applyFill="0" applyBorder="0" applyAlignment="0" applyProtection="0">
      <alignment horizontal="center"/>
    </xf>
    <xf numFmtId="248" fontId="46" fillId="0" borderId="5502"/>
    <xf numFmtId="0" fontId="78" fillId="14" borderId="5077" applyFont="0" applyFill="0" applyBorder="0" applyAlignment="0" applyProtection="0"/>
    <xf numFmtId="0" fontId="12" fillId="0" borderId="5502" applyNumberFormat="0" applyFill="0" applyBorder="0" applyAlignment="0" applyProtection="0">
      <alignment horizontal="center"/>
    </xf>
    <xf numFmtId="0" fontId="75" fillId="0" borderId="5076" applyNumberFormat="0" applyFont="0" applyFill="0" applyAlignment="0" applyProtection="0"/>
    <xf numFmtId="5" fontId="114" fillId="0" borderId="5444" applyAlignment="0" applyProtection="0"/>
    <xf numFmtId="0" fontId="113" fillId="0" borderId="5502" applyNumberFormat="0" applyFill="0" applyAlignment="0" applyProtection="0"/>
    <xf numFmtId="0" fontId="48" fillId="0" borderId="5445" applyNumberFormat="0" applyFill="0" applyAlignment="0" applyProtection="0"/>
    <xf numFmtId="0" fontId="105" fillId="0" borderId="5445" applyNumberFormat="0" applyFill="0" applyBorder="0" applyAlignment="0" applyProtection="0"/>
    <xf numFmtId="0" fontId="46" fillId="0" borderId="5445" applyNumberFormat="0" applyFill="0" applyBorder="0" applyAlignment="0" applyProtection="0"/>
    <xf numFmtId="0" fontId="12" fillId="0" borderId="5445" applyNumberFormat="0" applyFill="0" applyBorder="0" applyAlignment="0" applyProtection="0"/>
    <xf numFmtId="222" fontId="79" fillId="0" borderId="5501" applyBorder="0"/>
    <xf numFmtId="0" fontId="101" fillId="0" borderId="5502" applyBorder="0"/>
    <xf numFmtId="4" fontId="223" fillId="53" borderId="5448" applyNumberFormat="0" applyProtection="0">
      <alignment vertical="center"/>
    </xf>
    <xf numFmtId="4" fontId="224" fillId="53" borderId="5448" applyNumberFormat="0" applyProtection="0">
      <alignment vertical="center"/>
    </xf>
    <xf numFmtId="4" fontId="184" fillId="53" borderId="5448" applyNumberFormat="0" applyProtection="0">
      <alignment horizontal="left" vertical="center" indent="1"/>
    </xf>
    <xf numFmtId="0" fontId="225" fillId="53" borderId="5448" applyNumberFormat="0" applyProtection="0">
      <alignment horizontal="left" vertical="top" indent="1"/>
    </xf>
    <xf numFmtId="4" fontId="226" fillId="76" borderId="5448" applyNumberFormat="0" applyProtection="0">
      <alignment horizontal="right" vertical="center"/>
    </xf>
    <xf numFmtId="4" fontId="226" fillId="77" borderId="5448" applyNumberFormat="0" applyProtection="0">
      <alignment horizontal="right" vertical="center"/>
    </xf>
    <xf numFmtId="4" fontId="226" fillId="78" borderId="5448" applyNumberFormat="0" applyProtection="0">
      <alignment horizontal="right" vertical="center"/>
    </xf>
    <xf numFmtId="4" fontId="226" fillId="10" borderId="5448" applyNumberFormat="0" applyProtection="0">
      <alignment horizontal="right" vertical="center"/>
    </xf>
    <xf numFmtId="4" fontId="226" fillId="79" borderId="5448" applyNumberFormat="0" applyProtection="0">
      <alignment horizontal="right" vertical="center"/>
    </xf>
    <xf numFmtId="4" fontId="226" fillId="71" borderId="5448" applyNumberFormat="0" applyProtection="0">
      <alignment horizontal="right" vertical="center"/>
    </xf>
    <xf numFmtId="4" fontId="226" fillId="81" borderId="5448" applyNumberFormat="0" applyProtection="0">
      <alignment horizontal="right" vertical="center"/>
    </xf>
    <xf numFmtId="4" fontId="226" fillId="80" borderId="5448" applyNumberFormat="0" applyProtection="0">
      <alignment horizontal="right" vertical="center"/>
    </xf>
    <xf numFmtId="4" fontId="226" fillId="82" borderId="5448" applyNumberFormat="0" applyProtection="0">
      <alignment horizontal="right" vertical="center"/>
    </xf>
    <xf numFmtId="4" fontId="184" fillId="52" borderId="5448" applyNumberFormat="0" applyProtection="0">
      <alignment horizontal="right" vertical="center"/>
    </xf>
    <xf numFmtId="0" fontId="12" fillId="75" borderId="5448" applyNumberFormat="0" applyProtection="0">
      <alignment horizontal="left" vertical="center" indent="1"/>
    </xf>
    <xf numFmtId="0" fontId="12" fillId="75" borderId="5448" applyNumberFormat="0" applyProtection="0">
      <alignment horizontal="left" vertical="top" indent="1"/>
    </xf>
    <xf numFmtId="0" fontId="12" fillId="84" borderId="5448" applyNumberFormat="0" applyProtection="0">
      <alignment horizontal="left" vertical="center" indent="1"/>
    </xf>
    <xf numFmtId="0" fontId="12" fillId="84" borderId="5448" applyNumberFormat="0" applyProtection="0">
      <alignment horizontal="left" vertical="top" indent="1"/>
    </xf>
    <xf numFmtId="0" fontId="12" fillId="52" borderId="5448" applyNumberFormat="0" applyProtection="0">
      <alignment horizontal="left" vertical="center" indent="1"/>
    </xf>
    <xf numFmtId="0" fontId="12" fillId="52" borderId="5448" applyNumberFormat="0" applyProtection="0">
      <alignment horizontal="left" vertical="top" indent="1"/>
    </xf>
    <xf numFmtId="0" fontId="12" fillId="11" borderId="5448" applyNumberFormat="0" applyProtection="0">
      <alignment horizontal="left" vertical="center" indent="1"/>
    </xf>
    <xf numFmtId="0" fontId="12" fillId="11" borderId="5448" applyNumberFormat="0" applyProtection="0">
      <alignment horizontal="left" vertical="top" indent="1"/>
    </xf>
    <xf numFmtId="4" fontId="226" fillId="11" borderId="5448" applyNumberFormat="0" applyProtection="0">
      <alignment vertical="center"/>
    </xf>
    <xf numFmtId="4" fontId="228" fillId="11" borderId="5448" applyNumberFormat="0" applyProtection="0">
      <alignment vertical="center"/>
    </xf>
    <xf numFmtId="4" fontId="227" fillId="52" borderId="5449" applyNumberFormat="0" applyProtection="0">
      <alignment horizontal="left" vertical="center" indent="1"/>
    </xf>
    <xf numFmtId="0" fontId="136" fillId="14" borderId="5448" applyNumberFormat="0" applyProtection="0">
      <alignment horizontal="left" vertical="top" indent="1"/>
    </xf>
    <xf numFmtId="4" fontId="184" fillId="11" borderId="5448" applyNumberFormat="0" applyProtection="0">
      <alignment horizontal="right" vertical="center"/>
    </xf>
    <xf numFmtId="4" fontId="228" fillId="11" borderId="5448" applyNumberFormat="0" applyProtection="0">
      <alignment horizontal="right" vertical="center"/>
    </xf>
    <xf numFmtId="4" fontId="223" fillId="52" borderId="5448" applyNumberFormat="0" applyProtection="0">
      <alignment horizontal="left" vertical="center" indent="1"/>
    </xf>
    <xf numFmtId="0" fontId="136" fillId="84" borderId="5448" applyNumberFormat="0" applyProtection="0">
      <alignment horizontal="left" vertical="top" indent="1"/>
    </xf>
    <xf numFmtId="4" fontId="229" fillId="84" borderId="5449" applyNumberFormat="0" applyProtection="0">
      <alignment horizontal="left" vertical="center" indent="1"/>
    </xf>
    <xf numFmtId="4" fontId="230" fillId="11" borderId="5448" applyNumberFormat="0" applyProtection="0">
      <alignment horizontal="right" vertical="center"/>
    </xf>
    <xf numFmtId="0" fontId="25" fillId="10" borderId="5509" applyNumberFormat="0" applyProtection="0">
      <alignment horizontal="left" vertical="top"/>
    </xf>
    <xf numFmtId="0" fontId="25" fillId="10" borderId="5510" applyNumberFormat="0" applyProtection="0">
      <alignment horizontal="left" vertical="top"/>
    </xf>
    <xf numFmtId="0" fontId="25" fillId="10" borderId="5511" applyNumberFormat="0" applyProtection="0">
      <alignment horizontal="left" vertical="top"/>
    </xf>
    <xf numFmtId="0" fontId="25" fillId="10" borderId="5512" applyNumberFormat="0" applyProtection="0">
      <alignment horizontal="left" vertical="top"/>
    </xf>
    <xf numFmtId="3" fontId="12" fillId="60" borderId="5450" applyFont="0" applyFill="0" applyBorder="0" applyAlignment="0" applyProtection="0"/>
    <xf numFmtId="4" fontId="12" fillId="60" borderId="5450" applyFont="0" applyFill="0" applyBorder="0" applyAlignment="0" applyProtection="0"/>
    <xf numFmtId="183" fontId="12" fillId="60" borderId="5450" applyFont="0" applyFill="0" applyBorder="0" applyAlignment="0" applyProtection="0"/>
    <xf numFmtId="10" fontId="12" fillId="60" borderId="5450" applyFont="0" applyFill="0" applyBorder="0" applyAlignment="0" applyProtection="0"/>
    <xf numFmtId="9" fontId="12" fillId="60" borderId="5450" applyFont="0" applyFill="0" applyBorder="0" applyAlignment="0" applyProtection="0"/>
    <xf numFmtId="2" fontId="12" fillId="60" borderId="5450" applyFont="0" applyFill="0" applyBorder="0" applyAlignment="0" applyProtection="0"/>
    <xf numFmtId="0" fontId="25" fillId="10" borderId="5446" applyNumberFormat="0" applyProtection="0">
      <alignment horizontal="center" vertical="top"/>
    </xf>
    <xf numFmtId="169" fontId="234" fillId="3" borderId="5446" applyFont="0" applyProtection="0"/>
    <xf numFmtId="169" fontId="234" fillId="10" borderId="5446" applyFont="0" applyProtection="0"/>
    <xf numFmtId="293" fontId="234" fillId="3" borderId="5446" applyFont="0" applyProtection="0"/>
    <xf numFmtId="293" fontId="234" fillId="10" borderId="5446" applyFont="0" applyProtection="0"/>
    <xf numFmtId="293" fontId="234" fillId="10" borderId="5446" applyFont="0" applyProtection="0"/>
    <xf numFmtId="0" fontId="12" fillId="3" borderId="5446" applyNumberFormat="0" applyFont="0" applyAlignment="0" applyProtection="0"/>
    <xf numFmtId="0" fontId="12" fillId="10" borderId="5446" applyNumberFormat="0" applyFont="0" applyAlignment="0" applyProtection="0"/>
    <xf numFmtId="0" fontId="12" fillId="10" borderId="5446" applyNumberFormat="0" applyFont="0" applyProtection="0"/>
    <xf numFmtId="0" fontId="25" fillId="10" borderId="5451" applyNumberFormat="0" applyProtection="0">
      <alignment horizontal="left"/>
    </xf>
    <xf numFmtId="0" fontId="25" fillId="10" borderId="5452" applyNumberFormat="0" applyProtection="0">
      <alignment horizontal="left" vertical="top"/>
    </xf>
    <xf numFmtId="0" fontId="25" fillId="10" borderId="5453" applyNumberFormat="0" applyProtection="0">
      <alignment horizontal="left" vertical="top"/>
    </xf>
    <xf numFmtId="0" fontId="25" fillId="10" borderId="5454" applyNumberFormat="0" applyProtection="0">
      <alignment horizontal="left" vertical="top"/>
    </xf>
    <xf numFmtId="0" fontId="25" fillId="10" borderId="5455" applyNumberFormat="0" applyProtection="0">
      <alignment horizontal="left" vertical="top"/>
    </xf>
    <xf numFmtId="0" fontId="25" fillId="10" borderId="5456" applyNumberFormat="0" applyProtection="0">
      <alignment horizontal="left" vertical="top"/>
    </xf>
    <xf numFmtId="0" fontId="25" fillId="10" borderId="5457" applyNumberFormat="0" applyProtection="0">
      <alignment horizontal="left" vertical="top"/>
    </xf>
    <xf numFmtId="10" fontId="12" fillId="3" borderId="5458" applyNumberFormat="0" applyFont="0" applyFill="0" applyBorder="0" applyAlignment="0">
      <protection locked="0"/>
    </xf>
    <xf numFmtId="0" fontId="12" fillId="0" borderId="5445" applyNumberFormat="0" applyFill="0" applyBorder="0" applyAlignment="0" applyProtection="0"/>
    <xf numFmtId="0" fontId="25" fillId="10" borderId="5446" applyNumberFormat="0" applyProtection="0">
      <alignment horizontal="center" vertical="top"/>
    </xf>
    <xf numFmtId="0" fontId="48" fillId="0" borderId="5444" applyFont="0" applyFill="0" applyBorder="0" applyAlignment="0" applyProtection="0">
      <alignment horizontal="center"/>
    </xf>
    <xf numFmtId="0" fontId="74" fillId="0" borderId="5444" applyFont="0" applyFill="0" applyBorder="0" applyAlignment="0" applyProtection="0">
      <alignment horizontal="center"/>
    </xf>
    <xf numFmtId="10" fontId="12" fillId="3" borderId="5458" applyNumberFormat="0" applyFont="0" applyFill="0" applyBorder="0" applyAlignment="0">
      <protection locked="0"/>
    </xf>
    <xf numFmtId="0" fontId="12" fillId="0" borderId="5445" applyNumberFormat="0" applyFill="0" applyBorder="0" applyAlignment="0" applyProtection="0"/>
    <xf numFmtId="0" fontId="12" fillId="0" borderId="5445" applyNumberFormat="0" applyFill="0" applyBorder="0" applyAlignment="0" applyProtection="0"/>
    <xf numFmtId="0" fontId="12" fillId="0" borderId="5445" applyNumberFormat="0" applyFill="0" applyBorder="0" applyAlignment="0" applyProtection="0"/>
    <xf numFmtId="10" fontId="12" fillId="3" borderId="5458" applyNumberFormat="0" applyFont="0" applyFill="0" applyBorder="0" applyAlignment="0">
      <protection locked="0"/>
    </xf>
    <xf numFmtId="246" fontId="250" fillId="0" borderId="5433" applyFill="0" applyProtection="0">
      <alignment horizontal="center"/>
    </xf>
    <xf numFmtId="246" fontId="249" fillId="0" borderId="5433" applyFill="0" applyProtection="0">
      <alignment horizontal="center"/>
    </xf>
    <xf numFmtId="0" fontId="241" fillId="94" borderId="5433" applyBorder="0" applyProtection="0">
      <alignment horizontal="centerContinuous" vertical="center"/>
    </xf>
    <xf numFmtId="254" fontId="240" fillId="0" borderId="5433" applyBorder="0" applyProtection="0">
      <alignment horizontal="right" vertical="center"/>
    </xf>
    <xf numFmtId="0" fontId="210" fillId="0" borderId="5433" applyNumberFormat="0" applyFill="0" applyBorder="0" applyAlignment="0">
      <protection locked="0"/>
    </xf>
    <xf numFmtId="188" fontId="25" fillId="0" borderId="5460" applyFont="0" applyFill="0" applyBorder="0" applyAlignment="0" applyProtection="0">
      <alignment horizontal="center"/>
    </xf>
    <xf numFmtId="264" fontId="12" fillId="14" borderId="5433" applyFont="0" applyFill="0" applyBorder="0" applyAlignment="0" applyProtection="0">
      <alignment horizontal="right"/>
    </xf>
    <xf numFmtId="0" fontId="166" fillId="0" borderId="5433">
      <alignment horizontal="center"/>
    </xf>
    <xf numFmtId="0" fontId="165" fillId="0" borderId="5433" applyFill="0" applyProtection="0">
      <alignment horizontal="center"/>
    </xf>
    <xf numFmtId="186" fontId="146" fillId="3" borderId="5433" applyBorder="0">
      <alignment horizontal="left" vertical="center"/>
    </xf>
    <xf numFmtId="180" fontId="9" fillId="3" borderId="5433">
      <alignment horizontal="right" vertical="center"/>
    </xf>
    <xf numFmtId="192" fontId="9" fillId="3" borderId="5433">
      <alignment horizontal="right" vertical="center"/>
    </xf>
    <xf numFmtId="248" fontId="46" fillId="0" borderId="5433"/>
    <xf numFmtId="0" fontId="12" fillId="0" borderId="5433" applyNumberFormat="0" applyFill="0" applyBorder="0" applyAlignment="0" applyProtection="0">
      <alignment horizontal="center"/>
    </xf>
    <xf numFmtId="0" fontId="113" fillId="0" borderId="5433" applyNumberFormat="0" applyFill="0" applyAlignment="0" applyProtection="0"/>
    <xf numFmtId="222" fontId="79" fillId="0" borderId="5252" applyBorder="0"/>
    <xf numFmtId="0" fontId="101" fillId="0" borderId="5433" applyBorder="0"/>
    <xf numFmtId="10" fontId="12" fillId="3" borderId="5458" applyNumberFormat="0" applyFont="0" applyFill="0" applyBorder="0" applyAlignment="0">
      <protection locked="0"/>
    </xf>
    <xf numFmtId="1" fontId="154" fillId="65" borderId="5155" applyNumberFormat="0" applyBorder="0" applyAlignment="0">
      <alignment horizontal="centerContinuous" vertical="center"/>
      <protection locked="0"/>
    </xf>
    <xf numFmtId="0" fontId="12" fillId="0" borderId="5445" applyNumberFormat="0" applyFill="0" applyBorder="0" applyAlignment="0" applyProtection="0"/>
    <xf numFmtId="0" fontId="12" fillId="0" borderId="5445" applyNumberFormat="0" applyFill="0" applyBorder="0" applyAlignment="0" applyProtection="0"/>
    <xf numFmtId="0" fontId="12" fillId="0" borderId="5445" applyNumberFormat="0" applyFill="0" applyBorder="0" applyAlignment="0" applyProtection="0"/>
    <xf numFmtId="10" fontId="12" fillId="3" borderId="5458" applyNumberFormat="0" applyFont="0" applyFill="0" applyBorder="0" applyAlignment="0">
      <protection locked="0"/>
    </xf>
    <xf numFmtId="246" fontId="250" fillId="0" borderId="5433" applyFill="0" applyProtection="0">
      <alignment horizontal="center"/>
    </xf>
    <xf numFmtId="246" fontId="249" fillId="0" borderId="5433" applyFill="0" applyProtection="0">
      <alignment horizontal="center"/>
    </xf>
    <xf numFmtId="0" fontId="241" fillId="94" borderId="5433" applyBorder="0" applyProtection="0">
      <alignment horizontal="centerContinuous" vertical="center"/>
    </xf>
    <xf numFmtId="254" fontId="240" fillId="0" borderId="5433" applyBorder="0" applyProtection="0">
      <alignment horizontal="right" vertical="center"/>
    </xf>
    <xf numFmtId="0" fontId="12" fillId="0" borderId="5445" applyNumberFormat="0" applyFill="0" applyBorder="0" applyAlignment="0" applyProtection="0"/>
    <xf numFmtId="0" fontId="25" fillId="10" borderId="5457" applyNumberFormat="0" applyProtection="0">
      <alignment horizontal="left" vertical="top"/>
    </xf>
    <xf numFmtId="0" fontId="25" fillId="10" borderId="5456" applyNumberFormat="0" applyProtection="0">
      <alignment horizontal="left" vertical="top"/>
    </xf>
    <xf numFmtId="0" fontId="25" fillId="10" borderId="5455" applyNumberFormat="0" applyProtection="0">
      <alignment horizontal="left" vertical="top"/>
    </xf>
    <xf numFmtId="0" fontId="25" fillId="10" borderId="5454" applyNumberFormat="0" applyProtection="0">
      <alignment horizontal="left" vertical="top"/>
    </xf>
    <xf numFmtId="0" fontId="25" fillId="10" borderId="5453" applyNumberFormat="0" applyProtection="0">
      <alignment horizontal="left" vertical="top"/>
    </xf>
    <xf numFmtId="0" fontId="25" fillId="10" borderId="5452" applyNumberFormat="0" applyProtection="0">
      <alignment horizontal="left" vertical="top"/>
    </xf>
    <xf numFmtId="0" fontId="25" fillId="10" borderId="5451" applyNumberFormat="0" applyProtection="0">
      <alignment horizontal="left"/>
    </xf>
    <xf numFmtId="0" fontId="12" fillId="10" borderId="5446" applyNumberFormat="0" applyFont="0" applyProtection="0"/>
    <xf numFmtId="0" fontId="12" fillId="10" borderId="5446" applyNumberFormat="0" applyFont="0" applyAlignment="0" applyProtection="0"/>
    <xf numFmtId="0" fontId="12" fillId="3" borderId="5446" applyNumberFormat="0" applyFont="0" applyAlignment="0" applyProtection="0"/>
    <xf numFmtId="293" fontId="234" fillId="10" borderId="5446" applyFont="0" applyProtection="0"/>
    <xf numFmtId="293" fontId="234" fillId="3" borderId="5446" applyFont="0" applyProtection="0"/>
    <xf numFmtId="293" fontId="234" fillId="10" borderId="5446" applyFont="0" applyProtection="0"/>
    <xf numFmtId="169" fontId="234" fillId="10" borderId="5446" applyFont="0" applyProtection="0"/>
    <xf numFmtId="169" fontId="234" fillId="3" borderId="5446" applyFont="0" applyProtection="0"/>
    <xf numFmtId="0" fontId="25" fillId="10" borderId="5446" applyNumberFormat="0" applyProtection="0">
      <alignment horizontal="center" vertical="top"/>
    </xf>
    <xf numFmtId="0" fontId="25" fillId="10" borderId="5446" applyNumberFormat="0" applyProtection="0">
      <alignment horizontal="center" vertical="top"/>
    </xf>
    <xf numFmtId="2" fontId="12" fillId="60" borderId="5450" applyFont="0" applyFill="0" applyBorder="0" applyAlignment="0" applyProtection="0"/>
    <xf numFmtId="9" fontId="12" fillId="60" borderId="5450" applyFont="0" applyFill="0" applyBorder="0" applyAlignment="0" applyProtection="0"/>
    <xf numFmtId="10" fontId="12" fillId="60" borderId="5450" applyFont="0" applyFill="0" applyBorder="0" applyAlignment="0" applyProtection="0"/>
    <xf numFmtId="183" fontId="12" fillId="60" borderId="5450" applyFont="0" applyFill="0" applyBorder="0" applyAlignment="0" applyProtection="0"/>
    <xf numFmtId="4" fontId="12" fillId="60" borderId="5450" applyFont="0" applyFill="0" applyBorder="0" applyAlignment="0" applyProtection="0"/>
    <xf numFmtId="3" fontId="12" fillId="60" borderId="5450" applyFont="0" applyFill="0" applyBorder="0" applyAlignment="0" applyProtection="0"/>
    <xf numFmtId="4" fontId="230" fillId="11" borderId="5448" applyNumberFormat="0" applyProtection="0">
      <alignment horizontal="right" vertical="center"/>
    </xf>
    <xf numFmtId="4" fontId="229" fillId="84" borderId="5449" applyNumberFormat="0" applyProtection="0">
      <alignment horizontal="left" vertical="center" indent="1"/>
    </xf>
    <xf numFmtId="0" fontId="136" fillId="84" borderId="5448" applyNumberFormat="0" applyProtection="0">
      <alignment horizontal="left" vertical="top" indent="1"/>
    </xf>
    <xf numFmtId="4" fontId="223" fillId="52" borderId="5448" applyNumberFormat="0" applyProtection="0">
      <alignment horizontal="left" vertical="center" indent="1"/>
    </xf>
    <xf numFmtId="4" fontId="228" fillId="11" borderId="5448" applyNumberFormat="0" applyProtection="0">
      <alignment horizontal="right" vertical="center"/>
    </xf>
    <xf numFmtId="4" fontId="184" fillId="11" borderId="5448" applyNumberFormat="0" applyProtection="0">
      <alignment horizontal="right" vertical="center"/>
    </xf>
    <xf numFmtId="0" fontId="136" fillId="14" borderId="5448" applyNumberFormat="0" applyProtection="0">
      <alignment horizontal="left" vertical="top" indent="1"/>
    </xf>
    <xf numFmtId="4" fontId="227" fillId="52" borderId="5449" applyNumberFormat="0" applyProtection="0">
      <alignment horizontal="left" vertical="center" indent="1"/>
    </xf>
    <xf numFmtId="4" fontId="228" fillId="11" borderId="5448" applyNumberFormat="0" applyProtection="0">
      <alignment vertical="center"/>
    </xf>
    <xf numFmtId="4" fontId="226" fillId="11" borderId="5448" applyNumberFormat="0" applyProtection="0">
      <alignment vertical="center"/>
    </xf>
    <xf numFmtId="0" fontId="12" fillId="11" borderId="5448" applyNumberFormat="0" applyProtection="0">
      <alignment horizontal="left" vertical="top" indent="1"/>
    </xf>
    <xf numFmtId="0" fontId="12" fillId="11" borderId="5448" applyNumberFormat="0" applyProtection="0">
      <alignment horizontal="left" vertical="center" indent="1"/>
    </xf>
    <xf numFmtId="0" fontId="12" fillId="52" borderId="5448" applyNumberFormat="0" applyProtection="0">
      <alignment horizontal="left" vertical="top" indent="1"/>
    </xf>
    <xf numFmtId="0" fontId="12" fillId="52" borderId="5448" applyNumberFormat="0" applyProtection="0">
      <alignment horizontal="left" vertical="center" indent="1"/>
    </xf>
    <xf numFmtId="0" fontId="12" fillId="84" borderId="5448" applyNumberFormat="0" applyProtection="0">
      <alignment horizontal="left" vertical="top" indent="1"/>
    </xf>
    <xf numFmtId="0" fontId="12" fillId="84" borderId="5448" applyNumberFormat="0" applyProtection="0">
      <alignment horizontal="left" vertical="center" indent="1"/>
    </xf>
    <xf numFmtId="0" fontId="12" fillId="75" borderId="5448" applyNumberFormat="0" applyProtection="0">
      <alignment horizontal="left" vertical="top" indent="1"/>
    </xf>
    <xf numFmtId="0" fontId="12" fillId="75" borderId="5448" applyNumberFormat="0" applyProtection="0">
      <alignment horizontal="left" vertical="center" indent="1"/>
    </xf>
    <xf numFmtId="4" fontId="184" fillId="52" borderId="5448" applyNumberFormat="0" applyProtection="0">
      <alignment horizontal="right" vertical="center"/>
    </xf>
    <xf numFmtId="4" fontId="226" fillId="82" borderId="5448" applyNumberFormat="0" applyProtection="0">
      <alignment horizontal="right" vertical="center"/>
    </xf>
    <xf numFmtId="4" fontId="226" fillId="81" borderId="5448" applyNumberFormat="0" applyProtection="0">
      <alignment horizontal="right" vertical="center"/>
    </xf>
    <xf numFmtId="4" fontId="226" fillId="80" borderId="5448" applyNumberFormat="0" applyProtection="0">
      <alignment horizontal="right" vertical="center"/>
    </xf>
    <xf numFmtId="4" fontId="226" fillId="71" borderId="5448" applyNumberFormat="0" applyProtection="0">
      <alignment horizontal="right" vertical="center"/>
    </xf>
    <xf numFmtId="4" fontId="226" fillId="79" borderId="5448" applyNumberFormat="0" applyProtection="0">
      <alignment horizontal="right" vertical="center"/>
    </xf>
    <xf numFmtId="4" fontId="226" fillId="10" borderId="5448" applyNumberFormat="0" applyProtection="0">
      <alignment horizontal="right" vertical="center"/>
    </xf>
    <xf numFmtId="4" fontId="226" fillId="78" borderId="5448" applyNumberFormat="0" applyProtection="0">
      <alignment horizontal="right" vertical="center"/>
    </xf>
    <xf numFmtId="4" fontId="226" fillId="77" borderId="5448" applyNumberFormat="0" applyProtection="0">
      <alignment horizontal="right" vertical="center"/>
    </xf>
    <xf numFmtId="4" fontId="226" fillId="76" borderId="5448" applyNumberFormat="0" applyProtection="0">
      <alignment horizontal="right" vertical="center"/>
    </xf>
    <xf numFmtId="0" fontId="225" fillId="53" borderId="5448" applyNumberFormat="0" applyProtection="0">
      <alignment horizontal="left" vertical="top" indent="1"/>
    </xf>
    <xf numFmtId="4" fontId="184" fillId="53" borderId="5448" applyNumberFormat="0" applyProtection="0">
      <alignment horizontal="left" vertical="center" indent="1"/>
    </xf>
    <xf numFmtId="4" fontId="224" fillId="53" borderId="5448" applyNumberFormat="0" applyProtection="0">
      <alignment vertical="center"/>
    </xf>
    <xf numFmtId="4" fontId="223" fillId="53" borderId="5448" applyNumberFormat="0" applyProtection="0">
      <alignment vertical="center"/>
    </xf>
    <xf numFmtId="0" fontId="210" fillId="0" borderId="5433" applyNumberFormat="0" applyFill="0" applyBorder="0" applyAlignment="0">
      <protection locked="0"/>
    </xf>
    <xf numFmtId="188" fontId="25" fillId="0" borderId="5460" applyFont="0" applyFill="0" applyBorder="0" applyAlignment="0" applyProtection="0">
      <alignment horizontal="center"/>
    </xf>
    <xf numFmtId="0" fontId="184" fillId="0" borderId="5447" applyAlignment="0">
      <alignment horizontal="left" wrapText="1"/>
    </xf>
    <xf numFmtId="264" fontId="12" fillId="14" borderId="5433" applyFont="0" applyFill="0" applyBorder="0" applyAlignment="0" applyProtection="0">
      <alignment horizontal="right"/>
    </xf>
    <xf numFmtId="0" fontId="25" fillId="69" borderId="5446">
      <alignment horizontal="left" vertical="center" wrapText="1"/>
    </xf>
    <xf numFmtId="0" fontId="166" fillId="0" borderId="5433">
      <alignment horizontal="center"/>
    </xf>
    <xf numFmtId="0" fontId="165" fillId="0" borderId="5433" applyFill="0" applyProtection="0">
      <alignment horizontal="center"/>
    </xf>
    <xf numFmtId="0" fontId="159" fillId="67" borderId="5446"/>
    <xf numFmtId="0" fontId="159" fillId="0" borderId="5446"/>
    <xf numFmtId="0" fontId="135" fillId="0" borderId="5446"/>
    <xf numFmtId="0" fontId="135" fillId="0" borderId="5446"/>
    <xf numFmtId="186" fontId="48" fillId="3" borderId="5444">
      <alignment vertical="center"/>
    </xf>
    <xf numFmtId="186" fontId="146" fillId="3" borderId="5433" applyBorder="0">
      <alignment horizontal="left" vertical="center"/>
    </xf>
    <xf numFmtId="180" fontId="9" fillId="3" borderId="5433">
      <alignment horizontal="right" vertical="center"/>
    </xf>
    <xf numFmtId="192" fontId="9" fillId="3" borderId="5433">
      <alignment horizontal="right" vertical="center"/>
    </xf>
    <xf numFmtId="182" fontId="145" fillId="3" borderId="5444">
      <alignment horizontal="right" vertical="center"/>
    </xf>
    <xf numFmtId="0" fontId="48" fillId="0" borderId="5444" applyFont="0" applyFill="0" applyBorder="0" applyAlignment="0" applyProtection="0">
      <alignment horizontal="center"/>
    </xf>
    <xf numFmtId="0" fontId="74" fillId="0" borderId="5444" applyFont="0" applyFill="0" applyBorder="0" applyAlignment="0" applyProtection="0">
      <alignment horizontal="center"/>
    </xf>
    <xf numFmtId="0" fontId="12" fillId="0" borderId="5433" applyNumberFormat="0" applyFill="0" applyBorder="0" applyAlignment="0" applyProtection="0">
      <alignment horizontal="center"/>
    </xf>
    <xf numFmtId="5" fontId="114" fillId="0" borderId="5444" applyAlignment="0" applyProtection="0"/>
    <xf numFmtId="0" fontId="113" fillId="0" borderId="5433" applyNumberFormat="0" applyFill="0" applyAlignment="0" applyProtection="0"/>
    <xf numFmtId="0" fontId="48" fillId="0" borderId="5445" applyNumberFormat="0" applyFill="0" applyAlignment="0" applyProtection="0"/>
    <xf numFmtId="0" fontId="105" fillId="0" borderId="5445" applyNumberFormat="0" applyFill="0" applyBorder="0" applyAlignment="0" applyProtection="0"/>
    <xf numFmtId="0" fontId="46" fillId="0" borderId="5445" applyNumberFormat="0" applyFill="0" applyBorder="0" applyAlignment="0" applyProtection="0"/>
    <xf numFmtId="0" fontId="12" fillId="0" borderId="5445" applyNumberFormat="0" applyFill="0" applyBorder="0" applyAlignment="0" applyProtection="0"/>
    <xf numFmtId="222" fontId="79" fillId="0" borderId="5252" applyBorder="0"/>
    <xf numFmtId="0" fontId="101" fillId="0" borderId="5433" applyBorder="0"/>
    <xf numFmtId="10" fontId="12" fillId="3" borderId="5458" applyNumberFormat="0" applyFont="0" applyFill="0" applyBorder="0" applyAlignment="0">
      <protection locked="0"/>
    </xf>
    <xf numFmtId="248" fontId="46" fillId="0" borderId="5433"/>
    <xf numFmtId="10" fontId="12" fillId="3" borderId="5458" applyNumberFormat="0" applyFont="0" applyFill="0" applyBorder="0" applyAlignment="0">
      <protection locked="0"/>
    </xf>
    <xf numFmtId="246" fontId="250" fillId="0" borderId="5433" applyFill="0" applyProtection="0">
      <alignment horizontal="center"/>
    </xf>
    <xf numFmtId="246" fontId="249" fillId="0" borderId="5433" applyFill="0" applyProtection="0">
      <alignment horizontal="center"/>
    </xf>
    <xf numFmtId="0" fontId="241" fillId="94" borderId="5433" applyBorder="0" applyProtection="0">
      <alignment horizontal="centerContinuous" vertical="center"/>
    </xf>
    <xf numFmtId="254" fontId="240" fillId="0" borderId="5433" applyBorder="0" applyProtection="0">
      <alignment horizontal="right" vertical="center"/>
    </xf>
    <xf numFmtId="0" fontId="210" fillId="0" borderId="5433" applyNumberFormat="0" applyFill="0" applyBorder="0" applyAlignment="0">
      <protection locked="0"/>
    </xf>
    <xf numFmtId="188" fontId="25" fillId="0" borderId="5460" applyFont="0" applyFill="0" applyBorder="0" applyAlignment="0" applyProtection="0">
      <alignment horizontal="center"/>
    </xf>
    <xf numFmtId="264" fontId="12" fillId="14" borderId="5433" applyFont="0" applyFill="0" applyBorder="0" applyAlignment="0" applyProtection="0">
      <alignment horizontal="right"/>
    </xf>
    <xf numFmtId="0" fontId="166" fillId="0" borderId="5433">
      <alignment horizontal="center"/>
    </xf>
    <xf numFmtId="0" fontId="165" fillId="0" borderId="5433" applyFill="0" applyProtection="0">
      <alignment horizontal="center"/>
    </xf>
    <xf numFmtId="186" fontId="146" fillId="3" borderId="5433" applyBorder="0">
      <alignment horizontal="left" vertical="center"/>
    </xf>
    <xf numFmtId="180" fontId="9" fillId="3" borderId="5433">
      <alignment horizontal="right" vertical="center"/>
    </xf>
    <xf numFmtId="192" fontId="9" fillId="3" borderId="5433">
      <alignment horizontal="right" vertical="center"/>
    </xf>
    <xf numFmtId="248" fontId="46" fillId="0" borderId="5433"/>
    <xf numFmtId="0" fontId="12" fillId="0" borderId="5433" applyNumberFormat="0" applyFill="0" applyBorder="0" applyAlignment="0" applyProtection="0">
      <alignment horizontal="center"/>
    </xf>
    <xf numFmtId="0" fontId="113" fillId="0" borderId="5433" applyNumberFormat="0" applyFill="0" applyAlignment="0" applyProtection="0"/>
    <xf numFmtId="222" fontId="79" fillId="0" borderId="5252" applyBorder="0"/>
    <xf numFmtId="0" fontId="101" fillId="0" borderId="5433" applyBorder="0"/>
    <xf numFmtId="10" fontId="12" fillId="3" borderId="5458" applyNumberFormat="0" applyFont="0" applyFill="0" applyBorder="0" applyAlignment="0">
      <protection locked="0"/>
    </xf>
    <xf numFmtId="222" fontId="79" fillId="0" borderId="5514" applyBorder="0"/>
    <xf numFmtId="0" fontId="101" fillId="0" borderId="5515" applyBorder="0"/>
    <xf numFmtId="222" fontId="79" fillId="0" borderId="5514" applyBorder="0"/>
    <xf numFmtId="0" fontId="113" fillId="0" borderId="5515" applyNumberFormat="0" applyFill="0" applyAlignment="0" applyProtection="0"/>
    <xf numFmtId="0" fontId="12" fillId="0" borderId="5515" applyNumberFormat="0" applyFill="0" applyBorder="0" applyAlignment="0" applyProtection="0">
      <alignment horizontal="center"/>
    </xf>
    <xf numFmtId="248" fontId="46" fillId="0" borderId="5515"/>
    <xf numFmtId="192" fontId="9" fillId="3" borderId="5515">
      <alignment horizontal="right" vertical="center"/>
    </xf>
    <xf numFmtId="180" fontId="9" fillId="3" borderId="5515">
      <alignment horizontal="right" vertical="center"/>
    </xf>
    <xf numFmtId="186" fontId="146" fillId="3" borderId="5515" applyBorder="0">
      <alignment horizontal="left" vertical="center"/>
    </xf>
    <xf numFmtId="0" fontId="165" fillId="0" borderId="5515" applyFill="0" applyProtection="0">
      <alignment horizontal="center"/>
    </xf>
    <xf numFmtId="0" fontId="166" fillId="0" borderId="5515">
      <alignment horizontal="center"/>
    </xf>
    <xf numFmtId="264" fontId="12" fillId="14" borderId="5515" applyFont="0" applyFill="0" applyBorder="0" applyAlignment="0" applyProtection="0">
      <alignment horizontal="right"/>
    </xf>
    <xf numFmtId="0" fontId="210" fillId="0" borderId="5515" applyNumberFormat="0" applyFill="0" applyBorder="0" applyAlignment="0">
      <protection locked="0"/>
    </xf>
    <xf numFmtId="254" fontId="240" fillId="0" borderId="5515" applyBorder="0" applyProtection="0">
      <alignment horizontal="right" vertical="center"/>
    </xf>
    <xf numFmtId="0" fontId="241" fillId="94" borderId="5515" applyBorder="0" applyProtection="0">
      <alignment horizontal="centerContinuous" vertical="center"/>
    </xf>
    <xf numFmtId="246" fontId="249" fillId="0" borderId="5515" applyFill="0" applyProtection="0">
      <alignment horizontal="center"/>
    </xf>
    <xf numFmtId="246" fontId="250" fillId="0" borderId="5515" applyFill="0" applyProtection="0">
      <alignment horizontal="center"/>
    </xf>
    <xf numFmtId="0" fontId="78" fillId="14" borderId="5517" applyFont="0" applyFill="0" applyBorder="0" applyAlignment="0" applyProtection="0"/>
    <xf numFmtId="0" fontId="25" fillId="10" borderId="5525" applyNumberFormat="0" applyProtection="0">
      <alignment horizontal="left" vertical="top"/>
    </xf>
    <xf numFmtId="0" fontId="25" fillId="10" borderId="5524" applyNumberFormat="0" applyProtection="0">
      <alignment horizontal="left" vertical="top"/>
    </xf>
    <xf numFmtId="0" fontId="25" fillId="10" borderId="5523" applyNumberFormat="0" applyProtection="0">
      <alignment horizontal="left" vertical="top"/>
    </xf>
    <xf numFmtId="0" fontId="25" fillId="10" borderId="5522" applyNumberFormat="0" applyProtection="0">
      <alignment horizontal="left" vertical="top"/>
    </xf>
    <xf numFmtId="0" fontId="214" fillId="0" borderId="5521" applyNumberFormat="0" applyFont="0" applyFill="0" applyAlignment="0" applyProtection="0"/>
    <xf numFmtId="0" fontId="2" fillId="0" borderId="5520" applyNumberFormat="0" applyAlignment="0" applyProtection="0"/>
    <xf numFmtId="186" fontId="140" fillId="3" borderId="5519">
      <alignment horizontal="center" vertical="center"/>
    </xf>
    <xf numFmtId="186" fontId="146" fillId="3" borderId="5518">
      <alignment horizontal="left"/>
    </xf>
    <xf numFmtId="0" fontId="75" fillId="0" borderId="5516" applyNumberFormat="0" applyFont="0" applyFill="0" applyAlignment="0" applyProtection="0"/>
    <xf numFmtId="222" fontId="79" fillId="0" borderId="5526" applyBorder="0"/>
    <xf numFmtId="0" fontId="101" fillId="0" borderId="5527" applyBorder="0"/>
    <xf numFmtId="222" fontId="79" fillId="0" borderId="5526" applyBorder="0"/>
    <xf numFmtId="0" fontId="113" fillId="0" borderId="5527" applyNumberFormat="0" applyFill="0" applyAlignment="0" applyProtection="0"/>
    <xf numFmtId="0" fontId="12" fillId="0" borderId="5527" applyNumberFormat="0" applyFill="0" applyBorder="0" applyAlignment="0" applyProtection="0">
      <alignment horizontal="center"/>
    </xf>
    <xf numFmtId="248" fontId="46" fillId="0" borderId="5527"/>
    <xf numFmtId="192" fontId="9" fillId="3" borderId="5527">
      <alignment horizontal="right" vertical="center"/>
    </xf>
    <xf numFmtId="180" fontId="9" fillId="3" borderId="5527">
      <alignment horizontal="right" vertical="center"/>
    </xf>
    <xf numFmtId="186" fontId="146" fillId="3" borderId="5527" applyBorder="0">
      <alignment horizontal="left" vertical="center"/>
    </xf>
    <xf numFmtId="0" fontId="165" fillId="0" borderId="5527" applyFill="0" applyProtection="0">
      <alignment horizontal="center"/>
    </xf>
    <xf numFmtId="0" fontId="166" fillId="0" borderId="5527">
      <alignment horizontal="center"/>
    </xf>
    <xf numFmtId="264" fontId="12" fillId="14" borderId="5527" applyFont="0" applyFill="0" applyBorder="0" applyAlignment="0" applyProtection="0">
      <alignment horizontal="right"/>
    </xf>
    <xf numFmtId="0" fontId="210" fillId="0" borderId="5527" applyNumberFormat="0" applyFill="0" applyBorder="0" applyAlignment="0">
      <protection locked="0"/>
    </xf>
    <xf numFmtId="254" fontId="240" fillId="0" borderId="5527" applyBorder="0" applyProtection="0">
      <alignment horizontal="right" vertical="center"/>
    </xf>
    <xf numFmtId="0" fontId="241" fillId="94" borderId="5527" applyBorder="0" applyProtection="0">
      <alignment horizontal="centerContinuous" vertical="center"/>
    </xf>
    <xf numFmtId="246" fontId="249" fillId="0" borderId="5527" applyFill="0" applyProtection="0">
      <alignment horizontal="center"/>
    </xf>
    <xf numFmtId="246" fontId="250" fillId="0" borderId="5527" applyFill="0" applyProtection="0">
      <alignment horizontal="center"/>
    </xf>
    <xf numFmtId="186" fontId="146" fillId="3" borderId="5530">
      <alignment horizontal="left"/>
    </xf>
    <xf numFmtId="0" fontId="75" fillId="0" borderId="5528" applyNumberFormat="0" applyFont="0" applyFill="0" applyAlignment="0" applyProtection="0"/>
    <xf numFmtId="0" fontId="113" fillId="0" borderId="5611" applyNumberFormat="0" applyFill="0" applyAlignment="0" applyProtection="0"/>
    <xf numFmtId="264" fontId="12" fillId="14" borderId="5611" applyFont="0" applyFill="0" applyBorder="0" applyAlignment="0" applyProtection="0">
      <alignment horizontal="right"/>
    </xf>
    <xf numFmtId="246" fontId="249" fillId="0" borderId="5611" applyFill="0" applyProtection="0">
      <alignment horizontal="center"/>
    </xf>
    <xf numFmtId="0" fontId="25" fillId="10" borderId="5537" applyNumberFormat="0" applyProtection="0">
      <alignment horizontal="left" vertical="top"/>
    </xf>
    <xf numFmtId="0" fontId="25" fillId="10" borderId="5535" applyNumberFormat="0" applyProtection="0">
      <alignment horizontal="left" vertical="top"/>
    </xf>
    <xf numFmtId="0" fontId="25" fillId="10" borderId="5536" applyNumberFormat="0" applyProtection="0">
      <alignment horizontal="left" vertical="top"/>
    </xf>
    <xf numFmtId="0" fontId="25" fillId="10" borderId="5534" applyNumberFormat="0" applyProtection="0">
      <alignment horizontal="left" vertical="top"/>
    </xf>
    <xf numFmtId="0" fontId="25" fillId="10" borderId="5537" applyNumberFormat="0" applyProtection="0">
      <alignment horizontal="left" vertical="top"/>
    </xf>
    <xf numFmtId="0" fontId="25" fillId="10" borderId="5536" applyNumberFormat="0" applyProtection="0">
      <alignment horizontal="left" vertical="top"/>
    </xf>
    <xf numFmtId="0" fontId="25" fillId="10" borderId="5535" applyNumberFormat="0" applyProtection="0">
      <alignment horizontal="left" vertical="top"/>
    </xf>
    <xf numFmtId="0" fontId="25" fillId="10" borderId="5534" applyNumberFormat="0" applyProtection="0">
      <alignment horizontal="left" vertical="top"/>
    </xf>
    <xf numFmtId="0" fontId="214" fillId="0" borderId="5533" applyNumberFormat="0" applyFont="0" applyFill="0" applyAlignment="0" applyProtection="0"/>
    <xf numFmtId="0" fontId="2" fillId="0" borderId="5532" applyNumberFormat="0" applyAlignment="0" applyProtection="0"/>
    <xf numFmtId="186" fontId="140" fillId="3" borderId="5531">
      <alignment horizontal="center" vertical="center"/>
    </xf>
    <xf numFmtId="186" fontId="140" fillId="3" borderId="5543">
      <alignment horizontal="center" vertical="center"/>
    </xf>
    <xf numFmtId="0" fontId="25" fillId="10" borderId="5546" applyNumberFormat="0" applyProtection="0">
      <alignment horizontal="left" vertical="top"/>
    </xf>
    <xf numFmtId="0" fontId="12" fillId="0" borderId="5611" applyNumberFormat="0" applyFill="0" applyBorder="0" applyAlignment="0" applyProtection="0">
      <alignment horizontal="center"/>
    </xf>
    <xf numFmtId="0" fontId="25" fillId="10" borderId="5608" applyNumberFormat="0" applyProtection="0">
      <alignment horizontal="left" vertical="top"/>
    </xf>
    <xf numFmtId="222" fontId="79" fillId="0" borderId="5598" applyBorder="0"/>
    <xf numFmtId="0" fontId="78" fillId="14" borderId="5601" applyFont="0" applyFill="0" applyBorder="0" applyAlignment="0" applyProtection="0"/>
    <xf numFmtId="222" fontId="79" fillId="0" borderId="5610" applyBorder="0"/>
    <xf numFmtId="0" fontId="101" fillId="0" borderId="5611" applyBorder="0"/>
    <xf numFmtId="222" fontId="79" fillId="0" borderId="5610" applyBorder="0"/>
    <xf numFmtId="248" fontId="46" fillId="0" borderId="5611"/>
    <xf numFmtId="192" fontId="9" fillId="3" borderId="5611">
      <alignment horizontal="right" vertical="center"/>
    </xf>
    <xf numFmtId="180" fontId="9" fillId="3" borderId="5611">
      <alignment horizontal="right" vertical="center"/>
    </xf>
    <xf numFmtId="186" fontId="146" fillId="3" borderId="5611" applyBorder="0">
      <alignment horizontal="left" vertical="center"/>
    </xf>
    <xf numFmtId="0" fontId="165" fillId="0" borderId="5611" applyFill="0" applyProtection="0">
      <alignment horizontal="center"/>
    </xf>
    <xf numFmtId="0" fontId="210" fillId="0" borderId="5611" applyNumberFormat="0" applyFill="0" applyBorder="0" applyAlignment="0">
      <protection locked="0"/>
    </xf>
    <xf numFmtId="254" fontId="240" fillId="0" borderId="5611" applyBorder="0" applyProtection="0">
      <alignment horizontal="right" vertical="center"/>
    </xf>
    <xf numFmtId="246" fontId="250" fillId="0" borderId="5611" applyFill="0" applyProtection="0">
      <alignment horizontal="center"/>
    </xf>
    <xf numFmtId="222" fontId="79" fillId="0" borderId="5550" applyBorder="0"/>
    <xf numFmtId="0" fontId="25" fillId="10" borderId="5547" applyNumberFormat="0" applyProtection="0">
      <alignment horizontal="left" vertical="top"/>
    </xf>
    <xf numFmtId="0" fontId="25" fillId="10" borderId="5549" applyNumberFormat="0" applyProtection="0">
      <alignment horizontal="left" vertical="top"/>
    </xf>
    <xf numFmtId="0" fontId="25" fillId="10" borderId="5546" applyNumberFormat="0" applyProtection="0">
      <alignment horizontal="left" vertical="top"/>
    </xf>
    <xf numFmtId="0" fontId="25" fillId="10" borderId="5547" applyNumberFormat="0" applyProtection="0">
      <alignment horizontal="left" vertical="top"/>
    </xf>
    <xf numFmtId="0" fontId="25" fillId="10" borderId="5548" applyNumberFormat="0" applyProtection="0">
      <alignment horizontal="left" vertical="top"/>
    </xf>
    <xf numFmtId="0" fontId="75" fillId="0" borderId="5552" applyNumberFormat="0" applyFont="0" applyFill="0" applyAlignment="0" applyProtection="0"/>
    <xf numFmtId="0" fontId="101" fillId="0" borderId="5563" applyBorder="0"/>
    <xf numFmtId="222" fontId="79" fillId="0" borderId="5562" applyBorder="0"/>
    <xf numFmtId="0" fontId="113" fillId="0" borderId="5563" applyNumberFormat="0" applyFill="0" applyAlignment="0" applyProtection="0"/>
    <xf numFmtId="0" fontId="12" fillId="0" borderId="5563" applyNumberFormat="0" applyFill="0" applyBorder="0" applyAlignment="0" applyProtection="0">
      <alignment horizontal="center"/>
    </xf>
    <xf numFmtId="248" fontId="46" fillId="0" borderId="5563"/>
    <xf numFmtId="192" fontId="9" fillId="3" borderId="5563">
      <alignment horizontal="right" vertical="center"/>
    </xf>
    <xf numFmtId="180" fontId="9" fillId="3" borderId="5563">
      <alignment horizontal="right" vertical="center"/>
    </xf>
    <xf numFmtId="186" fontId="146" fillId="3" borderId="5563" applyBorder="0">
      <alignment horizontal="left" vertical="center"/>
    </xf>
    <xf numFmtId="0" fontId="166" fillId="0" borderId="5563">
      <alignment horizontal="center"/>
    </xf>
    <xf numFmtId="0" fontId="210" fillId="0" borderId="5563" applyNumberFormat="0" applyFill="0" applyBorder="0" applyAlignment="0">
      <protection locked="0"/>
    </xf>
    <xf numFmtId="264" fontId="12" fillId="14" borderId="5563" applyFont="0" applyFill="0" applyBorder="0" applyAlignment="0" applyProtection="0">
      <alignment horizontal="right"/>
    </xf>
    <xf numFmtId="246" fontId="249" fillId="0" borderId="5563" applyFill="0" applyProtection="0">
      <alignment horizontal="center"/>
    </xf>
    <xf numFmtId="246" fontId="250" fillId="0" borderId="5563" applyFill="0" applyProtection="0">
      <alignment horizontal="center"/>
    </xf>
    <xf numFmtId="246" fontId="250" fillId="0" borderId="5587" applyFill="0" applyProtection="0">
      <alignment horizontal="center"/>
    </xf>
    <xf numFmtId="246" fontId="249" fillId="0" borderId="5587" applyFill="0" applyProtection="0">
      <alignment horizontal="center"/>
    </xf>
    <xf numFmtId="254" fontId="240" fillId="0" borderId="5587" applyBorder="0" applyProtection="0">
      <alignment horizontal="right" vertical="center"/>
    </xf>
    <xf numFmtId="264" fontId="12" fillId="14" borderId="5587" applyFont="0" applyFill="0" applyBorder="0" applyAlignment="0" applyProtection="0">
      <alignment horizontal="right"/>
    </xf>
    <xf numFmtId="0" fontId="165" fillId="0" borderId="5587" applyFill="0" applyProtection="0">
      <alignment horizontal="center"/>
    </xf>
    <xf numFmtId="180" fontId="9" fillId="3" borderId="5587">
      <alignment horizontal="right" vertical="center"/>
    </xf>
    <xf numFmtId="0" fontId="12" fillId="0" borderId="5587" applyNumberFormat="0" applyFill="0" applyBorder="0" applyAlignment="0" applyProtection="0">
      <alignment horizontal="center"/>
    </xf>
    <xf numFmtId="0" fontId="101" fillId="0" borderId="5587" applyBorder="0"/>
    <xf numFmtId="222" fontId="79" fillId="0" borderId="5586" applyBorder="0"/>
    <xf numFmtId="0" fontId="75" fillId="0" borderId="5576" applyNumberFormat="0" applyFont="0" applyFill="0" applyAlignment="0" applyProtection="0"/>
    <xf numFmtId="0" fontId="2" fillId="0" borderId="5580" applyNumberFormat="0" applyAlignment="0" applyProtection="0"/>
    <xf numFmtId="0" fontId="25" fillId="10" borderId="5582" applyNumberFormat="0" applyProtection="0">
      <alignment horizontal="left" vertical="top"/>
    </xf>
    <xf numFmtId="0" fontId="25" fillId="10" borderId="5585" applyNumberFormat="0" applyProtection="0">
      <alignment horizontal="left" vertical="top"/>
    </xf>
    <xf numFmtId="222" fontId="79" fillId="0" borderId="5574" applyBorder="0"/>
    <xf numFmtId="0" fontId="25" fillId="10" borderId="5560" applyNumberFormat="0" applyProtection="0">
      <alignment horizontal="left" vertical="top"/>
    </xf>
    <xf numFmtId="0" fontId="25" fillId="10" borderId="5558" applyNumberFormat="0" applyProtection="0">
      <alignment horizontal="left" vertical="top"/>
    </xf>
    <xf numFmtId="0" fontId="214" fillId="0" borderId="5557" applyNumberFormat="0" applyFont="0" applyFill="0" applyAlignment="0" applyProtection="0"/>
    <xf numFmtId="186" fontId="146" fillId="3" borderId="5554">
      <alignment horizontal="left"/>
    </xf>
    <xf numFmtId="222" fontId="79" fillId="0" borderId="5562" applyBorder="0"/>
    <xf numFmtId="0" fontId="101" fillId="0" borderId="5433" applyBorder="0"/>
    <xf numFmtId="0" fontId="113" fillId="0" borderId="5433" applyNumberFormat="0" applyFill="0" applyAlignment="0" applyProtection="0"/>
    <xf numFmtId="0" fontId="12" fillId="0" borderId="5433" applyNumberFormat="0" applyFill="0" applyBorder="0" applyAlignment="0" applyProtection="0">
      <alignment horizontal="center"/>
    </xf>
    <xf numFmtId="248" fontId="46" fillId="0" borderId="5433"/>
    <xf numFmtId="192" fontId="9" fillId="3" borderId="5433">
      <alignment horizontal="right" vertical="center"/>
    </xf>
    <xf numFmtId="180" fontId="9" fillId="3" borderId="5433">
      <alignment horizontal="right" vertical="center"/>
    </xf>
    <xf numFmtId="186" fontId="146" fillId="3" borderId="5433" applyBorder="0">
      <alignment horizontal="left" vertical="center"/>
    </xf>
    <xf numFmtId="0" fontId="165" fillId="0" borderId="5433" applyFill="0" applyProtection="0">
      <alignment horizontal="center"/>
    </xf>
    <xf numFmtId="0" fontId="166" fillId="0" borderId="5433">
      <alignment horizontal="center"/>
    </xf>
    <xf numFmtId="264" fontId="12" fillId="14" borderId="5433" applyFont="0" applyFill="0" applyBorder="0" applyAlignment="0" applyProtection="0">
      <alignment horizontal="right"/>
    </xf>
    <xf numFmtId="0" fontId="210" fillId="0" borderId="5433" applyNumberFormat="0" applyFill="0" applyBorder="0" applyAlignment="0">
      <protection locked="0"/>
    </xf>
    <xf numFmtId="248" fontId="46" fillId="0" borderId="5587"/>
    <xf numFmtId="222" fontId="79" fillId="0" borderId="5586" applyBorder="0"/>
    <xf numFmtId="186" fontId="140" fillId="3" borderId="5579">
      <alignment horizontal="center" vertical="center"/>
    </xf>
    <xf numFmtId="0" fontId="25" fillId="10" borderId="5584" applyNumberFormat="0" applyProtection="0">
      <alignment horizontal="left" vertical="top"/>
    </xf>
    <xf numFmtId="0" fontId="210" fillId="0" borderId="5587" applyNumberFormat="0" applyFill="0" applyBorder="0" applyAlignment="0">
      <protection locked="0"/>
    </xf>
    <xf numFmtId="192" fontId="9" fillId="3" borderId="5587">
      <alignment horizontal="right" vertical="center"/>
    </xf>
    <xf numFmtId="0" fontId="113" fillId="0" borderId="5587" applyNumberFormat="0" applyFill="0" applyAlignment="0" applyProtection="0"/>
    <xf numFmtId="186" fontId="146" fillId="3" borderId="5578">
      <alignment horizontal="left"/>
    </xf>
    <xf numFmtId="0" fontId="25" fillId="10" borderId="5583" applyNumberFormat="0" applyProtection="0">
      <alignment horizontal="left" vertical="top"/>
    </xf>
    <xf numFmtId="254" fontId="240" fillId="0" borderId="5433" applyBorder="0" applyProtection="0">
      <alignment horizontal="right" vertical="center"/>
    </xf>
    <xf numFmtId="0" fontId="241" fillId="94" borderId="5433" applyBorder="0" applyProtection="0">
      <alignment horizontal="centerContinuous" vertical="center"/>
    </xf>
    <xf numFmtId="246" fontId="249" fillId="0" borderId="5433" applyFill="0" applyProtection="0">
      <alignment horizontal="center"/>
    </xf>
    <xf numFmtId="246" fontId="250" fillId="0" borderId="5433" applyFill="0" applyProtection="0">
      <alignment horizontal="center"/>
    </xf>
    <xf numFmtId="0" fontId="25" fillId="10" borderId="5607" applyNumberFormat="0" applyProtection="0">
      <alignment horizontal="left" vertical="top"/>
    </xf>
    <xf numFmtId="0" fontId="25" fillId="10" borderId="5609" applyNumberFormat="0" applyProtection="0">
      <alignment horizontal="left" vertical="top"/>
    </xf>
    <xf numFmtId="222" fontId="79" fillId="0" borderId="5538" applyBorder="0"/>
    <xf numFmtId="0" fontId="214" fillId="0" borderId="5605" applyNumberFormat="0" applyFont="0" applyFill="0" applyAlignment="0" applyProtection="0"/>
    <xf numFmtId="0" fontId="75" fillId="0" borderId="5540" applyNumberFormat="0" applyFont="0" applyFill="0" applyAlignment="0" applyProtection="0"/>
    <xf numFmtId="0" fontId="25" fillId="10" borderId="5548" applyNumberFormat="0" applyProtection="0">
      <alignment horizontal="left" vertical="top"/>
    </xf>
    <xf numFmtId="0" fontId="25" fillId="10" borderId="5549" applyNumberFormat="0" applyProtection="0">
      <alignment horizontal="left" vertical="top"/>
    </xf>
    <xf numFmtId="0" fontId="165" fillId="0" borderId="5563" applyFill="0" applyProtection="0">
      <alignment horizontal="center"/>
    </xf>
    <xf numFmtId="254" fontId="240" fillId="0" borderId="5563" applyBorder="0" applyProtection="0">
      <alignment horizontal="right" vertical="center"/>
    </xf>
    <xf numFmtId="0" fontId="241" fillId="94" borderId="5563" applyBorder="0" applyProtection="0">
      <alignment horizontal="centerContinuous" vertical="center"/>
    </xf>
    <xf numFmtId="0" fontId="241" fillId="94" borderId="5587" applyBorder="0" applyProtection="0">
      <alignment horizontal="centerContinuous" vertical="center"/>
    </xf>
    <xf numFmtId="0" fontId="166" fillId="0" borderId="5587">
      <alignment horizontal="center"/>
    </xf>
    <xf numFmtId="186" fontId="146" fillId="3" borderId="5587" applyBorder="0">
      <alignment horizontal="left" vertical="center"/>
    </xf>
    <xf numFmtId="0" fontId="214" fillId="0" borderId="5581" applyNumberFormat="0" applyFont="0" applyFill="0" applyAlignment="0" applyProtection="0"/>
    <xf numFmtId="0" fontId="78" fillId="14" borderId="5577" applyFont="0" applyFill="0" applyBorder="0" applyAlignment="0" applyProtection="0"/>
    <xf numFmtId="0" fontId="78" fillId="14" borderId="5504" applyFont="0" applyFill="0" applyBorder="0" applyAlignment="0" applyProtection="0"/>
    <xf numFmtId="0" fontId="25" fillId="10" borderId="5085" applyNumberFormat="0" applyProtection="0">
      <alignment horizontal="left" vertical="top"/>
    </xf>
    <xf numFmtId="0" fontId="25" fillId="10" borderId="5084" applyNumberFormat="0" applyProtection="0">
      <alignment horizontal="left" vertical="top"/>
    </xf>
    <xf numFmtId="0" fontId="25" fillId="10" borderId="5083" applyNumberFormat="0" applyProtection="0">
      <alignment horizontal="left" vertical="top"/>
    </xf>
    <xf numFmtId="0" fontId="25" fillId="10" borderId="5082" applyNumberFormat="0" applyProtection="0">
      <alignment horizontal="left" vertical="top"/>
    </xf>
    <xf numFmtId="186" fontId="140" fillId="3" borderId="5603">
      <alignment horizontal="center" vertical="center"/>
    </xf>
    <xf numFmtId="0" fontId="214" fillId="0" borderId="5081" applyNumberFormat="0" applyFont="0" applyFill="0" applyAlignment="0" applyProtection="0"/>
    <xf numFmtId="0" fontId="2" fillId="0" borderId="5080" applyNumberFormat="0" applyAlignment="0" applyProtection="0"/>
    <xf numFmtId="186" fontId="140" fillId="3" borderId="5079">
      <alignment horizontal="center" vertical="center"/>
    </xf>
    <xf numFmtId="186" fontId="146" fillId="3" borderId="5078">
      <alignment horizontal="left"/>
    </xf>
    <xf numFmtId="186" fontId="146" fillId="3" borderId="5602">
      <alignment horizontal="left"/>
    </xf>
    <xf numFmtId="0" fontId="75" fillId="0" borderId="5076" applyNumberFormat="0" applyFont="0" applyFill="0" applyAlignment="0" applyProtection="0"/>
    <xf numFmtId="0" fontId="75" fillId="0" borderId="5600" applyNumberFormat="0" applyFont="0" applyFill="0" applyAlignment="0" applyProtection="0"/>
    <xf numFmtId="222" fontId="79" fillId="0" borderId="5514" applyBorder="0"/>
    <xf numFmtId="222" fontId="79" fillId="0" borderId="5514" applyBorder="0"/>
    <xf numFmtId="0" fontId="25" fillId="10" borderId="5606" applyNumberFormat="0" applyProtection="0">
      <alignment horizontal="left" vertical="top"/>
    </xf>
    <xf numFmtId="0" fontId="2" fillId="0" borderId="5604" applyNumberFormat="0" applyAlignment="0" applyProtection="0"/>
    <xf numFmtId="246" fontId="250" fillId="0" borderId="5539" applyFill="0" applyProtection="0">
      <alignment horizontal="center"/>
    </xf>
    <xf numFmtId="246" fontId="249" fillId="0" borderId="5539" applyFill="0" applyProtection="0">
      <alignment horizontal="center"/>
    </xf>
    <xf numFmtId="0" fontId="241" fillId="94" borderId="5539" applyBorder="0" applyProtection="0">
      <alignment horizontal="centerContinuous" vertical="center"/>
    </xf>
    <xf numFmtId="254" fontId="240" fillId="0" borderId="5539" applyBorder="0" applyProtection="0">
      <alignment horizontal="right" vertical="center"/>
    </xf>
    <xf numFmtId="0" fontId="210" fillId="0" borderId="5539" applyNumberFormat="0" applyFill="0" applyBorder="0" applyAlignment="0">
      <protection locked="0"/>
    </xf>
    <xf numFmtId="264" fontId="12" fillId="14" borderId="5539" applyFont="0" applyFill="0" applyBorder="0" applyAlignment="0" applyProtection="0">
      <alignment horizontal="right"/>
    </xf>
    <xf numFmtId="0" fontId="166" fillId="0" borderId="5539">
      <alignment horizontal="center"/>
    </xf>
    <xf numFmtId="0" fontId="165" fillId="0" borderId="5539" applyFill="0" applyProtection="0">
      <alignment horizontal="center"/>
    </xf>
    <xf numFmtId="186" fontId="146" fillId="3" borderId="5539" applyBorder="0">
      <alignment horizontal="left" vertical="center"/>
    </xf>
    <xf numFmtId="180" fontId="9" fillId="3" borderId="5539">
      <alignment horizontal="right" vertical="center"/>
    </xf>
    <xf numFmtId="192" fontId="9" fillId="3" borderId="5539">
      <alignment horizontal="right" vertical="center"/>
    </xf>
    <xf numFmtId="248" fontId="46" fillId="0" borderId="5539"/>
    <xf numFmtId="0" fontId="12" fillId="0" borderId="5539" applyNumberFormat="0" applyFill="0" applyBorder="0" applyAlignment="0" applyProtection="0">
      <alignment horizontal="center"/>
    </xf>
    <xf numFmtId="0" fontId="113" fillId="0" borderId="5539" applyNumberFormat="0" applyFill="0" applyAlignment="0" applyProtection="0"/>
    <xf numFmtId="222" fontId="79" fillId="0" borderId="5538" applyBorder="0"/>
    <xf numFmtId="0" fontId="101" fillId="0" borderId="5539" applyBorder="0"/>
    <xf numFmtId="222" fontId="79" fillId="0" borderId="5538" applyBorder="0"/>
    <xf numFmtId="0" fontId="75" fillId="0" borderId="5528" applyNumberFormat="0" applyFont="0" applyFill="0" applyAlignment="0" applyProtection="0"/>
    <xf numFmtId="186" fontId="146" fillId="3" borderId="5530">
      <alignment horizontal="left"/>
    </xf>
    <xf numFmtId="186" fontId="140" fillId="3" borderId="5531">
      <alignment horizontal="center" vertical="center"/>
    </xf>
    <xf numFmtId="0" fontId="2" fillId="0" borderId="5532" applyNumberFormat="0" applyAlignment="0" applyProtection="0"/>
    <xf numFmtId="0" fontId="214" fillId="0" borderId="5533" applyNumberFormat="0" applyFont="0" applyFill="0" applyAlignment="0" applyProtection="0"/>
    <xf numFmtId="0" fontId="25" fillId="10" borderId="5534" applyNumberFormat="0" applyProtection="0">
      <alignment horizontal="left" vertical="top"/>
    </xf>
    <xf numFmtId="0" fontId="25" fillId="10" borderId="5535" applyNumberFormat="0" applyProtection="0">
      <alignment horizontal="left" vertical="top"/>
    </xf>
    <xf numFmtId="0" fontId="25" fillId="10" borderId="5536" applyNumberFormat="0" applyProtection="0">
      <alignment horizontal="left" vertical="top"/>
    </xf>
    <xf numFmtId="0" fontId="25" fillId="10" borderId="5537" applyNumberFormat="0" applyProtection="0">
      <alignment horizontal="left" vertical="top"/>
    </xf>
    <xf numFmtId="0" fontId="78" fillId="14" borderId="5529" applyFont="0" applyFill="0" applyBorder="0" applyAlignment="0" applyProtection="0"/>
    <xf numFmtId="222" fontId="79" fillId="0" borderId="5526" applyBorder="0"/>
    <xf numFmtId="0" fontId="78" fillId="14" borderId="5504" applyFont="0" applyFill="0" applyBorder="0" applyAlignment="0" applyProtection="0"/>
    <xf numFmtId="222" fontId="79" fillId="0" borderId="5514" applyBorder="0"/>
    <xf numFmtId="0" fontId="78" fillId="14" borderId="5517" applyFont="0" applyFill="0" applyBorder="0" applyAlignment="0" applyProtection="0"/>
    <xf numFmtId="0" fontId="25" fillId="10" borderId="5525" applyNumberFormat="0" applyProtection="0">
      <alignment horizontal="left" vertical="top"/>
    </xf>
    <xf numFmtId="0" fontId="25" fillId="10" borderId="5524" applyNumberFormat="0" applyProtection="0">
      <alignment horizontal="left" vertical="top"/>
    </xf>
    <xf numFmtId="0" fontId="25" fillId="10" borderId="5523" applyNumberFormat="0" applyProtection="0">
      <alignment horizontal="left" vertical="top"/>
    </xf>
    <xf numFmtId="0" fontId="25" fillId="10" borderId="5522" applyNumberFormat="0" applyProtection="0">
      <alignment horizontal="left" vertical="top"/>
    </xf>
    <xf numFmtId="0" fontId="214" fillId="0" borderId="5521" applyNumberFormat="0" applyFont="0" applyFill="0" applyAlignment="0" applyProtection="0"/>
    <xf numFmtId="0" fontId="2" fillId="0" borderId="5080" applyNumberFormat="0" applyAlignment="0" applyProtection="0"/>
    <xf numFmtId="186" fontId="140" fillId="3" borderId="5519">
      <alignment horizontal="center" vertical="center"/>
    </xf>
    <xf numFmtId="186" fontId="146" fillId="3" borderId="5518">
      <alignment horizontal="left"/>
    </xf>
    <xf numFmtId="0" fontId="75" fillId="0" borderId="5516" applyNumberFormat="0" applyFont="0" applyFill="0" applyAlignment="0" applyProtection="0"/>
    <xf numFmtId="222" fontId="79" fillId="0" borderId="5526" applyBorder="0"/>
    <xf numFmtId="0" fontId="101" fillId="0" borderId="5527" applyBorder="0"/>
    <xf numFmtId="222" fontId="79" fillId="0" borderId="5526" applyBorder="0"/>
    <xf numFmtId="0" fontId="113" fillId="0" borderId="5527" applyNumberFormat="0" applyFill="0" applyAlignment="0" applyProtection="0"/>
    <xf numFmtId="0" fontId="12" fillId="0" borderId="5527" applyNumberFormat="0" applyFill="0" applyBorder="0" applyAlignment="0" applyProtection="0">
      <alignment horizontal="center"/>
    </xf>
    <xf numFmtId="248" fontId="46" fillId="0" borderId="5527"/>
    <xf numFmtId="192" fontId="9" fillId="3" borderId="5527">
      <alignment horizontal="right" vertical="center"/>
    </xf>
    <xf numFmtId="180" fontId="9" fillId="3" borderId="5527">
      <alignment horizontal="right" vertical="center"/>
    </xf>
    <xf numFmtId="186" fontId="146" fillId="3" borderId="5527" applyBorder="0">
      <alignment horizontal="left" vertical="center"/>
    </xf>
    <xf numFmtId="0" fontId="165" fillId="0" borderId="5527" applyFill="0" applyProtection="0">
      <alignment horizontal="center"/>
    </xf>
    <xf numFmtId="0" fontId="166" fillId="0" borderId="5527">
      <alignment horizontal="center"/>
    </xf>
    <xf numFmtId="264" fontId="12" fillId="14" borderId="5527" applyFont="0" applyFill="0" applyBorder="0" applyAlignment="0" applyProtection="0">
      <alignment horizontal="right"/>
    </xf>
    <xf numFmtId="0" fontId="210" fillId="0" borderId="5527" applyNumberFormat="0" applyFill="0" applyBorder="0" applyAlignment="0">
      <protection locked="0"/>
    </xf>
    <xf numFmtId="254" fontId="240" fillId="0" borderId="5527" applyBorder="0" applyProtection="0">
      <alignment horizontal="right" vertical="center"/>
    </xf>
    <xf numFmtId="0" fontId="241" fillId="94" borderId="5527" applyBorder="0" applyProtection="0">
      <alignment horizontal="centerContinuous" vertical="center"/>
    </xf>
    <xf numFmtId="246" fontId="249" fillId="0" borderId="5527" applyFill="0" applyProtection="0">
      <alignment horizontal="center"/>
    </xf>
    <xf numFmtId="246" fontId="250" fillId="0" borderId="5527" applyFill="0" applyProtection="0">
      <alignment horizontal="center"/>
    </xf>
    <xf numFmtId="0" fontId="241" fillId="94" borderId="5611" applyBorder="0" applyProtection="0">
      <alignment horizontal="centerContinuous" vertical="center"/>
    </xf>
    <xf numFmtId="0" fontId="166" fillId="0" borderId="5611">
      <alignment horizontal="center"/>
    </xf>
    <xf numFmtId="0" fontId="2" fillId="0" borderId="5544" applyNumberFormat="0" applyAlignment="0" applyProtection="0"/>
    <xf numFmtId="0" fontId="214" fillId="0" borderId="5545" applyNumberFormat="0" applyFont="0" applyFill="0" applyAlignment="0" applyProtection="0"/>
    <xf numFmtId="246" fontId="250" fillId="0" borderId="5551" applyFill="0" applyProtection="0">
      <alignment horizontal="center"/>
    </xf>
    <xf numFmtId="246" fontId="249" fillId="0" borderId="5551" applyFill="0" applyProtection="0">
      <alignment horizontal="center"/>
    </xf>
    <xf numFmtId="0" fontId="241" fillId="94" borderId="5551" applyBorder="0" applyProtection="0">
      <alignment horizontal="centerContinuous" vertical="center"/>
    </xf>
    <xf numFmtId="254" fontId="240" fillId="0" borderId="5551" applyBorder="0" applyProtection="0">
      <alignment horizontal="right" vertical="center"/>
    </xf>
    <xf numFmtId="0" fontId="210" fillId="0" borderId="5551" applyNumberFormat="0" applyFill="0" applyBorder="0" applyAlignment="0">
      <protection locked="0"/>
    </xf>
    <xf numFmtId="264" fontId="12" fillId="14" borderId="5551" applyFont="0" applyFill="0" applyBorder="0" applyAlignment="0" applyProtection="0">
      <alignment horizontal="right"/>
    </xf>
    <xf numFmtId="0" fontId="166" fillId="0" borderId="5551">
      <alignment horizontal="center"/>
    </xf>
    <xf numFmtId="0" fontId="165" fillId="0" borderId="5551" applyFill="0" applyProtection="0">
      <alignment horizontal="center"/>
    </xf>
    <xf numFmtId="186" fontId="146" fillId="3" borderId="5551" applyBorder="0">
      <alignment horizontal="left" vertical="center"/>
    </xf>
    <xf numFmtId="180" fontId="9" fillId="3" borderId="5551">
      <alignment horizontal="right" vertical="center"/>
    </xf>
    <xf numFmtId="192" fontId="9" fillId="3" borderId="5551">
      <alignment horizontal="right" vertical="center"/>
    </xf>
    <xf numFmtId="248" fontId="46" fillId="0" borderId="5551"/>
    <xf numFmtId="0" fontId="12" fillId="0" borderId="5551" applyNumberFormat="0" applyFill="0" applyBorder="0" applyAlignment="0" applyProtection="0">
      <alignment horizontal="center"/>
    </xf>
    <xf numFmtId="0" fontId="113" fillId="0" borderId="5551" applyNumberFormat="0" applyFill="0" applyAlignment="0" applyProtection="0"/>
    <xf numFmtId="222" fontId="79" fillId="0" borderId="5550" applyBorder="0"/>
    <xf numFmtId="0" fontId="101" fillId="0" borderId="5551" applyBorder="0"/>
    <xf numFmtId="222" fontId="79" fillId="0" borderId="5550" applyBorder="0"/>
    <xf numFmtId="0" fontId="75" fillId="0" borderId="5540" applyNumberFormat="0" applyFont="0" applyFill="0" applyAlignment="0" applyProtection="0"/>
    <xf numFmtId="186" fontId="146" fillId="3" borderId="5542">
      <alignment horizontal="left"/>
    </xf>
    <xf numFmtId="186" fontId="140" fillId="3" borderId="5543">
      <alignment horizontal="center" vertical="center"/>
    </xf>
    <xf numFmtId="0" fontId="2" fillId="0" borderId="5544" applyNumberFormat="0" applyAlignment="0" applyProtection="0"/>
    <xf numFmtId="0" fontId="214" fillId="0" borderId="5545" applyNumberFormat="0" applyFont="0" applyFill="0" applyAlignment="0" applyProtection="0"/>
    <xf numFmtId="0" fontId="25" fillId="10" borderId="5546" applyNumberFormat="0" applyProtection="0">
      <alignment horizontal="left" vertical="top"/>
    </xf>
    <xf numFmtId="0" fontId="25" fillId="10" borderId="5547" applyNumberFormat="0" applyProtection="0">
      <alignment horizontal="left" vertical="top"/>
    </xf>
    <xf numFmtId="0" fontId="25" fillId="10" borderId="5548" applyNumberFormat="0" applyProtection="0">
      <alignment horizontal="left" vertical="top"/>
    </xf>
    <xf numFmtId="0" fontId="25" fillId="10" borderId="5549" applyNumberFormat="0" applyProtection="0">
      <alignment horizontal="left" vertical="top"/>
    </xf>
    <xf numFmtId="0" fontId="78" fillId="14" borderId="5541" applyFont="0" applyFill="0" applyBorder="0" applyAlignment="0" applyProtection="0"/>
    <xf numFmtId="222" fontId="79" fillId="0" borderId="5538" applyBorder="0"/>
    <xf numFmtId="0" fontId="78" fillId="14" borderId="5553" applyFont="0" applyFill="0" applyBorder="0" applyAlignment="0" applyProtection="0"/>
    <xf numFmtId="186" fontId="146" fillId="3" borderId="5542">
      <alignment horizontal="left"/>
    </xf>
    <xf numFmtId="0" fontId="78" fillId="14" borderId="5529" applyFont="0" applyFill="0" applyBorder="0" applyAlignment="0" applyProtection="0"/>
    <xf numFmtId="222" fontId="79" fillId="0" borderId="5538" applyBorder="0"/>
    <xf numFmtId="0" fontId="2" fillId="0" borderId="5556" applyNumberFormat="0" applyAlignment="0" applyProtection="0"/>
    <xf numFmtId="0" fontId="78" fillId="14" borderId="5529" applyFont="0" applyFill="0" applyBorder="0" applyAlignment="0" applyProtection="0"/>
    <xf numFmtId="0" fontId="25" fillId="10" borderId="5537" applyNumberFormat="0" applyProtection="0">
      <alignment horizontal="left" vertical="top"/>
    </xf>
    <xf numFmtId="0" fontId="25" fillId="10" borderId="5536" applyNumberFormat="0" applyProtection="0">
      <alignment horizontal="left" vertical="top"/>
    </xf>
    <xf numFmtId="0" fontId="25" fillId="10" borderId="5535" applyNumberFormat="0" applyProtection="0">
      <alignment horizontal="left" vertical="top"/>
    </xf>
    <xf numFmtId="0" fontId="25" fillId="10" borderId="5534" applyNumberFormat="0" applyProtection="0">
      <alignment horizontal="left" vertical="top"/>
    </xf>
    <xf numFmtId="0" fontId="25" fillId="10" borderId="5559" applyNumberFormat="0" applyProtection="0">
      <alignment horizontal="left" vertical="top"/>
    </xf>
    <xf numFmtId="0" fontId="214" fillId="0" borderId="5533" applyNumberFormat="0" applyFont="0" applyFill="0" applyAlignment="0" applyProtection="0"/>
    <xf numFmtId="0" fontId="2" fillId="0" borderId="5532" applyNumberFormat="0" applyAlignment="0" applyProtection="0"/>
    <xf numFmtId="186" fontId="140" fillId="3" borderId="5531">
      <alignment horizontal="center" vertical="center"/>
    </xf>
    <xf numFmtId="186" fontId="146" fillId="3" borderId="5530">
      <alignment horizontal="left"/>
    </xf>
    <xf numFmtId="0" fontId="25" fillId="10" borderId="5561" applyNumberFormat="0" applyProtection="0">
      <alignment horizontal="left" vertical="top"/>
    </xf>
    <xf numFmtId="0" fontId="75" fillId="0" borderId="5528" applyNumberFormat="0" applyFont="0" applyFill="0" applyAlignment="0" applyProtection="0"/>
    <xf numFmtId="222" fontId="79" fillId="0" borderId="5538" applyBorder="0"/>
    <xf numFmtId="0" fontId="101" fillId="0" borderId="5539" applyBorder="0"/>
    <xf numFmtId="222" fontId="79" fillId="0" borderId="5538" applyBorder="0"/>
    <xf numFmtId="0" fontId="113" fillId="0" borderId="5539" applyNumberFormat="0" applyFill="0" applyAlignment="0" applyProtection="0"/>
    <xf numFmtId="0" fontId="12" fillId="0" borderId="5539" applyNumberFormat="0" applyFill="0" applyBorder="0" applyAlignment="0" applyProtection="0">
      <alignment horizontal="center"/>
    </xf>
    <xf numFmtId="248" fontId="46" fillId="0" borderId="5539"/>
    <xf numFmtId="192" fontId="9" fillId="3" borderId="5539">
      <alignment horizontal="right" vertical="center"/>
    </xf>
    <xf numFmtId="180" fontId="9" fillId="3" borderId="5539">
      <alignment horizontal="right" vertical="center"/>
    </xf>
    <xf numFmtId="186" fontId="146" fillId="3" borderId="5539" applyBorder="0">
      <alignment horizontal="left" vertical="center"/>
    </xf>
    <xf numFmtId="0" fontId="165" fillId="0" borderId="5539" applyFill="0" applyProtection="0">
      <alignment horizontal="center"/>
    </xf>
    <xf numFmtId="0" fontId="166" fillId="0" borderId="5539">
      <alignment horizontal="center"/>
    </xf>
    <xf numFmtId="264" fontId="12" fillId="14" borderId="5539" applyFont="0" applyFill="0" applyBorder="0" applyAlignment="0" applyProtection="0">
      <alignment horizontal="right"/>
    </xf>
    <xf numFmtId="0" fontId="210" fillId="0" borderId="5539" applyNumberFormat="0" applyFill="0" applyBorder="0" applyAlignment="0">
      <protection locked="0"/>
    </xf>
    <xf numFmtId="254" fontId="240" fillId="0" borderId="5539" applyBorder="0" applyProtection="0">
      <alignment horizontal="right" vertical="center"/>
    </xf>
    <xf numFmtId="0" fontId="241" fillId="94" borderId="5539" applyBorder="0" applyProtection="0">
      <alignment horizontal="centerContinuous" vertical="center"/>
    </xf>
    <xf numFmtId="246" fontId="249" fillId="0" borderId="5539" applyFill="0" applyProtection="0">
      <alignment horizontal="center"/>
    </xf>
    <xf numFmtId="246" fontId="250" fillId="0" borderId="5539" applyFill="0" applyProtection="0">
      <alignment horizontal="center"/>
    </xf>
    <xf numFmtId="186" fontId="140" fillId="3" borderId="5555">
      <alignment horizontal="center" vertical="center"/>
    </xf>
    <xf numFmtId="0" fontId="78" fillId="14" borderId="5541" applyFont="0" applyFill="0" applyBorder="0" applyAlignment="0" applyProtection="0"/>
    <xf numFmtId="222" fontId="79" fillId="0" borderId="5562" applyBorder="0"/>
    <xf numFmtId="0" fontId="78" fillId="14" borderId="5565" applyFont="0" applyFill="0" applyBorder="0" applyAlignment="0" applyProtection="0"/>
    <xf numFmtId="0" fontId="25" fillId="10" borderId="5573" applyNumberFormat="0" applyProtection="0">
      <alignment horizontal="left" vertical="top"/>
    </xf>
    <xf numFmtId="0" fontId="25" fillId="10" borderId="5572" applyNumberFormat="0" applyProtection="0">
      <alignment horizontal="left" vertical="top"/>
    </xf>
    <xf numFmtId="0" fontId="25" fillId="10" borderId="5571" applyNumberFormat="0" applyProtection="0">
      <alignment horizontal="left" vertical="top"/>
    </xf>
    <xf numFmtId="0" fontId="25" fillId="10" borderId="5570" applyNumberFormat="0" applyProtection="0">
      <alignment horizontal="left" vertical="top"/>
    </xf>
    <xf numFmtId="0" fontId="214" fillId="0" borderId="5569" applyNumberFormat="0" applyFont="0" applyFill="0" applyAlignment="0" applyProtection="0"/>
    <xf numFmtId="0" fontId="2" fillId="0" borderId="5568" applyNumberFormat="0" applyAlignment="0" applyProtection="0"/>
    <xf numFmtId="186" fontId="140" fillId="3" borderId="5567">
      <alignment horizontal="center" vertical="center"/>
    </xf>
    <xf numFmtId="186" fontId="146" fillId="3" borderId="5566">
      <alignment horizontal="left"/>
    </xf>
    <xf numFmtId="0" fontId="75" fillId="0" borderId="5564" applyNumberFormat="0" applyFont="0" applyFill="0" applyAlignment="0" applyProtection="0"/>
    <xf numFmtId="222" fontId="79" fillId="0" borderId="5574" applyBorder="0"/>
    <xf numFmtId="0" fontId="101" fillId="0" borderId="5575" applyBorder="0"/>
    <xf numFmtId="222" fontId="79" fillId="0" borderId="5574" applyBorder="0"/>
    <xf numFmtId="0" fontId="113" fillId="0" borderId="5575" applyNumberFormat="0" applyFill="0" applyAlignment="0" applyProtection="0"/>
    <xf numFmtId="0" fontId="12" fillId="0" borderId="5575" applyNumberFormat="0" applyFill="0" applyBorder="0" applyAlignment="0" applyProtection="0">
      <alignment horizontal="center"/>
    </xf>
    <xf numFmtId="248" fontId="46" fillId="0" borderId="5575"/>
    <xf numFmtId="192" fontId="9" fillId="3" borderId="5575">
      <alignment horizontal="right" vertical="center"/>
    </xf>
    <xf numFmtId="180" fontId="9" fillId="3" borderId="5575">
      <alignment horizontal="right" vertical="center"/>
    </xf>
    <xf numFmtId="186" fontId="146" fillId="3" borderId="5575" applyBorder="0">
      <alignment horizontal="left" vertical="center"/>
    </xf>
    <xf numFmtId="0" fontId="165" fillId="0" borderId="5575" applyFill="0" applyProtection="0">
      <alignment horizontal="center"/>
    </xf>
    <xf numFmtId="0" fontId="166" fillId="0" borderId="5575">
      <alignment horizontal="center"/>
    </xf>
    <xf numFmtId="264" fontId="12" fillId="14" borderId="5575" applyFont="0" applyFill="0" applyBorder="0" applyAlignment="0" applyProtection="0">
      <alignment horizontal="right"/>
    </xf>
    <xf numFmtId="0" fontId="210" fillId="0" borderId="5575" applyNumberFormat="0" applyFill="0" applyBorder="0" applyAlignment="0">
      <protection locked="0"/>
    </xf>
    <xf numFmtId="254" fontId="240" fillId="0" borderId="5575" applyBorder="0" applyProtection="0">
      <alignment horizontal="right" vertical="center"/>
    </xf>
    <xf numFmtId="0" fontId="241" fillId="94" borderId="5575" applyBorder="0" applyProtection="0">
      <alignment horizontal="centerContinuous" vertical="center"/>
    </xf>
    <xf numFmtId="246" fontId="249" fillId="0" borderId="5575" applyFill="0" applyProtection="0">
      <alignment horizontal="center"/>
    </xf>
    <xf numFmtId="246" fontId="250" fillId="0" borderId="5575" applyFill="0" applyProtection="0">
      <alignment horizontal="center"/>
    </xf>
    <xf numFmtId="222" fontId="79" fillId="0" borderId="5586" applyBorder="0"/>
    <xf numFmtId="0" fontId="78" fillId="14" borderId="5589" applyFont="0" applyFill="0" applyBorder="0" applyAlignment="0" applyProtection="0"/>
    <xf numFmtId="0" fontId="25" fillId="10" borderId="5597" applyNumberFormat="0" applyProtection="0">
      <alignment horizontal="left" vertical="top"/>
    </xf>
    <xf numFmtId="0" fontId="25" fillId="10" borderId="5596" applyNumberFormat="0" applyProtection="0">
      <alignment horizontal="left" vertical="top"/>
    </xf>
    <xf numFmtId="0" fontId="25" fillId="10" borderId="5595" applyNumberFormat="0" applyProtection="0">
      <alignment horizontal="left" vertical="top"/>
    </xf>
    <xf numFmtId="0" fontId="25" fillId="10" borderId="5594" applyNumberFormat="0" applyProtection="0">
      <alignment horizontal="left" vertical="top"/>
    </xf>
    <xf numFmtId="0" fontId="214" fillId="0" borderId="5593" applyNumberFormat="0" applyFont="0" applyFill="0" applyAlignment="0" applyProtection="0"/>
    <xf numFmtId="0" fontId="2" fillId="0" borderId="5592" applyNumberFormat="0" applyAlignment="0" applyProtection="0"/>
    <xf numFmtId="186" fontId="140" fillId="3" borderId="5591">
      <alignment horizontal="center" vertical="center"/>
    </xf>
    <xf numFmtId="186" fontId="146" fillId="3" borderId="5590">
      <alignment horizontal="left"/>
    </xf>
    <xf numFmtId="0" fontId="75" fillId="0" borderId="5588" applyNumberFormat="0" applyFont="0" applyFill="0" applyAlignment="0" applyProtection="0"/>
    <xf numFmtId="222" fontId="79" fillId="0" borderId="5598" applyBorder="0"/>
    <xf numFmtId="0" fontId="101" fillId="0" borderId="5599" applyBorder="0"/>
    <xf numFmtId="222" fontId="79" fillId="0" borderId="5598" applyBorder="0"/>
    <xf numFmtId="0" fontId="113" fillId="0" borderId="5599" applyNumberFormat="0" applyFill="0" applyAlignment="0" applyProtection="0"/>
    <xf numFmtId="0" fontId="12" fillId="0" borderId="5599" applyNumberFormat="0" applyFill="0" applyBorder="0" applyAlignment="0" applyProtection="0">
      <alignment horizontal="center"/>
    </xf>
    <xf numFmtId="248" fontId="46" fillId="0" borderId="5599"/>
    <xf numFmtId="192" fontId="9" fillId="3" borderId="5599">
      <alignment horizontal="right" vertical="center"/>
    </xf>
    <xf numFmtId="180" fontId="9" fillId="3" borderId="5599">
      <alignment horizontal="right" vertical="center"/>
    </xf>
    <xf numFmtId="186" fontId="146" fillId="3" borderId="5599" applyBorder="0">
      <alignment horizontal="left" vertical="center"/>
    </xf>
    <xf numFmtId="0" fontId="165" fillId="0" borderId="5599" applyFill="0" applyProtection="0">
      <alignment horizontal="center"/>
    </xf>
    <xf numFmtId="0" fontId="166" fillId="0" borderId="5599">
      <alignment horizontal="center"/>
    </xf>
    <xf numFmtId="264" fontId="12" fillId="14" borderId="5599" applyFont="0" applyFill="0" applyBorder="0" applyAlignment="0" applyProtection="0">
      <alignment horizontal="right"/>
    </xf>
    <xf numFmtId="0" fontId="210" fillId="0" borderId="5599" applyNumberFormat="0" applyFill="0" applyBorder="0" applyAlignment="0">
      <protection locked="0"/>
    </xf>
    <xf numFmtId="254" fontId="240" fillId="0" borderId="5599" applyBorder="0" applyProtection="0">
      <alignment horizontal="right" vertical="center"/>
    </xf>
    <xf numFmtId="0" fontId="241" fillId="94" borderId="5599" applyBorder="0" applyProtection="0">
      <alignment horizontal="centerContinuous" vertical="center"/>
    </xf>
    <xf numFmtId="246" fontId="249" fillId="0" borderId="5599" applyFill="0" applyProtection="0">
      <alignment horizontal="center"/>
    </xf>
    <xf numFmtId="246" fontId="250" fillId="0" borderId="5599" applyFill="0" applyProtection="0">
      <alignment horizontal="center"/>
    </xf>
    <xf numFmtId="0" fontId="75" fillId="0" borderId="5612" applyNumberFormat="0" applyFont="0" applyFill="0" applyAlignment="0" applyProtection="0"/>
    <xf numFmtId="0" fontId="78" fillId="14" borderId="5613" applyFont="0" applyFill="0" applyBorder="0" applyAlignment="0" applyProtection="0"/>
    <xf numFmtId="186" fontId="146" fillId="3" borderId="5614">
      <alignment horizontal="left"/>
    </xf>
    <xf numFmtId="186" fontId="140" fillId="3" borderId="5615">
      <alignment horizontal="center" vertical="center"/>
    </xf>
    <xf numFmtId="0" fontId="2" fillId="0" borderId="5616" applyNumberFormat="0" applyAlignment="0" applyProtection="0"/>
    <xf numFmtId="0" fontId="214" fillId="0" borderId="5617" applyNumberFormat="0" applyFont="0" applyFill="0" applyAlignment="0" applyProtection="0"/>
    <xf numFmtId="0" fontId="25" fillId="10" borderId="5618" applyNumberFormat="0" applyProtection="0">
      <alignment horizontal="left" vertical="top"/>
    </xf>
    <xf numFmtId="0" fontId="25" fillId="10" borderId="5619" applyNumberFormat="0" applyProtection="0">
      <alignment horizontal="left" vertical="top"/>
    </xf>
    <xf numFmtId="0" fontId="25" fillId="10" borderId="5620" applyNumberFormat="0" applyProtection="0">
      <alignment horizontal="left" vertical="top"/>
    </xf>
    <xf numFmtId="0" fontId="25" fillId="10" borderId="5621" applyNumberFormat="0" applyProtection="0">
      <alignment horizontal="left" vertical="top"/>
    </xf>
    <xf numFmtId="246" fontId="250" fillId="0" borderId="5611" applyFill="0" applyProtection="0">
      <alignment horizontal="center"/>
    </xf>
    <xf numFmtId="246" fontId="249" fillId="0" borderId="5611" applyFill="0" applyProtection="0">
      <alignment horizontal="center"/>
    </xf>
    <xf numFmtId="0" fontId="241" fillId="94" borderId="5611" applyBorder="0" applyProtection="0">
      <alignment horizontal="centerContinuous" vertical="center"/>
    </xf>
    <xf numFmtId="254" fontId="240" fillId="0" borderId="5611" applyBorder="0" applyProtection="0">
      <alignment horizontal="right" vertical="center"/>
    </xf>
    <xf numFmtId="0" fontId="210" fillId="0" borderId="5611" applyNumberFormat="0" applyFill="0" applyBorder="0" applyAlignment="0">
      <protection locked="0"/>
    </xf>
    <xf numFmtId="264" fontId="12" fillId="14" borderId="5611" applyFont="0" applyFill="0" applyBorder="0" applyAlignment="0" applyProtection="0">
      <alignment horizontal="right"/>
    </xf>
    <xf numFmtId="0" fontId="166" fillId="0" borderId="5611">
      <alignment horizontal="center"/>
    </xf>
    <xf numFmtId="0" fontId="165" fillId="0" borderId="5611" applyFill="0" applyProtection="0">
      <alignment horizontal="center"/>
    </xf>
    <xf numFmtId="186" fontId="146" fillId="3" borderId="5611" applyBorder="0">
      <alignment horizontal="left" vertical="center"/>
    </xf>
    <xf numFmtId="180" fontId="9" fillId="3" borderId="5611">
      <alignment horizontal="right" vertical="center"/>
    </xf>
    <xf numFmtId="192" fontId="9" fillId="3" borderId="5611">
      <alignment horizontal="right" vertical="center"/>
    </xf>
    <xf numFmtId="0" fontId="12" fillId="0" borderId="5611" applyNumberFormat="0" applyFill="0" applyBorder="0" applyAlignment="0" applyProtection="0">
      <alignment horizontal="center"/>
    </xf>
    <xf numFmtId="0" fontId="113" fillId="0" borderId="5611" applyNumberFormat="0" applyFill="0" applyAlignment="0" applyProtection="0"/>
    <xf numFmtId="222" fontId="79" fillId="0" borderId="5610" applyBorder="0"/>
    <xf numFmtId="0" fontId="101" fillId="0" borderId="5611" applyBorder="0"/>
    <xf numFmtId="248" fontId="46" fillId="0" borderId="5611"/>
    <xf numFmtId="0" fontId="101" fillId="0" borderId="5611" applyBorder="0"/>
    <xf numFmtId="222" fontId="79" fillId="0" borderId="5610" applyBorder="0"/>
    <xf numFmtId="0" fontId="113" fillId="0" borderId="5611" applyNumberFormat="0" applyFill="0" applyAlignment="0" applyProtection="0"/>
    <xf numFmtId="0" fontId="75" fillId="0" borderId="5612" applyNumberFormat="0" applyFont="0" applyFill="0" applyAlignment="0" applyProtection="0"/>
    <xf numFmtId="0" fontId="12" fillId="0" borderId="5611" applyNumberFormat="0" applyFill="0" applyBorder="0" applyAlignment="0" applyProtection="0">
      <alignment horizontal="center"/>
    </xf>
    <xf numFmtId="248" fontId="46" fillId="0" borderId="5611"/>
    <xf numFmtId="192" fontId="9" fillId="3" borderId="5611">
      <alignment horizontal="right" vertical="center"/>
    </xf>
    <xf numFmtId="180" fontId="9" fillId="3" borderId="5611">
      <alignment horizontal="right" vertical="center"/>
    </xf>
    <xf numFmtId="186" fontId="146" fillId="3" borderId="5611" applyBorder="0">
      <alignment horizontal="left" vertical="center"/>
    </xf>
    <xf numFmtId="186" fontId="146" fillId="3" borderId="5614">
      <alignment horizontal="left"/>
    </xf>
    <xf numFmtId="186" fontId="140" fillId="3" borderId="5615">
      <alignment horizontal="center" vertical="center"/>
    </xf>
    <xf numFmtId="0" fontId="165" fillId="0" borderId="5611" applyFill="0" applyProtection="0">
      <alignment horizontal="center"/>
    </xf>
    <xf numFmtId="0" fontId="166" fillId="0" borderId="5611">
      <alignment horizontal="center"/>
    </xf>
    <xf numFmtId="264" fontId="12" fillId="14" borderId="5611" applyFont="0" applyFill="0" applyBorder="0" applyAlignment="0" applyProtection="0">
      <alignment horizontal="right"/>
    </xf>
    <xf numFmtId="0" fontId="210" fillId="0" borderId="5611" applyNumberFormat="0" applyFill="0" applyBorder="0" applyAlignment="0">
      <protection locked="0"/>
    </xf>
    <xf numFmtId="0" fontId="2" fillId="0" borderId="5616" applyNumberFormat="0" applyAlignment="0" applyProtection="0"/>
    <xf numFmtId="0" fontId="214" fillId="0" borderId="5617" applyNumberFormat="0" applyFont="0" applyFill="0" applyAlignment="0" applyProtection="0"/>
    <xf numFmtId="0" fontId="25" fillId="10" borderId="5618" applyNumberFormat="0" applyProtection="0">
      <alignment horizontal="left" vertical="top"/>
    </xf>
    <xf numFmtId="0" fontId="25" fillId="10" borderId="5619" applyNumberFormat="0" applyProtection="0">
      <alignment horizontal="left" vertical="top"/>
    </xf>
    <xf numFmtId="0" fontId="25" fillId="10" borderId="5620" applyNumberFormat="0" applyProtection="0">
      <alignment horizontal="left" vertical="top"/>
    </xf>
    <xf numFmtId="0" fontId="25" fillId="10" borderId="5621" applyNumberFormat="0" applyProtection="0">
      <alignment horizontal="left" vertical="top"/>
    </xf>
    <xf numFmtId="0" fontId="25" fillId="10" borderId="5618" applyNumberFormat="0" applyProtection="0">
      <alignment horizontal="left" vertical="top"/>
    </xf>
    <xf numFmtId="0" fontId="25" fillId="10" borderId="5619" applyNumberFormat="0" applyProtection="0">
      <alignment horizontal="left" vertical="top"/>
    </xf>
    <xf numFmtId="0" fontId="25" fillId="10" borderId="5620" applyNumberFormat="0" applyProtection="0">
      <alignment horizontal="left" vertical="top"/>
    </xf>
    <xf numFmtId="0" fontId="25" fillId="10" borderId="5621" applyNumberFormat="0" applyProtection="0">
      <alignment horizontal="left" vertical="top"/>
    </xf>
    <xf numFmtId="254" fontId="240" fillId="0" borderId="5611" applyBorder="0" applyProtection="0">
      <alignment horizontal="right" vertical="center"/>
    </xf>
    <xf numFmtId="0" fontId="241" fillId="94" borderId="5611" applyBorder="0" applyProtection="0">
      <alignment horizontal="centerContinuous" vertical="center"/>
    </xf>
    <xf numFmtId="246" fontId="249" fillId="0" borderId="5611" applyFill="0" applyProtection="0">
      <alignment horizontal="center"/>
    </xf>
    <xf numFmtId="246" fontId="250" fillId="0" borderId="5611" applyFill="0" applyProtection="0">
      <alignment horizontal="center"/>
    </xf>
    <xf numFmtId="190" fontId="101" fillId="0" borderId="5611" applyBorder="0"/>
    <xf numFmtId="190" fontId="113" fillId="0" borderId="5611" applyNumberFormat="0" applyFill="0" applyAlignment="0" applyProtection="0"/>
    <xf numFmtId="190" fontId="75" fillId="0" borderId="5588" applyNumberFormat="0" applyFont="0" applyFill="0" applyAlignment="0" applyProtection="0"/>
    <xf numFmtId="190" fontId="12" fillId="0" borderId="5611" applyNumberFormat="0" applyFill="0" applyBorder="0" applyAlignment="0" applyProtection="0">
      <alignment horizontal="center"/>
    </xf>
    <xf numFmtId="190" fontId="78" fillId="14" borderId="5601" applyFont="0" applyFill="0" applyBorder="0" applyAlignment="0" applyProtection="0"/>
    <xf numFmtId="190" fontId="165" fillId="0" borderId="5611" applyFill="0" applyProtection="0">
      <alignment horizontal="center"/>
    </xf>
    <xf numFmtId="190" fontId="166" fillId="0" borderId="5611">
      <alignment horizontal="center"/>
    </xf>
    <xf numFmtId="190" fontId="210" fillId="0" borderId="5611" applyNumberFormat="0" applyFill="0" applyBorder="0" applyAlignment="0">
      <protection locked="0"/>
    </xf>
    <xf numFmtId="190" fontId="2" fillId="0" borderId="5592" applyNumberFormat="0" applyAlignment="0" applyProtection="0"/>
    <xf numFmtId="190" fontId="214" fillId="0" borderId="5593" applyNumberFormat="0" applyFont="0" applyFill="0" applyAlignment="0" applyProtection="0"/>
    <xf numFmtId="190" fontId="25" fillId="10" borderId="5594" applyNumberFormat="0" applyProtection="0">
      <alignment horizontal="left" vertical="top"/>
    </xf>
    <xf numFmtId="190" fontId="25" fillId="10" borderId="5595" applyNumberFormat="0" applyProtection="0">
      <alignment horizontal="left" vertical="top"/>
    </xf>
    <xf numFmtId="190" fontId="25" fillId="10" borderId="5596" applyNumberFormat="0" applyProtection="0">
      <alignment horizontal="left" vertical="top"/>
    </xf>
    <xf numFmtId="190" fontId="25" fillId="10" borderId="5597" applyNumberFormat="0" applyProtection="0">
      <alignment horizontal="left" vertical="top"/>
    </xf>
    <xf numFmtId="190" fontId="241" fillId="94" borderId="5611" applyBorder="0" applyProtection="0">
      <alignment horizontal="centerContinuous" vertical="center"/>
    </xf>
    <xf numFmtId="222" fontId="79" fillId="0" borderId="5610" applyBorder="0"/>
    <xf numFmtId="0" fontId="101" fillId="0" borderId="5611" applyBorder="0"/>
    <xf numFmtId="222" fontId="79" fillId="0" borderId="5610" applyBorder="0"/>
    <xf numFmtId="0" fontId="113" fillId="0" borderId="5611" applyNumberFormat="0" applyFill="0" applyAlignment="0" applyProtection="0"/>
    <xf numFmtId="0" fontId="75" fillId="0" borderId="5588" applyNumberFormat="0" applyFont="0" applyFill="0" applyAlignment="0" applyProtection="0"/>
    <xf numFmtId="0" fontId="12" fillId="0" borderId="5611" applyNumberFormat="0" applyFill="0" applyBorder="0" applyAlignment="0" applyProtection="0">
      <alignment horizontal="center"/>
    </xf>
    <xf numFmtId="248" fontId="46" fillId="0" borderId="5611"/>
    <xf numFmtId="192" fontId="9" fillId="3" borderId="5611">
      <alignment horizontal="right" vertical="center"/>
    </xf>
    <xf numFmtId="180" fontId="9" fillId="3" borderId="5611">
      <alignment horizontal="right" vertical="center"/>
    </xf>
    <xf numFmtId="186" fontId="146" fillId="3" borderId="5611" applyBorder="0">
      <alignment horizontal="left" vertical="center"/>
    </xf>
    <xf numFmtId="186" fontId="146" fillId="3" borderId="5590">
      <alignment horizontal="left"/>
    </xf>
    <xf numFmtId="186" fontId="140" fillId="3" borderId="5591">
      <alignment horizontal="center" vertical="center"/>
    </xf>
    <xf numFmtId="0" fontId="165" fillId="0" borderId="5611" applyFill="0" applyProtection="0">
      <alignment horizontal="center"/>
    </xf>
    <xf numFmtId="0" fontId="166" fillId="0" borderId="5611">
      <alignment horizontal="center"/>
    </xf>
    <xf numFmtId="264" fontId="12" fillId="14" borderId="5611" applyFont="0" applyFill="0" applyBorder="0" applyAlignment="0" applyProtection="0">
      <alignment horizontal="right"/>
    </xf>
    <xf numFmtId="0" fontId="210" fillId="0" borderId="5611" applyNumberFormat="0" applyFill="0" applyBorder="0" applyAlignment="0">
      <protection locked="0"/>
    </xf>
    <xf numFmtId="0" fontId="2" fillId="0" borderId="5592" applyNumberFormat="0" applyAlignment="0" applyProtection="0"/>
    <xf numFmtId="0" fontId="214" fillId="0" borderId="5593" applyNumberFormat="0" applyFont="0" applyFill="0" applyAlignment="0" applyProtection="0"/>
    <xf numFmtId="0" fontId="25" fillId="10" borderId="5594" applyNumberFormat="0" applyProtection="0">
      <alignment horizontal="left" vertical="top"/>
    </xf>
    <xf numFmtId="0" fontId="25" fillId="10" borderId="5595" applyNumberFormat="0" applyProtection="0">
      <alignment horizontal="left" vertical="top"/>
    </xf>
    <xf numFmtId="0" fontId="25" fillId="10" borderId="5596" applyNumberFormat="0" applyProtection="0">
      <alignment horizontal="left" vertical="top"/>
    </xf>
    <xf numFmtId="0" fontId="25" fillId="10" borderId="5597" applyNumberFormat="0" applyProtection="0">
      <alignment horizontal="left" vertical="top"/>
    </xf>
    <xf numFmtId="0" fontId="25" fillId="10" borderId="5594" applyNumberFormat="0" applyProtection="0">
      <alignment horizontal="left" vertical="top"/>
    </xf>
    <xf numFmtId="0" fontId="25" fillId="10" borderId="5595" applyNumberFormat="0" applyProtection="0">
      <alignment horizontal="left" vertical="top"/>
    </xf>
    <xf numFmtId="0" fontId="25" fillId="10" borderId="5596" applyNumberFormat="0" applyProtection="0">
      <alignment horizontal="left" vertical="top"/>
    </xf>
    <xf numFmtId="0" fontId="25" fillId="10" borderId="5597" applyNumberFormat="0" applyProtection="0">
      <alignment horizontal="left" vertical="top"/>
    </xf>
    <xf numFmtId="254" fontId="240" fillId="0" borderId="5611" applyBorder="0" applyProtection="0">
      <alignment horizontal="right" vertical="center"/>
    </xf>
    <xf numFmtId="0" fontId="241" fillId="94" borderId="5611" applyBorder="0" applyProtection="0">
      <alignment horizontal="centerContinuous" vertical="center"/>
    </xf>
    <xf numFmtId="246" fontId="249" fillId="0" borderId="5611" applyFill="0" applyProtection="0">
      <alignment horizontal="center"/>
    </xf>
    <xf numFmtId="246" fontId="250" fillId="0" borderId="5611" applyFill="0" applyProtection="0">
      <alignment horizontal="center"/>
    </xf>
    <xf numFmtId="312" fontId="101" fillId="0" borderId="5611" applyBorder="0"/>
    <xf numFmtId="312" fontId="113" fillId="0" borderId="5611" applyNumberFormat="0" applyFill="0" applyAlignment="0" applyProtection="0"/>
    <xf numFmtId="312" fontId="75" fillId="0" borderId="5588" applyNumberFormat="0" applyFont="0" applyFill="0" applyAlignment="0" applyProtection="0"/>
    <xf numFmtId="312" fontId="12" fillId="0" borderId="5611" applyNumberFormat="0" applyFill="0" applyBorder="0" applyAlignment="0" applyProtection="0">
      <alignment horizontal="center"/>
    </xf>
    <xf numFmtId="312" fontId="165" fillId="0" borderId="5611" applyFill="0" applyProtection="0">
      <alignment horizontal="center"/>
    </xf>
    <xf numFmtId="312" fontId="242" fillId="0" borderId="5611">
      <alignment horizontal="center"/>
    </xf>
    <xf numFmtId="312" fontId="210" fillId="0" borderId="5611" applyNumberFormat="0" applyFill="0" applyBorder="0" applyAlignment="0">
      <protection locked="0"/>
    </xf>
    <xf numFmtId="312" fontId="2" fillId="0" borderId="5592" applyNumberFormat="0" applyAlignment="0" applyProtection="0"/>
    <xf numFmtId="312" fontId="214" fillId="0" borderId="5593" applyNumberFormat="0" applyFont="0" applyFill="0" applyAlignment="0" applyProtection="0"/>
    <xf numFmtId="312" fontId="25" fillId="10" borderId="5594" applyNumberFormat="0" applyProtection="0">
      <alignment horizontal="left" vertical="top"/>
    </xf>
    <xf numFmtId="312" fontId="25" fillId="10" borderId="5595" applyNumberFormat="0" applyProtection="0">
      <alignment horizontal="left" vertical="top"/>
    </xf>
    <xf numFmtId="312" fontId="25" fillId="10" borderId="5596" applyNumberFormat="0" applyProtection="0">
      <alignment horizontal="left" vertical="top"/>
    </xf>
    <xf numFmtId="312" fontId="25" fillId="10" borderId="5597" applyNumberFormat="0" applyProtection="0">
      <alignment horizontal="left" vertical="top"/>
    </xf>
    <xf numFmtId="312" fontId="241" fillId="94" borderId="5611" applyBorder="0" applyProtection="0">
      <alignment horizontal="centerContinuous" vertical="center"/>
    </xf>
    <xf numFmtId="246" fontId="296" fillId="0" borderId="5611" applyFill="0" applyProtection="0">
      <alignment horizontal="center"/>
    </xf>
    <xf numFmtId="312" fontId="101" fillId="0" borderId="5611" applyBorder="0"/>
    <xf numFmtId="312" fontId="113" fillId="0" borderId="5611" applyNumberFormat="0" applyFill="0" applyAlignment="0" applyProtection="0"/>
    <xf numFmtId="312" fontId="75" fillId="0" borderId="5588" applyNumberFormat="0" applyFont="0" applyFill="0" applyAlignment="0" applyProtection="0"/>
    <xf numFmtId="312" fontId="12" fillId="0" borderId="5611" applyNumberFormat="0" applyFill="0" applyBorder="0" applyAlignment="0" applyProtection="0">
      <alignment horizontal="center"/>
    </xf>
    <xf numFmtId="312" fontId="165" fillId="0" borderId="5611" applyFill="0" applyProtection="0">
      <alignment horizontal="center"/>
    </xf>
    <xf numFmtId="312" fontId="242" fillId="0" borderId="5611">
      <alignment horizontal="center"/>
    </xf>
    <xf numFmtId="312" fontId="210" fillId="0" borderId="5611" applyNumberFormat="0" applyFill="0" applyBorder="0" applyAlignment="0">
      <protection locked="0"/>
    </xf>
    <xf numFmtId="312" fontId="2" fillId="0" borderId="5592" applyNumberFormat="0" applyAlignment="0" applyProtection="0"/>
    <xf numFmtId="312" fontId="214" fillId="0" borderId="5593" applyNumberFormat="0" applyFont="0" applyFill="0" applyAlignment="0" applyProtection="0"/>
    <xf numFmtId="312" fontId="25" fillId="10" borderId="5594" applyNumberFormat="0" applyProtection="0">
      <alignment horizontal="left" vertical="top"/>
    </xf>
    <xf numFmtId="312" fontId="25" fillId="10" borderId="5595" applyNumberFormat="0" applyProtection="0">
      <alignment horizontal="left" vertical="top"/>
    </xf>
    <xf numFmtId="312" fontId="25" fillId="10" borderId="5596" applyNumberFormat="0" applyProtection="0">
      <alignment horizontal="left" vertical="top"/>
    </xf>
    <xf numFmtId="312" fontId="25" fillId="10" borderId="5597" applyNumberFormat="0" applyProtection="0">
      <alignment horizontal="left" vertical="top"/>
    </xf>
    <xf numFmtId="312" fontId="25" fillId="10" borderId="5594" applyNumberFormat="0" applyProtection="0">
      <alignment horizontal="left" vertical="top"/>
    </xf>
    <xf numFmtId="312" fontId="25" fillId="10" borderId="5595" applyNumberFormat="0" applyProtection="0">
      <alignment horizontal="left" vertical="top"/>
    </xf>
    <xf numFmtId="312" fontId="25" fillId="10" borderId="5596" applyNumberFormat="0" applyProtection="0">
      <alignment horizontal="left" vertical="top"/>
    </xf>
    <xf numFmtId="312" fontId="25" fillId="10" borderId="5597" applyNumberFormat="0" applyProtection="0">
      <alignment horizontal="left" vertical="top"/>
    </xf>
    <xf numFmtId="312" fontId="241" fillId="94" borderId="5611" applyBorder="0" applyProtection="0">
      <alignment horizontal="centerContinuous" vertical="center"/>
    </xf>
    <xf numFmtId="246" fontId="296" fillId="0" borderId="5611" applyFill="0" applyProtection="0">
      <alignment horizontal="center"/>
    </xf>
    <xf numFmtId="246" fontId="250" fillId="0" borderId="5611" applyFill="0" applyProtection="0">
      <alignment horizontal="center"/>
    </xf>
    <xf numFmtId="246" fontId="249" fillId="0" borderId="5611" applyFill="0" applyProtection="0">
      <alignment horizontal="center"/>
    </xf>
    <xf numFmtId="0" fontId="241" fillId="94" borderId="5611" applyBorder="0" applyProtection="0">
      <alignment horizontal="centerContinuous" vertical="center"/>
    </xf>
    <xf numFmtId="254" fontId="240" fillId="0" borderId="5611" applyBorder="0" applyProtection="0">
      <alignment horizontal="right" vertical="center"/>
    </xf>
    <xf numFmtId="0" fontId="25" fillId="10" borderId="5609" applyNumberFormat="0" applyProtection="0">
      <alignment horizontal="left" vertical="top"/>
    </xf>
    <xf numFmtId="0" fontId="25" fillId="10" borderId="5608" applyNumberFormat="0" applyProtection="0">
      <alignment horizontal="left" vertical="top"/>
    </xf>
    <xf numFmtId="0" fontId="25" fillId="10" borderId="5607" applyNumberFormat="0" applyProtection="0">
      <alignment horizontal="left" vertical="top"/>
    </xf>
    <xf numFmtId="0" fontId="25" fillId="10" borderId="5606" applyNumberFormat="0" applyProtection="0">
      <alignment horizontal="left" vertical="top"/>
    </xf>
    <xf numFmtId="0" fontId="214" fillId="0" borderId="5605" applyNumberFormat="0" applyFont="0" applyFill="0" applyAlignment="0" applyProtection="0"/>
    <xf numFmtId="0" fontId="2" fillId="0" borderId="5604" applyNumberFormat="0" applyAlignment="0" applyProtection="0"/>
    <xf numFmtId="0" fontId="210" fillId="0" borderId="5611" applyNumberFormat="0" applyFill="0" applyBorder="0" applyAlignment="0">
      <protection locked="0"/>
    </xf>
    <xf numFmtId="264" fontId="12" fillId="14" borderId="5611" applyFont="0" applyFill="0" applyBorder="0" applyAlignment="0" applyProtection="0">
      <alignment horizontal="right"/>
    </xf>
    <xf numFmtId="0" fontId="166" fillId="0" borderId="5611">
      <alignment horizontal="center"/>
    </xf>
    <xf numFmtId="0" fontId="165" fillId="0" borderId="5611" applyFill="0" applyProtection="0">
      <alignment horizontal="center"/>
    </xf>
    <xf numFmtId="186" fontId="140" fillId="3" borderId="5603">
      <alignment horizontal="center" vertical="center"/>
    </xf>
    <xf numFmtId="186" fontId="146" fillId="3" borderId="5602">
      <alignment horizontal="left"/>
    </xf>
    <xf numFmtId="186" fontId="146" fillId="3" borderId="5611" applyBorder="0">
      <alignment horizontal="left" vertical="center"/>
    </xf>
    <xf numFmtId="180" fontId="9" fillId="3" borderId="5611">
      <alignment horizontal="right" vertical="center"/>
    </xf>
    <xf numFmtId="192" fontId="9" fillId="3" borderId="5611">
      <alignment horizontal="right" vertical="center"/>
    </xf>
    <xf numFmtId="248" fontId="46" fillId="0" borderId="5611"/>
    <xf numFmtId="0" fontId="78" fillId="14" borderId="5601" applyFont="0" applyFill="0" applyBorder="0" applyAlignment="0" applyProtection="0"/>
    <xf numFmtId="0" fontId="12" fillId="0" borderId="5611" applyNumberFormat="0" applyFill="0" applyBorder="0" applyAlignment="0" applyProtection="0">
      <alignment horizontal="center"/>
    </xf>
    <xf numFmtId="0" fontId="75" fillId="0" borderId="5600" applyNumberFormat="0" applyFont="0" applyFill="0" applyAlignment="0" applyProtection="0"/>
    <xf numFmtId="0" fontId="113" fillId="0" borderId="5611" applyNumberFormat="0" applyFill="0" applyAlignment="0" applyProtection="0"/>
    <xf numFmtId="222" fontId="79" fillId="0" borderId="5610" applyBorder="0"/>
    <xf numFmtId="0" fontId="101" fillId="0" borderId="5611" applyBorder="0"/>
    <xf numFmtId="0" fontId="25" fillId="10" borderId="5618" applyNumberFormat="0" applyProtection="0">
      <alignment horizontal="left" vertical="top"/>
    </xf>
    <xf numFmtId="0" fontId="25" fillId="10" borderId="5619" applyNumberFormat="0" applyProtection="0">
      <alignment horizontal="left" vertical="top"/>
    </xf>
    <xf numFmtId="0" fontId="25" fillId="10" borderId="5620" applyNumberFormat="0" applyProtection="0">
      <alignment horizontal="left" vertical="top"/>
    </xf>
    <xf numFmtId="0" fontId="25" fillId="10" borderId="5621" applyNumberFormat="0" applyProtection="0">
      <alignment horizontal="left" vertical="top"/>
    </xf>
    <xf numFmtId="246" fontId="250" fillId="0" borderId="5599" applyFill="0" applyProtection="0">
      <alignment horizontal="center"/>
    </xf>
    <xf numFmtId="246" fontId="249" fillId="0" borderId="5599" applyFill="0" applyProtection="0">
      <alignment horizontal="center"/>
    </xf>
    <xf numFmtId="0" fontId="241" fillId="94" borderId="5599" applyBorder="0" applyProtection="0">
      <alignment horizontal="centerContinuous" vertical="center"/>
    </xf>
    <xf numFmtId="254" fontId="240" fillId="0" borderId="5599" applyBorder="0" applyProtection="0">
      <alignment horizontal="right" vertical="center"/>
    </xf>
    <xf numFmtId="0" fontId="210" fillId="0" borderId="5599" applyNumberFormat="0" applyFill="0" applyBorder="0" applyAlignment="0">
      <protection locked="0"/>
    </xf>
    <xf numFmtId="264" fontId="12" fillId="14" borderId="5599" applyFont="0" applyFill="0" applyBorder="0" applyAlignment="0" applyProtection="0">
      <alignment horizontal="right"/>
    </xf>
    <xf numFmtId="0" fontId="166" fillId="0" borderId="5599">
      <alignment horizontal="center"/>
    </xf>
    <xf numFmtId="0" fontId="165" fillId="0" borderId="5599" applyFill="0" applyProtection="0">
      <alignment horizontal="center"/>
    </xf>
    <xf numFmtId="186" fontId="146" fillId="3" borderId="5599" applyBorder="0">
      <alignment horizontal="left" vertical="center"/>
    </xf>
    <xf numFmtId="180" fontId="9" fillId="3" borderId="5599">
      <alignment horizontal="right" vertical="center"/>
    </xf>
    <xf numFmtId="192" fontId="9" fillId="3" borderId="5599">
      <alignment horizontal="right" vertical="center"/>
    </xf>
    <xf numFmtId="248" fontId="46" fillId="0" borderId="5599"/>
    <xf numFmtId="0" fontId="12" fillId="0" borderId="5599" applyNumberFormat="0" applyFill="0" applyBorder="0" applyAlignment="0" applyProtection="0">
      <alignment horizontal="center"/>
    </xf>
    <xf numFmtId="0" fontId="113" fillId="0" borderId="5599" applyNumberFormat="0" applyFill="0" applyAlignment="0" applyProtection="0"/>
    <xf numFmtId="222" fontId="79" fillId="0" borderId="5598" applyBorder="0"/>
    <xf numFmtId="0" fontId="101" fillId="0" borderId="5599" applyBorder="0"/>
    <xf numFmtId="246" fontId="250" fillId="0" borderId="5599" applyFill="0" applyProtection="0">
      <alignment horizontal="center"/>
    </xf>
    <xf numFmtId="246" fontId="249" fillId="0" borderId="5599" applyFill="0" applyProtection="0">
      <alignment horizontal="center"/>
    </xf>
    <xf numFmtId="0" fontId="241" fillId="94" borderId="5599" applyBorder="0" applyProtection="0">
      <alignment horizontal="centerContinuous" vertical="center"/>
    </xf>
    <xf numFmtId="254" fontId="240" fillId="0" borderId="5599" applyBorder="0" applyProtection="0">
      <alignment horizontal="right" vertical="center"/>
    </xf>
    <xf numFmtId="0" fontId="210" fillId="0" borderId="5599" applyNumberFormat="0" applyFill="0" applyBorder="0" applyAlignment="0">
      <protection locked="0"/>
    </xf>
    <xf numFmtId="264" fontId="12" fillId="14" borderId="5599" applyFont="0" applyFill="0" applyBorder="0" applyAlignment="0" applyProtection="0">
      <alignment horizontal="right"/>
    </xf>
    <xf numFmtId="0" fontId="166" fillId="0" borderId="5599">
      <alignment horizontal="center"/>
    </xf>
    <xf numFmtId="0" fontId="165" fillId="0" borderId="5599" applyFill="0" applyProtection="0">
      <alignment horizontal="center"/>
    </xf>
    <xf numFmtId="186" fontId="146" fillId="3" borderId="5599" applyBorder="0">
      <alignment horizontal="left" vertical="center"/>
    </xf>
    <xf numFmtId="180" fontId="9" fillId="3" borderId="5599">
      <alignment horizontal="right" vertical="center"/>
    </xf>
    <xf numFmtId="192" fontId="9" fillId="3" borderId="5599">
      <alignment horizontal="right" vertical="center"/>
    </xf>
    <xf numFmtId="0" fontId="12" fillId="0" borderId="5599" applyNumberFormat="0" applyFill="0" applyBorder="0" applyAlignment="0" applyProtection="0">
      <alignment horizontal="center"/>
    </xf>
    <xf numFmtId="0" fontId="113" fillId="0" borderId="5599" applyNumberFormat="0" applyFill="0" applyAlignment="0" applyProtection="0"/>
    <xf numFmtId="222" fontId="79" fillId="0" borderId="5598" applyBorder="0"/>
    <xf numFmtId="0" fontId="101" fillId="0" borderId="5599" applyBorder="0"/>
    <xf numFmtId="248" fontId="46" fillId="0" borderId="5599"/>
    <xf numFmtId="246" fontId="250" fillId="0" borderId="5599" applyFill="0" applyProtection="0">
      <alignment horizontal="center"/>
    </xf>
    <xf numFmtId="246" fontId="249" fillId="0" borderId="5599" applyFill="0" applyProtection="0">
      <alignment horizontal="center"/>
    </xf>
    <xf numFmtId="0" fontId="241" fillId="94" borderId="5599" applyBorder="0" applyProtection="0">
      <alignment horizontal="centerContinuous" vertical="center"/>
    </xf>
    <xf numFmtId="254" fontId="240" fillId="0" borderId="5599" applyBorder="0" applyProtection="0">
      <alignment horizontal="right" vertical="center"/>
    </xf>
    <xf numFmtId="0" fontId="210" fillId="0" borderId="5599" applyNumberFormat="0" applyFill="0" applyBorder="0" applyAlignment="0">
      <protection locked="0"/>
    </xf>
    <xf numFmtId="264" fontId="12" fillId="14" borderId="5599" applyFont="0" applyFill="0" applyBorder="0" applyAlignment="0" applyProtection="0">
      <alignment horizontal="right"/>
    </xf>
    <xf numFmtId="0" fontId="166" fillId="0" borderId="5599">
      <alignment horizontal="center"/>
    </xf>
    <xf numFmtId="0" fontId="165" fillId="0" borderId="5599" applyFill="0" applyProtection="0">
      <alignment horizontal="center"/>
    </xf>
    <xf numFmtId="186" fontId="146" fillId="3" borderId="5599" applyBorder="0">
      <alignment horizontal="left" vertical="center"/>
    </xf>
    <xf numFmtId="180" fontId="9" fillId="3" borderId="5599">
      <alignment horizontal="right" vertical="center"/>
    </xf>
    <xf numFmtId="192" fontId="9" fillId="3" borderId="5599">
      <alignment horizontal="right" vertical="center"/>
    </xf>
    <xf numFmtId="248" fontId="46" fillId="0" borderId="5599"/>
    <xf numFmtId="0" fontId="12" fillId="0" borderId="5599" applyNumberFormat="0" applyFill="0" applyBorder="0" applyAlignment="0" applyProtection="0">
      <alignment horizontal="center"/>
    </xf>
    <xf numFmtId="0" fontId="113" fillId="0" borderId="5599" applyNumberFormat="0" applyFill="0" applyAlignment="0" applyProtection="0"/>
    <xf numFmtId="222" fontId="79" fillId="0" borderId="5598" applyBorder="0"/>
    <xf numFmtId="0" fontId="101" fillId="0" borderId="5599" applyBorder="0"/>
    <xf numFmtId="222" fontId="79" fillId="0" borderId="5703" applyBorder="0"/>
    <xf numFmtId="0" fontId="113" fillId="0" borderId="5825" applyNumberFormat="0" applyFill="0" applyAlignment="0" applyProtection="0"/>
    <xf numFmtId="0" fontId="210" fillId="0" borderId="5813" applyNumberFormat="0" applyFill="0" applyBorder="0" applyAlignment="0">
      <protection locked="0"/>
    </xf>
    <xf numFmtId="0" fontId="241" fillId="94" borderId="5825" applyBorder="0" applyProtection="0">
      <alignment horizontal="centerContinuous" vertical="center"/>
    </xf>
    <xf numFmtId="246" fontId="250" fillId="0" borderId="6821" applyFill="0" applyProtection="0">
      <alignment horizontal="center"/>
    </xf>
    <xf numFmtId="190" fontId="2" fillId="0" borderId="5866" applyNumberFormat="0" applyAlignment="0" applyProtection="0"/>
    <xf numFmtId="190" fontId="210" fillId="0" borderId="5885" applyNumberFormat="0" applyFill="0" applyBorder="0" applyAlignment="0">
      <protection locked="0"/>
    </xf>
    <xf numFmtId="0" fontId="166" fillId="0" borderId="6821">
      <alignment horizontal="center"/>
    </xf>
    <xf numFmtId="190" fontId="166" fillId="0" borderId="5885">
      <alignment horizontal="center"/>
    </xf>
    <xf numFmtId="190" fontId="165" fillId="0" borderId="5885" applyFill="0" applyProtection="0">
      <alignment horizontal="center"/>
    </xf>
    <xf numFmtId="190" fontId="12" fillId="0" borderId="5885" applyNumberFormat="0" applyFill="0" applyBorder="0" applyAlignment="0" applyProtection="0">
      <alignment horizontal="center"/>
    </xf>
    <xf numFmtId="190" fontId="75" fillId="0" borderId="5862" applyNumberFormat="0" applyFont="0" applyFill="0" applyAlignment="0" applyProtection="0"/>
    <xf numFmtId="246" fontId="249" fillId="0" borderId="5885" applyFill="0" applyProtection="0">
      <alignment horizontal="center"/>
    </xf>
    <xf numFmtId="0" fontId="25" fillId="10" borderId="5895" applyNumberFormat="0" applyProtection="0">
      <alignment horizontal="left" vertical="top"/>
    </xf>
    <xf numFmtId="0" fontId="101" fillId="0" borderId="5885" applyBorder="0"/>
    <xf numFmtId="222" fontId="79" fillId="0" borderId="5884" applyBorder="0"/>
    <xf numFmtId="0" fontId="12" fillId="0" borderId="5885" applyNumberFormat="0" applyFill="0" applyBorder="0" applyAlignment="0" applyProtection="0">
      <alignment horizontal="center"/>
    </xf>
    <xf numFmtId="0" fontId="12" fillId="0" borderId="5623" applyNumberFormat="0" applyFill="0" applyBorder="0" applyAlignment="0" applyProtection="0"/>
    <xf numFmtId="0" fontId="46" fillId="0" borderId="5623" applyNumberFormat="0" applyFill="0" applyBorder="0" applyAlignment="0" applyProtection="0"/>
    <xf numFmtId="0" fontId="105" fillId="0" borderId="5623" applyNumberFormat="0" applyFill="0" applyBorder="0" applyAlignment="0" applyProtection="0"/>
    <xf numFmtId="0" fontId="48" fillId="0" borderId="5623" applyNumberFormat="0" applyFill="0" applyAlignment="0" applyProtection="0"/>
    <xf numFmtId="0" fontId="241" fillId="94" borderId="5885" applyBorder="0" applyProtection="0">
      <alignment horizontal="centerContinuous" vertical="center"/>
    </xf>
    <xf numFmtId="5" fontId="114" fillId="0" borderId="5622" applyAlignment="0" applyProtection="0"/>
    <xf numFmtId="0" fontId="25" fillId="10" borderId="5895" applyNumberFormat="0" applyProtection="0">
      <alignment horizontal="left" vertical="top"/>
    </xf>
    <xf numFmtId="0" fontId="25" fillId="10" borderId="5894" applyNumberFormat="0" applyProtection="0">
      <alignment horizontal="left" vertical="top"/>
    </xf>
    <xf numFmtId="0" fontId="25" fillId="10" borderId="5893" applyNumberFormat="0" applyProtection="0">
      <alignment horizontal="left" vertical="top"/>
    </xf>
    <xf numFmtId="0" fontId="25" fillId="10" borderId="5892" applyNumberFormat="0" applyProtection="0">
      <alignment horizontal="left" vertical="top"/>
    </xf>
    <xf numFmtId="186" fontId="140" fillId="3" borderId="5889">
      <alignment horizontal="center" vertical="center"/>
    </xf>
    <xf numFmtId="246" fontId="249" fillId="0" borderId="5873" applyFill="0" applyProtection="0">
      <alignment horizontal="center"/>
    </xf>
    <xf numFmtId="0" fontId="210" fillId="0" borderId="5873" applyNumberFormat="0" applyFill="0" applyBorder="0" applyAlignment="0">
      <protection locked="0"/>
    </xf>
    <xf numFmtId="264" fontId="12" fillId="14" borderId="5873" applyFont="0" applyFill="0" applyBorder="0" applyAlignment="0" applyProtection="0">
      <alignment horizontal="right"/>
    </xf>
    <xf numFmtId="192" fontId="9" fillId="3" borderId="5873">
      <alignment horizontal="right" vertical="center"/>
    </xf>
    <xf numFmtId="0" fontId="113" fillId="0" borderId="5873" applyNumberFormat="0" applyFill="0" applyAlignment="0" applyProtection="0"/>
    <xf numFmtId="222" fontId="79" fillId="0" borderId="5872" applyBorder="0"/>
    <xf numFmtId="0" fontId="75" fillId="0" borderId="5862" applyNumberFormat="0" applyFont="0" applyFill="0" applyAlignment="0" applyProtection="0"/>
    <xf numFmtId="186" fontId="146" fillId="3" borderId="5864">
      <alignment horizontal="left"/>
    </xf>
    <xf numFmtId="0" fontId="25" fillId="10" borderId="5869" applyNumberFormat="0" applyProtection="0">
      <alignment horizontal="left" vertical="top"/>
    </xf>
    <xf numFmtId="0" fontId="25" fillId="10" borderId="5870" applyNumberFormat="0" applyProtection="0">
      <alignment horizontal="left" vertical="top"/>
    </xf>
    <xf numFmtId="0" fontId="25" fillId="10" borderId="5871" applyNumberFormat="0" applyProtection="0">
      <alignment horizontal="left" vertical="top"/>
    </xf>
    <xf numFmtId="246" fontId="250" fillId="0" borderId="5849" applyFill="0" applyProtection="0">
      <alignment horizontal="center"/>
    </xf>
    <xf numFmtId="246" fontId="249" fillId="0" borderId="5849" applyFill="0" applyProtection="0">
      <alignment horizontal="center"/>
    </xf>
    <xf numFmtId="0" fontId="241" fillId="94" borderId="5849" applyBorder="0" applyProtection="0">
      <alignment horizontal="centerContinuous" vertical="center"/>
    </xf>
    <xf numFmtId="0" fontId="210" fillId="0" borderId="5849" applyNumberFormat="0" applyFill="0" applyBorder="0" applyAlignment="0">
      <protection locked="0"/>
    </xf>
    <xf numFmtId="0" fontId="165" fillId="0" borderId="5849" applyFill="0" applyProtection="0">
      <alignment horizontal="center"/>
    </xf>
    <xf numFmtId="192" fontId="9" fillId="3" borderId="5849">
      <alignment horizontal="right" vertical="center"/>
    </xf>
    <xf numFmtId="0" fontId="113" fillId="0" borderId="5849" applyNumberFormat="0" applyFill="0" applyAlignment="0" applyProtection="0"/>
    <xf numFmtId="222" fontId="79" fillId="0" borderId="5848" applyBorder="0"/>
    <xf numFmtId="186" fontId="140" fillId="3" borderId="5841">
      <alignment horizontal="center" vertical="center"/>
    </xf>
    <xf numFmtId="0" fontId="25" fillId="10" borderId="5844" applyNumberFormat="0" applyProtection="0">
      <alignment horizontal="left" vertical="top"/>
    </xf>
    <xf numFmtId="0" fontId="25" fillId="10" borderId="5847" applyNumberFormat="0" applyProtection="0">
      <alignment horizontal="left" vertical="top"/>
    </xf>
    <xf numFmtId="0" fontId="78" fillId="14" borderId="5815" applyFont="0" applyFill="0" applyBorder="0" applyAlignment="0" applyProtection="0"/>
    <xf numFmtId="186" fontId="140" fillId="3" borderId="5829">
      <alignment horizontal="center" vertical="center"/>
    </xf>
    <xf numFmtId="0" fontId="241" fillId="94" borderId="5825" applyBorder="0" applyProtection="0">
      <alignment horizontal="centerContinuous" vertical="center"/>
    </xf>
    <xf numFmtId="254" fontId="240" fillId="0" borderId="5825" applyBorder="0" applyProtection="0">
      <alignment horizontal="right" vertical="center"/>
    </xf>
    <xf numFmtId="0" fontId="210" fillId="0" borderId="5825" applyNumberFormat="0" applyFill="0" applyBorder="0" applyAlignment="0">
      <protection locked="0"/>
    </xf>
    <xf numFmtId="264" fontId="12" fillId="14" borderId="5825" applyFont="0" applyFill="0" applyBorder="0" applyAlignment="0" applyProtection="0">
      <alignment horizontal="right"/>
    </xf>
    <xf numFmtId="186" fontId="140" fillId="3" borderId="5817">
      <alignment horizontal="center" vertical="center"/>
    </xf>
    <xf numFmtId="186" fontId="146" fillId="3" borderId="5816">
      <alignment horizontal="left"/>
    </xf>
    <xf numFmtId="222" fontId="79" fillId="0" borderId="5824" applyBorder="0"/>
    <xf numFmtId="180" fontId="9" fillId="3" borderId="5813">
      <alignment horizontal="right" vertical="center"/>
    </xf>
    <xf numFmtId="192" fontId="9" fillId="3" borderId="5813">
      <alignment horizontal="right" vertical="center"/>
    </xf>
    <xf numFmtId="248" fontId="46" fillId="0" borderId="5813"/>
    <xf numFmtId="0" fontId="12" fillId="0" borderId="5813" applyNumberFormat="0" applyFill="0" applyBorder="0" applyAlignment="0" applyProtection="0">
      <alignment horizontal="center"/>
    </xf>
    <xf numFmtId="0" fontId="101" fillId="0" borderId="5813" applyBorder="0"/>
    <xf numFmtId="222" fontId="79" fillId="0" borderId="5703" applyBorder="0"/>
    <xf numFmtId="0" fontId="78" fillId="14" borderId="5694" applyFont="0" applyFill="0" applyBorder="0" applyAlignment="0" applyProtection="0"/>
    <xf numFmtId="222" fontId="79" fillId="0" borderId="5703" applyBorder="0"/>
    <xf numFmtId="0" fontId="25" fillId="10" borderId="5822" applyNumberFormat="0" applyProtection="0">
      <alignment horizontal="left" vertical="top"/>
    </xf>
    <xf numFmtId="0" fontId="214" fillId="0" borderId="5819" applyNumberFormat="0" applyFont="0" applyFill="0" applyAlignment="0" applyProtection="0"/>
    <xf numFmtId="186" fontId="146" fillId="3" borderId="5816">
      <alignment horizontal="left"/>
    </xf>
    <xf numFmtId="0" fontId="75" fillId="0" borderId="5814" applyNumberFormat="0" applyFont="0" applyFill="0" applyAlignment="0" applyProtection="0"/>
    <xf numFmtId="222" fontId="79" fillId="0" borderId="5824" applyBorder="0"/>
    <xf numFmtId="248" fontId="46" fillId="0" borderId="5825"/>
    <xf numFmtId="192" fontId="9" fillId="3" borderId="5825">
      <alignment horizontal="right" vertical="center"/>
    </xf>
    <xf numFmtId="180" fontId="9" fillId="3" borderId="5825">
      <alignment horizontal="right" vertical="center"/>
    </xf>
    <xf numFmtId="186" fontId="146" fillId="3" borderId="5825" applyBorder="0">
      <alignment horizontal="left" vertical="center"/>
    </xf>
    <xf numFmtId="0" fontId="165" fillId="0" borderId="5825" applyFill="0" applyProtection="0">
      <alignment horizontal="center"/>
    </xf>
    <xf numFmtId="0" fontId="166" fillId="0" borderId="5825">
      <alignment horizontal="center"/>
    </xf>
    <xf numFmtId="264" fontId="12" fillId="14" borderId="5825" applyFont="0" applyFill="0" applyBorder="0" applyAlignment="0" applyProtection="0">
      <alignment horizontal="right"/>
    </xf>
    <xf numFmtId="0" fontId="210" fillId="0" borderId="5825" applyNumberFormat="0" applyFill="0" applyBorder="0" applyAlignment="0">
      <protection locked="0"/>
    </xf>
    <xf numFmtId="254" fontId="240" fillId="0" borderId="5825" applyBorder="0" applyProtection="0">
      <alignment horizontal="right" vertical="center"/>
    </xf>
    <xf numFmtId="0" fontId="241" fillId="94" borderId="5825" applyBorder="0" applyProtection="0">
      <alignment horizontal="centerContinuous" vertical="center"/>
    </xf>
    <xf numFmtId="0" fontId="2" fillId="0" borderId="5878" applyNumberFormat="0" applyAlignment="0" applyProtection="0"/>
    <xf numFmtId="0" fontId="74" fillId="0" borderId="5622" applyFont="0" applyFill="0" applyBorder="0" applyAlignment="0" applyProtection="0">
      <alignment horizontal="center"/>
    </xf>
    <xf numFmtId="0" fontId="48" fillId="0" borderId="5622" applyFont="0" applyFill="0" applyBorder="0" applyAlignment="0" applyProtection="0">
      <alignment horizontal="center"/>
    </xf>
    <xf numFmtId="0" fontId="25" fillId="10" borderId="5880" applyNumberFormat="0" applyProtection="0">
      <alignment horizontal="left" vertical="top"/>
    </xf>
    <xf numFmtId="222" fontId="79" fillId="0" borderId="5703" applyBorder="0"/>
    <xf numFmtId="186" fontId="146" fillId="3" borderId="5876">
      <alignment horizontal="left"/>
    </xf>
    <xf numFmtId="186" fontId="140" fillId="3" borderId="5877">
      <alignment horizontal="center" vertical="center"/>
    </xf>
    <xf numFmtId="0" fontId="25" fillId="10" borderId="5648" applyNumberFormat="0" applyProtection="0">
      <alignment horizontal="left" vertical="top"/>
    </xf>
    <xf numFmtId="0" fontId="25" fillId="10" borderId="5651" applyNumberFormat="0" applyProtection="0">
      <alignment horizontal="left" vertical="top"/>
    </xf>
    <xf numFmtId="0" fontId="78" fillId="14" borderId="5694" applyFont="0" applyFill="0" applyBorder="0" applyAlignment="0" applyProtection="0"/>
    <xf numFmtId="0" fontId="78" fillId="14" borderId="5851" applyFont="0" applyFill="0" applyBorder="0" applyAlignment="0" applyProtection="0"/>
    <xf numFmtId="0" fontId="214" fillId="0" borderId="5855" applyNumberFormat="0" applyFont="0" applyFill="0" applyAlignment="0" applyProtection="0"/>
    <xf numFmtId="186" fontId="146" fillId="3" borderId="5861" applyBorder="0">
      <alignment horizontal="left" vertical="center"/>
    </xf>
    <xf numFmtId="0" fontId="166" fillId="0" borderId="5861">
      <alignment horizontal="center"/>
    </xf>
    <xf numFmtId="0" fontId="241" fillId="94" borderId="5861" applyBorder="0" applyProtection="0">
      <alignment horizontal="centerContinuous" vertical="center"/>
    </xf>
    <xf numFmtId="0" fontId="241" fillId="94" borderId="5837" applyBorder="0" applyProtection="0">
      <alignment horizontal="centerContinuous" vertical="center"/>
    </xf>
    <xf numFmtId="254" fontId="240" fillId="0" borderId="5837" applyBorder="0" applyProtection="0">
      <alignment horizontal="right" vertical="center"/>
    </xf>
    <xf numFmtId="0" fontId="165" fillId="0" borderId="5837" applyFill="0" applyProtection="0">
      <alignment horizontal="center"/>
    </xf>
    <xf numFmtId="0" fontId="25" fillId="10" borderId="5823" applyNumberFormat="0" applyProtection="0">
      <alignment horizontal="left" vertical="top"/>
    </xf>
    <xf numFmtId="0" fontId="25" fillId="10" borderId="5822" applyNumberFormat="0" applyProtection="0">
      <alignment horizontal="left" vertical="top"/>
    </xf>
    <xf numFmtId="0" fontId="75" fillId="0" borderId="5814" applyNumberFormat="0" applyFont="0" applyFill="0" applyAlignment="0" applyProtection="0"/>
    <xf numFmtId="0" fontId="214" fillId="0" borderId="5879" applyNumberFormat="0" applyFont="0" applyFill="0" applyAlignment="0" applyProtection="0"/>
    <xf numFmtId="222" fontId="79" fillId="0" borderId="5824" applyBorder="0"/>
    <xf numFmtId="0" fontId="25" fillId="10" borderId="5883" applyNumberFormat="0" applyProtection="0">
      <alignment horizontal="left" vertical="top"/>
    </xf>
    <xf numFmtId="254" fontId="240" fillId="0" borderId="5704" applyBorder="0" applyProtection="0">
      <alignment horizontal="right" vertical="center"/>
    </xf>
    <xf numFmtId="0" fontId="210" fillId="0" borderId="5704" applyNumberFormat="0" applyFill="0" applyBorder="0" applyAlignment="0">
      <protection locked="0"/>
    </xf>
    <xf numFmtId="264" fontId="12" fillId="14" borderId="5704" applyFont="0" applyFill="0" applyBorder="0" applyAlignment="0" applyProtection="0">
      <alignment horizontal="right"/>
    </xf>
    <xf numFmtId="0" fontId="166" fillId="0" borderId="5704">
      <alignment horizontal="center"/>
    </xf>
    <xf numFmtId="0" fontId="165" fillId="0" borderId="5704" applyFill="0" applyProtection="0">
      <alignment horizontal="center"/>
    </xf>
    <xf numFmtId="186" fontId="146" fillId="3" borderId="5704" applyBorder="0">
      <alignment horizontal="left" vertical="center"/>
    </xf>
    <xf numFmtId="182" fontId="145" fillId="3" borderId="5622">
      <alignment horizontal="right" vertical="center"/>
    </xf>
    <xf numFmtId="180" fontId="9" fillId="3" borderId="5704">
      <alignment horizontal="right" vertical="center"/>
    </xf>
    <xf numFmtId="186" fontId="146" fillId="3" borderId="5828">
      <alignment horizontal="left"/>
    </xf>
    <xf numFmtId="0" fontId="214" fillId="0" borderId="5831" applyNumberFormat="0" applyFont="0" applyFill="0" applyAlignment="0" applyProtection="0"/>
    <xf numFmtId="186" fontId="48" fillId="3" borderId="5622">
      <alignment vertical="center"/>
    </xf>
    <xf numFmtId="0" fontId="25" fillId="10" borderId="5832" applyNumberFormat="0" applyProtection="0">
      <alignment horizontal="left" vertical="top"/>
    </xf>
    <xf numFmtId="0" fontId="25" fillId="10" borderId="5834" applyNumberFormat="0" applyProtection="0">
      <alignment horizontal="left" vertical="top"/>
    </xf>
    <xf numFmtId="222" fontId="79" fillId="0" borderId="5848" applyBorder="0"/>
    <xf numFmtId="0" fontId="135" fillId="0" borderId="5624"/>
    <xf numFmtId="0" fontId="135" fillId="0" borderId="5624"/>
    <xf numFmtId="0" fontId="25" fillId="10" borderId="5859" applyNumberFormat="0" applyProtection="0">
      <alignment horizontal="left" vertical="top"/>
    </xf>
    <xf numFmtId="0" fontId="25" fillId="10" borderId="5856" applyNumberFormat="0" applyProtection="0">
      <alignment horizontal="left" vertical="top"/>
    </xf>
    <xf numFmtId="222" fontId="79" fillId="0" borderId="5860" applyBorder="0"/>
    <xf numFmtId="180" fontId="9" fillId="3" borderId="5861">
      <alignment horizontal="right" vertical="center"/>
    </xf>
    <xf numFmtId="254" fontId="240" fillId="0" borderId="5861" applyBorder="0" applyProtection="0">
      <alignment horizontal="right" vertical="center"/>
    </xf>
    <xf numFmtId="246" fontId="249" fillId="0" borderId="5861" applyFill="0" applyProtection="0">
      <alignment horizontal="center"/>
    </xf>
    <xf numFmtId="246" fontId="250" fillId="0" borderId="5861" applyFill="0" applyProtection="0">
      <alignment horizontal="center"/>
    </xf>
    <xf numFmtId="264" fontId="12" fillId="14" borderId="5837" applyFont="0" applyFill="0" applyBorder="0" applyAlignment="0" applyProtection="0">
      <alignment horizontal="right"/>
    </xf>
    <xf numFmtId="186" fontId="146" fillId="3" borderId="5837" applyBorder="0">
      <alignment horizontal="left" vertical="center"/>
    </xf>
    <xf numFmtId="180" fontId="9" fillId="3" borderId="5837">
      <alignment horizontal="right" vertical="center"/>
    </xf>
    <xf numFmtId="192" fontId="9" fillId="3" borderId="5837">
      <alignment horizontal="right" vertical="center"/>
    </xf>
    <xf numFmtId="248" fontId="46" fillId="0" borderId="5837"/>
    <xf numFmtId="0" fontId="12" fillId="0" borderId="5837" applyNumberFormat="0" applyFill="0" applyBorder="0" applyAlignment="0" applyProtection="0">
      <alignment horizontal="center"/>
    </xf>
    <xf numFmtId="0" fontId="113" fillId="0" borderId="5837" applyNumberFormat="0" applyFill="0" applyAlignment="0" applyProtection="0"/>
    <xf numFmtId="0" fontId="210" fillId="0" borderId="5885" applyNumberFormat="0" applyFill="0" applyBorder="0" applyAlignment="0">
      <protection locked="0"/>
    </xf>
    <xf numFmtId="0" fontId="165" fillId="0" borderId="5885" applyFill="0" applyProtection="0">
      <alignment horizontal="center"/>
    </xf>
    <xf numFmtId="192" fontId="9" fillId="3" borderId="5885">
      <alignment horizontal="right" vertical="center"/>
    </xf>
    <xf numFmtId="248" fontId="46" fillId="0" borderId="5885"/>
    <xf numFmtId="222" fontId="79" fillId="0" borderId="5884" applyBorder="0"/>
    <xf numFmtId="0" fontId="78" fillId="14" borderId="5875" applyFont="0" applyFill="0" applyBorder="0" applyAlignment="0" applyProtection="0"/>
    <xf numFmtId="0" fontId="25" fillId="10" borderId="5882" applyNumberFormat="0" applyProtection="0">
      <alignment horizontal="left" vertical="top"/>
    </xf>
    <xf numFmtId="186" fontId="140" fillId="3" borderId="5817">
      <alignment horizontal="center" vertical="center"/>
    </xf>
    <xf numFmtId="0" fontId="2" fillId="0" borderId="5818" applyNumberFormat="0" applyAlignment="0" applyProtection="0"/>
    <xf numFmtId="0" fontId="25" fillId="10" borderId="5821" applyNumberFormat="0" applyProtection="0">
      <alignment horizontal="left" vertical="top"/>
    </xf>
    <xf numFmtId="0" fontId="25" fillId="10" borderId="5820" applyNumberFormat="0" applyProtection="0">
      <alignment horizontal="left" vertical="top"/>
    </xf>
    <xf numFmtId="0" fontId="25" fillId="10" borderId="5823" applyNumberFormat="0" applyProtection="0">
      <alignment horizontal="left" vertical="top"/>
    </xf>
    <xf numFmtId="0" fontId="159" fillId="0" borderId="5624"/>
    <xf numFmtId="0" fontId="159" fillId="67" borderId="5624"/>
    <xf numFmtId="0" fontId="75" fillId="0" borderId="5814" applyNumberFormat="0" applyFont="0" applyFill="0" applyAlignment="0" applyProtection="0"/>
    <xf numFmtId="186" fontId="146" fillId="3" borderId="5816">
      <alignment horizontal="left"/>
    </xf>
    <xf numFmtId="246" fontId="250" fillId="0" borderId="5813" applyFill="0" applyProtection="0">
      <alignment horizontal="center"/>
    </xf>
    <xf numFmtId="0" fontId="210" fillId="0" borderId="5813" applyNumberFormat="0" applyFill="0" applyBorder="0" applyAlignment="0">
      <protection locked="0"/>
    </xf>
    <xf numFmtId="264" fontId="12" fillId="14" borderId="5813" applyFont="0" applyFill="0" applyBorder="0" applyAlignment="0" applyProtection="0">
      <alignment horizontal="right"/>
    </xf>
    <xf numFmtId="180" fontId="9" fillId="3" borderId="5813">
      <alignment horizontal="right" vertical="center"/>
    </xf>
    <xf numFmtId="248" fontId="46" fillId="0" borderId="5813"/>
    <xf numFmtId="0" fontId="25" fillId="69" borderId="5624">
      <alignment horizontal="left" vertical="center" wrapText="1"/>
    </xf>
    <xf numFmtId="0" fontId="184" fillId="0" borderId="5625" applyAlignment="0">
      <alignment horizontal="left" wrapText="1"/>
    </xf>
    <xf numFmtId="246" fontId="249" fillId="0" borderId="5813" applyFill="0" applyProtection="0">
      <alignment horizontal="center"/>
    </xf>
    <xf numFmtId="0" fontId="241" fillId="94" borderId="5813" applyBorder="0" applyProtection="0">
      <alignment horizontal="centerContinuous" vertical="center"/>
    </xf>
    <xf numFmtId="254" fontId="240" fillId="0" borderId="5813" applyBorder="0" applyProtection="0">
      <alignment horizontal="right" vertical="center"/>
    </xf>
    <xf numFmtId="0" fontId="12" fillId="0" borderId="6665" applyNumberFormat="0" applyFill="0" applyBorder="0" applyAlignment="0" applyProtection="0">
      <alignment horizontal="center"/>
    </xf>
    <xf numFmtId="4" fontId="223" fillId="53" borderId="5626" applyNumberFormat="0" applyProtection="0">
      <alignment vertical="center"/>
    </xf>
    <xf numFmtId="4" fontId="224" fillId="53" borderId="5626" applyNumberFormat="0" applyProtection="0">
      <alignment vertical="center"/>
    </xf>
    <xf numFmtId="4" fontId="184" fillId="53" borderId="5626" applyNumberFormat="0" applyProtection="0">
      <alignment horizontal="left" vertical="center" indent="1"/>
    </xf>
    <xf numFmtId="0" fontId="225" fillId="53" borderId="5626" applyNumberFormat="0" applyProtection="0">
      <alignment horizontal="left" vertical="top" indent="1"/>
    </xf>
    <xf numFmtId="4" fontId="226" fillId="76" borderId="5626" applyNumberFormat="0" applyProtection="0">
      <alignment horizontal="right" vertical="center"/>
    </xf>
    <xf numFmtId="4" fontId="226" fillId="77" borderId="5626" applyNumberFormat="0" applyProtection="0">
      <alignment horizontal="right" vertical="center"/>
    </xf>
    <xf numFmtId="4" fontId="226" fillId="78" borderId="5626" applyNumberFormat="0" applyProtection="0">
      <alignment horizontal="right" vertical="center"/>
    </xf>
    <xf numFmtId="4" fontId="226" fillId="10" borderId="5626" applyNumberFormat="0" applyProtection="0">
      <alignment horizontal="right" vertical="center"/>
    </xf>
    <xf numFmtId="4" fontId="226" fillId="79" borderId="5626" applyNumberFormat="0" applyProtection="0">
      <alignment horizontal="right" vertical="center"/>
    </xf>
    <xf numFmtId="4" fontId="226" fillId="71" borderId="5626" applyNumberFormat="0" applyProtection="0">
      <alignment horizontal="right" vertical="center"/>
    </xf>
    <xf numFmtId="4" fontId="226" fillId="80" borderId="5626" applyNumberFormat="0" applyProtection="0">
      <alignment horizontal="right" vertical="center"/>
    </xf>
    <xf numFmtId="4" fontId="226" fillId="81" borderId="5626" applyNumberFormat="0" applyProtection="0">
      <alignment horizontal="right" vertical="center"/>
    </xf>
    <xf numFmtId="4" fontId="226" fillId="82" borderId="5626" applyNumberFormat="0" applyProtection="0">
      <alignment horizontal="right" vertical="center"/>
    </xf>
    <xf numFmtId="4" fontId="184" fillId="52" borderId="5626" applyNumberFormat="0" applyProtection="0">
      <alignment horizontal="right" vertical="center"/>
    </xf>
    <xf numFmtId="0" fontId="12" fillId="75" borderId="5626" applyNumberFormat="0" applyProtection="0">
      <alignment horizontal="left" vertical="center" indent="1"/>
    </xf>
    <xf numFmtId="0" fontId="12" fillId="75" borderId="5626" applyNumberFormat="0" applyProtection="0">
      <alignment horizontal="left" vertical="top" indent="1"/>
    </xf>
    <xf numFmtId="0" fontId="12" fillId="84" borderId="5626" applyNumberFormat="0" applyProtection="0">
      <alignment horizontal="left" vertical="center" indent="1"/>
    </xf>
    <xf numFmtId="0" fontId="12" fillId="84" borderId="5626" applyNumberFormat="0" applyProtection="0">
      <alignment horizontal="left" vertical="top" indent="1"/>
    </xf>
    <xf numFmtId="0" fontId="12" fillId="52" borderId="5626" applyNumberFormat="0" applyProtection="0">
      <alignment horizontal="left" vertical="center" indent="1"/>
    </xf>
    <xf numFmtId="0" fontId="12" fillId="52" borderId="5626" applyNumberFormat="0" applyProtection="0">
      <alignment horizontal="left" vertical="top" indent="1"/>
    </xf>
    <xf numFmtId="0" fontId="12" fillId="11" borderId="5626" applyNumberFormat="0" applyProtection="0">
      <alignment horizontal="left" vertical="center" indent="1"/>
    </xf>
    <xf numFmtId="0" fontId="12" fillId="11" borderId="5626" applyNumberFormat="0" applyProtection="0">
      <alignment horizontal="left" vertical="top" indent="1"/>
    </xf>
    <xf numFmtId="4" fontId="226" fillId="11" borderId="5626" applyNumberFormat="0" applyProtection="0">
      <alignment vertical="center"/>
    </xf>
    <xf numFmtId="4" fontId="228" fillId="11" borderId="5626" applyNumberFormat="0" applyProtection="0">
      <alignment vertical="center"/>
    </xf>
    <xf numFmtId="4" fontId="227" fillId="52" borderId="5627" applyNumberFormat="0" applyProtection="0">
      <alignment horizontal="left" vertical="center" indent="1"/>
    </xf>
    <xf numFmtId="0" fontId="136" fillId="14" borderId="5626" applyNumberFormat="0" applyProtection="0">
      <alignment horizontal="left" vertical="top" indent="1"/>
    </xf>
    <xf numFmtId="4" fontId="184" fillId="11" borderId="5626" applyNumberFormat="0" applyProtection="0">
      <alignment horizontal="right" vertical="center"/>
    </xf>
    <xf numFmtId="4" fontId="228" fillId="11" borderId="5626" applyNumberFormat="0" applyProtection="0">
      <alignment horizontal="right" vertical="center"/>
    </xf>
    <xf numFmtId="4" fontId="223" fillId="52" borderId="5626" applyNumberFormat="0" applyProtection="0">
      <alignment horizontal="left" vertical="center" indent="1"/>
    </xf>
    <xf numFmtId="0" fontId="136" fillId="84" borderId="5626" applyNumberFormat="0" applyProtection="0">
      <alignment horizontal="left" vertical="top" indent="1"/>
    </xf>
    <xf numFmtId="4" fontId="229" fillId="84" borderId="5627" applyNumberFormat="0" applyProtection="0">
      <alignment horizontal="left" vertical="center" indent="1"/>
    </xf>
    <xf numFmtId="4" fontId="230" fillId="11" borderId="5626" applyNumberFormat="0" applyProtection="0">
      <alignment horizontal="right" vertical="center"/>
    </xf>
    <xf numFmtId="3" fontId="12" fillId="60" borderId="5628" applyFont="0" applyFill="0" applyBorder="0" applyAlignment="0" applyProtection="0"/>
    <xf numFmtId="4" fontId="12" fillId="60" borderId="5628" applyFont="0" applyFill="0" applyBorder="0" applyAlignment="0" applyProtection="0"/>
    <xf numFmtId="183" fontId="12" fillId="60" borderId="5628" applyFont="0" applyFill="0" applyBorder="0" applyAlignment="0" applyProtection="0"/>
    <xf numFmtId="10" fontId="12" fillId="60" borderId="5628" applyFont="0" applyFill="0" applyBorder="0" applyAlignment="0" applyProtection="0"/>
    <xf numFmtId="9" fontId="12" fillId="60" borderId="5628" applyFont="0" applyFill="0" applyBorder="0" applyAlignment="0" applyProtection="0"/>
    <xf numFmtId="2" fontId="12" fillId="60" borderId="5628" applyFont="0" applyFill="0" applyBorder="0" applyAlignment="0" applyProtection="0"/>
    <xf numFmtId="0" fontId="25" fillId="10" borderId="5624" applyNumberFormat="0" applyProtection="0">
      <alignment horizontal="center" vertical="top"/>
    </xf>
    <xf numFmtId="0" fontId="25" fillId="10" borderId="5624" applyNumberFormat="0" applyProtection="0">
      <alignment horizontal="center" vertical="top"/>
    </xf>
    <xf numFmtId="169" fontId="234" fillId="3" borderId="5624" applyFont="0" applyProtection="0"/>
    <xf numFmtId="169" fontId="234" fillId="10" borderId="5624" applyFont="0" applyProtection="0"/>
    <xf numFmtId="293" fontId="234" fillId="3" borderId="5624" applyFont="0" applyProtection="0"/>
    <xf numFmtId="293" fontId="234" fillId="10" borderId="5624" applyFont="0" applyProtection="0"/>
    <xf numFmtId="293" fontId="234" fillId="10" borderId="5624" applyFont="0" applyProtection="0"/>
    <xf numFmtId="0" fontId="12" fillId="3" borderId="5624" applyNumberFormat="0" applyFont="0" applyAlignment="0" applyProtection="0"/>
    <xf numFmtId="0" fontId="12" fillId="10" borderId="5624" applyNumberFormat="0" applyFont="0" applyAlignment="0" applyProtection="0"/>
    <xf numFmtId="0" fontId="12" fillId="10" borderId="5624" applyNumberFormat="0" applyFont="0" applyProtection="0"/>
    <xf numFmtId="0" fontId="25" fillId="10" borderId="5629" applyNumberFormat="0" applyProtection="0">
      <alignment horizontal="left"/>
    </xf>
    <xf numFmtId="0" fontId="25" fillId="10" borderId="5630" applyNumberFormat="0" applyProtection="0">
      <alignment horizontal="left" vertical="top"/>
    </xf>
    <xf numFmtId="0" fontId="25" fillId="10" borderId="5631" applyNumberFormat="0" applyProtection="0">
      <alignment horizontal="left" vertical="top"/>
    </xf>
    <xf numFmtId="0" fontId="25" fillId="10" borderId="5632" applyNumberFormat="0" applyProtection="0">
      <alignment horizontal="left" vertical="top"/>
    </xf>
    <xf numFmtId="0" fontId="25" fillId="10" borderId="5633" applyNumberFormat="0" applyProtection="0">
      <alignment horizontal="left" vertical="top"/>
    </xf>
    <xf numFmtId="0" fontId="25" fillId="10" borderId="5634" applyNumberFormat="0" applyProtection="0">
      <alignment horizontal="left" vertical="top"/>
    </xf>
    <xf numFmtId="0" fontId="25" fillId="10" borderId="5635" applyNumberFormat="0" applyProtection="0">
      <alignment horizontal="left" vertical="top"/>
    </xf>
    <xf numFmtId="0" fontId="12" fillId="0" borderId="5623" applyNumberFormat="0" applyFill="0" applyBorder="0" applyAlignment="0" applyProtection="0"/>
    <xf numFmtId="10" fontId="12" fillId="3" borderId="5636" applyNumberFormat="0" applyFont="0" applyFill="0" applyBorder="0" applyAlignment="0">
      <protection locked="0"/>
    </xf>
    <xf numFmtId="0" fontId="12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0" fontId="12" fillId="0" borderId="5813" applyNumberFormat="0" applyFill="0" applyBorder="0" applyAlignment="0" applyProtection="0">
      <alignment horizontal="center"/>
    </xf>
    <xf numFmtId="254" fontId="240" fillId="0" borderId="5825" applyBorder="0" applyProtection="0">
      <alignment horizontal="right" vertical="center"/>
    </xf>
    <xf numFmtId="264" fontId="12" fillId="14" borderId="5885" applyFont="0" applyFill="0" applyBorder="0" applyAlignment="0" applyProtection="0">
      <alignment horizontal="right"/>
    </xf>
    <xf numFmtId="0" fontId="25" fillId="10" borderId="5665" applyNumberFormat="0" applyProtection="0">
      <alignment horizontal="left" vertical="top"/>
    </xf>
    <xf numFmtId="254" fontId="240" fillId="0" borderId="5885" applyBorder="0" applyProtection="0">
      <alignment horizontal="right" vertical="center"/>
    </xf>
    <xf numFmtId="0" fontId="166" fillId="0" borderId="5825">
      <alignment horizontal="center"/>
    </xf>
    <xf numFmtId="186" fontId="146" fillId="3" borderId="5816">
      <alignment horizontal="left"/>
    </xf>
    <xf numFmtId="0" fontId="78" fillId="14" borderId="5694" applyFont="0" applyFill="0" applyBorder="0" applyAlignment="0" applyProtection="0"/>
    <xf numFmtId="246" fontId="249" fillId="0" borderId="5813" applyFill="0" applyProtection="0">
      <alignment horizontal="center"/>
    </xf>
    <xf numFmtId="0" fontId="78" fillId="14" borderId="5601" applyFont="0" applyFill="0" applyBorder="0" applyAlignment="0" applyProtection="0"/>
    <xf numFmtId="180" fontId="9" fillId="3" borderId="6821">
      <alignment horizontal="right" vertical="center"/>
    </xf>
    <xf numFmtId="192" fontId="9" fillId="3" borderId="5813">
      <alignment horizontal="right" vertical="center"/>
    </xf>
    <xf numFmtId="0" fontId="75" fillId="0" borderId="6834" applyNumberFormat="0" applyFont="0" applyFill="0" applyAlignment="0" applyProtection="0"/>
    <xf numFmtId="222" fontId="79" fillId="0" borderId="5637" applyBorder="0"/>
    <xf numFmtId="0" fontId="78" fillId="14" borderId="6847" applyFont="0" applyFill="0" applyBorder="0" applyAlignment="0" applyProtection="0"/>
    <xf numFmtId="186" fontId="146" fillId="3" borderId="6824">
      <alignment horizontal="left"/>
    </xf>
    <xf numFmtId="0" fontId="101" fillId="0" borderId="5640" applyBorder="0"/>
    <xf numFmtId="222" fontId="79" fillId="0" borderId="5637" applyBorder="0"/>
    <xf numFmtId="0" fontId="113" fillId="0" borderId="5640" applyNumberFormat="0" applyFill="0" applyAlignment="0" applyProtection="0"/>
    <xf numFmtId="0" fontId="12" fillId="0" borderId="5640" applyNumberFormat="0" applyFill="0" applyBorder="0" applyAlignment="0" applyProtection="0">
      <alignment horizontal="center"/>
    </xf>
    <xf numFmtId="0" fontId="75" fillId="0" borderId="5814" applyNumberFormat="0" applyFont="0" applyFill="0" applyAlignment="0" applyProtection="0"/>
    <xf numFmtId="248" fontId="46" fillId="0" borderId="5640"/>
    <xf numFmtId="0" fontId="25" fillId="10" borderId="5857" applyNumberFormat="0" applyProtection="0">
      <alignment horizontal="left" vertical="top"/>
    </xf>
    <xf numFmtId="192" fontId="9" fillId="3" borderId="5704">
      <alignment horizontal="right" vertical="center"/>
    </xf>
    <xf numFmtId="192" fontId="9" fillId="3" borderId="5640">
      <alignment horizontal="right" vertical="center"/>
    </xf>
    <xf numFmtId="180" fontId="9" fillId="3" borderId="5640">
      <alignment horizontal="right" vertical="center"/>
    </xf>
    <xf numFmtId="186" fontId="146" fillId="3" borderId="5640" applyBorder="0">
      <alignment horizontal="left" vertical="center"/>
    </xf>
    <xf numFmtId="222" fontId="79" fillId="0" borderId="5836" applyBorder="0"/>
    <xf numFmtId="186" fontId="140" fillId="3" borderId="5579">
      <alignment horizontal="center" vertical="center"/>
    </xf>
    <xf numFmtId="188" fontId="25" fillId="0" borderId="5639" applyFont="0" applyFill="0" applyBorder="0" applyAlignment="0" applyProtection="0">
      <alignment horizontal="center"/>
    </xf>
    <xf numFmtId="2" fontId="12" fillId="14" borderId="5638" applyFill="0" applyBorder="0" applyProtection="0">
      <alignment horizontal="center"/>
    </xf>
    <xf numFmtId="0" fontId="5" fillId="0" borderId="5639">
      <alignment horizontal="left" vertical="center"/>
    </xf>
    <xf numFmtId="0" fontId="165" fillId="0" borderId="5640" applyFill="0" applyProtection="0">
      <alignment horizontal="center"/>
    </xf>
    <xf numFmtId="0" fontId="166" fillId="0" borderId="5640">
      <alignment horizontal="center"/>
    </xf>
    <xf numFmtId="188" fontId="25" fillId="0" borderId="5639" applyFont="0" applyFill="0" applyBorder="0" applyAlignment="0" applyProtection="0">
      <alignment horizontal="center"/>
    </xf>
    <xf numFmtId="264" fontId="12" fillId="14" borderId="5640" applyFont="0" applyFill="0" applyBorder="0" applyAlignment="0" applyProtection="0">
      <alignment horizontal="right"/>
    </xf>
    <xf numFmtId="188" fontId="25" fillId="0" borderId="5639" applyFont="0" applyFill="0" applyBorder="0" applyAlignment="0" applyProtection="0">
      <alignment horizontal="center"/>
    </xf>
    <xf numFmtId="0" fontId="12" fillId="0" borderId="5704" applyNumberFormat="0" applyFill="0" applyBorder="0" applyAlignment="0" applyProtection="0">
      <alignment horizontal="center"/>
    </xf>
    <xf numFmtId="192" fontId="9" fillId="3" borderId="5861">
      <alignment horizontal="right" vertical="center"/>
    </xf>
    <xf numFmtId="0" fontId="210" fillId="0" borderId="5640" applyNumberFormat="0" applyFill="0" applyBorder="0" applyAlignment="0">
      <protection locked="0"/>
    </xf>
    <xf numFmtId="0" fontId="214" fillId="0" borderId="5605" applyNumberFormat="0" applyFont="0" applyFill="0" applyAlignment="0" applyProtection="0"/>
    <xf numFmtId="0" fontId="25" fillId="10" borderId="5606" applyNumberFormat="0" applyProtection="0">
      <alignment horizontal="left" vertical="top"/>
    </xf>
    <xf numFmtId="0" fontId="25" fillId="10" borderId="5607" applyNumberFormat="0" applyProtection="0">
      <alignment horizontal="left" vertical="top"/>
    </xf>
    <xf numFmtId="0" fontId="25" fillId="10" borderId="5608" applyNumberFormat="0" applyProtection="0">
      <alignment horizontal="left" vertical="top"/>
    </xf>
    <xf numFmtId="0" fontId="25" fillId="10" borderId="5609" applyNumberFormat="0" applyProtection="0">
      <alignment horizontal="left" vertical="top"/>
    </xf>
    <xf numFmtId="0" fontId="25" fillId="10" borderId="5606" applyNumberFormat="0" applyProtection="0">
      <alignment horizontal="left" vertical="top"/>
    </xf>
    <xf numFmtId="0" fontId="25" fillId="10" borderId="5607" applyNumberFormat="0" applyProtection="0">
      <alignment horizontal="left" vertical="top"/>
    </xf>
    <xf numFmtId="0" fontId="25" fillId="10" borderId="5608" applyNumberFormat="0" applyProtection="0">
      <alignment horizontal="left" vertical="top"/>
    </xf>
    <xf numFmtId="0" fontId="25" fillId="10" borderId="5609" applyNumberFormat="0" applyProtection="0">
      <alignment horizontal="left" vertical="top"/>
    </xf>
    <xf numFmtId="254" fontId="240" fillId="0" borderId="5640" applyBorder="0" applyProtection="0">
      <alignment horizontal="right" vertical="center"/>
    </xf>
    <xf numFmtId="0" fontId="241" fillId="94" borderId="5640" applyBorder="0" applyProtection="0">
      <alignment horizontal="centerContinuous" vertical="center"/>
    </xf>
    <xf numFmtId="1" fontId="74" fillId="0" borderId="5639" applyFill="0" applyBorder="0" applyProtection="0">
      <alignment horizontal="right"/>
    </xf>
    <xf numFmtId="246" fontId="249" fillId="0" borderId="5640" applyFill="0" applyProtection="0">
      <alignment horizontal="center"/>
    </xf>
    <xf numFmtId="246" fontId="250" fillId="0" borderId="5640" applyFill="0" applyProtection="0">
      <alignment horizontal="center"/>
    </xf>
    <xf numFmtId="264" fontId="12" fillId="14" borderId="5813" applyFont="0" applyFill="0" applyBorder="0" applyAlignment="0" applyProtection="0">
      <alignment horizontal="right"/>
    </xf>
    <xf numFmtId="248" fontId="46" fillId="0" borderId="5813"/>
    <xf numFmtId="188" fontId="25" fillId="0" borderId="5639" applyFont="0" applyFill="0" applyBorder="0" applyAlignment="0" applyProtection="0">
      <alignment horizontal="center"/>
    </xf>
    <xf numFmtId="264" fontId="12" fillId="14" borderId="5813" applyFont="0" applyFill="0" applyBorder="0" applyAlignment="0" applyProtection="0">
      <alignment horizontal="right"/>
    </xf>
    <xf numFmtId="246" fontId="250" fillId="0" borderId="5825" applyFill="0" applyProtection="0">
      <alignment horizontal="center"/>
    </xf>
    <xf numFmtId="0" fontId="101" fillId="0" borderId="5813" applyBorder="0"/>
    <xf numFmtId="0" fontId="166" fillId="0" borderId="5813">
      <alignment horizontal="center"/>
    </xf>
    <xf numFmtId="0" fontId="12" fillId="0" borderId="5623" applyNumberFormat="0" applyFill="0" applyBorder="0" applyAlignment="0" applyProtection="0"/>
    <xf numFmtId="0" fontId="46" fillId="0" borderId="5623" applyNumberFormat="0" applyFill="0" applyBorder="0" applyAlignment="0" applyProtection="0"/>
    <xf numFmtId="0" fontId="105" fillId="0" borderId="5623" applyNumberFormat="0" applyFill="0" applyBorder="0" applyAlignment="0" applyProtection="0"/>
    <xf numFmtId="0" fontId="48" fillId="0" borderId="5623" applyNumberFormat="0" applyFill="0" applyAlignment="0" applyProtection="0"/>
    <xf numFmtId="5" fontId="114" fillId="0" borderId="5622" applyAlignment="0" applyProtection="0"/>
    <xf numFmtId="0" fontId="74" fillId="0" borderId="5622" applyFont="0" applyFill="0" applyBorder="0" applyAlignment="0" applyProtection="0">
      <alignment horizontal="center"/>
    </xf>
    <xf numFmtId="0" fontId="48" fillId="0" borderId="5622" applyFont="0" applyFill="0" applyBorder="0" applyAlignment="0" applyProtection="0">
      <alignment horizontal="center"/>
    </xf>
    <xf numFmtId="182" fontId="145" fillId="3" borderId="5622">
      <alignment horizontal="right" vertical="center"/>
    </xf>
    <xf numFmtId="186" fontId="48" fillId="3" borderId="5622">
      <alignment vertical="center"/>
    </xf>
    <xf numFmtId="0" fontId="135" fillId="0" borderId="5624"/>
    <xf numFmtId="0" fontId="135" fillId="0" borderId="5624"/>
    <xf numFmtId="1" fontId="154" fillId="65" borderId="5513" applyNumberFormat="0" applyBorder="0" applyAlignment="0">
      <alignment horizontal="centerContinuous" vertical="center"/>
      <protection locked="0"/>
    </xf>
    <xf numFmtId="0" fontId="159" fillId="0" borderId="5624"/>
    <xf numFmtId="0" fontId="159" fillId="67" borderId="5624"/>
    <xf numFmtId="0" fontId="25" fillId="69" borderId="5624">
      <alignment horizontal="left" vertical="center" wrapText="1"/>
    </xf>
    <xf numFmtId="0" fontId="184" fillId="0" borderId="5625" applyAlignment="0">
      <alignment horizontal="left" wrapText="1"/>
    </xf>
    <xf numFmtId="188" fontId="25" fillId="0" borderId="5639" applyFont="0" applyFill="0" applyBorder="0" applyAlignment="0" applyProtection="0">
      <alignment horizontal="center"/>
    </xf>
    <xf numFmtId="4" fontId="223" fillId="53" borderId="5626" applyNumberFormat="0" applyProtection="0">
      <alignment vertical="center"/>
    </xf>
    <xf numFmtId="4" fontId="224" fillId="53" borderId="5626" applyNumberFormat="0" applyProtection="0">
      <alignment vertical="center"/>
    </xf>
    <xf numFmtId="4" fontId="184" fillId="53" borderId="5626" applyNumberFormat="0" applyProtection="0">
      <alignment horizontal="left" vertical="center" indent="1"/>
    </xf>
    <xf numFmtId="0" fontId="225" fillId="53" borderId="5626" applyNumberFormat="0" applyProtection="0">
      <alignment horizontal="left" vertical="top" indent="1"/>
    </xf>
    <xf numFmtId="4" fontId="226" fillId="76" borderId="5626" applyNumberFormat="0" applyProtection="0">
      <alignment horizontal="right" vertical="center"/>
    </xf>
    <xf numFmtId="4" fontId="226" fillId="77" borderId="5626" applyNumberFormat="0" applyProtection="0">
      <alignment horizontal="right" vertical="center"/>
    </xf>
    <xf numFmtId="4" fontId="226" fillId="78" borderId="5626" applyNumberFormat="0" applyProtection="0">
      <alignment horizontal="right" vertical="center"/>
    </xf>
    <xf numFmtId="4" fontId="226" fillId="10" borderId="5626" applyNumberFormat="0" applyProtection="0">
      <alignment horizontal="right" vertical="center"/>
    </xf>
    <xf numFmtId="4" fontId="226" fillId="79" borderId="5626" applyNumberFormat="0" applyProtection="0">
      <alignment horizontal="right" vertical="center"/>
    </xf>
    <xf numFmtId="4" fontId="226" fillId="71" borderId="5626" applyNumberFormat="0" applyProtection="0">
      <alignment horizontal="right" vertical="center"/>
    </xf>
    <xf numFmtId="4" fontId="226" fillId="80" borderId="5626" applyNumberFormat="0" applyProtection="0">
      <alignment horizontal="right" vertical="center"/>
    </xf>
    <xf numFmtId="4" fontId="226" fillId="81" borderId="5626" applyNumberFormat="0" applyProtection="0">
      <alignment horizontal="right" vertical="center"/>
    </xf>
    <xf numFmtId="4" fontId="226" fillId="82" borderId="5626" applyNumberFormat="0" applyProtection="0">
      <alignment horizontal="right" vertical="center"/>
    </xf>
    <xf numFmtId="4" fontId="184" fillId="52" borderId="5626" applyNumberFormat="0" applyProtection="0">
      <alignment horizontal="right" vertical="center"/>
    </xf>
    <xf numFmtId="0" fontId="12" fillId="75" borderId="5626" applyNumberFormat="0" applyProtection="0">
      <alignment horizontal="left" vertical="center" indent="1"/>
    </xf>
    <xf numFmtId="0" fontId="12" fillId="75" borderId="5626" applyNumberFormat="0" applyProtection="0">
      <alignment horizontal="left" vertical="top" indent="1"/>
    </xf>
    <xf numFmtId="0" fontId="12" fillId="84" borderId="5626" applyNumberFormat="0" applyProtection="0">
      <alignment horizontal="left" vertical="center" indent="1"/>
    </xf>
    <xf numFmtId="0" fontId="12" fillId="84" borderId="5626" applyNumberFormat="0" applyProtection="0">
      <alignment horizontal="left" vertical="top" indent="1"/>
    </xf>
    <xf numFmtId="0" fontId="12" fillId="52" borderId="5626" applyNumberFormat="0" applyProtection="0">
      <alignment horizontal="left" vertical="center" indent="1"/>
    </xf>
    <xf numFmtId="0" fontId="12" fillId="52" borderId="5626" applyNumberFormat="0" applyProtection="0">
      <alignment horizontal="left" vertical="top" indent="1"/>
    </xf>
    <xf numFmtId="0" fontId="12" fillId="11" borderId="5626" applyNumberFormat="0" applyProtection="0">
      <alignment horizontal="left" vertical="center" indent="1"/>
    </xf>
    <xf numFmtId="0" fontId="12" fillId="11" borderId="5626" applyNumberFormat="0" applyProtection="0">
      <alignment horizontal="left" vertical="top" indent="1"/>
    </xf>
    <xf numFmtId="4" fontId="226" fillId="11" borderId="5626" applyNumberFormat="0" applyProtection="0">
      <alignment vertical="center"/>
    </xf>
    <xf numFmtId="4" fontId="228" fillId="11" borderId="5626" applyNumberFormat="0" applyProtection="0">
      <alignment vertical="center"/>
    </xf>
    <xf numFmtId="4" fontId="227" fillId="52" borderId="5627" applyNumberFormat="0" applyProtection="0">
      <alignment horizontal="left" vertical="center" indent="1"/>
    </xf>
    <xf numFmtId="0" fontId="136" fillId="14" borderId="5626" applyNumberFormat="0" applyProtection="0">
      <alignment horizontal="left" vertical="top" indent="1"/>
    </xf>
    <xf numFmtId="4" fontId="184" fillId="11" borderId="5626" applyNumberFormat="0" applyProtection="0">
      <alignment horizontal="right" vertical="center"/>
    </xf>
    <xf numFmtId="4" fontId="228" fillId="11" borderId="5626" applyNumberFormat="0" applyProtection="0">
      <alignment horizontal="right" vertical="center"/>
    </xf>
    <xf numFmtId="4" fontId="223" fillId="52" borderId="5626" applyNumberFormat="0" applyProtection="0">
      <alignment horizontal="left" vertical="center" indent="1"/>
    </xf>
    <xf numFmtId="0" fontId="136" fillId="84" borderId="5626" applyNumberFormat="0" applyProtection="0">
      <alignment horizontal="left" vertical="top" indent="1"/>
    </xf>
    <xf numFmtId="4" fontId="229" fillId="84" borderId="5627" applyNumberFormat="0" applyProtection="0">
      <alignment horizontal="left" vertical="center" indent="1"/>
    </xf>
    <xf numFmtId="4" fontId="230" fillId="11" borderId="5626" applyNumberFormat="0" applyProtection="0">
      <alignment horizontal="right" vertical="center"/>
    </xf>
    <xf numFmtId="3" fontId="12" fillId="60" borderId="5628" applyFont="0" applyFill="0" applyBorder="0" applyAlignment="0" applyProtection="0"/>
    <xf numFmtId="4" fontId="12" fillId="60" borderId="5628" applyFont="0" applyFill="0" applyBorder="0" applyAlignment="0" applyProtection="0"/>
    <xf numFmtId="183" fontId="12" fillId="60" borderId="5628" applyFont="0" applyFill="0" applyBorder="0" applyAlignment="0" applyProtection="0"/>
    <xf numFmtId="10" fontId="12" fillId="60" borderId="5628" applyFont="0" applyFill="0" applyBorder="0" applyAlignment="0" applyProtection="0"/>
    <xf numFmtId="9" fontId="12" fillId="60" borderId="5628" applyFont="0" applyFill="0" applyBorder="0" applyAlignment="0" applyProtection="0"/>
    <xf numFmtId="2" fontId="12" fillId="60" borderId="5628" applyFont="0" applyFill="0" applyBorder="0" applyAlignment="0" applyProtection="0"/>
    <xf numFmtId="0" fontId="25" fillId="10" borderId="5624" applyNumberFormat="0" applyProtection="0">
      <alignment horizontal="center" vertical="top"/>
    </xf>
    <xf numFmtId="0" fontId="25" fillId="10" borderId="5624" applyNumberFormat="0" applyProtection="0">
      <alignment horizontal="center" vertical="top"/>
    </xf>
    <xf numFmtId="169" fontId="234" fillId="3" borderId="5624" applyFont="0" applyProtection="0"/>
    <xf numFmtId="169" fontId="234" fillId="10" borderId="5624" applyFont="0" applyProtection="0"/>
    <xf numFmtId="293" fontId="234" fillId="3" borderId="5624" applyFont="0" applyProtection="0"/>
    <xf numFmtId="293" fontId="234" fillId="10" borderId="5624" applyFont="0" applyProtection="0"/>
    <xf numFmtId="293" fontId="234" fillId="10" borderId="5624" applyFont="0" applyProtection="0"/>
    <xf numFmtId="0" fontId="12" fillId="3" borderId="5624" applyNumberFormat="0" applyFont="0" applyAlignment="0" applyProtection="0"/>
    <xf numFmtId="0" fontId="12" fillId="10" borderId="5624" applyNumberFormat="0" applyFont="0" applyAlignment="0" applyProtection="0"/>
    <xf numFmtId="0" fontId="12" fillId="10" borderId="5624" applyNumberFormat="0" applyFont="0" applyProtection="0"/>
    <xf numFmtId="0" fontId="25" fillId="10" borderId="5629" applyNumberFormat="0" applyProtection="0">
      <alignment horizontal="left"/>
    </xf>
    <xf numFmtId="0" fontId="25" fillId="10" borderId="5630" applyNumberFormat="0" applyProtection="0">
      <alignment horizontal="left" vertical="top"/>
    </xf>
    <xf numFmtId="0" fontId="25" fillId="10" borderId="5631" applyNumberFormat="0" applyProtection="0">
      <alignment horizontal="left" vertical="top"/>
    </xf>
    <xf numFmtId="0" fontId="25" fillId="10" borderId="5632" applyNumberFormat="0" applyProtection="0">
      <alignment horizontal="left" vertical="top"/>
    </xf>
    <xf numFmtId="0" fontId="25" fillId="10" borderId="5633" applyNumberFormat="0" applyProtection="0">
      <alignment horizontal="left" vertical="top"/>
    </xf>
    <xf numFmtId="0" fontId="25" fillId="10" borderId="5634" applyNumberFormat="0" applyProtection="0">
      <alignment horizontal="left" vertical="top"/>
    </xf>
    <xf numFmtId="0" fontId="25" fillId="10" borderId="5635" applyNumberFormat="0" applyProtection="0">
      <alignment horizontal="left" vertical="top"/>
    </xf>
    <xf numFmtId="0" fontId="12" fillId="0" borderId="5623" applyNumberFormat="0" applyFill="0" applyBorder="0" applyAlignment="0" applyProtection="0"/>
    <xf numFmtId="10" fontId="12" fillId="3" borderId="5636" applyNumberFormat="0" applyFont="0" applyFill="0" applyBorder="0" applyAlignment="0">
      <protection locked="0"/>
    </xf>
    <xf numFmtId="0" fontId="12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186" fontId="146" fillId="3" borderId="5813" applyBorder="0">
      <alignment horizontal="left" vertical="center"/>
    </xf>
    <xf numFmtId="0" fontId="101" fillId="0" borderId="5825" applyBorder="0"/>
    <xf numFmtId="10" fontId="12" fillId="3" borderId="5636" applyNumberFormat="0" applyFont="0" applyFill="0" applyBorder="0" applyAlignment="0">
      <protection locked="0"/>
    </xf>
    <xf numFmtId="188" fontId="25" fillId="0" borderId="5639" applyFont="0" applyFill="0" applyBorder="0" applyAlignment="0" applyProtection="0">
      <alignment horizontal="center"/>
    </xf>
    <xf numFmtId="186" fontId="146" fillId="3" borderId="5505">
      <alignment horizontal="left"/>
    </xf>
    <xf numFmtId="0" fontId="113" fillId="0" borderId="5704" applyNumberFormat="0" applyFill="0" applyAlignment="0" applyProtection="0"/>
    <xf numFmtId="0" fontId="25" fillId="10" borderId="5858" applyNumberFormat="0" applyProtection="0">
      <alignment horizontal="left" vertical="top"/>
    </xf>
    <xf numFmtId="246" fontId="250" fillId="0" borderId="5704" applyFill="0" applyProtection="0">
      <alignment horizontal="center"/>
    </xf>
    <xf numFmtId="0" fontId="75" fillId="0" borderId="5503" applyNumberFormat="0" applyFont="0" applyFill="0" applyAlignment="0" applyProtection="0"/>
    <xf numFmtId="10" fontId="12" fillId="3" borderId="5636" applyNumberFormat="0" applyFont="0" applyFill="0" applyBorder="0" applyAlignment="0">
      <protection locked="0"/>
    </xf>
    <xf numFmtId="186" fontId="146" fillId="3" borderId="5825" applyBorder="0">
      <alignment horizontal="left" vertical="center"/>
    </xf>
    <xf numFmtId="180" fontId="9" fillId="3" borderId="5825">
      <alignment horizontal="right" vertical="center"/>
    </xf>
    <xf numFmtId="10" fontId="12" fillId="3" borderId="5636" applyNumberFormat="0" applyFont="0" applyFill="0" applyBorder="0" applyAlignment="0">
      <protection locked="0"/>
    </xf>
    <xf numFmtId="222" fontId="79" fillId="0" borderId="5637" applyBorder="0"/>
    <xf numFmtId="10" fontId="12" fillId="3" borderId="5636" applyNumberFormat="0" applyFont="0" applyFill="0" applyBorder="0" applyAlignment="0">
      <protection locked="0"/>
    </xf>
    <xf numFmtId="190" fontId="113" fillId="0" borderId="5885" applyNumberFormat="0" applyFill="0" applyAlignment="0" applyProtection="0"/>
    <xf numFmtId="0" fontId="101" fillId="0" borderId="5640" applyBorder="0"/>
    <xf numFmtId="222" fontId="79" fillId="0" borderId="5637" applyBorder="0"/>
    <xf numFmtId="0" fontId="113" fillId="0" borderId="5640" applyNumberFormat="0" applyFill="0" applyAlignment="0" applyProtection="0"/>
    <xf numFmtId="0" fontId="12" fillId="0" borderId="5640" applyNumberFormat="0" applyFill="0" applyBorder="0" applyAlignment="0" applyProtection="0">
      <alignment horizontal="center"/>
    </xf>
    <xf numFmtId="248" fontId="46" fillId="0" borderId="5640"/>
    <xf numFmtId="0" fontId="25" fillId="10" borderId="5881" applyNumberFormat="0" applyProtection="0">
      <alignment horizontal="left" vertical="top"/>
    </xf>
    <xf numFmtId="186" fontId="146" fillId="3" borderId="5852">
      <alignment horizontal="left"/>
    </xf>
    <xf numFmtId="248" fontId="46" fillId="0" borderId="5704"/>
    <xf numFmtId="192" fontId="9" fillId="3" borderId="5640">
      <alignment horizontal="right" vertical="center"/>
    </xf>
    <xf numFmtId="180" fontId="9" fillId="3" borderId="5640">
      <alignment horizontal="right" vertical="center"/>
    </xf>
    <xf numFmtId="186" fontId="146" fillId="3" borderId="5640" applyBorder="0">
      <alignment horizontal="left" vertical="center"/>
    </xf>
    <xf numFmtId="0" fontId="165" fillId="0" borderId="5640" applyFill="0" applyProtection="0">
      <alignment horizontal="center"/>
    </xf>
    <xf numFmtId="0" fontId="166" fillId="0" borderId="5640">
      <alignment horizontal="center"/>
    </xf>
    <xf numFmtId="264" fontId="12" fillId="14" borderId="5640" applyFont="0" applyFill="0" applyBorder="0" applyAlignment="0" applyProtection="0">
      <alignment horizontal="right"/>
    </xf>
    <xf numFmtId="0" fontId="210" fillId="0" borderId="5640" applyNumberFormat="0" applyFill="0" applyBorder="0" applyAlignment="0">
      <protection locked="0"/>
    </xf>
    <xf numFmtId="254" fontId="240" fillId="0" borderId="5640" applyBorder="0" applyProtection="0">
      <alignment horizontal="right" vertical="center"/>
    </xf>
    <xf numFmtId="0" fontId="241" fillId="94" borderId="5640" applyBorder="0" applyProtection="0">
      <alignment horizontal="centerContinuous" vertical="center"/>
    </xf>
    <xf numFmtId="246" fontId="249" fillId="0" borderId="5640" applyFill="0" applyProtection="0">
      <alignment horizontal="center"/>
    </xf>
    <xf numFmtId="246" fontId="250" fillId="0" borderId="5640" applyFill="0" applyProtection="0">
      <alignment horizontal="center"/>
    </xf>
    <xf numFmtId="248" fontId="46" fillId="0" borderId="5825"/>
    <xf numFmtId="0" fontId="12" fillId="0" borderId="5825" applyNumberFormat="0" applyFill="0" applyBorder="0" applyAlignment="0" applyProtection="0">
      <alignment horizontal="center"/>
    </xf>
    <xf numFmtId="192" fontId="9" fillId="3" borderId="5825">
      <alignment horizontal="right" vertical="center"/>
    </xf>
    <xf numFmtId="0" fontId="78" fillId="14" borderId="5694" applyFont="0" applyFill="0" applyBorder="0" applyAlignment="0" applyProtection="0"/>
    <xf numFmtId="0" fontId="2" fillId="0" borderId="5818" applyNumberFormat="0" applyAlignment="0" applyProtection="0"/>
    <xf numFmtId="222" fontId="79" fillId="0" borderId="5824" applyBorder="0"/>
    <xf numFmtId="10" fontId="12" fillId="3" borderId="5636" applyNumberFormat="0" applyFont="0" applyFill="0" applyBorder="0" applyAlignment="0">
      <protection locked="0"/>
    </xf>
    <xf numFmtId="0" fontId="101" fillId="0" borderId="5825" applyBorder="0"/>
    <xf numFmtId="10" fontId="12" fillId="3" borderId="5636" applyNumberFormat="0" applyFont="0" applyFill="0" applyBorder="0" applyAlignment="0">
      <protection locked="0"/>
    </xf>
    <xf numFmtId="222" fontId="79" fillId="0" borderId="5824" applyBorder="0"/>
    <xf numFmtId="0" fontId="25" fillId="10" borderId="5821" applyNumberFormat="0" applyProtection="0">
      <alignment horizontal="left" vertical="top"/>
    </xf>
    <xf numFmtId="0" fontId="25" fillId="10" borderId="5822" applyNumberFormat="0" applyProtection="0">
      <alignment horizontal="left" vertical="top"/>
    </xf>
    <xf numFmtId="0" fontId="25" fillId="10" borderId="5823" applyNumberFormat="0" applyProtection="0">
      <alignment horizontal="left" vertical="top"/>
    </xf>
    <xf numFmtId="0" fontId="75" fillId="0" borderId="5826" applyNumberFormat="0" applyFont="0" applyFill="0" applyAlignment="0" applyProtection="0"/>
    <xf numFmtId="0" fontId="113" fillId="0" borderId="6821" applyNumberFormat="0" applyFill="0" applyAlignment="0" applyProtection="0"/>
    <xf numFmtId="222" fontId="79" fillId="0" borderId="5824" applyBorder="0"/>
    <xf numFmtId="310" fontId="267" fillId="0" borderId="5641">
      <alignment horizontal="left"/>
    </xf>
    <xf numFmtId="0" fontId="25" fillId="10" borderId="5821" applyNumberFormat="0" applyProtection="0">
      <alignment horizontal="left" vertical="top"/>
    </xf>
    <xf numFmtId="307" fontId="268" fillId="0" borderId="5641">
      <alignment horizontal="right" wrapText="1"/>
    </xf>
    <xf numFmtId="0" fontId="25" fillId="10" borderId="5820" applyNumberFormat="0" applyProtection="0">
      <alignment horizontal="left" vertical="top"/>
    </xf>
    <xf numFmtId="0" fontId="25" fillId="10" borderId="5821" applyNumberFormat="0" applyProtection="0">
      <alignment horizontal="left" vertical="top"/>
    </xf>
    <xf numFmtId="186" fontId="146" fillId="3" borderId="5644">
      <alignment horizontal="left"/>
    </xf>
    <xf numFmtId="0" fontId="75" fillId="0" borderId="5642" applyNumberFormat="0" applyFont="0" applyFill="0" applyAlignment="0" applyProtection="0"/>
    <xf numFmtId="0" fontId="214" fillId="0" borderId="5819" applyNumberFormat="0" applyFont="0" applyFill="0" applyAlignment="0" applyProtection="0"/>
    <xf numFmtId="0" fontId="78" fillId="14" borderId="5815" applyFont="0" applyFill="0" applyBorder="0" applyAlignment="0" applyProtection="0"/>
    <xf numFmtId="186" fontId="140" fillId="3" borderId="5889">
      <alignment horizontal="center" vertical="center"/>
    </xf>
    <xf numFmtId="180" fontId="9" fillId="3" borderId="5885">
      <alignment horizontal="right" vertical="center"/>
    </xf>
    <xf numFmtId="0" fontId="12" fillId="0" borderId="5885" applyNumberFormat="0" applyFill="0" applyBorder="0" applyAlignment="0" applyProtection="0">
      <alignment horizontal="center"/>
    </xf>
    <xf numFmtId="222" fontId="79" fillId="0" borderId="5884" applyBorder="0"/>
    <xf numFmtId="186" fontId="146" fillId="3" borderId="6848">
      <alignment horizontal="left"/>
    </xf>
    <xf numFmtId="0" fontId="113" fillId="0" borderId="5704" applyNumberFormat="0" applyFill="0" applyAlignment="0" applyProtection="0"/>
    <xf numFmtId="264" fontId="12" fillId="14" borderId="5704" applyFont="0" applyFill="0" applyBorder="0" applyAlignment="0" applyProtection="0">
      <alignment horizontal="right"/>
    </xf>
    <xf numFmtId="246" fontId="249" fillId="0" borderId="5704" applyFill="0" applyProtection="0">
      <alignment horizontal="center"/>
    </xf>
    <xf numFmtId="0" fontId="25" fillId="10" borderId="5651" applyNumberFormat="0" applyProtection="0">
      <alignment horizontal="left" vertical="top"/>
    </xf>
    <xf numFmtId="0" fontId="25" fillId="10" borderId="5649" applyNumberFormat="0" applyProtection="0">
      <alignment horizontal="left" vertical="top"/>
    </xf>
    <xf numFmtId="0" fontId="25" fillId="10" borderId="5650" applyNumberFormat="0" applyProtection="0">
      <alignment horizontal="left" vertical="top"/>
    </xf>
    <xf numFmtId="0" fontId="25" fillId="10" borderId="5648" applyNumberFormat="0" applyProtection="0">
      <alignment horizontal="left" vertical="top"/>
    </xf>
    <xf numFmtId="0" fontId="25" fillId="10" borderId="5651" applyNumberFormat="0" applyProtection="0">
      <alignment horizontal="left" vertical="top"/>
    </xf>
    <xf numFmtId="0" fontId="25" fillId="10" borderId="5650" applyNumberFormat="0" applyProtection="0">
      <alignment horizontal="left" vertical="top"/>
    </xf>
    <xf numFmtId="0" fontId="25" fillId="10" borderId="5649" applyNumberFormat="0" applyProtection="0">
      <alignment horizontal="left" vertical="top"/>
    </xf>
    <xf numFmtId="0" fontId="25" fillId="10" borderId="5648" applyNumberFormat="0" applyProtection="0">
      <alignment horizontal="left" vertical="top"/>
    </xf>
    <xf numFmtId="0" fontId="214" fillId="0" borderId="5647" applyNumberFormat="0" applyFont="0" applyFill="0" applyAlignment="0" applyProtection="0"/>
    <xf numFmtId="0" fontId="2" fillId="0" borderId="5646" applyNumberFormat="0" applyAlignment="0" applyProtection="0"/>
    <xf numFmtId="186" fontId="140" fillId="3" borderId="5645">
      <alignment horizontal="center" vertical="center"/>
    </xf>
    <xf numFmtId="186" fontId="140" fillId="3" borderId="5579">
      <alignment horizontal="center" vertical="center"/>
    </xf>
    <xf numFmtId="0" fontId="25" fillId="10" borderId="5606" applyNumberFormat="0" applyProtection="0">
      <alignment horizontal="left" vertical="top"/>
    </xf>
    <xf numFmtId="0" fontId="12" fillId="0" borderId="5704" applyNumberFormat="0" applyFill="0" applyBorder="0" applyAlignment="0" applyProtection="0">
      <alignment horizontal="center"/>
    </xf>
    <xf numFmtId="0" fontId="25" fillId="10" borderId="5701" applyNumberFormat="0" applyProtection="0">
      <alignment horizontal="left" vertical="top"/>
    </xf>
    <xf numFmtId="0" fontId="78" fillId="14" borderId="5815" applyFont="0" applyFill="0" applyBorder="0" applyAlignment="0" applyProtection="0"/>
    <xf numFmtId="222" fontId="79" fillId="0" borderId="5691" applyBorder="0"/>
    <xf numFmtId="0" fontId="78" fillId="14" borderId="5694" applyFont="0" applyFill="0" applyBorder="0" applyAlignment="0" applyProtection="0"/>
    <xf numFmtId="222" fontId="79" fillId="0" borderId="5703" applyBorder="0"/>
    <xf numFmtId="0" fontId="101" fillId="0" borderId="5704" applyBorder="0"/>
    <xf numFmtId="222" fontId="79" fillId="0" borderId="5703" applyBorder="0"/>
    <xf numFmtId="248" fontId="46" fillId="0" borderId="5704"/>
    <xf numFmtId="192" fontId="9" fillId="3" borderId="5704">
      <alignment horizontal="right" vertical="center"/>
    </xf>
    <xf numFmtId="180" fontId="9" fillId="3" borderId="5704">
      <alignment horizontal="right" vertical="center"/>
    </xf>
    <xf numFmtId="186" fontId="146" fillId="3" borderId="5704" applyBorder="0">
      <alignment horizontal="left" vertical="center"/>
    </xf>
    <xf numFmtId="0" fontId="165" fillId="0" borderId="5704" applyFill="0" applyProtection="0">
      <alignment horizontal="center"/>
    </xf>
    <xf numFmtId="0" fontId="210" fillId="0" borderId="5704" applyNumberFormat="0" applyFill="0" applyBorder="0" applyAlignment="0">
      <protection locked="0"/>
    </xf>
    <xf numFmtId="254" fontId="240" fillId="0" borderId="5704" applyBorder="0" applyProtection="0">
      <alignment horizontal="right" vertical="center"/>
    </xf>
    <xf numFmtId="246" fontId="250" fillId="0" borderId="5704" applyFill="0" applyProtection="0">
      <alignment horizontal="center"/>
    </xf>
    <xf numFmtId="10" fontId="12" fillId="3" borderId="5636" applyNumberFormat="0" applyFont="0" applyFill="0" applyBorder="0" applyAlignment="0">
      <protection locked="0"/>
    </xf>
    <xf numFmtId="222" fontId="79" fillId="0" borderId="5637" applyBorder="0"/>
    <xf numFmtId="0" fontId="25" fillId="10" borderId="5607" applyNumberFormat="0" applyProtection="0">
      <alignment horizontal="left" vertical="top"/>
    </xf>
    <xf numFmtId="0" fontId="25" fillId="10" borderId="5609" applyNumberFormat="0" applyProtection="0">
      <alignment horizontal="left" vertical="top"/>
    </xf>
    <xf numFmtId="0" fontId="25" fillId="10" borderId="5606" applyNumberFormat="0" applyProtection="0">
      <alignment horizontal="left" vertical="top"/>
    </xf>
    <xf numFmtId="0" fontId="25" fillId="10" borderId="5607" applyNumberFormat="0" applyProtection="0">
      <alignment horizontal="left" vertical="top"/>
    </xf>
    <xf numFmtId="0" fontId="25" fillId="10" borderId="5608" applyNumberFormat="0" applyProtection="0">
      <alignment horizontal="left" vertical="top"/>
    </xf>
    <xf numFmtId="0" fontId="75" fillId="0" borderId="5642" applyNumberFormat="0" applyFont="0" applyFill="0" applyAlignment="0" applyProtection="0"/>
    <xf numFmtId="0" fontId="101" fillId="0" borderId="5653" applyBorder="0"/>
    <xf numFmtId="222" fontId="79" fillId="0" borderId="5652" applyBorder="0"/>
    <xf numFmtId="0" fontId="113" fillId="0" borderId="5653" applyNumberFormat="0" applyFill="0" applyAlignment="0" applyProtection="0"/>
    <xf numFmtId="0" fontId="12" fillId="0" borderId="5653" applyNumberFormat="0" applyFill="0" applyBorder="0" applyAlignment="0" applyProtection="0">
      <alignment horizontal="center"/>
    </xf>
    <xf numFmtId="248" fontId="46" fillId="0" borderId="5653"/>
    <xf numFmtId="192" fontId="9" fillId="3" borderId="5653">
      <alignment horizontal="right" vertical="center"/>
    </xf>
    <xf numFmtId="180" fontId="9" fillId="3" borderId="5653">
      <alignment horizontal="right" vertical="center"/>
    </xf>
    <xf numFmtId="186" fontId="146" fillId="3" borderId="5653" applyBorder="0">
      <alignment horizontal="left" vertical="center"/>
    </xf>
    <xf numFmtId="0" fontId="166" fillId="0" borderId="5653">
      <alignment horizontal="center"/>
    </xf>
    <xf numFmtId="0" fontId="210" fillId="0" borderId="5653" applyNumberFormat="0" applyFill="0" applyBorder="0" applyAlignment="0">
      <protection locked="0"/>
    </xf>
    <xf numFmtId="264" fontId="12" fillId="14" borderId="5653" applyFont="0" applyFill="0" applyBorder="0" applyAlignment="0" applyProtection="0">
      <alignment horizontal="right"/>
    </xf>
    <xf numFmtId="246" fontId="249" fillId="0" borderId="5653" applyFill="0" applyProtection="0">
      <alignment horizontal="center"/>
    </xf>
    <xf numFmtId="246" fontId="250" fillId="0" borderId="5653" applyFill="0" applyProtection="0">
      <alignment horizontal="center"/>
    </xf>
    <xf numFmtId="246" fontId="250" fillId="0" borderId="5680" applyFill="0" applyProtection="0">
      <alignment horizontal="center"/>
    </xf>
    <xf numFmtId="246" fontId="249" fillId="0" borderId="5680" applyFill="0" applyProtection="0">
      <alignment horizontal="center"/>
    </xf>
    <xf numFmtId="254" fontId="240" fillId="0" borderId="5680" applyBorder="0" applyProtection="0">
      <alignment horizontal="right" vertical="center"/>
    </xf>
    <xf numFmtId="264" fontId="12" fillId="14" borderId="5680" applyFont="0" applyFill="0" applyBorder="0" applyAlignment="0" applyProtection="0">
      <alignment horizontal="right"/>
    </xf>
    <xf numFmtId="0" fontId="165" fillId="0" borderId="5680" applyFill="0" applyProtection="0">
      <alignment horizontal="center"/>
    </xf>
    <xf numFmtId="180" fontId="9" fillId="3" borderId="5680">
      <alignment horizontal="right" vertical="center"/>
    </xf>
    <xf numFmtId="0" fontId="12" fillId="0" borderId="5680" applyNumberFormat="0" applyFill="0" applyBorder="0" applyAlignment="0" applyProtection="0">
      <alignment horizontal="center"/>
    </xf>
    <xf numFmtId="0" fontId="101" fillId="0" borderId="5680" applyBorder="0"/>
    <xf numFmtId="222" fontId="79" fillId="0" borderId="5679" applyBorder="0"/>
    <xf numFmtId="0" fontId="75" fillId="0" borderId="5669" applyNumberFormat="0" applyFont="0" applyFill="0" applyAlignment="0" applyProtection="0"/>
    <xf numFmtId="0" fontId="2" fillId="0" borderId="5673" applyNumberFormat="0" applyAlignment="0" applyProtection="0"/>
    <xf numFmtId="0" fontId="25" fillId="10" borderId="5675" applyNumberFormat="0" applyProtection="0">
      <alignment horizontal="left" vertical="top"/>
    </xf>
    <xf numFmtId="0" fontId="25" fillId="10" borderId="5678" applyNumberFormat="0" applyProtection="0">
      <alignment horizontal="left" vertical="top"/>
    </xf>
    <xf numFmtId="222" fontId="79" fillId="0" borderId="5667" applyBorder="0"/>
    <xf numFmtId="0" fontId="25" fillId="10" borderId="5650" applyNumberFormat="0" applyProtection="0">
      <alignment horizontal="left" vertical="top"/>
    </xf>
    <xf numFmtId="10" fontId="12" fillId="3" borderId="5636" applyNumberFormat="0" applyFont="0" applyFill="0" applyBorder="0" applyAlignment="0">
      <protection locked="0"/>
    </xf>
    <xf numFmtId="0" fontId="25" fillId="10" borderId="5648" applyNumberFormat="0" applyProtection="0">
      <alignment horizontal="left" vertical="top"/>
    </xf>
    <xf numFmtId="0" fontId="214" fillId="0" borderId="5647" applyNumberFormat="0" applyFont="0" applyFill="0" applyAlignment="0" applyProtection="0"/>
    <xf numFmtId="186" fontId="146" fillId="3" borderId="5644">
      <alignment horizontal="left"/>
    </xf>
    <xf numFmtId="222" fontId="79" fillId="0" borderId="5652" applyBorder="0"/>
    <xf numFmtId="186" fontId="146" fillId="3" borderId="5813" applyBorder="0">
      <alignment horizontal="left" vertical="center"/>
    </xf>
    <xf numFmtId="10" fontId="12" fillId="3" borderId="5636" applyNumberFormat="0" applyFont="0" applyFill="0" applyBorder="0" applyAlignment="0">
      <protection locked="0"/>
    </xf>
    <xf numFmtId="0" fontId="101" fillId="0" borderId="5611" applyBorder="0"/>
    <xf numFmtId="0" fontId="113" fillId="0" borderId="5611" applyNumberFormat="0" applyFill="0" applyAlignment="0" applyProtection="0"/>
    <xf numFmtId="0" fontId="12" fillId="0" borderId="5611" applyNumberFormat="0" applyFill="0" applyBorder="0" applyAlignment="0" applyProtection="0">
      <alignment horizontal="center"/>
    </xf>
    <xf numFmtId="248" fontId="46" fillId="0" borderId="5611"/>
    <xf numFmtId="192" fontId="9" fillId="3" borderId="5611">
      <alignment horizontal="right" vertical="center"/>
    </xf>
    <xf numFmtId="180" fontId="9" fillId="3" borderId="5611">
      <alignment horizontal="right" vertical="center"/>
    </xf>
    <xf numFmtId="186" fontId="146" fillId="3" borderId="5611" applyBorder="0">
      <alignment horizontal="left" vertical="center"/>
    </xf>
    <xf numFmtId="0" fontId="165" fillId="0" borderId="5611" applyFill="0" applyProtection="0">
      <alignment horizontal="center"/>
    </xf>
    <xf numFmtId="0" fontId="166" fillId="0" borderId="5611">
      <alignment horizontal="center"/>
    </xf>
    <xf numFmtId="264" fontId="12" fillId="14" borderId="5611" applyFont="0" applyFill="0" applyBorder="0" applyAlignment="0" applyProtection="0">
      <alignment horizontal="right"/>
    </xf>
    <xf numFmtId="0" fontId="210" fillId="0" borderId="5611" applyNumberFormat="0" applyFill="0" applyBorder="0" applyAlignment="0">
      <protection locked="0"/>
    </xf>
    <xf numFmtId="248" fontId="46" fillId="0" borderId="5680"/>
    <xf numFmtId="222" fontId="79" fillId="0" borderId="5679" applyBorder="0"/>
    <xf numFmtId="186" fontId="140" fillId="3" borderId="5672">
      <alignment horizontal="center" vertical="center"/>
    </xf>
    <xf numFmtId="0" fontId="25" fillId="10" borderId="5677" applyNumberFormat="0" applyProtection="0">
      <alignment horizontal="left" vertical="top"/>
    </xf>
    <xf numFmtId="0" fontId="210" fillId="0" borderId="5680" applyNumberFormat="0" applyFill="0" applyBorder="0" applyAlignment="0">
      <protection locked="0"/>
    </xf>
    <xf numFmtId="192" fontId="9" fillId="3" borderId="5680">
      <alignment horizontal="right" vertical="center"/>
    </xf>
    <xf numFmtId="0" fontId="113" fillId="0" borderId="5680" applyNumberFormat="0" applyFill="0" applyAlignment="0" applyProtection="0"/>
    <xf numFmtId="186" fontId="146" fillId="3" borderId="5671">
      <alignment horizontal="left"/>
    </xf>
    <xf numFmtId="0" fontId="25" fillId="10" borderId="5676" applyNumberFormat="0" applyProtection="0">
      <alignment horizontal="left" vertical="top"/>
    </xf>
    <xf numFmtId="254" fontId="240" fillId="0" borderId="5611" applyBorder="0" applyProtection="0">
      <alignment horizontal="right" vertical="center"/>
    </xf>
    <xf numFmtId="0" fontId="241" fillId="94" borderId="5611" applyBorder="0" applyProtection="0">
      <alignment horizontal="centerContinuous" vertical="center"/>
    </xf>
    <xf numFmtId="246" fontId="249" fillId="0" borderId="5611" applyFill="0" applyProtection="0">
      <alignment horizontal="center"/>
    </xf>
    <xf numFmtId="246" fontId="250" fillId="0" borderId="5611" applyFill="0" applyProtection="0">
      <alignment horizontal="center"/>
    </xf>
    <xf numFmtId="0" fontId="25" fillId="10" borderId="5700" applyNumberFormat="0" applyProtection="0">
      <alignment horizontal="left" vertical="top"/>
    </xf>
    <xf numFmtId="10" fontId="12" fillId="3" borderId="5636" applyNumberFormat="0" applyFont="0" applyFill="0" applyBorder="0" applyAlignment="0">
      <protection locked="0"/>
    </xf>
    <xf numFmtId="0" fontId="25" fillId="10" borderId="5702" applyNumberFormat="0" applyProtection="0">
      <alignment horizontal="left" vertical="top"/>
    </xf>
    <xf numFmtId="222" fontId="79" fillId="0" borderId="5652" applyBorder="0"/>
    <xf numFmtId="0" fontId="214" fillId="0" borderId="5698" applyNumberFormat="0" applyFont="0" applyFill="0" applyAlignment="0" applyProtection="0"/>
    <xf numFmtId="0" fontId="75" fillId="0" borderId="5503" applyNumberFormat="0" applyFont="0" applyFill="0" applyAlignment="0" applyProtection="0"/>
    <xf numFmtId="0" fontId="25" fillId="10" borderId="5608" applyNumberFormat="0" applyProtection="0">
      <alignment horizontal="left" vertical="top"/>
    </xf>
    <xf numFmtId="0" fontId="25" fillId="10" borderId="5609" applyNumberFormat="0" applyProtection="0">
      <alignment horizontal="left" vertical="top"/>
    </xf>
    <xf numFmtId="0" fontId="165" fillId="0" borderId="5653" applyFill="0" applyProtection="0">
      <alignment horizontal="center"/>
    </xf>
    <xf numFmtId="254" fontId="240" fillId="0" borderId="5653" applyBorder="0" applyProtection="0">
      <alignment horizontal="right" vertical="center"/>
    </xf>
    <xf numFmtId="0" fontId="241" fillId="94" borderId="5653" applyBorder="0" applyProtection="0">
      <alignment horizontal="centerContinuous" vertical="center"/>
    </xf>
    <xf numFmtId="0" fontId="241" fillId="94" borderId="5680" applyBorder="0" applyProtection="0">
      <alignment horizontal="centerContinuous" vertical="center"/>
    </xf>
    <xf numFmtId="0" fontId="166" fillId="0" borderId="5680">
      <alignment horizontal="center"/>
    </xf>
    <xf numFmtId="186" fontId="146" fillId="3" borderId="5680" applyBorder="0">
      <alignment horizontal="left" vertical="center"/>
    </xf>
    <xf numFmtId="0" fontId="214" fillId="0" borderId="5674" applyNumberFormat="0" applyFont="0" applyFill="0" applyAlignment="0" applyProtection="0"/>
    <xf numFmtId="0" fontId="78" fillId="14" borderId="5670" applyFont="0" applyFill="0" applyBorder="0" applyAlignment="0" applyProtection="0"/>
    <xf numFmtId="0" fontId="78" fillId="14" borderId="5601" applyFont="0" applyFill="0" applyBorder="0" applyAlignment="0" applyProtection="0"/>
    <xf numFmtId="0" fontId="25" fillId="10" borderId="5609" applyNumberFormat="0" applyProtection="0">
      <alignment horizontal="left" vertical="top"/>
    </xf>
    <xf numFmtId="0" fontId="25" fillId="10" borderId="5608" applyNumberFormat="0" applyProtection="0">
      <alignment horizontal="left" vertical="top"/>
    </xf>
    <xf numFmtId="0" fontId="25" fillId="10" borderId="5607" applyNumberFormat="0" applyProtection="0">
      <alignment horizontal="left" vertical="top"/>
    </xf>
    <xf numFmtId="0" fontId="25" fillId="10" borderId="5606" applyNumberFormat="0" applyProtection="0">
      <alignment horizontal="left" vertical="top"/>
    </xf>
    <xf numFmtId="186" fontId="140" fillId="3" borderId="5696">
      <alignment horizontal="center" vertical="center"/>
    </xf>
    <xf numFmtId="0" fontId="214" fillId="0" borderId="5605" applyNumberFormat="0" applyFont="0" applyFill="0" applyAlignment="0" applyProtection="0"/>
    <xf numFmtId="186" fontId="140" fillId="3" borderId="5579">
      <alignment horizontal="center" vertical="center"/>
    </xf>
    <xf numFmtId="186" fontId="146" fillId="3" borderId="5505">
      <alignment horizontal="left"/>
    </xf>
    <xf numFmtId="186" fontId="146" fillId="3" borderId="5695">
      <alignment horizontal="left"/>
    </xf>
    <xf numFmtId="0" fontId="75" fillId="0" borderId="5503" applyNumberFormat="0" applyFont="0" applyFill="0" applyAlignment="0" applyProtection="0"/>
    <xf numFmtId="0" fontId="75" fillId="0" borderId="5693" applyNumberFormat="0" applyFont="0" applyFill="0" applyAlignment="0" applyProtection="0"/>
    <xf numFmtId="222" fontId="79" fillId="0" borderId="5637" applyBorder="0"/>
    <xf numFmtId="222" fontId="79" fillId="0" borderId="5637" applyBorder="0"/>
    <xf numFmtId="0" fontId="25" fillId="10" borderId="5699" applyNumberFormat="0" applyProtection="0">
      <alignment horizontal="left" vertical="top"/>
    </xf>
    <xf numFmtId="0" fontId="2" fillId="0" borderId="5697" applyNumberFormat="0" applyAlignment="0" applyProtection="0"/>
    <xf numFmtId="246" fontId="250" fillId="0" borderId="5653" applyFill="0" applyProtection="0">
      <alignment horizontal="center"/>
    </xf>
    <xf numFmtId="246" fontId="249" fillId="0" borderId="5653" applyFill="0" applyProtection="0">
      <alignment horizontal="center"/>
    </xf>
    <xf numFmtId="0" fontId="241" fillId="94" borderId="5653" applyBorder="0" applyProtection="0">
      <alignment horizontal="centerContinuous" vertical="center"/>
    </xf>
    <xf numFmtId="254" fontId="240" fillId="0" borderId="5653" applyBorder="0" applyProtection="0">
      <alignment horizontal="right" vertical="center"/>
    </xf>
    <xf numFmtId="0" fontId="210" fillId="0" borderId="5653" applyNumberFormat="0" applyFill="0" applyBorder="0" applyAlignment="0">
      <protection locked="0"/>
    </xf>
    <xf numFmtId="264" fontId="12" fillId="14" borderId="5653" applyFont="0" applyFill="0" applyBorder="0" applyAlignment="0" applyProtection="0">
      <alignment horizontal="right"/>
    </xf>
    <xf numFmtId="0" fontId="166" fillId="0" borderId="5653">
      <alignment horizontal="center"/>
    </xf>
    <xf numFmtId="0" fontId="165" fillId="0" borderId="5653" applyFill="0" applyProtection="0">
      <alignment horizontal="center"/>
    </xf>
    <xf numFmtId="186" fontId="146" fillId="3" borderId="5653" applyBorder="0">
      <alignment horizontal="left" vertical="center"/>
    </xf>
    <xf numFmtId="180" fontId="9" fillId="3" borderId="5653">
      <alignment horizontal="right" vertical="center"/>
    </xf>
    <xf numFmtId="192" fontId="9" fillId="3" borderId="5653">
      <alignment horizontal="right" vertical="center"/>
    </xf>
    <xf numFmtId="248" fontId="46" fillId="0" borderId="5653"/>
    <xf numFmtId="0" fontId="12" fillId="0" borderId="5653" applyNumberFormat="0" applyFill="0" applyBorder="0" applyAlignment="0" applyProtection="0">
      <alignment horizontal="center"/>
    </xf>
    <xf numFmtId="0" fontId="113" fillId="0" borderId="5653" applyNumberFormat="0" applyFill="0" applyAlignment="0" applyProtection="0"/>
    <xf numFmtId="222" fontId="79" fillId="0" borderId="5652" applyBorder="0"/>
    <xf numFmtId="0" fontId="101" fillId="0" borderId="5653" applyBorder="0"/>
    <xf numFmtId="222" fontId="79" fillId="0" borderId="5652" applyBorder="0"/>
    <xf numFmtId="0" fontId="75" fillId="0" borderId="5642" applyNumberFormat="0" applyFont="0" applyFill="0" applyAlignment="0" applyProtection="0"/>
    <xf numFmtId="186" fontId="146" fillId="3" borderId="5644">
      <alignment horizontal="left"/>
    </xf>
    <xf numFmtId="186" fontId="140" fillId="3" borderId="5645">
      <alignment horizontal="center" vertical="center"/>
    </xf>
    <xf numFmtId="0" fontId="2" fillId="0" borderId="5646" applyNumberFormat="0" applyAlignment="0" applyProtection="0"/>
    <xf numFmtId="0" fontId="214" fillId="0" borderId="5647" applyNumberFormat="0" applyFont="0" applyFill="0" applyAlignment="0" applyProtection="0"/>
    <xf numFmtId="0" fontId="25" fillId="10" borderId="5648" applyNumberFormat="0" applyProtection="0">
      <alignment horizontal="left" vertical="top"/>
    </xf>
    <xf numFmtId="0" fontId="25" fillId="10" borderId="5649" applyNumberFormat="0" applyProtection="0">
      <alignment horizontal="left" vertical="top"/>
    </xf>
    <xf numFmtId="0" fontId="25" fillId="10" borderId="5650" applyNumberFormat="0" applyProtection="0">
      <alignment horizontal="left" vertical="top"/>
    </xf>
    <xf numFmtId="0" fontId="25" fillId="10" borderId="5651" applyNumberFormat="0" applyProtection="0">
      <alignment horizontal="left" vertical="top"/>
    </xf>
    <xf numFmtId="0" fontId="78" fillId="14" borderId="5643" applyFont="0" applyFill="0" applyBorder="0" applyAlignment="0" applyProtection="0"/>
    <xf numFmtId="246" fontId="250" fillId="0" borderId="5885" applyFill="0" applyProtection="0">
      <alignment horizontal="center"/>
    </xf>
    <xf numFmtId="0" fontId="25" fillId="10" borderId="5895" applyNumberFormat="0" applyProtection="0">
      <alignment horizontal="left" vertical="top"/>
    </xf>
    <xf numFmtId="222" fontId="79" fillId="0" borderId="5637" applyBorder="0"/>
    <xf numFmtId="0" fontId="75" fillId="0" borderId="5886" applyNumberFormat="0" applyFont="0" applyFill="0" applyAlignment="0" applyProtection="0"/>
    <xf numFmtId="0" fontId="276" fillId="54" borderId="5654" applyNumberFormat="0" applyAlignment="0" applyProtection="0"/>
    <xf numFmtId="222" fontId="79" fillId="0" borderId="5872" applyBorder="0"/>
    <xf numFmtId="0" fontId="101" fillId="0" borderId="5837" applyBorder="0"/>
    <xf numFmtId="0" fontId="283" fillId="103" borderId="5654" applyNumberFormat="0" applyAlignment="0" applyProtection="0"/>
    <xf numFmtId="0" fontId="50" fillId="117" borderId="5625" applyNumberFormat="0" applyFont="0" applyAlignment="0" applyProtection="0"/>
    <xf numFmtId="0" fontId="78" fillId="14" borderId="5827" applyFont="0" applyFill="0" applyBorder="0" applyAlignment="0" applyProtection="0"/>
    <xf numFmtId="0" fontId="286" fillId="54" borderId="5655" applyNumberFormat="0" applyAlignment="0" applyProtection="0"/>
    <xf numFmtId="0" fontId="283" fillId="103" borderId="5654" applyNumberFormat="0" applyAlignment="0" applyProtection="0"/>
    <xf numFmtId="222" fontId="79" fillId="0" borderId="5824" applyBorder="0"/>
    <xf numFmtId="0" fontId="288" fillId="0" borderId="5656" applyNumberFormat="0" applyFill="0" applyAlignment="0" applyProtection="0"/>
    <xf numFmtId="0" fontId="276" fillId="54" borderId="5654" applyNumberFormat="0" applyAlignment="0" applyProtection="0"/>
    <xf numFmtId="0" fontId="2" fillId="0" borderId="5818" applyNumberFormat="0" applyAlignment="0" applyProtection="0"/>
    <xf numFmtId="0" fontId="214" fillId="0" borderId="5819" applyNumberFormat="0" applyFont="0" applyFill="0" applyAlignment="0" applyProtection="0"/>
    <xf numFmtId="0" fontId="78" fillId="14" borderId="5815" applyFont="0" applyFill="0" applyBorder="0" applyAlignment="0" applyProtection="0"/>
    <xf numFmtId="0" fontId="101" fillId="0" borderId="5885" applyBorder="0"/>
    <xf numFmtId="0" fontId="78" fillId="14" borderId="5601" applyFont="0" applyFill="0" applyBorder="0" applyAlignment="0" applyProtection="0"/>
    <xf numFmtId="222" fontId="79" fillId="0" borderId="5637" applyBorder="0"/>
    <xf numFmtId="186" fontId="146" fillId="3" borderId="5816">
      <alignment horizontal="left"/>
    </xf>
    <xf numFmtId="0" fontId="25" fillId="10" borderId="5893" applyNumberFormat="0" applyProtection="0">
      <alignment horizontal="left" vertical="top"/>
    </xf>
    <xf numFmtId="0" fontId="214" fillId="0" borderId="5891" applyNumberFormat="0" applyFont="0" applyFill="0" applyAlignment="0" applyProtection="0"/>
    <xf numFmtId="0" fontId="25" fillId="10" borderId="5835" applyNumberFormat="0" applyProtection="0">
      <alignment horizontal="left" vertical="top"/>
    </xf>
    <xf numFmtId="0" fontId="78" fillId="14" borderId="5601" applyFont="0" applyFill="0" applyBorder="0" applyAlignment="0" applyProtection="0"/>
    <xf numFmtId="0" fontId="25" fillId="10" borderId="5609" applyNumberFormat="0" applyProtection="0">
      <alignment horizontal="left" vertical="top"/>
    </xf>
    <xf numFmtId="0" fontId="25" fillId="10" borderId="5608" applyNumberFormat="0" applyProtection="0">
      <alignment horizontal="left" vertical="top"/>
    </xf>
    <xf numFmtId="0" fontId="25" fillId="10" borderId="5607" applyNumberFormat="0" applyProtection="0">
      <alignment horizontal="left" vertical="top"/>
    </xf>
    <xf numFmtId="0" fontId="25" fillId="10" borderId="5606" applyNumberFormat="0" applyProtection="0">
      <alignment horizontal="left" vertical="top"/>
    </xf>
    <xf numFmtId="0" fontId="166" fillId="0" borderId="5885">
      <alignment horizontal="center"/>
    </xf>
    <xf numFmtId="0" fontId="214" fillId="0" borderId="5605" applyNumberFormat="0" applyFont="0" applyFill="0" applyAlignment="0" applyProtection="0"/>
    <xf numFmtId="186" fontId="140" fillId="3" borderId="5579">
      <alignment horizontal="center" vertical="center"/>
    </xf>
    <xf numFmtId="186" fontId="146" fillId="3" borderId="5505">
      <alignment horizontal="left"/>
    </xf>
    <xf numFmtId="186" fontId="146" fillId="3" borderId="5888">
      <alignment horizontal="left"/>
    </xf>
    <xf numFmtId="0" fontId="75" fillId="0" borderId="5503" applyNumberFormat="0" applyFont="0" applyFill="0" applyAlignment="0" applyProtection="0"/>
    <xf numFmtId="192" fontId="9" fillId="3" borderId="5885">
      <alignment horizontal="right" vertical="center"/>
    </xf>
    <xf numFmtId="222" fontId="79" fillId="0" borderId="5637" applyBorder="0"/>
    <xf numFmtId="0" fontId="101" fillId="0" borderId="5640" applyBorder="0"/>
    <xf numFmtId="222" fontId="79" fillId="0" borderId="5637" applyBorder="0"/>
    <xf numFmtId="0" fontId="113" fillId="0" borderId="5640" applyNumberFormat="0" applyFill="0" applyAlignment="0" applyProtection="0"/>
    <xf numFmtId="0" fontId="12" fillId="0" borderId="5640" applyNumberFormat="0" applyFill="0" applyBorder="0" applyAlignment="0" applyProtection="0">
      <alignment horizontal="center"/>
    </xf>
    <xf numFmtId="248" fontId="46" fillId="0" borderId="5640"/>
    <xf numFmtId="192" fontId="9" fillId="3" borderId="5640">
      <alignment horizontal="right" vertical="center"/>
    </xf>
    <xf numFmtId="180" fontId="9" fillId="3" borderId="5640">
      <alignment horizontal="right" vertical="center"/>
    </xf>
    <xf numFmtId="186" fontId="146" fillId="3" borderId="5640" applyBorder="0">
      <alignment horizontal="left" vertical="center"/>
    </xf>
    <xf numFmtId="0" fontId="165" fillId="0" borderId="5640" applyFill="0" applyProtection="0">
      <alignment horizontal="center"/>
    </xf>
    <xf numFmtId="0" fontId="166" fillId="0" borderId="5640">
      <alignment horizontal="center"/>
    </xf>
    <xf numFmtId="264" fontId="12" fillId="14" borderId="5640" applyFont="0" applyFill="0" applyBorder="0" applyAlignment="0" applyProtection="0">
      <alignment horizontal="right"/>
    </xf>
    <xf numFmtId="0" fontId="210" fillId="0" borderId="5640" applyNumberFormat="0" applyFill="0" applyBorder="0" applyAlignment="0">
      <protection locked="0"/>
    </xf>
    <xf numFmtId="254" fontId="240" fillId="0" borderId="5640" applyBorder="0" applyProtection="0">
      <alignment horizontal="right" vertical="center"/>
    </xf>
    <xf numFmtId="0" fontId="241" fillId="94" borderId="5640" applyBorder="0" applyProtection="0">
      <alignment horizontal="centerContinuous" vertical="center"/>
    </xf>
    <xf numFmtId="246" fontId="249" fillId="0" borderId="5640" applyFill="0" applyProtection="0">
      <alignment horizontal="center"/>
    </xf>
    <xf numFmtId="246" fontId="250" fillId="0" borderId="5640" applyFill="0" applyProtection="0">
      <alignment horizontal="center"/>
    </xf>
    <xf numFmtId="0" fontId="25" fillId="10" borderId="5893" applyNumberFormat="0" applyProtection="0">
      <alignment horizontal="left" vertical="top"/>
    </xf>
    <xf numFmtId="0" fontId="286" fillId="54" borderId="5655" applyNumberFormat="0" applyAlignment="0" applyProtection="0"/>
    <xf numFmtId="0" fontId="75" fillId="0" borderId="5814" applyNumberFormat="0" applyFont="0" applyFill="0" applyAlignment="0" applyProtection="0"/>
    <xf numFmtId="0" fontId="210" fillId="0" borderId="5885" applyNumberFormat="0" applyFill="0" applyBorder="0" applyAlignment="0">
      <protection locked="0"/>
    </xf>
    <xf numFmtId="0" fontId="288" fillId="0" borderId="5656" applyNumberFormat="0" applyFill="0" applyAlignment="0" applyProtection="0"/>
    <xf numFmtId="0" fontId="25" fillId="10" borderId="5823" applyNumberFormat="0" applyProtection="0">
      <alignment horizontal="left" vertical="top"/>
    </xf>
    <xf numFmtId="0" fontId="25" fillId="10" borderId="5821" applyNumberFormat="0" applyProtection="0">
      <alignment horizontal="left" vertical="top"/>
    </xf>
    <xf numFmtId="0" fontId="25" fillId="10" borderId="5822" applyNumberFormat="0" applyProtection="0">
      <alignment horizontal="left" vertical="top"/>
    </xf>
    <xf numFmtId="0" fontId="25" fillId="10" borderId="5820" applyNumberFormat="0" applyProtection="0">
      <alignment horizontal="left" vertical="top"/>
    </xf>
    <xf numFmtId="186" fontId="140" fillId="3" borderId="5817">
      <alignment horizontal="center" vertical="center"/>
    </xf>
    <xf numFmtId="0" fontId="241" fillId="94" borderId="5704" applyBorder="0" applyProtection="0">
      <alignment horizontal="centerContinuous" vertical="center"/>
    </xf>
    <xf numFmtId="0" fontId="166" fillId="0" borderId="5704">
      <alignment horizontal="center"/>
    </xf>
    <xf numFmtId="0" fontId="214" fillId="0" borderId="5605" applyNumberFormat="0" applyFont="0" applyFill="0" applyAlignment="0" applyProtection="0"/>
    <xf numFmtId="246" fontId="250" fillId="0" borderId="5640" applyFill="0" applyProtection="0">
      <alignment horizontal="center"/>
    </xf>
    <xf numFmtId="246" fontId="249" fillId="0" borderId="5640" applyFill="0" applyProtection="0">
      <alignment horizontal="center"/>
    </xf>
    <xf numFmtId="0" fontId="241" fillId="94" borderId="5640" applyBorder="0" applyProtection="0">
      <alignment horizontal="centerContinuous" vertical="center"/>
    </xf>
    <xf numFmtId="254" fontId="240" fillId="0" borderId="5640" applyBorder="0" applyProtection="0">
      <alignment horizontal="right" vertical="center"/>
    </xf>
    <xf numFmtId="0" fontId="210" fillId="0" borderId="5640" applyNumberFormat="0" applyFill="0" applyBorder="0" applyAlignment="0">
      <protection locked="0"/>
    </xf>
    <xf numFmtId="264" fontId="12" fillId="14" borderId="5640" applyFont="0" applyFill="0" applyBorder="0" applyAlignment="0" applyProtection="0">
      <alignment horizontal="right"/>
    </xf>
    <xf numFmtId="0" fontId="166" fillId="0" borderId="5640">
      <alignment horizontal="center"/>
    </xf>
    <xf numFmtId="0" fontId="165" fillId="0" borderId="5640" applyFill="0" applyProtection="0">
      <alignment horizontal="center"/>
    </xf>
    <xf numFmtId="186" fontId="146" fillId="3" borderId="5640" applyBorder="0">
      <alignment horizontal="left" vertical="center"/>
    </xf>
    <xf numFmtId="180" fontId="9" fillId="3" borderId="5640">
      <alignment horizontal="right" vertical="center"/>
    </xf>
    <xf numFmtId="192" fontId="9" fillId="3" borderId="5640">
      <alignment horizontal="right" vertical="center"/>
    </xf>
    <xf numFmtId="248" fontId="46" fillId="0" borderId="5640"/>
    <xf numFmtId="0" fontId="12" fillId="0" borderId="5640" applyNumberFormat="0" applyFill="0" applyBorder="0" applyAlignment="0" applyProtection="0">
      <alignment horizontal="center"/>
    </xf>
    <xf numFmtId="0" fontId="113" fillId="0" borderId="5640" applyNumberFormat="0" applyFill="0" applyAlignment="0" applyProtection="0"/>
    <xf numFmtId="222" fontId="79" fillId="0" borderId="5637" applyBorder="0"/>
    <xf numFmtId="0" fontId="101" fillId="0" borderId="5640" applyBorder="0"/>
    <xf numFmtId="222" fontId="79" fillId="0" borderId="5637" applyBorder="0"/>
    <xf numFmtId="0" fontId="75" fillId="0" borderId="5503" applyNumberFormat="0" applyFont="0" applyFill="0" applyAlignment="0" applyProtection="0"/>
    <xf numFmtId="186" fontId="146" fillId="3" borderId="5505">
      <alignment horizontal="left"/>
    </xf>
    <xf numFmtId="186" fontId="140" fillId="3" borderId="5579">
      <alignment horizontal="center" vertical="center"/>
    </xf>
    <xf numFmtId="0" fontId="214" fillId="0" borderId="5605" applyNumberFormat="0" applyFont="0" applyFill="0" applyAlignment="0" applyProtection="0"/>
    <xf numFmtId="0" fontId="25" fillId="10" borderId="5606" applyNumberFormat="0" applyProtection="0">
      <alignment horizontal="left" vertical="top"/>
    </xf>
    <xf numFmtId="0" fontId="25" fillId="10" borderId="5607" applyNumberFormat="0" applyProtection="0">
      <alignment horizontal="left" vertical="top"/>
    </xf>
    <xf numFmtId="0" fontId="25" fillId="10" borderId="5608" applyNumberFormat="0" applyProtection="0">
      <alignment horizontal="left" vertical="top"/>
    </xf>
    <xf numFmtId="0" fontId="25" fillId="10" borderId="5609" applyNumberFormat="0" applyProtection="0">
      <alignment horizontal="left" vertical="top"/>
    </xf>
    <xf numFmtId="0" fontId="78" fillId="14" borderId="5613" applyFont="0" applyFill="0" applyBorder="0" applyAlignment="0" applyProtection="0"/>
    <xf numFmtId="222" fontId="79" fillId="0" borderId="5652" applyBorder="0"/>
    <xf numFmtId="0" fontId="78" fillId="14" borderId="5643" applyFont="0" applyFill="0" applyBorder="0" applyAlignment="0" applyProtection="0"/>
    <xf numFmtId="186" fontId="146" fillId="3" borderId="5505">
      <alignment horizontal="left"/>
    </xf>
    <xf numFmtId="0" fontId="78" fillId="14" borderId="5643" applyFont="0" applyFill="0" applyBorder="0" applyAlignment="0" applyProtection="0"/>
    <xf numFmtId="222" fontId="79" fillId="0" borderId="5652" applyBorder="0"/>
    <xf numFmtId="0" fontId="2" fillId="0" borderId="5646" applyNumberFormat="0" applyAlignment="0" applyProtection="0"/>
    <xf numFmtId="0" fontId="78" fillId="14" borderId="5643" applyFont="0" applyFill="0" applyBorder="0" applyAlignment="0" applyProtection="0"/>
    <xf numFmtId="0" fontId="25" fillId="10" borderId="5651" applyNumberFormat="0" applyProtection="0">
      <alignment horizontal="left" vertical="top"/>
    </xf>
    <xf numFmtId="0" fontId="25" fillId="10" borderId="5650" applyNumberFormat="0" applyProtection="0">
      <alignment horizontal="left" vertical="top"/>
    </xf>
    <xf numFmtId="0" fontId="25" fillId="10" borderId="5649" applyNumberFormat="0" applyProtection="0">
      <alignment horizontal="left" vertical="top"/>
    </xf>
    <xf numFmtId="0" fontId="25" fillId="10" borderId="5648" applyNumberFormat="0" applyProtection="0">
      <alignment horizontal="left" vertical="top"/>
    </xf>
    <xf numFmtId="0" fontId="25" fillId="10" borderId="5649" applyNumberFormat="0" applyProtection="0">
      <alignment horizontal="left" vertical="top"/>
    </xf>
    <xf numFmtId="0" fontId="214" fillId="0" borderId="5647" applyNumberFormat="0" applyFont="0" applyFill="0" applyAlignment="0" applyProtection="0"/>
    <xf numFmtId="0" fontId="2" fillId="0" borderId="5646" applyNumberFormat="0" applyAlignment="0" applyProtection="0"/>
    <xf numFmtId="186" fontId="140" fillId="3" borderId="5645">
      <alignment horizontal="center" vertical="center"/>
    </xf>
    <xf numFmtId="186" fontId="146" fillId="3" borderId="5644">
      <alignment horizontal="left"/>
    </xf>
    <xf numFmtId="0" fontId="25" fillId="10" borderId="5651" applyNumberFormat="0" applyProtection="0">
      <alignment horizontal="left" vertical="top"/>
    </xf>
    <xf numFmtId="0" fontId="75" fillId="0" borderId="5642" applyNumberFormat="0" applyFont="0" applyFill="0" applyAlignment="0" applyProtection="0"/>
    <xf numFmtId="222" fontId="79" fillId="0" borderId="5652" applyBorder="0"/>
    <xf numFmtId="0" fontId="101" fillId="0" borderId="5653" applyBorder="0"/>
    <xf numFmtId="222" fontId="79" fillId="0" borderId="5652" applyBorder="0"/>
    <xf numFmtId="0" fontId="113" fillId="0" borderId="5653" applyNumberFormat="0" applyFill="0" applyAlignment="0" applyProtection="0"/>
    <xf numFmtId="0" fontId="12" fillId="0" borderId="5653" applyNumberFormat="0" applyFill="0" applyBorder="0" applyAlignment="0" applyProtection="0">
      <alignment horizontal="center"/>
    </xf>
    <xf numFmtId="248" fontId="46" fillId="0" borderId="5653"/>
    <xf numFmtId="192" fontId="9" fillId="3" borderId="5653">
      <alignment horizontal="right" vertical="center"/>
    </xf>
    <xf numFmtId="180" fontId="9" fillId="3" borderId="5653">
      <alignment horizontal="right" vertical="center"/>
    </xf>
    <xf numFmtId="186" fontId="146" fillId="3" borderId="5653" applyBorder="0">
      <alignment horizontal="left" vertical="center"/>
    </xf>
    <xf numFmtId="0" fontId="165" fillId="0" borderId="5653" applyFill="0" applyProtection="0">
      <alignment horizontal="center"/>
    </xf>
    <xf numFmtId="0" fontId="166" fillId="0" borderId="5653">
      <alignment horizontal="center"/>
    </xf>
    <xf numFmtId="264" fontId="12" fillId="14" borderId="5653" applyFont="0" applyFill="0" applyBorder="0" applyAlignment="0" applyProtection="0">
      <alignment horizontal="right"/>
    </xf>
    <xf numFmtId="0" fontId="210" fillId="0" borderId="5653" applyNumberFormat="0" applyFill="0" applyBorder="0" applyAlignment="0">
      <protection locked="0"/>
    </xf>
    <xf numFmtId="254" fontId="240" fillId="0" borderId="5653" applyBorder="0" applyProtection="0">
      <alignment horizontal="right" vertical="center"/>
    </xf>
    <xf numFmtId="0" fontId="241" fillId="94" borderId="5653" applyBorder="0" applyProtection="0">
      <alignment horizontal="centerContinuous" vertical="center"/>
    </xf>
    <xf numFmtId="246" fontId="249" fillId="0" borderId="5653" applyFill="0" applyProtection="0">
      <alignment horizontal="center"/>
    </xf>
    <xf numFmtId="246" fontId="250" fillId="0" borderId="5653" applyFill="0" applyProtection="0">
      <alignment horizontal="center"/>
    </xf>
    <xf numFmtId="186" fontId="140" fillId="3" borderId="5645">
      <alignment horizontal="center" vertical="center"/>
    </xf>
    <xf numFmtId="0" fontId="78" fillId="14" borderId="5613" applyFont="0" applyFill="0" applyBorder="0" applyAlignment="0" applyProtection="0"/>
    <xf numFmtId="222" fontId="79" fillId="0" borderId="5652" applyBorder="0"/>
    <xf numFmtId="0" fontId="78" fillId="14" borderId="5658" applyFont="0" applyFill="0" applyBorder="0" applyAlignment="0" applyProtection="0"/>
    <xf numFmtId="0" fontId="25" fillId="10" borderId="5666" applyNumberFormat="0" applyProtection="0">
      <alignment horizontal="left" vertical="top"/>
    </xf>
    <xf numFmtId="0" fontId="25" fillId="10" borderId="5665" applyNumberFormat="0" applyProtection="0">
      <alignment horizontal="left" vertical="top"/>
    </xf>
    <xf numFmtId="0" fontId="25" fillId="10" borderId="5664" applyNumberFormat="0" applyProtection="0">
      <alignment horizontal="left" vertical="top"/>
    </xf>
    <xf numFmtId="0" fontId="25" fillId="10" borderId="5663" applyNumberFormat="0" applyProtection="0">
      <alignment horizontal="left" vertical="top"/>
    </xf>
    <xf numFmtId="0" fontId="214" fillId="0" borderId="5662" applyNumberFormat="0" applyFont="0" applyFill="0" applyAlignment="0" applyProtection="0"/>
    <xf numFmtId="0" fontId="2" fillId="0" borderId="5661" applyNumberFormat="0" applyAlignment="0" applyProtection="0"/>
    <xf numFmtId="186" fontId="140" fillId="3" borderId="5660">
      <alignment horizontal="center" vertical="center"/>
    </xf>
    <xf numFmtId="186" fontId="146" fillId="3" borderId="5659">
      <alignment horizontal="left"/>
    </xf>
    <xf numFmtId="0" fontId="75" fillId="0" borderId="5657" applyNumberFormat="0" applyFont="0" applyFill="0" applyAlignment="0" applyProtection="0"/>
    <xf numFmtId="222" fontId="79" fillId="0" borderId="5667" applyBorder="0"/>
    <xf numFmtId="0" fontId="101" fillId="0" borderId="5668" applyBorder="0"/>
    <xf numFmtId="222" fontId="79" fillId="0" borderId="5667" applyBorder="0"/>
    <xf numFmtId="0" fontId="113" fillId="0" borderId="5668" applyNumberFormat="0" applyFill="0" applyAlignment="0" applyProtection="0"/>
    <xf numFmtId="0" fontId="12" fillId="0" borderId="5668" applyNumberFormat="0" applyFill="0" applyBorder="0" applyAlignment="0" applyProtection="0">
      <alignment horizontal="center"/>
    </xf>
    <xf numFmtId="248" fontId="46" fillId="0" borderId="5668"/>
    <xf numFmtId="192" fontId="9" fillId="3" borderId="5668">
      <alignment horizontal="right" vertical="center"/>
    </xf>
    <xf numFmtId="180" fontId="9" fillId="3" borderId="5668">
      <alignment horizontal="right" vertical="center"/>
    </xf>
    <xf numFmtId="186" fontId="146" fillId="3" borderId="5668" applyBorder="0">
      <alignment horizontal="left" vertical="center"/>
    </xf>
    <xf numFmtId="0" fontId="165" fillId="0" borderId="5668" applyFill="0" applyProtection="0">
      <alignment horizontal="center"/>
    </xf>
    <xf numFmtId="0" fontId="166" fillId="0" borderId="5668">
      <alignment horizontal="center"/>
    </xf>
    <xf numFmtId="264" fontId="12" fillId="14" borderId="5668" applyFont="0" applyFill="0" applyBorder="0" applyAlignment="0" applyProtection="0">
      <alignment horizontal="right"/>
    </xf>
    <xf numFmtId="0" fontId="210" fillId="0" borderId="5668" applyNumberFormat="0" applyFill="0" applyBorder="0" applyAlignment="0">
      <protection locked="0"/>
    </xf>
    <xf numFmtId="254" fontId="240" fillId="0" borderId="5668" applyBorder="0" applyProtection="0">
      <alignment horizontal="right" vertical="center"/>
    </xf>
    <xf numFmtId="0" fontId="241" fillId="94" borderId="5668" applyBorder="0" applyProtection="0">
      <alignment horizontal="centerContinuous" vertical="center"/>
    </xf>
    <xf numFmtId="246" fontId="249" fillId="0" borderId="5668" applyFill="0" applyProtection="0">
      <alignment horizontal="center"/>
    </xf>
    <xf numFmtId="246" fontId="250" fillId="0" borderId="5668" applyFill="0" applyProtection="0">
      <alignment horizontal="center"/>
    </xf>
    <xf numFmtId="222" fontId="79" fillId="0" borderId="5679" applyBorder="0"/>
    <xf numFmtId="0" fontId="78" fillId="14" borderId="5682" applyFont="0" applyFill="0" applyBorder="0" applyAlignment="0" applyProtection="0"/>
    <xf numFmtId="0" fontId="25" fillId="10" borderId="5690" applyNumberFormat="0" applyProtection="0">
      <alignment horizontal="left" vertical="top"/>
    </xf>
    <xf numFmtId="0" fontId="25" fillId="10" borderId="5689" applyNumberFormat="0" applyProtection="0">
      <alignment horizontal="left" vertical="top"/>
    </xf>
    <xf numFmtId="0" fontId="25" fillId="10" borderId="5688" applyNumberFormat="0" applyProtection="0">
      <alignment horizontal="left" vertical="top"/>
    </xf>
    <xf numFmtId="0" fontId="25" fillId="10" borderId="5687" applyNumberFormat="0" applyProtection="0">
      <alignment horizontal="left" vertical="top"/>
    </xf>
    <xf numFmtId="0" fontId="214" fillId="0" borderId="5686" applyNumberFormat="0" applyFont="0" applyFill="0" applyAlignment="0" applyProtection="0"/>
    <xf numFmtId="0" fontId="2" fillId="0" borderId="5685" applyNumberFormat="0" applyAlignment="0" applyProtection="0"/>
    <xf numFmtId="186" fontId="140" fillId="3" borderId="5684">
      <alignment horizontal="center" vertical="center"/>
    </xf>
    <xf numFmtId="186" fontId="146" fillId="3" borderId="5683">
      <alignment horizontal="left"/>
    </xf>
    <xf numFmtId="0" fontId="75" fillId="0" borderId="5681" applyNumberFormat="0" applyFont="0" applyFill="0" applyAlignment="0" applyProtection="0"/>
    <xf numFmtId="222" fontId="79" fillId="0" borderId="5691" applyBorder="0"/>
    <xf numFmtId="0" fontId="101" fillId="0" borderId="5692" applyBorder="0"/>
    <xf numFmtId="222" fontId="79" fillId="0" borderId="5691" applyBorder="0"/>
    <xf numFmtId="0" fontId="113" fillId="0" borderId="5692" applyNumberFormat="0" applyFill="0" applyAlignment="0" applyProtection="0"/>
    <xf numFmtId="0" fontId="12" fillId="0" borderId="5692" applyNumberFormat="0" applyFill="0" applyBorder="0" applyAlignment="0" applyProtection="0">
      <alignment horizontal="center"/>
    </xf>
    <xf numFmtId="248" fontId="46" fillId="0" borderId="5692"/>
    <xf numFmtId="192" fontId="9" fillId="3" borderId="5692">
      <alignment horizontal="right" vertical="center"/>
    </xf>
    <xf numFmtId="180" fontId="9" fillId="3" borderId="5692">
      <alignment horizontal="right" vertical="center"/>
    </xf>
    <xf numFmtId="186" fontId="146" fillId="3" borderId="5692" applyBorder="0">
      <alignment horizontal="left" vertical="center"/>
    </xf>
    <xf numFmtId="0" fontId="165" fillId="0" borderId="5692" applyFill="0" applyProtection="0">
      <alignment horizontal="center"/>
    </xf>
    <xf numFmtId="0" fontId="166" fillId="0" borderId="5692">
      <alignment horizontal="center"/>
    </xf>
    <xf numFmtId="264" fontId="12" fillId="14" borderId="5692" applyFont="0" applyFill="0" applyBorder="0" applyAlignment="0" applyProtection="0">
      <alignment horizontal="right"/>
    </xf>
    <xf numFmtId="0" fontId="210" fillId="0" borderId="5692" applyNumberFormat="0" applyFill="0" applyBorder="0" applyAlignment="0">
      <protection locked="0"/>
    </xf>
    <xf numFmtId="254" fontId="240" fillId="0" borderId="5692" applyBorder="0" applyProtection="0">
      <alignment horizontal="right" vertical="center"/>
    </xf>
    <xf numFmtId="0" fontId="241" fillId="94" borderId="5692" applyBorder="0" applyProtection="0">
      <alignment horizontal="centerContinuous" vertical="center"/>
    </xf>
    <xf numFmtId="246" fontId="249" fillId="0" borderId="5692" applyFill="0" applyProtection="0">
      <alignment horizontal="center"/>
    </xf>
    <xf numFmtId="246" fontId="250" fillId="0" borderId="5692" applyFill="0" applyProtection="0">
      <alignment horizontal="center"/>
    </xf>
    <xf numFmtId="0" fontId="113" fillId="0" borderId="5825" applyNumberFormat="0" applyFill="0" applyAlignment="0" applyProtection="0"/>
    <xf numFmtId="0" fontId="75" fillId="0" borderId="5705" applyNumberFormat="0" applyFont="0" applyFill="0" applyAlignment="0" applyProtection="0"/>
    <xf numFmtId="0" fontId="78" fillId="14" borderId="5706" applyFont="0" applyFill="0" applyBorder="0" applyAlignment="0" applyProtection="0"/>
    <xf numFmtId="186" fontId="146" fillId="3" borderId="5707">
      <alignment horizontal="left"/>
    </xf>
    <xf numFmtId="186" fontId="140" fillId="3" borderId="5708">
      <alignment horizontal="center" vertical="center"/>
    </xf>
    <xf numFmtId="0" fontId="2" fillId="0" borderId="5709" applyNumberFormat="0" applyAlignment="0" applyProtection="0"/>
    <xf numFmtId="0" fontId="214" fillId="0" borderId="5710" applyNumberFormat="0" applyFont="0" applyFill="0" applyAlignment="0" applyProtection="0"/>
    <xf numFmtId="0" fontId="25" fillId="10" borderId="5711" applyNumberFormat="0" applyProtection="0">
      <alignment horizontal="left" vertical="top"/>
    </xf>
    <xf numFmtId="0" fontId="25" fillId="10" borderId="5712" applyNumberFormat="0" applyProtection="0">
      <alignment horizontal="left" vertical="top"/>
    </xf>
    <xf numFmtId="0" fontId="25" fillId="10" borderId="5713" applyNumberFormat="0" applyProtection="0">
      <alignment horizontal="left" vertical="top"/>
    </xf>
    <xf numFmtId="0" fontId="25" fillId="10" borderId="5714" applyNumberFormat="0" applyProtection="0">
      <alignment horizontal="left" vertical="top"/>
    </xf>
    <xf numFmtId="10" fontId="12" fillId="3" borderId="5636" applyNumberFormat="0" applyFont="0" applyFill="0" applyBorder="0" applyAlignment="0">
      <protection locked="0"/>
    </xf>
    <xf numFmtId="0" fontId="12" fillId="0" borderId="5825" applyNumberFormat="0" applyFill="0" applyBorder="0" applyAlignment="0" applyProtection="0">
      <alignment horizontal="center"/>
    </xf>
    <xf numFmtId="10" fontId="12" fillId="3" borderId="5636" applyNumberFormat="0" applyFont="0" applyFill="0" applyBorder="0" applyAlignment="0">
      <protection locked="0"/>
    </xf>
    <xf numFmtId="0" fontId="101" fillId="0" borderId="5825" applyBorder="0"/>
    <xf numFmtId="248" fontId="46" fillId="0" borderId="5825"/>
    <xf numFmtId="1" fontId="154" fillId="65" borderId="5715" applyNumberFormat="0" applyBorder="0" applyAlignment="0">
      <alignment horizontal="centerContinuous" vertical="center"/>
      <protection locked="0"/>
    </xf>
    <xf numFmtId="0" fontId="12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10" fontId="12" fillId="3" borderId="5636" applyNumberFormat="0" applyFont="0" applyFill="0" applyBorder="0" applyAlignment="0">
      <protection locked="0"/>
    </xf>
    <xf numFmtId="246" fontId="250" fillId="0" borderId="5704" applyFill="0" applyProtection="0">
      <alignment horizontal="center"/>
    </xf>
    <xf numFmtId="246" fontId="249" fillId="0" borderId="5704" applyFill="0" applyProtection="0">
      <alignment horizontal="center"/>
    </xf>
    <xf numFmtId="0" fontId="241" fillId="94" borderId="5704" applyBorder="0" applyProtection="0">
      <alignment horizontal="centerContinuous" vertical="center"/>
    </xf>
    <xf numFmtId="254" fontId="240" fillId="0" borderId="5704" applyBorder="0" applyProtection="0">
      <alignment horizontal="right" vertical="center"/>
    </xf>
    <xf numFmtId="0" fontId="12" fillId="0" borderId="5623" applyNumberFormat="0" applyFill="0" applyBorder="0" applyAlignment="0" applyProtection="0"/>
    <xf numFmtId="0" fontId="25" fillId="10" borderId="5635" applyNumberFormat="0" applyProtection="0">
      <alignment horizontal="left" vertical="top"/>
    </xf>
    <xf numFmtId="0" fontId="25" fillId="10" borderId="5634" applyNumberFormat="0" applyProtection="0">
      <alignment horizontal="left" vertical="top"/>
    </xf>
    <xf numFmtId="0" fontId="25" fillId="10" borderId="5633" applyNumberFormat="0" applyProtection="0">
      <alignment horizontal="left" vertical="top"/>
    </xf>
    <xf numFmtId="0" fontId="25" fillId="10" borderId="5632" applyNumberFormat="0" applyProtection="0">
      <alignment horizontal="left" vertical="top"/>
    </xf>
    <xf numFmtId="0" fontId="25" fillId="10" borderId="5631" applyNumberFormat="0" applyProtection="0">
      <alignment horizontal="left" vertical="top"/>
    </xf>
    <xf numFmtId="0" fontId="25" fillId="10" borderId="5630" applyNumberFormat="0" applyProtection="0">
      <alignment horizontal="left" vertical="top"/>
    </xf>
    <xf numFmtId="0" fontId="25" fillId="10" borderId="5629" applyNumberFormat="0" applyProtection="0">
      <alignment horizontal="left"/>
    </xf>
    <xf numFmtId="0" fontId="12" fillId="10" borderId="5624" applyNumberFormat="0" applyFont="0" applyProtection="0"/>
    <xf numFmtId="0" fontId="12" fillId="10" borderId="5624" applyNumberFormat="0" applyFont="0" applyAlignment="0" applyProtection="0"/>
    <xf numFmtId="0" fontId="12" fillId="3" borderId="5624" applyNumberFormat="0" applyFont="0" applyAlignment="0" applyProtection="0"/>
    <xf numFmtId="293" fontId="234" fillId="10" borderId="5624" applyFont="0" applyProtection="0"/>
    <xf numFmtId="169" fontId="234" fillId="10" borderId="5624" applyFont="0" applyProtection="0"/>
    <xf numFmtId="293" fontId="234" fillId="10" borderId="5624" applyFont="0" applyProtection="0"/>
    <xf numFmtId="293" fontId="234" fillId="3" borderId="5624" applyFont="0" applyProtection="0"/>
    <xf numFmtId="169" fontId="234" fillId="3" borderId="5624" applyFont="0" applyProtection="0"/>
    <xf numFmtId="0" fontId="25" fillId="10" borderId="5624" applyNumberFormat="0" applyProtection="0">
      <alignment horizontal="center" vertical="top"/>
    </xf>
    <xf numFmtId="0" fontId="25" fillId="10" borderId="5624" applyNumberFormat="0" applyProtection="0">
      <alignment horizontal="center" vertical="top"/>
    </xf>
    <xf numFmtId="0" fontId="210" fillId="0" borderId="5704" applyNumberFormat="0" applyFill="0" applyBorder="0" applyAlignment="0">
      <protection locked="0"/>
    </xf>
    <xf numFmtId="188" fontId="25" fillId="0" borderId="5639" applyFont="0" applyFill="0" applyBorder="0" applyAlignment="0" applyProtection="0">
      <alignment horizontal="center"/>
    </xf>
    <xf numFmtId="264" fontId="12" fillId="14" borderId="5704" applyFont="0" applyFill="0" applyBorder="0" applyAlignment="0" applyProtection="0">
      <alignment horizontal="right"/>
    </xf>
    <xf numFmtId="0" fontId="25" fillId="69" borderId="5624">
      <alignment horizontal="left" vertical="center" wrapText="1"/>
    </xf>
    <xf numFmtId="0" fontId="166" fillId="0" borderId="5704">
      <alignment horizontal="center"/>
    </xf>
    <xf numFmtId="0" fontId="165" fillId="0" borderId="5704" applyFill="0" applyProtection="0">
      <alignment horizontal="center"/>
    </xf>
    <xf numFmtId="0" fontId="159" fillId="67" borderId="5624"/>
    <xf numFmtId="0" fontId="159" fillId="0" borderId="5624"/>
    <xf numFmtId="0" fontId="135" fillId="0" borderId="5624"/>
    <xf numFmtId="0" fontId="135" fillId="0" borderId="5624"/>
    <xf numFmtId="186" fontId="48" fillId="3" borderId="5622">
      <alignment vertical="center"/>
    </xf>
    <xf numFmtId="186" fontId="146" fillId="3" borderId="5704" applyBorder="0">
      <alignment horizontal="left" vertical="center"/>
    </xf>
    <xf numFmtId="180" fontId="9" fillId="3" borderId="5704">
      <alignment horizontal="right" vertical="center"/>
    </xf>
    <xf numFmtId="192" fontId="9" fillId="3" borderId="5704">
      <alignment horizontal="right" vertical="center"/>
    </xf>
    <xf numFmtId="182" fontId="145" fillId="3" borderId="5622">
      <alignment horizontal="right" vertical="center"/>
    </xf>
    <xf numFmtId="0" fontId="48" fillId="0" borderId="5622" applyFont="0" applyFill="0" applyBorder="0" applyAlignment="0" applyProtection="0">
      <alignment horizontal="center"/>
    </xf>
    <xf numFmtId="0" fontId="74" fillId="0" borderId="5622" applyFont="0" applyFill="0" applyBorder="0" applyAlignment="0" applyProtection="0">
      <alignment horizontal="center"/>
    </xf>
    <xf numFmtId="0" fontId="12" fillId="0" borderId="5704" applyNumberFormat="0" applyFill="0" applyBorder="0" applyAlignment="0" applyProtection="0">
      <alignment horizontal="center"/>
    </xf>
    <xf numFmtId="5" fontId="114" fillId="0" borderId="5622" applyAlignment="0" applyProtection="0"/>
    <xf numFmtId="0" fontId="113" fillId="0" borderId="5704" applyNumberFormat="0" applyFill="0" applyAlignment="0" applyProtection="0"/>
    <xf numFmtId="0" fontId="48" fillId="0" borderId="5623" applyNumberFormat="0" applyFill="0" applyAlignment="0" applyProtection="0"/>
    <xf numFmtId="0" fontId="105" fillId="0" borderId="5623" applyNumberFormat="0" applyFill="0" applyBorder="0" applyAlignment="0" applyProtection="0"/>
    <xf numFmtId="0" fontId="46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222" fontId="79" fillId="0" borderId="5703" applyBorder="0"/>
    <xf numFmtId="0" fontId="101" fillId="0" borderId="5704" applyBorder="0"/>
    <xf numFmtId="10" fontId="12" fillId="3" borderId="5636" applyNumberFormat="0" applyFont="0" applyFill="0" applyBorder="0" applyAlignment="0">
      <protection locked="0"/>
    </xf>
    <xf numFmtId="192" fontId="9" fillId="3" borderId="5825">
      <alignment horizontal="right" vertical="center"/>
    </xf>
    <xf numFmtId="248" fontId="46" fillId="0" borderId="5704"/>
    <xf numFmtId="180" fontId="9" fillId="3" borderId="5825">
      <alignment horizontal="right" vertical="center"/>
    </xf>
    <xf numFmtId="10" fontId="12" fillId="3" borderId="5636" applyNumberFormat="0" applyFont="0" applyFill="0" applyBorder="0" applyAlignment="0">
      <protection locked="0"/>
    </xf>
    <xf numFmtId="0" fontId="166" fillId="0" borderId="5813">
      <alignment horizontal="center"/>
    </xf>
    <xf numFmtId="186" fontId="146" fillId="3" borderId="5825" applyBorder="0">
      <alignment horizontal="left" vertical="center"/>
    </xf>
    <xf numFmtId="10" fontId="12" fillId="3" borderId="5636" applyNumberFormat="0" applyFont="0" applyFill="0" applyBorder="0" applyAlignment="0">
      <protection locked="0"/>
    </xf>
    <xf numFmtId="254" fontId="240" fillId="0" borderId="5813" applyBorder="0" applyProtection="0">
      <alignment horizontal="right" vertical="center"/>
    </xf>
    <xf numFmtId="10" fontId="12" fillId="3" borderId="5636" applyNumberFormat="0" applyFont="0" applyFill="0" applyBorder="0" applyAlignment="0">
      <protection locked="0"/>
    </xf>
    <xf numFmtId="0" fontId="101" fillId="0" borderId="5704" applyBorder="0"/>
    <xf numFmtId="222" fontId="79" fillId="0" borderId="5703" applyBorder="0"/>
    <xf numFmtId="0" fontId="113" fillId="0" borderId="5704" applyNumberFormat="0" applyFill="0" applyAlignment="0" applyProtection="0"/>
    <xf numFmtId="0" fontId="75" fillId="0" borderId="5705" applyNumberFormat="0" applyFont="0" applyFill="0" applyAlignment="0" applyProtection="0"/>
    <xf numFmtId="0" fontId="12" fillId="0" borderId="5704" applyNumberFormat="0" applyFill="0" applyBorder="0" applyAlignment="0" applyProtection="0">
      <alignment horizontal="center"/>
    </xf>
    <xf numFmtId="248" fontId="46" fillId="0" borderId="5704"/>
    <xf numFmtId="192" fontId="9" fillId="3" borderId="5704">
      <alignment horizontal="right" vertical="center"/>
    </xf>
    <xf numFmtId="180" fontId="9" fillId="3" borderId="5704">
      <alignment horizontal="right" vertical="center"/>
    </xf>
    <xf numFmtId="186" fontId="146" fillId="3" borderId="5704" applyBorder="0">
      <alignment horizontal="left" vertical="center"/>
    </xf>
    <xf numFmtId="186" fontId="146" fillId="3" borderId="5707">
      <alignment horizontal="left"/>
    </xf>
    <xf numFmtId="186" fontId="140" fillId="3" borderId="5708">
      <alignment horizontal="center" vertical="center"/>
    </xf>
    <xf numFmtId="0" fontId="165" fillId="0" borderId="5704" applyFill="0" applyProtection="0">
      <alignment horizontal="center"/>
    </xf>
    <xf numFmtId="0" fontId="166" fillId="0" borderId="5704">
      <alignment horizontal="center"/>
    </xf>
    <xf numFmtId="264" fontId="12" fillId="14" borderId="5704" applyFont="0" applyFill="0" applyBorder="0" applyAlignment="0" applyProtection="0">
      <alignment horizontal="right"/>
    </xf>
    <xf numFmtId="0" fontId="210" fillId="0" borderId="5704" applyNumberFormat="0" applyFill="0" applyBorder="0" applyAlignment="0">
      <protection locked="0"/>
    </xf>
    <xf numFmtId="0" fontId="2" fillId="0" borderId="5709" applyNumberFormat="0" applyAlignment="0" applyProtection="0"/>
    <xf numFmtId="0" fontId="214" fillId="0" borderId="5710" applyNumberFormat="0" applyFont="0" applyFill="0" applyAlignment="0" applyProtection="0"/>
    <xf numFmtId="0" fontId="25" fillId="10" borderId="5711" applyNumberFormat="0" applyProtection="0">
      <alignment horizontal="left" vertical="top"/>
    </xf>
    <xf numFmtId="0" fontId="25" fillId="10" borderId="5712" applyNumberFormat="0" applyProtection="0">
      <alignment horizontal="left" vertical="top"/>
    </xf>
    <xf numFmtId="0" fontId="25" fillId="10" borderId="5713" applyNumberFormat="0" applyProtection="0">
      <alignment horizontal="left" vertical="top"/>
    </xf>
    <xf numFmtId="0" fontId="25" fillId="10" borderId="5714" applyNumberFormat="0" applyProtection="0">
      <alignment horizontal="left" vertical="top"/>
    </xf>
    <xf numFmtId="0" fontId="25" fillId="10" borderId="5711" applyNumberFormat="0" applyProtection="0">
      <alignment horizontal="left" vertical="top"/>
    </xf>
    <xf numFmtId="0" fontId="25" fillId="10" borderId="5712" applyNumberFormat="0" applyProtection="0">
      <alignment horizontal="left" vertical="top"/>
    </xf>
    <xf numFmtId="0" fontId="25" fillId="10" borderId="5713" applyNumberFormat="0" applyProtection="0">
      <alignment horizontal="left" vertical="top"/>
    </xf>
    <xf numFmtId="0" fontId="25" fillId="10" borderId="5714" applyNumberFormat="0" applyProtection="0">
      <alignment horizontal="left" vertical="top"/>
    </xf>
    <xf numFmtId="254" fontId="240" fillId="0" borderId="5704" applyBorder="0" applyProtection="0">
      <alignment horizontal="right" vertical="center"/>
    </xf>
    <xf numFmtId="0" fontId="241" fillId="94" borderId="5704" applyBorder="0" applyProtection="0">
      <alignment horizontal="centerContinuous" vertical="center"/>
    </xf>
    <xf numFmtId="246" fontId="249" fillId="0" borderId="5704" applyFill="0" applyProtection="0">
      <alignment horizontal="center"/>
    </xf>
    <xf numFmtId="246" fontId="250" fillId="0" borderId="5704" applyFill="0" applyProtection="0">
      <alignment horizontal="center"/>
    </xf>
    <xf numFmtId="0" fontId="165" fillId="0" borderId="5825" applyFill="0" applyProtection="0">
      <alignment horizontal="center"/>
    </xf>
    <xf numFmtId="10" fontId="12" fillId="3" borderId="5636" applyNumberFormat="0" applyFont="0" applyFill="0" applyBorder="0" applyAlignment="0">
      <protection locked="0"/>
    </xf>
    <xf numFmtId="0" fontId="166" fillId="0" borderId="5825">
      <alignment horizontal="center"/>
    </xf>
    <xf numFmtId="0" fontId="241" fillId="94" borderId="5885" applyBorder="0" applyProtection="0">
      <alignment horizontal="centerContinuous" vertical="center"/>
    </xf>
    <xf numFmtId="190" fontId="101" fillId="0" borderId="5704" applyBorder="0"/>
    <xf numFmtId="186" fontId="146" fillId="3" borderId="5885" applyBorder="0">
      <alignment horizontal="left" vertical="center"/>
    </xf>
    <xf numFmtId="192" fontId="9" fillId="3" borderId="5885">
      <alignment horizontal="right" vertical="center"/>
    </xf>
    <xf numFmtId="190" fontId="12" fillId="0" borderId="5623" applyNumberFormat="0" applyFill="0" applyBorder="0" applyAlignment="0" applyProtection="0"/>
    <xf numFmtId="190" fontId="46" fillId="0" borderId="5623" applyNumberFormat="0" applyFill="0" applyBorder="0" applyAlignment="0" applyProtection="0"/>
    <xf numFmtId="190" fontId="105" fillId="0" borderId="5623" applyNumberFormat="0" applyFill="0" applyBorder="0" applyAlignment="0" applyProtection="0"/>
    <xf numFmtId="190" fontId="48" fillId="0" borderId="5623" applyNumberFormat="0" applyFill="0" applyAlignment="0" applyProtection="0"/>
    <xf numFmtId="0" fontId="210" fillId="0" borderId="5885" applyNumberFormat="0" applyFill="0" applyBorder="0" applyAlignment="0">
      <protection locked="0"/>
    </xf>
    <xf numFmtId="246" fontId="249" fillId="0" borderId="5885" applyFill="0" applyProtection="0">
      <alignment horizontal="center"/>
    </xf>
    <xf numFmtId="190" fontId="113" fillId="0" borderId="5704" applyNumberFormat="0" applyFill="0" applyAlignment="0" applyProtection="0"/>
    <xf numFmtId="190" fontId="75" fillId="0" borderId="5681" applyNumberFormat="0" applyFont="0" applyFill="0" applyAlignment="0" applyProtection="0"/>
    <xf numFmtId="0" fontId="214" fillId="0" borderId="5891" applyNumberFormat="0" applyFont="0" applyFill="0" applyAlignment="0" applyProtection="0"/>
    <xf numFmtId="186" fontId="146" fillId="3" borderId="5888">
      <alignment horizontal="left"/>
    </xf>
    <xf numFmtId="0" fontId="241" fillId="94" borderId="5873" applyBorder="0" applyProtection="0">
      <alignment horizontal="centerContinuous" vertical="center"/>
    </xf>
    <xf numFmtId="0" fontId="166" fillId="0" borderId="5873">
      <alignment horizontal="center"/>
    </xf>
    <xf numFmtId="248" fontId="46" fillId="0" borderId="5873"/>
    <xf numFmtId="0" fontId="214" fillId="0" borderId="5867" applyNumberFormat="0" applyFont="0" applyFill="0" applyAlignment="0" applyProtection="0"/>
    <xf numFmtId="186" fontId="140" fillId="3" borderId="5865">
      <alignment horizontal="center" vertical="center"/>
    </xf>
    <xf numFmtId="190" fontId="12" fillId="0" borderId="5704" applyNumberFormat="0" applyFill="0" applyBorder="0" applyAlignment="0" applyProtection="0">
      <alignment horizontal="center"/>
    </xf>
    <xf numFmtId="0" fontId="78" fillId="14" borderId="5863" applyFont="0" applyFill="0" applyBorder="0" applyAlignment="0" applyProtection="0"/>
    <xf numFmtId="264" fontId="12" fillId="14" borderId="5849" applyFont="0" applyFill="0" applyBorder="0" applyAlignment="0" applyProtection="0">
      <alignment horizontal="right"/>
    </xf>
    <xf numFmtId="186" fontId="146" fillId="3" borderId="5849" applyBorder="0">
      <alignment horizontal="left" vertical="center"/>
    </xf>
    <xf numFmtId="248" fontId="46" fillId="0" borderId="5849"/>
    <xf numFmtId="222" fontId="79" fillId="0" borderId="5848" applyBorder="0"/>
    <xf numFmtId="0" fontId="75" fillId="0" borderId="5838" applyNumberFormat="0" applyFont="0" applyFill="0" applyAlignment="0" applyProtection="0"/>
    <xf numFmtId="0" fontId="2" fillId="0" borderId="5842" applyNumberFormat="0" applyAlignment="0" applyProtection="0"/>
    <xf numFmtId="0" fontId="25" fillId="10" borderId="5845" applyNumberFormat="0" applyProtection="0">
      <alignment horizontal="left" vertical="top"/>
    </xf>
    <xf numFmtId="0" fontId="78" fillId="14" borderId="5839" applyFont="0" applyFill="0" applyBorder="0" applyAlignment="0" applyProtection="0"/>
    <xf numFmtId="246" fontId="250" fillId="0" borderId="5825" applyFill="0" applyProtection="0">
      <alignment horizontal="center"/>
    </xf>
    <xf numFmtId="0" fontId="113" fillId="0" borderId="5813" applyNumberFormat="0" applyFill="0" applyAlignment="0" applyProtection="0"/>
    <xf numFmtId="0" fontId="25" fillId="10" borderId="5821" applyNumberFormat="0" applyProtection="0">
      <alignment horizontal="left" vertical="top"/>
    </xf>
    <xf numFmtId="0" fontId="2" fillId="0" borderId="5818" applyNumberFormat="0" applyAlignment="0" applyProtection="0"/>
    <xf numFmtId="190" fontId="78" fillId="14" borderId="5694" applyFont="0" applyFill="0" applyBorder="0" applyAlignment="0" applyProtection="0"/>
    <xf numFmtId="0" fontId="113" fillId="0" borderId="5825" applyNumberFormat="0" applyFill="0" applyAlignment="0" applyProtection="0"/>
    <xf numFmtId="246" fontId="249" fillId="0" borderId="5825" applyFill="0" applyProtection="0">
      <alignment horizontal="center"/>
    </xf>
    <xf numFmtId="190" fontId="74" fillId="0" borderId="5622" applyFont="0" applyFill="0" applyBorder="0" applyAlignment="0" applyProtection="0">
      <alignment horizontal="center"/>
    </xf>
    <xf numFmtId="190" fontId="48" fillId="0" borderId="5622" applyFont="0" applyFill="0" applyBorder="0" applyAlignment="0" applyProtection="0">
      <alignment horizontal="center"/>
    </xf>
    <xf numFmtId="0" fontId="25" fillId="10" borderId="5649" applyNumberFormat="0" applyProtection="0">
      <alignment horizontal="left" vertical="top"/>
    </xf>
    <xf numFmtId="186" fontId="140" fillId="3" borderId="5853">
      <alignment horizontal="center" vertical="center"/>
    </xf>
    <xf numFmtId="190" fontId="135" fillId="0" borderId="5624"/>
    <xf numFmtId="190" fontId="135" fillId="0" borderId="5624"/>
    <xf numFmtId="0" fontId="2" fillId="0" borderId="5854" applyNumberFormat="0" applyAlignment="0" applyProtection="0"/>
    <xf numFmtId="0" fontId="101" fillId="0" borderId="5861" applyBorder="0"/>
    <xf numFmtId="0" fontId="165" fillId="0" borderId="5861" applyFill="0" applyProtection="0">
      <alignment horizontal="center"/>
    </xf>
    <xf numFmtId="246" fontId="250" fillId="0" borderId="5837" applyFill="0" applyProtection="0">
      <alignment horizontal="center"/>
    </xf>
    <xf numFmtId="0" fontId="210" fillId="0" borderId="5837" applyNumberFormat="0" applyFill="0" applyBorder="0" applyAlignment="0">
      <protection locked="0"/>
    </xf>
    <xf numFmtId="246" fontId="250" fillId="0" borderId="5885" applyFill="0" applyProtection="0">
      <alignment horizontal="center"/>
    </xf>
    <xf numFmtId="186" fontId="146" fillId="3" borderId="5885" applyBorder="0">
      <alignment horizontal="left" vertical="center"/>
    </xf>
    <xf numFmtId="0" fontId="101" fillId="0" borderId="5885" applyBorder="0"/>
    <xf numFmtId="222" fontId="79" fillId="0" borderId="5872" applyBorder="0"/>
    <xf numFmtId="0" fontId="12" fillId="0" borderId="5885" applyNumberFormat="0" applyFill="0" applyBorder="0" applyAlignment="0" applyProtection="0">
      <alignment horizontal="center"/>
    </xf>
    <xf numFmtId="0" fontId="214" fillId="0" borderId="5819" applyNumberFormat="0" applyFont="0" applyFill="0" applyAlignment="0" applyProtection="0"/>
    <xf numFmtId="0" fontId="25" fillId="10" borderId="5822" applyNumberFormat="0" applyProtection="0">
      <alignment horizontal="left" vertical="top"/>
    </xf>
    <xf numFmtId="0" fontId="25" fillId="10" borderId="5822" applyNumberFormat="0" applyProtection="0">
      <alignment horizontal="left" vertical="top"/>
    </xf>
    <xf numFmtId="246" fontId="249" fillId="0" borderId="5885" applyFill="0" applyProtection="0">
      <alignment horizontal="center"/>
    </xf>
    <xf numFmtId="0" fontId="113" fillId="0" borderId="5885" applyNumberFormat="0" applyFill="0" applyAlignment="0" applyProtection="0"/>
    <xf numFmtId="190" fontId="159" fillId="0" borderId="5624"/>
    <xf numFmtId="190" fontId="159" fillId="67" borderId="5624"/>
    <xf numFmtId="190" fontId="165" fillId="0" borderId="5704" applyFill="0" applyProtection="0">
      <alignment horizontal="center"/>
    </xf>
    <xf numFmtId="190" fontId="166" fillId="0" borderId="5704">
      <alignment horizontal="center"/>
    </xf>
    <xf numFmtId="246" fontId="249" fillId="0" borderId="5813" applyFill="0" applyProtection="0">
      <alignment horizontal="center"/>
    </xf>
    <xf numFmtId="0" fontId="166" fillId="0" borderId="5813">
      <alignment horizontal="center"/>
    </xf>
    <xf numFmtId="0" fontId="12" fillId="0" borderId="5813" applyNumberFormat="0" applyFill="0" applyBorder="0" applyAlignment="0" applyProtection="0">
      <alignment horizontal="center"/>
    </xf>
    <xf numFmtId="0" fontId="101" fillId="0" borderId="5813" applyBorder="0"/>
    <xf numFmtId="190" fontId="25" fillId="69" borderId="5624">
      <alignment horizontal="left" vertical="center" wrapText="1"/>
    </xf>
    <xf numFmtId="0" fontId="25" fillId="10" borderId="6877" applyNumberFormat="0" applyProtection="0">
      <alignment horizontal="left" vertical="top"/>
    </xf>
    <xf numFmtId="190" fontId="184" fillId="0" borderId="5625" applyAlignment="0">
      <alignment horizontal="left" wrapText="1"/>
    </xf>
    <xf numFmtId="264" fontId="12" fillId="14" borderId="6665" applyFont="0" applyFill="0" applyBorder="0" applyAlignment="0" applyProtection="0">
      <alignment horizontal="right"/>
    </xf>
    <xf numFmtId="190" fontId="210" fillId="0" borderId="5704" applyNumberFormat="0" applyFill="0" applyBorder="0" applyAlignment="0">
      <protection locked="0"/>
    </xf>
    <xf numFmtId="190" fontId="2" fillId="0" borderId="5685" applyNumberFormat="0" applyAlignment="0" applyProtection="0"/>
    <xf numFmtId="190" fontId="214" fillId="0" borderId="5686" applyNumberFormat="0" applyFont="0" applyFill="0" applyAlignment="0" applyProtection="0"/>
    <xf numFmtId="190" fontId="225" fillId="53" borderId="5626" applyNumberFormat="0" applyProtection="0">
      <alignment horizontal="left" vertical="top" indent="1"/>
    </xf>
    <xf numFmtId="190" fontId="12" fillId="75" borderId="5626" applyNumberFormat="0" applyProtection="0">
      <alignment horizontal="left" vertical="center" indent="1"/>
    </xf>
    <xf numFmtId="190" fontId="12" fillId="75" borderId="5626" applyNumberFormat="0" applyProtection="0">
      <alignment horizontal="left" vertical="top" indent="1"/>
    </xf>
    <xf numFmtId="190" fontId="12" fillId="84" borderId="5626" applyNumberFormat="0" applyProtection="0">
      <alignment horizontal="left" vertical="center" indent="1"/>
    </xf>
    <xf numFmtId="190" fontId="12" fillId="84" borderId="5626" applyNumberFormat="0" applyProtection="0">
      <alignment horizontal="left" vertical="top" indent="1"/>
    </xf>
    <xf numFmtId="190" fontId="12" fillId="52" borderId="5626" applyNumberFormat="0" applyProtection="0">
      <alignment horizontal="left" vertical="center" indent="1"/>
    </xf>
    <xf numFmtId="190" fontId="12" fillId="52" borderId="5626" applyNumberFormat="0" applyProtection="0">
      <alignment horizontal="left" vertical="top" indent="1"/>
    </xf>
    <xf numFmtId="190" fontId="12" fillId="11" borderId="5626" applyNumberFormat="0" applyProtection="0">
      <alignment horizontal="left" vertical="center" indent="1"/>
    </xf>
    <xf numFmtId="190" fontId="12" fillId="11" borderId="5626" applyNumberFormat="0" applyProtection="0">
      <alignment horizontal="left" vertical="top" indent="1"/>
    </xf>
    <xf numFmtId="190" fontId="136" fillId="14" borderId="5626" applyNumberFormat="0" applyProtection="0">
      <alignment horizontal="left" vertical="top" indent="1"/>
    </xf>
    <xf numFmtId="190" fontId="136" fillId="84" borderId="5626" applyNumberFormat="0" applyProtection="0">
      <alignment horizontal="left" vertical="top" indent="1"/>
    </xf>
    <xf numFmtId="190" fontId="25" fillId="10" borderId="5624" applyNumberFormat="0" applyProtection="0">
      <alignment horizontal="center" vertical="top"/>
    </xf>
    <xf numFmtId="190" fontId="25" fillId="10" borderId="5624" applyNumberFormat="0" applyProtection="0">
      <alignment horizontal="center" vertical="top"/>
    </xf>
    <xf numFmtId="190" fontId="12" fillId="3" borderId="5624" applyNumberFormat="0" applyFont="0" applyAlignment="0" applyProtection="0"/>
    <xf numFmtId="190" fontId="12" fillId="10" borderId="5624" applyNumberFormat="0" applyFont="0" applyAlignment="0" applyProtection="0"/>
    <xf numFmtId="190" fontId="12" fillId="10" borderId="5624" applyNumberFormat="0" applyFont="0" applyProtection="0"/>
    <xf numFmtId="190" fontId="25" fillId="10" borderId="5629" applyNumberFormat="0" applyProtection="0">
      <alignment horizontal="left"/>
    </xf>
    <xf numFmtId="190" fontId="25" fillId="10" borderId="5630" applyNumberFormat="0" applyProtection="0">
      <alignment horizontal="left" vertical="top"/>
    </xf>
    <xf numFmtId="190" fontId="25" fillId="10" borderId="5631" applyNumberFormat="0" applyProtection="0">
      <alignment horizontal="left" vertical="top"/>
    </xf>
    <xf numFmtId="190" fontId="25" fillId="10" borderId="5687" applyNumberFormat="0" applyProtection="0">
      <alignment horizontal="left" vertical="top"/>
    </xf>
    <xf numFmtId="190" fontId="25" fillId="10" borderId="5688" applyNumberFormat="0" applyProtection="0">
      <alignment horizontal="left" vertical="top"/>
    </xf>
    <xf numFmtId="190" fontId="25" fillId="10" borderId="5632" applyNumberFormat="0" applyProtection="0">
      <alignment horizontal="left" vertical="top"/>
    </xf>
    <xf numFmtId="190" fontId="25" fillId="10" borderId="5689" applyNumberFormat="0" applyProtection="0">
      <alignment horizontal="left" vertical="top"/>
    </xf>
    <xf numFmtId="190" fontId="25" fillId="10" borderId="5633" applyNumberFormat="0" applyProtection="0">
      <alignment horizontal="left" vertical="top"/>
    </xf>
    <xf numFmtId="190" fontId="25" fillId="10" borderId="5690" applyNumberFormat="0" applyProtection="0">
      <alignment horizontal="left" vertical="top"/>
    </xf>
    <xf numFmtId="190" fontId="25" fillId="10" borderId="5634" applyNumberFormat="0" applyProtection="0">
      <alignment horizontal="left" vertical="top"/>
    </xf>
    <xf numFmtId="190" fontId="25" fillId="10" borderId="5635" applyNumberFormat="0" applyProtection="0">
      <alignment horizontal="left" vertical="top"/>
    </xf>
    <xf numFmtId="190" fontId="12" fillId="0" borderId="5623" applyNumberFormat="0" applyFill="0" applyBorder="0" applyAlignment="0" applyProtection="0"/>
    <xf numFmtId="190" fontId="241" fillId="94" borderId="5704" applyBorder="0" applyProtection="0">
      <alignment horizontal="centerContinuous" vertical="center"/>
    </xf>
    <xf numFmtId="10" fontId="12" fillId="3" borderId="5636" applyNumberFormat="0" applyFont="0" applyFill="0" applyBorder="0" applyAlignment="0">
      <protection locked="0"/>
    </xf>
    <xf numFmtId="190" fontId="12" fillId="0" borderId="5623" applyNumberFormat="0" applyFill="0" applyBorder="0" applyAlignment="0" applyProtection="0"/>
    <xf numFmtId="190" fontId="12" fillId="0" borderId="5623" applyNumberFormat="0" applyFill="0" applyBorder="0" applyAlignment="0" applyProtection="0"/>
    <xf numFmtId="190" fontId="12" fillId="0" borderId="5623" applyNumberFormat="0" applyFill="0" applyBorder="0" applyAlignment="0" applyProtection="0"/>
    <xf numFmtId="264" fontId="12" fillId="14" borderId="6821" applyFont="0" applyFill="0" applyBorder="0" applyAlignment="0" applyProtection="0">
      <alignment horizontal="right"/>
    </xf>
    <xf numFmtId="0" fontId="165" fillId="0" borderId="5813" applyFill="0" applyProtection="0">
      <alignment horizontal="center"/>
    </xf>
    <xf numFmtId="0" fontId="25" fillId="10" borderId="6830" applyNumberFormat="0" applyProtection="0">
      <alignment horizontal="left" vertical="top"/>
    </xf>
    <xf numFmtId="222" fontId="79" fillId="0" borderId="5703" applyBorder="0"/>
    <xf numFmtId="10" fontId="12" fillId="3" borderId="5636" applyNumberFormat="0" applyFont="0" applyFill="0" applyBorder="0" applyAlignment="0">
      <protection locked="0"/>
    </xf>
    <xf numFmtId="0" fontId="101" fillId="0" borderId="5704" applyBorder="0"/>
    <xf numFmtId="222" fontId="79" fillId="0" borderId="5703" applyBorder="0"/>
    <xf numFmtId="0" fontId="113" fillId="0" borderId="5704" applyNumberFormat="0" applyFill="0" applyAlignment="0" applyProtection="0"/>
    <xf numFmtId="0" fontId="75" fillId="0" borderId="5681" applyNumberFormat="0" applyFont="0" applyFill="0" applyAlignment="0" applyProtection="0"/>
    <xf numFmtId="0" fontId="12" fillId="0" borderId="5704" applyNumberFormat="0" applyFill="0" applyBorder="0" applyAlignment="0" applyProtection="0">
      <alignment horizontal="center"/>
    </xf>
    <xf numFmtId="248" fontId="46" fillId="0" borderId="5704"/>
    <xf numFmtId="192" fontId="9" fillId="3" borderId="5704">
      <alignment horizontal="right" vertical="center"/>
    </xf>
    <xf numFmtId="180" fontId="9" fillId="3" borderId="5704">
      <alignment horizontal="right" vertical="center"/>
    </xf>
    <xf numFmtId="186" fontId="146" fillId="3" borderId="5704" applyBorder="0">
      <alignment horizontal="left" vertical="center"/>
    </xf>
    <xf numFmtId="186" fontId="146" fillId="3" borderId="5683">
      <alignment horizontal="left"/>
    </xf>
    <xf numFmtId="186" fontId="140" fillId="3" borderId="5684">
      <alignment horizontal="center" vertical="center"/>
    </xf>
    <xf numFmtId="0" fontId="165" fillId="0" borderId="5704" applyFill="0" applyProtection="0">
      <alignment horizontal="center"/>
    </xf>
    <xf numFmtId="0" fontId="166" fillId="0" borderId="5704">
      <alignment horizontal="center"/>
    </xf>
    <xf numFmtId="264" fontId="12" fillId="14" borderId="5704" applyFont="0" applyFill="0" applyBorder="0" applyAlignment="0" applyProtection="0">
      <alignment horizontal="right"/>
    </xf>
    <xf numFmtId="0" fontId="210" fillId="0" borderId="5704" applyNumberFormat="0" applyFill="0" applyBorder="0" applyAlignment="0">
      <protection locked="0"/>
    </xf>
    <xf numFmtId="0" fontId="2" fillId="0" borderId="5685" applyNumberFormat="0" applyAlignment="0" applyProtection="0"/>
    <xf numFmtId="0" fontId="214" fillId="0" borderId="5686" applyNumberFormat="0" applyFont="0" applyFill="0" applyAlignment="0" applyProtection="0"/>
    <xf numFmtId="0" fontId="25" fillId="10" borderId="5687" applyNumberFormat="0" applyProtection="0">
      <alignment horizontal="left" vertical="top"/>
    </xf>
    <xf numFmtId="0" fontId="25" fillId="10" borderId="5688" applyNumberFormat="0" applyProtection="0">
      <alignment horizontal="left" vertical="top"/>
    </xf>
    <xf numFmtId="0" fontId="25" fillId="10" borderId="5689" applyNumberFormat="0" applyProtection="0">
      <alignment horizontal="left" vertical="top"/>
    </xf>
    <xf numFmtId="0" fontId="25" fillId="10" borderId="5690" applyNumberFormat="0" applyProtection="0">
      <alignment horizontal="left" vertical="top"/>
    </xf>
    <xf numFmtId="0" fontId="25" fillId="10" borderId="5687" applyNumberFormat="0" applyProtection="0">
      <alignment horizontal="left" vertical="top"/>
    </xf>
    <xf numFmtId="0" fontId="25" fillId="10" borderId="5688" applyNumberFormat="0" applyProtection="0">
      <alignment horizontal="left" vertical="top"/>
    </xf>
    <xf numFmtId="0" fontId="25" fillId="10" borderId="5689" applyNumberFormat="0" applyProtection="0">
      <alignment horizontal="left" vertical="top"/>
    </xf>
    <xf numFmtId="0" fontId="25" fillId="10" borderId="5690" applyNumberFormat="0" applyProtection="0">
      <alignment horizontal="left" vertical="top"/>
    </xf>
    <xf numFmtId="254" fontId="240" fillId="0" borderId="5704" applyBorder="0" applyProtection="0">
      <alignment horizontal="right" vertical="center"/>
    </xf>
    <xf numFmtId="0" fontId="241" fillId="94" borderId="5704" applyBorder="0" applyProtection="0">
      <alignment horizontal="centerContinuous" vertical="center"/>
    </xf>
    <xf numFmtId="246" fontId="249" fillId="0" borderId="5704" applyFill="0" applyProtection="0">
      <alignment horizontal="center"/>
    </xf>
    <xf numFmtId="246" fontId="250" fillId="0" borderId="5704" applyFill="0" applyProtection="0">
      <alignment horizontal="center"/>
    </xf>
    <xf numFmtId="264" fontId="12" fillId="14" borderId="5825" applyFont="0" applyFill="0" applyBorder="0" applyAlignment="0" applyProtection="0">
      <alignment horizontal="right"/>
    </xf>
    <xf numFmtId="0" fontId="241" fillId="94" borderId="5704" applyBorder="0" applyProtection="0">
      <alignment horizontal="centerContinuous" vertical="center"/>
    </xf>
    <xf numFmtId="0" fontId="210" fillId="0" borderId="5825" applyNumberFormat="0" applyFill="0" applyBorder="0" applyAlignment="0">
      <protection locked="0"/>
    </xf>
    <xf numFmtId="10" fontId="12" fillId="3" borderId="5636" applyNumberFormat="0" applyFont="0" applyFill="0" applyBorder="0" applyAlignment="0">
      <protection locked="0"/>
    </xf>
    <xf numFmtId="0" fontId="166" fillId="0" borderId="5885">
      <alignment horizontal="center"/>
    </xf>
    <xf numFmtId="10" fontId="12" fillId="3" borderId="5636" applyNumberFormat="0" applyFont="0" applyFill="0" applyBorder="0" applyAlignment="0">
      <protection locked="0"/>
    </xf>
    <xf numFmtId="190" fontId="214" fillId="0" borderId="5867" applyNumberFormat="0" applyFont="0" applyFill="0" applyAlignment="0" applyProtection="0"/>
    <xf numFmtId="180" fontId="9" fillId="3" borderId="6821">
      <alignment horizontal="right" vertical="center"/>
    </xf>
    <xf numFmtId="190" fontId="78" fillId="14" borderId="5875" applyFont="0" applyFill="0" applyBorder="0" applyAlignment="0" applyProtection="0"/>
    <xf numFmtId="190" fontId="101" fillId="0" borderId="5885" applyBorder="0"/>
    <xf numFmtId="254" fontId="240" fillId="0" borderId="5885" applyBorder="0" applyProtection="0">
      <alignment horizontal="right" vertical="center"/>
    </xf>
    <xf numFmtId="312" fontId="101" fillId="0" borderId="5704" applyBorder="0"/>
    <xf numFmtId="0" fontId="113" fillId="0" borderId="5885" applyNumberFormat="0" applyFill="0" applyAlignment="0" applyProtection="0"/>
    <xf numFmtId="180" fontId="9" fillId="3" borderId="5885">
      <alignment horizontal="right" vertical="center"/>
    </xf>
    <xf numFmtId="312" fontId="12" fillId="0" borderId="5623" applyNumberFormat="0" applyFill="0" applyBorder="0" applyAlignment="0" applyProtection="0"/>
    <xf numFmtId="312" fontId="46" fillId="0" borderId="5623" applyNumberFormat="0" applyFill="0" applyBorder="0" applyAlignment="0" applyProtection="0"/>
    <xf numFmtId="312" fontId="105" fillId="0" borderId="5623" applyNumberFormat="0" applyFill="0" applyBorder="0" applyAlignment="0" applyProtection="0"/>
    <xf numFmtId="312" fontId="48" fillId="0" borderId="5623" applyNumberFormat="0" applyFill="0" applyAlignment="0" applyProtection="0"/>
    <xf numFmtId="0" fontId="165" fillId="0" borderId="5885" applyFill="0" applyProtection="0">
      <alignment horizontal="center"/>
    </xf>
    <xf numFmtId="246" fontId="250" fillId="0" borderId="5885" applyFill="0" applyProtection="0">
      <alignment horizontal="center"/>
    </xf>
    <xf numFmtId="312" fontId="113" fillId="0" borderId="5704" applyNumberFormat="0" applyFill="0" applyAlignment="0" applyProtection="0"/>
    <xf numFmtId="312" fontId="75" fillId="0" borderId="5681" applyNumberFormat="0" applyFont="0" applyFill="0" applyAlignment="0" applyProtection="0"/>
    <xf numFmtId="0" fontId="2" fillId="0" borderId="5890" applyNumberFormat="0" applyAlignment="0" applyProtection="0"/>
    <xf numFmtId="0" fontId="78" fillId="14" borderId="5887" applyFont="0" applyFill="0" applyBorder="0" applyAlignment="0" applyProtection="0"/>
    <xf numFmtId="246" fontId="250" fillId="0" borderId="5873" applyFill="0" applyProtection="0">
      <alignment horizontal="center"/>
    </xf>
    <xf numFmtId="254" fontId="240" fillId="0" borderId="5873" applyBorder="0" applyProtection="0">
      <alignment horizontal="right" vertical="center"/>
    </xf>
    <xf numFmtId="0" fontId="165" fillId="0" borderId="5873" applyFill="0" applyProtection="0">
      <alignment horizontal="center"/>
    </xf>
    <xf numFmtId="0" fontId="12" fillId="0" borderId="5873" applyNumberFormat="0" applyFill="0" applyBorder="0" applyAlignment="0" applyProtection="0">
      <alignment horizontal="center"/>
    </xf>
    <xf numFmtId="0" fontId="25" fillId="10" borderId="5868" applyNumberFormat="0" applyProtection="0">
      <alignment horizontal="left" vertical="top"/>
    </xf>
    <xf numFmtId="0" fontId="2" fillId="0" borderId="5866" applyNumberFormat="0" applyAlignment="0" applyProtection="0"/>
    <xf numFmtId="312" fontId="12" fillId="0" borderId="5704" applyNumberFormat="0" applyFill="0" applyBorder="0" applyAlignment="0" applyProtection="0">
      <alignment horizontal="center"/>
    </xf>
    <xf numFmtId="222" fontId="79" fillId="0" borderId="5860" applyBorder="0"/>
    <xf numFmtId="0" fontId="166" fillId="0" borderId="5849">
      <alignment horizontal="center"/>
    </xf>
    <xf numFmtId="180" fontId="9" fillId="3" borderId="5849">
      <alignment horizontal="right" vertical="center"/>
    </xf>
    <xf numFmtId="0" fontId="12" fillId="0" borderId="5849" applyNumberFormat="0" applyFill="0" applyBorder="0" applyAlignment="0" applyProtection="0">
      <alignment horizontal="center"/>
    </xf>
    <xf numFmtId="0" fontId="101" fillId="0" borderId="5849" applyBorder="0"/>
    <xf numFmtId="186" fontId="146" fillId="3" borderId="5840">
      <alignment horizontal="left"/>
    </xf>
    <xf numFmtId="0" fontId="214" fillId="0" borderId="5843" applyNumberFormat="0" applyFont="0" applyFill="0" applyAlignment="0" applyProtection="0"/>
    <xf numFmtId="0" fontId="25" fillId="10" borderId="5846" applyNumberFormat="0" applyProtection="0">
      <alignment horizontal="left" vertical="top"/>
    </xf>
    <xf numFmtId="222" fontId="79" fillId="0" borderId="5836" applyBorder="0"/>
    <xf numFmtId="246" fontId="249" fillId="0" borderId="5825" applyFill="0" applyProtection="0">
      <alignment horizontal="center"/>
    </xf>
    <xf numFmtId="222" fontId="79" fillId="0" borderId="5703" applyBorder="0"/>
    <xf numFmtId="0" fontId="78" fillId="14" borderId="5815" applyFont="0" applyFill="0" applyBorder="0" applyAlignment="0" applyProtection="0"/>
    <xf numFmtId="0" fontId="25" fillId="10" borderId="5823" applyNumberFormat="0" applyProtection="0">
      <alignment horizontal="left" vertical="top"/>
    </xf>
    <xf numFmtId="0" fontId="25" fillId="10" borderId="5820" applyNumberFormat="0" applyProtection="0">
      <alignment horizontal="left" vertical="top"/>
    </xf>
    <xf numFmtId="186" fontId="140" fillId="3" borderId="5817">
      <alignment horizontal="center" vertical="center"/>
    </xf>
    <xf numFmtId="222" fontId="79" fillId="0" borderId="5824" applyBorder="0"/>
    <xf numFmtId="312" fontId="78" fillId="14" borderId="5601" applyFont="0" applyFill="0" applyBorder="0" applyAlignment="0" applyProtection="0"/>
    <xf numFmtId="0" fontId="12" fillId="0" borderId="5825" applyNumberFormat="0" applyFill="0" applyBorder="0" applyAlignment="0" applyProtection="0">
      <alignment horizontal="center"/>
    </xf>
    <xf numFmtId="246" fontId="250" fillId="0" borderId="5825" applyFill="0" applyProtection="0">
      <alignment horizontal="center"/>
    </xf>
    <xf numFmtId="312" fontId="74" fillId="0" borderId="5622" applyFont="0" applyFill="0" applyBorder="0" applyAlignment="0" applyProtection="0">
      <alignment horizontal="center"/>
    </xf>
    <xf numFmtId="312" fontId="48" fillId="0" borderId="5622" applyFont="0" applyFill="0" applyBorder="0" applyAlignment="0" applyProtection="0">
      <alignment horizontal="center"/>
    </xf>
    <xf numFmtId="222" fontId="79" fillId="0" borderId="5703" applyBorder="0"/>
    <xf numFmtId="0" fontId="75" fillId="0" borderId="5874" applyNumberFormat="0" applyFont="0" applyFill="0" applyAlignment="0" applyProtection="0"/>
    <xf numFmtId="0" fontId="25" fillId="10" borderId="5665" applyNumberFormat="0" applyProtection="0">
      <alignment horizontal="left" vertical="top"/>
    </xf>
    <xf numFmtId="222" fontId="79" fillId="0" borderId="5860" applyBorder="0"/>
    <xf numFmtId="312" fontId="135" fillId="0" borderId="5624"/>
    <xf numFmtId="312" fontId="135" fillId="0" borderId="5624"/>
    <xf numFmtId="0" fontId="75" fillId="0" borderId="5850" applyNumberFormat="0" applyFont="0" applyFill="0" applyAlignment="0" applyProtection="0"/>
    <xf numFmtId="0" fontId="12" fillId="0" borderId="5861" applyNumberFormat="0" applyFill="0" applyBorder="0" applyAlignment="0" applyProtection="0">
      <alignment horizontal="center"/>
    </xf>
    <xf numFmtId="264" fontId="12" fillId="14" borderId="5861" applyFont="0" applyFill="0" applyBorder="0" applyAlignment="0" applyProtection="0">
      <alignment horizontal="right"/>
    </xf>
    <xf numFmtId="246" fontId="249" fillId="0" borderId="5837" applyFill="0" applyProtection="0">
      <alignment horizontal="center"/>
    </xf>
    <xf numFmtId="0" fontId="166" fillId="0" borderId="5837">
      <alignment horizontal="center"/>
    </xf>
    <xf numFmtId="254" fontId="240" fillId="0" borderId="5885" applyBorder="0" applyProtection="0">
      <alignment horizontal="right" vertical="center"/>
    </xf>
    <xf numFmtId="180" fontId="9" fillId="3" borderId="5885">
      <alignment horizontal="right" vertical="center"/>
    </xf>
    <xf numFmtId="222" fontId="79" fillId="0" borderId="5884" applyBorder="0"/>
    <xf numFmtId="0" fontId="25" fillId="10" borderId="5820" applyNumberFormat="0" applyProtection="0">
      <alignment horizontal="left" vertical="top"/>
    </xf>
    <xf numFmtId="186" fontId="140" fillId="3" borderId="5817">
      <alignment horizontal="center" vertical="center"/>
    </xf>
    <xf numFmtId="0" fontId="25" fillId="10" borderId="5820" applyNumberFormat="0" applyProtection="0">
      <alignment horizontal="left" vertical="top"/>
    </xf>
    <xf numFmtId="0" fontId="25" fillId="10" borderId="5823" applyNumberFormat="0" applyProtection="0">
      <alignment horizontal="left" vertical="top"/>
    </xf>
    <xf numFmtId="0" fontId="25" fillId="10" borderId="5821" applyNumberFormat="0" applyProtection="0">
      <alignment horizontal="left" vertical="top"/>
    </xf>
    <xf numFmtId="264" fontId="12" fillId="14" borderId="5885" applyFont="0" applyFill="0" applyBorder="0" applyAlignment="0" applyProtection="0">
      <alignment horizontal="right"/>
    </xf>
    <xf numFmtId="312" fontId="159" fillId="0" borderId="5624"/>
    <xf numFmtId="312" fontId="159" fillId="67" borderId="5624"/>
    <xf numFmtId="312" fontId="165" fillId="0" borderId="5704" applyFill="0" applyProtection="0">
      <alignment horizontal="center"/>
    </xf>
    <xf numFmtId="312" fontId="242" fillId="0" borderId="5704">
      <alignment horizontal="center"/>
    </xf>
    <xf numFmtId="0" fontId="241" fillId="94" borderId="5813" applyBorder="0" applyProtection="0">
      <alignment horizontal="centerContinuous" vertical="center"/>
    </xf>
    <xf numFmtId="0" fontId="165" fillId="0" borderId="5813" applyFill="0" applyProtection="0">
      <alignment horizontal="center"/>
    </xf>
    <xf numFmtId="0" fontId="113" fillId="0" borderId="5813" applyNumberFormat="0" applyFill="0" applyAlignment="0" applyProtection="0"/>
    <xf numFmtId="312" fontId="25" fillId="69" borderId="5624">
      <alignment horizontal="left" vertical="center" wrapText="1"/>
    </xf>
    <xf numFmtId="312" fontId="184" fillId="0" borderId="5625" applyAlignment="0">
      <alignment horizontal="left" wrapText="1"/>
    </xf>
    <xf numFmtId="0" fontId="25" fillId="10" borderId="5665" applyNumberFormat="0" applyProtection="0">
      <alignment horizontal="left" vertical="top"/>
    </xf>
    <xf numFmtId="312" fontId="210" fillId="0" borderId="5704" applyNumberFormat="0" applyFill="0" applyBorder="0" applyAlignment="0">
      <protection locked="0"/>
    </xf>
    <xf numFmtId="312" fontId="2" fillId="0" borderId="5685" applyNumberFormat="0" applyAlignment="0" applyProtection="0"/>
    <xf numFmtId="312" fontId="214" fillId="0" borderId="5686" applyNumberFormat="0" applyFont="0" applyFill="0" applyAlignment="0" applyProtection="0"/>
    <xf numFmtId="312" fontId="225" fillId="53" borderId="5626" applyNumberFormat="0" applyProtection="0">
      <alignment horizontal="left" vertical="top" indent="1"/>
    </xf>
    <xf numFmtId="312" fontId="12" fillId="75" borderId="5626" applyNumberFormat="0" applyProtection="0">
      <alignment horizontal="left" vertical="center" indent="1"/>
    </xf>
    <xf numFmtId="312" fontId="12" fillId="75" borderId="5626" applyNumberFormat="0" applyProtection="0">
      <alignment horizontal="left" vertical="top" indent="1"/>
    </xf>
    <xf numFmtId="312" fontId="12" fillId="84" borderId="5626" applyNumberFormat="0" applyProtection="0">
      <alignment horizontal="left" vertical="center" indent="1"/>
    </xf>
    <xf numFmtId="312" fontId="12" fillId="84" borderId="5626" applyNumberFormat="0" applyProtection="0">
      <alignment horizontal="left" vertical="top" indent="1"/>
    </xf>
    <xf numFmtId="312" fontId="12" fillId="52" borderId="5626" applyNumberFormat="0" applyProtection="0">
      <alignment horizontal="left" vertical="center" indent="1"/>
    </xf>
    <xf numFmtId="312" fontId="12" fillId="52" borderId="5626" applyNumberFormat="0" applyProtection="0">
      <alignment horizontal="left" vertical="top" indent="1"/>
    </xf>
    <xf numFmtId="312" fontId="12" fillId="11" borderId="5626" applyNumberFormat="0" applyProtection="0">
      <alignment horizontal="left" vertical="center" indent="1"/>
    </xf>
    <xf numFmtId="312" fontId="12" fillId="11" borderId="5626" applyNumberFormat="0" applyProtection="0">
      <alignment horizontal="left" vertical="top" indent="1"/>
    </xf>
    <xf numFmtId="312" fontId="136" fillId="14" borderId="5626" applyNumberFormat="0" applyProtection="0">
      <alignment horizontal="left" vertical="top" indent="1"/>
    </xf>
    <xf numFmtId="312" fontId="136" fillId="84" borderId="5626" applyNumberFormat="0" applyProtection="0">
      <alignment horizontal="left" vertical="top" indent="1"/>
    </xf>
    <xf numFmtId="0" fontId="25" fillId="10" borderId="6866" applyNumberFormat="0" applyProtection="0">
      <alignment horizontal="left" vertical="top"/>
    </xf>
    <xf numFmtId="312" fontId="25" fillId="10" borderId="5624" applyNumberFormat="0" applyProtection="0">
      <alignment horizontal="center" vertical="top"/>
    </xf>
    <xf numFmtId="312" fontId="25" fillId="10" borderId="5624" applyNumberFormat="0" applyProtection="0">
      <alignment horizontal="center" vertical="top"/>
    </xf>
    <xf numFmtId="312" fontId="12" fillId="3" borderId="5624" applyNumberFormat="0" applyFont="0" applyAlignment="0" applyProtection="0"/>
    <xf numFmtId="312" fontId="12" fillId="10" borderId="5624" applyNumberFormat="0" applyFont="0" applyAlignment="0" applyProtection="0"/>
    <xf numFmtId="312" fontId="12" fillId="10" borderId="5624" applyNumberFormat="0" applyFont="0" applyProtection="0"/>
    <xf numFmtId="312" fontId="25" fillId="10" borderId="5629" applyNumberFormat="0" applyProtection="0">
      <alignment horizontal="left"/>
    </xf>
    <xf numFmtId="312" fontId="25" fillId="10" borderId="5630" applyNumberFormat="0" applyProtection="0">
      <alignment horizontal="left" vertical="top"/>
    </xf>
    <xf numFmtId="312" fontId="25" fillId="10" borderId="5631" applyNumberFormat="0" applyProtection="0">
      <alignment horizontal="left" vertical="top"/>
    </xf>
    <xf numFmtId="312" fontId="25" fillId="10" borderId="5687" applyNumberFormat="0" applyProtection="0">
      <alignment horizontal="left" vertical="top"/>
    </xf>
    <xf numFmtId="312" fontId="25" fillId="10" borderId="5688" applyNumberFormat="0" applyProtection="0">
      <alignment horizontal="left" vertical="top"/>
    </xf>
    <xf numFmtId="312" fontId="25" fillId="10" borderId="5632" applyNumberFormat="0" applyProtection="0">
      <alignment horizontal="left" vertical="top"/>
    </xf>
    <xf numFmtId="312" fontId="25" fillId="10" borderId="5689" applyNumberFormat="0" applyProtection="0">
      <alignment horizontal="left" vertical="top"/>
    </xf>
    <xf numFmtId="312" fontId="25" fillId="10" borderId="5633" applyNumberFormat="0" applyProtection="0">
      <alignment horizontal="left" vertical="top"/>
    </xf>
    <xf numFmtId="312" fontId="25" fillId="10" borderId="5690" applyNumberFormat="0" applyProtection="0">
      <alignment horizontal="left" vertical="top"/>
    </xf>
    <xf numFmtId="312" fontId="25" fillId="10" borderId="5634" applyNumberFormat="0" applyProtection="0">
      <alignment horizontal="left" vertical="top"/>
    </xf>
    <xf numFmtId="312" fontId="25" fillId="10" borderId="5635" applyNumberFormat="0" applyProtection="0">
      <alignment horizontal="left" vertical="top"/>
    </xf>
    <xf numFmtId="312" fontId="12" fillId="0" borderId="5623" applyNumberFormat="0" applyFill="0" applyBorder="0" applyAlignment="0" applyProtection="0"/>
    <xf numFmtId="312" fontId="241" fillId="94" borderId="5704" applyBorder="0" applyProtection="0">
      <alignment horizontal="centerContinuous" vertical="center"/>
    </xf>
    <xf numFmtId="246" fontId="296" fillId="0" borderId="5704" applyFill="0" applyProtection="0">
      <alignment horizontal="center"/>
    </xf>
    <xf numFmtId="10" fontId="12" fillId="3" borderId="5636" applyNumberFormat="0" applyFont="0" applyFill="0" applyBorder="0" applyAlignment="0">
      <protection locked="0"/>
    </xf>
    <xf numFmtId="312" fontId="12" fillId="0" borderId="5623" applyNumberFormat="0" applyFill="0" applyBorder="0" applyAlignment="0" applyProtection="0"/>
    <xf numFmtId="312" fontId="12" fillId="0" borderId="5623" applyNumberFormat="0" applyFill="0" applyBorder="0" applyAlignment="0" applyProtection="0"/>
    <xf numFmtId="312" fontId="12" fillId="0" borderId="5623" applyNumberFormat="0" applyFill="0" applyBorder="0" applyAlignment="0" applyProtection="0"/>
    <xf numFmtId="222" fontId="79" fillId="0" borderId="6832" applyBorder="0"/>
    <xf numFmtId="222" fontId="79" fillId="0" borderId="6724" applyBorder="0"/>
    <xf numFmtId="312" fontId="101" fillId="0" borderId="5704" applyBorder="0"/>
    <xf numFmtId="312" fontId="113" fillId="0" borderId="5704" applyNumberFormat="0" applyFill="0" applyAlignment="0" applyProtection="0"/>
    <xf numFmtId="312" fontId="75" fillId="0" borderId="5681" applyNumberFormat="0" applyFont="0" applyFill="0" applyAlignment="0" applyProtection="0"/>
    <xf numFmtId="312" fontId="12" fillId="0" borderId="5704" applyNumberFormat="0" applyFill="0" applyBorder="0" applyAlignment="0" applyProtection="0">
      <alignment horizontal="center"/>
    </xf>
    <xf numFmtId="312" fontId="78" fillId="14" borderId="5601" applyFont="0" applyFill="0" applyBorder="0" applyAlignment="0" applyProtection="0"/>
    <xf numFmtId="0" fontId="113" fillId="0" borderId="5861" applyNumberFormat="0" applyFill="0" applyAlignment="0" applyProtection="0"/>
    <xf numFmtId="312" fontId="5" fillId="0" borderId="5639">
      <alignment horizontal="left" vertical="center"/>
    </xf>
    <xf numFmtId="312" fontId="165" fillId="0" borderId="5704" applyFill="0" applyProtection="0">
      <alignment horizontal="center"/>
    </xf>
    <xf numFmtId="312" fontId="242" fillId="0" borderId="5704">
      <alignment horizontal="center"/>
    </xf>
    <xf numFmtId="0" fontId="210" fillId="0" borderId="5861" applyNumberFormat="0" applyFill="0" applyBorder="0" applyAlignment="0">
      <protection locked="0"/>
    </xf>
    <xf numFmtId="312" fontId="210" fillId="0" borderId="5704" applyNumberFormat="0" applyFill="0" applyBorder="0" applyAlignment="0">
      <protection locked="0"/>
    </xf>
    <xf numFmtId="312" fontId="2" fillId="0" borderId="5685" applyNumberFormat="0" applyAlignment="0" applyProtection="0"/>
    <xf numFmtId="312" fontId="214" fillId="0" borderId="5686" applyNumberFormat="0" applyFont="0" applyFill="0" applyAlignment="0" applyProtection="0"/>
    <xf numFmtId="312" fontId="25" fillId="10" borderId="5687" applyNumberFormat="0" applyProtection="0">
      <alignment horizontal="left" vertical="top"/>
    </xf>
    <xf numFmtId="312" fontId="25" fillId="10" borderId="5688" applyNumberFormat="0" applyProtection="0">
      <alignment horizontal="left" vertical="top"/>
    </xf>
    <xf numFmtId="312" fontId="25" fillId="10" borderId="5689" applyNumberFormat="0" applyProtection="0">
      <alignment horizontal="left" vertical="top"/>
    </xf>
    <xf numFmtId="312" fontId="25" fillId="10" borderId="5690" applyNumberFormat="0" applyProtection="0">
      <alignment horizontal="left" vertical="top"/>
    </xf>
    <xf numFmtId="312" fontId="25" fillId="10" borderId="5687" applyNumberFormat="0" applyProtection="0">
      <alignment horizontal="left" vertical="top"/>
    </xf>
    <xf numFmtId="312" fontId="25" fillId="10" borderId="5688" applyNumberFormat="0" applyProtection="0">
      <alignment horizontal="left" vertical="top"/>
    </xf>
    <xf numFmtId="312" fontId="25" fillId="10" borderId="5689" applyNumberFormat="0" applyProtection="0">
      <alignment horizontal="left" vertical="top"/>
    </xf>
    <xf numFmtId="312" fontId="25" fillId="10" borderId="5690" applyNumberFormat="0" applyProtection="0">
      <alignment horizontal="left" vertical="top"/>
    </xf>
    <xf numFmtId="312" fontId="241" fillId="94" borderId="5704" applyBorder="0" applyProtection="0">
      <alignment horizontal="centerContinuous" vertical="center"/>
    </xf>
    <xf numFmtId="246" fontId="296" fillId="0" borderId="5704" applyFill="0" applyProtection="0">
      <alignment horizontal="center"/>
    </xf>
    <xf numFmtId="0" fontId="241" fillId="94" borderId="5885" applyBorder="0" applyProtection="0">
      <alignment horizontal="centerContinuous" vertical="center"/>
    </xf>
    <xf numFmtId="186" fontId="146" fillId="3" borderId="6821" applyBorder="0">
      <alignment horizontal="left" vertical="center"/>
    </xf>
    <xf numFmtId="10" fontId="12" fillId="3" borderId="5636" applyNumberFormat="0" applyFont="0" applyFill="0" applyBorder="0" applyAlignment="0">
      <protection locked="0"/>
    </xf>
    <xf numFmtId="0" fontId="241" fillId="94" borderId="5813" applyBorder="0" applyProtection="0">
      <alignment horizontal="centerContinuous" vertical="center"/>
    </xf>
    <xf numFmtId="0" fontId="210" fillId="0" borderId="5813" applyNumberFormat="0" applyFill="0" applyBorder="0" applyAlignment="0">
      <protection locked="0"/>
    </xf>
    <xf numFmtId="246" fontId="249" fillId="0" borderId="5825" applyFill="0" applyProtection="0">
      <alignment horizontal="center"/>
    </xf>
    <xf numFmtId="186" fontId="140" fillId="3" borderId="6825">
      <alignment horizontal="center" vertical="center"/>
    </xf>
    <xf numFmtId="0" fontId="214" fillId="0" borderId="6851" applyNumberFormat="0" applyFont="0" applyFill="0" applyAlignment="0" applyProtection="0"/>
    <xf numFmtId="222" fontId="79" fillId="0" borderId="6832" applyBorder="0"/>
    <xf numFmtId="186" fontId="146" fillId="3" borderId="6824">
      <alignment horizontal="left"/>
    </xf>
    <xf numFmtId="0" fontId="25" fillId="10" borderId="6830" applyNumberFormat="0" applyProtection="0">
      <alignment horizontal="left" vertical="top"/>
    </xf>
    <xf numFmtId="0" fontId="210" fillId="0" borderId="6821" applyNumberFormat="0" applyFill="0" applyBorder="0" applyAlignment="0">
      <protection locked="0"/>
    </xf>
    <xf numFmtId="248" fontId="46" fillId="0" borderId="6821"/>
    <xf numFmtId="0" fontId="2" fillId="0" borderId="5830" applyNumberFormat="0" applyAlignment="0" applyProtection="0"/>
    <xf numFmtId="0" fontId="214" fillId="0" borderId="5819" applyNumberFormat="0" applyFont="0" applyFill="0" applyAlignment="0" applyProtection="0"/>
    <xf numFmtId="0" fontId="25" fillId="10" borderId="5822" applyNumberFormat="0" applyProtection="0">
      <alignment horizontal="left" vertical="top"/>
    </xf>
    <xf numFmtId="180" fontId="9" fillId="3" borderId="5813">
      <alignment horizontal="right" vertical="center"/>
    </xf>
    <xf numFmtId="0" fontId="165" fillId="0" borderId="5813" applyFill="0" applyProtection="0">
      <alignment horizontal="center"/>
    </xf>
    <xf numFmtId="1" fontId="154" fillId="65" borderId="5513" applyNumberFormat="0" applyBorder="0" applyAlignment="0">
      <alignment horizontal="centerContinuous" vertical="center"/>
      <protection locked="0"/>
    </xf>
    <xf numFmtId="0" fontId="12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10" fontId="12" fillId="3" borderId="5636" applyNumberFormat="0" applyFont="0" applyFill="0" applyBorder="0" applyAlignment="0">
      <protection locked="0"/>
    </xf>
    <xf numFmtId="246" fontId="250" fillId="0" borderId="5704" applyFill="0" applyProtection="0">
      <alignment horizontal="center"/>
    </xf>
    <xf numFmtId="246" fontId="249" fillId="0" borderId="5704" applyFill="0" applyProtection="0">
      <alignment horizontal="center"/>
    </xf>
    <xf numFmtId="0" fontId="241" fillId="94" borderId="5704" applyBorder="0" applyProtection="0">
      <alignment horizontal="centerContinuous" vertical="center"/>
    </xf>
    <xf numFmtId="254" fontId="240" fillId="0" borderId="5704" applyBorder="0" applyProtection="0">
      <alignment horizontal="right" vertical="center"/>
    </xf>
    <xf numFmtId="0" fontId="12" fillId="0" borderId="5623" applyNumberFormat="0" applyFill="0" applyBorder="0" applyAlignment="0" applyProtection="0"/>
    <xf numFmtId="0" fontId="25" fillId="10" borderId="5635" applyNumberFormat="0" applyProtection="0">
      <alignment horizontal="left" vertical="top"/>
    </xf>
    <xf numFmtId="0" fontId="25" fillId="10" borderId="5634" applyNumberFormat="0" applyProtection="0">
      <alignment horizontal="left" vertical="top"/>
    </xf>
    <xf numFmtId="0" fontId="25" fillId="10" borderId="5633" applyNumberFormat="0" applyProtection="0">
      <alignment horizontal="left" vertical="top"/>
    </xf>
    <xf numFmtId="0" fontId="25" fillId="10" borderId="5632" applyNumberFormat="0" applyProtection="0">
      <alignment horizontal="left" vertical="top"/>
    </xf>
    <xf numFmtId="0" fontId="25" fillId="10" borderId="5631" applyNumberFormat="0" applyProtection="0">
      <alignment horizontal="left" vertical="top"/>
    </xf>
    <xf numFmtId="0" fontId="25" fillId="10" borderId="5630" applyNumberFormat="0" applyProtection="0">
      <alignment horizontal="left" vertical="top"/>
    </xf>
    <xf numFmtId="0" fontId="25" fillId="10" borderId="5629" applyNumberFormat="0" applyProtection="0">
      <alignment horizontal="left"/>
    </xf>
    <xf numFmtId="0" fontId="12" fillId="10" borderId="5624" applyNumberFormat="0" applyFont="0" applyProtection="0"/>
    <xf numFmtId="0" fontId="12" fillId="10" borderId="5624" applyNumberFormat="0" applyFont="0" applyAlignment="0" applyProtection="0"/>
    <xf numFmtId="0" fontId="12" fillId="3" borderId="5624" applyNumberFormat="0" applyFont="0" applyAlignment="0" applyProtection="0"/>
    <xf numFmtId="293" fontId="234" fillId="10" borderId="5624" applyFont="0" applyProtection="0"/>
    <xf numFmtId="293" fontId="234" fillId="10" borderId="5624" applyFont="0" applyProtection="0"/>
    <xf numFmtId="169" fontId="234" fillId="3" borderId="5624" applyFont="0" applyProtection="0"/>
    <xf numFmtId="293" fontId="234" fillId="3" borderId="5624" applyFont="0" applyProtection="0"/>
    <xf numFmtId="169" fontId="234" fillId="10" borderId="5624" applyFont="0" applyProtection="0"/>
    <xf numFmtId="0" fontId="25" fillId="10" borderId="5624" applyNumberFormat="0" applyProtection="0">
      <alignment horizontal="center" vertical="top"/>
    </xf>
    <xf numFmtId="0" fontId="25" fillId="10" borderId="5624" applyNumberFormat="0" applyProtection="0">
      <alignment horizontal="center" vertical="top"/>
    </xf>
    <xf numFmtId="2" fontId="12" fillId="60" borderId="5628" applyFont="0" applyFill="0" applyBorder="0" applyAlignment="0" applyProtection="0"/>
    <xf numFmtId="9" fontId="12" fillId="60" borderId="5628" applyFont="0" applyFill="0" applyBorder="0" applyAlignment="0" applyProtection="0"/>
    <xf numFmtId="10" fontId="12" fillId="60" borderId="5628" applyFont="0" applyFill="0" applyBorder="0" applyAlignment="0" applyProtection="0"/>
    <xf numFmtId="183" fontId="12" fillId="60" borderId="5628" applyFont="0" applyFill="0" applyBorder="0" applyAlignment="0" applyProtection="0"/>
    <xf numFmtId="4" fontId="12" fillId="60" borderId="5628" applyFont="0" applyFill="0" applyBorder="0" applyAlignment="0" applyProtection="0"/>
    <xf numFmtId="3" fontId="12" fillId="60" borderId="5628" applyFont="0" applyFill="0" applyBorder="0" applyAlignment="0" applyProtection="0"/>
    <xf numFmtId="4" fontId="230" fillId="11" borderId="5626" applyNumberFormat="0" applyProtection="0">
      <alignment horizontal="right" vertical="center"/>
    </xf>
    <xf numFmtId="4" fontId="229" fillId="84" borderId="5627" applyNumberFormat="0" applyProtection="0">
      <alignment horizontal="left" vertical="center" indent="1"/>
    </xf>
    <xf numFmtId="0" fontId="136" fillId="84" borderId="5626" applyNumberFormat="0" applyProtection="0">
      <alignment horizontal="left" vertical="top" indent="1"/>
    </xf>
    <xf numFmtId="4" fontId="223" fillId="52" borderId="5626" applyNumberFormat="0" applyProtection="0">
      <alignment horizontal="left" vertical="center" indent="1"/>
    </xf>
    <xf numFmtId="4" fontId="228" fillId="11" borderId="5626" applyNumberFormat="0" applyProtection="0">
      <alignment horizontal="right" vertical="center"/>
    </xf>
    <xf numFmtId="4" fontId="184" fillId="11" borderId="5626" applyNumberFormat="0" applyProtection="0">
      <alignment horizontal="right" vertical="center"/>
    </xf>
    <xf numFmtId="0" fontId="136" fillId="14" borderId="5626" applyNumberFormat="0" applyProtection="0">
      <alignment horizontal="left" vertical="top" indent="1"/>
    </xf>
    <xf numFmtId="4" fontId="227" fillId="52" borderId="5627" applyNumberFormat="0" applyProtection="0">
      <alignment horizontal="left" vertical="center" indent="1"/>
    </xf>
    <xf numFmtId="4" fontId="228" fillId="11" borderId="5626" applyNumberFormat="0" applyProtection="0">
      <alignment vertical="center"/>
    </xf>
    <xf numFmtId="4" fontId="226" fillId="11" borderId="5626" applyNumberFormat="0" applyProtection="0">
      <alignment vertical="center"/>
    </xf>
    <xf numFmtId="0" fontId="12" fillId="11" borderId="5626" applyNumberFormat="0" applyProtection="0">
      <alignment horizontal="left" vertical="top" indent="1"/>
    </xf>
    <xf numFmtId="0" fontId="12" fillId="11" borderId="5626" applyNumberFormat="0" applyProtection="0">
      <alignment horizontal="left" vertical="center" indent="1"/>
    </xf>
    <xf numFmtId="0" fontId="12" fillId="52" borderId="5626" applyNumberFormat="0" applyProtection="0">
      <alignment horizontal="left" vertical="top" indent="1"/>
    </xf>
    <xf numFmtId="0" fontId="12" fillId="52" borderId="5626" applyNumberFormat="0" applyProtection="0">
      <alignment horizontal="left" vertical="center" indent="1"/>
    </xf>
    <xf numFmtId="0" fontId="12" fillId="84" borderId="5626" applyNumberFormat="0" applyProtection="0">
      <alignment horizontal="left" vertical="top" indent="1"/>
    </xf>
    <xf numFmtId="0" fontId="12" fillId="84" borderId="5626" applyNumberFormat="0" applyProtection="0">
      <alignment horizontal="left" vertical="center" indent="1"/>
    </xf>
    <xf numFmtId="0" fontId="12" fillId="75" borderId="5626" applyNumberFormat="0" applyProtection="0">
      <alignment horizontal="left" vertical="top" indent="1"/>
    </xf>
    <xf numFmtId="0" fontId="12" fillId="75" borderId="5626" applyNumberFormat="0" applyProtection="0">
      <alignment horizontal="left" vertical="center" indent="1"/>
    </xf>
    <xf numFmtId="4" fontId="184" fillId="52" borderId="5626" applyNumberFormat="0" applyProtection="0">
      <alignment horizontal="right" vertical="center"/>
    </xf>
    <xf numFmtId="4" fontId="226" fillId="82" borderId="5626" applyNumberFormat="0" applyProtection="0">
      <alignment horizontal="right" vertical="center"/>
    </xf>
    <xf numFmtId="4" fontId="226" fillId="81" borderId="5626" applyNumberFormat="0" applyProtection="0">
      <alignment horizontal="right" vertical="center"/>
    </xf>
    <xf numFmtId="4" fontId="226" fillId="80" borderId="5626" applyNumberFormat="0" applyProtection="0">
      <alignment horizontal="right" vertical="center"/>
    </xf>
    <xf numFmtId="4" fontId="226" fillId="71" borderId="5626" applyNumberFormat="0" applyProtection="0">
      <alignment horizontal="right" vertical="center"/>
    </xf>
    <xf numFmtId="4" fontId="226" fillId="79" borderId="5626" applyNumberFormat="0" applyProtection="0">
      <alignment horizontal="right" vertical="center"/>
    </xf>
    <xf numFmtId="4" fontId="226" fillId="10" borderId="5626" applyNumberFormat="0" applyProtection="0">
      <alignment horizontal="right" vertical="center"/>
    </xf>
    <xf numFmtId="4" fontId="226" fillId="78" borderId="5626" applyNumberFormat="0" applyProtection="0">
      <alignment horizontal="right" vertical="center"/>
    </xf>
    <xf numFmtId="4" fontId="226" fillId="77" borderId="5626" applyNumberFormat="0" applyProtection="0">
      <alignment horizontal="right" vertical="center"/>
    </xf>
    <xf numFmtId="4" fontId="226" fillId="76" borderId="5626" applyNumberFormat="0" applyProtection="0">
      <alignment horizontal="right" vertical="center"/>
    </xf>
    <xf numFmtId="0" fontId="225" fillId="53" borderId="5626" applyNumberFormat="0" applyProtection="0">
      <alignment horizontal="left" vertical="top" indent="1"/>
    </xf>
    <xf numFmtId="4" fontId="184" fillId="53" borderId="5626" applyNumberFormat="0" applyProtection="0">
      <alignment horizontal="left" vertical="center" indent="1"/>
    </xf>
    <xf numFmtId="4" fontId="224" fillId="53" borderId="5626" applyNumberFormat="0" applyProtection="0">
      <alignment vertical="center"/>
    </xf>
    <xf numFmtId="4" fontId="223" fillId="53" borderId="5626" applyNumberFormat="0" applyProtection="0">
      <alignment vertical="center"/>
    </xf>
    <xf numFmtId="0" fontId="12" fillId="0" borderId="5623" applyNumberFormat="0" applyFill="0" applyBorder="0" applyAlignment="0" applyProtection="0"/>
    <xf numFmtId="0" fontId="46" fillId="0" borderId="5623" applyNumberFormat="0" applyFill="0" applyBorder="0" applyAlignment="0" applyProtection="0"/>
    <xf numFmtId="0" fontId="105" fillId="0" borderId="5623" applyNumberFormat="0" applyFill="0" applyBorder="0" applyAlignment="0" applyProtection="0"/>
    <xf numFmtId="0" fontId="48" fillId="0" borderId="5623" applyNumberFormat="0" applyFill="0" applyAlignment="0" applyProtection="0"/>
    <xf numFmtId="5" fontId="114" fillId="0" borderId="5622" applyAlignment="0" applyProtection="0"/>
    <xf numFmtId="0" fontId="210" fillId="0" borderId="5704" applyNumberFormat="0" applyFill="0" applyBorder="0" applyAlignment="0">
      <protection locked="0"/>
    </xf>
    <xf numFmtId="182" fontId="145" fillId="3" borderId="5622">
      <alignment horizontal="right" vertical="center"/>
    </xf>
    <xf numFmtId="186" fontId="48" fillId="3" borderId="5622">
      <alignment vertical="center"/>
    </xf>
    <xf numFmtId="0" fontId="135" fillId="0" borderId="5624"/>
    <xf numFmtId="0" fontId="135" fillId="0" borderId="5624"/>
    <xf numFmtId="188" fontId="25" fillId="0" borderId="5639" applyFont="0" applyFill="0" applyBorder="0" applyAlignment="0" applyProtection="0">
      <alignment horizontal="center"/>
    </xf>
    <xf numFmtId="0" fontId="184" fillId="0" borderId="5625" applyAlignment="0">
      <alignment horizontal="left" wrapText="1"/>
    </xf>
    <xf numFmtId="264" fontId="12" fillId="14" borderId="5704" applyFont="0" applyFill="0" applyBorder="0" applyAlignment="0" applyProtection="0">
      <alignment horizontal="right"/>
    </xf>
    <xf numFmtId="0" fontId="25" fillId="69" borderId="5624">
      <alignment horizontal="left" vertical="center" wrapText="1"/>
    </xf>
    <xf numFmtId="0" fontId="159" fillId="0" borderId="5624"/>
    <xf numFmtId="0" fontId="159" fillId="67" borderId="5624"/>
    <xf numFmtId="192" fontId="9" fillId="3" borderId="5813">
      <alignment horizontal="right" vertical="center"/>
    </xf>
    <xf numFmtId="0" fontId="166" fillId="0" borderId="5704">
      <alignment horizontal="center"/>
    </xf>
    <xf numFmtId="0" fontId="165" fillId="0" borderId="5704" applyFill="0" applyProtection="0">
      <alignment horizontal="center"/>
    </xf>
    <xf numFmtId="0" fontId="159" fillId="67" borderId="5624"/>
    <xf numFmtId="0" fontId="159" fillId="0" borderId="5624"/>
    <xf numFmtId="0" fontId="25" fillId="69" borderId="5624">
      <alignment horizontal="left" vertical="center" wrapText="1"/>
    </xf>
    <xf numFmtId="0" fontId="184" fillId="0" borderId="5625" applyAlignment="0">
      <alignment horizontal="left" wrapText="1"/>
    </xf>
    <xf numFmtId="0" fontId="135" fillId="0" borderId="5624"/>
    <xf numFmtId="0" fontId="135" fillId="0" borderId="5624"/>
    <xf numFmtId="186" fontId="140" fillId="3" borderId="5579">
      <alignment horizontal="center" vertical="center"/>
    </xf>
    <xf numFmtId="186" fontId="48" fillId="3" borderId="5622">
      <alignment vertical="center"/>
    </xf>
    <xf numFmtId="186" fontId="146" fillId="3" borderId="5505">
      <alignment horizontal="left"/>
    </xf>
    <xf numFmtId="186" fontId="146" fillId="3" borderId="5704" applyBorder="0">
      <alignment horizontal="left" vertical="center"/>
    </xf>
    <xf numFmtId="180" fontId="9" fillId="3" borderId="5704">
      <alignment horizontal="right" vertical="center"/>
    </xf>
    <xf numFmtId="192" fontId="9" fillId="3" borderId="5704">
      <alignment horizontal="right" vertical="center"/>
    </xf>
    <xf numFmtId="0" fontId="101" fillId="0" borderId="5704" applyBorder="0"/>
    <xf numFmtId="182" fontId="145" fillId="3" borderId="5622">
      <alignment horizontal="right" vertical="center"/>
    </xf>
    <xf numFmtId="188" fontId="25" fillId="0" borderId="5639" applyFont="0" applyFill="0" applyBorder="0" applyAlignment="0" applyProtection="0">
      <alignment horizontal="center"/>
    </xf>
    <xf numFmtId="248" fontId="46" fillId="0" borderId="5861"/>
    <xf numFmtId="246" fontId="249" fillId="0" borderId="5704" applyFill="0" applyProtection="0">
      <alignment horizontal="center"/>
    </xf>
    <xf numFmtId="0" fontId="48" fillId="0" borderId="5622" applyFont="0" applyFill="0" applyBorder="0" applyAlignment="0" applyProtection="0">
      <alignment horizontal="center"/>
    </xf>
    <xf numFmtId="0" fontId="74" fillId="0" borderId="5622" applyFont="0" applyFill="0" applyBorder="0" applyAlignment="0" applyProtection="0">
      <alignment horizontal="center"/>
    </xf>
    <xf numFmtId="248" fontId="46" fillId="0" borderId="5704"/>
    <xf numFmtId="0" fontId="78" fillId="14" borderId="5613" applyFont="0" applyFill="0" applyBorder="0" applyAlignment="0" applyProtection="0"/>
    <xf numFmtId="0" fontId="12" fillId="0" borderId="5704" applyNumberFormat="0" applyFill="0" applyBorder="0" applyAlignment="0" applyProtection="0">
      <alignment horizontal="center"/>
    </xf>
    <xf numFmtId="186" fontId="146" fillId="3" borderId="5873" applyBorder="0">
      <alignment horizontal="left" vertical="center"/>
    </xf>
    <xf numFmtId="0" fontId="75" fillId="0" borderId="5503" applyNumberFormat="0" applyFont="0" applyFill="0" applyAlignment="0" applyProtection="0"/>
    <xf numFmtId="5" fontId="114" fillId="0" borderId="5622" applyAlignment="0" applyProtection="0"/>
    <xf numFmtId="0" fontId="113" fillId="0" borderId="5704" applyNumberFormat="0" applyFill="0" applyAlignment="0" applyProtection="0"/>
    <xf numFmtId="0" fontId="48" fillId="0" borderId="5623" applyNumberFormat="0" applyFill="0" applyAlignment="0" applyProtection="0"/>
    <xf numFmtId="0" fontId="105" fillId="0" borderId="5623" applyNumberFormat="0" applyFill="0" applyBorder="0" applyAlignment="0" applyProtection="0"/>
    <xf numFmtId="0" fontId="46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222" fontId="79" fillId="0" borderId="5703" applyBorder="0"/>
    <xf numFmtId="0" fontId="101" fillId="0" borderId="5704" applyBorder="0"/>
    <xf numFmtId="4" fontId="223" fillId="53" borderId="5626" applyNumberFormat="0" applyProtection="0">
      <alignment vertical="center"/>
    </xf>
    <xf numFmtId="4" fontId="224" fillId="53" borderId="5626" applyNumberFormat="0" applyProtection="0">
      <alignment vertical="center"/>
    </xf>
    <xf numFmtId="4" fontId="184" fillId="53" borderId="5626" applyNumberFormat="0" applyProtection="0">
      <alignment horizontal="left" vertical="center" indent="1"/>
    </xf>
    <xf numFmtId="0" fontId="225" fillId="53" borderId="5626" applyNumberFormat="0" applyProtection="0">
      <alignment horizontal="left" vertical="top" indent="1"/>
    </xf>
    <xf numFmtId="4" fontId="226" fillId="76" borderId="5626" applyNumberFormat="0" applyProtection="0">
      <alignment horizontal="right" vertical="center"/>
    </xf>
    <xf numFmtId="4" fontId="226" fillId="77" borderId="5626" applyNumberFormat="0" applyProtection="0">
      <alignment horizontal="right" vertical="center"/>
    </xf>
    <xf numFmtId="4" fontId="226" fillId="78" borderId="5626" applyNumberFormat="0" applyProtection="0">
      <alignment horizontal="right" vertical="center"/>
    </xf>
    <xf numFmtId="4" fontId="226" fillId="10" borderId="5626" applyNumberFormat="0" applyProtection="0">
      <alignment horizontal="right" vertical="center"/>
    </xf>
    <xf numFmtId="4" fontId="226" fillId="79" borderId="5626" applyNumberFormat="0" applyProtection="0">
      <alignment horizontal="right" vertical="center"/>
    </xf>
    <xf numFmtId="4" fontId="226" fillId="71" borderId="5626" applyNumberFormat="0" applyProtection="0">
      <alignment horizontal="right" vertical="center"/>
    </xf>
    <xf numFmtId="4" fontId="226" fillId="81" borderId="5626" applyNumberFormat="0" applyProtection="0">
      <alignment horizontal="right" vertical="center"/>
    </xf>
    <xf numFmtId="4" fontId="226" fillId="80" borderId="5626" applyNumberFormat="0" applyProtection="0">
      <alignment horizontal="right" vertical="center"/>
    </xf>
    <xf numFmtId="4" fontId="226" fillId="82" borderId="5626" applyNumberFormat="0" applyProtection="0">
      <alignment horizontal="right" vertical="center"/>
    </xf>
    <xf numFmtId="4" fontId="184" fillId="52" borderId="5626" applyNumberFormat="0" applyProtection="0">
      <alignment horizontal="right" vertical="center"/>
    </xf>
    <xf numFmtId="0" fontId="12" fillId="75" borderId="5626" applyNumberFormat="0" applyProtection="0">
      <alignment horizontal="left" vertical="center" indent="1"/>
    </xf>
    <xf numFmtId="0" fontId="12" fillId="75" borderId="5626" applyNumberFormat="0" applyProtection="0">
      <alignment horizontal="left" vertical="top" indent="1"/>
    </xf>
    <xf numFmtId="0" fontId="12" fillId="84" borderId="5626" applyNumberFormat="0" applyProtection="0">
      <alignment horizontal="left" vertical="center" indent="1"/>
    </xf>
    <xf numFmtId="0" fontId="12" fillId="84" borderId="5626" applyNumberFormat="0" applyProtection="0">
      <alignment horizontal="left" vertical="top" indent="1"/>
    </xf>
    <xf numFmtId="0" fontId="12" fillId="52" borderId="5626" applyNumberFormat="0" applyProtection="0">
      <alignment horizontal="left" vertical="center" indent="1"/>
    </xf>
    <xf numFmtId="0" fontId="12" fillId="52" borderId="5626" applyNumberFormat="0" applyProtection="0">
      <alignment horizontal="left" vertical="top" indent="1"/>
    </xf>
    <xf numFmtId="0" fontId="12" fillId="11" borderId="5626" applyNumberFormat="0" applyProtection="0">
      <alignment horizontal="left" vertical="center" indent="1"/>
    </xf>
    <xf numFmtId="0" fontId="12" fillId="11" borderId="5626" applyNumberFormat="0" applyProtection="0">
      <alignment horizontal="left" vertical="top" indent="1"/>
    </xf>
    <xf numFmtId="4" fontId="226" fillId="11" borderId="5626" applyNumberFormat="0" applyProtection="0">
      <alignment vertical="center"/>
    </xf>
    <xf numFmtId="4" fontId="228" fillId="11" borderId="5626" applyNumberFormat="0" applyProtection="0">
      <alignment vertical="center"/>
    </xf>
    <xf numFmtId="4" fontId="227" fillId="52" borderId="5627" applyNumberFormat="0" applyProtection="0">
      <alignment horizontal="left" vertical="center" indent="1"/>
    </xf>
    <xf numFmtId="0" fontId="136" fillId="14" borderId="5626" applyNumberFormat="0" applyProtection="0">
      <alignment horizontal="left" vertical="top" indent="1"/>
    </xf>
    <xf numFmtId="4" fontId="184" fillId="11" borderId="5626" applyNumberFormat="0" applyProtection="0">
      <alignment horizontal="right" vertical="center"/>
    </xf>
    <xf numFmtId="4" fontId="228" fillId="11" borderId="5626" applyNumberFormat="0" applyProtection="0">
      <alignment horizontal="right" vertical="center"/>
    </xf>
    <xf numFmtId="4" fontId="223" fillId="52" borderId="5626" applyNumberFormat="0" applyProtection="0">
      <alignment horizontal="left" vertical="center" indent="1"/>
    </xf>
    <xf numFmtId="0" fontId="136" fillId="84" borderId="5626" applyNumberFormat="0" applyProtection="0">
      <alignment horizontal="left" vertical="top" indent="1"/>
    </xf>
    <xf numFmtId="4" fontId="229" fillId="84" borderId="5627" applyNumberFormat="0" applyProtection="0">
      <alignment horizontal="left" vertical="center" indent="1"/>
    </xf>
    <xf numFmtId="4" fontId="230" fillId="11" borderId="5626" applyNumberFormat="0" applyProtection="0">
      <alignment horizontal="right" vertical="center"/>
    </xf>
    <xf numFmtId="0" fontId="25" fillId="10" borderId="5711" applyNumberFormat="0" applyProtection="0">
      <alignment horizontal="left" vertical="top"/>
    </xf>
    <xf numFmtId="0" fontId="25" fillId="10" borderId="5712" applyNumberFormat="0" applyProtection="0">
      <alignment horizontal="left" vertical="top"/>
    </xf>
    <xf numFmtId="0" fontId="25" fillId="10" borderId="5713" applyNumberFormat="0" applyProtection="0">
      <alignment horizontal="left" vertical="top"/>
    </xf>
    <xf numFmtId="0" fontId="25" fillId="10" borderId="5714" applyNumberFormat="0" applyProtection="0">
      <alignment horizontal="left" vertical="top"/>
    </xf>
    <xf numFmtId="3" fontId="12" fillId="60" borderId="5628" applyFont="0" applyFill="0" applyBorder="0" applyAlignment="0" applyProtection="0"/>
    <xf numFmtId="4" fontId="12" fillId="60" borderId="5628" applyFont="0" applyFill="0" applyBorder="0" applyAlignment="0" applyProtection="0"/>
    <xf numFmtId="183" fontId="12" fillId="60" borderId="5628" applyFont="0" applyFill="0" applyBorder="0" applyAlignment="0" applyProtection="0"/>
    <xf numFmtId="10" fontId="12" fillId="60" borderId="5628" applyFont="0" applyFill="0" applyBorder="0" applyAlignment="0" applyProtection="0"/>
    <xf numFmtId="9" fontId="12" fillId="60" borderId="5628" applyFont="0" applyFill="0" applyBorder="0" applyAlignment="0" applyProtection="0"/>
    <xf numFmtId="2" fontId="12" fillId="60" borderId="5628" applyFont="0" applyFill="0" applyBorder="0" applyAlignment="0" applyProtection="0"/>
    <xf numFmtId="0" fontId="25" fillId="10" borderId="5624" applyNumberFormat="0" applyProtection="0">
      <alignment horizontal="center" vertical="top"/>
    </xf>
    <xf numFmtId="169" fontId="234" fillId="3" borderId="5624" applyFont="0" applyProtection="0"/>
    <xf numFmtId="169" fontId="234" fillId="10" borderId="5624" applyFont="0" applyProtection="0"/>
    <xf numFmtId="293" fontId="234" fillId="3" borderId="5624" applyFont="0" applyProtection="0"/>
    <xf numFmtId="293" fontId="234" fillId="10" borderId="5624" applyFont="0" applyProtection="0"/>
    <xf numFmtId="293" fontId="234" fillId="10" borderId="5624" applyFont="0" applyProtection="0"/>
    <xf numFmtId="0" fontId="12" fillId="3" borderId="5624" applyNumberFormat="0" applyFont="0" applyAlignment="0" applyProtection="0"/>
    <xf numFmtId="0" fontId="12" fillId="10" borderId="5624" applyNumberFormat="0" applyFont="0" applyAlignment="0" applyProtection="0"/>
    <xf numFmtId="0" fontId="12" fillId="10" borderId="5624" applyNumberFormat="0" applyFont="0" applyProtection="0"/>
    <xf numFmtId="0" fontId="25" fillId="10" borderId="5629" applyNumberFormat="0" applyProtection="0">
      <alignment horizontal="left"/>
    </xf>
    <xf numFmtId="0" fontId="25" fillId="10" borderId="5630" applyNumberFormat="0" applyProtection="0">
      <alignment horizontal="left" vertical="top"/>
    </xf>
    <xf numFmtId="0" fontId="25" fillId="10" borderId="5631" applyNumberFormat="0" applyProtection="0">
      <alignment horizontal="left" vertical="top"/>
    </xf>
    <xf numFmtId="0" fontId="25" fillId="10" borderId="5632" applyNumberFormat="0" applyProtection="0">
      <alignment horizontal="left" vertical="top"/>
    </xf>
    <xf numFmtId="0" fontId="25" fillId="10" borderId="5633" applyNumberFormat="0" applyProtection="0">
      <alignment horizontal="left" vertical="top"/>
    </xf>
    <xf numFmtId="0" fontId="25" fillId="10" borderId="5634" applyNumberFormat="0" applyProtection="0">
      <alignment horizontal="left" vertical="top"/>
    </xf>
    <xf numFmtId="0" fontId="25" fillId="10" borderId="5635" applyNumberFormat="0" applyProtection="0">
      <alignment horizontal="left" vertical="top"/>
    </xf>
    <xf numFmtId="10" fontId="12" fillId="3" borderId="5636" applyNumberFormat="0" applyFont="0" applyFill="0" applyBorder="0" applyAlignment="0">
      <protection locked="0"/>
    </xf>
    <xf numFmtId="0" fontId="12" fillId="0" borderId="5623" applyNumberFormat="0" applyFill="0" applyBorder="0" applyAlignment="0" applyProtection="0"/>
    <xf numFmtId="0" fontId="25" fillId="10" borderId="5624" applyNumberFormat="0" applyProtection="0">
      <alignment horizontal="center" vertical="top"/>
    </xf>
    <xf numFmtId="0" fontId="113" fillId="0" borderId="5813" applyNumberFormat="0" applyFill="0" applyAlignment="0" applyProtection="0"/>
    <xf numFmtId="222" fontId="79" fillId="0" borderId="5824" applyBorder="0"/>
    <xf numFmtId="0" fontId="25" fillId="10" borderId="5820" applyNumberFormat="0" applyProtection="0">
      <alignment horizontal="left" vertical="top"/>
    </xf>
    <xf numFmtId="0" fontId="165" fillId="0" borderId="5825" applyFill="0" applyProtection="0">
      <alignment horizontal="center"/>
    </xf>
    <xf numFmtId="0" fontId="25" fillId="10" borderId="5833" applyNumberFormat="0" applyProtection="0">
      <alignment horizontal="left" vertical="top"/>
    </xf>
    <xf numFmtId="222" fontId="79" fillId="0" borderId="5824" applyBorder="0"/>
    <xf numFmtId="0" fontId="2" fillId="0" borderId="5818" applyNumberFormat="0" applyAlignment="0" applyProtection="0"/>
    <xf numFmtId="0" fontId="25" fillId="10" borderId="5823" applyNumberFormat="0" applyProtection="0">
      <alignment horizontal="left" vertical="top"/>
    </xf>
    <xf numFmtId="0" fontId="48" fillId="0" borderId="5622" applyFont="0" applyFill="0" applyBorder="0" applyAlignment="0" applyProtection="0">
      <alignment horizontal="center"/>
    </xf>
    <xf numFmtId="0" fontId="74" fillId="0" borderId="5622" applyFont="0" applyFill="0" applyBorder="0" applyAlignment="0" applyProtection="0">
      <alignment horizontal="center"/>
    </xf>
    <xf numFmtId="10" fontId="12" fillId="3" borderId="5636" applyNumberFormat="0" applyFont="0" applyFill="0" applyBorder="0" applyAlignment="0">
      <protection locked="0"/>
    </xf>
    <xf numFmtId="0" fontId="12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10" fontId="12" fillId="3" borderId="5636" applyNumberFormat="0" applyFont="0" applyFill="0" applyBorder="0" applyAlignment="0">
      <protection locked="0"/>
    </xf>
    <xf numFmtId="246" fontId="250" fillId="0" borderId="5653" applyFill="0" applyProtection="0">
      <alignment horizontal="center"/>
    </xf>
    <xf numFmtId="246" fontId="249" fillId="0" borderId="5653" applyFill="0" applyProtection="0">
      <alignment horizontal="center"/>
    </xf>
    <xf numFmtId="0" fontId="241" fillId="94" borderId="5653" applyBorder="0" applyProtection="0">
      <alignment horizontal="centerContinuous" vertical="center"/>
    </xf>
    <xf numFmtId="254" fontId="240" fillId="0" borderId="5653" applyBorder="0" applyProtection="0">
      <alignment horizontal="right" vertical="center"/>
    </xf>
    <xf numFmtId="0" fontId="210" fillId="0" borderId="5653" applyNumberFormat="0" applyFill="0" applyBorder="0" applyAlignment="0">
      <protection locked="0"/>
    </xf>
    <xf numFmtId="188" fontId="25" fillId="0" borderId="5639" applyFont="0" applyFill="0" applyBorder="0" applyAlignment="0" applyProtection="0">
      <alignment horizontal="center"/>
    </xf>
    <xf numFmtId="264" fontId="12" fillId="14" borderId="5653" applyFont="0" applyFill="0" applyBorder="0" applyAlignment="0" applyProtection="0">
      <alignment horizontal="right"/>
    </xf>
    <xf numFmtId="0" fontId="166" fillId="0" borderId="5653">
      <alignment horizontal="center"/>
    </xf>
    <xf numFmtId="0" fontId="165" fillId="0" borderId="5653" applyFill="0" applyProtection="0">
      <alignment horizontal="center"/>
    </xf>
    <xf numFmtId="186" fontId="146" fillId="3" borderId="5653" applyBorder="0">
      <alignment horizontal="left" vertical="center"/>
    </xf>
    <xf numFmtId="180" fontId="9" fillId="3" borderId="5653">
      <alignment horizontal="right" vertical="center"/>
    </xf>
    <xf numFmtId="192" fontId="9" fillId="3" borderId="5653">
      <alignment horizontal="right" vertical="center"/>
    </xf>
    <xf numFmtId="248" fontId="46" fillId="0" borderId="5653"/>
    <xf numFmtId="0" fontId="12" fillId="0" borderId="5653" applyNumberFormat="0" applyFill="0" applyBorder="0" applyAlignment="0" applyProtection="0">
      <alignment horizontal="center"/>
    </xf>
    <xf numFmtId="0" fontId="113" fillId="0" borderId="5653" applyNumberFormat="0" applyFill="0" applyAlignment="0" applyProtection="0"/>
    <xf numFmtId="222" fontId="79" fillId="0" borderId="5610" applyBorder="0"/>
    <xf numFmtId="0" fontId="101" fillId="0" borderId="5653" applyBorder="0"/>
    <xf numFmtId="10" fontId="12" fillId="3" borderId="5636" applyNumberFormat="0" applyFont="0" applyFill="0" applyBorder="0" applyAlignment="0">
      <protection locked="0"/>
    </xf>
    <xf numFmtId="1" fontId="154" fillId="65" borderId="5513" applyNumberFormat="0" applyBorder="0" applyAlignment="0">
      <alignment horizontal="centerContinuous" vertical="center"/>
      <protection locked="0"/>
    </xf>
    <xf numFmtId="0" fontId="12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10" fontId="12" fillId="3" borderId="5636" applyNumberFormat="0" applyFont="0" applyFill="0" applyBorder="0" applyAlignment="0">
      <protection locked="0"/>
    </xf>
    <xf numFmtId="246" fontId="250" fillId="0" borderId="5653" applyFill="0" applyProtection="0">
      <alignment horizontal="center"/>
    </xf>
    <xf numFmtId="246" fontId="249" fillId="0" borderId="5653" applyFill="0" applyProtection="0">
      <alignment horizontal="center"/>
    </xf>
    <xf numFmtId="0" fontId="241" fillId="94" borderId="5653" applyBorder="0" applyProtection="0">
      <alignment horizontal="centerContinuous" vertical="center"/>
    </xf>
    <xf numFmtId="254" fontId="240" fillId="0" borderId="5653" applyBorder="0" applyProtection="0">
      <alignment horizontal="right" vertical="center"/>
    </xf>
    <xf numFmtId="0" fontId="12" fillId="0" borderId="5623" applyNumberFormat="0" applyFill="0" applyBorder="0" applyAlignment="0" applyProtection="0"/>
    <xf numFmtId="0" fontId="25" fillId="10" borderId="5635" applyNumberFormat="0" applyProtection="0">
      <alignment horizontal="left" vertical="top"/>
    </xf>
    <xf numFmtId="0" fontId="25" fillId="10" borderId="5634" applyNumberFormat="0" applyProtection="0">
      <alignment horizontal="left" vertical="top"/>
    </xf>
    <xf numFmtId="0" fontId="25" fillId="10" borderId="5633" applyNumberFormat="0" applyProtection="0">
      <alignment horizontal="left" vertical="top"/>
    </xf>
    <xf numFmtId="0" fontId="25" fillId="10" borderId="5632" applyNumberFormat="0" applyProtection="0">
      <alignment horizontal="left" vertical="top"/>
    </xf>
    <xf numFmtId="0" fontId="25" fillId="10" borderId="5631" applyNumberFormat="0" applyProtection="0">
      <alignment horizontal="left" vertical="top"/>
    </xf>
    <xf numFmtId="0" fontId="25" fillId="10" borderId="5630" applyNumberFormat="0" applyProtection="0">
      <alignment horizontal="left" vertical="top"/>
    </xf>
    <xf numFmtId="0" fontId="25" fillId="10" borderId="5629" applyNumberFormat="0" applyProtection="0">
      <alignment horizontal="left"/>
    </xf>
    <xf numFmtId="0" fontId="12" fillId="10" borderId="5624" applyNumberFormat="0" applyFont="0" applyProtection="0"/>
    <xf numFmtId="0" fontId="12" fillId="10" borderId="5624" applyNumberFormat="0" applyFont="0" applyAlignment="0" applyProtection="0"/>
    <xf numFmtId="0" fontId="12" fillId="3" borderId="5624" applyNumberFormat="0" applyFont="0" applyAlignment="0" applyProtection="0"/>
    <xf numFmtId="293" fontId="234" fillId="10" borderId="5624" applyFont="0" applyProtection="0"/>
    <xf numFmtId="293" fontId="234" fillId="3" borderId="5624" applyFont="0" applyProtection="0"/>
    <xf numFmtId="293" fontId="234" fillId="10" borderId="5624" applyFont="0" applyProtection="0"/>
    <xf numFmtId="169" fontId="234" fillId="10" borderId="5624" applyFont="0" applyProtection="0"/>
    <xf numFmtId="169" fontId="234" fillId="3" borderId="5624" applyFont="0" applyProtection="0"/>
    <xf numFmtId="0" fontId="25" fillId="10" borderId="5624" applyNumberFormat="0" applyProtection="0">
      <alignment horizontal="center" vertical="top"/>
    </xf>
    <xf numFmtId="0" fontId="25" fillId="10" borderId="5624" applyNumberFormat="0" applyProtection="0">
      <alignment horizontal="center" vertical="top"/>
    </xf>
    <xf numFmtId="2" fontId="12" fillId="60" borderId="5628" applyFont="0" applyFill="0" applyBorder="0" applyAlignment="0" applyProtection="0"/>
    <xf numFmtId="9" fontId="12" fillId="60" borderId="5628" applyFont="0" applyFill="0" applyBorder="0" applyAlignment="0" applyProtection="0"/>
    <xf numFmtId="10" fontId="12" fillId="60" borderId="5628" applyFont="0" applyFill="0" applyBorder="0" applyAlignment="0" applyProtection="0"/>
    <xf numFmtId="183" fontId="12" fillId="60" borderId="5628" applyFont="0" applyFill="0" applyBorder="0" applyAlignment="0" applyProtection="0"/>
    <xf numFmtId="4" fontId="12" fillId="60" borderId="5628" applyFont="0" applyFill="0" applyBorder="0" applyAlignment="0" applyProtection="0"/>
    <xf numFmtId="3" fontId="12" fillId="60" borderId="5628" applyFont="0" applyFill="0" applyBorder="0" applyAlignment="0" applyProtection="0"/>
    <xf numFmtId="4" fontId="230" fillId="11" borderId="5626" applyNumberFormat="0" applyProtection="0">
      <alignment horizontal="right" vertical="center"/>
    </xf>
    <xf numFmtId="4" fontId="229" fillId="84" borderId="5627" applyNumberFormat="0" applyProtection="0">
      <alignment horizontal="left" vertical="center" indent="1"/>
    </xf>
    <xf numFmtId="0" fontId="136" fillId="84" borderId="5626" applyNumberFormat="0" applyProtection="0">
      <alignment horizontal="left" vertical="top" indent="1"/>
    </xf>
    <xf numFmtId="4" fontId="223" fillId="52" borderId="5626" applyNumberFormat="0" applyProtection="0">
      <alignment horizontal="left" vertical="center" indent="1"/>
    </xf>
    <xf numFmtId="4" fontId="228" fillId="11" borderId="5626" applyNumberFormat="0" applyProtection="0">
      <alignment horizontal="right" vertical="center"/>
    </xf>
    <xf numFmtId="4" fontId="184" fillId="11" borderId="5626" applyNumberFormat="0" applyProtection="0">
      <alignment horizontal="right" vertical="center"/>
    </xf>
    <xf numFmtId="0" fontId="136" fillId="14" borderId="5626" applyNumberFormat="0" applyProtection="0">
      <alignment horizontal="left" vertical="top" indent="1"/>
    </xf>
    <xf numFmtId="4" fontId="227" fillId="52" borderId="5627" applyNumberFormat="0" applyProtection="0">
      <alignment horizontal="left" vertical="center" indent="1"/>
    </xf>
    <xf numFmtId="4" fontId="228" fillId="11" borderId="5626" applyNumberFormat="0" applyProtection="0">
      <alignment vertical="center"/>
    </xf>
    <xf numFmtId="4" fontId="226" fillId="11" borderId="5626" applyNumberFormat="0" applyProtection="0">
      <alignment vertical="center"/>
    </xf>
    <xf numFmtId="0" fontId="12" fillId="11" borderId="5626" applyNumberFormat="0" applyProtection="0">
      <alignment horizontal="left" vertical="top" indent="1"/>
    </xf>
    <xf numFmtId="0" fontId="12" fillId="11" borderId="5626" applyNumberFormat="0" applyProtection="0">
      <alignment horizontal="left" vertical="center" indent="1"/>
    </xf>
    <xf numFmtId="0" fontId="12" fillId="52" borderId="5626" applyNumberFormat="0" applyProtection="0">
      <alignment horizontal="left" vertical="top" indent="1"/>
    </xf>
    <xf numFmtId="0" fontId="12" fillId="52" borderId="5626" applyNumberFormat="0" applyProtection="0">
      <alignment horizontal="left" vertical="center" indent="1"/>
    </xf>
    <xf numFmtId="0" fontId="12" fillId="84" borderId="5626" applyNumberFormat="0" applyProtection="0">
      <alignment horizontal="left" vertical="top" indent="1"/>
    </xf>
    <xf numFmtId="0" fontId="12" fillId="84" borderId="5626" applyNumberFormat="0" applyProtection="0">
      <alignment horizontal="left" vertical="center" indent="1"/>
    </xf>
    <xf numFmtId="0" fontId="12" fillId="75" borderId="5626" applyNumberFormat="0" applyProtection="0">
      <alignment horizontal="left" vertical="top" indent="1"/>
    </xf>
    <xf numFmtId="0" fontId="12" fillId="75" borderId="5626" applyNumberFormat="0" applyProtection="0">
      <alignment horizontal="left" vertical="center" indent="1"/>
    </xf>
    <xf numFmtId="4" fontId="184" fillId="52" borderId="5626" applyNumberFormat="0" applyProtection="0">
      <alignment horizontal="right" vertical="center"/>
    </xf>
    <xf numFmtId="4" fontId="226" fillId="82" borderId="5626" applyNumberFormat="0" applyProtection="0">
      <alignment horizontal="right" vertical="center"/>
    </xf>
    <xf numFmtId="4" fontId="226" fillId="81" borderId="5626" applyNumberFormat="0" applyProtection="0">
      <alignment horizontal="right" vertical="center"/>
    </xf>
    <xf numFmtId="4" fontId="226" fillId="80" borderId="5626" applyNumberFormat="0" applyProtection="0">
      <alignment horizontal="right" vertical="center"/>
    </xf>
    <xf numFmtId="4" fontId="226" fillId="71" borderId="5626" applyNumberFormat="0" applyProtection="0">
      <alignment horizontal="right" vertical="center"/>
    </xf>
    <xf numFmtId="4" fontId="226" fillId="79" borderId="5626" applyNumberFormat="0" applyProtection="0">
      <alignment horizontal="right" vertical="center"/>
    </xf>
    <xf numFmtId="4" fontId="226" fillId="10" borderId="5626" applyNumberFormat="0" applyProtection="0">
      <alignment horizontal="right" vertical="center"/>
    </xf>
    <xf numFmtId="4" fontId="226" fillId="78" borderId="5626" applyNumberFormat="0" applyProtection="0">
      <alignment horizontal="right" vertical="center"/>
    </xf>
    <xf numFmtId="4" fontId="226" fillId="77" borderId="5626" applyNumberFormat="0" applyProtection="0">
      <alignment horizontal="right" vertical="center"/>
    </xf>
    <xf numFmtId="4" fontId="226" fillId="76" borderId="5626" applyNumberFormat="0" applyProtection="0">
      <alignment horizontal="right" vertical="center"/>
    </xf>
    <xf numFmtId="0" fontId="225" fillId="53" borderId="5626" applyNumberFormat="0" applyProtection="0">
      <alignment horizontal="left" vertical="top" indent="1"/>
    </xf>
    <xf numFmtId="4" fontId="184" fillId="53" borderId="5626" applyNumberFormat="0" applyProtection="0">
      <alignment horizontal="left" vertical="center" indent="1"/>
    </xf>
    <xf numFmtId="4" fontId="224" fillId="53" borderId="5626" applyNumberFormat="0" applyProtection="0">
      <alignment vertical="center"/>
    </xf>
    <xf numFmtId="4" fontId="223" fillId="53" borderId="5626" applyNumberFormat="0" applyProtection="0">
      <alignment vertical="center"/>
    </xf>
    <xf numFmtId="0" fontId="210" fillId="0" borderId="5653" applyNumberFormat="0" applyFill="0" applyBorder="0" applyAlignment="0">
      <protection locked="0"/>
    </xf>
    <xf numFmtId="188" fontId="25" fillId="0" borderId="5639" applyFont="0" applyFill="0" applyBorder="0" applyAlignment="0" applyProtection="0">
      <alignment horizontal="center"/>
    </xf>
    <xf numFmtId="0" fontId="184" fillId="0" borderId="5625" applyAlignment="0">
      <alignment horizontal="left" wrapText="1"/>
    </xf>
    <xf numFmtId="264" fontId="12" fillId="14" borderId="5653" applyFont="0" applyFill="0" applyBorder="0" applyAlignment="0" applyProtection="0">
      <alignment horizontal="right"/>
    </xf>
    <xf numFmtId="0" fontId="25" fillId="69" borderId="5624">
      <alignment horizontal="left" vertical="center" wrapText="1"/>
    </xf>
    <xf numFmtId="0" fontId="166" fillId="0" borderId="5653">
      <alignment horizontal="center"/>
    </xf>
    <xf numFmtId="0" fontId="165" fillId="0" borderId="5653" applyFill="0" applyProtection="0">
      <alignment horizontal="center"/>
    </xf>
    <xf numFmtId="0" fontId="159" fillId="67" borderId="5624"/>
    <xf numFmtId="0" fontId="159" fillId="0" borderId="5624"/>
    <xf numFmtId="0" fontId="135" fillId="0" borderId="5624"/>
    <xf numFmtId="0" fontId="135" fillId="0" borderId="5624"/>
    <xf numFmtId="186" fontId="48" fillId="3" borderId="5622">
      <alignment vertical="center"/>
    </xf>
    <xf numFmtId="186" fontId="146" fillId="3" borderId="5653" applyBorder="0">
      <alignment horizontal="left" vertical="center"/>
    </xf>
    <xf numFmtId="180" fontId="9" fillId="3" borderId="5653">
      <alignment horizontal="right" vertical="center"/>
    </xf>
    <xf numFmtId="192" fontId="9" fillId="3" borderId="5653">
      <alignment horizontal="right" vertical="center"/>
    </xf>
    <xf numFmtId="182" fontId="145" fillId="3" borderId="5622">
      <alignment horizontal="right" vertical="center"/>
    </xf>
    <xf numFmtId="0" fontId="48" fillId="0" borderId="5622" applyFont="0" applyFill="0" applyBorder="0" applyAlignment="0" applyProtection="0">
      <alignment horizontal="center"/>
    </xf>
    <xf numFmtId="0" fontId="74" fillId="0" borderId="5622" applyFont="0" applyFill="0" applyBorder="0" applyAlignment="0" applyProtection="0">
      <alignment horizontal="center"/>
    </xf>
    <xf numFmtId="0" fontId="12" fillId="0" borderId="5653" applyNumberFormat="0" applyFill="0" applyBorder="0" applyAlignment="0" applyProtection="0">
      <alignment horizontal="center"/>
    </xf>
    <xf numFmtId="180" fontId="9" fillId="3" borderId="5873">
      <alignment horizontal="right" vertical="center"/>
    </xf>
    <xf numFmtId="5" fontId="114" fillId="0" borderId="5622" applyAlignment="0" applyProtection="0"/>
    <xf numFmtId="0" fontId="113" fillId="0" borderId="5653" applyNumberFormat="0" applyFill="0" applyAlignment="0" applyProtection="0"/>
    <xf numFmtId="0" fontId="48" fillId="0" borderId="5623" applyNumberFormat="0" applyFill="0" applyAlignment="0" applyProtection="0"/>
    <xf numFmtId="0" fontId="105" fillId="0" borderId="5623" applyNumberFormat="0" applyFill="0" applyBorder="0" applyAlignment="0" applyProtection="0"/>
    <xf numFmtId="0" fontId="46" fillId="0" borderId="5623" applyNumberFormat="0" applyFill="0" applyBorder="0" applyAlignment="0" applyProtection="0"/>
    <xf numFmtId="0" fontId="12" fillId="0" borderId="5623" applyNumberFormat="0" applyFill="0" applyBorder="0" applyAlignment="0" applyProtection="0"/>
    <xf numFmtId="222" fontId="79" fillId="0" borderId="5610" applyBorder="0"/>
    <xf numFmtId="0" fontId="101" fillId="0" borderId="5653" applyBorder="0"/>
    <xf numFmtId="10" fontId="12" fillId="3" borderId="5636" applyNumberFormat="0" applyFont="0" applyFill="0" applyBorder="0" applyAlignment="0">
      <protection locked="0"/>
    </xf>
    <xf numFmtId="248" fontId="46" fillId="0" borderId="5653"/>
    <xf numFmtId="10" fontId="12" fillId="3" borderId="5636" applyNumberFormat="0" applyFont="0" applyFill="0" applyBorder="0" applyAlignment="0">
      <protection locked="0"/>
    </xf>
    <xf numFmtId="10" fontId="12" fillId="3" borderId="5636" applyNumberFormat="0" applyFont="0" applyFill="0" applyBorder="0" applyAlignment="0">
      <protection locked="0"/>
    </xf>
    <xf numFmtId="246" fontId="250" fillId="0" borderId="5653" applyFill="0" applyProtection="0">
      <alignment horizontal="center"/>
    </xf>
    <xf numFmtId="246" fontId="249" fillId="0" borderId="5653" applyFill="0" applyProtection="0">
      <alignment horizontal="center"/>
    </xf>
    <xf numFmtId="0" fontId="241" fillId="94" borderId="5653" applyBorder="0" applyProtection="0">
      <alignment horizontal="centerContinuous" vertical="center"/>
    </xf>
    <xf numFmtId="254" fontId="240" fillId="0" borderId="5653" applyBorder="0" applyProtection="0">
      <alignment horizontal="right" vertical="center"/>
    </xf>
    <xf numFmtId="0" fontId="210" fillId="0" borderId="5653" applyNumberFormat="0" applyFill="0" applyBorder="0" applyAlignment="0">
      <protection locked="0"/>
    </xf>
    <xf numFmtId="188" fontId="25" fillId="0" borderId="5639" applyFont="0" applyFill="0" applyBorder="0" applyAlignment="0" applyProtection="0">
      <alignment horizontal="center"/>
    </xf>
    <xf numFmtId="264" fontId="12" fillId="14" borderId="5653" applyFont="0" applyFill="0" applyBorder="0" applyAlignment="0" applyProtection="0">
      <alignment horizontal="right"/>
    </xf>
    <xf numFmtId="0" fontId="166" fillId="0" borderId="5653">
      <alignment horizontal="center"/>
    </xf>
    <xf numFmtId="0" fontId="165" fillId="0" borderId="5653" applyFill="0" applyProtection="0">
      <alignment horizontal="center"/>
    </xf>
    <xf numFmtId="186" fontId="146" fillId="3" borderId="5653" applyBorder="0">
      <alignment horizontal="left" vertical="center"/>
    </xf>
    <xf numFmtId="180" fontId="9" fillId="3" borderId="5653">
      <alignment horizontal="right" vertical="center"/>
    </xf>
    <xf numFmtId="192" fontId="9" fillId="3" borderId="5653">
      <alignment horizontal="right" vertical="center"/>
    </xf>
    <xf numFmtId="248" fontId="46" fillId="0" borderId="5653"/>
    <xf numFmtId="0" fontId="12" fillId="0" borderId="5653" applyNumberFormat="0" applyFill="0" applyBorder="0" applyAlignment="0" applyProtection="0">
      <alignment horizontal="center"/>
    </xf>
    <xf numFmtId="0" fontId="113" fillId="0" borderId="5653" applyNumberFormat="0" applyFill="0" applyAlignment="0" applyProtection="0"/>
    <xf numFmtId="222" fontId="79" fillId="0" borderId="5610" applyBorder="0"/>
    <xf numFmtId="0" fontId="101" fillId="0" borderId="5653" applyBorder="0"/>
    <xf numFmtId="10" fontId="12" fillId="3" borderId="5636" applyNumberFormat="0" applyFont="0" applyFill="0" applyBorder="0" applyAlignment="0">
      <protection locked="0"/>
    </xf>
    <xf numFmtId="246" fontId="250" fillId="0" borderId="5813" applyFill="0" applyProtection="0">
      <alignment horizontal="center"/>
    </xf>
    <xf numFmtId="0" fontId="166" fillId="0" borderId="5885">
      <alignment horizontal="center"/>
    </xf>
    <xf numFmtId="222" fontId="79" fillId="0" borderId="5703" applyBorder="0"/>
    <xf numFmtId="222" fontId="79" fillId="0" borderId="5716" applyBorder="0"/>
    <xf numFmtId="0" fontId="101" fillId="0" borderId="5717" applyBorder="0"/>
    <xf numFmtId="222" fontId="79" fillId="0" borderId="5716" applyBorder="0"/>
    <xf numFmtId="0" fontId="113" fillId="0" borderId="5717" applyNumberFormat="0" applyFill="0" applyAlignment="0" applyProtection="0"/>
    <xf numFmtId="0" fontId="12" fillId="0" borderId="5717" applyNumberFormat="0" applyFill="0" applyBorder="0" applyAlignment="0" applyProtection="0">
      <alignment horizontal="center"/>
    </xf>
    <xf numFmtId="248" fontId="46" fillId="0" borderId="5717"/>
    <xf numFmtId="192" fontId="9" fillId="3" borderId="5717">
      <alignment horizontal="right" vertical="center"/>
    </xf>
    <xf numFmtId="180" fontId="9" fillId="3" borderId="5717">
      <alignment horizontal="right" vertical="center"/>
    </xf>
    <xf numFmtId="186" fontId="146" fillId="3" borderId="5717" applyBorder="0">
      <alignment horizontal="left" vertical="center"/>
    </xf>
    <xf numFmtId="0" fontId="165" fillId="0" borderId="5717" applyFill="0" applyProtection="0">
      <alignment horizontal="center"/>
    </xf>
    <xf numFmtId="0" fontId="166" fillId="0" borderId="5717">
      <alignment horizontal="center"/>
    </xf>
    <xf numFmtId="264" fontId="12" fillId="14" borderId="5717" applyFont="0" applyFill="0" applyBorder="0" applyAlignment="0" applyProtection="0">
      <alignment horizontal="right"/>
    </xf>
    <xf numFmtId="0" fontId="210" fillId="0" borderId="5717" applyNumberFormat="0" applyFill="0" applyBorder="0" applyAlignment="0">
      <protection locked="0"/>
    </xf>
    <xf numFmtId="254" fontId="240" fillId="0" borderId="5717" applyBorder="0" applyProtection="0">
      <alignment horizontal="right" vertical="center"/>
    </xf>
    <xf numFmtId="0" fontId="241" fillId="94" borderId="5717" applyBorder="0" applyProtection="0">
      <alignment horizontal="centerContinuous" vertical="center"/>
    </xf>
    <xf numFmtId="246" fontId="249" fillId="0" borderId="5717" applyFill="0" applyProtection="0">
      <alignment horizontal="center"/>
    </xf>
    <xf numFmtId="246" fontId="250" fillId="0" borderId="5717" applyFill="0" applyProtection="0">
      <alignment horizontal="center"/>
    </xf>
    <xf numFmtId="0" fontId="78" fillId="14" borderId="5719" applyFont="0" applyFill="0" applyBorder="0" applyAlignment="0" applyProtection="0"/>
    <xf numFmtId="0" fontId="25" fillId="10" borderId="5727" applyNumberFormat="0" applyProtection="0">
      <alignment horizontal="left" vertical="top"/>
    </xf>
    <xf numFmtId="0" fontId="25" fillId="10" borderId="5726" applyNumberFormat="0" applyProtection="0">
      <alignment horizontal="left" vertical="top"/>
    </xf>
    <xf numFmtId="0" fontId="25" fillId="10" borderId="5725" applyNumberFormat="0" applyProtection="0">
      <alignment horizontal="left" vertical="top"/>
    </xf>
    <xf numFmtId="0" fontId="25" fillId="10" borderId="5724" applyNumberFormat="0" applyProtection="0">
      <alignment horizontal="left" vertical="top"/>
    </xf>
    <xf numFmtId="0" fontId="214" fillId="0" borderId="5723" applyNumberFormat="0" applyFont="0" applyFill="0" applyAlignment="0" applyProtection="0"/>
    <xf numFmtId="0" fontId="2" fillId="0" borderId="5722" applyNumberFormat="0" applyAlignment="0" applyProtection="0"/>
    <xf numFmtId="186" fontId="140" fillId="3" borderId="5721">
      <alignment horizontal="center" vertical="center"/>
    </xf>
    <xf numFmtId="186" fontId="146" fillId="3" borderId="5720">
      <alignment horizontal="left"/>
    </xf>
    <xf numFmtId="0" fontId="75" fillId="0" borderId="5718" applyNumberFormat="0" applyFont="0" applyFill="0" applyAlignment="0" applyProtection="0"/>
    <xf numFmtId="222" fontId="79" fillId="0" borderId="5728" applyBorder="0"/>
    <xf numFmtId="0" fontId="101" fillId="0" borderId="5729" applyBorder="0"/>
    <xf numFmtId="222" fontId="79" fillId="0" borderId="5728" applyBorder="0"/>
    <xf numFmtId="0" fontId="113" fillId="0" borderId="5729" applyNumberFormat="0" applyFill="0" applyAlignment="0" applyProtection="0"/>
    <xf numFmtId="0" fontId="12" fillId="0" borderId="5729" applyNumberFormat="0" applyFill="0" applyBorder="0" applyAlignment="0" applyProtection="0">
      <alignment horizontal="center"/>
    </xf>
    <xf numFmtId="248" fontId="46" fillId="0" borderId="5729"/>
    <xf numFmtId="192" fontId="9" fillId="3" borderId="5729">
      <alignment horizontal="right" vertical="center"/>
    </xf>
    <xf numFmtId="180" fontId="9" fillId="3" borderId="5729">
      <alignment horizontal="right" vertical="center"/>
    </xf>
    <xf numFmtId="186" fontId="146" fillId="3" borderId="5729" applyBorder="0">
      <alignment horizontal="left" vertical="center"/>
    </xf>
    <xf numFmtId="0" fontId="165" fillId="0" borderId="5729" applyFill="0" applyProtection="0">
      <alignment horizontal="center"/>
    </xf>
    <xf numFmtId="0" fontId="166" fillId="0" borderId="5729">
      <alignment horizontal="center"/>
    </xf>
    <xf numFmtId="264" fontId="12" fillId="14" borderId="5729" applyFont="0" applyFill="0" applyBorder="0" applyAlignment="0" applyProtection="0">
      <alignment horizontal="right"/>
    </xf>
    <xf numFmtId="0" fontId="210" fillId="0" borderId="5729" applyNumberFormat="0" applyFill="0" applyBorder="0" applyAlignment="0">
      <protection locked="0"/>
    </xf>
    <xf numFmtId="254" fontId="240" fillId="0" borderId="5729" applyBorder="0" applyProtection="0">
      <alignment horizontal="right" vertical="center"/>
    </xf>
    <xf numFmtId="0" fontId="241" fillId="94" borderId="5729" applyBorder="0" applyProtection="0">
      <alignment horizontal="centerContinuous" vertical="center"/>
    </xf>
    <xf numFmtId="246" fontId="249" fillId="0" borderId="5729" applyFill="0" applyProtection="0">
      <alignment horizontal="center"/>
    </xf>
    <xf numFmtId="246" fontId="250" fillId="0" borderId="5729" applyFill="0" applyProtection="0">
      <alignment horizontal="center"/>
    </xf>
    <xf numFmtId="186" fontId="146" fillId="3" borderId="5732">
      <alignment horizontal="left"/>
    </xf>
    <xf numFmtId="0" fontId="75" fillId="0" borderId="5730" applyNumberFormat="0" applyFont="0" applyFill="0" applyAlignment="0" applyProtection="0"/>
    <xf numFmtId="0" fontId="113" fillId="0" borderId="5813" applyNumberFormat="0" applyFill="0" applyAlignment="0" applyProtection="0"/>
    <xf numFmtId="264" fontId="12" fillId="14" borderId="5813" applyFont="0" applyFill="0" applyBorder="0" applyAlignment="0" applyProtection="0">
      <alignment horizontal="right"/>
    </xf>
    <xf numFmtId="246" fontId="249" fillId="0" borderId="5813" applyFill="0" applyProtection="0">
      <alignment horizontal="center"/>
    </xf>
    <xf numFmtId="0" fontId="25" fillId="10" borderId="5739" applyNumberFormat="0" applyProtection="0">
      <alignment horizontal="left" vertical="top"/>
    </xf>
    <xf numFmtId="0" fontId="25" fillId="10" borderId="5737" applyNumberFormat="0" applyProtection="0">
      <alignment horizontal="left" vertical="top"/>
    </xf>
    <xf numFmtId="0" fontId="25" fillId="10" borderId="5738" applyNumberFormat="0" applyProtection="0">
      <alignment horizontal="left" vertical="top"/>
    </xf>
    <xf numFmtId="0" fontId="25" fillId="10" borderId="5736" applyNumberFormat="0" applyProtection="0">
      <alignment horizontal="left" vertical="top"/>
    </xf>
    <xf numFmtId="0" fontId="25" fillId="10" borderId="5739" applyNumberFormat="0" applyProtection="0">
      <alignment horizontal="left" vertical="top"/>
    </xf>
    <xf numFmtId="0" fontId="25" fillId="10" borderId="5738" applyNumberFormat="0" applyProtection="0">
      <alignment horizontal="left" vertical="top"/>
    </xf>
    <xf numFmtId="0" fontId="25" fillId="10" borderId="5737" applyNumberFormat="0" applyProtection="0">
      <alignment horizontal="left" vertical="top"/>
    </xf>
    <xf numFmtId="0" fontId="25" fillId="10" borderId="5736" applyNumberFormat="0" applyProtection="0">
      <alignment horizontal="left" vertical="top"/>
    </xf>
    <xf numFmtId="0" fontId="214" fillId="0" borderId="5735" applyNumberFormat="0" applyFont="0" applyFill="0" applyAlignment="0" applyProtection="0"/>
    <xf numFmtId="0" fontId="2" fillId="0" borderId="5734" applyNumberFormat="0" applyAlignment="0" applyProtection="0"/>
    <xf numFmtId="186" fontId="140" fillId="3" borderId="5733">
      <alignment horizontal="center" vertical="center"/>
    </xf>
    <xf numFmtId="186" fontId="140" fillId="3" borderId="5745">
      <alignment horizontal="center" vertical="center"/>
    </xf>
    <xf numFmtId="0" fontId="25" fillId="10" borderId="5748" applyNumberFormat="0" applyProtection="0">
      <alignment horizontal="left" vertical="top"/>
    </xf>
    <xf numFmtId="0" fontId="12" fillId="0" borderId="5813" applyNumberFormat="0" applyFill="0" applyBorder="0" applyAlignment="0" applyProtection="0">
      <alignment horizontal="center"/>
    </xf>
    <xf numFmtId="0" fontId="25" fillId="10" borderId="5810" applyNumberFormat="0" applyProtection="0">
      <alignment horizontal="left" vertical="top"/>
    </xf>
    <xf numFmtId="222" fontId="79" fillId="0" borderId="5800" applyBorder="0"/>
    <xf numFmtId="0" fontId="78" fillId="14" borderId="5803" applyFont="0" applyFill="0" applyBorder="0" applyAlignment="0" applyProtection="0"/>
    <xf numFmtId="222" fontId="79" fillId="0" borderId="5812" applyBorder="0"/>
    <xf numFmtId="0" fontId="101" fillId="0" borderId="5813" applyBorder="0"/>
    <xf numFmtId="222" fontId="79" fillId="0" borderId="5812" applyBorder="0"/>
    <xf numFmtId="248" fontId="46" fillId="0" borderId="5813"/>
    <xf numFmtId="192" fontId="9" fillId="3" borderId="5813">
      <alignment horizontal="right" vertical="center"/>
    </xf>
    <xf numFmtId="180" fontId="9" fillId="3" borderId="5813">
      <alignment horizontal="right" vertical="center"/>
    </xf>
    <xf numFmtId="186" fontId="146" fillId="3" borderId="5813" applyBorder="0">
      <alignment horizontal="left" vertical="center"/>
    </xf>
    <xf numFmtId="0" fontId="165" fillId="0" borderId="5813" applyFill="0" applyProtection="0">
      <alignment horizontal="center"/>
    </xf>
    <xf numFmtId="0" fontId="210" fillId="0" borderId="5813" applyNumberFormat="0" applyFill="0" applyBorder="0" applyAlignment="0">
      <protection locked="0"/>
    </xf>
    <xf numFmtId="254" fontId="240" fillId="0" borderId="5813" applyBorder="0" applyProtection="0">
      <alignment horizontal="right" vertical="center"/>
    </xf>
    <xf numFmtId="246" fontId="250" fillId="0" borderId="5813" applyFill="0" applyProtection="0">
      <alignment horizontal="center"/>
    </xf>
    <xf numFmtId="222" fontId="79" fillId="0" borderId="5752" applyBorder="0"/>
    <xf numFmtId="0" fontId="25" fillId="10" borderId="5749" applyNumberFormat="0" applyProtection="0">
      <alignment horizontal="left" vertical="top"/>
    </xf>
    <xf numFmtId="0" fontId="25" fillId="10" borderId="5751" applyNumberFormat="0" applyProtection="0">
      <alignment horizontal="left" vertical="top"/>
    </xf>
    <xf numFmtId="0" fontId="25" fillId="10" borderId="5748" applyNumberFormat="0" applyProtection="0">
      <alignment horizontal="left" vertical="top"/>
    </xf>
    <xf numFmtId="0" fontId="25" fillId="10" borderId="5749" applyNumberFormat="0" applyProtection="0">
      <alignment horizontal="left" vertical="top"/>
    </xf>
    <xf numFmtId="0" fontId="25" fillId="10" borderId="5750" applyNumberFormat="0" applyProtection="0">
      <alignment horizontal="left" vertical="top"/>
    </xf>
    <xf numFmtId="0" fontId="75" fillId="0" borderId="5754" applyNumberFormat="0" applyFont="0" applyFill="0" applyAlignment="0" applyProtection="0"/>
    <xf numFmtId="0" fontId="101" fillId="0" borderId="5765" applyBorder="0"/>
    <xf numFmtId="222" fontId="79" fillId="0" borderId="5764" applyBorder="0"/>
    <xf numFmtId="0" fontId="113" fillId="0" borderId="5765" applyNumberFormat="0" applyFill="0" applyAlignment="0" applyProtection="0"/>
    <xf numFmtId="0" fontId="12" fillId="0" borderId="5765" applyNumberFormat="0" applyFill="0" applyBorder="0" applyAlignment="0" applyProtection="0">
      <alignment horizontal="center"/>
    </xf>
    <xf numFmtId="248" fontId="46" fillId="0" borderId="5765"/>
    <xf numFmtId="192" fontId="9" fillId="3" borderId="5765">
      <alignment horizontal="right" vertical="center"/>
    </xf>
    <xf numFmtId="180" fontId="9" fillId="3" borderId="5765">
      <alignment horizontal="right" vertical="center"/>
    </xf>
    <xf numFmtId="186" fontId="146" fillId="3" borderId="5765" applyBorder="0">
      <alignment horizontal="left" vertical="center"/>
    </xf>
    <xf numFmtId="0" fontId="166" fillId="0" borderId="5765">
      <alignment horizontal="center"/>
    </xf>
    <xf numFmtId="0" fontId="210" fillId="0" borderId="5765" applyNumberFormat="0" applyFill="0" applyBorder="0" applyAlignment="0">
      <protection locked="0"/>
    </xf>
    <xf numFmtId="264" fontId="12" fillId="14" borderId="5765" applyFont="0" applyFill="0" applyBorder="0" applyAlignment="0" applyProtection="0">
      <alignment horizontal="right"/>
    </xf>
    <xf numFmtId="246" fontId="249" fillId="0" borderId="5765" applyFill="0" applyProtection="0">
      <alignment horizontal="center"/>
    </xf>
    <xf numFmtId="246" fontId="250" fillId="0" borderId="5765" applyFill="0" applyProtection="0">
      <alignment horizontal="center"/>
    </xf>
    <xf numFmtId="246" fontId="250" fillId="0" borderId="5789" applyFill="0" applyProtection="0">
      <alignment horizontal="center"/>
    </xf>
    <xf numFmtId="246" fontId="249" fillId="0" borderId="5789" applyFill="0" applyProtection="0">
      <alignment horizontal="center"/>
    </xf>
    <xf numFmtId="254" fontId="240" fillId="0" borderId="5789" applyBorder="0" applyProtection="0">
      <alignment horizontal="right" vertical="center"/>
    </xf>
    <xf numFmtId="264" fontId="12" fillId="14" borderId="5789" applyFont="0" applyFill="0" applyBorder="0" applyAlignment="0" applyProtection="0">
      <alignment horizontal="right"/>
    </xf>
    <xf numFmtId="0" fontId="165" fillId="0" borderId="5789" applyFill="0" applyProtection="0">
      <alignment horizontal="center"/>
    </xf>
    <xf numFmtId="180" fontId="9" fillId="3" borderId="5789">
      <alignment horizontal="right" vertical="center"/>
    </xf>
    <xf numFmtId="0" fontId="12" fillId="0" borderId="5789" applyNumberFormat="0" applyFill="0" applyBorder="0" applyAlignment="0" applyProtection="0">
      <alignment horizontal="center"/>
    </xf>
    <xf numFmtId="0" fontId="101" fillId="0" borderId="5789" applyBorder="0"/>
    <xf numFmtId="222" fontId="79" fillId="0" borderId="5788" applyBorder="0"/>
    <xf numFmtId="0" fontId="75" fillId="0" borderId="5778" applyNumberFormat="0" applyFont="0" applyFill="0" applyAlignment="0" applyProtection="0"/>
    <xf numFmtId="0" fontId="2" fillId="0" borderId="5782" applyNumberFormat="0" applyAlignment="0" applyProtection="0"/>
    <xf numFmtId="0" fontId="25" fillId="10" borderId="5784" applyNumberFormat="0" applyProtection="0">
      <alignment horizontal="left" vertical="top"/>
    </xf>
    <xf numFmtId="0" fontId="25" fillId="10" borderId="5787" applyNumberFormat="0" applyProtection="0">
      <alignment horizontal="left" vertical="top"/>
    </xf>
    <xf numFmtId="222" fontId="79" fillId="0" borderId="5776" applyBorder="0"/>
    <xf numFmtId="0" fontId="25" fillId="10" borderId="5762" applyNumberFormat="0" applyProtection="0">
      <alignment horizontal="left" vertical="top"/>
    </xf>
    <xf numFmtId="0" fontId="25" fillId="10" borderId="5760" applyNumberFormat="0" applyProtection="0">
      <alignment horizontal="left" vertical="top"/>
    </xf>
    <xf numFmtId="0" fontId="214" fillId="0" borderId="5759" applyNumberFormat="0" applyFont="0" applyFill="0" applyAlignment="0" applyProtection="0"/>
    <xf numFmtId="186" fontId="146" fillId="3" borderId="5756">
      <alignment horizontal="left"/>
    </xf>
    <xf numFmtId="222" fontId="79" fillId="0" borderId="5764" applyBorder="0"/>
    <xf numFmtId="0" fontId="101" fillId="0" borderId="5653" applyBorder="0"/>
    <xf numFmtId="0" fontId="113" fillId="0" borderId="5653" applyNumberFormat="0" applyFill="0" applyAlignment="0" applyProtection="0"/>
    <xf numFmtId="0" fontId="12" fillId="0" borderId="5653" applyNumberFormat="0" applyFill="0" applyBorder="0" applyAlignment="0" applyProtection="0">
      <alignment horizontal="center"/>
    </xf>
    <xf numFmtId="248" fontId="46" fillId="0" borderId="5653"/>
    <xf numFmtId="192" fontId="9" fillId="3" borderId="5653">
      <alignment horizontal="right" vertical="center"/>
    </xf>
    <xf numFmtId="180" fontId="9" fillId="3" borderId="5653">
      <alignment horizontal="right" vertical="center"/>
    </xf>
    <xf numFmtId="186" fontId="146" fillId="3" borderId="5653" applyBorder="0">
      <alignment horizontal="left" vertical="center"/>
    </xf>
    <xf numFmtId="0" fontId="165" fillId="0" borderId="5653" applyFill="0" applyProtection="0">
      <alignment horizontal="center"/>
    </xf>
    <xf numFmtId="0" fontId="166" fillId="0" borderId="5653">
      <alignment horizontal="center"/>
    </xf>
    <xf numFmtId="264" fontId="12" fillId="14" borderId="5653" applyFont="0" applyFill="0" applyBorder="0" applyAlignment="0" applyProtection="0">
      <alignment horizontal="right"/>
    </xf>
    <xf numFmtId="0" fontId="210" fillId="0" borderId="5653" applyNumberFormat="0" applyFill="0" applyBorder="0" applyAlignment="0">
      <protection locked="0"/>
    </xf>
    <xf numFmtId="248" fontId="46" fillId="0" borderId="5789"/>
    <xf numFmtId="222" fontId="79" fillId="0" borderId="5788" applyBorder="0"/>
    <xf numFmtId="186" fontId="140" fillId="3" borderId="5781">
      <alignment horizontal="center" vertical="center"/>
    </xf>
    <xf numFmtId="0" fontId="25" fillId="10" borderId="5786" applyNumberFormat="0" applyProtection="0">
      <alignment horizontal="left" vertical="top"/>
    </xf>
    <xf numFmtId="0" fontId="210" fillId="0" borderId="5789" applyNumberFormat="0" applyFill="0" applyBorder="0" applyAlignment="0">
      <protection locked="0"/>
    </xf>
    <xf numFmtId="192" fontId="9" fillId="3" borderId="5789">
      <alignment horizontal="right" vertical="center"/>
    </xf>
    <xf numFmtId="0" fontId="113" fillId="0" borderId="5789" applyNumberFormat="0" applyFill="0" applyAlignment="0" applyProtection="0"/>
    <xf numFmtId="186" fontId="146" fillId="3" borderId="5780">
      <alignment horizontal="left"/>
    </xf>
    <xf numFmtId="0" fontId="25" fillId="10" borderId="5785" applyNumberFormat="0" applyProtection="0">
      <alignment horizontal="left" vertical="top"/>
    </xf>
    <xf numFmtId="254" fontId="240" fillId="0" borderId="5653" applyBorder="0" applyProtection="0">
      <alignment horizontal="right" vertical="center"/>
    </xf>
    <xf numFmtId="0" fontId="241" fillId="94" borderId="5653" applyBorder="0" applyProtection="0">
      <alignment horizontal="centerContinuous" vertical="center"/>
    </xf>
    <xf numFmtId="246" fontId="249" fillId="0" borderId="5653" applyFill="0" applyProtection="0">
      <alignment horizontal="center"/>
    </xf>
    <xf numFmtId="246" fontId="250" fillId="0" borderId="5653" applyFill="0" applyProtection="0">
      <alignment horizontal="center"/>
    </xf>
    <xf numFmtId="0" fontId="25" fillId="10" borderId="5809" applyNumberFormat="0" applyProtection="0">
      <alignment horizontal="left" vertical="top"/>
    </xf>
    <xf numFmtId="0" fontId="25" fillId="10" borderId="5811" applyNumberFormat="0" applyProtection="0">
      <alignment horizontal="left" vertical="top"/>
    </xf>
    <xf numFmtId="222" fontId="79" fillId="0" borderId="5740" applyBorder="0"/>
    <xf numFmtId="0" fontId="214" fillId="0" borderId="5807" applyNumberFormat="0" applyFont="0" applyFill="0" applyAlignment="0" applyProtection="0"/>
    <xf numFmtId="0" fontId="75" fillId="0" borderId="5742" applyNumberFormat="0" applyFont="0" applyFill="0" applyAlignment="0" applyProtection="0"/>
    <xf numFmtId="0" fontId="25" fillId="10" borderId="5750" applyNumberFormat="0" applyProtection="0">
      <alignment horizontal="left" vertical="top"/>
    </xf>
    <xf numFmtId="0" fontId="25" fillId="10" borderId="5751" applyNumberFormat="0" applyProtection="0">
      <alignment horizontal="left" vertical="top"/>
    </xf>
    <xf numFmtId="0" fontId="165" fillId="0" borderId="5765" applyFill="0" applyProtection="0">
      <alignment horizontal="center"/>
    </xf>
    <xf numFmtId="254" fontId="240" fillId="0" borderId="5765" applyBorder="0" applyProtection="0">
      <alignment horizontal="right" vertical="center"/>
    </xf>
    <xf numFmtId="0" fontId="241" fillId="94" borderId="5765" applyBorder="0" applyProtection="0">
      <alignment horizontal="centerContinuous" vertical="center"/>
    </xf>
    <xf numFmtId="0" fontId="241" fillId="94" borderId="5789" applyBorder="0" applyProtection="0">
      <alignment horizontal="centerContinuous" vertical="center"/>
    </xf>
    <xf numFmtId="0" fontId="166" fillId="0" borderId="5789">
      <alignment horizontal="center"/>
    </xf>
    <xf numFmtId="186" fontId="146" fillId="3" borderId="5789" applyBorder="0">
      <alignment horizontal="left" vertical="center"/>
    </xf>
    <xf numFmtId="0" fontId="214" fillId="0" borderId="5783" applyNumberFormat="0" applyFont="0" applyFill="0" applyAlignment="0" applyProtection="0"/>
    <xf numFmtId="0" fontId="78" fillId="14" borderId="5779" applyFont="0" applyFill="0" applyBorder="0" applyAlignment="0" applyProtection="0"/>
    <xf numFmtId="0" fontId="78" fillId="14" borderId="5706" applyFont="0" applyFill="0" applyBorder="0" applyAlignment="0" applyProtection="0"/>
    <xf numFmtId="0" fontId="25" fillId="10" borderId="5609" applyNumberFormat="0" applyProtection="0">
      <alignment horizontal="left" vertical="top"/>
    </xf>
    <xf numFmtId="0" fontId="25" fillId="10" borderId="5608" applyNumberFormat="0" applyProtection="0">
      <alignment horizontal="left" vertical="top"/>
    </xf>
    <xf numFmtId="0" fontId="25" fillId="10" borderId="5607" applyNumberFormat="0" applyProtection="0">
      <alignment horizontal="left" vertical="top"/>
    </xf>
    <xf numFmtId="0" fontId="25" fillId="10" borderId="5606" applyNumberFormat="0" applyProtection="0">
      <alignment horizontal="left" vertical="top"/>
    </xf>
    <xf numFmtId="186" fontId="140" fillId="3" borderId="5805">
      <alignment horizontal="center" vertical="center"/>
    </xf>
    <xf numFmtId="0" fontId="214" fillId="0" borderId="5605" applyNumberFormat="0" applyFont="0" applyFill="0" applyAlignment="0" applyProtection="0"/>
    <xf numFmtId="186" fontId="140" fillId="3" borderId="5579">
      <alignment horizontal="center" vertical="center"/>
    </xf>
    <xf numFmtId="186" fontId="146" fillId="3" borderId="5505">
      <alignment horizontal="left"/>
    </xf>
    <xf numFmtId="186" fontId="146" fillId="3" borderId="5804">
      <alignment horizontal="left"/>
    </xf>
    <xf numFmtId="0" fontId="75" fillId="0" borderId="5503" applyNumberFormat="0" applyFont="0" applyFill="0" applyAlignment="0" applyProtection="0"/>
    <xf numFmtId="0" fontId="75" fillId="0" borderId="5802" applyNumberFormat="0" applyFont="0" applyFill="0" applyAlignment="0" applyProtection="0"/>
    <xf numFmtId="222" fontId="79" fillId="0" borderId="5716" applyBorder="0"/>
    <xf numFmtId="222" fontId="79" fillId="0" borderId="5716" applyBorder="0"/>
    <xf numFmtId="0" fontId="25" fillId="10" borderId="5808" applyNumberFormat="0" applyProtection="0">
      <alignment horizontal="left" vertical="top"/>
    </xf>
    <xf numFmtId="0" fontId="2" fillId="0" borderId="5806" applyNumberFormat="0" applyAlignment="0" applyProtection="0"/>
    <xf numFmtId="246" fontId="250" fillId="0" borderId="5741" applyFill="0" applyProtection="0">
      <alignment horizontal="center"/>
    </xf>
    <xf numFmtId="246" fontId="249" fillId="0" borderId="5741" applyFill="0" applyProtection="0">
      <alignment horizontal="center"/>
    </xf>
    <xf numFmtId="0" fontId="241" fillId="94" borderId="5741" applyBorder="0" applyProtection="0">
      <alignment horizontal="centerContinuous" vertical="center"/>
    </xf>
    <xf numFmtId="254" fontId="240" fillId="0" borderId="5741" applyBorder="0" applyProtection="0">
      <alignment horizontal="right" vertical="center"/>
    </xf>
    <xf numFmtId="0" fontId="210" fillId="0" borderId="5741" applyNumberFormat="0" applyFill="0" applyBorder="0" applyAlignment="0">
      <protection locked="0"/>
    </xf>
    <xf numFmtId="264" fontId="12" fillId="14" borderId="5741" applyFont="0" applyFill="0" applyBorder="0" applyAlignment="0" applyProtection="0">
      <alignment horizontal="right"/>
    </xf>
    <xf numFmtId="0" fontId="166" fillId="0" borderId="5741">
      <alignment horizontal="center"/>
    </xf>
    <xf numFmtId="0" fontId="165" fillId="0" borderId="5741" applyFill="0" applyProtection="0">
      <alignment horizontal="center"/>
    </xf>
    <xf numFmtId="186" fontId="146" fillId="3" borderId="5741" applyBorder="0">
      <alignment horizontal="left" vertical="center"/>
    </xf>
    <xf numFmtId="180" fontId="9" fillId="3" borderId="5741">
      <alignment horizontal="right" vertical="center"/>
    </xf>
    <xf numFmtId="192" fontId="9" fillId="3" borderId="5741">
      <alignment horizontal="right" vertical="center"/>
    </xf>
    <xf numFmtId="248" fontId="46" fillId="0" borderId="5741"/>
    <xf numFmtId="0" fontId="12" fillId="0" borderId="5741" applyNumberFormat="0" applyFill="0" applyBorder="0" applyAlignment="0" applyProtection="0">
      <alignment horizontal="center"/>
    </xf>
    <xf numFmtId="0" fontId="113" fillId="0" borderId="5741" applyNumberFormat="0" applyFill="0" applyAlignment="0" applyProtection="0"/>
    <xf numFmtId="222" fontId="79" fillId="0" borderId="5740" applyBorder="0"/>
    <xf numFmtId="0" fontId="101" fillId="0" borderId="5741" applyBorder="0"/>
    <xf numFmtId="222" fontId="79" fillId="0" borderId="5740" applyBorder="0"/>
    <xf numFmtId="0" fontId="75" fillId="0" borderId="5730" applyNumberFormat="0" applyFont="0" applyFill="0" applyAlignment="0" applyProtection="0"/>
    <xf numFmtId="186" fontId="146" fillId="3" borderId="5732">
      <alignment horizontal="left"/>
    </xf>
    <xf numFmtId="186" fontId="140" fillId="3" borderId="5733">
      <alignment horizontal="center" vertical="center"/>
    </xf>
    <xf numFmtId="0" fontId="2" fillId="0" borderId="5734" applyNumberFormat="0" applyAlignment="0" applyProtection="0"/>
    <xf numFmtId="0" fontId="214" fillId="0" borderId="5735" applyNumberFormat="0" applyFont="0" applyFill="0" applyAlignment="0" applyProtection="0"/>
    <xf numFmtId="0" fontId="25" fillId="10" borderId="5736" applyNumberFormat="0" applyProtection="0">
      <alignment horizontal="left" vertical="top"/>
    </xf>
    <xf numFmtId="0" fontId="25" fillId="10" borderId="5737" applyNumberFormat="0" applyProtection="0">
      <alignment horizontal="left" vertical="top"/>
    </xf>
    <xf numFmtId="0" fontId="25" fillId="10" borderId="5738" applyNumberFormat="0" applyProtection="0">
      <alignment horizontal="left" vertical="top"/>
    </xf>
    <xf numFmtId="0" fontId="25" fillId="10" borderId="5739" applyNumberFormat="0" applyProtection="0">
      <alignment horizontal="left" vertical="top"/>
    </xf>
    <xf numFmtId="0" fontId="78" fillId="14" borderId="5731" applyFont="0" applyFill="0" applyBorder="0" applyAlignment="0" applyProtection="0"/>
    <xf numFmtId="222" fontId="79" fillId="0" borderId="5728" applyBorder="0"/>
    <xf numFmtId="0" fontId="78" fillId="14" borderId="5706" applyFont="0" applyFill="0" applyBorder="0" applyAlignment="0" applyProtection="0"/>
    <xf numFmtId="222" fontId="79" fillId="0" borderId="5716" applyBorder="0"/>
    <xf numFmtId="0" fontId="78" fillId="14" borderId="5719" applyFont="0" applyFill="0" applyBorder="0" applyAlignment="0" applyProtection="0"/>
    <xf numFmtId="0" fontId="25" fillId="10" borderId="5727" applyNumberFormat="0" applyProtection="0">
      <alignment horizontal="left" vertical="top"/>
    </xf>
    <xf numFmtId="0" fontId="25" fillId="10" borderId="5726" applyNumberFormat="0" applyProtection="0">
      <alignment horizontal="left" vertical="top"/>
    </xf>
    <xf numFmtId="0" fontId="25" fillId="10" borderId="5725" applyNumberFormat="0" applyProtection="0">
      <alignment horizontal="left" vertical="top"/>
    </xf>
    <xf numFmtId="0" fontId="25" fillId="10" borderId="5724" applyNumberFormat="0" applyProtection="0">
      <alignment horizontal="left" vertical="top"/>
    </xf>
    <xf numFmtId="0" fontId="214" fillId="0" borderId="5723" applyNumberFormat="0" applyFont="0" applyFill="0" applyAlignment="0" applyProtection="0"/>
    <xf numFmtId="186" fontId="140" fillId="3" borderId="5721">
      <alignment horizontal="center" vertical="center"/>
    </xf>
    <xf numFmtId="186" fontId="146" fillId="3" borderId="5720">
      <alignment horizontal="left"/>
    </xf>
    <xf numFmtId="0" fontId="75" fillId="0" borderId="5718" applyNumberFormat="0" applyFont="0" applyFill="0" applyAlignment="0" applyProtection="0"/>
    <xf numFmtId="222" fontId="79" fillId="0" borderId="5728" applyBorder="0"/>
    <xf numFmtId="0" fontId="101" fillId="0" borderId="5729" applyBorder="0"/>
    <xf numFmtId="222" fontId="79" fillId="0" borderId="5728" applyBorder="0"/>
    <xf numFmtId="0" fontId="113" fillId="0" borderId="5729" applyNumberFormat="0" applyFill="0" applyAlignment="0" applyProtection="0"/>
    <xf numFmtId="0" fontId="12" fillId="0" borderId="5729" applyNumberFormat="0" applyFill="0" applyBorder="0" applyAlignment="0" applyProtection="0">
      <alignment horizontal="center"/>
    </xf>
    <xf numFmtId="248" fontId="46" fillId="0" borderId="5729"/>
    <xf numFmtId="192" fontId="9" fillId="3" borderId="5729">
      <alignment horizontal="right" vertical="center"/>
    </xf>
    <xf numFmtId="180" fontId="9" fillId="3" borderId="5729">
      <alignment horizontal="right" vertical="center"/>
    </xf>
    <xf numFmtId="186" fontId="146" fillId="3" borderId="5729" applyBorder="0">
      <alignment horizontal="left" vertical="center"/>
    </xf>
    <xf numFmtId="0" fontId="165" fillId="0" borderId="5729" applyFill="0" applyProtection="0">
      <alignment horizontal="center"/>
    </xf>
    <xf numFmtId="0" fontId="166" fillId="0" borderId="5729">
      <alignment horizontal="center"/>
    </xf>
    <xf numFmtId="264" fontId="12" fillId="14" borderId="5729" applyFont="0" applyFill="0" applyBorder="0" applyAlignment="0" applyProtection="0">
      <alignment horizontal="right"/>
    </xf>
    <xf numFmtId="0" fontId="210" fillId="0" borderId="5729" applyNumberFormat="0" applyFill="0" applyBorder="0" applyAlignment="0">
      <protection locked="0"/>
    </xf>
    <xf numFmtId="254" fontId="240" fillId="0" borderId="5729" applyBorder="0" applyProtection="0">
      <alignment horizontal="right" vertical="center"/>
    </xf>
    <xf numFmtId="0" fontId="241" fillId="94" borderId="5729" applyBorder="0" applyProtection="0">
      <alignment horizontal="centerContinuous" vertical="center"/>
    </xf>
    <xf numFmtId="246" fontId="249" fillId="0" borderId="5729" applyFill="0" applyProtection="0">
      <alignment horizontal="center"/>
    </xf>
    <xf numFmtId="246" fontId="250" fillId="0" borderId="5729" applyFill="0" applyProtection="0">
      <alignment horizontal="center"/>
    </xf>
    <xf numFmtId="0" fontId="241" fillId="94" borderId="5813" applyBorder="0" applyProtection="0">
      <alignment horizontal="centerContinuous" vertical="center"/>
    </xf>
    <xf numFmtId="0" fontId="166" fillId="0" borderId="5813">
      <alignment horizontal="center"/>
    </xf>
    <xf numFmtId="0" fontId="2" fillId="0" borderId="5746" applyNumberFormat="0" applyAlignment="0" applyProtection="0"/>
    <xf numFmtId="0" fontId="214" fillId="0" borderId="5747" applyNumberFormat="0" applyFont="0" applyFill="0" applyAlignment="0" applyProtection="0"/>
    <xf numFmtId="246" fontId="250" fillId="0" borderId="5753" applyFill="0" applyProtection="0">
      <alignment horizontal="center"/>
    </xf>
    <xf numFmtId="246" fontId="249" fillId="0" borderId="5753" applyFill="0" applyProtection="0">
      <alignment horizontal="center"/>
    </xf>
    <xf numFmtId="0" fontId="241" fillId="94" borderId="5753" applyBorder="0" applyProtection="0">
      <alignment horizontal="centerContinuous" vertical="center"/>
    </xf>
    <xf numFmtId="254" fontId="240" fillId="0" borderId="5753" applyBorder="0" applyProtection="0">
      <alignment horizontal="right" vertical="center"/>
    </xf>
    <xf numFmtId="0" fontId="210" fillId="0" borderId="5753" applyNumberFormat="0" applyFill="0" applyBorder="0" applyAlignment="0">
      <protection locked="0"/>
    </xf>
    <xf numFmtId="264" fontId="12" fillId="14" borderId="5753" applyFont="0" applyFill="0" applyBorder="0" applyAlignment="0" applyProtection="0">
      <alignment horizontal="right"/>
    </xf>
    <xf numFmtId="0" fontId="166" fillId="0" borderId="5753">
      <alignment horizontal="center"/>
    </xf>
    <xf numFmtId="0" fontId="165" fillId="0" borderId="5753" applyFill="0" applyProtection="0">
      <alignment horizontal="center"/>
    </xf>
    <xf numFmtId="186" fontId="146" fillId="3" borderId="5753" applyBorder="0">
      <alignment horizontal="left" vertical="center"/>
    </xf>
    <xf numFmtId="180" fontId="9" fillId="3" borderId="5753">
      <alignment horizontal="right" vertical="center"/>
    </xf>
    <xf numFmtId="192" fontId="9" fillId="3" borderId="5753">
      <alignment horizontal="right" vertical="center"/>
    </xf>
    <xf numFmtId="248" fontId="46" fillId="0" borderId="5753"/>
    <xf numFmtId="0" fontId="12" fillId="0" borderId="5753" applyNumberFormat="0" applyFill="0" applyBorder="0" applyAlignment="0" applyProtection="0">
      <alignment horizontal="center"/>
    </xf>
    <xf numFmtId="0" fontId="113" fillId="0" borderId="5753" applyNumberFormat="0" applyFill="0" applyAlignment="0" applyProtection="0"/>
    <xf numFmtId="222" fontId="79" fillId="0" borderId="5752" applyBorder="0"/>
    <xf numFmtId="0" fontId="101" fillId="0" borderId="5753" applyBorder="0"/>
    <xf numFmtId="222" fontId="79" fillId="0" borderId="5752" applyBorder="0"/>
    <xf numFmtId="0" fontId="75" fillId="0" borderId="5742" applyNumberFormat="0" applyFont="0" applyFill="0" applyAlignment="0" applyProtection="0"/>
    <xf numFmtId="186" fontId="146" fillId="3" borderId="5744">
      <alignment horizontal="left"/>
    </xf>
    <xf numFmtId="186" fontId="140" fillId="3" borderId="5745">
      <alignment horizontal="center" vertical="center"/>
    </xf>
    <xf numFmtId="0" fontId="2" fillId="0" borderId="5746" applyNumberFormat="0" applyAlignment="0" applyProtection="0"/>
    <xf numFmtId="0" fontId="214" fillId="0" borderId="5747" applyNumberFormat="0" applyFont="0" applyFill="0" applyAlignment="0" applyProtection="0"/>
    <xf numFmtId="0" fontId="25" fillId="10" borderId="5748" applyNumberFormat="0" applyProtection="0">
      <alignment horizontal="left" vertical="top"/>
    </xf>
    <xf numFmtId="0" fontId="25" fillId="10" borderId="5749" applyNumberFormat="0" applyProtection="0">
      <alignment horizontal="left" vertical="top"/>
    </xf>
    <xf numFmtId="0" fontId="25" fillId="10" borderId="5750" applyNumberFormat="0" applyProtection="0">
      <alignment horizontal="left" vertical="top"/>
    </xf>
    <xf numFmtId="0" fontId="25" fillId="10" borderId="5751" applyNumberFormat="0" applyProtection="0">
      <alignment horizontal="left" vertical="top"/>
    </xf>
    <xf numFmtId="0" fontId="78" fillId="14" borderId="5743" applyFont="0" applyFill="0" applyBorder="0" applyAlignment="0" applyProtection="0"/>
    <xf numFmtId="222" fontId="79" fillId="0" borderId="5740" applyBorder="0"/>
    <xf numFmtId="0" fontId="78" fillId="14" borderId="5755" applyFont="0" applyFill="0" applyBorder="0" applyAlignment="0" applyProtection="0"/>
    <xf numFmtId="186" fontId="146" fillId="3" borderId="5744">
      <alignment horizontal="left"/>
    </xf>
    <xf numFmtId="0" fontId="78" fillId="14" borderId="5731" applyFont="0" applyFill="0" applyBorder="0" applyAlignment="0" applyProtection="0"/>
    <xf numFmtId="222" fontId="79" fillId="0" borderId="5740" applyBorder="0"/>
    <xf numFmtId="0" fontId="2" fillId="0" borderId="5758" applyNumberFormat="0" applyAlignment="0" applyProtection="0"/>
    <xf numFmtId="0" fontId="78" fillId="14" borderId="5731" applyFont="0" applyFill="0" applyBorder="0" applyAlignment="0" applyProtection="0"/>
    <xf numFmtId="0" fontId="25" fillId="10" borderId="5739" applyNumberFormat="0" applyProtection="0">
      <alignment horizontal="left" vertical="top"/>
    </xf>
    <xf numFmtId="0" fontId="25" fillId="10" borderId="5738" applyNumberFormat="0" applyProtection="0">
      <alignment horizontal="left" vertical="top"/>
    </xf>
    <xf numFmtId="0" fontId="25" fillId="10" borderId="5737" applyNumberFormat="0" applyProtection="0">
      <alignment horizontal="left" vertical="top"/>
    </xf>
    <xf numFmtId="0" fontId="25" fillId="10" borderId="5736" applyNumberFormat="0" applyProtection="0">
      <alignment horizontal="left" vertical="top"/>
    </xf>
    <xf numFmtId="0" fontId="25" fillId="10" borderId="5761" applyNumberFormat="0" applyProtection="0">
      <alignment horizontal="left" vertical="top"/>
    </xf>
    <xf numFmtId="0" fontId="214" fillId="0" borderId="5735" applyNumberFormat="0" applyFont="0" applyFill="0" applyAlignment="0" applyProtection="0"/>
    <xf numFmtId="0" fontId="2" fillId="0" borderId="5734" applyNumberFormat="0" applyAlignment="0" applyProtection="0"/>
    <xf numFmtId="186" fontId="140" fillId="3" borderId="5733">
      <alignment horizontal="center" vertical="center"/>
    </xf>
    <xf numFmtId="186" fontId="146" fillId="3" borderId="5732">
      <alignment horizontal="left"/>
    </xf>
    <xf numFmtId="0" fontId="25" fillId="10" borderId="5763" applyNumberFormat="0" applyProtection="0">
      <alignment horizontal="left" vertical="top"/>
    </xf>
    <xf numFmtId="0" fontId="75" fillId="0" borderId="5730" applyNumberFormat="0" applyFont="0" applyFill="0" applyAlignment="0" applyProtection="0"/>
    <xf numFmtId="222" fontId="79" fillId="0" borderId="5740" applyBorder="0"/>
    <xf numFmtId="0" fontId="101" fillId="0" borderId="5741" applyBorder="0"/>
    <xf numFmtId="222" fontId="79" fillId="0" borderId="5740" applyBorder="0"/>
    <xf numFmtId="0" fontId="113" fillId="0" borderId="5741" applyNumberFormat="0" applyFill="0" applyAlignment="0" applyProtection="0"/>
    <xf numFmtId="0" fontId="12" fillId="0" borderId="5741" applyNumberFormat="0" applyFill="0" applyBorder="0" applyAlignment="0" applyProtection="0">
      <alignment horizontal="center"/>
    </xf>
    <xf numFmtId="248" fontId="46" fillId="0" borderId="5741"/>
    <xf numFmtId="192" fontId="9" fillId="3" borderId="5741">
      <alignment horizontal="right" vertical="center"/>
    </xf>
    <xf numFmtId="180" fontId="9" fillId="3" borderId="5741">
      <alignment horizontal="right" vertical="center"/>
    </xf>
    <xf numFmtId="186" fontId="146" fillId="3" borderId="5741" applyBorder="0">
      <alignment horizontal="left" vertical="center"/>
    </xf>
    <xf numFmtId="0" fontId="165" fillId="0" borderId="5741" applyFill="0" applyProtection="0">
      <alignment horizontal="center"/>
    </xf>
    <xf numFmtId="0" fontId="166" fillId="0" borderId="5741">
      <alignment horizontal="center"/>
    </xf>
    <xf numFmtId="264" fontId="12" fillId="14" borderId="5741" applyFont="0" applyFill="0" applyBorder="0" applyAlignment="0" applyProtection="0">
      <alignment horizontal="right"/>
    </xf>
    <xf numFmtId="0" fontId="210" fillId="0" borderId="5741" applyNumberFormat="0" applyFill="0" applyBorder="0" applyAlignment="0">
      <protection locked="0"/>
    </xf>
    <xf numFmtId="254" fontId="240" fillId="0" borderId="5741" applyBorder="0" applyProtection="0">
      <alignment horizontal="right" vertical="center"/>
    </xf>
    <xf numFmtId="0" fontId="241" fillId="94" borderId="5741" applyBorder="0" applyProtection="0">
      <alignment horizontal="centerContinuous" vertical="center"/>
    </xf>
    <xf numFmtId="246" fontId="249" fillId="0" borderId="5741" applyFill="0" applyProtection="0">
      <alignment horizontal="center"/>
    </xf>
    <xf numFmtId="246" fontId="250" fillId="0" borderId="5741" applyFill="0" applyProtection="0">
      <alignment horizontal="center"/>
    </xf>
    <xf numFmtId="186" fontId="140" fillId="3" borderId="5757">
      <alignment horizontal="center" vertical="center"/>
    </xf>
    <xf numFmtId="0" fontId="78" fillId="14" borderId="5743" applyFont="0" applyFill="0" applyBorder="0" applyAlignment="0" applyProtection="0"/>
    <xf numFmtId="222" fontId="79" fillId="0" borderId="5764" applyBorder="0"/>
    <xf numFmtId="0" fontId="78" fillId="14" borderId="5767" applyFont="0" applyFill="0" applyBorder="0" applyAlignment="0" applyProtection="0"/>
    <xf numFmtId="0" fontId="25" fillId="10" borderId="5775" applyNumberFormat="0" applyProtection="0">
      <alignment horizontal="left" vertical="top"/>
    </xf>
    <xf numFmtId="0" fontId="25" fillId="10" borderId="5774" applyNumberFormat="0" applyProtection="0">
      <alignment horizontal="left" vertical="top"/>
    </xf>
    <xf numFmtId="0" fontId="25" fillId="10" borderId="5773" applyNumberFormat="0" applyProtection="0">
      <alignment horizontal="left" vertical="top"/>
    </xf>
    <xf numFmtId="0" fontId="25" fillId="10" borderId="5772" applyNumberFormat="0" applyProtection="0">
      <alignment horizontal="left" vertical="top"/>
    </xf>
    <xf numFmtId="0" fontId="214" fillId="0" borderId="5771" applyNumberFormat="0" applyFont="0" applyFill="0" applyAlignment="0" applyProtection="0"/>
    <xf numFmtId="0" fontId="2" fillId="0" borderId="5770" applyNumberFormat="0" applyAlignment="0" applyProtection="0"/>
    <xf numFmtId="186" fontId="140" fillId="3" borderId="5769">
      <alignment horizontal="center" vertical="center"/>
    </xf>
    <xf numFmtId="186" fontId="146" fillId="3" borderId="5768">
      <alignment horizontal="left"/>
    </xf>
    <xf numFmtId="0" fontId="75" fillId="0" borderId="5766" applyNumberFormat="0" applyFont="0" applyFill="0" applyAlignment="0" applyProtection="0"/>
    <xf numFmtId="222" fontId="79" fillId="0" borderId="5776" applyBorder="0"/>
    <xf numFmtId="0" fontId="101" fillId="0" borderId="5777" applyBorder="0"/>
    <xf numFmtId="222" fontId="79" fillId="0" borderId="5776" applyBorder="0"/>
    <xf numFmtId="0" fontId="113" fillId="0" borderId="5777" applyNumberFormat="0" applyFill="0" applyAlignment="0" applyProtection="0"/>
    <xf numFmtId="0" fontId="12" fillId="0" borderId="5777" applyNumberFormat="0" applyFill="0" applyBorder="0" applyAlignment="0" applyProtection="0">
      <alignment horizontal="center"/>
    </xf>
    <xf numFmtId="248" fontId="46" fillId="0" borderId="5777"/>
    <xf numFmtId="192" fontId="9" fillId="3" borderId="5777">
      <alignment horizontal="right" vertical="center"/>
    </xf>
    <xf numFmtId="180" fontId="9" fillId="3" borderId="5777">
      <alignment horizontal="right" vertical="center"/>
    </xf>
    <xf numFmtId="186" fontId="146" fillId="3" borderId="5777" applyBorder="0">
      <alignment horizontal="left" vertical="center"/>
    </xf>
    <xf numFmtId="0" fontId="165" fillId="0" borderId="5777" applyFill="0" applyProtection="0">
      <alignment horizontal="center"/>
    </xf>
    <xf numFmtId="0" fontId="166" fillId="0" borderId="5777">
      <alignment horizontal="center"/>
    </xf>
    <xf numFmtId="264" fontId="12" fillId="14" borderId="5777" applyFont="0" applyFill="0" applyBorder="0" applyAlignment="0" applyProtection="0">
      <alignment horizontal="right"/>
    </xf>
    <xf numFmtId="0" fontId="210" fillId="0" borderId="5777" applyNumberFormat="0" applyFill="0" applyBorder="0" applyAlignment="0">
      <protection locked="0"/>
    </xf>
    <xf numFmtId="254" fontId="240" fillId="0" borderId="5777" applyBorder="0" applyProtection="0">
      <alignment horizontal="right" vertical="center"/>
    </xf>
    <xf numFmtId="0" fontId="241" fillId="94" borderId="5777" applyBorder="0" applyProtection="0">
      <alignment horizontal="centerContinuous" vertical="center"/>
    </xf>
    <xf numFmtId="246" fontId="249" fillId="0" borderId="5777" applyFill="0" applyProtection="0">
      <alignment horizontal="center"/>
    </xf>
    <xf numFmtId="246" fontId="250" fillId="0" borderId="5777" applyFill="0" applyProtection="0">
      <alignment horizontal="center"/>
    </xf>
    <xf numFmtId="222" fontId="79" fillId="0" borderId="5788" applyBorder="0"/>
    <xf numFmtId="0" fontId="78" fillId="14" borderId="5791" applyFont="0" applyFill="0" applyBorder="0" applyAlignment="0" applyProtection="0"/>
    <xf numFmtId="0" fontId="25" fillId="10" borderId="5799" applyNumberFormat="0" applyProtection="0">
      <alignment horizontal="left" vertical="top"/>
    </xf>
    <xf numFmtId="0" fontId="25" fillId="10" borderId="5798" applyNumberFormat="0" applyProtection="0">
      <alignment horizontal="left" vertical="top"/>
    </xf>
    <xf numFmtId="0" fontId="25" fillId="10" borderId="5797" applyNumberFormat="0" applyProtection="0">
      <alignment horizontal="left" vertical="top"/>
    </xf>
    <xf numFmtId="0" fontId="25" fillId="10" borderId="5796" applyNumberFormat="0" applyProtection="0">
      <alignment horizontal="left" vertical="top"/>
    </xf>
    <xf numFmtId="0" fontId="214" fillId="0" borderId="5795" applyNumberFormat="0" applyFont="0" applyFill="0" applyAlignment="0" applyProtection="0"/>
    <xf numFmtId="0" fontId="2" fillId="0" borderId="5794" applyNumberFormat="0" applyAlignment="0" applyProtection="0"/>
    <xf numFmtId="186" fontId="140" fillId="3" borderId="5793">
      <alignment horizontal="center" vertical="center"/>
    </xf>
    <xf numFmtId="186" fontId="146" fillId="3" borderId="5792">
      <alignment horizontal="left"/>
    </xf>
    <xf numFmtId="0" fontId="75" fillId="0" borderId="5790" applyNumberFormat="0" applyFont="0" applyFill="0" applyAlignment="0" applyProtection="0"/>
    <xf numFmtId="222" fontId="79" fillId="0" borderId="5800" applyBorder="0"/>
    <xf numFmtId="0" fontId="101" fillId="0" borderId="5801" applyBorder="0"/>
    <xf numFmtId="222" fontId="79" fillId="0" borderId="5800" applyBorder="0"/>
    <xf numFmtId="0" fontId="113" fillId="0" borderId="5801" applyNumberFormat="0" applyFill="0" applyAlignment="0" applyProtection="0"/>
    <xf numFmtId="0" fontId="12" fillId="0" borderId="5801" applyNumberFormat="0" applyFill="0" applyBorder="0" applyAlignment="0" applyProtection="0">
      <alignment horizontal="center"/>
    </xf>
    <xf numFmtId="248" fontId="46" fillId="0" borderId="5801"/>
    <xf numFmtId="192" fontId="9" fillId="3" borderId="5801">
      <alignment horizontal="right" vertical="center"/>
    </xf>
    <xf numFmtId="180" fontId="9" fillId="3" borderId="5801">
      <alignment horizontal="right" vertical="center"/>
    </xf>
    <xf numFmtId="186" fontId="146" fillId="3" borderId="5801" applyBorder="0">
      <alignment horizontal="left" vertical="center"/>
    </xf>
    <xf numFmtId="0" fontId="165" fillId="0" borderId="5801" applyFill="0" applyProtection="0">
      <alignment horizontal="center"/>
    </xf>
    <xf numFmtId="0" fontId="166" fillId="0" borderId="5801">
      <alignment horizontal="center"/>
    </xf>
    <xf numFmtId="264" fontId="12" fillId="14" borderId="5801" applyFont="0" applyFill="0" applyBorder="0" applyAlignment="0" applyProtection="0">
      <alignment horizontal="right"/>
    </xf>
    <xf numFmtId="0" fontId="210" fillId="0" borderId="5801" applyNumberFormat="0" applyFill="0" applyBorder="0" applyAlignment="0">
      <protection locked="0"/>
    </xf>
    <xf numFmtId="254" fontId="240" fillId="0" borderId="5801" applyBorder="0" applyProtection="0">
      <alignment horizontal="right" vertical="center"/>
    </xf>
    <xf numFmtId="0" fontId="241" fillId="94" borderId="5801" applyBorder="0" applyProtection="0">
      <alignment horizontal="centerContinuous" vertical="center"/>
    </xf>
    <xf numFmtId="246" fontId="249" fillId="0" borderId="5801" applyFill="0" applyProtection="0">
      <alignment horizontal="center"/>
    </xf>
    <xf numFmtId="246" fontId="250" fillId="0" borderId="5801" applyFill="0" applyProtection="0">
      <alignment horizontal="center"/>
    </xf>
    <xf numFmtId="0" fontId="75" fillId="0" borderId="5814" applyNumberFormat="0" applyFont="0" applyFill="0" applyAlignment="0" applyProtection="0"/>
    <xf numFmtId="0" fontId="78" fillId="14" borderId="5815" applyFont="0" applyFill="0" applyBorder="0" applyAlignment="0" applyProtection="0"/>
    <xf numFmtId="186" fontId="146" fillId="3" borderId="5816">
      <alignment horizontal="left"/>
    </xf>
    <xf numFmtId="186" fontId="140" fillId="3" borderId="5817">
      <alignment horizontal="center" vertical="center"/>
    </xf>
    <xf numFmtId="0" fontId="2" fillId="0" borderId="5818" applyNumberFormat="0" applyAlignment="0" applyProtection="0"/>
    <xf numFmtId="0" fontId="214" fillId="0" borderId="5819" applyNumberFormat="0" applyFont="0" applyFill="0" applyAlignment="0" applyProtection="0"/>
    <xf numFmtId="0" fontId="25" fillId="10" borderId="5820" applyNumberFormat="0" applyProtection="0">
      <alignment horizontal="left" vertical="top"/>
    </xf>
    <xf numFmtId="0" fontId="25" fillId="10" borderId="5821" applyNumberFormat="0" applyProtection="0">
      <alignment horizontal="left" vertical="top"/>
    </xf>
    <xf numFmtId="0" fontId="25" fillId="10" borderId="5822" applyNumberFormat="0" applyProtection="0">
      <alignment horizontal="left" vertical="top"/>
    </xf>
    <xf numFmtId="0" fontId="25" fillId="10" borderId="5823" applyNumberFormat="0" applyProtection="0">
      <alignment horizontal="left" vertical="top"/>
    </xf>
    <xf numFmtId="246" fontId="250" fillId="0" borderId="5813" applyFill="0" applyProtection="0">
      <alignment horizontal="center"/>
    </xf>
    <xf numFmtId="246" fontId="249" fillId="0" borderId="5813" applyFill="0" applyProtection="0">
      <alignment horizontal="center"/>
    </xf>
    <xf numFmtId="0" fontId="241" fillId="94" borderId="5813" applyBorder="0" applyProtection="0">
      <alignment horizontal="centerContinuous" vertical="center"/>
    </xf>
    <xf numFmtId="254" fontId="240" fillId="0" borderId="5813" applyBorder="0" applyProtection="0">
      <alignment horizontal="right" vertical="center"/>
    </xf>
    <xf numFmtId="0" fontId="210" fillId="0" borderId="5813" applyNumberFormat="0" applyFill="0" applyBorder="0" applyAlignment="0">
      <protection locked="0"/>
    </xf>
    <xf numFmtId="264" fontId="12" fillId="14" borderId="5813" applyFont="0" applyFill="0" applyBorder="0" applyAlignment="0" applyProtection="0">
      <alignment horizontal="right"/>
    </xf>
    <xf numFmtId="0" fontId="166" fillId="0" borderId="5813">
      <alignment horizontal="center"/>
    </xf>
    <xf numFmtId="0" fontId="165" fillId="0" borderId="5813" applyFill="0" applyProtection="0">
      <alignment horizontal="center"/>
    </xf>
    <xf numFmtId="186" fontId="146" fillId="3" borderId="5813" applyBorder="0">
      <alignment horizontal="left" vertical="center"/>
    </xf>
    <xf numFmtId="180" fontId="9" fillId="3" borderId="5813">
      <alignment horizontal="right" vertical="center"/>
    </xf>
    <xf numFmtId="192" fontId="9" fillId="3" borderId="5813">
      <alignment horizontal="right" vertical="center"/>
    </xf>
    <xf numFmtId="0" fontId="12" fillId="0" borderId="5813" applyNumberFormat="0" applyFill="0" applyBorder="0" applyAlignment="0" applyProtection="0">
      <alignment horizontal="center"/>
    </xf>
    <xf numFmtId="0" fontId="113" fillId="0" borderId="5813" applyNumberFormat="0" applyFill="0" applyAlignment="0" applyProtection="0"/>
    <xf numFmtId="222" fontId="79" fillId="0" borderId="5812" applyBorder="0"/>
    <xf numFmtId="0" fontId="101" fillId="0" borderId="5813" applyBorder="0"/>
    <xf numFmtId="248" fontId="46" fillId="0" borderId="5813"/>
    <xf numFmtId="0" fontId="101" fillId="0" borderId="5813" applyBorder="0"/>
    <xf numFmtId="222" fontId="79" fillId="0" borderId="5812" applyBorder="0"/>
    <xf numFmtId="0" fontId="113" fillId="0" borderId="5813" applyNumberFormat="0" applyFill="0" applyAlignment="0" applyProtection="0"/>
    <xf numFmtId="0" fontId="75" fillId="0" borderId="5814" applyNumberFormat="0" applyFont="0" applyFill="0" applyAlignment="0" applyProtection="0"/>
    <xf numFmtId="0" fontId="12" fillId="0" borderId="5813" applyNumberFormat="0" applyFill="0" applyBorder="0" applyAlignment="0" applyProtection="0">
      <alignment horizontal="center"/>
    </xf>
    <xf numFmtId="248" fontId="46" fillId="0" borderId="5813"/>
    <xf numFmtId="192" fontId="9" fillId="3" borderId="5813">
      <alignment horizontal="right" vertical="center"/>
    </xf>
    <xf numFmtId="180" fontId="9" fillId="3" borderId="5813">
      <alignment horizontal="right" vertical="center"/>
    </xf>
    <xf numFmtId="186" fontId="146" fillId="3" borderId="5813" applyBorder="0">
      <alignment horizontal="left" vertical="center"/>
    </xf>
    <xf numFmtId="186" fontId="146" fillId="3" borderId="5816">
      <alignment horizontal="left"/>
    </xf>
    <xf numFmtId="186" fontId="140" fillId="3" borderId="5817">
      <alignment horizontal="center" vertical="center"/>
    </xf>
    <xf numFmtId="0" fontId="165" fillId="0" borderId="5813" applyFill="0" applyProtection="0">
      <alignment horizontal="center"/>
    </xf>
    <xf numFmtId="0" fontId="166" fillId="0" borderId="5813">
      <alignment horizontal="center"/>
    </xf>
    <xf numFmtId="264" fontId="12" fillId="14" borderId="5813" applyFont="0" applyFill="0" applyBorder="0" applyAlignment="0" applyProtection="0">
      <alignment horizontal="right"/>
    </xf>
    <xf numFmtId="0" fontId="210" fillId="0" borderId="5813" applyNumberFormat="0" applyFill="0" applyBorder="0" applyAlignment="0">
      <protection locked="0"/>
    </xf>
    <xf numFmtId="0" fontId="2" fillId="0" borderId="5818" applyNumberFormat="0" applyAlignment="0" applyProtection="0"/>
    <xf numFmtId="0" fontId="214" fillId="0" borderId="5819" applyNumberFormat="0" applyFont="0" applyFill="0" applyAlignment="0" applyProtection="0"/>
    <xf numFmtId="0" fontId="25" fillId="10" borderId="5820" applyNumberFormat="0" applyProtection="0">
      <alignment horizontal="left" vertical="top"/>
    </xf>
    <xf numFmtId="0" fontId="25" fillId="10" borderId="5821" applyNumberFormat="0" applyProtection="0">
      <alignment horizontal="left" vertical="top"/>
    </xf>
    <xf numFmtId="0" fontId="25" fillId="10" borderId="5822" applyNumberFormat="0" applyProtection="0">
      <alignment horizontal="left" vertical="top"/>
    </xf>
    <xf numFmtId="0" fontId="25" fillId="10" borderId="5823" applyNumberFormat="0" applyProtection="0">
      <alignment horizontal="left" vertical="top"/>
    </xf>
    <xf numFmtId="0" fontId="25" fillId="10" borderId="5820" applyNumberFormat="0" applyProtection="0">
      <alignment horizontal="left" vertical="top"/>
    </xf>
    <xf numFmtId="0" fontId="25" fillId="10" borderId="5821" applyNumberFormat="0" applyProtection="0">
      <alignment horizontal="left" vertical="top"/>
    </xf>
    <xf numFmtId="0" fontId="25" fillId="10" borderId="5822" applyNumberFormat="0" applyProtection="0">
      <alignment horizontal="left" vertical="top"/>
    </xf>
    <xf numFmtId="0" fontId="25" fillId="10" borderId="5823" applyNumberFormat="0" applyProtection="0">
      <alignment horizontal="left" vertical="top"/>
    </xf>
    <xf numFmtId="254" fontId="240" fillId="0" borderId="5813" applyBorder="0" applyProtection="0">
      <alignment horizontal="right" vertical="center"/>
    </xf>
    <xf numFmtId="0" fontId="241" fillId="94" borderId="5813" applyBorder="0" applyProtection="0">
      <alignment horizontal="centerContinuous" vertical="center"/>
    </xf>
    <xf numFmtId="246" fontId="249" fillId="0" borderId="5813" applyFill="0" applyProtection="0">
      <alignment horizontal="center"/>
    </xf>
    <xf numFmtId="246" fontId="250" fillId="0" borderId="5813" applyFill="0" applyProtection="0">
      <alignment horizontal="center"/>
    </xf>
    <xf numFmtId="190" fontId="101" fillId="0" borderId="5813" applyBorder="0"/>
    <xf numFmtId="190" fontId="113" fillId="0" borderId="5813" applyNumberFormat="0" applyFill="0" applyAlignment="0" applyProtection="0"/>
    <xf numFmtId="190" fontId="75" fillId="0" borderId="5790" applyNumberFormat="0" applyFont="0" applyFill="0" applyAlignment="0" applyProtection="0"/>
    <xf numFmtId="190" fontId="12" fillId="0" borderId="5813" applyNumberFormat="0" applyFill="0" applyBorder="0" applyAlignment="0" applyProtection="0">
      <alignment horizontal="center"/>
    </xf>
    <xf numFmtId="190" fontId="78" fillId="14" borderId="5803" applyFont="0" applyFill="0" applyBorder="0" applyAlignment="0" applyProtection="0"/>
    <xf numFmtId="190" fontId="165" fillId="0" borderId="5813" applyFill="0" applyProtection="0">
      <alignment horizontal="center"/>
    </xf>
    <xf numFmtId="190" fontId="166" fillId="0" borderId="5813">
      <alignment horizontal="center"/>
    </xf>
    <xf numFmtId="190" fontId="210" fillId="0" borderId="5813" applyNumberFormat="0" applyFill="0" applyBorder="0" applyAlignment="0">
      <protection locked="0"/>
    </xf>
    <xf numFmtId="190" fontId="2" fillId="0" borderId="5794" applyNumberFormat="0" applyAlignment="0" applyProtection="0"/>
    <xf numFmtId="190" fontId="214" fillId="0" borderId="5795" applyNumberFormat="0" applyFont="0" applyFill="0" applyAlignment="0" applyProtection="0"/>
    <xf numFmtId="190" fontId="25" fillId="10" borderId="5796" applyNumberFormat="0" applyProtection="0">
      <alignment horizontal="left" vertical="top"/>
    </xf>
    <xf numFmtId="190" fontId="25" fillId="10" borderId="5797" applyNumberFormat="0" applyProtection="0">
      <alignment horizontal="left" vertical="top"/>
    </xf>
    <xf numFmtId="190" fontId="25" fillId="10" borderId="5798" applyNumberFormat="0" applyProtection="0">
      <alignment horizontal="left" vertical="top"/>
    </xf>
    <xf numFmtId="190" fontId="25" fillId="10" borderId="5799" applyNumberFormat="0" applyProtection="0">
      <alignment horizontal="left" vertical="top"/>
    </xf>
    <xf numFmtId="190" fontId="241" fillId="94" borderId="5813" applyBorder="0" applyProtection="0">
      <alignment horizontal="centerContinuous" vertical="center"/>
    </xf>
    <xf numFmtId="222" fontId="79" fillId="0" borderId="5812" applyBorder="0"/>
    <xf numFmtId="0" fontId="101" fillId="0" borderId="5813" applyBorder="0"/>
    <xf numFmtId="222" fontId="79" fillId="0" borderId="5812" applyBorder="0"/>
    <xf numFmtId="0" fontId="113" fillId="0" borderId="5813" applyNumberFormat="0" applyFill="0" applyAlignment="0" applyProtection="0"/>
    <xf numFmtId="0" fontId="75" fillId="0" borderId="5790" applyNumberFormat="0" applyFont="0" applyFill="0" applyAlignment="0" applyProtection="0"/>
    <xf numFmtId="0" fontId="12" fillId="0" borderId="5813" applyNumberFormat="0" applyFill="0" applyBorder="0" applyAlignment="0" applyProtection="0">
      <alignment horizontal="center"/>
    </xf>
    <xf numFmtId="248" fontId="46" fillId="0" borderId="5813"/>
    <xf numFmtId="192" fontId="9" fillId="3" borderId="5813">
      <alignment horizontal="right" vertical="center"/>
    </xf>
    <xf numFmtId="180" fontId="9" fillId="3" borderId="5813">
      <alignment horizontal="right" vertical="center"/>
    </xf>
    <xf numFmtId="186" fontId="146" fillId="3" borderId="5813" applyBorder="0">
      <alignment horizontal="left" vertical="center"/>
    </xf>
    <xf numFmtId="186" fontId="146" fillId="3" borderId="5792">
      <alignment horizontal="left"/>
    </xf>
    <xf numFmtId="186" fontId="140" fillId="3" borderId="5793">
      <alignment horizontal="center" vertical="center"/>
    </xf>
    <xf numFmtId="0" fontId="165" fillId="0" borderId="5813" applyFill="0" applyProtection="0">
      <alignment horizontal="center"/>
    </xf>
    <xf numFmtId="0" fontId="166" fillId="0" borderId="5813">
      <alignment horizontal="center"/>
    </xf>
    <xf numFmtId="264" fontId="12" fillId="14" borderId="5813" applyFont="0" applyFill="0" applyBorder="0" applyAlignment="0" applyProtection="0">
      <alignment horizontal="right"/>
    </xf>
    <xf numFmtId="0" fontId="210" fillId="0" borderId="5813" applyNumberFormat="0" applyFill="0" applyBorder="0" applyAlignment="0">
      <protection locked="0"/>
    </xf>
    <xf numFmtId="0" fontId="2" fillId="0" borderId="5794" applyNumberFormat="0" applyAlignment="0" applyProtection="0"/>
    <xf numFmtId="0" fontId="214" fillId="0" borderId="5795" applyNumberFormat="0" applyFont="0" applyFill="0" applyAlignment="0" applyProtection="0"/>
    <xf numFmtId="0" fontId="25" fillId="10" borderId="5796" applyNumberFormat="0" applyProtection="0">
      <alignment horizontal="left" vertical="top"/>
    </xf>
    <xf numFmtId="0" fontId="25" fillId="10" borderId="5797" applyNumberFormat="0" applyProtection="0">
      <alignment horizontal="left" vertical="top"/>
    </xf>
    <xf numFmtId="0" fontId="25" fillId="10" borderId="5798" applyNumberFormat="0" applyProtection="0">
      <alignment horizontal="left" vertical="top"/>
    </xf>
    <xf numFmtId="0" fontId="25" fillId="10" borderId="5799" applyNumberFormat="0" applyProtection="0">
      <alignment horizontal="left" vertical="top"/>
    </xf>
    <xf numFmtId="0" fontId="25" fillId="10" borderId="5796" applyNumberFormat="0" applyProtection="0">
      <alignment horizontal="left" vertical="top"/>
    </xf>
    <xf numFmtId="0" fontId="25" fillId="10" borderId="5797" applyNumberFormat="0" applyProtection="0">
      <alignment horizontal="left" vertical="top"/>
    </xf>
    <xf numFmtId="0" fontId="25" fillId="10" borderId="5798" applyNumberFormat="0" applyProtection="0">
      <alignment horizontal="left" vertical="top"/>
    </xf>
    <xf numFmtId="0" fontId="25" fillId="10" borderId="5799" applyNumberFormat="0" applyProtection="0">
      <alignment horizontal="left" vertical="top"/>
    </xf>
    <xf numFmtId="254" fontId="240" fillId="0" borderId="5813" applyBorder="0" applyProtection="0">
      <alignment horizontal="right" vertical="center"/>
    </xf>
    <xf numFmtId="0" fontId="241" fillId="94" borderId="5813" applyBorder="0" applyProtection="0">
      <alignment horizontal="centerContinuous" vertical="center"/>
    </xf>
    <xf numFmtId="246" fontId="249" fillId="0" borderId="5813" applyFill="0" applyProtection="0">
      <alignment horizontal="center"/>
    </xf>
    <xf numFmtId="246" fontId="250" fillId="0" borderId="5813" applyFill="0" applyProtection="0">
      <alignment horizontal="center"/>
    </xf>
    <xf numFmtId="312" fontId="101" fillId="0" borderId="5813" applyBorder="0"/>
    <xf numFmtId="312" fontId="113" fillId="0" borderId="5813" applyNumberFormat="0" applyFill="0" applyAlignment="0" applyProtection="0"/>
    <xf numFmtId="312" fontId="75" fillId="0" borderId="5790" applyNumberFormat="0" applyFont="0" applyFill="0" applyAlignment="0" applyProtection="0"/>
    <xf numFmtId="312" fontId="12" fillId="0" borderId="5813" applyNumberFormat="0" applyFill="0" applyBorder="0" applyAlignment="0" applyProtection="0">
      <alignment horizontal="center"/>
    </xf>
    <xf numFmtId="312" fontId="165" fillId="0" borderId="5813" applyFill="0" applyProtection="0">
      <alignment horizontal="center"/>
    </xf>
    <xf numFmtId="312" fontId="242" fillId="0" borderId="5813">
      <alignment horizontal="center"/>
    </xf>
    <xf numFmtId="312" fontId="210" fillId="0" borderId="5813" applyNumberFormat="0" applyFill="0" applyBorder="0" applyAlignment="0">
      <protection locked="0"/>
    </xf>
    <xf numFmtId="312" fontId="2" fillId="0" borderId="5794" applyNumberFormat="0" applyAlignment="0" applyProtection="0"/>
    <xf numFmtId="312" fontId="214" fillId="0" borderId="5795" applyNumberFormat="0" applyFont="0" applyFill="0" applyAlignment="0" applyProtection="0"/>
    <xf numFmtId="312" fontId="25" fillId="10" borderId="5796" applyNumberFormat="0" applyProtection="0">
      <alignment horizontal="left" vertical="top"/>
    </xf>
    <xf numFmtId="312" fontId="25" fillId="10" borderId="5797" applyNumberFormat="0" applyProtection="0">
      <alignment horizontal="left" vertical="top"/>
    </xf>
    <xf numFmtId="312" fontId="25" fillId="10" borderId="5798" applyNumberFormat="0" applyProtection="0">
      <alignment horizontal="left" vertical="top"/>
    </xf>
    <xf numFmtId="312" fontId="25" fillId="10" borderId="5799" applyNumberFormat="0" applyProtection="0">
      <alignment horizontal="left" vertical="top"/>
    </xf>
    <xf numFmtId="312" fontId="241" fillId="94" borderId="5813" applyBorder="0" applyProtection="0">
      <alignment horizontal="centerContinuous" vertical="center"/>
    </xf>
    <xf numFmtId="246" fontId="296" fillId="0" borderId="5813" applyFill="0" applyProtection="0">
      <alignment horizontal="center"/>
    </xf>
    <xf numFmtId="312" fontId="101" fillId="0" borderId="5813" applyBorder="0"/>
    <xf numFmtId="312" fontId="113" fillId="0" borderId="5813" applyNumberFormat="0" applyFill="0" applyAlignment="0" applyProtection="0"/>
    <xf numFmtId="312" fontId="75" fillId="0" borderId="5790" applyNumberFormat="0" applyFont="0" applyFill="0" applyAlignment="0" applyProtection="0"/>
    <xf numFmtId="312" fontId="12" fillId="0" borderId="5813" applyNumberFormat="0" applyFill="0" applyBorder="0" applyAlignment="0" applyProtection="0">
      <alignment horizontal="center"/>
    </xf>
    <xf numFmtId="312" fontId="165" fillId="0" borderId="5813" applyFill="0" applyProtection="0">
      <alignment horizontal="center"/>
    </xf>
    <xf numFmtId="312" fontId="242" fillId="0" borderId="5813">
      <alignment horizontal="center"/>
    </xf>
    <xf numFmtId="312" fontId="210" fillId="0" borderId="5813" applyNumberFormat="0" applyFill="0" applyBorder="0" applyAlignment="0">
      <protection locked="0"/>
    </xf>
    <xf numFmtId="312" fontId="2" fillId="0" borderId="5794" applyNumberFormat="0" applyAlignment="0" applyProtection="0"/>
    <xf numFmtId="312" fontId="214" fillId="0" borderId="5795" applyNumberFormat="0" applyFont="0" applyFill="0" applyAlignment="0" applyProtection="0"/>
    <xf numFmtId="312" fontId="25" fillId="10" borderId="5796" applyNumberFormat="0" applyProtection="0">
      <alignment horizontal="left" vertical="top"/>
    </xf>
    <xf numFmtId="312" fontId="25" fillId="10" borderId="5797" applyNumberFormat="0" applyProtection="0">
      <alignment horizontal="left" vertical="top"/>
    </xf>
    <xf numFmtId="312" fontId="25" fillId="10" borderId="5798" applyNumberFormat="0" applyProtection="0">
      <alignment horizontal="left" vertical="top"/>
    </xf>
    <xf numFmtId="312" fontId="25" fillId="10" borderId="5799" applyNumberFormat="0" applyProtection="0">
      <alignment horizontal="left" vertical="top"/>
    </xf>
    <xf numFmtId="312" fontId="25" fillId="10" borderId="5796" applyNumberFormat="0" applyProtection="0">
      <alignment horizontal="left" vertical="top"/>
    </xf>
    <xf numFmtId="312" fontId="25" fillId="10" borderId="5797" applyNumberFormat="0" applyProtection="0">
      <alignment horizontal="left" vertical="top"/>
    </xf>
    <xf numFmtId="312" fontId="25" fillId="10" borderId="5798" applyNumberFormat="0" applyProtection="0">
      <alignment horizontal="left" vertical="top"/>
    </xf>
    <xf numFmtId="312" fontId="25" fillId="10" borderId="5799" applyNumberFormat="0" applyProtection="0">
      <alignment horizontal="left" vertical="top"/>
    </xf>
    <xf numFmtId="312" fontId="241" fillId="94" borderId="5813" applyBorder="0" applyProtection="0">
      <alignment horizontal="centerContinuous" vertical="center"/>
    </xf>
    <xf numFmtId="246" fontId="296" fillId="0" borderId="5813" applyFill="0" applyProtection="0">
      <alignment horizontal="center"/>
    </xf>
    <xf numFmtId="246" fontId="250" fillId="0" borderId="5813" applyFill="0" applyProtection="0">
      <alignment horizontal="center"/>
    </xf>
    <xf numFmtId="246" fontId="249" fillId="0" borderId="5813" applyFill="0" applyProtection="0">
      <alignment horizontal="center"/>
    </xf>
    <xf numFmtId="0" fontId="241" fillId="94" borderId="5813" applyBorder="0" applyProtection="0">
      <alignment horizontal="centerContinuous" vertical="center"/>
    </xf>
    <xf numFmtId="254" fontId="240" fillId="0" borderId="5813" applyBorder="0" applyProtection="0">
      <alignment horizontal="right" vertical="center"/>
    </xf>
    <xf numFmtId="0" fontId="25" fillId="10" borderId="5811" applyNumberFormat="0" applyProtection="0">
      <alignment horizontal="left" vertical="top"/>
    </xf>
    <xf numFmtId="0" fontId="25" fillId="10" borderId="5810" applyNumberFormat="0" applyProtection="0">
      <alignment horizontal="left" vertical="top"/>
    </xf>
    <xf numFmtId="0" fontId="25" fillId="10" borderId="5809" applyNumberFormat="0" applyProtection="0">
      <alignment horizontal="left" vertical="top"/>
    </xf>
    <xf numFmtId="0" fontId="25" fillId="10" borderId="5808" applyNumberFormat="0" applyProtection="0">
      <alignment horizontal="left" vertical="top"/>
    </xf>
    <xf numFmtId="0" fontId="214" fillId="0" borderId="5807" applyNumberFormat="0" applyFont="0" applyFill="0" applyAlignment="0" applyProtection="0"/>
    <xf numFmtId="0" fontId="2" fillId="0" borderId="5806" applyNumberFormat="0" applyAlignment="0" applyProtection="0"/>
    <xf numFmtId="0" fontId="210" fillId="0" borderId="5813" applyNumberFormat="0" applyFill="0" applyBorder="0" applyAlignment="0">
      <protection locked="0"/>
    </xf>
    <xf numFmtId="264" fontId="12" fillId="14" borderId="5813" applyFont="0" applyFill="0" applyBorder="0" applyAlignment="0" applyProtection="0">
      <alignment horizontal="right"/>
    </xf>
    <xf numFmtId="0" fontId="166" fillId="0" borderId="5813">
      <alignment horizontal="center"/>
    </xf>
    <xf numFmtId="0" fontId="165" fillId="0" borderId="5813" applyFill="0" applyProtection="0">
      <alignment horizontal="center"/>
    </xf>
    <xf numFmtId="186" fontId="140" fillId="3" borderId="5805">
      <alignment horizontal="center" vertical="center"/>
    </xf>
    <xf numFmtId="186" fontId="146" fillId="3" borderId="5804">
      <alignment horizontal="left"/>
    </xf>
    <xf numFmtId="186" fontId="146" fillId="3" borderId="5813" applyBorder="0">
      <alignment horizontal="left" vertical="center"/>
    </xf>
    <xf numFmtId="180" fontId="9" fillId="3" borderId="5813">
      <alignment horizontal="right" vertical="center"/>
    </xf>
    <xf numFmtId="192" fontId="9" fillId="3" borderId="5813">
      <alignment horizontal="right" vertical="center"/>
    </xf>
    <xf numFmtId="248" fontId="46" fillId="0" borderId="5813"/>
    <xf numFmtId="0" fontId="78" fillId="14" borderId="5803" applyFont="0" applyFill="0" applyBorder="0" applyAlignment="0" applyProtection="0"/>
    <xf numFmtId="0" fontId="12" fillId="0" borderId="5813" applyNumberFormat="0" applyFill="0" applyBorder="0" applyAlignment="0" applyProtection="0">
      <alignment horizontal="center"/>
    </xf>
    <xf numFmtId="0" fontId="75" fillId="0" borderId="5802" applyNumberFormat="0" applyFont="0" applyFill="0" applyAlignment="0" applyProtection="0"/>
    <xf numFmtId="0" fontId="113" fillId="0" borderId="5813" applyNumberFormat="0" applyFill="0" applyAlignment="0" applyProtection="0"/>
    <xf numFmtId="222" fontId="79" fillId="0" borderId="5812" applyBorder="0"/>
    <xf numFmtId="0" fontId="101" fillId="0" borderId="5813" applyBorder="0"/>
    <xf numFmtId="0" fontId="25" fillId="10" borderId="5820" applyNumberFormat="0" applyProtection="0">
      <alignment horizontal="left" vertical="top"/>
    </xf>
    <xf numFmtId="0" fontId="25" fillId="10" borderId="5821" applyNumberFormat="0" applyProtection="0">
      <alignment horizontal="left" vertical="top"/>
    </xf>
    <xf numFmtId="0" fontId="25" fillId="10" borderId="5822" applyNumberFormat="0" applyProtection="0">
      <alignment horizontal="left" vertical="top"/>
    </xf>
    <xf numFmtId="0" fontId="25" fillId="10" borderId="5823" applyNumberFormat="0" applyProtection="0">
      <alignment horizontal="left" vertical="top"/>
    </xf>
    <xf numFmtId="246" fontId="250" fillId="0" borderId="5801" applyFill="0" applyProtection="0">
      <alignment horizontal="center"/>
    </xf>
    <xf numFmtId="246" fontId="249" fillId="0" borderId="5801" applyFill="0" applyProtection="0">
      <alignment horizontal="center"/>
    </xf>
    <xf numFmtId="0" fontId="241" fillId="94" borderId="5801" applyBorder="0" applyProtection="0">
      <alignment horizontal="centerContinuous" vertical="center"/>
    </xf>
    <xf numFmtId="254" fontId="240" fillId="0" borderId="5801" applyBorder="0" applyProtection="0">
      <alignment horizontal="right" vertical="center"/>
    </xf>
    <xf numFmtId="0" fontId="210" fillId="0" borderId="5801" applyNumberFormat="0" applyFill="0" applyBorder="0" applyAlignment="0">
      <protection locked="0"/>
    </xf>
    <xf numFmtId="264" fontId="12" fillId="14" borderId="5801" applyFont="0" applyFill="0" applyBorder="0" applyAlignment="0" applyProtection="0">
      <alignment horizontal="right"/>
    </xf>
    <xf numFmtId="0" fontId="166" fillId="0" borderId="5801">
      <alignment horizontal="center"/>
    </xf>
    <xf numFmtId="0" fontId="165" fillId="0" borderId="5801" applyFill="0" applyProtection="0">
      <alignment horizontal="center"/>
    </xf>
    <xf numFmtId="186" fontId="146" fillId="3" borderId="5801" applyBorder="0">
      <alignment horizontal="left" vertical="center"/>
    </xf>
    <xf numFmtId="180" fontId="9" fillId="3" borderId="5801">
      <alignment horizontal="right" vertical="center"/>
    </xf>
    <xf numFmtId="192" fontId="9" fillId="3" borderId="5801">
      <alignment horizontal="right" vertical="center"/>
    </xf>
    <xf numFmtId="248" fontId="46" fillId="0" borderId="5801"/>
    <xf numFmtId="0" fontId="12" fillId="0" borderId="5801" applyNumberFormat="0" applyFill="0" applyBorder="0" applyAlignment="0" applyProtection="0">
      <alignment horizontal="center"/>
    </xf>
    <xf numFmtId="0" fontId="113" fillId="0" borderId="5801" applyNumberFormat="0" applyFill="0" applyAlignment="0" applyProtection="0"/>
    <xf numFmtId="222" fontId="79" fillId="0" borderId="5800" applyBorder="0"/>
    <xf numFmtId="0" fontId="101" fillId="0" borderId="5801" applyBorder="0"/>
    <xf numFmtId="246" fontId="250" fillId="0" borderId="5801" applyFill="0" applyProtection="0">
      <alignment horizontal="center"/>
    </xf>
    <xf numFmtId="246" fontId="249" fillId="0" borderId="5801" applyFill="0" applyProtection="0">
      <alignment horizontal="center"/>
    </xf>
    <xf numFmtId="0" fontId="241" fillId="94" borderId="5801" applyBorder="0" applyProtection="0">
      <alignment horizontal="centerContinuous" vertical="center"/>
    </xf>
    <xf numFmtId="254" fontId="240" fillId="0" borderId="5801" applyBorder="0" applyProtection="0">
      <alignment horizontal="right" vertical="center"/>
    </xf>
    <xf numFmtId="0" fontId="210" fillId="0" borderId="5801" applyNumberFormat="0" applyFill="0" applyBorder="0" applyAlignment="0">
      <protection locked="0"/>
    </xf>
    <xf numFmtId="264" fontId="12" fillId="14" borderId="5801" applyFont="0" applyFill="0" applyBorder="0" applyAlignment="0" applyProtection="0">
      <alignment horizontal="right"/>
    </xf>
    <xf numFmtId="0" fontId="166" fillId="0" borderId="5801">
      <alignment horizontal="center"/>
    </xf>
    <xf numFmtId="0" fontId="165" fillId="0" borderId="5801" applyFill="0" applyProtection="0">
      <alignment horizontal="center"/>
    </xf>
    <xf numFmtId="186" fontId="146" fillId="3" borderId="5801" applyBorder="0">
      <alignment horizontal="left" vertical="center"/>
    </xf>
    <xf numFmtId="180" fontId="9" fillId="3" borderId="5801">
      <alignment horizontal="right" vertical="center"/>
    </xf>
    <xf numFmtId="192" fontId="9" fillId="3" borderId="5801">
      <alignment horizontal="right" vertical="center"/>
    </xf>
    <xf numFmtId="0" fontId="12" fillId="0" borderId="5801" applyNumberFormat="0" applyFill="0" applyBorder="0" applyAlignment="0" applyProtection="0">
      <alignment horizontal="center"/>
    </xf>
    <xf numFmtId="0" fontId="113" fillId="0" borderId="5801" applyNumberFormat="0" applyFill="0" applyAlignment="0" applyProtection="0"/>
    <xf numFmtId="222" fontId="79" fillId="0" borderId="5800" applyBorder="0"/>
    <xf numFmtId="0" fontId="101" fillId="0" borderId="5801" applyBorder="0"/>
    <xf numFmtId="248" fontId="46" fillId="0" borderId="5801"/>
    <xf numFmtId="246" fontId="250" fillId="0" borderId="5801" applyFill="0" applyProtection="0">
      <alignment horizontal="center"/>
    </xf>
    <xf numFmtId="246" fontId="249" fillId="0" borderId="5801" applyFill="0" applyProtection="0">
      <alignment horizontal="center"/>
    </xf>
    <xf numFmtId="0" fontId="241" fillId="94" borderId="5801" applyBorder="0" applyProtection="0">
      <alignment horizontal="centerContinuous" vertical="center"/>
    </xf>
    <xf numFmtId="254" fontId="240" fillId="0" borderId="5801" applyBorder="0" applyProtection="0">
      <alignment horizontal="right" vertical="center"/>
    </xf>
    <xf numFmtId="0" fontId="210" fillId="0" borderId="5801" applyNumberFormat="0" applyFill="0" applyBorder="0" applyAlignment="0">
      <protection locked="0"/>
    </xf>
    <xf numFmtId="264" fontId="12" fillId="14" borderId="5801" applyFont="0" applyFill="0" applyBorder="0" applyAlignment="0" applyProtection="0">
      <alignment horizontal="right"/>
    </xf>
    <xf numFmtId="0" fontId="166" fillId="0" borderId="5801">
      <alignment horizontal="center"/>
    </xf>
    <xf numFmtId="0" fontId="165" fillId="0" borderId="5801" applyFill="0" applyProtection="0">
      <alignment horizontal="center"/>
    </xf>
    <xf numFmtId="186" fontId="146" fillId="3" borderId="5801" applyBorder="0">
      <alignment horizontal="left" vertical="center"/>
    </xf>
    <xf numFmtId="180" fontId="9" fillId="3" borderId="5801">
      <alignment horizontal="right" vertical="center"/>
    </xf>
    <xf numFmtId="192" fontId="9" fillId="3" borderId="5801">
      <alignment horizontal="right" vertical="center"/>
    </xf>
    <xf numFmtId="248" fontId="46" fillId="0" borderId="5801"/>
    <xf numFmtId="0" fontId="12" fillId="0" borderId="5801" applyNumberFormat="0" applyFill="0" applyBorder="0" applyAlignment="0" applyProtection="0">
      <alignment horizontal="center"/>
    </xf>
    <xf numFmtId="0" fontId="113" fillId="0" borderId="5801" applyNumberFormat="0" applyFill="0" applyAlignment="0" applyProtection="0"/>
    <xf numFmtId="222" fontId="79" fillId="0" borderId="5800" applyBorder="0"/>
    <xf numFmtId="0" fontId="101" fillId="0" borderId="5801" applyBorder="0"/>
    <xf numFmtId="0" fontId="113" fillId="0" borderId="6821" applyNumberFormat="0" applyFill="0" applyAlignment="0" applyProtection="0"/>
    <xf numFmtId="0" fontId="101" fillId="0" borderId="6821" applyBorder="0"/>
    <xf numFmtId="0" fontId="214" fillId="0" borderId="6827" applyNumberFormat="0" applyFont="0" applyFill="0" applyAlignment="0" applyProtection="0"/>
    <xf numFmtId="222" fontId="79" fillId="0" borderId="6832" applyBorder="0"/>
    <xf numFmtId="0" fontId="25" fillId="10" borderId="6828" applyNumberFormat="0" applyProtection="0">
      <alignment horizontal="left" vertical="top"/>
    </xf>
    <xf numFmtId="186" fontId="146" fillId="3" borderId="6824">
      <alignment horizontal="left"/>
    </xf>
    <xf numFmtId="0" fontId="12" fillId="0" borderId="6821" applyNumberFormat="0" applyFill="0" applyBorder="0" applyAlignment="0" applyProtection="0">
      <alignment horizontal="center"/>
    </xf>
    <xf numFmtId="190" fontId="25" fillId="10" borderId="5868" applyNumberFormat="0" applyProtection="0">
      <alignment horizontal="left" vertical="top"/>
    </xf>
    <xf numFmtId="190" fontId="25" fillId="10" borderId="5869" applyNumberFormat="0" applyProtection="0">
      <alignment horizontal="left" vertical="top"/>
    </xf>
    <xf numFmtId="190" fontId="25" fillId="10" borderId="5870" applyNumberFormat="0" applyProtection="0">
      <alignment horizontal="left" vertical="top"/>
    </xf>
    <xf numFmtId="190" fontId="25" fillId="10" borderId="5871" applyNumberFormat="0" applyProtection="0">
      <alignment horizontal="left" vertical="top"/>
    </xf>
    <xf numFmtId="190" fontId="241" fillId="94" borderId="5885" applyBorder="0" applyProtection="0">
      <alignment horizontal="centerContinuous" vertical="center"/>
    </xf>
    <xf numFmtId="222" fontId="79" fillId="0" borderId="5884" applyBorder="0"/>
    <xf numFmtId="0" fontId="101" fillId="0" borderId="5885" applyBorder="0"/>
    <xf numFmtId="222" fontId="79" fillId="0" borderId="5884" applyBorder="0"/>
    <xf numFmtId="0" fontId="113" fillId="0" borderId="5885" applyNumberFormat="0" applyFill="0" applyAlignment="0" applyProtection="0"/>
    <xf numFmtId="0" fontId="75" fillId="0" borderId="5862" applyNumberFormat="0" applyFont="0" applyFill="0" applyAlignment="0" applyProtection="0"/>
    <xf numFmtId="0" fontId="12" fillId="0" borderId="5885" applyNumberFormat="0" applyFill="0" applyBorder="0" applyAlignment="0" applyProtection="0">
      <alignment horizontal="center"/>
    </xf>
    <xf numFmtId="248" fontId="46" fillId="0" borderId="5885"/>
    <xf numFmtId="192" fontId="9" fillId="3" borderId="5885">
      <alignment horizontal="right" vertical="center"/>
    </xf>
    <xf numFmtId="180" fontId="9" fillId="3" borderId="5885">
      <alignment horizontal="right" vertical="center"/>
    </xf>
    <xf numFmtId="186" fontId="146" fillId="3" borderId="5885" applyBorder="0">
      <alignment horizontal="left" vertical="center"/>
    </xf>
    <xf numFmtId="186" fontId="146" fillId="3" borderId="5864">
      <alignment horizontal="left"/>
    </xf>
    <xf numFmtId="186" fontId="140" fillId="3" borderId="5865">
      <alignment horizontal="center" vertical="center"/>
    </xf>
    <xf numFmtId="0" fontId="165" fillId="0" borderId="5885" applyFill="0" applyProtection="0">
      <alignment horizontal="center"/>
    </xf>
    <xf numFmtId="0" fontId="166" fillId="0" borderId="5885">
      <alignment horizontal="center"/>
    </xf>
    <xf numFmtId="264" fontId="12" fillId="14" borderId="5885" applyFont="0" applyFill="0" applyBorder="0" applyAlignment="0" applyProtection="0">
      <alignment horizontal="right"/>
    </xf>
    <xf numFmtId="0" fontId="210" fillId="0" borderId="5885" applyNumberFormat="0" applyFill="0" applyBorder="0" applyAlignment="0">
      <protection locked="0"/>
    </xf>
    <xf numFmtId="0" fontId="2" fillId="0" borderId="5866" applyNumberFormat="0" applyAlignment="0" applyProtection="0"/>
    <xf numFmtId="0" fontId="214" fillId="0" borderId="5867" applyNumberFormat="0" applyFont="0" applyFill="0" applyAlignment="0" applyProtection="0"/>
    <xf numFmtId="0" fontId="25" fillId="10" borderId="5868" applyNumberFormat="0" applyProtection="0">
      <alignment horizontal="left" vertical="top"/>
    </xf>
    <xf numFmtId="0" fontId="25" fillId="10" borderId="5869" applyNumberFormat="0" applyProtection="0">
      <alignment horizontal="left" vertical="top"/>
    </xf>
    <xf numFmtId="0" fontId="25" fillId="10" borderId="5870" applyNumberFormat="0" applyProtection="0">
      <alignment horizontal="left" vertical="top"/>
    </xf>
    <xf numFmtId="0" fontId="25" fillId="10" borderId="5871" applyNumberFormat="0" applyProtection="0">
      <alignment horizontal="left" vertical="top"/>
    </xf>
    <xf numFmtId="0" fontId="25" fillId="10" borderId="5868" applyNumberFormat="0" applyProtection="0">
      <alignment horizontal="left" vertical="top"/>
    </xf>
    <xf numFmtId="0" fontId="25" fillId="10" borderId="5869" applyNumberFormat="0" applyProtection="0">
      <alignment horizontal="left" vertical="top"/>
    </xf>
    <xf numFmtId="0" fontId="25" fillId="10" borderId="5870" applyNumberFormat="0" applyProtection="0">
      <alignment horizontal="left" vertical="top"/>
    </xf>
    <xf numFmtId="0" fontId="25" fillId="10" borderId="5871" applyNumberFormat="0" applyProtection="0">
      <alignment horizontal="left" vertical="top"/>
    </xf>
    <xf numFmtId="254" fontId="240" fillId="0" borderId="5885" applyBorder="0" applyProtection="0">
      <alignment horizontal="right" vertical="center"/>
    </xf>
    <xf numFmtId="0" fontId="241" fillId="94" borderId="5885" applyBorder="0" applyProtection="0">
      <alignment horizontal="centerContinuous" vertical="center"/>
    </xf>
    <xf numFmtId="246" fontId="249" fillId="0" borderId="5885" applyFill="0" applyProtection="0">
      <alignment horizontal="center"/>
    </xf>
    <xf numFmtId="246" fontId="250" fillId="0" borderId="5885" applyFill="0" applyProtection="0">
      <alignment horizontal="center"/>
    </xf>
    <xf numFmtId="312" fontId="101" fillId="0" borderId="5885" applyBorder="0"/>
    <xf numFmtId="312" fontId="113" fillId="0" borderId="5885" applyNumberFormat="0" applyFill="0" applyAlignment="0" applyProtection="0"/>
    <xf numFmtId="312" fontId="75" fillId="0" borderId="5862" applyNumberFormat="0" applyFont="0" applyFill="0" applyAlignment="0" applyProtection="0"/>
    <xf numFmtId="312" fontId="12" fillId="0" borderId="5885" applyNumberFormat="0" applyFill="0" applyBorder="0" applyAlignment="0" applyProtection="0">
      <alignment horizontal="center"/>
    </xf>
    <xf numFmtId="312" fontId="78" fillId="14" borderId="5694" applyFont="0" applyFill="0" applyBorder="0" applyAlignment="0" applyProtection="0"/>
    <xf numFmtId="312" fontId="165" fillId="0" borderId="5885" applyFill="0" applyProtection="0">
      <alignment horizontal="center"/>
    </xf>
    <xf numFmtId="312" fontId="242" fillId="0" borderId="5885">
      <alignment horizontal="center"/>
    </xf>
    <xf numFmtId="222" fontId="79" fillId="0" borderId="6844" applyBorder="0"/>
    <xf numFmtId="192" fontId="9" fillId="3" borderId="6821">
      <alignment horizontal="right" vertical="center"/>
    </xf>
    <xf numFmtId="312" fontId="210" fillId="0" borderId="5885" applyNumberFormat="0" applyFill="0" applyBorder="0" applyAlignment="0">
      <protection locked="0"/>
    </xf>
    <xf numFmtId="312" fontId="2" fillId="0" borderId="5866" applyNumberFormat="0" applyAlignment="0" applyProtection="0"/>
    <xf numFmtId="312" fontId="214" fillId="0" borderId="5867" applyNumberFormat="0" applyFont="0" applyFill="0" applyAlignment="0" applyProtection="0"/>
    <xf numFmtId="180" fontId="9" fillId="3" borderId="6665">
      <alignment horizontal="right" vertical="center"/>
    </xf>
    <xf numFmtId="0" fontId="113" fillId="0" borderId="6653" applyNumberFormat="0" applyFill="0" applyAlignment="0" applyProtection="0"/>
    <xf numFmtId="186" fontId="146" fillId="3" borderId="6857" applyBorder="0">
      <alignment horizontal="left" vertical="center"/>
    </xf>
    <xf numFmtId="0" fontId="25" fillId="10" borderId="6828" applyNumberFormat="0" applyProtection="0">
      <alignment horizontal="left" vertical="top"/>
    </xf>
    <xf numFmtId="254" fontId="240" fillId="0" borderId="6821" applyBorder="0" applyProtection="0">
      <alignment horizontal="right" vertical="center"/>
    </xf>
    <xf numFmtId="0" fontId="214" fillId="0" borderId="6827" applyNumberFormat="0" applyFont="0" applyFill="0" applyAlignment="0" applyProtection="0"/>
    <xf numFmtId="0" fontId="25" fillId="10" borderId="6828" applyNumberFormat="0" applyProtection="0">
      <alignment horizontal="left" vertical="top"/>
    </xf>
    <xf numFmtId="0" fontId="78" fillId="14" borderId="6823" applyFont="0" applyFill="0" applyBorder="0" applyAlignment="0" applyProtection="0"/>
    <xf numFmtId="0" fontId="25" fillId="10" borderId="6831" applyNumberFormat="0" applyProtection="0">
      <alignment horizontal="left" vertical="top"/>
    </xf>
    <xf numFmtId="0" fontId="2" fillId="0" borderId="6826" applyNumberFormat="0" applyAlignment="0" applyProtection="0"/>
    <xf numFmtId="0" fontId="25" fillId="10" borderId="6831" applyNumberFormat="0" applyProtection="0">
      <alignment horizontal="left" vertical="top"/>
    </xf>
    <xf numFmtId="312" fontId="25" fillId="10" borderId="5868" applyNumberFormat="0" applyProtection="0">
      <alignment horizontal="left" vertical="top"/>
    </xf>
    <xf numFmtId="312" fontId="25" fillId="10" borderId="5869" applyNumberFormat="0" applyProtection="0">
      <alignment horizontal="left" vertical="top"/>
    </xf>
    <xf numFmtId="312" fontId="25" fillId="10" borderId="5870" applyNumberFormat="0" applyProtection="0">
      <alignment horizontal="left" vertical="top"/>
    </xf>
    <xf numFmtId="312" fontId="25" fillId="10" borderId="5871" applyNumberFormat="0" applyProtection="0">
      <alignment horizontal="left" vertical="top"/>
    </xf>
    <xf numFmtId="312" fontId="241" fillId="94" borderId="5885" applyBorder="0" applyProtection="0">
      <alignment horizontal="centerContinuous" vertical="center"/>
    </xf>
    <xf numFmtId="246" fontId="296" fillId="0" borderId="5885" applyFill="0" applyProtection="0">
      <alignment horizontal="center"/>
    </xf>
    <xf numFmtId="312" fontId="101" fillId="0" borderId="5885" applyBorder="0"/>
    <xf numFmtId="312" fontId="113" fillId="0" borderId="5885" applyNumberFormat="0" applyFill="0" applyAlignment="0" applyProtection="0"/>
    <xf numFmtId="312" fontId="75" fillId="0" borderId="5862" applyNumberFormat="0" applyFont="0" applyFill="0" applyAlignment="0" applyProtection="0"/>
    <xf numFmtId="312" fontId="12" fillId="0" borderId="5885" applyNumberFormat="0" applyFill="0" applyBorder="0" applyAlignment="0" applyProtection="0">
      <alignment horizontal="center"/>
    </xf>
    <xf numFmtId="312" fontId="78" fillId="14" borderId="5694" applyFont="0" applyFill="0" applyBorder="0" applyAlignment="0" applyProtection="0"/>
    <xf numFmtId="312" fontId="165" fillId="0" borderId="5885" applyFill="0" applyProtection="0">
      <alignment horizontal="center"/>
    </xf>
    <xf numFmtId="312" fontId="242" fillId="0" borderId="5885">
      <alignment horizontal="center"/>
    </xf>
    <xf numFmtId="312" fontId="210" fillId="0" borderId="5885" applyNumberFormat="0" applyFill="0" applyBorder="0" applyAlignment="0">
      <protection locked="0"/>
    </xf>
    <xf numFmtId="312" fontId="2" fillId="0" borderId="5866" applyNumberFormat="0" applyAlignment="0" applyProtection="0"/>
    <xf numFmtId="312" fontId="214" fillId="0" borderId="5867" applyNumberFormat="0" applyFont="0" applyFill="0" applyAlignment="0" applyProtection="0"/>
    <xf numFmtId="312" fontId="25" fillId="10" borderId="5868" applyNumberFormat="0" applyProtection="0">
      <alignment horizontal="left" vertical="top"/>
    </xf>
    <xf numFmtId="312" fontId="25" fillId="10" borderId="5869" applyNumberFormat="0" applyProtection="0">
      <alignment horizontal="left" vertical="top"/>
    </xf>
    <xf numFmtId="312" fontId="25" fillId="10" borderId="5870" applyNumberFormat="0" applyProtection="0">
      <alignment horizontal="left" vertical="top"/>
    </xf>
    <xf numFmtId="312" fontId="25" fillId="10" borderId="5871" applyNumberFormat="0" applyProtection="0">
      <alignment horizontal="left" vertical="top"/>
    </xf>
    <xf numFmtId="312" fontId="25" fillId="10" borderId="5868" applyNumberFormat="0" applyProtection="0">
      <alignment horizontal="left" vertical="top"/>
    </xf>
    <xf numFmtId="312" fontId="25" fillId="10" borderId="5869" applyNumberFormat="0" applyProtection="0">
      <alignment horizontal="left" vertical="top"/>
    </xf>
    <xf numFmtId="312" fontId="25" fillId="10" borderId="5870" applyNumberFormat="0" applyProtection="0">
      <alignment horizontal="left" vertical="top"/>
    </xf>
    <xf numFmtId="312" fontId="25" fillId="10" borderId="5871" applyNumberFormat="0" applyProtection="0">
      <alignment horizontal="left" vertical="top"/>
    </xf>
    <xf numFmtId="312" fontId="241" fillId="94" borderId="5885" applyBorder="0" applyProtection="0">
      <alignment horizontal="centerContinuous" vertical="center"/>
    </xf>
    <xf numFmtId="246" fontId="296" fillId="0" borderId="5885" applyFill="0" applyProtection="0">
      <alignment horizontal="center"/>
    </xf>
    <xf numFmtId="264" fontId="12" fillId="14" borderId="6845" applyFont="0" applyFill="0" applyBorder="0" applyAlignment="0" applyProtection="0">
      <alignment horizontal="right"/>
    </xf>
    <xf numFmtId="0" fontId="101" fillId="0" borderId="6869" applyBorder="0"/>
    <xf numFmtId="246" fontId="250" fillId="0" borderId="5885" applyFill="0" applyProtection="0">
      <alignment horizontal="center"/>
    </xf>
    <xf numFmtId="246" fontId="249" fillId="0" borderId="5885" applyFill="0" applyProtection="0">
      <alignment horizontal="center"/>
    </xf>
    <xf numFmtId="0" fontId="241" fillId="94" borderId="5885" applyBorder="0" applyProtection="0">
      <alignment horizontal="centerContinuous" vertical="center"/>
    </xf>
    <xf numFmtId="254" fontId="240" fillId="0" borderId="5885" applyBorder="0" applyProtection="0">
      <alignment horizontal="right" vertical="center"/>
    </xf>
    <xf numFmtId="0" fontId="25" fillId="10" borderId="5823" applyNumberFormat="0" applyProtection="0">
      <alignment horizontal="left" vertical="top"/>
    </xf>
    <xf numFmtId="0" fontId="25" fillId="10" borderId="5822" applyNumberFormat="0" applyProtection="0">
      <alignment horizontal="left" vertical="top"/>
    </xf>
    <xf numFmtId="0" fontId="25" fillId="10" borderId="5821" applyNumberFormat="0" applyProtection="0">
      <alignment horizontal="left" vertical="top"/>
    </xf>
    <xf numFmtId="0" fontId="25" fillId="10" borderId="5820" applyNumberFormat="0" applyProtection="0">
      <alignment horizontal="left" vertical="top"/>
    </xf>
    <xf numFmtId="0" fontId="166" fillId="0" borderId="6821">
      <alignment horizontal="center"/>
    </xf>
    <xf numFmtId="0" fontId="2" fillId="0" borderId="6826" applyNumberFormat="0" applyAlignment="0" applyProtection="0"/>
    <xf numFmtId="222" fontId="79" fillId="0" borderId="6832" applyBorder="0"/>
    <xf numFmtId="0" fontId="25" fillId="10" borderId="6734" applyNumberFormat="0" applyProtection="0">
      <alignment horizontal="left" vertical="top"/>
    </xf>
    <xf numFmtId="0" fontId="113" fillId="0" borderId="6677" applyNumberFormat="0" applyFill="0" applyAlignment="0" applyProtection="0"/>
    <xf numFmtId="0" fontId="214" fillId="0" borderId="5819" applyNumberFormat="0" applyFont="0" applyFill="0" applyAlignment="0" applyProtection="0"/>
    <xf numFmtId="0" fontId="2" fillId="0" borderId="5818" applyNumberFormat="0" applyAlignment="0" applyProtection="0"/>
    <xf numFmtId="0" fontId="210" fillId="0" borderId="5885" applyNumberFormat="0" applyFill="0" applyBorder="0" applyAlignment="0">
      <protection locked="0"/>
    </xf>
    <xf numFmtId="186" fontId="146" fillId="3" borderId="6845" applyBorder="0">
      <alignment horizontal="left" vertical="center"/>
    </xf>
    <xf numFmtId="264" fontId="12" fillId="14" borderId="5885" applyFont="0" applyFill="0" applyBorder="0" applyAlignment="0" applyProtection="0">
      <alignment horizontal="right"/>
    </xf>
    <xf numFmtId="0" fontId="166" fillId="0" borderId="5885">
      <alignment horizontal="center"/>
    </xf>
    <xf numFmtId="0" fontId="165" fillId="0" borderId="5885" applyFill="0" applyProtection="0">
      <alignment horizontal="center"/>
    </xf>
    <xf numFmtId="186" fontId="140" fillId="3" borderId="5817">
      <alignment horizontal="center" vertical="center"/>
    </xf>
    <xf numFmtId="186" fontId="146" fillId="3" borderId="5816">
      <alignment horizontal="left"/>
    </xf>
    <xf numFmtId="186" fontId="146" fillId="3" borderId="5885" applyBorder="0">
      <alignment horizontal="left" vertical="center"/>
    </xf>
    <xf numFmtId="180" fontId="9" fillId="3" borderId="5885">
      <alignment horizontal="right" vertical="center"/>
    </xf>
    <xf numFmtId="192" fontId="9" fillId="3" borderId="5885">
      <alignment horizontal="right" vertical="center"/>
    </xf>
    <xf numFmtId="248" fontId="46" fillId="0" borderId="5885"/>
    <xf numFmtId="0" fontId="78" fillId="14" borderId="5815" applyFont="0" applyFill="0" applyBorder="0" applyAlignment="0" applyProtection="0"/>
    <xf numFmtId="0" fontId="12" fillId="0" borderId="5885" applyNumberFormat="0" applyFill="0" applyBorder="0" applyAlignment="0" applyProtection="0">
      <alignment horizontal="center"/>
    </xf>
    <xf numFmtId="0" fontId="75" fillId="0" borderId="5814" applyNumberFormat="0" applyFont="0" applyFill="0" applyAlignment="0" applyProtection="0"/>
    <xf numFmtId="0" fontId="113" fillId="0" borderId="5885" applyNumberFormat="0" applyFill="0" applyAlignment="0" applyProtection="0"/>
    <xf numFmtId="222" fontId="79" fillId="0" borderId="5884" applyBorder="0"/>
    <xf numFmtId="0" fontId="101" fillId="0" borderId="5885" applyBorder="0"/>
    <xf numFmtId="0" fontId="166" fillId="0" borderId="6653">
      <alignment horizontal="center"/>
    </xf>
    <xf numFmtId="0" fontId="25" fillId="10" borderId="6000" applyNumberFormat="0" applyProtection="0">
      <alignment horizontal="left" vertical="top"/>
    </xf>
    <xf numFmtId="0" fontId="75" fillId="0" borderId="6654" applyNumberFormat="0" applyFont="0" applyFill="0" applyAlignment="0" applyProtection="0"/>
    <xf numFmtId="254" fontId="240" fillId="0" borderId="6833" applyBorder="0" applyProtection="0">
      <alignment horizontal="right" vertical="center"/>
    </xf>
    <xf numFmtId="0" fontId="25" fillId="10" borderId="5892" applyNumberFormat="0" applyProtection="0">
      <alignment horizontal="left" vertical="top"/>
    </xf>
    <xf numFmtId="0" fontId="25" fillId="10" borderId="5893" applyNumberFormat="0" applyProtection="0">
      <alignment horizontal="left" vertical="top"/>
    </xf>
    <xf numFmtId="0" fontId="25" fillId="10" borderId="5894" applyNumberFormat="0" applyProtection="0">
      <alignment horizontal="left" vertical="top"/>
    </xf>
    <xf numFmtId="0" fontId="25" fillId="10" borderId="5895" applyNumberFormat="0" applyProtection="0">
      <alignment horizontal="left" vertical="top"/>
    </xf>
    <xf numFmtId="246" fontId="250" fillId="0" borderId="5825" applyFill="0" applyProtection="0">
      <alignment horizontal="center"/>
    </xf>
    <xf numFmtId="246" fontId="249" fillId="0" borderId="5825" applyFill="0" applyProtection="0">
      <alignment horizontal="center"/>
    </xf>
    <xf numFmtId="0" fontId="241" fillId="94" borderId="5825" applyBorder="0" applyProtection="0">
      <alignment horizontal="centerContinuous" vertical="center"/>
    </xf>
    <xf numFmtId="254" fontId="240" fillId="0" borderId="5825" applyBorder="0" applyProtection="0">
      <alignment horizontal="right" vertical="center"/>
    </xf>
    <xf numFmtId="248" fontId="46" fillId="0" borderId="6845"/>
    <xf numFmtId="0" fontId="210" fillId="0" borderId="5825" applyNumberFormat="0" applyFill="0" applyBorder="0" applyAlignment="0">
      <protection locked="0"/>
    </xf>
    <xf numFmtId="264" fontId="12" fillId="14" borderId="5825" applyFont="0" applyFill="0" applyBorder="0" applyAlignment="0" applyProtection="0">
      <alignment horizontal="right"/>
    </xf>
    <xf numFmtId="0" fontId="166" fillId="0" borderId="5825">
      <alignment horizontal="center"/>
    </xf>
    <xf numFmtId="0" fontId="165" fillId="0" borderId="5825" applyFill="0" applyProtection="0">
      <alignment horizontal="center"/>
    </xf>
    <xf numFmtId="186" fontId="146" fillId="3" borderId="5825" applyBorder="0">
      <alignment horizontal="left" vertical="center"/>
    </xf>
    <xf numFmtId="180" fontId="9" fillId="3" borderId="5825">
      <alignment horizontal="right" vertical="center"/>
    </xf>
    <xf numFmtId="192" fontId="9" fillId="3" borderId="5825">
      <alignment horizontal="right" vertical="center"/>
    </xf>
    <xf numFmtId="248" fontId="46" fillId="0" borderId="5825"/>
    <xf numFmtId="0" fontId="12" fillId="0" borderId="5825" applyNumberFormat="0" applyFill="0" applyBorder="0" applyAlignment="0" applyProtection="0">
      <alignment horizontal="center"/>
    </xf>
    <xf numFmtId="0" fontId="113" fillId="0" borderId="5825" applyNumberFormat="0" applyFill="0" applyAlignment="0" applyProtection="0"/>
    <xf numFmtId="222" fontId="79" fillId="0" borderId="5703" applyBorder="0"/>
    <xf numFmtId="0" fontId="101" fillId="0" borderId="5825" applyBorder="0"/>
    <xf numFmtId="246" fontId="250" fillId="0" borderId="5825" applyFill="0" applyProtection="0">
      <alignment horizontal="center"/>
    </xf>
    <xf numFmtId="246" fontId="249" fillId="0" borderId="5825" applyFill="0" applyProtection="0">
      <alignment horizontal="center"/>
    </xf>
    <xf numFmtId="0" fontId="241" fillId="94" borderId="5825" applyBorder="0" applyProtection="0">
      <alignment horizontal="centerContinuous" vertical="center"/>
    </xf>
    <xf numFmtId="254" fontId="240" fillId="0" borderId="5825" applyBorder="0" applyProtection="0">
      <alignment horizontal="right" vertical="center"/>
    </xf>
    <xf numFmtId="186" fontId="140" fillId="3" borderId="6825">
      <alignment horizontal="center" vertical="center"/>
    </xf>
    <xf numFmtId="0" fontId="166" fillId="0" borderId="6857">
      <alignment horizontal="center"/>
    </xf>
    <xf numFmtId="0" fontId="25" fillId="10" borderId="6699" applyNumberFormat="0" applyProtection="0">
      <alignment horizontal="left" vertical="top"/>
    </xf>
    <xf numFmtId="0" fontId="12" fillId="0" borderId="6677" applyNumberFormat="0" applyFill="0" applyBorder="0" applyAlignment="0" applyProtection="0">
      <alignment horizontal="center"/>
    </xf>
    <xf numFmtId="254" fontId="240" fillId="0" borderId="6665" applyBorder="0" applyProtection="0">
      <alignment horizontal="right" vertical="center"/>
    </xf>
    <xf numFmtId="0" fontId="210" fillId="0" borderId="5825" applyNumberFormat="0" applyFill="0" applyBorder="0" applyAlignment="0">
      <protection locked="0"/>
    </xf>
    <xf numFmtId="264" fontId="12" fillId="14" borderId="5825" applyFont="0" applyFill="0" applyBorder="0" applyAlignment="0" applyProtection="0">
      <alignment horizontal="right"/>
    </xf>
    <xf numFmtId="0" fontId="166" fillId="0" borderId="5825">
      <alignment horizontal="center"/>
    </xf>
    <xf numFmtId="0" fontId="165" fillId="0" borderId="5825" applyFill="0" applyProtection="0">
      <alignment horizontal="center"/>
    </xf>
    <xf numFmtId="186" fontId="146" fillId="3" borderId="5825" applyBorder="0">
      <alignment horizontal="left" vertical="center"/>
    </xf>
    <xf numFmtId="180" fontId="9" fillId="3" borderId="5825">
      <alignment horizontal="right" vertical="center"/>
    </xf>
    <xf numFmtId="192" fontId="9" fillId="3" borderId="5825">
      <alignment horizontal="right" vertical="center"/>
    </xf>
    <xf numFmtId="0" fontId="12" fillId="0" borderId="5825" applyNumberFormat="0" applyFill="0" applyBorder="0" applyAlignment="0" applyProtection="0">
      <alignment horizontal="center"/>
    </xf>
    <xf numFmtId="0" fontId="113" fillId="0" borderId="5825" applyNumberFormat="0" applyFill="0" applyAlignment="0" applyProtection="0"/>
    <xf numFmtId="222" fontId="79" fillId="0" borderId="5703" applyBorder="0"/>
    <xf numFmtId="0" fontId="101" fillId="0" borderId="5825" applyBorder="0"/>
    <xf numFmtId="248" fontId="46" fillId="0" borderId="5825"/>
    <xf numFmtId="246" fontId="250" fillId="0" borderId="5825" applyFill="0" applyProtection="0">
      <alignment horizontal="center"/>
    </xf>
    <xf numFmtId="246" fontId="249" fillId="0" borderId="5825" applyFill="0" applyProtection="0">
      <alignment horizontal="center"/>
    </xf>
    <xf numFmtId="0" fontId="241" fillId="94" borderId="5825" applyBorder="0" applyProtection="0">
      <alignment horizontal="centerContinuous" vertical="center"/>
    </xf>
    <xf numFmtId="254" fontId="240" fillId="0" borderId="5825" applyBorder="0" applyProtection="0">
      <alignment horizontal="right" vertical="center"/>
    </xf>
    <xf numFmtId="0" fontId="210" fillId="0" borderId="5825" applyNumberFormat="0" applyFill="0" applyBorder="0" applyAlignment="0">
      <protection locked="0"/>
    </xf>
    <xf numFmtId="264" fontId="12" fillId="14" borderId="5825" applyFont="0" applyFill="0" applyBorder="0" applyAlignment="0" applyProtection="0">
      <alignment horizontal="right"/>
    </xf>
    <xf numFmtId="0" fontId="166" fillId="0" borderId="5825">
      <alignment horizontal="center"/>
    </xf>
    <xf numFmtId="0" fontId="165" fillId="0" borderId="5825" applyFill="0" applyProtection="0">
      <alignment horizontal="center"/>
    </xf>
    <xf numFmtId="186" fontId="146" fillId="3" borderId="5825" applyBorder="0">
      <alignment horizontal="left" vertical="center"/>
    </xf>
    <xf numFmtId="180" fontId="9" fillId="3" borderId="5825">
      <alignment horizontal="right" vertical="center"/>
    </xf>
    <xf numFmtId="192" fontId="9" fillId="3" borderId="5825">
      <alignment horizontal="right" vertical="center"/>
    </xf>
    <xf numFmtId="248" fontId="46" fillId="0" borderId="5825"/>
    <xf numFmtId="0" fontId="12" fillId="0" borderId="5825" applyNumberFormat="0" applyFill="0" applyBorder="0" applyAlignment="0" applyProtection="0">
      <alignment horizontal="center"/>
    </xf>
    <xf numFmtId="0" fontId="113" fillId="0" borderId="5825" applyNumberFormat="0" applyFill="0" applyAlignment="0" applyProtection="0"/>
    <xf numFmtId="222" fontId="79" fillId="0" borderId="5703" applyBorder="0"/>
    <xf numFmtId="0" fontId="101" fillId="0" borderId="5825" applyBorder="0"/>
    <xf numFmtId="222" fontId="79" fillId="0" borderId="5896" applyBorder="0"/>
    <xf numFmtId="0" fontId="101" fillId="0" borderId="5897" applyBorder="0"/>
    <xf numFmtId="222" fontId="79" fillId="0" borderId="5896" applyBorder="0"/>
    <xf numFmtId="0" fontId="113" fillId="0" borderId="5897" applyNumberFormat="0" applyFill="0" applyAlignment="0" applyProtection="0"/>
    <xf numFmtId="0" fontId="12" fillId="0" borderId="5897" applyNumberFormat="0" applyFill="0" applyBorder="0" applyAlignment="0" applyProtection="0">
      <alignment horizontal="center"/>
    </xf>
    <xf numFmtId="248" fontId="46" fillId="0" borderId="5897"/>
    <xf numFmtId="192" fontId="9" fillId="3" borderId="5897">
      <alignment horizontal="right" vertical="center"/>
    </xf>
    <xf numFmtId="180" fontId="9" fillId="3" borderId="5897">
      <alignment horizontal="right" vertical="center"/>
    </xf>
    <xf numFmtId="186" fontId="146" fillId="3" borderId="5897" applyBorder="0">
      <alignment horizontal="left" vertical="center"/>
    </xf>
    <xf numFmtId="0" fontId="165" fillId="0" borderId="5897" applyFill="0" applyProtection="0">
      <alignment horizontal="center"/>
    </xf>
    <xf numFmtId="0" fontId="166" fillId="0" borderId="5897">
      <alignment horizontal="center"/>
    </xf>
    <xf numFmtId="264" fontId="12" fillId="14" borderId="5897" applyFont="0" applyFill="0" applyBorder="0" applyAlignment="0" applyProtection="0">
      <alignment horizontal="right"/>
    </xf>
    <xf numFmtId="0" fontId="210" fillId="0" borderId="5897" applyNumberFormat="0" applyFill="0" applyBorder="0" applyAlignment="0">
      <protection locked="0"/>
    </xf>
    <xf numFmtId="254" fontId="240" fillId="0" borderId="5897" applyBorder="0" applyProtection="0">
      <alignment horizontal="right" vertical="center"/>
    </xf>
    <xf numFmtId="0" fontId="241" fillId="94" borderId="5897" applyBorder="0" applyProtection="0">
      <alignment horizontal="centerContinuous" vertical="center"/>
    </xf>
    <xf numFmtId="246" fontId="249" fillId="0" borderId="5897" applyFill="0" applyProtection="0">
      <alignment horizontal="center"/>
    </xf>
    <xf numFmtId="246" fontId="250" fillId="0" borderId="5897" applyFill="0" applyProtection="0">
      <alignment horizontal="center"/>
    </xf>
    <xf numFmtId="0" fontId="78" fillId="14" borderId="5899" applyFont="0" applyFill="0" applyBorder="0" applyAlignment="0" applyProtection="0"/>
    <xf numFmtId="0" fontId="25" fillId="10" borderId="5907" applyNumberFormat="0" applyProtection="0">
      <alignment horizontal="left" vertical="top"/>
    </xf>
    <xf numFmtId="0" fontId="25" fillId="10" borderId="5906" applyNumberFormat="0" applyProtection="0">
      <alignment horizontal="left" vertical="top"/>
    </xf>
    <xf numFmtId="0" fontId="25" fillId="10" borderId="5905" applyNumberFormat="0" applyProtection="0">
      <alignment horizontal="left" vertical="top"/>
    </xf>
    <xf numFmtId="0" fontId="25" fillId="10" borderId="5904" applyNumberFormat="0" applyProtection="0">
      <alignment horizontal="left" vertical="top"/>
    </xf>
    <xf numFmtId="0" fontId="214" fillId="0" borderId="5903" applyNumberFormat="0" applyFont="0" applyFill="0" applyAlignment="0" applyProtection="0"/>
    <xf numFmtId="0" fontId="2" fillId="0" borderId="5902" applyNumberFormat="0" applyAlignment="0" applyProtection="0"/>
    <xf numFmtId="186" fontId="140" fillId="3" borderId="5901">
      <alignment horizontal="center" vertical="center"/>
    </xf>
    <xf numFmtId="186" fontId="146" fillId="3" borderId="5900">
      <alignment horizontal="left"/>
    </xf>
    <xf numFmtId="0" fontId="75" fillId="0" borderId="5898" applyNumberFormat="0" applyFont="0" applyFill="0" applyAlignment="0" applyProtection="0"/>
    <xf numFmtId="222" fontId="79" fillId="0" borderId="5908" applyBorder="0"/>
    <xf numFmtId="0" fontId="101" fillId="0" borderId="5909" applyBorder="0"/>
    <xf numFmtId="222" fontId="79" fillId="0" borderId="5908" applyBorder="0"/>
    <xf numFmtId="0" fontId="113" fillId="0" borderId="5909" applyNumberFormat="0" applyFill="0" applyAlignment="0" applyProtection="0"/>
    <xf numFmtId="0" fontId="12" fillId="0" borderId="5909" applyNumberFormat="0" applyFill="0" applyBorder="0" applyAlignment="0" applyProtection="0">
      <alignment horizontal="center"/>
    </xf>
    <xf numFmtId="248" fontId="46" fillId="0" borderId="5909"/>
    <xf numFmtId="192" fontId="9" fillId="3" borderId="5909">
      <alignment horizontal="right" vertical="center"/>
    </xf>
    <xf numFmtId="180" fontId="9" fillId="3" borderId="5909">
      <alignment horizontal="right" vertical="center"/>
    </xf>
    <xf numFmtId="186" fontId="146" fillId="3" borderId="5909" applyBorder="0">
      <alignment horizontal="left" vertical="center"/>
    </xf>
    <xf numFmtId="0" fontId="165" fillId="0" borderId="5909" applyFill="0" applyProtection="0">
      <alignment horizontal="center"/>
    </xf>
    <xf numFmtId="0" fontId="166" fillId="0" borderId="5909">
      <alignment horizontal="center"/>
    </xf>
    <xf numFmtId="264" fontId="12" fillId="14" borderId="5909" applyFont="0" applyFill="0" applyBorder="0" applyAlignment="0" applyProtection="0">
      <alignment horizontal="right"/>
    </xf>
    <xf numFmtId="0" fontId="210" fillId="0" borderId="5909" applyNumberFormat="0" applyFill="0" applyBorder="0" applyAlignment="0">
      <protection locked="0"/>
    </xf>
    <xf numFmtId="254" fontId="240" fillId="0" borderId="5909" applyBorder="0" applyProtection="0">
      <alignment horizontal="right" vertical="center"/>
    </xf>
    <xf numFmtId="0" fontId="241" fillId="94" borderId="5909" applyBorder="0" applyProtection="0">
      <alignment horizontal="centerContinuous" vertical="center"/>
    </xf>
    <xf numFmtId="246" fontId="249" fillId="0" borderId="5909" applyFill="0" applyProtection="0">
      <alignment horizontal="center"/>
    </xf>
    <xf numFmtId="246" fontId="250" fillId="0" borderId="5909" applyFill="0" applyProtection="0">
      <alignment horizontal="center"/>
    </xf>
    <xf numFmtId="186" fontId="146" fillId="3" borderId="5912">
      <alignment horizontal="left"/>
    </xf>
    <xf numFmtId="0" fontId="75" fillId="0" borderId="5910" applyNumberFormat="0" applyFont="0" applyFill="0" applyAlignment="0" applyProtection="0"/>
    <xf numFmtId="0" fontId="113" fillId="0" borderId="5993" applyNumberFormat="0" applyFill="0" applyAlignment="0" applyProtection="0"/>
    <xf numFmtId="264" fontId="12" fillId="14" borderId="5993" applyFont="0" applyFill="0" applyBorder="0" applyAlignment="0" applyProtection="0">
      <alignment horizontal="right"/>
    </xf>
    <xf numFmtId="246" fontId="249" fillId="0" borderId="5993" applyFill="0" applyProtection="0">
      <alignment horizontal="center"/>
    </xf>
    <xf numFmtId="0" fontId="25" fillId="10" borderId="5919" applyNumberFormat="0" applyProtection="0">
      <alignment horizontal="left" vertical="top"/>
    </xf>
    <xf numFmtId="0" fontId="25" fillId="10" borderId="5917" applyNumberFormat="0" applyProtection="0">
      <alignment horizontal="left" vertical="top"/>
    </xf>
    <xf numFmtId="0" fontId="25" fillId="10" borderId="5918" applyNumberFormat="0" applyProtection="0">
      <alignment horizontal="left" vertical="top"/>
    </xf>
    <xf numFmtId="0" fontId="25" fillId="10" borderId="5916" applyNumberFormat="0" applyProtection="0">
      <alignment horizontal="left" vertical="top"/>
    </xf>
    <xf numFmtId="0" fontId="25" fillId="10" borderId="5919" applyNumberFormat="0" applyProtection="0">
      <alignment horizontal="left" vertical="top"/>
    </xf>
    <xf numFmtId="0" fontId="25" fillId="10" borderId="5918" applyNumberFormat="0" applyProtection="0">
      <alignment horizontal="left" vertical="top"/>
    </xf>
    <xf numFmtId="0" fontId="25" fillId="10" borderId="5917" applyNumberFormat="0" applyProtection="0">
      <alignment horizontal="left" vertical="top"/>
    </xf>
    <xf numFmtId="0" fontId="25" fillId="10" borderId="5916" applyNumberFormat="0" applyProtection="0">
      <alignment horizontal="left" vertical="top"/>
    </xf>
    <xf numFmtId="0" fontId="214" fillId="0" borderId="5915" applyNumberFormat="0" applyFont="0" applyFill="0" applyAlignment="0" applyProtection="0"/>
    <xf numFmtId="0" fontId="2" fillId="0" borderId="5914" applyNumberFormat="0" applyAlignment="0" applyProtection="0"/>
    <xf numFmtId="186" fontId="140" fillId="3" borderId="5913">
      <alignment horizontal="center" vertical="center"/>
    </xf>
    <xf numFmtId="186" fontId="140" fillId="3" borderId="5925">
      <alignment horizontal="center" vertical="center"/>
    </xf>
    <xf numFmtId="0" fontId="25" fillId="10" borderId="5928" applyNumberFormat="0" applyProtection="0">
      <alignment horizontal="left" vertical="top"/>
    </xf>
    <xf numFmtId="0" fontId="12" fillId="0" borderId="5993" applyNumberFormat="0" applyFill="0" applyBorder="0" applyAlignment="0" applyProtection="0">
      <alignment horizontal="center"/>
    </xf>
    <xf numFmtId="0" fontId="25" fillId="10" borderId="5990" applyNumberFormat="0" applyProtection="0">
      <alignment horizontal="left" vertical="top"/>
    </xf>
    <xf numFmtId="222" fontId="79" fillId="0" borderId="5980" applyBorder="0"/>
    <xf numFmtId="0" fontId="78" fillId="14" borderId="5983" applyFont="0" applyFill="0" applyBorder="0" applyAlignment="0" applyProtection="0"/>
    <xf numFmtId="222" fontId="79" fillId="0" borderId="5992" applyBorder="0"/>
    <xf numFmtId="0" fontId="101" fillId="0" borderId="5993" applyBorder="0"/>
    <xf numFmtId="222" fontId="79" fillId="0" borderId="5992" applyBorder="0"/>
    <xf numFmtId="248" fontId="46" fillId="0" borderId="5993"/>
    <xf numFmtId="192" fontId="9" fillId="3" borderId="5993">
      <alignment horizontal="right" vertical="center"/>
    </xf>
    <xf numFmtId="180" fontId="9" fillId="3" borderId="5993">
      <alignment horizontal="right" vertical="center"/>
    </xf>
    <xf numFmtId="186" fontId="146" fillId="3" borderId="5993" applyBorder="0">
      <alignment horizontal="left" vertical="center"/>
    </xf>
    <xf numFmtId="0" fontId="165" fillId="0" borderId="5993" applyFill="0" applyProtection="0">
      <alignment horizontal="center"/>
    </xf>
    <xf numFmtId="0" fontId="210" fillId="0" borderId="5993" applyNumberFormat="0" applyFill="0" applyBorder="0" applyAlignment="0">
      <protection locked="0"/>
    </xf>
    <xf numFmtId="254" fontId="240" fillId="0" borderId="5993" applyBorder="0" applyProtection="0">
      <alignment horizontal="right" vertical="center"/>
    </xf>
    <xf numFmtId="246" fontId="250" fillId="0" borderId="5993" applyFill="0" applyProtection="0">
      <alignment horizontal="center"/>
    </xf>
    <xf numFmtId="222" fontId="79" fillId="0" borderId="5932" applyBorder="0"/>
    <xf numFmtId="0" fontId="25" fillId="10" borderId="5929" applyNumberFormat="0" applyProtection="0">
      <alignment horizontal="left" vertical="top"/>
    </xf>
    <xf numFmtId="0" fontId="25" fillId="10" borderId="5931" applyNumberFormat="0" applyProtection="0">
      <alignment horizontal="left" vertical="top"/>
    </xf>
    <xf numFmtId="0" fontId="25" fillId="10" borderId="5928" applyNumberFormat="0" applyProtection="0">
      <alignment horizontal="left" vertical="top"/>
    </xf>
    <xf numFmtId="0" fontId="25" fillId="10" borderId="5929" applyNumberFormat="0" applyProtection="0">
      <alignment horizontal="left" vertical="top"/>
    </xf>
    <xf numFmtId="0" fontId="25" fillId="10" borderId="5930" applyNumberFormat="0" applyProtection="0">
      <alignment horizontal="left" vertical="top"/>
    </xf>
    <xf numFmtId="0" fontId="75" fillId="0" borderId="5934" applyNumberFormat="0" applyFont="0" applyFill="0" applyAlignment="0" applyProtection="0"/>
    <xf numFmtId="0" fontId="101" fillId="0" borderId="5945" applyBorder="0"/>
    <xf numFmtId="222" fontId="79" fillId="0" borderId="5944" applyBorder="0"/>
    <xf numFmtId="0" fontId="113" fillId="0" borderId="5945" applyNumberFormat="0" applyFill="0" applyAlignment="0" applyProtection="0"/>
    <xf numFmtId="0" fontId="12" fillId="0" borderId="5945" applyNumberFormat="0" applyFill="0" applyBorder="0" applyAlignment="0" applyProtection="0">
      <alignment horizontal="center"/>
    </xf>
    <xf numFmtId="248" fontId="46" fillId="0" borderId="5945"/>
    <xf numFmtId="192" fontId="9" fillId="3" borderId="5945">
      <alignment horizontal="right" vertical="center"/>
    </xf>
    <xf numFmtId="180" fontId="9" fillId="3" borderId="5945">
      <alignment horizontal="right" vertical="center"/>
    </xf>
    <xf numFmtId="186" fontId="146" fillId="3" borderId="5945" applyBorder="0">
      <alignment horizontal="left" vertical="center"/>
    </xf>
    <xf numFmtId="0" fontId="166" fillId="0" borderId="5945">
      <alignment horizontal="center"/>
    </xf>
    <xf numFmtId="0" fontId="210" fillId="0" borderId="5945" applyNumberFormat="0" applyFill="0" applyBorder="0" applyAlignment="0">
      <protection locked="0"/>
    </xf>
    <xf numFmtId="264" fontId="12" fillId="14" borderId="5945" applyFont="0" applyFill="0" applyBorder="0" applyAlignment="0" applyProtection="0">
      <alignment horizontal="right"/>
    </xf>
    <xf numFmtId="246" fontId="249" fillId="0" borderId="5945" applyFill="0" applyProtection="0">
      <alignment horizontal="center"/>
    </xf>
    <xf numFmtId="246" fontId="250" fillId="0" borderId="5945" applyFill="0" applyProtection="0">
      <alignment horizontal="center"/>
    </xf>
    <xf numFmtId="246" fontId="250" fillId="0" borderId="5969" applyFill="0" applyProtection="0">
      <alignment horizontal="center"/>
    </xf>
    <xf numFmtId="246" fontId="249" fillId="0" borderId="5969" applyFill="0" applyProtection="0">
      <alignment horizontal="center"/>
    </xf>
    <xf numFmtId="254" fontId="240" fillId="0" borderId="5969" applyBorder="0" applyProtection="0">
      <alignment horizontal="right" vertical="center"/>
    </xf>
    <xf numFmtId="264" fontId="12" fillId="14" borderId="5969" applyFont="0" applyFill="0" applyBorder="0" applyAlignment="0" applyProtection="0">
      <alignment horizontal="right"/>
    </xf>
    <xf numFmtId="0" fontId="165" fillId="0" borderId="5969" applyFill="0" applyProtection="0">
      <alignment horizontal="center"/>
    </xf>
    <xf numFmtId="180" fontId="9" fillId="3" borderId="5969">
      <alignment horizontal="right" vertical="center"/>
    </xf>
    <xf numFmtId="0" fontId="12" fillId="0" borderId="5969" applyNumberFormat="0" applyFill="0" applyBorder="0" applyAlignment="0" applyProtection="0">
      <alignment horizontal="center"/>
    </xf>
    <xf numFmtId="0" fontId="101" fillId="0" borderId="5969" applyBorder="0"/>
    <xf numFmtId="222" fontId="79" fillId="0" borderId="5968" applyBorder="0"/>
    <xf numFmtId="0" fontId="75" fillId="0" borderId="5958" applyNumberFormat="0" applyFont="0" applyFill="0" applyAlignment="0" applyProtection="0"/>
    <xf numFmtId="0" fontId="2" fillId="0" borderId="5962" applyNumberFormat="0" applyAlignment="0" applyProtection="0"/>
    <xf numFmtId="0" fontId="25" fillId="10" borderId="5964" applyNumberFormat="0" applyProtection="0">
      <alignment horizontal="left" vertical="top"/>
    </xf>
    <xf numFmtId="0" fontId="25" fillId="10" borderId="5967" applyNumberFormat="0" applyProtection="0">
      <alignment horizontal="left" vertical="top"/>
    </xf>
    <xf numFmtId="222" fontId="79" fillId="0" borderId="5956" applyBorder="0"/>
    <xf numFmtId="0" fontId="25" fillId="10" borderId="5942" applyNumberFormat="0" applyProtection="0">
      <alignment horizontal="left" vertical="top"/>
    </xf>
    <xf numFmtId="0" fontId="25" fillId="10" borderId="5940" applyNumberFormat="0" applyProtection="0">
      <alignment horizontal="left" vertical="top"/>
    </xf>
    <xf numFmtId="0" fontId="214" fillId="0" borderId="5939" applyNumberFormat="0" applyFont="0" applyFill="0" applyAlignment="0" applyProtection="0"/>
    <xf numFmtId="186" fontId="146" fillId="3" borderId="5936">
      <alignment horizontal="left"/>
    </xf>
    <xf numFmtId="222" fontId="79" fillId="0" borderId="5944" applyBorder="0"/>
    <xf numFmtId="0" fontId="101" fillId="0" borderId="5825" applyBorder="0"/>
    <xf numFmtId="0" fontId="113" fillId="0" borderId="5825" applyNumberFormat="0" applyFill="0" applyAlignment="0" applyProtection="0"/>
    <xf numFmtId="0" fontId="12" fillId="0" borderId="5825" applyNumberFormat="0" applyFill="0" applyBorder="0" applyAlignment="0" applyProtection="0">
      <alignment horizontal="center"/>
    </xf>
    <xf numFmtId="248" fontId="46" fillId="0" borderId="5825"/>
    <xf numFmtId="192" fontId="9" fillId="3" borderId="5825">
      <alignment horizontal="right" vertical="center"/>
    </xf>
    <xf numFmtId="180" fontId="9" fillId="3" borderId="5825">
      <alignment horizontal="right" vertical="center"/>
    </xf>
    <xf numFmtId="186" fontId="146" fillId="3" borderId="5825" applyBorder="0">
      <alignment horizontal="left" vertical="center"/>
    </xf>
    <xf numFmtId="0" fontId="165" fillId="0" borderId="5825" applyFill="0" applyProtection="0">
      <alignment horizontal="center"/>
    </xf>
    <xf numFmtId="0" fontId="166" fillId="0" borderId="5825">
      <alignment horizontal="center"/>
    </xf>
    <xf numFmtId="264" fontId="12" fillId="14" borderId="5825" applyFont="0" applyFill="0" applyBorder="0" applyAlignment="0" applyProtection="0">
      <alignment horizontal="right"/>
    </xf>
    <xf numFmtId="0" fontId="210" fillId="0" borderId="5825" applyNumberFormat="0" applyFill="0" applyBorder="0" applyAlignment="0">
      <protection locked="0"/>
    </xf>
    <xf numFmtId="248" fontId="46" fillId="0" borderId="5969"/>
    <xf numFmtId="222" fontId="79" fillId="0" borderId="5968" applyBorder="0"/>
    <xf numFmtId="186" fontId="140" fillId="3" borderId="5961">
      <alignment horizontal="center" vertical="center"/>
    </xf>
    <xf numFmtId="0" fontId="25" fillId="10" borderId="5966" applyNumberFormat="0" applyProtection="0">
      <alignment horizontal="left" vertical="top"/>
    </xf>
    <xf numFmtId="0" fontId="210" fillId="0" borderId="5969" applyNumberFormat="0" applyFill="0" applyBorder="0" applyAlignment="0">
      <protection locked="0"/>
    </xf>
    <xf numFmtId="192" fontId="9" fillId="3" borderId="5969">
      <alignment horizontal="right" vertical="center"/>
    </xf>
    <xf numFmtId="0" fontId="113" fillId="0" borderId="5969" applyNumberFormat="0" applyFill="0" applyAlignment="0" applyProtection="0"/>
    <xf numFmtId="186" fontId="146" fillId="3" borderId="5960">
      <alignment horizontal="left"/>
    </xf>
    <xf numFmtId="0" fontId="25" fillId="10" borderId="5965" applyNumberFormat="0" applyProtection="0">
      <alignment horizontal="left" vertical="top"/>
    </xf>
    <xf numFmtId="254" fontId="240" fillId="0" borderId="5825" applyBorder="0" applyProtection="0">
      <alignment horizontal="right" vertical="center"/>
    </xf>
    <xf numFmtId="0" fontId="241" fillId="94" borderId="5825" applyBorder="0" applyProtection="0">
      <alignment horizontal="centerContinuous" vertical="center"/>
    </xf>
    <xf numFmtId="246" fontId="249" fillId="0" borderId="5825" applyFill="0" applyProtection="0">
      <alignment horizontal="center"/>
    </xf>
    <xf numFmtId="246" fontId="250" fillId="0" borderId="5825" applyFill="0" applyProtection="0">
      <alignment horizontal="center"/>
    </xf>
    <xf numFmtId="0" fontId="25" fillId="10" borderId="5989" applyNumberFormat="0" applyProtection="0">
      <alignment horizontal="left" vertical="top"/>
    </xf>
    <xf numFmtId="0" fontId="25" fillId="10" borderId="5991" applyNumberFormat="0" applyProtection="0">
      <alignment horizontal="left" vertical="top"/>
    </xf>
    <xf numFmtId="222" fontId="79" fillId="0" borderId="5920" applyBorder="0"/>
    <xf numFmtId="0" fontId="214" fillId="0" borderId="5987" applyNumberFormat="0" applyFont="0" applyFill="0" applyAlignment="0" applyProtection="0"/>
    <xf numFmtId="0" fontId="75" fillId="0" borderId="5922" applyNumberFormat="0" applyFont="0" applyFill="0" applyAlignment="0" applyProtection="0"/>
    <xf numFmtId="0" fontId="25" fillId="10" borderId="5930" applyNumberFormat="0" applyProtection="0">
      <alignment horizontal="left" vertical="top"/>
    </xf>
    <xf numFmtId="0" fontId="25" fillId="10" borderId="5931" applyNumberFormat="0" applyProtection="0">
      <alignment horizontal="left" vertical="top"/>
    </xf>
    <xf numFmtId="0" fontId="165" fillId="0" borderId="5945" applyFill="0" applyProtection="0">
      <alignment horizontal="center"/>
    </xf>
    <xf numFmtId="254" fontId="240" fillId="0" borderId="5945" applyBorder="0" applyProtection="0">
      <alignment horizontal="right" vertical="center"/>
    </xf>
    <xf numFmtId="0" fontId="241" fillId="94" borderId="5945" applyBorder="0" applyProtection="0">
      <alignment horizontal="centerContinuous" vertical="center"/>
    </xf>
    <xf numFmtId="0" fontId="241" fillId="94" borderId="5969" applyBorder="0" applyProtection="0">
      <alignment horizontal="centerContinuous" vertical="center"/>
    </xf>
    <xf numFmtId="0" fontId="166" fillId="0" borderId="5969">
      <alignment horizontal="center"/>
    </xf>
    <xf numFmtId="186" fontId="146" fillId="3" borderId="5969" applyBorder="0">
      <alignment horizontal="left" vertical="center"/>
    </xf>
    <xf numFmtId="0" fontId="214" fillId="0" borderId="5963" applyNumberFormat="0" applyFont="0" applyFill="0" applyAlignment="0" applyProtection="0"/>
    <xf numFmtId="0" fontId="78" fillId="14" borderId="5959" applyFont="0" applyFill="0" applyBorder="0" applyAlignment="0" applyProtection="0"/>
    <xf numFmtId="0" fontId="78" fillId="14" borderId="5887" applyFont="0" applyFill="0" applyBorder="0" applyAlignment="0" applyProtection="0"/>
    <xf numFmtId="0" fontId="25" fillId="10" borderId="5823" applyNumberFormat="0" applyProtection="0">
      <alignment horizontal="left" vertical="top"/>
    </xf>
    <xf numFmtId="0" fontId="25" fillId="10" borderId="5822" applyNumberFormat="0" applyProtection="0">
      <alignment horizontal="left" vertical="top"/>
    </xf>
    <xf numFmtId="0" fontId="25" fillId="10" borderId="5821" applyNumberFormat="0" applyProtection="0">
      <alignment horizontal="left" vertical="top"/>
    </xf>
    <xf numFmtId="0" fontId="25" fillId="10" borderId="5820" applyNumberFormat="0" applyProtection="0">
      <alignment horizontal="left" vertical="top"/>
    </xf>
    <xf numFmtId="186" fontId="140" fillId="3" borderId="5985">
      <alignment horizontal="center" vertical="center"/>
    </xf>
    <xf numFmtId="0" fontId="214" fillId="0" borderId="5819" applyNumberFormat="0" applyFont="0" applyFill="0" applyAlignment="0" applyProtection="0"/>
    <xf numFmtId="0" fontId="2" fillId="0" borderId="5818" applyNumberFormat="0" applyAlignment="0" applyProtection="0"/>
    <xf numFmtId="186" fontId="140" fillId="3" borderId="5817">
      <alignment horizontal="center" vertical="center"/>
    </xf>
    <xf numFmtId="186" fontId="146" fillId="3" borderId="5816">
      <alignment horizontal="left"/>
    </xf>
    <xf numFmtId="186" fontId="146" fillId="3" borderId="5984">
      <alignment horizontal="left"/>
    </xf>
    <xf numFmtId="0" fontId="75" fillId="0" borderId="5814" applyNumberFormat="0" applyFont="0" applyFill="0" applyAlignment="0" applyProtection="0"/>
    <xf numFmtId="0" fontId="75" fillId="0" borderId="5982" applyNumberFormat="0" applyFont="0" applyFill="0" applyAlignment="0" applyProtection="0"/>
    <xf numFmtId="222" fontId="79" fillId="0" borderId="5896" applyBorder="0"/>
    <xf numFmtId="222" fontId="79" fillId="0" borderId="5896" applyBorder="0"/>
    <xf numFmtId="0" fontId="25" fillId="10" borderId="5988" applyNumberFormat="0" applyProtection="0">
      <alignment horizontal="left" vertical="top"/>
    </xf>
    <xf numFmtId="0" fontId="2" fillId="0" borderId="5986" applyNumberFormat="0" applyAlignment="0" applyProtection="0"/>
    <xf numFmtId="246" fontId="250" fillId="0" borderId="5921" applyFill="0" applyProtection="0">
      <alignment horizontal="center"/>
    </xf>
    <xf numFmtId="246" fontId="249" fillId="0" borderId="5921" applyFill="0" applyProtection="0">
      <alignment horizontal="center"/>
    </xf>
    <xf numFmtId="0" fontId="241" fillId="94" borderId="5921" applyBorder="0" applyProtection="0">
      <alignment horizontal="centerContinuous" vertical="center"/>
    </xf>
    <xf numFmtId="254" fontId="240" fillId="0" borderId="5921" applyBorder="0" applyProtection="0">
      <alignment horizontal="right" vertical="center"/>
    </xf>
    <xf numFmtId="0" fontId="210" fillId="0" borderId="5921" applyNumberFormat="0" applyFill="0" applyBorder="0" applyAlignment="0">
      <protection locked="0"/>
    </xf>
    <xf numFmtId="264" fontId="12" fillId="14" borderId="5921" applyFont="0" applyFill="0" applyBorder="0" applyAlignment="0" applyProtection="0">
      <alignment horizontal="right"/>
    </xf>
    <xf numFmtId="0" fontId="166" fillId="0" borderId="5921">
      <alignment horizontal="center"/>
    </xf>
    <xf numFmtId="0" fontId="165" fillId="0" borderId="5921" applyFill="0" applyProtection="0">
      <alignment horizontal="center"/>
    </xf>
    <xf numFmtId="186" fontId="146" fillId="3" borderId="5921" applyBorder="0">
      <alignment horizontal="left" vertical="center"/>
    </xf>
    <xf numFmtId="180" fontId="9" fillId="3" borderId="5921">
      <alignment horizontal="right" vertical="center"/>
    </xf>
    <xf numFmtId="192" fontId="9" fillId="3" borderId="5921">
      <alignment horizontal="right" vertical="center"/>
    </xf>
    <xf numFmtId="248" fontId="46" fillId="0" borderId="5921"/>
    <xf numFmtId="0" fontId="12" fillId="0" borderId="5921" applyNumberFormat="0" applyFill="0" applyBorder="0" applyAlignment="0" applyProtection="0">
      <alignment horizontal="center"/>
    </xf>
    <xf numFmtId="0" fontId="113" fillId="0" borderId="5921" applyNumberFormat="0" applyFill="0" applyAlignment="0" applyProtection="0"/>
    <xf numFmtId="222" fontId="79" fillId="0" borderId="5920" applyBorder="0"/>
    <xf numFmtId="0" fontId="101" fillId="0" borderId="5921" applyBorder="0"/>
    <xf numFmtId="222" fontId="79" fillId="0" borderId="5920" applyBorder="0"/>
    <xf numFmtId="0" fontId="75" fillId="0" borderId="5910" applyNumberFormat="0" applyFont="0" applyFill="0" applyAlignment="0" applyProtection="0"/>
    <xf numFmtId="186" fontId="146" fillId="3" borderId="5912">
      <alignment horizontal="left"/>
    </xf>
    <xf numFmtId="186" fontId="140" fillId="3" borderId="5913">
      <alignment horizontal="center" vertical="center"/>
    </xf>
    <xf numFmtId="0" fontId="2" fillId="0" borderId="5914" applyNumberFormat="0" applyAlignment="0" applyProtection="0"/>
    <xf numFmtId="0" fontId="214" fillId="0" borderId="5915" applyNumberFormat="0" applyFont="0" applyFill="0" applyAlignment="0" applyProtection="0"/>
    <xf numFmtId="0" fontId="25" fillId="10" borderId="5916" applyNumberFormat="0" applyProtection="0">
      <alignment horizontal="left" vertical="top"/>
    </xf>
    <xf numFmtId="0" fontId="25" fillId="10" borderId="5917" applyNumberFormat="0" applyProtection="0">
      <alignment horizontal="left" vertical="top"/>
    </xf>
    <xf numFmtId="0" fontId="25" fillId="10" borderId="5918" applyNumberFormat="0" applyProtection="0">
      <alignment horizontal="left" vertical="top"/>
    </xf>
    <xf numFmtId="0" fontId="25" fillId="10" borderId="5919" applyNumberFormat="0" applyProtection="0">
      <alignment horizontal="left" vertical="top"/>
    </xf>
    <xf numFmtId="0" fontId="78" fillId="14" borderId="5911" applyFont="0" applyFill="0" applyBorder="0" applyAlignment="0" applyProtection="0"/>
    <xf numFmtId="222" fontId="79" fillId="0" borderId="5908" applyBorder="0"/>
    <xf numFmtId="0" fontId="78" fillId="14" borderId="5887" applyFont="0" applyFill="0" applyBorder="0" applyAlignment="0" applyProtection="0"/>
    <xf numFmtId="222" fontId="79" fillId="0" borderId="5896" applyBorder="0"/>
    <xf numFmtId="0" fontId="78" fillId="14" borderId="5899" applyFont="0" applyFill="0" applyBorder="0" applyAlignment="0" applyProtection="0"/>
    <xf numFmtId="0" fontId="25" fillId="10" borderId="5907" applyNumberFormat="0" applyProtection="0">
      <alignment horizontal="left" vertical="top"/>
    </xf>
    <xf numFmtId="0" fontId="25" fillId="10" borderId="5906" applyNumberFormat="0" applyProtection="0">
      <alignment horizontal="left" vertical="top"/>
    </xf>
    <xf numFmtId="0" fontId="25" fillId="10" borderId="5905" applyNumberFormat="0" applyProtection="0">
      <alignment horizontal="left" vertical="top"/>
    </xf>
    <xf numFmtId="0" fontId="25" fillId="10" borderId="5904" applyNumberFormat="0" applyProtection="0">
      <alignment horizontal="left" vertical="top"/>
    </xf>
    <xf numFmtId="0" fontId="214" fillId="0" borderId="5903" applyNumberFormat="0" applyFont="0" applyFill="0" applyAlignment="0" applyProtection="0"/>
    <xf numFmtId="0" fontId="2" fillId="0" borderId="5818" applyNumberFormat="0" applyAlignment="0" applyProtection="0"/>
    <xf numFmtId="186" fontId="140" fillId="3" borderId="5901">
      <alignment horizontal="center" vertical="center"/>
    </xf>
    <xf numFmtId="186" fontId="146" fillId="3" borderId="5900">
      <alignment horizontal="left"/>
    </xf>
    <xf numFmtId="0" fontId="75" fillId="0" borderId="5898" applyNumberFormat="0" applyFont="0" applyFill="0" applyAlignment="0" applyProtection="0"/>
    <xf numFmtId="222" fontId="79" fillId="0" borderId="5908" applyBorder="0"/>
    <xf numFmtId="0" fontId="101" fillId="0" borderId="5909" applyBorder="0"/>
    <xf numFmtId="222" fontId="79" fillId="0" borderId="5908" applyBorder="0"/>
    <xf numFmtId="0" fontId="113" fillId="0" borderId="5909" applyNumberFormat="0" applyFill="0" applyAlignment="0" applyProtection="0"/>
    <xf numFmtId="0" fontId="12" fillId="0" borderId="5909" applyNumberFormat="0" applyFill="0" applyBorder="0" applyAlignment="0" applyProtection="0">
      <alignment horizontal="center"/>
    </xf>
    <xf numFmtId="248" fontId="46" fillId="0" borderId="5909"/>
    <xf numFmtId="192" fontId="9" fillId="3" borderId="5909">
      <alignment horizontal="right" vertical="center"/>
    </xf>
    <xf numFmtId="180" fontId="9" fillId="3" borderId="5909">
      <alignment horizontal="right" vertical="center"/>
    </xf>
    <xf numFmtId="186" fontId="146" fillId="3" borderId="5909" applyBorder="0">
      <alignment horizontal="left" vertical="center"/>
    </xf>
    <xf numFmtId="0" fontId="165" fillId="0" borderId="5909" applyFill="0" applyProtection="0">
      <alignment horizontal="center"/>
    </xf>
    <xf numFmtId="0" fontId="166" fillId="0" borderId="5909">
      <alignment horizontal="center"/>
    </xf>
    <xf numFmtId="264" fontId="12" fillId="14" borderId="5909" applyFont="0" applyFill="0" applyBorder="0" applyAlignment="0" applyProtection="0">
      <alignment horizontal="right"/>
    </xf>
    <xf numFmtId="0" fontId="210" fillId="0" borderId="5909" applyNumberFormat="0" applyFill="0" applyBorder="0" applyAlignment="0">
      <protection locked="0"/>
    </xf>
    <xf numFmtId="254" fontId="240" fillId="0" borderId="5909" applyBorder="0" applyProtection="0">
      <alignment horizontal="right" vertical="center"/>
    </xf>
    <xf numFmtId="0" fontId="241" fillId="94" borderId="5909" applyBorder="0" applyProtection="0">
      <alignment horizontal="centerContinuous" vertical="center"/>
    </xf>
    <xf numFmtId="246" fontId="249" fillId="0" borderId="5909" applyFill="0" applyProtection="0">
      <alignment horizontal="center"/>
    </xf>
    <xf numFmtId="246" fontId="250" fillId="0" borderId="5909" applyFill="0" applyProtection="0">
      <alignment horizontal="center"/>
    </xf>
    <xf numFmtId="0" fontId="241" fillId="94" borderId="5993" applyBorder="0" applyProtection="0">
      <alignment horizontal="centerContinuous" vertical="center"/>
    </xf>
    <xf numFmtId="0" fontId="166" fillId="0" borderId="5993">
      <alignment horizontal="center"/>
    </xf>
    <xf numFmtId="0" fontId="2" fillId="0" borderId="5926" applyNumberFormat="0" applyAlignment="0" applyProtection="0"/>
    <xf numFmtId="0" fontId="214" fillId="0" borderId="5927" applyNumberFormat="0" applyFont="0" applyFill="0" applyAlignment="0" applyProtection="0"/>
    <xf numFmtId="246" fontId="250" fillId="0" borderId="5933" applyFill="0" applyProtection="0">
      <alignment horizontal="center"/>
    </xf>
    <xf numFmtId="246" fontId="249" fillId="0" borderId="5933" applyFill="0" applyProtection="0">
      <alignment horizontal="center"/>
    </xf>
    <xf numFmtId="0" fontId="241" fillId="94" borderId="5933" applyBorder="0" applyProtection="0">
      <alignment horizontal="centerContinuous" vertical="center"/>
    </xf>
    <xf numFmtId="254" fontId="240" fillId="0" borderId="5933" applyBorder="0" applyProtection="0">
      <alignment horizontal="right" vertical="center"/>
    </xf>
    <xf numFmtId="0" fontId="210" fillId="0" borderId="5933" applyNumberFormat="0" applyFill="0" applyBorder="0" applyAlignment="0">
      <protection locked="0"/>
    </xf>
    <xf numFmtId="264" fontId="12" fillId="14" borderId="5933" applyFont="0" applyFill="0" applyBorder="0" applyAlignment="0" applyProtection="0">
      <alignment horizontal="right"/>
    </xf>
    <xf numFmtId="0" fontId="166" fillId="0" borderId="5933">
      <alignment horizontal="center"/>
    </xf>
    <xf numFmtId="0" fontId="165" fillId="0" borderId="5933" applyFill="0" applyProtection="0">
      <alignment horizontal="center"/>
    </xf>
    <xf numFmtId="186" fontId="146" fillId="3" borderId="5933" applyBorder="0">
      <alignment horizontal="left" vertical="center"/>
    </xf>
    <xf numFmtId="180" fontId="9" fillId="3" borderId="5933">
      <alignment horizontal="right" vertical="center"/>
    </xf>
    <xf numFmtId="192" fontId="9" fillId="3" borderId="5933">
      <alignment horizontal="right" vertical="center"/>
    </xf>
    <xf numFmtId="248" fontId="46" fillId="0" borderId="5933"/>
    <xf numFmtId="0" fontId="12" fillId="0" borderId="5933" applyNumberFormat="0" applyFill="0" applyBorder="0" applyAlignment="0" applyProtection="0">
      <alignment horizontal="center"/>
    </xf>
    <xf numFmtId="0" fontId="113" fillId="0" borderId="5933" applyNumberFormat="0" applyFill="0" applyAlignment="0" applyProtection="0"/>
    <xf numFmtId="222" fontId="79" fillId="0" borderId="5932" applyBorder="0"/>
    <xf numFmtId="0" fontId="101" fillId="0" borderId="5933" applyBorder="0"/>
    <xf numFmtId="222" fontId="79" fillId="0" borderId="5932" applyBorder="0"/>
    <xf numFmtId="0" fontId="75" fillId="0" borderId="5922" applyNumberFormat="0" applyFont="0" applyFill="0" applyAlignment="0" applyProtection="0"/>
    <xf numFmtId="186" fontId="146" fillId="3" borderId="5924">
      <alignment horizontal="left"/>
    </xf>
    <xf numFmtId="186" fontId="140" fillId="3" borderId="5925">
      <alignment horizontal="center" vertical="center"/>
    </xf>
    <xf numFmtId="0" fontId="2" fillId="0" borderId="5926" applyNumberFormat="0" applyAlignment="0" applyProtection="0"/>
    <xf numFmtId="0" fontId="214" fillId="0" borderId="5927" applyNumberFormat="0" applyFont="0" applyFill="0" applyAlignment="0" applyProtection="0"/>
    <xf numFmtId="0" fontId="25" fillId="10" borderId="5928" applyNumberFormat="0" applyProtection="0">
      <alignment horizontal="left" vertical="top"/>
    </xf>
    <xf numFmtId="0" fontId="25" fillId="10" borderId="5929" applyNumberFormat="0" applyProtection="0">
      <alignment horizontal="left" vertical="top"/>
    </xf>
    <xf numFmtId="0" fontId="25" fillId="10" borderId="5930" applyNumberFormat="0" applyProtection="0">
      <alignment horizontal="left" vertical="top"/>
    </xf>
    <xf numFmtId="0" fontId="25" fillId="10" borderId="5931" applyNumberFormat="0" applyProtection="0">
      <alignment horizontal="left" vertical="top"/>
    </xf>
    <xf numFmtId="0" fontId="78" fillId="14" borderId="5923" applyFont="0" applyFill="0" applyBorder="0" applyAlignment="0" applyProtection="0"/>
    <xf numFmtId="222" fontId="79" fillId="0" borderId="5920" applyBorder="0"/>
    <xf numFmtId="0" fontId="78" fillId="14" borderId="5935" applyFont="0" applyFill="0" applyBorder="0" applyAlignment="0" applyProtection="0"/>
    <xf numFmtId="186" fontId="146" fillId="3" borderId="5924">
      <alignment horizontal="left"/>
    </xf>
    <xf numFmtId="0" fontId="78" fillId="14" borderId="5911" applyFont="0" applyFill="0" applyBorder="0" applyAlignment="0" applyProtection="0"/>
    <xf numFmtId="222" fontId="79" fillId="0" borderId="5920" applyBorder="0"/>
    <xf numFmtId="0" fontId="2" fillId="0" borderId="5938" applyNumberFormat="0" applyAlignment="0" applyProtection="0"/>
    <xf numFmtId="0" fontId="78" fillId="14" borderId="5911" applyFont="0" applyFill="0" applyBorder="0" applyAlignment="0" applyProtection="0"/>
    <xf numFmtId="0" fontId="25" fillId="10" borderId="5919" applyNumberFormat="0" applyProtection="0">
      <alignment horizontal="left" vertical="top"/>
    </xf>
    <xf numFmtId="0" fontId="25" fillId="10" borderId="5918" applyNumberFormat="0" applyProtection="0">
      <alignment horizontal="left" vertical="top"/>
    </xf>
    <xf numFmtId="0" fontId="25" fillId="10" borderId="5917" applyNumberFormat="0" applyProtection="0">
      <alignment horizontal="left" vertical="top"/>
    </xf>
    <xf numFmtId="0" fontId="25" fillId="10" borderId="5916" applyNumberFormat="0" applyProtection="0">
      <alignment horizontal="left" vertical="top"/>
    </xf>
    <xf numFmtId="0" fontId="25" fillId="10" borderId="5941" applyNumberFormat="0" applyProtection="0">
      <alignment horizontal="left" vertical="top"/>
    </xf>
    <xf numFmtId="0" fontId="214" fillId="0" borderId="5915" applyNumberFormat="0" applyFont="0" applyFill="0" applyAlignment="0" applyProtection="0"/>
    <xf numFmtId="0" fontId="2" fillId="0" borderId="5914" applyNumberFormat="0" applyAlignment="0" applyProtection="0"/>
    <xf numFmtId="186" fontId="140" fillId="3" borderId="5913">
      <alignment horizontal="center" vertical="center"/>
    </xf>
    <xf numFmtId="186" fontId="146" fillId="3" borderId="5912">
      <alignment horizontal="left"/>
    </xf>
    <xf numFmtId="0" fontId="25" fillId="10" borderId="5943" applyNumberFormat="0" applyProtection="0">
      <alignment horizontal="left" vertical="top"/>
    </xf>
    <xf numFmtId="0" fontId="75" fillId="0" borderId="5910" applyNumberFormat="0" applyFont="0" applyFill="0" applyAlignment="0" applyProtection="0"/>
    <xf numFmtId="222" fontId="79" fillId="0" borderId="5920" applyBorder="0"/>
    <xf numFmtId="0" fontId="101" fillId="0" borderId="5921" applyBorder="0"/>
    <xf numFmtId="222" fontId="79" fillId="0" borderId="5920" applyBorder="0"/>
    <xf numFmtId="0" fontId="113" fillId="0" borderId="5921" applyNumberFormat="0" applyFill="0" applyAlignment="0" applyProtection="0"/>
    <xf numFmtId="0" fontId="12" fillId="0" borderId="5921" applyNumberFormat="0" applyFill="0" applyBorder="0" applyAlignment="0" applyProtection="0">
      <alignment horizontal="center"/>
    </xf>
    <xf numFmtId="248" fontId="46" fillId="0" borderId="5921"/>
    <xf numFmtId="192" fontId="9" fillId="3" borderId="5921">
      <alignment horizontal="right" vertical="center"/>
    </xf>
    <xf numFmtId="180" fontId="9" fillId="3" borderId="5921">
      <alignment horizontal="right" vertical="center"/>
    </xf>
    <xf numFmtId="186" fontId="146" fillId="3" borderId="5921" applyBorder="0">
      <alignment horizontal="left" vertical="center"/>
    </xf>
    <xf numFmtId="0" fontId="165" fillId="0" borderId="5921" applyFill="0" applyProtection="0">
      <alignment horizontal="center"/>
    </xf>
    <xf numFmtId="0" fontId="166" fillId="0" borderId="5921">
      <alignment horizontal="center"/>
    </xf>
    <xf numFmtId="264" fontId="12" fillId="14" borderId="5921" applyFont="0" applyFill="0" applyBorder="0" applyAlignment="0" applyProtection="0">
      <alignment horizontal="right"/>
    </xf>
    <xf numFmtId="0" fontId="210" fillId="0" borderId="5921" applyNumberFormat="0" applyFill="0" applyBorder="0" applyAlignment="0">
      <protection locked="0"/>
    </xf>
    <xf numFmtId="254" fontId="240" fillId="0" borderId="5921" applyBorder="0" applyProtection="0">
      <alignment horizontal="right" vertical="center"/>
    </xf>
    <xf numFmtId="0" fontId="241" fillId="94" borderId="5921" applyBorder="0" applyProtection="0">
      <alignment horizontal="centerContinuous" vertical="center"/>
    </xf>
    <xf numFmtId="246" fontId="249" fillId="0" borderId="5921" applyFill="0" applyProtection="0">
      <alignment horizontal="center"/>
    </xf>
    <xf numFmtId="246" fontId="250" fillId="0" borderId="5921" applyFill="0" applyProtection="0">
      <alignment horizontal="center"/>
    </xf>
    <xf numFmtId="186" fontId="140" fillId="3" borderId="5937">
      <alignment horizontal="center" vertical="center"/>
    </xf>
    <xf numFmtId="0" fontId="78" fillId="14" borderId="5923" applyFont="0" applyFill="0" applyBorder="0" applyAlignment="0" applyProtection="0"/>
    <xf numFmtId="222" fontId="79" fillId="0" borderId="5944" applyBorder="0"/>
    <xf numFmtId="0" fontId="78" fillId="14" borderId="5947" applyFont="0" applyFill="0" applyBorder="0" applyAlignment="0" applyProtection="0"/>
    <xf numFmtId="0" fontId="25" fillId="10" borderId="5955" applyNumberFormat="0" applyProtection="0">
      <alignment horizontal="left" vertical="top"/>
    </xf>
    <xf numFmtId="0" fontId="25" fillId="10" borderId="5954" applyNumberFormat="0" applyProtection="0">
      <alignment horizontal="left" vertical="top"/>
    </xf>
    <xf numFmtId="0" fontId="25" fillId="10" borderId="5953" applyNumberFormat="0" applyProtection="0">
      <alignment horizontal="left" vertical="top"/>
    </xf>
    <xf numFmtId="0" fontId="25" fillId="10" borderId="5952" applyNumberFormat="0" applyProtection="0">
      <alignment horizontal="left" vertical="top"/>
    </xf>
    <xf numFmtId="0" fontId="214" fillId="0" borderId="5951" applyNumberFormat="0" applyFont="0" applyFill="0" applyAlignment="0" applyProtection="0"/>
    <xf numFmtId="0" fontId="2" fillId="0" borderId="5950" applyNumberFormat="0" applyAlignment="0" applyProtection="0"/>
    <xf numFmtId="186" fontId="140" fillId="3" borderId="5949">
      <alignment horizontal="center" vertical="center"/>
    </xf>
    <xf numFmtId="186" fontId="146" fillId="3" borderId="5948">
      <alignment horizontal="left"/>
    </xf>
    <xf numFmtId="0" fontId="75" fillId="0" borderId="5946" applyNumberFormat="0" applyFont="0" applyFill="0" applyAlignment="0" applyProtection="0"/>
    <xf numFmtId="222" fontId="79" fillId="0" borderId="5956" applyBorder="0"/>
    <xf numFmtId="0" fontId="101" fillId="0" borderId="5957" applyBorder="0"/>
    <xf numFmtId="222" fontId="79" fillId="0" borderId="5956" applyBorder="0"/>
    <xf numFmtId="0" fontId="113" fillId="0" borderId="5957" applyNumberFormat="0" applyFill="0" applyAlignment="0" applyProtection="0"/>
    <xf numFmtId="0" fontId="12" fillId="0" borderId="5957" applyNumberFormat="0" applyFill="0" applyBorder="0" applyAlignment="0" applyProtection="0">
      <alignment horizontal="center"/>
    </xf>
    <xf numFmtId="248" fontId="46" fillId="0" borderId="5957"/>
    <xf numFmtId="192" fontId="9" fillId="3" borderId="5957">
      <alignment horizontal="right" vertical="center"/>
    </xf>
    <xf numFmtId="180" fontId="9" fillId="3" borderId="5957">
      <alignment horizontal="right" vertical="center"/>
    </xf>
    <xf numFmtId="186" fontId="146" fillId="3" borderId="5957" applyBorder="0">
      <alignment horizontal="left" vertical="center"/>
    </xf>
    <xf numFmtId="0" fontId="165" fillId="0" borderId="5957" applyFill="0" applyProtection="0">
      <alignment horizontal="center"/>
    </xf>
    <xf numFmtId="0" fontId="166" fillId="0" borderId="5957">
      <alignment horizontal="center"/>
    </xf>
    <xf numFmtId="264" fontId="12" fillId="14" borderId="5957" applyFont="0" applyFill="0" applyBorder="0" applyAlignment="0" applyProtection="0">
      <alignment horizontal="right"/>
    </xf>
    <xf numFmtId="0" fontId="210" fillId="0" borderId="5957" applyNumberFormat="0" applyFill="0" applyBorder="0" applyAlignment="0">
      <protection locked="0"/>
    </xf>
    <xf numFmtId="254" fontId="240" fillId="0" borderId="5957" applyBorder="0" applyProtection="0">
      <alignment horizontal="right" vertical="center"/>
    </xf>
    <xf numFmtId="0" fontId="241" fillId="94" borderId="5957" applyBorder="0" applyProtection="0">
      <alignment horizontal="centerContinuous" vertical="center"/>
    </xf>
    <xf numFmtId="246" fontId="249" fillId="0" borderId="5957" applyFill="0" applyProtection="0">
      <alignment horizontal="center"/>
    </xf>
    <xf numFmtId="246" fontId="250" fillId="0" borderId="5957" applyFill="0" applyProtection="0">
      <alignment horizontal="center"/>
    </xf>
    <xf numFmtId="222" fontId="79" fillId="0" borderId="5968" applyBorder="0"/>
    <xf numFmtId="0" fontId="78" fillId="14" borderId="5971" applyFont="0" applyFill="0" applyBorder="0" applyAlignment="0" applyProtection="0"/>
    <xf numFmtId="0" fontId="25" fillId="10" borderId="5979" applyNumberFormat="0" applyProtection="0">
      <alignment horizontal="left" vertical="top"/>
    </xf>
    <xf numFmtId="0" fontId="25" fillId="10" borderId="5978" applyNumberFormat="0" applyProtection="0">
      <alignment horizontal="left" vertical="top"/>
    </xf>
    <xf numFmtId="0" fontId="25" fillId="10" borderId="5977" applyNumberFormat="0" applyProtection="0">
      <alignment horizontal="left" vertical="top"/>
    </xf>
    <xf numFmtId="0" fontId="25" fillId="10" borderId="5976" applyNumberFormat="0" applyProtection="0">
      <alignment horizontal="left" vertical="top"/>
    </xf>
    <xf numFmtId="0" fontId="214" fillId="0" borderId="5975" applyNumberFormat="0" applyFont="0" applyFill="0" applyAlignment="0" applyProtection="0"/>
    <xf numFmtId="0" fontId="2" fillId="0" borderId="5974" applyNumberFormat="0" applyAlignment="0" applyProtection="0"/>
    <xf numFmtId="186" fontId="140" fillId="3" borderId="5973">
      <alignment horizontal="center" vertical="center"/>
    </xf>
    <xf numFmtId="186" fontId="146" fillId="3" borderId="5972">
      <alignment horizontal="left"/>
    </xf>
    <xf numFmtId="0" fontId="75" fillId="0" borderId="5970" applyNumberFormat="0" applyFont="0" applyFill="0" applyAlignment="0" applyProtection="0"/>
    <xf numFmtId="222" fontId="79" fillId="0" borderId="5980" applyBorder="0"/>
    <xf numFmtId="0" fontId="101" fillId="0" borderId="5981" applyBorder="0"/>
    <xf numFmtId="222" fontId="79" fillId="0" borderId="5980" applyBorder="0"/>
    <xf numFmtId="0" fontId="113" fillId="0" borderId="5981" applyNumberFormat="0" applyFill="0" applyAlignment="0" applyProtection="0"/>
    <xf numFmtId="0" fontId="12" fillId="0" borderId="5981" applyNumberFormat="0" applyFill="0" applyBorder="0" applyAlignment="0" applyProtection="0">
      <alignment horizontal="center"/>
    </xf>
    <xf numFmtId="248" fontId="46" fillId="0" borderId="5981"/>
    <xf numFmtId="192" fontId="9" fillId="3" borderId="5981">
      <alignment horizontal="right" vertical="center"/>
    </xf>
    <xf numFmtId="180" fontId="9" fillId="3" borderId="5981">
      <alignment horizontal="right" vertical="center"/>
    </xf>
    <xf numFmtId="186" fontId="146" fillId="3" borderId="5981" applyBorder="0">
      <alignment horizontal="left" vertical="center"/>
    </xf>
    <xf numFmtId="0" fontId="165" fillId="0" borderId="5981" applyFill="0" applyProtection="0">
      <alignment horizontal="center"/>
    </xf>
    <xf numFmtId="0" fontId="166" fillId="0" borderId="5981">
      <alignment horizontal="center"/>
    </xf>
    <xf numFmtId="264" fontId="12" fillId="14" borderId="5981" applyFont="0" applyFill="0" applyBorder="0" applyAlignment="0" applyProtection="0">
      <alignment horizontal="right"/>
    </xf>
    <xf numFmtId="0" fontId="210" fillId="0" borderId="5981" applyNumberFormat="0" applyFill="0" applyBorder="0" applyAlignment="0">
      <protection locked="0"/>
    </xf>
    <xf numFmtId="254" fontId="240" fillId="0" borderId="5981" applyBorder="0" applyProtection="0">
      <alignment horizontal="right" vertical="center"/>
    </xf>
    <xf numFmtId="0" fontId="241" fillId="94" borderId="5981" applyBorder="0" applyProtection="0">
      <alignment horizontal="centerContinuous" vertical="center"/>
    </xf>
    <xf numFmtId="246" fontId="249" fillId="0" borderId="5981" applyFill="0" applyProtection="0">
      <alignment horizontal="center"/>
    </xf>
    <xf numFmtId="246" fontId="250" fillId="0" borderId="5981" applyFill="0" applyProtection="0">
      <alignment horizontal="center"/>
    </xf>
    <xf numFmtId="0" fontId="75" fillId="0" borderId="5994" applyNumberFormat="0" applyFont="0" applyFill="0" applyAlignment="0" applyProtection="0"/>
    <xf numFmtId="0" fontId="78" fillId="14" borderId="5995" applyFont="0" applyFill="0" applyBorder="0" applyAlignment="0" applyProtection="0"/>
    <xf numFmtId="186" fontId="146" fillId="3" borderId="5996">
      <alignment horizontal="left"/>
    </xf>
    <xf numFmtId="186" fontId="140" fillId="3" borderId="5997">
      <alignment horizontal="center" vertical="center"/>
    </xf>
    <xf numFmtId="0" fontId="2" fillId="0" borderId="5998" applyNumberFormat="0" applyAlignment="0" applyProtection="0"/>
    <xf numFmtId="0" fontId="214" fillId="0" borderId="5999" applyNumberFormat="0" applyFont="0" applyFill="0" applyAlignment="0" applyProtection="0"/>
    <xf numFmtId="0" fontId="25" fillId="10" borderId="6000" applyNumberFormat="0" applyProtection="0">
      <alignment horizontal="left" vertical="top"/>
    </xf>
    <xf numFmtId="0" fontId="25" fillId="10" borderId="6001" applyNumberFormat="0" applyProtection="0">
      <alignment horizontal="left" vertical="top"/>
    </xf>
    <xf numFmtId="0" fontId="25" fillId="10" borderId="6002" applyNumberFormat="0" applyProtection="0">
      <alignment horizontal="left" vertical="top"/>
    </xf>
    <xf numFmtId="0" fontId="25" fillId="10" borderId="6003" applyNumberFormat="0" applyProtection="0">
      <alignment horizontal="left" vertical="top"/>
    </xf>
    <xf numFmtId="246" fontId="250" fillId="0" borderId="5993" applyFill="0" applyProtection="0">
      <alignment horizontal="center"/>
    </xf>
    <xf numFmtId="246" fontId="249" fillId="0" borderId="5993" applyFill="0" applyProtection="0">
      <alignment horizontal="center"/>
    </xf>
    <xf numFmtId="0" fontId="241" fillId="94" borderId="5993" applyBorder="0" applyProtection="0">
      <alignment horizontal="centerContinuous" vertical="center"/>
    </xf>
    <xf numFmtId="254" fontId="240" fillId="0" borderId="5993" applyBorder="0" applyProtection="0">
      <alignment horizontal="right" vertical="center"/>
    </xf>
    <xf numFmtId="0" fontId="210" fillId="0" borderId="5993" applyNumberFormat="0" applyFill="0" applyBorder="0" applyAlignment="0">
      <protection locked="0"/>
    </xf>
    <xf numFmtId="264" fontId="12" fillId="14" borderId="5993" applyFont="0" applyFill="0" applyBorder="0" applyAlignment="0" applyProtection="0">
      <alignment horizontal="right"/>
    </xf>
    <xf numFmtId="0" fontId="166" fillId="0" borderId="5993">
      <alignment horizontal="center"/>
    </xf>
    <xf numFmtId="0" fontId="165" fillId="0" borderId="5993" applyFill="0" applyProtection="0">
      <alignment horizontal="center"/>
    </xf>
    <xf numFmtId="186" fontId="146" fillId="3" borderId="5993" applyBorder="0">
      <alignment horizontal="left" vertical="center"/>
    </xf>
    <xf numFmtId="180" fontId="9" fillId="3" borderId="5993">
      <alignment horizontal="right" vertical="center"/>
    </xf>
    <xf numFmtId="192" fontId="9" fillId="3" borderId="5993">
      <alignment horizontal="right" vertical="center"/>
    </xf>
    <xf numFmtId="0" fontId="12" fillId="0" borderId="5993" applyNumberFormat="0" applyFill="0" applyBorder="0" applyAlignment="0" applyProtection="0">
      <alignment horizontal="center"/>
    </xf>
    <xf numFmtId="0" fontId="113" fillId="0" borderId="5993" applyNumberFormat="0" applyFill="0" applyAlignment="0" applyProtection="0"/>
    <xf numFmtId="222" fontId="79" fillId="0" borderId="5992" applyBorder="0"/>
    <xf numFmtId="0" fontId="101" fillId="0" borderId="5993" applyBorder="0"/>
    <xf numFmtId="248" fontId="46" fillId="0" borderId="5993"/>
    <xf numFmtId="0" fontId="101" fillId="0" borderId="5993" applyBorder="0"/>
    <xf numFmtId="222" fontId="79" fillId="0" borderId="5992" applyBorder="0"/>
    <xf numFmtId="0" fontId="113" fillId="0" borderId="5993" applyNumberFormat="0" applyFill="0" applyAlignment="0" applyProtection="0"/>
    <xf numFmtId="0" fontId="75" fillId="0" borderId="5994" applyNumberFormat="0" applyFont="0" applyFill="0" applyAlignment="0" applyProtection="0"/>
    <xf numFmtId="0" fontId="12" fillId="0" borderId="5993" applyNumberFormat="0" applyFill="0" applyBorder="0" applyAlignment="0" applyProtection="0">
      <alignment horizontal="center"/>
    </xf>
    <xf numFmtId="248" fontId="46" fillId="0" borderId="5993"/>
    <xf numFmtId="192" fontId="9" fillId="3" borderId="5993">
      <alignment horizontal="right" vertical="center"/>
    </xf>
    <xf numFmtId="180" fontId="9" fillId="3" borderId="5993">
      <alignment horizontal="right" vertical="center"/>
    </xf>
    <xf numFmtId="186" fontId="146" fillId="3" borderId="5993" applyBorder="0">
      <alignment horizontal="left" vertical="center"/>
    </xf>
    <xf numFmtId="186" fontId="146" fillId="3" borderId="5996">
      <alignment horizontal="left"/>
    </xf>
    <xf numFmtId="186" fontId="140" fillId="3" borderId="5997">
      <alignment horizontal="center" vertical="center"/>
    </xf>
    <xf numFmtId="0" fontId="165" fillId="0" borderId="5993" applyFill="0" applyProtection="0">
      <alignment horizontal="center"/>
    </xf>
    <xf numFmtId="0" fontId="166" fillId="0" borderId="5993">
      <alignment horizontal="center"/>
    </xf>
    <xf numFmtId="264" fontId="12" fillId="14" borderId="5993" applyFont="0" applyFill="0" applyBorder="0" applyAlignment="0" applyProtection="0">
      <alignment horizontal="right"/>
    </xf>
    <xf numFmtId="0" fontId="210" fillId="0" borderId="5993" applyNumberFormat="0" applyFill="0" applyBorder="0" applyAlignment="0">
      <protection locked="0"/>
    </xf>
    <xf numFmtId="0" fontId="2" fillId="0" borderId="5998" applyNumberFormat="0" applyAlignment="0" applyProtection="0"/>
    <xf numFmtId="0" fontId="214" fillId="0" borderId="5999" applyNumberFormat="0" applyFont="0" applyFill="0" applyAlignment="0" applyProtection="0"/>
    <xf numFmtId="0" fontId="25" fillId="10" borderId="6000" applyNumberFormat="0" applyProtection="0">
      <alignment horizontal="left" vertical="top"/>
    </xf>
    <xf numFmtId="0" fontId="25" fillId="10" borderId="6001" applyNumberFormat="0" applyProtection="0">
      <alignment horizontal="left" vertical="top"/>
    </xf>
    <xf numFmtId="0" fontId="25" fillId="10" borderId="6002" applyNumberFormat="0" applyProtection="0">
      <alignment horizontal="left" vertical="top"/>
    </xf>
    <xf numFmtId="0" fontId="25" fillId="10" borderId="6003" applyNumberFormat="0" applyProtection="0">
      <alignment horizontal="left" vertical="top"/>
    </xf>
    <xf numFmtId="0" fontId="25" fillId="10" borderId="6000" applyNumberFormat="0" applyProtection="0">
      <alignment horizontal="left" vertical="top"/>
    </xf>
    <xf numFmtId="0" fontId="25" fillId="10" borderId="6001" applyNumberFormat="0" applyProtection="0">
      <alignment horizontal="left" vertical="top"/>
    </xf>
    <xf numFmtId="0" fontId="25" fillId="10" borderId="6002" applyNumberFormat="0" applyProtection="0">
      <alignment horizontal="left" vertical="top"/>
    </xf>
    <xf numFmtId="0" fontId="25" fillId="10" borderId="6003" applyNumberFormat="0" applyProtection="0">
      <alignment horizontal="left" vertical="top"/>
    </xf>
    <xf numFmtId="254" fontId="240" fillId="0" borderId="5993" applyBorder="0" applyProtection="0">
      <alignment horizontal="right" vertical="center"/>
    </xf>
    <xf numFmtId="0" fontId="241" fillId="94" borderId="5993" applyBorder="0" applyProtection="0">
      <alignment horizontal="centerContinuous" vertical="center"/>
    </xf>
    <xf numFmtId="246" fontId="249" fillId="0" borderId="5993" applyFill="0" applyProtection="0">
      <alignment horizontal="center"/>
    </xf>
    <xf numFmtId="246" fontId="250" fillId="0" borderId="5993" applyFill="0" applyProtection="0">
      <alignment horizontal="center"/>
    </xf>
    <xf numFmtId="190" fontId="101" fillId="0" borderId="5993" applyBorder="0"/>
    <xf numFmtId="190" fontId="113" fillId="0" borderId="5993" applyNumberFormat="0" applyFill="0" applyAlignment="0" applyProtection="0"/>
    <xf numFmtId="190" fontId="75" fillId="0" borderId="5970" applyNumberFormat="0" applyFont="0" applyFill="0" applyAlignment="0" applyProtection="0"/>
    <xf numFmtId="190" fontId="12" fillId="0" borderId="5993" applyNumberFormat="0" applyFill="0" applyBorder="0" applyAlignment="0" applyProtection="0">
      <alignment horizontal="center"/>
    </xf>
    <xf numFmtId="190" fontId="78" fillId="14" borderId="5983" applyFont="0" applyFill="0" applyBorder="0" applyAlignment="0" applyProtection="0"/>
    <xf numFmtId="190" fontId="165" fillId="0" borderId="5993" applyFill="0" applyProtection="0">
      <alignment horizontal="center"/>
    </xf>
    <xf numFmtId="190" fontId="166" fillId="0" borderId="5993">
      <alignment horizontal="center"/>
    </xf>
    <xf numFmtId="190" fontId="210" fillId="0" borderId="5993" applyNumberFormat="0" applyFill="0" applyBorder="0" applyAlignment="0">
      <protection locked="0"/>
    </xf>
    <xf numFmtId="190" fontId="2" fillId="0" borderId="5974" applyNumberFormat="0" applyAlignment="0" applyProtection="0"/>
    <xf numFmtId="190" fontId="214" fillId="0" borderId="5975" applyNumberFormat="0" applyFont="0" applyFill="0" applyAlignment="0" applyProtection="0"/>
    <xf numFmtId="190" fontId="25" fillId="10" borderId="5976" applyNumberFormat="0" applyProtection="0">
      <alignment horizontal="left" vertical="top"/>
    </xf>
    <xf numFmtId="190" fontId="25" fillId="10" borderId="5977" applyNumberFormat="0" applyProtection="0">
      <alignment horizontal="left" vertical="top"/>
    </xf>
    <xf numFmtId="190" fontId="25" fillId="10" borderId="5978" applyNumberFormat="0" applyProtection="0">
      <alignment horizontal="left" vertical="top"/>
    </xf>
    <xf numFmtId="190" fontId="25" fillId="10" borderId="5979" applyNumberFormat="0" applyProtection="0">
      <alignment horizontal="left" vertical="top"/>
    </xf>
    <xf numFmtId="190" fontId="241" fillId="94" borderId="5993" applyBorder="0" applyProtection="0">
      <alignment horizontal="centerContinuous" vertical="center"/>
    </xf>
    <xf numFmtId="222" fontId="79" fillId="0" borderId="5992" applyBorder="0"/>
    <xf numFmtId="0" fontId="101" fillId="0" borderId="5993" applyBorder="0"/>
    <xf numFmtId="222" fontId="79" fillId="0" borderId="5992" applyBorder="0"/>
    <xf numFmtId="0" fontId="113" fillId="0" borderId="5993" applyNumberFormat="0" applyFill="0" applyAlignment="0" applyProtection="0"/>
    <xf numFmtId="0" fontId="75" fillId="0" borderId="5970" applyNumberFormat="0" applyFont="0" applyFill="0" applyAlignment="0" applyProtection="0"/>
    <xf numFmtId="0" fontId="12" fillId="0" borderId="5993" applyNumberFormat="0" applyFill="0" applyBorder="0" applyAlignment="0" applyProtection="0">
      <alignment horizontal="center"/>
    </xf>
    <xf numFmtId="248" fontId="46" fillId="0" borderId="5993"/>
    <xf numFmtId="192" fontId="9" fillId="3" borderId="5993">
      <alignment horizontal="right" vertical="center"/>
    </xf>
    <xf numFmtId="180" fontId="9" fillId="3" borderId="5993">
      <alignment horizontal="right" vertical="center"/>
    </xf>
    <xf numFmtId="186" fontId="146" fillId="3" borderId="5993" applyBorder="0">
      <alignment horizontal="left" vertical="center"/>
    </xf>
    <xf numFmtId="186" fontId="146" fillId="3" borderId="5972">
      <alignment horizontal="left"/>
    </xf>
    <xf numFmtId="186" fontId="140" fillId="3" borderId="5973">
      <alignment horizontal="center" vertical="center"/>
    </xf>
    <xf numFmtId="0" fontId="165" fillId="0" borderId="5993" applyFill="0" applyProtection="0">
      <alignment horizontal="center"/>
    </xf>
    <xf numFmtId="0" fontId="166" fillId="0" borderId="5993">
      <alignment horizontal="center"/>
    </xf>
    <xf numFmtId="264" fontId="12" fillId="14" borderId="5993" applyFont="0" applyFill="0" applyBorder="0" applyAlignment="0" applyProtection="0">
      <alignment horizontal="right"/>
    </xf>
    <xf numFmtId="0" fontId="210" fillId="0" borderId="5993" applyNumberFormat="0" applyFill="0" applyBorder="0" applyAlignment="0">
      <protection locked="0"/>
    </xf>
    <xf numFmtId="0" fontId="2" fillId="0" borderId="5974" applyNumberFormat="0" applyAlignment="0" applyProtection="0"/>
    <xf numFmtId="0" fontId="214" fillId="0" borderId="5975" applyNumberFormat="0" applyFont="0" applyFill="0" applyAlignment="0" applyProtection="0"/>
    <xf numFmtId="0" fontId="25" fillId="10" borderId="5976" applyNumberFormat="0" applyProtection="0">
      <alignment horizontal="left" vertical="top"/>
    </xf>
    <xf numFmtId="0" fontId="25" fillId="10" borderId="5977" applyNumberFormat="0" applyProtection="0">
      <alignment horizontal="left" vertical="top"/>
    </xf>
    <xf numFmtId="0" fontId="25" fillId="10" borderId="5978" applyNumberFormat="0" applyProtection="0">
      <alignment horizontal="left" vertical="top"/>
    </xf>
    <xf numFmtId="0" fontId="25" fillId="10" borderId="5979" applyNumberFormat="0" applyProtection="0">
      <alignment horizontal="left" vertical="top"/>
    </xf>
    <xf numFmtId="0" fontId="25" fillId="10" borderId="5976" applyNumberFormat="0" applyProtection="0">
      <alignment horizontal="left" vertical="top"/>
    </xf>
    <xf numFmtId="0" fontId="25" fillId="10" borderId="5977" applyNumberFormat="0" applyProtection="0">
      <alignment horizontal="left" vertical="top"/>
    </xf>
    <xf numFmtId="0" fontId="25" fillId="10" borderId="5978" applyNumberFormat="0" applyProtection="0">
      <alignment horizontal="left" vertical="top"/>
    </xf>
    <xf numFmtId="0" fontId="25" fillId="10" borderId="5979" applyNumberFormat="0" applyProtection="0">
      <alignment horizontal="left" vertical="top"/>
    </xf>
    <xf numFmtId="254" fontId="240" fillId="0" borderId="5993" applyBorder="0" applyProtection="0">
      <alignment horizontal="right" vertical="center"/>
    </xf>
    <xf numFmtId="0" fontId="241" fillId="94" borderId="5993" applyBorder="0" applyProtection="0">
      <alignment horizontal="centerContinuous" vertical="center"/>
    </xf>
    <xf numFmtId="246" fontId="249" fillId="0" borderId="5993" applyFill="0" applyProtection="0">
      <alignment horizontal="center"/>
    </xf>
    <xf numFmtId="246" fontId="250" fillId="0" borderId="5993" applyFill="0" applyProtection="0">
      <alignment horizontal="center"/>
    </xf>
    <xf numFmtId="312" fontId="101" fillId="0" borderId="5993" applyBorder="0"/>
    <xf numFmtId="312" fontId="113" fillId="0" borderId="5993" applyNumberFormat="0" applyFill="0" applyAlignment="0" applyProtection="0"/>
    <xf numFmtId="312" fontId="75" fillId="0" borderId="5970" applyNumberFormat="0" applyFont="0" applyFill="0" applyAlignment="0" applyProtection="0"/>
    <xf numFmtId="312" fontId="12" fillId="0" borderId="5993" applyNumberFormat="0" applyFill="0" applyBorder="0" applyAlignment="0" applyProtection="0">
      <alignment horizontal="center"/>
    </xf>
    <xf numFmtId="312" fontId="165" fillId="0" borderId="5993" applyFill="0" applyProtection="0">
      <alignment horizontal="center"/>
    </xf>
    <xf numFmtId="312" fontId="242" fillId="0" borderId="5993">
      <alignment horizontal="center"/>
    </xf>
    <xf numFmtId="312" fontId="210" fillId="0" borderId="5993" applyNumberFormat="0" applyFill="0" applyBorder="0" applyAlignment="0">
      <protection locked="0"/>
    </xf>
    <xf numFmtId="312" fontId="2" fillId="0" borderId="5974" applyNumberFormat="0" applyAlignment="0" applyProtection="0"/>
    <xf numFmtId="312" fontId="214" fillId="0" borderId="5975" applyNumberFormat="0" applyFont="0" applyFill="0" applyAlignment="0" applyProtection="0"/>
    <xf numFmtId="312" fontId="25" fillId="10" borderId="5976" applyNumberFormat="0" applyProtection="0">
      <alignment horizontal="left" vertical="top"/>
    </xf>
    <xf numFmtId="312" fontId="25" fillId="10" borderId="5977" applyNumberFormat="0" applyProtection="0">
      <alignment horizontal="left" vertical="top"/>
    </xf>
    <xf numFmtId="312" fontId="25" fillId="10" borderId="5978" applyNumberFormat="0" applyProtection="0">
      <alignment horizontal="left" vertical="top"/>
    </xf>
    <xf numFmtId="312" fontId="25" fillId="10" borderId="5979" applyNumberFormat="0" applyProtection="0">
      <alignment horizontal="left" vertical="top"/>
    </xf>
    <xf numFmtId="312" fontId="241" fillId="94" borderId="5993" applyBorder="0" applyProtection="0">
      <alignment horizontal="centerContinuous" vertical="center"/>
    </xf>
    <xf numFmtId="246" fontId="296" fillId="0" borderId="5993" applyFill="0" applyProtection="0">
      <alignment horizontal="center"/>
    </xf>
    <xf numFmtId="312" fontId="101" fillId="0" borderId="5993" applyBorder="0"/>
    <xf numFmtId="312" fontId="113" fillId="0" borderId="5993" applyNumberFormat="0" applyFill="0" applyAlignment="0" applyProtection="0"/>
    <xf numFmtId="312" fontId="75" fillId="0" borderId="5970" applyNumberFormat="0" applyFont="0" applyFill="0" applyAlignment="0" applyProtection="0"/>
    <xf numFmtId="312" fontId="12" fillId="0" borderId="5993" applyNumberFormat="0" applyFill="0" applyBorder="0" applyAlignment="0" applyProtection="0">
      <alignment horizontal="center"/>
    </xf>
    <xf numFmtId="312" fontId="165" fillId="0" borderId="5993" applyFill="0" applyProtection="0">
      <alignment horizontal="center"/>
    </xf>
    <xf numFmtId="312" fontId="242" fillId="0" borderId="5993">
      <alignment horizontal="center"/>
    </xf>
    <xf numFmtId="312" fontId="210" fillId="0" borderId="5993" applyNumberFormat="0" applyFill="0" applyBorder="0" applyAlignment="0">
      <protection locked="0"/>
    </xf>
    <xf numFmtId="312" fontId="2" fillId="0" borderId="5974" applyNumberFormat="0" applyAlignment="0" applyProtection="0"/>
    <xf numFmtId="312" fontId="214" fillId="0" borderId="5975" applyNumberFormat="0" applyFont="0" applyFill="0" applyAlignment="0" applyProtection="0"/>
    <xf numFmtId="312" fontId="25" fillId="10" borderId="5976" applyNumberFormat="0" applyProtection="0">
      <alignment horizontal="left" vertical="top"/>
    </xf>
    <xf numFmtId="312" fontId="25" fillId="10" borderId="5977" applyNumberFormat="0" applyProtection="0">
      <alignment horizontal="left" vertical="top"/>
    </xf>
    <xf numFmtId="312" fontId="25" fillId="10" borderId="5978" applyNumberFormat="0" applyProtection="0">
      <alignment horizontal="left" vertical="top"/>
    </xf>
    <xf numFmtId="312" fontId="25" fillId="10" borderId="5979" applyNumberFormat="0" applyProtection="0">
      <alignment horizontal="left" vertical="top"/>
    </xf>
    <xf numFmtId="312" fontId="25" fillId="10" borderId="5976" applyNumberFormat="0" applyProtection="0">
      <alignment horizontal="left" vertical="top"/>
    </xf>
    <xf numFmtId="312" fontId="25" fillId="10" borderId="5977" applyNumberFormat="0" applyProtection="0">
      <alignment horizontal="left" vertical="top"/>
    </xf>
    <xf numFmtId="312" fontId="25" fillId="10" borderId="5978" applyNumberFormat="0" applyProtection="0">
      <alignment horizontal="left" vertical="top"/>
    </xf>
    <xf numFmtId="312" fontId="25" fillId="10" borderId="5979" applyNumberFormat="0" applyProtection="0">
      <alignment horizontal="left" vertical="top"/>
    </xf>
    <xf numFmtId="312" fontId="241" fillId="94" borderId="5993" applyBorder="0" applyProtection="0">
      <alignment horizontal="centerContinuous" vertical="center"/>
    </xf>
    <xf numFmtId="246" fontId="296" fillId="0" borderId="5993" applyFill="0" applyProtection="0">
      <alignment horizontal="center"/>
    </xf>
    <xf numFmtId="246" fontId="250" fillId="0" borderId="5993" applyFill="0" applyProtection="0">
      <alignment horizontal="center"/>
    </xf>
    <xf numFmtId="246" fontId="249" fillId="0" borderId="5993" applyFill="0" applyProtection="0">
      <alignment horizontal="center"/>
    </xf>
    <xf numFmtId="0" fontId="241" fillId="94" borderId="5993" applyBorder="0" applyProtection="0">
      <alignment horizontal="centerContinuous" vertical="center"/>
    </xf>
    <xf numFmtId="254" fontId="240" fillId="0" borderId="5993" applyBorder="0" applyProtection="0">
      <alignment horizontal="right" vertical="center"/>
    </xf>
    <xf numFmtId="0" fontId="25" fillId="10" borderId="5991" applyNumberFormat="0" applyProtection="0">
      <alignment horizontal="left" vertical="top"/>
    </xf>
    <xf numFmtId="0" fontId="25" fillId="10" borderId="5990" applyNumberFormat="0" applyProtection="0">
      <alignment horizontal="left" vertical="top"/>
    </xf>
    <xf numFmtId="0" fontId="25" fillId="10" borderId="5989" applyNumberFormat="0" applyProtection="0">
      <alignment horizontal="left" vertical="top"/>
    </xf>
    <xf numFmtId="0" fontId="25" fillId="10" borderId="5988" applyNumberFormat="0" applyProtection="0">
      <alignment horizontal="left" vertical="top"/>
    </xf>
    <xf numFmtId="0" fontId="214" fillId="0" borderId="5987" applyNumberFormat="0" applyFont="0" applyFill="0" applyAlignment="0" applyProtection="0"/>
    <xf numFmtId="0" fontId="2" fillId="0" borderId="5986" applyNumberFormat="0" applyAlignment="0" applyProtection="0"/>
    <xf numFmtId="0" fontId="210" fillId="0" borderId="5993" applyNumberFormat="0" applyFill="0" applyBorder="0" applyAlignment="0">
      <protection locked="0"/>
    </xf>
    <xf numFmtId="264" fontId="12" fillId="14" borderId="5993" applyFont="0" applyFill="0" applyBorder="0" applyAlignment="0" applyProtection="0">
      <alignment horizontal="right"/>
    </xf>
    <xf numFmtId="0" fontId="166" fillId="0" borderId="5993">
      <alignment horizontal="center"/>
    </xf>
    <xf numFmtId="0" fontId="165" fillId="0" borderId="5993" applyFill="0" applyProtection="0">
      <alignment horizontal="center"/>
    </xf>
    <xf numFmtId="186" fontId="140" fillId="3" borderId="5985">
      <alignment horizontal="center" vertical="center"/>
    </xf>
    <xf numFmtId="186" fontId="146" fillId="3" borderId="5984">
      <alignment horizontal="left"/>
    </xf>
    <xf numFmtId="186" fontId="146" fillId="3" borderId="5993" applyBorder="0">
      <alignment horizontal="left" vertical="center"/>
    </xf>
    <xf numFmtId="180" fontId="9" fillId="3" borderId="5993">
      <alignment horizontal="right" vertical="center"/>
    </xf>
    <xf numFmtId="192" fontId="9" fillId="3" borderId="5993">
      <alignment horizontal="right" vertical="center"/>
    </xf>
    <xf numFmtId="248" fontId="46" fillId="0" borderId="5993"/>
    <xf numFmtId="0" fontId="78" fillId="14" borderId="5983" applyFont="0" applyFill="0" applyBorder="0" applyAlignment="0" applyProtection="0"/>
    <xf numFmtId="0" fontId="12" fillId="0" borderId="5993" applyNumberFormat="0" applyFill="0" applyBorder="0" applyAlignment="0" applyProtection="0">
      <alignment horizontal="center"/>
    </xf>
    <xf numFmtId="0" fontId="75" fillId="0" borderId="5982" applyNumberFormat="0" applyFont="0" applyFill="0" applyAlignment="0" applyProtection="0"/>
    <xf numFmtId="0" fontId="113" fillId="0" borderId="5993" applyNumberFormat="0" applyFill="0" applyAlignment="0" applyProtection="0"/>
    <xf numFmtId="222" fontId="79" fillId="0" borderId="5992" applyBorder="0"/>
    <xf numFmtId="0" fontId="101" fillId="0" borderId="5993" applyBorder="0"/>
    <xf numFmtId="0" fontId="25" fillId="10" borderId="6000" applyNumberFormat="0" applyProtection="0">
      <alignment horizontal="left" vertical="top"/>
    </xf>
    <xf numFmtId="0" fontId="25" fillId="10" borderId="6001" applyNumberFormat="0" applyProtection="0">
      <alignment horizontal="left" vertical="top"/>
    </xf>
    <xf numFmtId="0" fontId="25" fillId="10" borderId="6002" applyNumberFormat="0" applyProtection="0">
      <alignment horizontal="left" vertical="top"/>
    </xf>
    <xf numFmtId="0" fontId="25" fillId="10" borderId="6003" applyNumberFormat="0" applyProtection="0">
      <alignment horizontal="left" vertical="top"/>
    </xf>
    <xf numFmtId="246" fontId="250" fillId="0" borderId="5981" applyFill="0" applyProtection="0">
      <alignment horizontal="center"/>
    </xf>
    <xf numFmtId="246" fontId="249" fillId="0" borderId="5981" applyFill="0" applyProtection="0">
      <alignment horizontal="center"/>
    </xf>
    <xf numFmtId="0" fontId="241" fillId="94" borderId="5981" applyBorder="0" applyProtection="0">
      <alignment horizontal="centerContinuous" vertical="center"/>
    </xf>
    <xf numFmtId="254" fontId="240" fillId="0" borderId="5981" applyBorder="0" applyProtection="0">
      <alignment horizontal="right" vertical="center"/>
    </xf>
    <xf numFmtId="0" fontId="210" fillId="0" borderId="5981" applyNumberFormat="0" applyFill="0" applyBorder="0" applyAlignment="0">
      <protection locked="0"/>
    </xf>
    <xf numFmtId="264" fontId="12" fillId="14" borderId="5981" applyFont="0" applyFill="0" applyBorder="0" applyAlignment="0" applyProtection="0">
      <alignment horizontal="right"/>
    </xf>
    <xf numFmtId="0" fontId="166" fillId="0" borderId="5981">
      <alignment horizontal="center"/>
    </xf>
    <xf numFmtId="0" fontId="165" fillId="0" borderId="5981" applyFill="0" applyProtection="0">
      <alignment horizontal="center"/>
    </xf>
    <xf numFmtId="186" fontId="146" fillId="3" borderId="5981" applyBorder="0">
      <alignment horizontal="left" vertical="center"/>
    </xf>
    <xf numFmtId="180" fontId="9" fillId="3" borderId="5981">
      <alignment horizontal="right" vertical="center"/>
    </xf>
    <xf numFmtId="192" fontId="9" fillId="3" borderId="5981">
      <alignment horizontal="right" vertical="center"/>
    </xf>
    <xf numFmtId="248" fontId="46" fillId="0" borderId="5981"/>
    <xf numFmtId="0" fontId="12" fillId="0" borderId="5981" applyNumberFormat="0" applyFill="0" applyBorder="0" applyAlignment="0" applyProtection="0">
      <alignment horizontal="center"/>
    </xf>
    <xf numFmtId="0" fontId="113" fillId="0" borderId="5981" applyNumberFormat="0" applyFill="0" applyAlignment="0" applyProtection="0"/>
    <xf numFmtId="222" fontId="79" fillId="0" borderId="5980" applyBorder="0"/>
    <xf numFmtId="0" fontId="101" fillId="0" borderId="5981" applyBorder="0"/>
    <xf numFmtId="246" fontId="250" fillId="0" borderId="5981" applyFill="0" applyProtection="0">
      <alignment horizontal="center"/>
    </xf>
    <xf numFmtId="246" fontId="249" fillId="0" borderId="5981" applyFill="0" applyProtection="0">
      <alignment horizontal="center"/>
    </xf>
    <xf numFmtId="0" fontId="241" fillId="94" borderId="5981" applyBorder="0" applyProtection="0">
      <alignment horizontal="centerContinuous" vertical="center"/>
    </xf>
    <xf numFmtId="254" fontId="240" fillId="0" borderId="5981" applyBorder="0" applyProtection="0">
      <alignment horizontal="right" vertical="center"/>
    </xf>
    <xf numFmtId="0" fontId="210" fillId="0" borderId="5981" applyNumberFormat="0" applyFill="0" applyBorder="0" applyAlignment="0">
      <protection locked="0"/>
    </xf>
    <xf numFmtId="264" fontId="12" fillId="14" borderId="5981" applyFont="0" applyFill="0" applyBorder="0" applyAlignment="0" applyProtection="0">
      <alignment horizontal="right"/>
    </xf>
    <xf numFmtId="0" fontId="166" fillId="0" borderId="5981">
      <alignment horizontal="center"/>
    </xf>
    <xf numFmtId="0" fontId="165" fillId="0" borderId="5981" applyFill="0" applyProtection="0">
      <alignment horizontal="center"/>
    </xf>
    <xf numFmtId="186" fontId="146" fillId="3" borderId="5981" applyBorder="0">
      <alignment horizontal="left" vertical="center"/>
    </xf>
    <xf numFmtId="180" fontId="9" fillId="3" borderId="5981">
      <alignment horizontal="right" vertical="center"/>
    </xf>
    <xf numFmtId="192" fontId="9" fillId="3" borderId="5981">
      <alignment horizontal="right" vertical="center"/>
    </xf>
    <xf numFmtId="0" fontId="12" fillId="0" borderId="5981" applyNumberFormat="0" applyFill="0" applyBorder="0" applyAlignment="0" applyProtection="0">
      <alignment horizontal="center"/>
    </xf>
    <xf numFmtId="0" fontId="113" fillId="0" borderId="5981" applyNumberFormat="0" applyFill="0" applyAlignment="0" applyProtection="0"/>
    <xf numFmtId="222" fontId="79" fillId="0" borderId="5980" applyBorder="0"/>
    <xf numFmtId="0" fontId="101" fillId="0" borderId="5981" applyBorder="0"/>
    <xf numFmtId="248" fontId="46" fillId="0" borderId="5981"/>
    <xf numFmtId="246" fontId="250" fillId="0" borderId="5981" applyFill="0" applyProtection="0">
      <alignment horizontal="center"/>
    </xf>
    <xf numFmtId="246" fontId="249" fillId="0" borderId="5981" applyFill="0" applyProtection="0">
      <alignment horizontal="center"/>
    </xf>
    <xf numFmtId="0" fontId="241" fillId="94" borderId="5981" applyBorder="0" applyProtection="0">
      <alignment horizontal="centerContinuous" vertical="center"/>
    </xf>
    <xf numFmtId="254" fontId="240" fillId="0" borderId="5981" applyBorder="0" applyProtection="0">
      <alignment horizontal="right" vertical="center"/>
    </xf>
    <xf numFmtId="0" fontId="210" fillId="0" borderId="5981" applyNumberFormat="0" applyFill="0" applyBorder="0" applyAlignment="0">
      <protection locked="0"/>
    </xf>
    <xf numFmtId="264" fontId="12" fillId="14" borderId="5981" applyFont="0" applyFill="0" applyBorder="0" applyAlignment="0" applyProtection="0">
      <alignment horizontal="right"/>
    </xf>
    <xf numFmtId="0" fontId="166" fillId="0" borderId="5981">
      <alignment horizontal="center"/>
    </xf>
    <xf numFmtId="0" fontId="165" fillId="0" borderId="5981" applyFill="0" applyProtection="0">
      <alignment horizontal="center"/>
    </xf>
    <xf numFmtId="186" fontId="146" fillId="3" borderId="5981" applyBorder="0">
      <alignment horizontal="left" vertical="center"/>
    </xf>
    <xf numFmtId="180" fontId="9" fillId="3" borderId="5981">
      <alignment horizontal="right" vertical="center"/>
    </xf>
    <xf numFmtId="192" fontId="9" fillId="3" borderId="5981">
      <alignment horizontal="right" vertical="center"/>
    </xf>
    <xf numFmtId="248" fontId="46" fillId="0" borderId="5981"/>
    <xf numFmtId="0" fontId="12" fillId="0" borderId="5981" applyNumberFormat="0" applyFill="0" applyBorder="0" applyAlignment="0" applyProtection="0">
      <alignment horizontal="center"/>
    </xf>
    <xf numFmtId="0" fontId="113" fillId="0" borderId="5981" applyNumberFormat="0" applyFill="0" applyAlignment="0" applyProtection="0"/>
    <xf numFmtId="222" fontId="79" fillId="0" borderId="5980" applyBorder="0"/>
    <xf numFmtId="0" fontId="101" fillId="0" borderId="5981" applyBorder="0"/>
    <xf numFmtId="192" fontId="9" fillId="3" borderId="6869">
      <alignment horizontal="right" vertical="center"/>
    </xf>
    <xf numFmtId="246" fontId="249" fillId="0" borderId="6869" applyFill="0" applyProtection="0">
      <alignment horizontal="center"/>
    </xf>
    <xf numFmtId="246" fontId="250" fillId="0" borderId="6869" applyFill="0" applyProtection="0">
      <alignment horizontal="center"/>
    </xf>
    <xf numFmtId="0" fontId="78" fillId="14" borderId="6883" applyFont="0" applyFill="0" applyBorder="0" applyAlignment="0" applyProtection="0"/>
    <xf numFmtId="246" fontId="249" fillId="0" borderId="6881" applyFill="0" applyProtection="0">
      <alignment horizontal="center"/>
    </xf>
    <xf numFmtId="264" fontId="12" fillId="14" borderId="6881" applyFont="0" applyFill="0" applyBorder="0" applyAlignment="0" applyProtection="0">
      <alignment horizontal="right"/>
    </xf>
    <xf numFmtId="0" fontId="166" fillId="0" borderId="6881">
      <alignment horizontal="center"/>
    </xf>
    <xf numFmtId="180" fontId="9" fillId="3" borderId="6881">
      <alignment horizontal="right" vertical="center"/>
    </xf>
    <xf numFmtId="0" fontId="113" fillId="0" borderId="6881" applyNumberFormat="0" applyFill="0" applyAlignment="0" applyProtection="0"/>
    <xf numFmtId="0" fontId="12" fillId="0" borderId="6881" applyNumberFormat="0" applyFill="0" applyBorder="0" applyAlignment="0" applyProtection="0">
      <alignment horizontal="center"/>
    </xf>
    <xf numFmtId="0" fontId="25" fillId="10" borderId="6888" applyNumberFormat="0" applyProtection="0">
      <alignment horizontal="left" vertical="top"/>
    </xf>
    <xf numFmtId="0" fontId="25" fillId="10" borderId="6889" applyNumberFormat="0" applyProtection="0">
      <alignment horizontal="left" vertical="top"/>
    </xf>
    <xf numFmtId="0" fontId="25" fillId="10" borderId="6890" applyNumberFormat="0" applyProtection="0">
      <alignment horizontal="left" vertical="top"/>
    </xf>
    <xf numFmtId="0" fontId="25" fillId="10" borderId="6891" applyNumberFormat="0" applyProtection="0">
      <alignment horizontal="left" vertical="top"/>
    </xf>
    <xf numFmtId="0" fontId="25" fillId="10" borderId="6888" applyNumberFormat="0" applyProtection="0">
      <alignment horizontal="left" vertical="top"/>
    </xf>
    <xf numFmtId="0" fontId="25" fillId="10" borderId="6889" applyNumberFormat="0" applyProtection="0">
      <alignment horizontal="left" vertical="top"/>
    </xf>
    <xf numFmtId="0" fontId="25" fillId="10" borderId="6890" applyNumberFormat="0" applyProtection="0">
      <alignment horizontal="left" vertical="top"/>
    </xf>
    <xf numFmtId="0" fontId="25" fillId="10" borderId="6891" applyNumberFormat="0" applyProtection="0">
      <alignment horizontal="left" vertical="top"/>
    </xf>
    <xf numFmtId="254" fontId="240" fillId="0" borderId="6881" applyBorder="0" applyProtection="0">
      <alignment horizontal="right" vertical="center"/>
    </xf>
    <xf numFmtId="0" fontId="241" fillId="94" borderId="6881" applyBorder="0" applyProtection="0">
      <alignment horizontal="centerContinuous" vertical="center"/>
    </xf>
    <xf numFmtId="246" fontId="249" fillId="0" borderId="6881" applyFill="0" applyProtection="0">
      <alignment horizontal="center"/>
    </xf>
    <xf numFmtId="190" fontId="101" fillId="0" borderId="6881" applyBorder="0"/>
    <xf numFmtId="190" fontId="113" fillId="0" borderId="6881" applyNumberFormat="0" applyFill="0" applyAlignment="0" applyProtection="0"/>
    <xf numFmtId="190" fontId="166" fillId="0" borderId="6881">
      <alignment horizontal="center"/>
    </xf>
    <xf numFmtId="190" fontId="2" fillId="0" borderId="6862" applyNumberFormat="0" applyAlignment="0" applyProtection="0"/>
    <xf numFmtId="190" fontId="25" fillId="10" borderId="6867" applyNumberFormat="0" applyProtection="0">
      <alignment horizontal="left" vertical="top"/>
    </xf>
    <xf numFmtId="0" fontId="101" fillId="0" borderId="6881" applyBorder="0"/>
    <xf numFmtId="222" fontId="79" fillId="0" borderId="6880" applyBorder="0"/>
    <xf numFmtId="0" fontId="113" fillId="0" borderId="6881" applyNumberFormat="0" applyFill="0" applyAlignment="0" applyProtection="0"/>
    <xf numFmtId="248" fontId="46" fillId="0" borderId="6881"/>
    <xf numFmtId="0" fontId="25" fillId="10" borderId="6865" applyNumberFormat="0" applyProtection="0">
      <alignment horizontal="left" vertical="top"/>
    </xf>
    <xf numFmtId="312" fontId="113" fillId="0" borderId="6881" applyNumberFormat="0" applyFill="0" applyAlignment="0" applyProtection="0"/>
    <xf numFmtId="312" fontId="12" fillId="0" borderId="6881" applyNumberFormat="0" applyFill="0" applyBorder="0" applyAlignment="0" applyProtection="0">
      <alignment horizontal="center"/>
    </xf>
    <xf numFmtId="312" fontId="165" fillId="0" borderId="6881" applyFill="0" applyProtection="0">
      <alignment horizontal="center"/>
    </xf>
    <xf numFmtId="312" fontId="210" fillId="0" borderId="6881" applyNumberFormat="0" applyFill="0" applyBorder="0" applyAlignment="0">
      <protection locked="0"/>
    </xf>
    <xf numFmtId="312" fontId="2" fillId="0" borderId="6862" applyNumberFormat="0" applyAlignment="0" applyProtection="0"/>
    <xf numFmtId="312" fontId="214" fillId="0" borderId="6863" applyNumberFormat="0" applyFont="0" applyFill="0" applyAlignment="0" applyProtection="0"/>
    <xf numFmtId="0" fontId="101" fillId="0" borderId="6665" applyBorder="0"/>
    <xf numFmtId="222" fontId="79" fillId="0" borderId="6064" applyBorder="0"/>
    <xf numFmtId="0" fontId="113" fillId="0" borderId="6665" applyNumberFormat="0" applyFill="0" applyAlignment="0" applyProtection="0"/>
    <xf numFmtId="180" fontId="9" fillId="3" borderId="6665">
      <alignment horizontal="right" vertical="center"/>
    </xf>
    <xf numFmtId="0" fontId="166" fillId="0" borderId="6665">
      <alignment horizontal="center"/>
    </xf>
    <xf numFmtId="0" fontId="210" fillId="0" borderId="6665" applyNumberFormat="0" applyFill="0" applyBorder="0" applyAlignment="0">
      <protection locked="0"/>
    </xf>
    <xf numFmtId="0" fontId="241" fillId="94" borderId="6665" applyBorder="0" applyProtection="0">
      <alignment horizontal="centerContinuous" vertical="center"/>
    </xf>
    <xf numFmtId="0" fontId="101" fillId="0" borderId="6665" applyBorder="0"/>
    <xf numFmtId="0" fontId="113" fillId="0" borderId="6665" applyNumberFormat="0" applyFill="0" applyAlignment="0" applyProtection="0"/>
    <xf numFmtId="0" fontId="12" fillId="0" borderId="6665" applyNumberFormat="0" applyFill="0" applyBorder="0" applyAlignment="0" applyProtection="0">
      <alignment horizontal="center"/>
    </xf>
    <xf numFmtId="192" fontId="9" fillId="3" borderId="6665">
      <alignment horizontal="right" vertical="center"/>
    </xf>
    <xf numFmtId="180" fontId="9" fillId="3" borderId="6665">
      <alignment horizontal="right" vertical="center"/>
    </xf>
    <xf numFmtId="186" fontId="146" fillId="3" borderId="6665" applyBorder="0">
      <alignment horizontal="left" vertical="center"/>
    </xf>
    <xf numFmtId="0" fontId="165" fillId="0" borderId="6665" applyFill="0" applyProtection="0">
      <alignment horizontal="center"/>
    </xf>
    <xf numFmtId="0" fontId="166" fillId="0" borderId="6665">
      <alignment horizontal="center"/>
    </xf>
    <xf numFmtId="254" fontId="240" fillId="0" borderId="6665" applyBorder="0" applyProtection="0">
      <alignment horizontal="right" vertical="center"/>
    </xf>
    <xf numFmtId="0" fontId="241" fillId="94" borderId="6665" applyBorder="0" applyProtection="0">
      <alignment horizontal="centerContinuous" vertical="center"/>
    </xf>
    <xf numFmtId="246" fontId="249" fillId="0" borderId="6665" applyFill="0" applyProtection="0">
      <alignment horizontal="center"/>
    </xf>
    <xf numFmtId="246" fontId="250" fillId="0" borderId="6665" applyFill="0" applyProtection="0">
      <alignment horizontal="center"/>
    </xf>
    <xf numFmtId="0" fontId="101" fillId="0" borderId="5993" applyBorder="0"/>
    <xf numFmtId="0" fontId="25" fillId="10" borderId="6733" applyNumberFormat="0" applyProtection="0">
      <alignment horizontal="left" vertical="top"/>
    </xf>
    <xf numFmtId="0" fontId="25" fillId="10" borderId="6732" applyNumberFormat="0" applyProtection="0">
      <alignment horizontal="left" vertical="top"/>
    </xf>
    <xf numFmtId="222" fontId="79" fillId="0" borderId="5992" applyBorder="0"/>
    <xf numFmtId="0" fontId="113" fillId="0" borderId="5993" applyNumberFormat="0" applyFill="0" applyAlignment="0" applyProtection="0"/>
    <xf numFmtId="0" fontId="25" fillId="10" borderId="6660" applyNumberFormat="0" applyProtection="0">
      <alignment horizontal="left" vertical="top"/>
    </xf>
    <xf numFmtId="0" fontId="25" fillId="10" borderId="6662" applyNumberFormat="0" applyProtection="0">
      <alignment horizontal="left" vertical="top"/>
    </xf>
    <xf numFmtId="0" fontId="25" fillId="10" borderId="6663" applyNumberFormat="0" applyProtection="0">
      <alignment horizontal="left" vertical="top"/>
    </xf>
    <xf numFmtId="0" fontId="241" fillId="94" borderId="6725" applyBorder="0" applyProtection="0">
      <alignment horizontal="centerContinuous" vertical="center"/>
    </xf>
    <xf numFmtId="246" fontId="250" fillId="0" borderId="6725" applyFill="0" applyProtection="0">
      <alignment horizontal="center"/>
    </xf>
    <xf numFmtId="0" fontId="12" fillId="0" borderId="5993" applyNumberFormat="0" applyFill="0" applyBorder="0" applyAlignment="0" applyProtection="0">
      <alignment horizontal="center"/>
    </xf>
    <xf numFmtId="246" fontId="296" fillId="0" borderId="6725" applyFill="0" applyProtection="0">
      <alignment horizontal="center"/>
    </xf>
    <xf numFmtId="248" fontId="46" fillId="0" borderId="5993"/>
    <xf numFmtId="312" fontId="214" fillId="0" borderId="6707" applyNumberFormat="0" applyFont="0" applyFill="0" applyAlignment="0" applyProtection="0"/>
    <xf numFmtId="312" fontId="2" fillId="0" borderId="6706" applyNumberFormat="0" applyAlignment="0" applyProtection="0"/>
    <xf numFmtId="312" fontId="242" fillId="0" borderId="6725">
      <alignment horizontal="center"/>
    </xf>
    <xf numFmtId="312" fontId="165" fillId="0" borderId="6725" applyFill="0" applyProtection="0">
      <alignment horizontal="center"/>
    </xf>
    <xf numFmtId="192" fontId="9" fillId="3" borderId="5993">
      <alignment horizontal="right" vertical="center"/>
    </xf>
    <xf numFmtId="180" fontId="9" fillId="3" borderId="5993">
      <alignment horizontal="right" vertical="center"/>
    </xf>
    <xf numFmtId="312" fontId="78" fillId="14" borderId="5995" applyFont="0" applyFill="0" applyBorder="0" applyAlignment="0" applyProtection="0"/>
    <xf numFmtId="186" fontId="146" fillId="3" borderId="5993" applyBorder="0">
      <alignment horizontal="left" vertical="center"/>
    </xf>
    <xf numFmtId="312" fontId="75" fillId="0" borderId="6702" applyNumberFormat="0" applyFont="0" applyFill="0" applyAlignment="0" applyProtection="0"/>
    <xf numFmtId="312" fontId="101" fillId="0" borderId="6725" applyBorder="0"/>
    <xf numFmtId="246" fontId="249" fillId="0" borderId="6725" applyFill="0" applyProtection="0">
      <alignment horizontal="center"/>
    </xf>
    <xf numFmtId="0" fontId="25" fillId="10" borderId="6711" applyNumberFormat="0" applyProtection="0">
      <alignment horizontal="left" vertical="top"/>
    </xf>
    <xf numFmtId="0" fontId="25" fillId="10" borderId="6708" applyNumberFormat="0" applyProtection="0">
      <alignment horizontal="left" vertical="top"/>
    </xf>
    <xf numFmtId="0" fontId="25" fillId="10" borderId="6709" applyNumberFormat="0" applyProtection="0">
      <alignment horizontal="left" vertical="top"/>
    </xf>
    <xf numFmtId="0" fontId="2" fillId="0" borderId="6706" applyNumberFormat="0" applyAlignment="0" applyProtection="0"/>
    <xf numFmtId="0" fontId="166" fillId="0" borderId="6725">
      <alignment horizontal="center"/>
    </xf>
    <xf numFmtId="190" fontId="241" fillId="94" borderId="6725" applyBorder="0" applyProtection="0">
      <alignment horizontal="centerContinuous" vertical="center"/>
    </xf>
    <xf numFmtId="0" fontId="165" fillId="0" borderId="5993" applyFill="0" applyProtection="0">
      <alignment horizontal="center"/>
    </xf>
    <xf numFmtId="0" fontId="166" fillId="0" borderId="5993">
      <alignment horizontal="center"/>
    </xf>
    <xf numFmtId="190" fontId="210" fillId="0" borderId="6725" applyNumberFormat="0" applyFill="0" applyBorder="0" applyAlignment="0">
      <protection locked="0"/>
    </xf>
    <xf numFmtId="190" fontId="165" fillId="0" borderId="6725" applyFill="0" applyProtection="0">
      <alignment horizontal="center"/>
    </xf>
    <xf numFmtId="264" fontId="12" fillId="14" borderId="5993" applyFont="0" applyFill="0" applyBorder="0" applyAlignment="0" applyProtection="0">
      <alignment horizontal="right"/>
    </xf>
    <xf numFmtId="190" fontId="78" fillId="14" borderId="6715" applyFont="0" applyFill="0" applyBorder="0" applyAlignment="0" applyProtection="0"/>
    <xf numFmtId="190" fontId="75" fillId="0" borderId="6702" applyNumberFormat="0" applyFont="0" applyFill="0" applyAlignment="0" applyProtection="0"/>
    <xf numFmtId="190" fontId="113" fillId="0" borderId="6725" applyNumberFormat="0" applyFill="0" applyAlignment="0" applyProtection="0"/>
    <xf numFmtId="190" fontId="101" fillId="0" borderId="6725" applyBorder="0"/>
    <xf numFmtId="0" fontId="25" fillId="10" borderId="6733" applyNumberFormat="0" applyProtection="0">
      <alignment horizontal="left" vertical="top"/>
    </xf>
    <xf numFmtId="264" fontId="12" fillId="14" borderId="6689" applyFont="0" applyFill="0" applyBorder="0" applyAlignment="0" applyProtection="0">
      <alignment horizontal="right"/>
    </xf>
    <xf numFmtId="0" fontId="78" fillId="14" borderId="6679" applyFont="0" applyFill="0" applyBorder="0" applyAlignment="0" applyProtection="0"/>
    <xf numFmtId="0" fontId="101" fillId="0" borderId="6665" applyBorder="0"/>
    <xf numFmtId="0" fontId="78" fillId="14" borderId="5995" applyFont="0" applyFill="0" applyBorder="0" applyAlignment="0" applyProtection="0"/>
    <xf numFmtId="0" fontId="25" fillId="10" borderId="6661" applyNumberFormat="0" applyProtection="0">
      <alignment horizontal="left" vertical="top"/>
    </xf>
    <xf numFmtId="0" fontId="2" fillId="0" borderId="6658" applyNumberFormat="0" applyAlignment="0" applyProtection="0"/>
    <xf numFmtId="0" fontId="75" fillId="0" borderId="6654" applyNumberFormat="0" applyFont="0" applyFill="0" applyAlignment="0" applyProtection="0"/>
    <xf numFmtId="222" fontId="79" fillId="0" borderId="6664" applyBorder="0"/>
    <xf numFmtId="0" fontId="210" fillId="0" borderId="5993" applyNumberFormat="0" applyFill="0" applyBorder="0" applyAlignment="0">
      <protection locked="0"/>
    </xf>
    <xf numFmtId="0" fontId="101" fillId="0" borderId="6665" applyBorder="0"/>
    <xf numFmtId="0" fontId="12" fillId="0" borderId="6665" applyNumberFormat="0" applyFill="0" applyBorder="0" applyAlignment="0" applyProtection="0">
      <alignment horizontal="center"/>
    </xf>
    <xf numFmtId="180" fontId="9" fillId="3" borderId="6665">
      <alignment horizontal="right" vertical="center"/>
    </xf>
    <xf numFmtId="0" fontId="166" fillId="0" borderId="6665">
      <alignment horizontal="center"/>
    </xf>
    <xf numFmtId="264" fontId="12" fillId="14" borderId="6665" applyFont="0" applyFill="0" applyBorder="0" applyAlignment="0" applyProtection="0">
      <alignment horizontal="right"/>
    </xf>
    <xf numFmtId="0" fontId="210" fillId="0" borderId="6665" applyNumberFormat="0" applyFill="0" applyBorder="0" applyAlignment="0">
      <protection locked="0"/>
    </xf>
    <xf numFmtId="246" fontId="249" fillId="0" borderId="6665" applyFill="0" applyProtection="0">
      <alignment horizontal="center"/>
    </xf>
    <xf numFmtId="0" fontId="2" fillId="0" borderId="6718" applyNumberFormat="0" applyAlignment="0" applyProtection="0"/>
    <xf numFmtId="0" fontId="25" fillId="10" borderId="6001" applyNumberFormat="0" applyProtection="0">
      <alignment horizontal="left" vertical="top"/>
    </xf>
    <xf numFmtId="0" fontId="78" fillId="14" borderId="5995" applyFont="0" applyFill="0" applyBorder="0" applyAlignment="0" applyProtection="0"/>
    <xf numFmtId="0" fontId="214" fillId="0" borderId="6695" applyNumberFormat="0" applyFont="0" applyFill="0" applyAlignment="0" applyProtection="0"/>
    <xf numFmtId="186" fontId="146" fillId="3" borderId="6701" applyBorder="0">
      <alignment horizontal="left" vertical="center"/>
    </xf>
    <xf numFmtId="0" fontId="166" fillId="0" borderId="6701">
      <alignment horizontal="center"/>
    </xf>
    <xf numFmtId="254" fontId="240" fillId="0" borderId="6677" applyBorder="0" applyProtection="0">
      <alignment horizontal="right" vertical="center"/>
    </xf>
    <xf numFmtId="0" fontId="165" fillId="0" borderId="6677" applyFill="0" applyProtection="0">
      <alignment horizontal="center"/>
    </xf>
    <xf numFmtId="0" fontId="25" fillId="10" borderId="6663" applyNumberFormat="0" applyProtection="0">
      <alignment horizontal="left" vertical="top"/>
    </xf>
    <xf numFmtId="0" fontId="25" fillId="10" borderId="6662" applyNumberFormat="0" applyProtection="0">
      <alignment horizontal="left" vertical="top"/>
    </xf>
    <xf numFmtId="0" fontId="25" fillId="10" borderId="6697" applyNumberFormat="0" applyProtection="0">
      <alignment horizontal="left" vertical="top"/>
    </xf>
    <xf numFmtId="248" fontId="46" fillId="0" borderId="6653"/>
    <xf numFmtId="222" fontId="79" fillId="0" borderId="6688" applyBorder="0"/>
    <xf numFmtId="0" fontId="25" fillId="10" borderId="6722" applyNumberFormat="0" applyProtection="0">
      <alignment horizontal="left" vertical="top"/>
    </xf>
    <xf numFmtId="0" fontId="12" fillId="0" borderId="6725" applyNumberFormat="0" applyFill="0" applyBorder="0" applyAlignment="0" applyProtection="0">
      <alignment horizontal="center"/>
    </xf>
    <xf numFmtId="0" fontId="25" fillId="10" borderId="6660" applyNumberFormat="0" applyProtection="0">
      <alignment horizontal="left" vertical="top"/>
    </xf>
    <xf numFmtId="186" fontId="140" fillId="3" borderId="6657">
      <alignment horizontal="center" vertical="center"/>
    </xf>
    <xf numFmtId="0" fontId="2" fillId="0" borderId="6658" applyNumberFormat="0" applyAlignment="0" applyProtection="0"/>
    <xf numFmtId="0" fontId="25" fillId="10" borderId="6661" applyNumberFormat="0" applyProtection="0">
      <alignment horizontal="left" vertical="top"/>
    </xf>
    <xf numFmtId="0" fontId="25" fillId="10" borderId="6662" applyNumberFormat="0" applyProtection="0">
      <alignment horizontal="left" vertical="top"/>
    </xf>
    <xf numFmtId="0" fontId="25" fillId="10" borderId="6663" applyNumberFormat="0" applyProtection="0">
      <alignment horizontal="left" vertical="top"/>
    </xf>
    <xf numFmtId="0" fontId="25" fillId="10" borderId="6661" applyNumberFormat="0" applyProtection="0">
      <alignment horizontal="left" vertical="top"/>
    </xf>
    <xf numFmtId="0" fontId="25" fillId="10" borderId="6663" applyNumberFormat="0" applyProtection="0">
      <alignment horizontal="left" vertical="top"/>
    </xf>
    <xf numFmtId="246" fontId="249" fillId="0" borderId="6725" applyFill="0" applyProtection="0">
      <alignment horizontal="center"/>
    </xf>
    <xf numFmtId="0" fontId="113" fillId="0" borderId="6725" applyNumberFormat="0" applyFill="0" applyAlignment="0" applyProtection="0"/>
    <xf numFmtId="0" fontId="75" fillId="0" borderId="6654" applyNumberFormat="0" applyFont="0" applyFill="0" applyAlignment="0" applyProtection="0"/>
    <xf numFmtId="0" fontId="210" fillId="0" borderId="6857" applyNumberFormat="0" applyFill="0" applyBorder="0" applyAlignment="0">
      <protection locked="0"/>
    </xf>
    <xf numFmtId="0" fontId="241" fillId="94" borderId="6653" applyBorder="0" applyProtection="0">
      <alignment horizontal="centerContinuous" vertical="center"/>
    </xf>
    <xf numFmtId="246" fontId="250" fillId="0" borderId="6653" applyFill="0" applyProtection="0">
      <alignment horizontal="center"/>
    </xf>
    <xf numFmtId="0" fontId="25" fillId="10" borderId="6000" applyNumberFormat="0" applyProtection="0">
      <alignment horizontal="left" vertical="top"/>
    </xf>
    <xf numFmtId="0" fontId="165" fillId="0" borderId="6653" applyFill="0" applyProtection="0">
      <alignment horizontal="center"/>
    </xf>
    <xf numFmtId="10" fontId="12" fillId="3" borderId="5636" applyNumberFormat="0" applyFont="0" applyFill="0" applyBorder="0" applyAlignment="0">
      <protection locked="0"/>
    </xf>
    <xf numFmtId="254" fontId="240" fillId="0" borderId="5993" applyBorder="0" applyProtection="0">
      <alignment horizontal="right" vertical="center"/>
    </xf>
    <xf numFmtId="0" fontId="241" fillId="94" borderId="5993" applyBorder="0" applyProtection="0">
      <alignment horizontal="centerContinuous" vertical="center"/>
    </xf>
    <xf numFmtId="246" fontId="249" fillId="0" borderId="5993" applyFill="0" applyProtection="0">
      <alignment horizontal="center"/>
    </xf>
    <xf numFmtId="246" fontId="250" fillId="0" borderId="5993" applyFill="0" applyProtection="0">
      <alignment horizontal="center"/>
    </xf>
    <xf numFmtId="0" fontId="241" fillId="94" borderId="6713" applyBorder="0" applyProtection="0">
      <alignment horizontal="centerContinuous" vertical="center"/>
    </xf>
    <xf numFmtId="0" fontId="12" fillId="0" borderId="6653" applyNumberFormat="0" applyFill="0" applyBorder="0" applyAlignment="0" applyProtection="0">
      <alignment horizontal="center"/>
    </xf>
    <xf numFmtId="0" fontId="25" fillId="10" borderId="6675" applyNumberFormat="0" applyProtection="0">
      <alignment horizontal="left" vertical="top"/>
    </xf>
    <xf numFmtId="0" fontId="25" fillId="10" borderId="6696" applyNumberFormat="0" applyProtection="0">
      <alignment horizontal="left" vertical="top"/>
    </xf>
    <xf numFmtId="0" fontId="2" fillId="0" borderId="6730" applyNumberFormat="0" applyAlignment="0" applyProtection="0"/>
    <xf numFmtId="0" fontId="25" fillId="10" borderId="6732" applyNumberFormat="0" applyProtection="0">
      <alignment horizontal="left" vertical="top"/>
    </xf>
    <xf numFmtId="312" fontId="25" fillId="10" borderId="6708" applyNumberFormat="0" applyProtection="0">
      <alignment horizontal="left" vertical="top"/>
    </xf>
    <xf numFmtId="222" fontId="79" fillId="0" borderId="6712" applyBorder="0"/>
    <xf numFmtId="0" fontId="210" fillId="0" borderId="6725" applyNumberFormat="0" applyFill="0" applyBorder="0" applyAlignment="0">
      <protection locked="0"/>
    </xf>
    <xf numFmtId="186" fontId="146" fillId="3" borderId="6692">
      <alignment horizontal="left"/>
    </xf>
    <xf numFmtId="312" fontId="75" fillId="0" borderId="6702" applyNumberFormat="0" applyFont="0" applyFill="0" applyAlignment="0" applyProtection="0"/>
    <xf numFmtId="312" fontId="25" fillId="10" borderId="6711" applyNumberFormat="0" applyProtection="0">
      <alignment horizontal="left" vertical="top"/>
    </xf>
    <xf numFmtId="0" fontId="75" fillId="0" borderId="6654" applyNumberFormat="0" applyFont="0" applyFill="0" applyAlignment="0" applyProtection="0"/>
    <xf numFmtId="0" fontId="214" fillId="0" borderId="6719" applyNumberFormat="0" applyFont="0" applyFill="0" applyAlignment="0" applyProtection="0"/>
    <xf numFmtId="0" fontId="25" fillId="10" borderId="6723" applyNumberFormat="0" applyProtection="0">
      <alignment horizontal="left" vertical="top"/>
    </xf>
    <xf numFmtId="246" fontId="250" fillId="0" borderId="6653" applyFill="0" applyProtection="0">
      <alignment horizontal="center"/>
    </xf>
    <xf numFmtId="246" fontId="249" fillId="0" borderId="6653" applyFill="0" applyProtection="0">
      <alignment horizontal="center"/>
    </xf>
    <xf numFmtId="0" fontId="241" fillId="94" borderId="6653" applyBorder="0" applyProtection="0">
      <alignment horizontal="centerContinuous" vertical="center"/>
    </xf>
    <xf numFmtId="254" fontId="240" fillId="0" borderId="6653" applyBorder="0" applyProtection="0">
      <alignment horizontal="right" vertical="center"/>
    </xf>
    <xf numFmtId="0" fontId="78" fillId="14" borderId="5995" applyFont="0" applyFill="0" applyBorder="0" applyAlignment="0" applyProtection="0"/>
    <xf numFmtId="0" fontId="25" fillId="10" borderId="6001" applyNumberFormat="0" applyProtection="0">
      <alignment horizontal="left" vertical="top"/>
    </xf>
    <xf numFmtId="222" fontId="79" fillId="0" borderId="6724" applyBorder="0"/>
    <xf numFmtId="0" fontId="25" fillId="10" borderId="6734" applyNumberFormat="0" applyProtection="0">
      <alignment horizontal="left" vertical="top"/>
    </xf>
    <xf numFmtId="186" fontId="140" fillId="3" borderId="6693">
      <alignment horizontal="center" vertical="center"/>
    </xf>
    <xf numFmtId="222" fontId="79" fillId="0" borderId="5992" applyBorder="0"/>
    <xf numFmtId="0" fontId="2" fillId="0" borderId="6670" applyNumberFormat="0" applyAlignment="0" applyProtection="0"/>
    <xf numFmtId="0" fontId="75" fillId="0" borderId="6690" applyNumberFormat="0" applyFont="0" applyFill="0" applyAlignment="0" applyProtection="0"/>
    <xf numFmtId="0" fontId="25" fillId="10" borderId="6853" applyNumberFormat="0" applyProtection="0">
      <alignment horizontal="left" vertical="top"/>
    </xf>
    <xf numFmtId="186" fontId="146" fillId="3" borderId="6713" applyBorder="0">
      <alignment horizontal="left" vertical="center"/>
    </xf>
    <xf numFmtId="186" fontId="146" fillId="3" borderId="6656">
      <alignment horizontal="left"/>
    </xf>
    <xf numFmtId="222" fontId="79" fillId="0" borderId="6664" applyBorder="0"/>
    <xf numFmtId="186" fontId="146" fillId="3" borderId="6656">
      <alignment horizontal="left"/>
    </xf>
    <xf numFmtId="222" fontId="79" fillId="0" borderId="6700" applyBorder="0"/>
    <xf numFmtId="0" fontId="101" fillId="0" borderId="6677" applyBorder="0"/>
    <xf numFmtId="0" fontId="101" fillId="0" borderId="5993" applyBorder="0"/>
    <xf numFmtId="222" fontId="79" fillId="0" borderId="5992" applyBorder="0"/>
    <xf numFmtId="0" fontId="113" fillId="0" borderId="5993" applyNumberFormat="0" applyFill="0" applyAlignment="0" applyProtection="0"/>
    <xf numFmtId="0" fontId="12" fillId="0" borderId="5993" applyNumberFormat="0" applyFill="0" applyBorder="0" applyAlignment="0" applyProtection="0">
      <alignment horizontal="center"/>
    </xf>
    <xf numFmtId="248" fontId="46" fillId="0" borderId="5993"/>
    <xf numFmtId="192" fontId="9" fillId="3" borderId="5993">
      <alignment horizontal="right" vertical="center"/>
    </xf>
    <xf numFmtId="180" fontId="9" fillId="3" borderId="5993">
      <alignment horizontal="right" vertical="center"/>
    </xf>
    <xf numFmtId="186" fontId="146" fillId="3" borderId="5993" applyBorder="0">
      <alignment horizontal="left" vertical="center"/>
    </xf>
    <xf numFmtId="0" fontId="165" fillId="0" borderId="5993" applyFill="0" applyProtection="0">
      <alignment horizontal="center"/>
    </xf>
    <xf numFmtId="0" fontId="166" fillId="0" borderId="5993">
      <alignment horizontal="center"/>
    </xf>
    <xf numFmtId="264" fontId="12" fillId="14" borderId="5993" applyFont="0" applyFill="0" applyBorder="0" applyAlignment="0" applyProtection="0">
      <alignment horizontal="right"/>
    </xf>
    <xf numFmtId="0" fontId="210" fillId="0" borderId="5993" applyNumberFormat="0" applyFill="0" applyBorder="0" applyAlignment="0">
      <protection locked="0"/>
    </xf>
    <xf numFmtId="0" fontId="25" fillId="10" borderId="5988" applyNumberFormat="0" applyProtection="0">
      <alignment horizontal="left" vertical="top"/>
    </xf>
    <xf numFmtId="0" fontId="25" fillId="10" borderId="5988" applyNumberFormat="0" applyProtection="0">
      <alignment horizontal="left" vertical="top"/>
    </xf>
    <xf numFmtId="254" fontId="240" fillId="0" borderId="5993" applyBorder="0" applyProtection="0">
      <alignment horizontal="right" vertical="center"/>
    </xf>
    <xf numFmtId="0" fontId="241" fillId="94" borderId="5993" applyBorder="0" applyProtection="0">
      <alignment horizontal="centerContinuous" vertical="center"/>
    </xf>
    <xf numFmtId="246" fontId="249" fillId="0" borderId="5993" applyFill="0" applyProtection="0">
      <alignment horizontal="center"/>
    </xf>
    <xf numFmtId="246" fontId="250" fillId="0" borderId="5993" applyFill="0" applyProtection="0">
      <alignment horizontal="center"/>
    </xf>
    <xf numFmtId="0" fontId="25" fillId="10" borderId="6661" applyNumberFormat="0" applyProtection="0">
      <alignment horizontal="left" vertical="top"/>
    </xf>
    <xf numFmtId="180" fontId="9" fillId="3" borderId="6701">
      <alignment horizontal="right" vertical="center"/>
    </xf>
    <xf numFmtId="248" fontId="46" fillId="0" borderId="6665"/>
    <xf numFmtId="0" fontId="165" fillId="0" borderId="6701" applyFill="0" applyProtection="0">
      <alignment horizontal="center"/>
    </xf>
    <xf numFmtId="0" fontId="25" fillId="10" borderId="6660" applyNumberFormat="0" applyProtection="0">
      <alignment horizontal="left" vertical="top"/>
    </xf>
    <xf numFmtId="0" fontId="2" fillId="0" borderId="6694" applyNumberFormat="0" applyAlignment="0" applyProtection="0"/>
    <xf numFmtId="222" fontId="79" fillId="0" borderId="6664" applyBorder="0"/>
    <xf numFmtId="0" fontId="12" fillId="0" borderId="6701" applyNumberFormat="0" applyFill="0" applyBorder="0" applyAlignment="0" applyProtection="0">
      <alignment horizontal="center"/>
    </xf>
    <xf numFmtId="180" fontId="9" fillId="3" borderId="6713">
      <alignment horizontal="right" vertical="center"/>
    </xf>
    <xf numFmtId="186" fontId="140" fillId="3" borderId="6657">
      <alignment horizontal="center" vertical="center"/>
    </xf>
    <xf numFmtId="0" fontId="78" fillId="14" borderId="6655" applyFont="0" applyFill="0" applyBorder="0" applyAlignment="0" applyProtection="0"/>
    <xf numFmtId="0" fontId="75" fillId="0" borderId="6654" applyNumberFormat="0" applyFont="0" applyFill="0" applyAlignment="0" applyProtection="0"/>
    <xf numFmtId="186" fontId="146" fillId="3" borderId="6653" applyBorder="0">
      <alignment horizontal="left" vertical="center"/>
    </xf>
    <xf numFmtId="0" fontId="101" fillId="0" borderId="6701" applyBorder="0"/>
    <xf numFmtId="180" fontId="9" fillId="3" borderId="6653">
      <alignment horizontal="right" vertical="center"/>
    </xf>
    <xf numFmtId="0" fontId="25" fillId="10" borderId="6734" applyNumberFormat="0" applyProtection="0">
      <alignment horizontal="left" vertical="top"/>
    </xf>
    <xf numFmtId="248" fontId="46" fillId="0" borderId="6701"/>
    <xf numFmtId="0" fontId="25" fillId="10" borderId="6687" applyNumberFormat="0" applyProtection="0">
      <alignment horizontal="left" vertical="top"/>
    </xf>
    <xf numFmtId="312" fontId="25" fillId="10" borderId="6710" applyNumberFormat="0" applyProtection="0">
      <alignment horizontal="left" vertical="top"/>
    </xf>
    <xf numFmtId="0" fontId="101" fillId="0" borderId="6725" applyBorder="0"/>
    <xf numFmtId="0" fontId="165" fillId="0" borderId="6725" applyFill="0" applyProtection="0">
      <alignment horizontal="center"/>
    </xf>
    <xf numFmtId="0" fontId="165" fillId="0" borderId="6725" applyFill="0" applyProtection="0">
      <alignment horizontal="center"/>
    </xf>
    <xf numFmtId="254" fontId="240" fillId="0" borderId="6653" applyBorder="0" applyProtection="0">
      <alignment horizontal="right" vertical="center"/>
    </xf>
    <xf numFmtId="246" fontId="249" fillId="0" borderId="6653" applyFill="0" applyProtection="0">
      <alignment horizontal="center"/>
    </xf>
    <xf numFmtId="192" fontId="9" fillId="3" borderId="6725">
      <alignment horizontal="right" vertical="center"/>
    </xf>
    <xf numFmtId="0" fontId="210" fillId="0" borderId="6653" applyNumberFormat="0" applyFill="0" applyBorder="0" applyAlignment="0">
      <protection locked="0"/>
    </xf>
    <xf numFmtId="0" fontId="78" fillId="14" borderId="5995" applyFont="0" applyFill="0" applyBorder="0" applyAlignment="0" applyProtection="0"/>
    <xf numFmtId="0" fontId="25" fillId="10" borderId="5895" applyNumberFormat="0" applyProtection="0">
      <alignment horizontal="left" vertical="top"/>
    </xf>
    <xf numFmtId="0" fontId="25" fillId="10" borderId="6002" applyNumberFormat="0" applyProtection="0">
      <alignment horizontal="left" vertical="top"/>
    </xf>
    <xf numFmtId="0" fontId="25" fillId="10" borderId="6001" applyNumberFormat="0" applyProtection="0">
      <alignment horizontal="left" vertical="top"/>
    </xf>
    <xf numFmtId="264" fontId="12" fillId="14" borderId="6653" applyFont="0" applyFill="0" applyBorder="0" applyAlignment="0" applyProtection="0">
      <alignment horizontal="right"/>
    </xf>
    <xf numFmtId="0" fontId="75" fillId="0" borderId="6726" applyNumberFormat="0" applyFont="0" applyFill="0" applyAlignment="0" applyProtection="0"/>
    <xf numFmtId="0" fontId="166" fillId="0" borderId="6653">
      <alignment horizontal="center"/>
    </xf>
    <xf numFmtId="0" fontId="165" fillId="0" borderId="6653" applyFill="0" applyProtection="0">
      <alignment horizontal="center"/>
    </xf>
    <xf numFmtId="222" fontId="79" fillId="0" borderId="5992" applyBorder="0"/>
    <xf numFmtId="0" fontId="101" fillId="0" borderId="5993" applyBorder="0"/>
    <xf numFmtId="222" fontId="79" fillId="0" borderId="5992" applyBorder="0"/>
    <xf numFmtId="0" fontId="113" fillId="0" borderId="5993" applyNumberFormat="0" applyFill="0" applyAlignment="0" applyProtection="0"/>
    <xf numFmtId="0" fontId="12" fillId="0" borderId="5993" applyNumberFormat="0" applyFill="0" applyBorder="0" applyAlignment="0" applyProtection="0">
      <alignment horizontal="center"/>
    </xf>
    <xf numFmtId="248" fontId="46" fillId="0" borderId="5993"/>
    <xf numFmtId="192" fontId="9" fillId="3" borderId="5993">
      <alignment horizontal="right" vertical="center"/>
    </xf>
    <xf numFmtId="180" fontId="9" fillId="3" borderId="5993">
      <alignment horizontal="right" vertical="center"/>
    </xf>
    <xf numFmtId="186" fontId="146" fillId="3" borderId="5993" applyBorder="0">
      <alignment horizontal="left" vertical="center"/>
    </xf>
    <xf numFmtId="0" fontId="165" fillId="0" borderId="5993" applyFill="0" applyProtection="0">
      <alignment horizontal="center"/>
    </xf>
    <xf numFmtId="0" fontId="166" fillId="0" borderId="5993">
      <alignment horizontal="center"/>
    </xf>
    <xf numFmtId="264" fontId="12" fillId="14" borderId="5993" applyFont="0" applyFill="0" applyBorder="0" applyAlignment="0" applyProtection="0">
      <alignment horizontal="right"/>
    </xf>
    <xf numFmtId="0" fontId="210" fillId="0" borderId="5993" applyNumberFormat="0" applyFill="0" applyBorder="0" applyAlignment="0">
      <protection locked="0"/>
    </xf>
    <xf numFmtId="254" fontId="240" fillId="0" borderId="5993" applyBorder="0" applyProtection="0">
      <alignment horizontal="right" vertical="center"/>
    </xf>
    <xf numFmtId="0" fontId="241" fillId="94" borderId="5993" applyBorder="0" applyProtection="0">
      <alignment horizontal="centerContinuous" vertical="center"/>
    </xf>
    <xf numFmtId="246" fontId="249" fillId="0" borderId="5993" applyFill="0" applyProtection="0">
      <alignment horizontal="center"/>
    </xf>
    <xf numFmtId="246" fontId="250" fillId="0" borderId="5993" applyFill="0" applyProtection="0">
      <alignment horizontal="center"/>
    </xf>
    <xf numFmtId="0" fontId="12" fillId="0" borderId="6725" applyNumberFormat="0" applyFill="0" applyBorder="0" applyAlignment="0" applyProtection="0">
      <alignment horizontal="center"/>
    </xf>
    <xf numFmtId="222" fontId="79" fillId="0" borderId="6700" applyBorder="0"/>
    <xf numFmtId="222" fontId="79" fillId="0" borderId="6724" applyBorder="0"/>
    <xf numFmtId="0" fontId="101" fillId="0" borderId="6725" applyBorder="0"/>
    <xf numFmtId="186" fontId="146" fillId="3" borderId="6728">
      <alignment horizontal="left"/>
    </xf>
    <xf numFmtId="0" fontId="78" fillId="14" borderId="6727" applyFont="0" applyFill="0" applyBorder="0" applyAlignment="0" applyProtection="0"/>
    <xf numFmtId="186" fontId="146" fillId="3" borderId="6653" applyBorder="0">
      <alignment horizontal="left" vertical="center"/>
    </xf>
    <xf numFmtId="180" fontId="9" fillId="3" borderId="6653">
      <alignment horizontal="right" vertical="center"/>
    </xf>
    <xf numFmtId="192" fontId="9" fillId="3" borderId="6653">
      <alignment horizontal="right" vertical="center"/>
    </xf>
    <xf numFmtId="246" fontId="249" fillId="0" borderId="6725" applyFill="0" applyProtection="0">
      <alignment horizontal="center"/>
    </xf>
    <xf numFmtId="0" fontId="166" fillId="0" borderId="6689">
      <alignment horizontal="center"/>
    </xf>
    <xf numFmtId="0" fontId="214" fillId="0" borderId="6731" applyNumberFormat="0" applyFont="0" applyFill="0" applyAlignment="0" applyProtection="0"/>
    <xf numFmtId="246" fontId="250" fillId="0" borderId="6725" applyFill="0" applyProtection="0">
      <alignment horizontal="center"/>
    </xf>
    <xf numFmtId="0" fontId="210" fillId="0" borderId="6665" applyNumberFormat="0" applyFill="0" applyBorder="0" applyAlignment="0">
      <protection locked="0"/>
    </xf>
    <xf numFmtId="0" fontId="101" fillId="0" borderId="6725" applyBorder="0"/>
    <xf numFmtId="0" fontId="210" fillId="0" borderId="6185" applyNumberFormat="0" applyFill="0" applyBorder="0" applyAlignment="0">
      <protection locked="0"/>
    </xf>
    <xf numFmtId="222" fontId="79" fillId="0" borderId="6160" applyBorder="0"/>
    <xf numFmtId="312" fontId="25" fillId="10" borderId="6193" applyNumberFormat="0" applyProtection="0">
      <alignment horizontal="left" vertical="top"/>
    </xf>
    <xf numFmtId="222" fontId="79" fillId="0" borderId="6688" applyBorder="0"/>
    <xf numFmtId="0" fontId="12" fillId="0" borderId="6725" applyNumberFormat="0" applyFill="0" applyBorder="0" applyAlignment="0" applyProtection="0">
      <alignment horizontal="center"/>
    </xf>
    <xf numFmtId="0" fontId="75" fillId="0" borderId="6702" applyNumberFormat="0" applyFont="0" applyFill="0" applyAlignment="0" applyProtection="0"/>
    <xf numFmtId="186" fontId="146" fillId="3" borderId="5984">
      <alignment horizontal="left"/>
    </xf>
    <xf numFmtId="0" fontId="75" fillId="0" borderId="5982" applyNumberFormat="0" applyFont="0" applyFill="0" applyAlignment="0" applyProtection="0"/>
    <xf numFmtId="248" fontId="46" fillId="0" borderId="6689"/>
    <xf numFmtId="312" fontId="25" fillId="10" borderId="6709" applyNumberFormat="0" applyProtection="0">
      <alignment horizontal="left" vertical="top"/>
    </xf>
    <xf numFmtId="246" fontId="249" fillId="0" borderId="6701" applyFill="0" applyProtection="0">
      <alignment horizontal="center"/>
    </xf>
    <xf numFmtId="246" fontId="250" fillId="0" borderId="6665" applyFill="0" applyProtection="0">
      <alignment horizontal="center"/>
    </xf>
    <xf numFmtId="0" fontId="25" fillId="10" borderId="6732" applyNumberFormat="0" applyProtection="0">
      <alignment horizontal="left" vertical="top"/>
    </xf>
    <xf numFmtId="0" fontId="101" fillId="0" borderId="6713" applyBorder="0"/>
    <xf numFmtId="0" fontId="113" fillId="0" borderId="6053" applyNumberFormat="0" applyFill="0" applyAlignment="0" applyProtection="0"/>
    <xf numFmtId="264" fontId="12" fillId="14" borderId="6053" applyFont="0" applyFill="0" applyBorder="0" applyAlignment="0" applyProtection="0">
      <alignment horizontal="right"/>
    </xf>
    <xf numFmtId="246" fontId="249" fillId="0" borderId="6053" applyFill="0" applyProtection="0">
      <alignment horizontal="center"/>
    </xf>
    <xf numFmtId="0" fontId="25" fillId="10" borderId="5991" applyNumberFormat="0" applyProtection="0">
      <alignment horizontal="left" vertical="top"/>
    </xf>
    <xf numFmtId="0" fontId="25" fillId="10" borderId="5989" applyNumberFormat="0" applyProtection="0">
      <alignment horizontal="left" vertical="top"/>
    </xf>
    <xf numFmtId="0" fontId="25" fillId="10" borderId="5990" applyNumberFormat="0" applyProtection="0">
      <alignment horizontal="left" vertical="top"/>
    </xf>
    <xf numFmtId="0" fontId="25" fillId="10" borderId="5988" applyNumberFormat="0" applyProtection="0">
      <alignment horizontal="left" vertical="top"/>
    </xf>
    <xf numFmtId="0" fontId="25" fillId="10" borderId="5991" applyNumberFormat="0" applyProtection="0">
      <alignment horizontal="left" vertical="top"/>
    </xf>
    <xf numFmtId="0" fontId="25" fillId="10" borderId="5990" applyNumberFormat="0" applyProtection="0">
      <alignment horizontal="left" vertical="top"/>
    </xf>
    <xf numFmtId="0" fontId="25" fillId="10" borderId="5989" applyNumberFormat="0" applyProtection="0">
      <alignment horizontal="left" vertical="top"/>
    </xf>
    <xf numFmtId="0" fontId="25" fillId="10" borderId="5988" applyNumberFormat="0" applyProtection="0">
      <alignment horizontal="left" vertical="top"/>
    </xf>
    <xf numFmtId="0" fontId="214" fillId="0" borderId="5987" applyNumberFormat="0" applyFont="0" applyFill="0" applyAlignment="0" applyProtection="0"/>
    <xf numFmtId="0" fontId="2" fillId="0" borderId="5986" applyNumberFormat="0" applyAlignment="0" applyProtection="0"/>
    <xf numFmtId="186" fontId="140" fillId="3" borderId="5985">
      <alignment horizontal="center" vertical="center"/>
    </xf>
    <xf numFmtId="186" fontId="140" fillId="3" borderId="5985">
      <alignment horizontal="center" vertical="center"/>
    </xf>
    <xf numFmtId="0" fontId="25" fillId="10" borderId="5988" applyNumberFormat="0" applyProtection="0">
      <alignment horizontal="left" vertical="top"/>
    </xf>
    <xf numFmtId="0" fontId="12" fillId="0" borderId="6053" applyNumberFormat="0" applyFill="0" applyBorder="0" applyAlignment="0" applyProtection="0">
      <alignment horizontal="center"/>
    </xf>
    <xf numFmtId="0" fontId="25" fillId="10" borderId="6050" applyNumberFormat="0" applyProtection="0">
      <alignment horizontal="left" vertical="top"/>
    </xf>
    <xf numFmtId="222" fontId="79" fillId="0" borderId="6040" applyBorder="0"/>
    <xf numFmtId="0" fontId="78" fillId="14" borderId="6043" applyFont="0" applyFill="0" applyBorder="0" applyAlignment="0" applyProtection="0"/>
    <xf numFmtId="222" fontId="79" fillId="0" borderId="6052" applyBorder="0"/>
    <xf numFmtId="0" fontId="101" fillId="0" borderId="6053" applyBorder="0"/>
    <xf numFmtId="222" fontId="79" fillId="0" borderId="6052" applyBorder="0"/>
    <xf numFmtId="248" fontId="46" fillId="0" borderId="6053"/>
    <xf numFmtId="192" fontId="9" fillId="3" borderId="6053">
      <alignment horizontal="right" vertical="center"/>
    </xf>
    <xf numFmtId="180" fontId="9" fillId="3" borderId="6053">
      <alignment horizontal="right" vertical="center"/>
    </xf>
    <xf numFmtId="186" fontId="146" fillId="3" borderId="6053" applyBorder="0">
      <alignment horizontal="left" vertical="center"/>
    </xf>
    <xf numFmtId="0" fontId="165" fillId="0" borderId="6053" applyFill="0" applyProtection="0">
      <alignment horizontal="center"/>
    </xf>
    <xf numFmtId="0" fontId="210" fillId="0" borderId="6053" applyNumberFormat="0" applyFill="0" applyBorder="0" applyAlignment="0">
      <protection locked="0"/>
    </xf>
    <xf numFmtId="254" fontId="240" fillId="0" borderId="6053" applyBorder="0" applyProtection="0">
      <alignment horizontal="right" vertical="center"/>
    </xf>
    <xf numFmtId="246" fontId="250" fillId="0" borderId="6053" applyFill="0" applyProtection="0">
      <alignment horizontal="center"/>
    </xf>
    <xf numFmtId="180" fontId="9" fillId="3" borderId="6689">
      <alignment horizontal="right" vertical="center"/>
    </xf>
    <xf numFmtId="222" fontId="79" fillId="0" borderId="6676" applyBorder="0"/>
    <xf numFmtId="254" fontId="240" fillId="0" borderId="6701" applyBorder="0" applyProtection="0">
      <alignment horizontal="right" vertical="center"/>
    </xf>
    <xf numFmtId="186" fontId="140" fillId="3" borderId="6681">
      <alignment horizontal="center" vertical="center"/>
    </xf>
    <xf numFmtId="222" fontId="79" fillId="0" borderId="5992" applyBorder="0"/>
    <xf numFmtId="0" fontId="25" fillId="10" borderId="5989" applyNumberFormat="0" applyProtection="0">
      <alignment horizontal="left" vertical="top"/>
    </xf>
    <xf numFmtId="0" fontId="25" fillId="10" borderId="5991" applyNumberFormat="0" applyProtection="0">
      <alignment horizontal="left" vertical="top"/>
    </xf>
    <xf numFmtId="0" fontId="25" fillId="10" borderId="5988" applyNumberFormat="0" applyProtection="0">
      <alignment horizontal="left" vertical="top"/>
    </xf>
    <xf numFmtId="0" fontId="25" fillId="10" borderId="5989" applyNumberFormat="0" applyProtection="0">
      <alignment horizontal="left" vertical="top"/>
    </xf>
    <xf numFmtId="0" fontId="25" fillId="10" borderId="5990" applyNumberFormat="0" applyProtection="0">
      <alignment horizontal="left" vertical="top"/>
    </xf>
    <xf numFmtId="0" fontId="75" fillId="0" borderId="5994" applyNumberFormat="0" applyFont="0" applyFill="0" applyAlignment="0" applyProtection="0"/>
    <xf numFmtId="0" fontId="101" fillId="0" borderId="6005" applyBorder="0"/>
    <xf numFmtId="222" fontId="79" fillId="0" borderId="6004" applyBorder="0"/>
    <xf numFmtId="0" fontId="113" fillId="0" borderId="6005" applyNumberFormat="0" applyFill="0" applyAlignment="0" applyProtection="0"/>
    <xf numFmtId="0" fontId="12" fillId="0" borderId="6005" applyNumberFormat="0" applyFill="0" applyBorder="0" applyAlignment="0" applyProtection="0">
      <alignment horizontal="center"/>
    </xf>
    <xf numFmtId="248" fontId="46" fillId="0" borderId="6005"/>
    <xf numFmtId="192" fontId="9" fillId="3" borderId="6005">
      <alignment horizontal="right" vertical="center"/>
    </xf>
    <xf numFmtId="180" fontId="9" fillId="3" borderId="6005">
      <alignment horizontal="right" vertical="center"/>
    </xf>
    <xf numFmtId="186" fontId="146" fillId="3" borderId="6005" applyBorder="0">
      <alignment horizontal="left" vertical="center"/>
    </xf>
    <xf numFmtId="0" fontId="166" fillId="0" borderId="6005">
      <alignment horizontal="center"/>
    </xf>
    <xf numFmtId="0" fontId="210" fillId="0" borderId="6005" applyNumberFormat="0" applyFill="0" applyBorder="0" applyAlignment="0">
      <protection locked="0"/>
    </xf>
    <xf numFmtId="264" fontId="12" fillId="14" borderId="6005" applyFont="0" applyFill="0" applyBorder="0" applyAlignment="0" applyProtection="0">
      <alignment horizontal="right"/>
    </xf>
    <xf numFmtId="246" fontId="249" fillId="0" borderId="6005" applyFill="0" applyProtection="0">
      <alignment horizontal="center"/>
    </xf>
    <xf numFmtId="246" fontId="250" fillId="0" borderId="6005" applyFill="0" applyProtection="0">
      <alignment horizontal="center"/>
    </xf>
    <xf numFmtId="246" fontId="250" fillId="0" borderId="6029" applyFill="0" applyProtection="0">
      <alignment horizontal="center"/>
    </xf>
    <xf numFmtId="246" fontId="249" fillId="0" borderId="6029" applyFill="0" applyProtection="0">
      <alignment horizontal="center"/>
    </xf>
    <xf numFmtId="254" fontId="240" fillId="0" borderId="6029" applyBorder="0" applyProtection="0">
      <alignment horizontal="right" vertical="center"/>
    </xf>
    <xf numFmtId="264" fontId="12" fillId="14" borderId="6029" applyFont="0" applyFill="0" applyBorder="0" applyAlignment="0" applyProtection="0">
      <alignment horizontal="right"/>
    </xf>
    <xf numFmtId="0" fontId="165" fillId="0" borderId="6029" applyFill="0" applyProtection="0">
      <alignment horizontal="center"/>
    </xf>
    <xf numFmtId="180" fontId="9" fillId="3" borderId="6029">
      <alignment horizontal="right" vertical="center"/>
    </xf>
    <xf numFmtId="0" fontId="12" fillId="0" borderId="6029" applyNumberFormat="0" applyFill="0" applyBorder="0" applyAlignment="0" applyProtection="0">
      <alignment horizontal="center"/>
    </xf>
    <xf numFmtId="0" fontId="101" fillId="0" borderId="6029" applyBorder="0"/>
    <xf numFmtId="222" fontId="79" fillId="0" borderId="6028" applyBorder="0"/>
    <xf numFmtId="0" fontId="75" fillId="0" borderId="6018" applyNumberFormat="0" applyFont="0" applyFill="0" applyAlignment="0" applyProtection="0"/>
    <xf numFmtId="0" fontId="2" fillId="0" borderId="6022" applyNumberFormat="0" applyAlignment="0" applyProtection="0"/>
    <xf numFmtId="0" fontId="25" fillId="10" borderId="6024" applyNumberFormat="0" applyProtection="0">
      <alignment horizontal="left" vertical="top"/>
    </xf>
    <xf numFmtId="0" fontId="25" fillId="10" borderId="6027" applyNumberFormat="0" applyProtection="0">
      <alignment horizontal="left" vertical="top"/>
    </xf>
    <xf numFmtId="222" fontId="79" fillId="0" borderId="6016" applyBorder="0"/>
    <xf numFmtId="0" fontId="25" fillId="10" borderId="6002" applyNumberFormat="0" applyProtection="0">
      <alignment horizontal="left" vertical="top"/>
    </xf>
    <xf numFmtId="0" fontId="25" fillId="10" borderId="6000" applyNumberFormat="0" applyProtection="0">
      <alignment horizontal="left" vertical="top"/>
    </xf>
    <xf numFmtId="0" fontId="214" fillId="0" borderId="5999" applyNumberFormat="0" applyFont="0" applyFill="0" applyAlignment="0" applyProtection="0"/>
    <xf numFmtId="186" fontId="146" fillId="3" borderId="5996">
      <alignment horizontal="left"/>
    </xf>
    <xf numFmtId="222" fontId="79" fillId="0" borderId="6004" applyBorder="0"/>
    <xf numFmtId="0" fontId="113" fillId="0" borderId="6725" applyNumberFormat="0" applyFill="0" applyAlignment="0" applyProtection="0"/>
    <xf numFmtId="0" fontId="75" fillId="0" borderId="6678" applyNumberFormat="0" applyFont="0" applyFill="0" applyAlignment="0" applyProtection="0"/>
    <xf numFmtId="0" fontId="241" fillId="94" borderId="6725" applyBorder="0" applyProtection="0">
      <alignment horizontal="centerContinuous" vertical="center"/>
    </xf>
    <xf numFmtId="0" fontId="25" fillId="10" borderId="6733" applyNumberFormat="0" applyProtection="0">
      <alignment horizontal="left" vertical="top"/>
    </xf>
    <xf numFmtId="0" fontId="101" fillId="0" borderId="5993" applyBorder="0"/>
    <xf numFmtId="0" fontId="113" fillId="0" borderId="5993" applyNumberFormat="0" applyFill="0" applyAlignment="0" applyProtection="0"/>
    <xf numFmtId="0" fontId="12" fillId="0" borderId="5993" applyNumberFormat="0" applyFill="0" applyBorder="0" applyAlignment="0" applyProtection="0">
      <alignment horizontal="center"/>
    </xf>
    <xf numFmtId="248" fontId="46" fillId="0" borderId="5993"/>
    <xf numFmtId="192" fontId="9" fillId="3" borderId="5993">
      <alignment horizontal="right" vertical="center"/>
    </xf>
    <xf numFmtId="180" fontId="9" fillId="3" borderId="5993">
      <alignment horizontal="right" vertical="center"/>
    </xf>
    <xf numFmtId="186" fontId="146" fillId="3" borderId="5993" applyBorder="0">
      <alignment horizontal="left" vertical="center"/>
    </xf>
    <xf numFmtId="0" fontId="165" fillId="0" borderId="5993" applyFill="0" applyProtection="0">
      <alignment horizontal="center"/>
    </xf>
    <xf numFmtId="0" fontId="166" fillId="0" borderId="5993">
      <alignment horizontal="center"/>
    </xf>
    <xf numFmtId="264" fontId="12" fillId="14" borderId="5993" applyFont="0" applyFill="0" applyBorder="0" applyAlignment="0" applyProtection="0">
      <alignment horizontal="right"/>
    </xf>
    <xf numFmtId="0" fontId="210" fillId="0" borderId="5993" applyNumberFormat="0" applyFill="0" applyBorder="0" applyAlignment="0">
      <protection locked="0"/>
    </xf>
    <xf numFmtId="248" fontId="46" fillId="0" borderId="6029"/>
    <xf numFmtId="222" fontId="79" fillId="0" borderId="6028" applyBorder="0"/>
    <xf numFmtId="186" fontId="140" fillId="3" borderId="6021">
      <alignment horizontal="center" vertical="center"/>
    </xf>
    <xf numFmtId="0" fontId="25" fillId="10" borderId="6026" applyNumberFormat="0" applyProtection="0">
      <alignment horizontal="left" vertical="top"/>
    </xf>
    <xf numFmtId="0" fontId="210" fillId="0" borderId="6029" applyNumberFormat="0" applyFill="0" applyBorder="0" applyAlignment="0">
      <protection locked="0"/>
    </xf>
    <xf numFmtId="192" fontId="9" fillId="3" borderId="6029">
      <alignment horizontal="right" vertical="center"/>
    </xf>
    <xf numFmtId="0" fontId="113" fillId="0" borderId="6029" applyNumberFormat="0" applyFill="0" applyAlignment="0" applyProtection="0"/>
    <xf numFmtId="186" fontId="146" fillId="3" borderId="6020">
      <alignment horizontal="left"/>
    </xf>
    <xf numFmtId="0" fontId="25" fillId="10" borderId="6025" applyNumberFormat="0" applyProtection="0">
      <alignment horizontal="left" vertical="top"/>
    </xf>
    <xf numFmtId="254" fontId="240" fillId="0" borderId="5993" applyBorder="0" applyProtection="0">
      <alignment horizontal="right" vertical="center"/>
    </xf>
    <xf numFmtId="0" fontId="241" fillId="94" borderId="5993" applyBorder="0" applyProtection="0">
      <alignment horizontal="centerContinuous" vertical="center"/>
    </xf>
    <xf numFmtId="246" fontId="249" fillId="0" borderId="5993" applyFill="0" applyProtection="0">
      <alignment horizontal="center"/>
    </xf>
    <xf numFmtId="246" fontId="250" fillId="0" borderId="5993" applyFill="0" applyProtection="0">
      <alignment horizontal="center"/>
    </xf>
    <xf numFmtId="0" fontId="25" fillId="10" borderId="6733" applyNumberFormat="0" applyProtection="0">
      <alignment horizontal="left" vertical="top"/>
    </xf>
    <xf numFmtId="0" fontId="25" fillId="10" borderId="6049" applyNumberFormat="0" applyProtection="0">
      <alignment horizontal="left" vertical="top"/>
    </xf>
    <xf numFmtId="0" fontId="25" fillId="10" borderId="6051" applyNumberFormat="0" applyProtection="0">
      <alignment horizontal="left" vertical="top"/>
    </xf>
    <xf numFmtId="186" fontId="140" fillId="3" borderId="6729">
      <alignment horizontal="center" vertical="center"/>
    </xf>
    <xf numFmtId="222" fontId="79" fillId="0" borderId="5992" applyBorder="0"/>
    <xf numFmtId="0" fontId="214" fillId="0" borderId="6047" applyNumberFormat="0" applyFont="0" applyFill="0" applyAlignment="0" applyProtection="0"/>
    <xf numFmtId="0" fontId="25" fillId="10" borderId="5990" applyNumberFormat="0" applyProtection="0">
      <alignment horizontal="left" vertical="top"/>
    </xf>
    <xf numFmtId="0" fontId="25" fillId="10" borderId="5991" applyNumberFormat="0" applyProtection="0">
      <alignment horizontal="left" vertical="top"/>
    </xf>
    <xf numFmtId="0" fontId="165" fillId="0" borderId="6005" applyFill="0" applyProtection="0">
      <alignment horizontal="center"/>
    </xf>
    <xf numFmtId="254" fontId="240" fillId="0" borderId="6005" applyBorder="0" applyProtection="0">
      <alignment horizontal="right" vertical="center"/>
    </xf>
    <xf numFmtId="0" fontId="241" fillId="94" borderId="6005" applyBorder="0" applyProtection="0">
      <alignment horizontal="centerContinuous" vertical="center"/>
    </xf>
    <xf numFmtId="0" fontId="241" fillId="94" borderId="6029" applyBorder="0" applyProtection="0">
      <alignment horizontal="centerContinuous" vertical="center"/>
    </xf>
    <xf numFmtId="0" fontId="166" fillId="0" borderId="6029">
      <alignment horizontal="center"/>
    </xf>
    <xf numFmtId="186" fontId="146" fillId="3" borderId="6029" applyBorder="0">
      <alignment horizontal="left" vertical="center"/>
    </xf>
    <xf numFmtId="0" fontId="214" fillId="0" borderId="6023" applyNumberFormat="0" applyFont="0" applyFill="0" applyAlignment="0" applyProtection="0"/>
    <xf numFmtId="0" fontId="78" fillId="14" borderId="6019" applyFont="0" applyFill="0" applyBorder="0" applyAlignment="0" applyProtection="0"/>
    <xf numFmtId="248" fontId="46" fillId="0" borderId="6725"/>
    <xf numFmtId="0" fontId="78" fillId="14" borderId="5995" applyFont="0" applyFill="0" applyBorder="0" applyAlignment="0" applyProtection="0"/>
    <xf numFmtId="0" fontId="25" fillId="10" borderId="5895" applyNumberFormat="0" applyProtection="0">
      <alignment horizontal="left" vertical="top"/>
    </xf>
    <xf numFmtId="0" fontId="25" fillId="10" borderId="6002" applyNumberFormat="0" applyProtection="0">
      <alignment horizontal="left" vertical="top"/>
    </xf>
    <xf numFmtId="0" fontId="25" fillId="10" borderId="6001" applyNumberFormat="0" applyProtection="0">
      <alignment horizontal="left" vertical="top"/>
    </xf>
    <xf numFmtId="0" fontId="25" fillId="10" borderId="5988" applyNumberFormat="0" applyProtection="0">
      <alignment horizontal="left" vertical="top"/>
    </xf>
    <xf numFmtId="186" fontId="140" fillId="3" borderId="6045">
      <alignment horizontal="center" vertical="center"/>
    </xf>
    <xf numFmtId="186" fontId="146" fillId="3" borderId="6044">
      <alignment horizontal="left"/>
    </xf>
    <xf numFmtId="0" fontId="113" fillId="0" borderId="6725" applyNumberFormat="0" applyFill="0" applyAlignment="0" applyProtection="0"/>
    <xf numFmtId="0" fontId="75" fillId="0" borderId="6042" applyNumberFormat="0" applyFont="0" applyFill="0" applyAlignment="0" applyProtection="0"/>
    <xf numFmtId="222" fontId="79" fillId="0" borderId="5992" applyBorder="0"/>
    <xf numFmtId="222" fontId="79" fillId="0" borderId="5992" applyBorder="0"/>
    <xf numFmtId="186" fontId="146" fillId="3" borderId="6680">
      <alignment horizontal="left"/>
    </xf>
    <xf numFmtId="0" fontId="25" fillId="10" borderId="6048" applyNumberFormat="0" applyProtection="0">
      <alignment horizontal="left" vertical="top"/>
    </xf>
    <xf numFmtId="0" fontId="2" fillId="0" borderId="6046" applyNumberFormat="0" applyAlignment="0" applyProtection="0"/>
    <xf numFmtId="246" fontId="250" fillId="0" borderId="5993" applyFill="0" applyProtection="0">
      <alignment horizontal="center"/>
    </xf>
    <xf numFmtId="246" fontId="249" fillId="0" borderId="5993" applyFill="0" applyProtection="0">
      <alignment horizontal="center"/>
    </xf>
    <xf numFmtId="0" fontId="241" fillId="94" borderId="5993" applyBorder="0" applyProtection="0">
      <alignment horizontal="centerContinuous" vertical="center"/>
    </xf>
    <xf numFmtId="254" fontId="240" fillId="0" borderId="5993" applyBorder="0" applyProtection="0">
      <alignment horizontal="right" vertical="center"/>
    </xf>
    <xf numFmtId="0" fontId="210" fillId="0" borderId="5993" applyNumberFormat="0" applyFill="0" applyBorder="0" applyAlignment="0">
      <protection locked="0"/>
    </xf>
    <xf numFmtId="264" fontId="12" fillId="14" borderId="5993" applyFont="0" applyFill="0" applyBorder="0" applyAlignment="0" applyProtection="0">
      <alignment horizontal="right"/>
    </xf>
    <xf numFmtId="0" fontId="166" fillId="0" borderId="5993">
      <alignment horizontal="center"/>
    </xf>
    <xf numFmtId="0" fontId="165" fillId="0" borderId="5993" applyFill="0" applyProtection="0">
      <alignment horizontal="center"/>
    </xf>
    <xf numFmtId="186" fontId="146" fillId="3" borderId="5993" applyBorder="0">
      <alignment horizontal="left" vertical="center"/>
    </xf>
    <xf numFmtId="180" fontId="9" fillId="3" borderId="5993">
      <alignment horizontal="right" vertical="center"/>
    </xf>
    <xf numFmtId="192" fontId="9" fillId="3" borderId="5993">
      <alignment horizontal="right" vertical="center"/>
    </xf>
    <xf numFmtId="248" fontId="46" fillId="0" borderId="5993"/>
    <xf numFmtId="0" fontId="12" fillId="0" borderId="5993" applyNumberFormat="0" applyFill="0" applyBorder="0" applyAlignment="0" applyProtection="0">
      <alignment horizontal="center"/>
    </xf>
    <xf numFmtId="0" fontId="113" fillId="0" borderId="5993" applyNumberFormat="0" applyFill="0" applyAlignment="0" applyProtection="0"/>
    <xf numFmtId="222" fontId="79" fillId="0" borderId="5992" applyBorder="0"/>
    <xf numFmtId="0" fontId="101" fillId="0" borderId="5993" applyBorder="0"/>
    <xf numFmtId="222" fontId="79" fillId="0" borderId="5992" applyBorder="0"/>
    <xf numFmtId="0" fontId="75" fillId="0" borderId="5982" applyNumberFormat="0" applyFont="0" applyFill="0" applyAlignment="0" applyProtection="0"/>
    <xf numFmtId="186" fontId="146" fillId="3" borderId="5984">
      <alignment horizontal="left"/>
    </xf>
    <xf numFmtId="186" fontId="140" fillId="3" borderId="5985">
      <alignment horizontal="center" vertical="center"/>
    </xf>
    <xf numFmtId="0" fontId="2" fillId="0" borderId="5986" applyNumberFormat="0" applyAlignment="0" applyProtection="0"/>
    <xf numFmtId="0" fontId="214" fillId="0" borderId="5987" applyNumberFormat="0" applyFont="0" applyFill="0" applyAlignment="0" applyProtection="0"/>
    <xf numFmtId="0" fontId="25" fillId="10" borderId="5988" applyNumberFormat="0" applyProtection="0">
      <alignment horizontal="left" vertical="top"/>
    </xf>
    <xf numFmtId="0" fontId="25" fillId="10" borderId="5989" applyNumberFormat="0" applyProtection="0">
      <alignment horizontal="left" vertical="top"/>
    </xf>
    <xf numFmtId="0" fontId="25" fillId="10" borderId="5990" applyNumberFormat="0" applyProtection="0">
      <alignment horizontal="left" vertical="top"/>
    </xf>
    <xf numFmtId="0" fontId="25" fillId="10" borderId="5991" applyNumberFormat="0" applyProtection="0">
      <alignment horizontal="left" vertical="top"/>
    </xf>
    <xf numFmtId="0" fontId="241" fillId="94" borderId="6689" applyBorder="0" applyProtection="0">
      <alignment horizontal="centerContinuous" vertical="center"/>
    </xf>
    <xf numFmtId="0" fontId="78" fillId="14" borderId="5983" applyFont="0" applyFill="0" applyBorder="0" applyAlignment="0" applyProtection="0"/>
    <xf numFmtId="186" fontId="146" fillId="3" borderId="6665" applyBorder="0">
      <alignment horizontal="left" vertical="center"/>
    </xf>
    <xf numFmtId="0" fontId="241" fillId="94" borderId="6665" applyBorder="0" applyProtection="0">
      <alignment horizontal="centerContinuous" vertical="center"/>
    </xf>
    <xf numFmtId="0" fontId="2" fillId="0" borderId="6658" applyNumberFormat="0" applyAlignment="0" applyProtection="0"/>
    <xf numFmtId="222" fontId="79" fillId="0" borderId="5992" applyBorder="0"/>
    <xf numFmtId="190" fontId="25" fillId="10" borderId="6709" applyNumberFormat="0" applyProtection="0">
      <alignment horizontal="left" vertical="top"/>
    </xf>
    <xf numFmtId="0" fontId="101" fillId="0" borderId="6689" applyBorder="0"/>
    <xf numFmtId="254" fontId="240" fillId="0" borderId="6689" applyBorder="0" applyProtection="0">
      <alignment horizontal="right" vertical="center"/>
    </xf>
    <xf numFmtId="0" fontId="25" fillId="10" borderId="6735" applyNumberFormat="0" applyProtection="0">
      <alignment horizontal="left" vertical="top"/>
    </xf>
    <xf numFmtId="222" fontId="79" fillId="0" borderId="6676" applyBorder="0"/>
    <xf numFmtId="0" fontId="25" fillId="10" borderId="6710" applyNumberFormat="0" applyProtection="0">
      <alignment horizontal="left" vertical="top"/>
    </xf>
    <xf numFmtId="0" fontId="78" fillId="14" borderId="6703" applyFont="0" applyFill="0" applyBorder="0" applyAlignment="0" applyProtection="0"/>
    <xf numFmtId="0" fontId="214" fillId="0" borderId="6671" applyNumberFormat="0" applyFont="0" applyFill="0" applyAlignment="0" applyProtection="0"/>
    <xf numFmtId="0" fontId="25" fillId="10" borderId="6711" applyNumberFormat="0" applyProtection="0">
      <alignment horizontal="left" vertical="top"/>
    </xf>
    <xf numFmtId="0" fontId="210" fillId="0" borderId="6689" applyNumberFormat="0" applyFill="0" applyBorder="0" applyAlignment="0">
      <protection locked="0"/>
    </xf>
    <xf numFmtId="222" fontId="79" fillId="0" borderId="6700" applyBorder="0"/>
    <xf numFmtId="246" fontId="250" fillId="0" borderId="6689" applyFill="0" applyProtection="0">
      <alignment horizontal="center"/>
    </xf>
    <xf numFmtId="0" fontId="25" fillId="10" borderId="6709" applyNumberFormat="0" applyProtection="0">
      <alignment horizontal="left" vertical="top"/>
    </xf>
    <xf numFmtId="246" fontId="249" fillId="0" borderId="6689" applyFill="0" applyProtection="0">
      <alignment horizontal="center"/>
    </xf>
    <xf numFmtId="0" fontId="25" fillId="10" borderId="6672" applyNumberFormat="0" applyProtection="0">
      <alignment horizontal="left" vertical="top"/>
    </xf>
    <xf numFmtId="186" fontId="146" fillId="3" borderId="6668">
      <alignment horizontal="left"/>
    </xf>
    <xf numFmtId="246" fontId="249" fillId="0" borderId="6677" applyFill="0" applyProtection="0">
      <alignment horizontal="center"/>
    </xf>
    <xf numFmtId="246" fontId="250" fillId="0" borderId="6701" applyFill="0" applyProtection="0">
      <alignment horizontal="center"/>
    </xf>
    <xf numFmtId="246" fontId="250" fillId="0" borderId="6677" applyFill="0" applyProtection="0">
      <alignment horizontal="center"/>
    </xf>
    <xf numFmtId="0" fontId="113" fillId="0" borderId="6701" applyNumberFormat="0" applyFill="0" applyAlignment="0" applyProtection="0"/>
    <xf numFmtId="0" fontId="78" fillId="14" borderId="5995" applyFont="0" applyFill="0" applyBorder="0" applyAlignment="0" applyProtection="0"/>
    <xf numFmtId="222" fontId="79" fillId="0" borderId="5992" applyBorder="0"/>
    <xf numFmtId="0" fontId="101" fillId="0" borderId="6665" applyBorder="0"/>
    <xf numFmtId="0" fontId="78" fillId="14" borderId="5995" applyFont="0" applyFill="0" applyBorder="0" applyAlignment="0" applyProtection="0"/>
    <xf numFmtId="0" fontId="25" fillId="10" borderId="5895" applyNumberFormat="0" applyProtection="0">
      <alignment horizontal="left" vertical="top"/>
    </xf>
    <xf numFmtId="0" fontId="25" fillId="10" borderId="6002" applyNumberFormat="0" applyProtection="0">
      <alignment horizontal="left" vertical="top"/>
    </xf>
    <xf numFmtId="0" fontId="25" fillId="10" borderId="6001" applyNumberFormat="0" applyProtection="0">
      <alignment horizontal="left" vertical="top"/>
    </xf>
    <xf numFmtId="0" fontId="25" fillId="10" borderId="5988" applyNumberFormat="0" applyProtection="0">
      <alignment horizontal="left" vertical="top"/>
    </xf>
    <xf numFmtId="222" fontId="79" fillId="0" borderId="5992" applyBorder="0"/>
    <xf numFmtId="0" fontId="101" fillId="0" borderId="5993" applyBorder="0"/>
    <xf numFmtId="222" fontId="79" fillId="0" borderId="5992" applyBorder="0"/>
    <xf numFmtId="0" fontId="113" fillId="0" borderId="5993" applyNumberFormat="0" applyFill="0" applyAlignment="0" applyProtection="0"/>
    <xf numFmtId="0" fontId="12" fillId="0" borderId="5993" applyNumberFormat="0" applyFill="0" applyBorder="0" applyAlignment="0" applyProtection="0">
      <alignment horizontal="center"/>
    </xf>
    <xf numFmtId="248" fontId="46" fillId="0" borderId="5993"/>
    <xf numFmtId="192" fontId="9" fillId="3" borderId="5993">
      <alignment horizontal="right" vertical="center"/>
    </xf>
    <xf numFmtId="180" fontId="9" fillId="3" borderId="5993">
      <alignment horizontal="right" vertical="center"/>
    </xf>
    <xf numFmtId="186" fontId="146" fillId="3" borderId="5993" applyBorder="0">
      <alignment horizontal="left" vertical="center"/>
    </xf>
    <xf numFmtId="0" fontId="165" fillId="0" borderId="5993" applyFill="0" applyProtection="0">
      <alignment horizontal="center"/>
    </xf>
    <xf numFmtId="0" fontId="166" fillId="0" borderId="5993">
      <alignment horizontal="center"/>
    </xf>
    <xf numFmtId="264" fontId="12" fillId="14" borderId="5993" applyFont="0" applyFill="0" applyBorder="0" applyAlignment="0" applyProtection="0">
      <alignment horizontal="right"/>
    </xf>
    <xf numFmtId="0" fontId="210" fillId="0" borderId="5993" applyNumberFormat="0" applyFill="0" applyBorder="0" applyAlignment="0">
      <protection locked="0"/>
    </xf>
    <xf numFmtId="254" fontId="240" fillId="0" borderId="5993" applyBorder="0" applyProtection="0">
      <alignment horizontal="right" vertical="center"/>
    </xf>
    <xf numFmtId="0" fontId="241" fillId="94" borderId="5993" applyBorder="0" applyProtection="0">
      <alignment horizontal="centerContinuous" vertical="center"/>
    </xf>
    <xf numFmtId="246" fontId="249" fillId="0" borderId="5993" applyFill="0" applyProtection="0">
      <alignment horizontal="center"/>
    </xf>
    <xf numFmtId="246" fontId="250" fillId="0" borderId="5993" applyFill="0" applyProtection="0">
      <alignment horizontal="center"/>
    </xf>
    <xf numFmtId="0" fontId="75" fillId="0" borderId="6822" applyNumberFormat="0" applyFont="0" applyFill="0" applyAlignment="0" applyProtection="0"/>
    <xf numFmtId="312" fontId="25" fillId="10" borderId="6867" applyNumberFormat="0" applyProtection="0">
      <alignment horizontal="left" vertical="top"/>
    </xf>
    <xf numFmtId="0" fontId="25" fillId="10" borderId="6674" applyNumberFormat="0" applyProtection="0">
      <alignment horizontal="left" vertical="top"/>
    </xf>
    <xf numFmtId="0" fontId="241" fillId="94" borderId="6053" applyBorder="0" applyProtection="0">
      <alignment horizontal="centerContinuous" vertical="center"/>
    </xf>
    <xf numFmtId="0" fontId="166" fillId="0" borderId="6053">
      <alignment horizontal="center"/>
    </xf>
    <xf numFmtId="0" fontId="75" fillId="0" borderId="6714" applyNumberFormat="0" applyFont="0" applyFill="0" applyAlignment="0" applyProtection="0"/>
    <xf numFmtId="0" fontId="214" fillId="0" borderId="5987" applyNumberFormat="0" applyFont="0" applyFill="0" applyAlignment="0" applyProtection="0"/>
    <xf numFmtId="246" fontId="250" fillId="0" borderId="5993" applyFill="0" applyProtection="0">
      <alignment horizontal="center"/>
    </xf>
    <xf numFmtId="246" fontId="249" fillId="0" borderId="5993" applyFill="0" applyProtection="0">
      <alignment horizontal="center"/>
    </xf>
    <xf numFmtId="0" fontId="241" fillId="94" borderId="5993" applyBorder="0" applyProtection="0">
      <alignment horizontal="centerContinuous" vertical="center"/>
    </xf>
    <xf numFmtId="254" fontId="240" fillId="0" borderId="5993" applyBorder="0" applyProtection="0">
      <alignment horizontal="right" vertical="center"/>
    </xf>
    <xf numFmtId="0" fontId="210" fillId="0" borderId="5993" applyNumberFormat="0" applyFill="0" applyBorder="0" applyAlignment="0">
      <protection locked="0"/>
    </xf>
    <xf numFmtId="264" fontId="12" fillId="14" borderId="5993" applyFont="0" applyFill="0" applyBorder="0" applyAlignment="0" applyProtection="0">
      <alignment horizontal="right"/>
    </xf>
    <xf numFmtId="0" fontId="166" fillId="0" borderId="5993">
      <alignment horizontal="center"/>
    </xf>
    <xf numFmtId="0" fontId="165" fillId="0" borderId="5993" applyFill="0" applyProtection="0">
      <alignment horizontal="center"/>
    </xf>
    <xf numFmtId="186" fontId="146" fillId="3" borderId="5993" applyBorder="0">
      <alignment horizontal="left" vertical="center"/>
    </xf>
    <xf numFmtId="180" fontId="9" fillId="3" borderId="5993">
      <alignment horizontal="right" vertical="center"/>
    </xf>
    <xf numFmtId="192" fontId="9" fillId="3" borderId="5993">
      <alignment horizontal="right" vertical="center"/>
    </xf>
    <xf numFmtId="248" fontId="46" fillId="0" borderId="5993"/>
    <xf numFmtId="0" fontId="12" fillId="0" borderId="5993" applyNumberFormat="0" applyFill="0" applyBorder="0" applyAlignment="0" applyProtection="0">
      <alignment horizontal="center"/>
    </xf>
    <xf numFmtId="0" fontId="113" fillId="0" borderId="5993" applyNumberFormat="0" applyFill="0" applyAlignment="0" applyProtection="0"/>
    <xf numFmtId="222" fontId="79" fillId="0" borderId="5992" applyBorder="0"/>
    <xf numFmtId="0" fontId="101" fillId="0" borderId="5993" applyBorder="0"/>
    <xf numFmtId="222" fontId="79" fillId="0" borderId="5992" applyBorder="0"/>
    <xf numFmtId="186" fontId="140" fillId="3" borderId="5985">
      <alignment horizontal="center" vertical="center"/>
    </xf>
    <xf numFmtId="186" fontId="146" fillId="3" borderId="6716">
      <alignment horizontal="left"/>
    </xf>
    <xf numFmtId="0" fontId="214" fillId="0" borderId="5987" applyNumberFormat="0" applyFont="0" applyFill="0" applyAlignment="0" applyProtection="0"/>
    <xf numFmtId="0" fontId="25" fillId="10" borderId="5988" applyNumberFormat="0" applyProtection="0">
      <alignment horizontal="left" vertical="top"/>
    </xf>
    <xf numFmtId="0" fontId="25" fillId="10" borderId="5989" applyNumberFormat="0" applyProtection="0">
      <alignment horizontal="left" vertical="top"/>
    </xf>
    <xf numFmtId="0" fontId="25" fillId="10" borderId="5990" applyNumberFormat="0" applyProtection="0">
      <alignment horizontal="left" vertical="top"/>
    </xf>
    <xf numFmtId="0" fontId="25" fillId="10" borderId="5991" applyNumberFormat="0" applyProtection="0">
      <alignment horizontal="left" vertical="top"/>
    </xf>
    <xf numFmtId="0" fontId="78" fillId="14" borderId="5983" applyFont="0" applyFill="0" applyBorder="0" applyAlignment="0" applyProtection="0"/>
    <xf numFmtId="222" fontId="79" fillId="0" borderId="5992" applyBorder="0"/>
    <xf numFmtId="0" fontId="78" fillId="14" borderId="5995" applyFont="0" applyFill="0" applyBorder="0" applyAlignment="0" applyProtection="0"/>
    <xf numFmtId="0" fontId="78" fillId="14" borderId="5983" applyFont="0" applyFill="0" applyBorder="0" applyAlignment="0" applyProtection="0"/>
    <xf numFmtId="222" fontId="79" fillId="0" borderId="5992" applyBorder="0"/>
    <xf numFmtId="0" fontId="2" fillId="0" borderId="5998" applyNumberFormat="0" applyAlignment="0" applyProtection="0"/>
    <xf numFmtId="0" fontId="78" fillId="14" borderId="5983" applyFont="0" applyFill="0" applyBorder="0" applyAlignment="0" applyProtection="0"/>
    <xf numFmtId="0" fontId="25" fillId="10" borderId="5991" applyNumberFormat="0" applyProtection="0">
      <alignment horizontal="left" vertical="top"/>
    </xf>
    <xf numFmtId="0" fontId="25" fillId="10" borderId="5990" applyNumberFormat="0" applyProtection="0">
      <alignment horizontal="left" vertical="top"/>
    </xf>
    <xf numFmtId="0" fontId="25" fillId="10" borderId="5989" applyNumberFormat="0" applyProtection="0">
      <alignment horizontal="left" vertical="top"/>
    </xf>
    <xf numFmtId="0" fontId="25" fillId="10" borderId="5988" applyNumberFormat="0" applyProtection="0">
      <alignment horizontal="left" vertical="top"/>
    </xf>
    <xf numFmtId="0" fontId="25" fillId="10" borderId="6001" applyNumberFormat="0" applyProtection="0">
      <alignment horizontal="left" vertical="top"/>
    </xf>
    <xf numFmtId="0" fontId="214" fillId="0" borderId="5987" applyNumberFormat="0" applyFont="0" applyFill="0" applyAlignment="0" applyProtection="0"/>
    <xf numFmtId="0" fontId="2" fillId="0" borderId="5986" applyNumberFormat="0" applyAlignment="0" applyProtection="0"/>
    <xf numFmtId="186" fontId="140" fillId="3" borderId="5985">
      <alignment horizontal="center" vertical="center"/>
    </xf>
    <xf numFmtId="186" fontId="146" fillId="3" borderId="5984">
      <alignment horizontal="left"/>
    </xf>
    <xf numFmtId="0" fontId="25" fillId="10" borderId="6003" applyNumberFormat="0" applyProtection="0">
      <alignment horizontal="left" vertical="top"/>
    </xf>
    <xf numFmtId="0" fontId="75" fillId="0" borderId="5982" applyNumberFormat="0" applyFont="0" applyFill="0" applyAlignment="0" applyProtection="0"/>
    <xf numFmtId="222" fontId="79" fillId="0" borderId="5992" applyBorder="0"/>
    <xf numFmtId="0" fontId="101" fillId="0" borderId="5993" applyBorder="0"/>
    <xf numFmtId="222" fontId="79" fillId="0" borderId="5992" applyBorder="0"/>
    <xf numFmtId="0" fontId="113" fillId="0" borderId="5993" applyNumberFormat="0" applyFill="0" applyAlignment="0" applyProtection="0"/>
    <xf numFmtId="0" fontId="12" fillId="0" borderId="5993" applyNumberFormat="0" applyFill="0" applyBorder="0" applyAlignment="0" applyProtection="0">
      <alignment horizontal="center"/>
    </xf>
    <xf numFmtId="248" fontId="46" fillId="0" borderId="5993"/>
    <xf numFmtId="192" fontId="9" fillId="3" borderId="5993">
      <alignment horizontal="right" vertical="center"/>
    </xf>
    <xf numFmtId="180" fontId="9" fillId="3" borderId="5993">
      <alignment horizontal="right" vertical="center"/>
    </xf>
    <xf numFmtId="186" fontId="146" fillId="3" borderId="5993" applyBorder="0">
      <alignment horizontal="left" vertical="center"/>
    </xf>
    <xf numFmtId="0" fontId="165" fillId="0" borderId="5993" applyFill="0" applyProtection="0">
      <alignment horizontal="center"/>
    </xf>
    <xf numFmtId="0" fontId="166" fillId="0" borderId="5993">
      <alignment horizontal="center"/>
    </xf>
    <xf numFmtId="264" fontId="12" fillId="14" borderId="5993" applyFont="0" applyFill="0" applyBorder="0" applyAlignment="0" applyProtection="0">
      <alignment horizontal="right"/>
    </xf>
    <xf numFmtId="0" fontId="210" fillId="0" borderId="5993" applyNumberFormat="0" applyFill="0" applyBorder="0" applyAlignment="0">
      <protection locked="0"/>
    </xf>
    <xf numFmtId="254" fontId="240" fillId="0" borderId="5993" applyBorder="0" applyProtection="0">
      <alignment horizontal="right" vertical="center"/>
    </xf>
    <xf numFmtId="0" fontId="241" fillId="94" borderId="5993" applyBorder="0" applyProtection="0">
      <alignment horizontal="centerContinuous" vertical="center"/>
    </xf>
    <xf numFmtId="246" fontId="249" fillId="0" borderId="5993" applyFill="0" applyProtection="0">
      <alignment horizontal="center"/>
    </xf>
    <xf numFmtId="246" fontId="250" fillId="0" borderId="5993" applyFill="0" applyProtection="0">
      <alignment horizontal="center"/>
    </xf>
    <xf numFmtId="186" fontId="140" fillId="3" borderId="5997">
      <alignment horizontal="center" vertical="center"/>
    </xf>
    <xf numFmtId="0" fontId="78" fillId="14" borderId="5983" applyFont="0" applyFill="0" applyBorder="0" applyAlignment="0" applyProtection="0"/>
    <xf numFmtId="222" fontId="79" fillId="0" borderId="6004" applyBorder="0"/>
    <xf numFmtId="0" fontId="78" fillId="14" borderId="6007" applyFont="0" applyFill="0" applyBorder="0" applyAlignment="0" applyProtection="0"/>
    <xf numFmtId="0" fontId="25" fillId="10" borderId="6015" applyNumberFormat="0" applyProtection="0">
      <alignment horizontal="left" vertical="top"/>
    </xf>
    <xf numFmtId="0" fontId="25" fillId="10" borderId="6014" applyNumberFormat="0" applyProtection="0">
      <alignment horizontal="left" vertical="top"/>
    </xf>
    <xf numFmtId="0" fontId="25" fillId="10" borderId="6013" applyNumberFormat="0" applyProtection="0">
      <alignment horizontal="left" vertical="top"/>
    </xf>
    <xf numFmtId="0" fontId="25" fillId="10" borderId="6012" applyNumberFormat="0" applyProtection="0">
      <alignment horizontal="left" vertical="top"/>
    </xf>
    <xf numFmtId="0" fontId="214" fillId="0" borderId="6011" applyNumberFormat="0" applyFont="0" applyFill="0" applyAlignment="0" applyProtection="0"/>
    <xf numFmtId="0" fontId="2" fillId="0" borderId="6010" applyNumberFormat="0" applyAlignment="0" applyProtection="0"/>
    <xf numFmtId="186" fontId="140" fillId="3" borderId="6009">
      <alignment horizontal="center" vertical="center"/>
    </xf>
    <xf numFmtId="186" fontId="146" fillId="3" borderId="6008">
      <alignment horizontal="left"/>
    </xf>
    <xf numFmtId="0" fontId="75" fillId="0" borderId="6006" applyNumberFormat="0" applyFont="0" applyFill="0" applyAlignment="0" applyProtection="0"/>
    <xf numFmtId="222" fontId="79" fillId="0" borderId="6016" applyBorder="0"/>
    <xf numFmtId="0" fontId="101" fillId="0" borderId="6017" applyBorder="0"/>
    <xf numFmtId="222" fontId="79" fillId="0" borderId="6016" applyBorder="0"/>
    <xf numFmtId="0" fontId="113" fillId="0" borderId="6017" applyNumberFormat="0" applyFill="0" applyAlignment="0" applyProtection="0"/>
    <xf numFmtId="0" fontId="12" fillId="0" borderId="6017" applyNumberFormat="0" applyFill="0" applyBorder="0" applyAlignment="0" applyProtection="0">
      <alignment horizontal="center"/>
    </xf>
    <xf numFmtId="248" fontId="46" fillId="0" borderId="6017"/>
    <xf numFmtId="192" fontId="9" fillId="3" borderId="6017">
      <alignment horizontal="right" vertical="center"/>
    </xf>
    <xf numFmtId="180" fontId="9" fillId="3" borderId="6017">
      <alignment horizontal="right" vertical="center"/>
    </xf>
    <xf numFmtId="186" fontId="146" fillId="3" borderId="6017" applyBorder="0">
      <alignment horizontal="left" vertical="center"/>
    </xf>
    <xf numFmtId="0" fontId="165" fillId="0" borderId="6017" applyFill="0" applyProtection="0">
      <alignment horizontal="center"/>
    </xf>
    <xf numFmtId="0" fontId="166" fillId="0" borderId="6017">
      <alignment horizontal="center"/>
    </xf>
    <xf numFmtId="264" fontId="12" fillId="14" borderId="6017" applyFont="0" applyFill="0" applyBorder="0" applyAlignment="0" applyProtection="0">
      <alignment horizontal="right"/>
    </xf>
    <xf numFmtId="0" fontId="210" fillId="0" borderId="6017" applyNumberFormat="0" applyFill="0" applyBorder="0" applyAlignment="0">
      <protection locked="0"/>
    </xf>
    <xf numFmtId="254" fontId="240" fillId="0" borderId="6017" applyBorder="0" applyProtection="0">
      <alignment horizontal="right" vertical="center"/>
    </xf>
    <xf numFmtId="0" fontId="241" fillId="94" borderId="6017" applyBorder="0" applyProtection="0">
      <alignment horizontal="centerContinuous" vertical="center"/>
    </xf>
    <xf numFmtId="246" fontId="249" fillId="0" borderId="6017" applyFill="0" applyProtection="0">
      <alignment horizontal="center"/>
    </xf>
    <xf numFmtId="246" fontId="250" fillId="0" borderId="6017" applyFill="0" applyProtection="0">
      <alignment horizontal="center"/>
    </xf>
    <xf numFmtId="222" fontId="79" fillId="0" borderId="6028" applyBorder="0"/>
    <xf numFmtId="0" fontId="78" fillId="14" borderId="6031" applyFont="0" applyFill="0" applyBorder="0" applyAlignment="0" applyProtection="0"/>
    <xf numFmtId="0" fontId="25" fillId="10" borderId="6039" applyNumberFormat="0" applyProtection="0">
      <alignment horizontal="left" vertical="top"/>
    </xf>
    <xf numFmtId="0" fontId="25" fillId="10" borderId="6038" applyNumberFormat="0" applyProtection="0">
      <alignment horizontal="left" vertical="top"/>
    </xf>
    <xf numFmtId="0" fontId="25" fillId="10" borderId="6037" applyNumberFormat="0" applyProtection="0">
      <alignment horizontal="left" vertical="top"/>
    </xf>
    <xf numFmtId="0" fontId="25" fillId="10" borderId="6036" applyNumberFormat="0" applyProtection="0">
      <alignment horizontal="left" vertical="top"/>
    </xf>
    <xf numFmtId="0" fontId="214" fillId="0" borderId="6035" applyNumberFormat="0" applyFont="0" applyFill="0" applyAlignment="0" applyProtection="0"/>
    <xf numFmtId="0" fontId="2" fillId="0" borderId="6034" applyNumberFormat="0" applyAlignment="0" applyProtection="0"/>
    <xf numFmtId="186" fontId="140" fillId="3" borderId="6033">
      <alignment horizontal="center" vertical="center"/>
    </xf>
    <xf numFmtId="186" fontId="146" fillId="3" borderId="6032">
      <alignment horizontal="left"/>
    </xf>
    <xf numFmtId="0" fontId="75" fillId="0" borderId="6030" applyNumberFormat="0" applyFont="0" applyFill="0" applyAlignment="0" applyProtection="0"/>
    <xf numFmtId="222" fontId="79" fillId="0" borderId="6040" applyBorder="0"/>
    <xf numFmtId="0" fontId="101" fillId="0" borderId="6041" applyBorder="0"/>
    <xf numFmtId="222" fontId="79" fillId="0" borderId="6040" applyBorder="0"/>
    <xf numFmtId="0" fontId="113" fillId="0" borderId="6041" applyNumberFormat="0" applyFill="0" applyAlignment="0" applyProtection="0"/>
    <xf numFmtId="0" fontId="12" fillId="0" borderId="6041" applyNumberFormat="0" applyFill="0" applyBorder="0" applyAlignment="0" applyProtection="0">
      <alignment horizontal="center"/>
    </xf>
    <xf numFmtId="248" fontId="46" fillId="0" borderId="6041"/>
    <xf numFmtId="192" fontId="9" fillId="3" borderId="6041">
      <alignment horizontal="right" vertical="center"/>
    </xf>
    <xf numFmtId="180" fontId="9" fillId="3" borderId="6041">
      <alignment horizontal="right" vertical="center"/>
    </xf>
    <xf numFmtId="186" fontId="146" fillId="3" borderId="6041" applyBorder="0">
      <alignment horizontal="left" vertical="center"/>
    </xf>
    <xf numFmtId="0" fontId="165" fillId="0" borderId="6041" applyFill="0" applyProtection="0">
      <alignment horizontal="center"/>
    </xf>
    <xf numFmtId="0" fontId="166" fillId="0" borderId="6041">
      <alignment horizontal="center"/>
    </xf>
    <xf numFmtId="264" fontId="12" fillId="14" borderId="6041" applyFont="0" applyFill="0" applyBorder="0" applyAlignment="0" applyProtection="0">
      <alignment horizontal="right"/>
    </xf>
    <xf numFmtId="0" fontId="210" fillId="0" borderId="6041" applyNumberFormat="0" applyFill="0" applyBorder="0" applyAlignment="0">
      <protection locked="0"/>
    </xf>
    <xf numFmtId="254" fontId="240" fillId="0" borderId="6041" applyBorder="0" applyProtection="0">
      <alignment horizontal="right" vertical="center"/>
    </xf>
    <xf numFmtId="0" fontId="241" fillId="94" borderId="6041" applyBorder="0" applyProtection="0">
      <alignment horizontal="centerContinuous" vertical="center"/>
    </xf>
    <xf numFmtId="246" fontId="249" fillId="0" borderId="6041" applyFill="0" applyProtection="0">
      <alignment horizontal="center"/>
    </xf>
    <xf numFmtId="246" fontId="250" fillId="0" borderId="6041" applyFill="0" applyProtection="0">
      <alignment horizontal="center"/>
    </xf>
    <xf numFmtId="0" fontId="2" fillId="0" borderId="6682" applyNumberFormat="0" applyAlignment="0" applyProtection="0"/>
    <xf numFmtId="264" fontId="12" fillId="14" borderId="6677" applyFont="0" applyFill="0" applyBorder="0" applyAlignment="0" applyProtection="0">
      <alignment horizontal="right"/>
    </xf>
    <xf numFmtId="0" fontId="75" fillId="0" borderId="6054" applyNumberFormat="0" applyFont="0" applyFill="0" applyAlignment="0" applyProtection="0"/>
    <xf numFmtId="0" fontId="78" fillId="14" borderId="6055" applyFont="0" applyFill="0" applyBorder="0" applyAlignment="0" applyProtection="0"/>
    <xf numFmtId="186" fontId="146" fillId="3" borderId="6056">
      <alignment horizontal="left"/>
    </xf>
    <xf numFmtId="186" fontId="140" fillId="3" borderId="6057">
      <alignment horizontal="center" vertical="center"/>
    </xf>
    <xf numFmtId="0" fontId="2" fillId="0" borderId="6058" applyNumberFormat="0" applyAlignment="0" applyProtection="0"/>
    <xf numFmtId="0" fontId="214" fillId="0" borderId="6059" applyNumberFormat="0" applyFont="0" applyFill="0" applyAlignment="0" applyProtection="0"/>
    <xf numFmtId="0" fontId="25" fillId="10" borderId="6060" applyNumberFormat="0" applyProtection="0">
      <alignment horizontal="left" vertical="top"/>
    </xf>
    <xf numFmtId="0" fontId="25" fillId="10" borderId="6061" applyNumberFormat="0" applyProtection="0">
      <alignment horizontal="left" vertical="top"/>
    </xf>
    <xf numFmtId="0" fontId="25" fillId="10" borderId="6062" applyNumberFormat="0" applyProtection="0">
      <alignment horizontal="left" vertical="top"/>
    </xf>
    <xf numFmtId="0" fontId="25" fillId="10" borderId="6063" applyNumberFormat="0" applyProtection="0">
      <alignment horizontal="left" vertical="top"/>
    </xf>
    <xf numFmtId="0" fontId="214" fillId="0" borderId="6683" applyNumberFormat="0" applyFont="0" applyFill="0" applyAlignment="0" applyProtection="0"/>
    <xf numFmtId="0" fontId="210" fillId="0" borderId="6677" applyNumberFormat="0" applyFill="0" applyBorder="0" applyAlignment="0">
      <protection locked="0"/>
    </xf>
    <xf numFmtId="254" fontId="240" fillId="0" borderId="6713" applyBorder="0" applyProtection="0">
      <alignment horizontal="right" vertical="center"/>
    </xf>
    <xf numFmtId="0" fontId="25" fillId="10" borderId="6684" applyNumberFormat="0" applyProtection="0">
      <alignment horizontal="left" vertical="top"/>
    </xf>
    <xf numFmtId="0" fontId="166" fillId="0" borderId="6677">
      <alignment horizontal="center"/>
    </xf>
    <xf numFmtId="246" fontId="250" fillId="0" borderId="6053" applyFill="0" applyProtection="0">
      <alignment horizontal="center"/>
    </xf>
    <xf numFmtId="246" fontId="249" fillId="0" borderId="6053" applyFill="0" applyProtection="0">
      <alignment horizontal="center"/>
    </xf>
    <xf numFmtId="0" fontId="241" fillId="94" borderId="6053" applyBorder="0" applyProtection="0">
      <alignment horizontal="centerContinuous" vertical="center"/>
    </xf>
    <xf numFmtId="254" fontId="240" fillId="0" borderId="6053" applyBorder="0" applyProtection="0">
      <alignment horizontal="right" vertical="center"/>
    </xf>
    <xf numFmtId="312" fontId="241" fillId="94" borderId="6725" applyBorder="0" applyProtection="0">
      <alignment horizontal="centerContinuous" vertical="center"/>
    </xf>
    <xf numFmtId="0" fontId="210" fillId="0" borderId="6053" applyNumberFormat="0" applyFill="0" applyBorder="0" applyAlignment="0">
      <protection locked="0"/>
    </xf>
    <xf numFmtId="264" fontId="12" fillId="14" borderId="6053" applyFont="0" applyFill="0" applyBorder="0" applyAlignment="0" applyProtection="0">
      <alignment horizontal="right"/>
    </xf>
    <xf numFmtId="0" fontId="166" fillId="0" borderId="6053">
      <alignment horizontal="center"/>
    </xf>
    <xf numFmtId="0" fontId="165" fillId="0" borderId="6053" applyFill="0" applyProtection="0">
      <alignment horizontal="center"/>
    </xf>
    <xf numFmtId="186" fontId="146" fillId="3" borderId="6704">
      <alignment horizontal="left"/>
    </xf>
    <xf numFmtId="186" fontId="146" fillId="3" borderId="6053" applyBorder="0">
      <alignment horizontal="left" vertical="center"/>
    </xf>
    <xf numFmtId="180" fontId="9" fillId="3" borderId="6053">
      <alignment horizontal="right" vertical="center"/>
    </xf>
    <xf numFmtId="192" fontId="9" fillId="3" borderId="6053">
      <alignment horizontal="right" vertical="center"/>
    </xf>
    <xf numFmtId="312" fontId="210" fillId="0" borderId="6725" applyNumberFormat="0" applyFill="0" applyBorder="0" applyAlignment="0">
      <protection locked="0"/>
    </xf>
    <xf numFmtId="0" fontId="12" fillId="0" borderId="6053" applyNumberFormat="0" applyFill="0" applyBorder="0" applyAlignment="0" applyProtection="0">
      <alignment horizontal="center"/>
    </xf>
    <xf numFmtId="0" fontId="113" fillId="0" borderId="6053" applyNumberFormat="0" applyFill="0" applyAlignment="0" applyProtection="0"/>
    <xf numFmtId="222" fontId="79" fillId="0" borderId="6724" applyBorder="0"/>
    <xf numFmtId="222" fontId="79" fillId="0" borderId="6052" applyBorder="0"/>
    <xf numFmtId="0" fontId="101" fillId="0" borderId="6053" applyBorder="0"/>
    <xf numFmtId="186" fontId="146" fillId="3" borderId="6677" applyBorder="0">
      <alignment horizontal="left" vertical="center"/>
    </xf>
    <xf numFmtId="0" fontId="25" fillId="10" borderId="6685" applyNumberFormat="0" applyProtection="0">
      <alignment horizontal="left" vertical="top"/>
    </xf>
    <xf numFmtId="248" fontId="46" fillId="0" borderId="6053"/>
    <xf numFmtId="0" fontId="25" fillId="10" borderId="6686" applyNumberFormat="0" applyProtection="0">
      <alignment horizontal="left" vertical="top"/>
    </xf>
    <xf numFmtId="246" fontId="296" fillId="0" borderId="6725" applyFill="0" applyProtection="0">
      <alignment horizontal="center"/>
    </xf>
    <xf numFmtId="180" fontId="9" fillId="3" borderId="6677">
      <alignment horizontal="right" vertical="center"/>
    </xf>
    <xf numFmtId="312" fontId="25" fillId="10" borderId="6710" applyNumberFormat="0" applyProtection="0">
      <alignment horizontal="left" vertical="top"/>
    </xf>
    <xf numFmtId="264" fontId="12" fillId="14" borderId="6665" applyFont="0" applyFill="0" applyBorder="0" applyAlignment="0" applyProtection="0">
      <alignment horizontal="right"/>
    </xf>
    <xf numFmtId="312" fontId="241" fillId="94" borderId="6725" applyBorder="0" applyProtection="0">
      <alignment horizontal="centerContinuous" vertical="center"/>
    </xf>
    <xf numFmtId="192" fontId="9" fillId="3" borderId="6677">
      <alignment horizontal="right" vertical="center"/>
    </xf>
    <xf numFmtId="0" fontId="166" fillId="0" borderId="6665">
      <alignment horizontal="center"/>
    </xf>
    <xf numFmtId="248" fontId="46" fillId="0" borderId="6677"/>
    <xf numFmtId="0" fontId="101" fillId="0" borderId="6053" applyBorder="0"/>
    <xf numFmtId="222" fontId="79" fillId="0" borderId="6052" applyBorder="0"/>
    <xf numFmtId="0" fontId="113" fillId="0" borderId="6053" applyNumberFormat="0" applyFill="0" applyAlignment="0" applyProtection="0"/>
    <xf numFmtId="0" fontId="75" fillId="0" borderId="6054" applyNumberFormat="0" applyFont="0" applyFill="0" applyAlignment="0" applyProtection="0"/>
    <xf numFmtId="0" fontId="12" fillId="0" borderId="6053" applyNumberFormat="0" applyFill="0" applyBorder="0" applyAlignment="0" applyProtection="0">
      <alignment horizontal="center"/>
    </xf>
    <xf numFmtId="248" fontId="46" fillId="0" borderId="6053"/>
    <xf numFmtId="192" fontId="9" fillId="3" borderId="6053">
      <alignment horizontal="right" vertical="center"/>
    </xf>
    <xf numFmtId="180" fontId="9" fillId="3" borderId="6053">
      <alignment horizontal="right" vertical="center"/>
    </xf>
    <xf numFmtId="186" fontId="146" fillId="3" borderId="6053" applyBorder="0">
      <alignment horizontal="left" vertical="center"/>
    </xf>
    <xf numFmtId="186" fontId="146" fillId="3" borderId="6056">
      <alignment horizontal="left"/>
    </xf>
    <xf numFmtId="186" fontId="140" fillId="3" borderId="6057">
      <alignment horizontal="center" vertical="center"/>
    </xf>
    <xf numFmtId="0" fontId="165" fillId="0" borderId="6053" applyFill="0" applyProtection="0">
      <alignment horizontal="center"/>
    </xf>
    <xf numFmtId="0" fontId="166" fillId="0" borderId="6053">
      <alignment horizontal="center"/>
    </xf>
    <xf numFmtId="264" fontId="12" fillId="14" borderId="6053" applyFont="0" applyFill="0" applyBorder="0" applyAlignment="0" applyProtection="0">
      <alignment horizontal="right"/>
    </xf>
    <xf numFmtId="0" fontId="210" fillId="0" borderId="6053" applyNumberFormat="0" applyFill="0" applyBorder="0" applyAlignment="0">
      <protection locked="0"/>
    </xf>
    <xf numFmtId="0" fontId="2" fillId="0" borderId="6058" applyNumberFormat="0" applyAlignment="0" applyProtection="0"/>
    <xf numFmtId="0" fontId="214" fillId="0" borderId="6059" applyNumberFormat="0" applyFont="0" applyFill="0" applyAlignment="0" applyProtection="0"/>
    <xf numFmtId="0" fontId="25" fillId="10" borderId="6060" applyNumberFormat="0" applyProtection="0">
      <alignment horizontal="left" vertical="top"/>
    </xf>
    <xf numFmtId="0" fontId="25" fillId="10" borderId="6061" applyNumberFormat="0" applyProtection="0">
      <alignment horizontal="left" vertical="top"/>
    </xf>
    <xf numFmtId="0" fontId="25" fillId="10" borderId="6062" applyNumberFormat="0" applyProtection="0">
      <alignment horizontal="left" vertical="top"/>
    </xf>
    <xf numFmtId="0" fontId="25" fillId="10" borderId="6063" applyNumberFormat="0" applyProtection="0">
      <alignment horizontal="left" vertical="top"/>
    </xf>
    <xf numFmtId="0" fontId="25" fillId="10" borderId="6060" applyNumberFormat="0" applyProtection="0">
      <alignment horizontal="left" vertical="top"/>
    </xf>
    <xf numFmtId="0" fontId="25" fillId="10" borderId="6061" applyNumberFormat="0" applyProtection="0">
      <alignment horizontal="left" vertical="top"/>
    </xf>
    <xf numFmtId="0" fontId="25" fillId="10" borderId="6062" applyNumberFormat="0" applyProtection="0">
      <alignment horizontal="left" vertical="top"/>
    </xf>
    <xf numFmtId="0" fontId="25" fillId="10" borderId="6063" applyNumberFormat="0" applyProtection="0">
      <alignment horizontal="left" vertical="top"/>
    </xf>
    <xf numFmtId="254" fontId="240" fillId="0" borderId="6053" applyBorder="0" applyProtection="0">
      <alignment horizontal="right" vertical="center"/>
    </xf>
    <xf numFmtId="0" fontId="241" fillId="94" borderId="6053" applyBorder="0" applyProtection="0">
      <alignment horizontal="centerContinuous" vertical="center"/>
    </xf>
    <xf numFmtId="246" fontId="249" fillId="0" borderId="6053" applyFill="0" applyProtection="0">
      <alignment horizontal="center"/>
    </xf>
    <xf numFmtId="246" fontId="250" fillId="0" borderId="6053" applyFill="0" applyProtection="0">
      <alignment horizontal="center"/>
    </xf>
    <xf numFmtId="0" fontId="165" fillId="0" borderId="6665" applyFill="0" applyProtection="0">
      <alignment horizontal="center"/>
    </xf>
    <xf numFmtId="312" fontId="25" fillId="10" borderId="6711" applyNumberFormat="0" applyProtection="0">
      <alignment horizontal="left" vertical="top"/>
    </xf>
    <xf numFmtId="0" fontId="25" fillId="10" borderId="6662" applyNumberFormat="0" applyProtection="0">
      <alignment horizontal="left" vertical="top"/>
    </xf>
    <xf numFmtId="186" fontId="146" fillId="3" borderId="6665" applyBorder="0">
      <alignment horizontal="left" vertical="center"/>
    </xf>
    <xf numFmtId="312" fontId="25" fillId="10" borderId="6710" applyNumberFormat="0" applyProtection="0">
      <alignment horizontal="left" vertical="top"/>
    </xf>
    <xf numFmtId="0" fontId="25" fillId="10" borderId="6661" applyNumberFormat="0" applyProtection="0">
      <alignment horizontal="left" vertical="top"/>
    </xf>
    <xf numFmtId="186" fontId="140" fillId="3" borderId="6705">
      <alignment horizontal="center" vertical="center"/>
    </xf>
    <xf numFmtId="0" fontId="214" fillId="0" borderId="6659" applyNumberFormat="0" applyFont="0" applyFill="0" applyAlignment="0" applyProtection="0"/>
    <xf numFmtId="0" fontId="78" fillId="14" borderId="6823" applyFont="0" applyFill="0" applyBorder="0" applyAlignment="0" applyProtection="0"/>
    <xf numFmtId="186" fontId="146" fillId="3" borderId="6872">
      <alignment horizontal="left"/>
    </xf>
    <xf numFmtId="246" fontId="249" fillId="0" borderId="6821" applyFill="0" applyProtection="0">
      <alignment horizontal="center"/>
    </xf>
    <xf numFmtId="0" fontId="210" fillId="0" borderId="6821" applyNumberFormat="0" applyFill="0" applyBorder="0" applyAlignment="0">
      <protection locked="0"/>
    </xf>
    <xf numFmtId="180" fontId="9" fillId="3" borderId="6821">
      <alignment horizontal="right" vertical="center"/>
    </xf>
    <xf numFmtId="0" fontId="78" fillId="14" borderId="6823" applyFont="0" applyFill="0" applyBorder="0" applyAlignment="0" applyProtection="0"/>
    <xf numFmtId="0" fontId="2" fillId="0" borderId="6826" applyNumberFormat="0" applyAlignment="0" applyProtection="0"/>
    <xf numFmtId="0" fontId="78" fillId="14" borderId="6823" applyFont="0" applyFill="0" applyBorder="0" applyAlignment="0" applyProtection="0"/>
    <xf numFmtId="0" fontId="241" fillId="94" borderId="6845" applyBorder="0" applyProtection="0">
      <alignment horizontal="centerContinuous" vertical="center"/>
    </xf>
    <xf numFmtId="0" fontId="214" fillId="0" borderId="6863" applyNumberFormat="0" applyFont="0" applyFill="0" applyAlignment="0" applyProtection="0"/>
    <xf numFmtId="222" fontId="79" fillId="0" borderId="6868" applyBorder="0"/>
    <xf numFmtId="180" fontId="9" fillId="3" borderId="6869">
      <alignment horizontal="right" vertical="center"/>
    </xf>
    <xf numFmtId="192" fontId="9" fillId="3" borderId="6881">
      <alignment horizontal="right" vertical="center"/>
    </xf>
    <xf numFmtId="222" fontId="79" fillId="0" borderId="6880" applyBorder="0"/>
    <xf numFmtId="0" fontId="165" fillId="0" borderId="6881" applyFill="0" applyProtection="0">
      <alignment horizontal="center"/>
    </xf>
    <xf numFmtId="248" fontId="46" fillId="0" borderId="6665"/>
    <xf numFmtId="186" fontId="146" fillId="3" borderId="6665" applyBorder="0">
      <alignment horizontal="left" vertical="center"/>
    </xf>
    <xf numFmtId="264" fontId="12" fillId="14" borderId="6665" applyFont="0" applyFill="0" applyBorder="0" applyAlignment="0" applyProtection="0">
      <alignment horizontal="right"/>
    </xf>
    <xf numFmtId="246" fontId="249" fillId="0" borderId="6665" applyFill="0" applyProtection="0">
      <alignment horizontal="center"/>
    </xf>
    <xf numFmtId="222" fontId="79" fillId="0" borderId="6064" applyBorder="0"/>
    <xf numFmtId="190" fontId="101" fillId="0" borderId="6053" applyBorder="0"/>
    <xf numFmtId="0" fontId="165" fillId="0" borderId="6725" applyFill="0" applyProtection="0">
      <alignment horizontal="center"/>
    </xf>
    <xf numFmtId="0" fontId="214" fillId="0" borderId="6659" applyNumberFormat="0" applyFont="0" applyFill="0" applyAlignment="0" applyProtection="0"/>
    <xf numFmtId="190" fontId="113" fillId="0" borderId="6053" applyNumberFormat="0" applyFill="0" applyAlignment="0" applyProtection="0"/>
    <xf numFmtId="190" fontId="75" fillId="0" borderId="6030" applyNumberFormat="0" applyFont="0" applyFill="0" applyAlignment="0" applyProtection="0"/>
    <xf numFmtId="0" fontId="25" fillId="10" borderId="6661" applyNumberFormat="0" applyProtection="0">
      <alignment horizontal="left" vertical="top"/>
    </xf>
    <xf numFmtId="190" fontId="12" fillId="0" borderId="6053" applyNumberFormat="0" applyFill="0" applyBorder="0" applyAlignment="0" applyProtection="0">
      <alignment horizontal="center"/>
    </xf>
    <xf numFmtId="312" fontId="25" fillId="10" borderId="6709" applyNumberFormat="0" applyProtection="0">
      <alignment horizontal="left" vertical="top"/>
    </xf>
    <xf numFmtId="190" fontId="78" fillId="14" borderId="6043" applyFont="0" applyFill="0" applyBorder="0" applyAlignment="0" applyProtection="0"/>
    <xf numFmtId="0" fontId="241" fillId="94" borderId="6725" applyBorder="0" applyProtection="0">
      <alignment horizontal="centerContinuous" vertical="center"/>
    </xf>
    <xf numFmtId="0" fontId="25" fillId="10" borderId="6710" applyNumberFormat="0" applyProtection="0">
      <alignment horizontal="left" vertical="top"/>
    </xf>
    <xf numFmtId="0" fontId="25" fillId="10" borderId="6711" applyNumberFormat="0" applyProtection="0">
      <alignment horizontal="left" vertical="top"/>
    </xf>
    <xf numFmtId="0" fontId="25" fillId="10" borderId="6708" applyNumberFormat="0" applyProtection="0">
      <alignment horizontal="left" vertical="top"/>
    </xf>
    <xf numFmtId="0" fontId="210" fillId="0" borderId="6725" applyNumberFormat="0" applyFill="0" applyBorder="0" applyAlignment="0">
      <protection locked="0"/>
    </xf>
    <xf numFmtId="180" fontId="9" fillId="3" borderId="6725">
      <alignment horizontal="right" vertical="center"/>
    </xf>
    <xf numFmtId="190" fontId="25" fillId="10" borderId="6710" applyNumberFormat="0" applyProtection="0">
      <alignment horizontal="left" vertical="top"/>
    </xf>
    <xf numFmtId="190" fontId="165" fillId="0" borderId="6053" applyFill="0" applyProtection="0">
      <alignment horizontal="center"/>
    </xf>
    <xf numFmtId="190" fontId="166" fillId="0" borderId="6053">
      <alignment horizontal="center"/>
    </xf>
    <xf numFmtId="186" fontId="146" fillId="3" borderId="6725" applyBorder="0">
      <alignment horizontal="left" vertical="center"/>
    </xf>
    <xf numFmtId="0" fontId="75" fillId="0" borderId="6726" applyNumberFormat="0" applyFont="0" applyFill="0" applyAlignment="0" applyProtection="0"/>
    <xf numFmtId="0" fontId="113" fillId="0" borderId="6689" applyNumberFormat="0" applyFill="0" applyAlignment="0" applyProtection="0"/>
    <xf numFmtId="0" fontId="241" fillId="94" borderId="6665" applyBorder="0" applyProtection="0">
      <alignment horizontal="centerContinuous" vertical="center"/>
    </xf>
    <xf numFmtId="186" fontId="146" fillId="3" borderId="6665" applyBorder="0">
      <alignment horizontal="left" vertical="center"/>
    </xf>
    <xf numFmtId="0" fontId="25" fillId="10" borderId="6663" applyNumberFormat="0" applyProtection="0">
      <alignment horizontal="left" vertical="top"/>
    </xf>
    <xf numFmtId="0" fontId="25" fillId="10" borderId="6660" applyNumberFormat="0" applyProtection="0">
      <alignment horizontal="left" vertical="top"/>
    </xf>
    <xf numFmtId="186" fontId="140" fillId="3" borderId="6657">
      <alignment horizontal="center" vertical="center"/>
    </xf>
    <xf numFmtId="190" fontId="210" fillId="0" borderId="6053" applyNumberFormat="0" applyFill="0" applyBorder="0" applyAlignment="0">
      <protection locked="0"/>
    </xf>
    <xf numFmtId="222" fontId="79" fillId="0" borderId="6664" applyBorder="0"/>
    <xf numFmtId="248" fontId="46" fillId="0" borderId="6665"/>
    <xf numFmtId="186" fontId="146" fillId="3" borderId="6665" applyBorder="0">
      <alignment horizontal="left" vertical="center"/>
    </xf>
    <xf numFmtId="254" fontId="240" fillId="0" borderId="6665" applyBorder="0" applyProtection="0">
      <alignment horizontal="right" vertical="center"/>
    </xf>
    <xf numFmtId="246" fontId="250" fillId="0" borderId="6665" applyFill="0" applyProtection="0">
      <alignment horizontal="center"/>
    </xf>
    <xf numFmtId="0" fontId="25" fillId="10" borderId="6720" applyNumberFormat="0" applyProtection="0">
      <alignment horizontal="left" vertical="top"/>
    </xf>
    <xf numFmtId="190" fontId="2" fillId="0" borderId="6034" applyNumberFormat="0" applyAlignment="0" applyProtection="0"/>
    <xf numFmtId="186" fontId="140" fillId="3" borderId="6717">
      <alignment horizontal="center" vertical="center"/>
    </xf>
    <xf numFmtId="0" fontId="25" fillId="10" borderId="6002" applyNumberFormat="0" applyProtection="0">
      <alignment horizontal="left" vertical="top"/>
    </xf>
    <xf numFmtId="0" fontId="241" fillId="94" borderId="6701" applyBorder="0" applyProtection="0">
      <alignment horizontal="centerContinuous" vertical="center"/>
    </xf>
    <xf numFmtId="222" fontId="79" fillId="0" borderId="6664" applyBorder="0"/>
    <xf numFmtId="0" fontId="25" fillId="10" borderId="6721" applyNumberFormat="0" applyProtection="0">
      <alignment horizontal="left" vertical="top"/>
    </xf>
    <xf numFmtId="192" fontId="9" fillId="3" borderId="6701">
      <alignment horizontal="right" vertical="center"/>
    </xf>
    <xf numFmtId="0" fontId="214" fillId="0" borderId="6659" applyNumberFormat="0" applyFont="0" applyFill="0" applyAlignment="0" applyProtection="0"/>
    <xf numFmtId="0" fontId="25" fillId="10" borderId="6660" applyNumberFormat="0" applyProtection="0">
      <alignment horizontal="left" vertical="top"/>
    </xf>
    <xf numFmtId="264" fontId="12" fillId="14" borderId="6725" applyFont="0" applyFill="0" applyBorder="0" applyAlignment="0" applyProtection="0">
      <alignment horizontal="right"/>
    </xf>
    <xf numFmtId="190" fontId="214" fillId="0" borderId="6035" applyNumberFormat="0" applyFont="0" applyFill="0" applyAlignment="0" applyProtection="0"/>
    <xf numFmtId="186" fontId="146" fillId="3" borderId="6656">
      <alignment horizontal="left"/>
    </xf>
    <xf numFmtId="246" fontId="250" fillId="0" borderId="6653" applyFill="0" applyProtection="0">
      <alignment horizontal="center"/>
    </xf>
    <xf numFmtId="0" fontId="241" fillId="94" borderId="6653" applyBorder="0" applyProtection="0">
      <alignment horizontal="centerContinuous" vertical="center"/>
    </xf>
    <xf numFmtId="0" fontId="78" fillId="14" borderId="5995" applyFont="0" applyFill="0" applyBorder="0" applyAlignment="0" applyProtection="0"/>
    <xf numFmtId="190" fontId="25" fillId="10" borderId="6036" applyNumberFormat="0" applyProtection="0">
      <alignment horizontal="left" vertical="top"/>
    </xf>
    <xf numFmtId="190" fontId="25" fillId="10" borderId="6037" applyNumberFormat="0" applyProtection="0">
      <alignment horizontal="left" vertical="top"/>
    </xf>
    <xf numFmtId="190" fontId="25" fillId="10" borderId="6038" applyNumberFormat="0" applyProtection="0">
      <alignment horizontal="left" vertical="top"/>
    </xf>
    <xf numFmtId="190" fontId="25" fillId="10" borderId="6039" applyNumberFormat="0" applyProtection="0">
      <alignment horizontal="left" vertical="top"/>
    </xf>
    <xf numFmtId="190" fontId="241" fillId="94" borderId="6053" applyBorder="0" applyProtection="0">
      <alignment horizontal="centerContinuous" vertical="center"/>
    </xf>
    <xf numFmtId="264" fontId="12" fillId="14" borderId="6713" applyFont="0" applyFill="0" applyBorder="0" applyAlignment="0" applyProtection="0">
      <alignment horizontal="right"/>
    </xf>
    <xf numFmtId="0" fontId="25" fillId="10" borderId="6662" applyNumberFormat="0" applyProtection="0">
      <alignment horizontal="left" vertical="top"/>
    </xf>
    <xf numFmtId="0" fontId="210" fillId="0" borderId="6725" applyNumberFormat="0" applyFill="0" applyBorder="0" applyAlignment="0">
      <protection locked="0"/>
    </xf>
    <xf numFmtId="0" fontId="25" fillId="10" borderId="6002" applyNumberFormat="0" applyProtection="0">
      <alignment horizontal="left" vertical="top"/>
    </xf>
    <xf numFmtId="180" fontId="9" fillId="3" borderId="6665">
      <alignment horizontal="right" vertical="center"/>
    </xf>
    <xf numFmtId="0" fontId="25" fillId="10" borderId="6660" applyNumberFormat="0" applyProtection="0">
      <alignment horizontal="left" vertical="top"/>
    </xf>
    <xf numFmtId="222" fontId="79" fillId="0" borderId="6052" applyBorder="0"/>
    <xf numFmtId="312" fontId="25" fillId="10" borderId="6708" applyNumberFormat="0" applyProtection="0">
      <alignment horizontal="left" vertical="top"/>
    </xf>
    <xf numFmtId="0" fontId="101" fillId="0" borderId="6053" applyBorder="0"/>
    <xf numFmtId="222" fontId="79" fillId="0" borderId="6052" applyBorder="0"/>
    <xf numFmtId="0" fontId="113" fillId="0" borderId="6053" applyNumberFormat="0" applyFill="0" applyAlignment="0" applyProtection="0"/>
    <xf numFmtId="0" fontId="75" fillId="0" borderId="6030" applyNumberFormat="0" applyFont="0" applyFill="0" applyAlignment="0" applyProtection="0"/>
    <xf numFmtId="0" fontId="12" fillId="0" borderId="6053" applyNumberFormat="0" applyFill="0" applyBorder="0" applyAlignment="0" applyProtection="0">
      <alignment horizontal="center"/>
    </xf>
    <xf numFmtId="248" fontId="46" fillId="0" borderId="6053"/>
    <xf numFmtId="192" fontId="9" fillId="3" borderId="6053">
      <alignment horizontal="right" vertical="center"/>
    </xf>
    <xf numFmtId="180" fontId="9" fillId="3" borderId="6053">
      <alignment horizontal="right" vertical="center"/>
    </xf>
    <xf numFmtId="186" fontId="146" fillId="3" borderId="6053" applyBorder="0">
      <alignment horizontal="left" vertical="center"/>
    </xf>
    <xf numFmtId="186" fontId="146" fillId="3" borderId="6032">
      <alignment horizontal="left"/>
    </xf>
    <xf numFmtId="186" fontId="140" fillId="3" borderId="6033">
      <alignment horizontal="center" vertical="center"/>
    </xf>
    <xf numFmtId="0" fontId="165" fillId="0" borderId="6053" applyFill="0" applyProtection="0">
      <alignment horizontal="center"/>
    </xf>
    <xf numFmtId="0" fontId="166" fillId="0" borderId="6053">
      <alignment horizontal="center"/>
    </xf>
    <xf numFmtId="264" fontId="12" fillId="14" borderId="6053" applyFont="0" applyFill="0" applyBorder="0" applyAlignment="0" applyProtection="0">
      <alignment horizontal="right"/>
    </xf>
    <xf numFmtId="0" fontId="210" fillId="0" borderId="6053" applyNumberFormat="0" applyFill="0" applyBorder="0" applyAlignment="0">
      <protection locked="0"/>
    </xf>
    <xf numFmtId="0" fontId="2" fillId="0" borderId="6034" applyNumberFormat="0" applyAlignment="0" applyProtection="0"/>
    <xf numFmtId="0" fontId="214" fillId="0" borderId="6035" applyNumberFormat="0" applyFont="0" applyFill="0" applyAlignment="0" applyProtection="0"/>
    <xf numFmtId="0" fontId="25" fillId="10" borderId="6036" applyNumberFormat="0" applyProtection="0">
      <alignment horizontal="left" vertical="top"/>
    </xf>
    <xf numFmtId="0" fontId="25" fillId="10" borderId="6037" applyNumberFormat="0" applyProtection="0">
      <alignment horizontal="left" vertical="top"/>
    </xf>
    <xf numFmtId="0" fontId="25" fillId="10" borderId="6038" applyNumberFormat="0" applyProtection="0">
      <alignment horizontal="left" vertical="top"/>
    </xf>
    <xf numFmtId="0" fontId="25" fillId="10" borderId="6039" applyNumberFormat="0" applyProtection="0">
      <alignment horizontal="left" vertical="top"/>
    </xf>
    <xf numFmtId="0" fontId="25" fillId="10" borderId="6036" applyNumberFormat="0" applyProtection="0">
      <alignment horizontal="left" vertical="top"/>
    </xf>
    <xf numFmtId="0" fontId="25" fillId="10" borderId="6037" applyNumberFormat="0" applyProtection="0">
      <alignment horizontal="left" vertical="top"/>
    </xf>
    <xf numFmtId="0" fontId="25" fillId="10" borderId="6038" applyNumberFormat="0" applyProtection="0">
      <alignment horizontal="left" vertical="top"/>
    </xf>
    <xf numFmtId="0" fontId="25" fillId="10" borderId="6039" applyNumberFormat="0" applyProtection="0">
      <alignment horizontal="left" vertical="top"/>
    </xf>
    <xf numFmtId="254" fontId="240" fillId="0" borderId="6053" applyBorder="0" applyProtection="0">
      <alignment horizontal="right" vertical="center"/>
    </xf>
    <xf numFmtId="0" fontId="241" fillId="94" borderId="6053" applyBorder="0" applyProtection="0">
      <alignment horizontal="centerContinuous" vertical="center"/>
    </xf>
    <xf numFmtId="246" fontId="249" fillId="0" borderId="6053" applyFill="0" applyProtection="0">
      <alignment horizontal="center"/>
    </xf>
    <xf numFmtId="246" fontId="250" fillId="0" borderId="6053" applyFill="0" applyProtection="0">
      <alignment horizontal="center"/>
    </xf>
    <xf numFmtId="190" fontId="25" fillId="10" borderId="6711" applyNumberFormat="0" applyProtection="0">
      <alignment horizontal="left" vertical="top"/>
    </xf>
    <xf numFmtId="222" fontId="79" fillId="0" borderId="6712" applyBorder="0"/>
    <xf numFmtId="0" fontId="78" fillId="14" borderId="6655" applyFont="0" applyFill="0" applyBorder="0" applyAlignment="0" applyProtection="0"/>
    <xf numFmtId="0" fontId="25" fillId="10" borderId="6673" applyNumberFormat="0" applyProtection="0">
      <alignment horizontal="left" vertical="top"/>
    </xf>
    <xf numFmtId="0" fontId="25" fillId="10" borderId="6662" applyNumberFormat="0" applyProtection="0">
      <alignment horizontal="left" vertical="top"/>
    </xf>
    <xf numFmtId="0" fontId="78" fillId="14" borderId="6667" applyFont="0" applyFill="0" applyBorder="0" applyAlignment="0" applyProtection="0"/>
    <xf numFmtId="0" fontId="12" fillId="0" borderId="6665" applyNumberFormat="0" applyFill="0" applyBorder="0" applyAlignment="0" applyProtection="0">
      <alignment horizontal="center"/>
    </xf>
    <xf numFmtId="0" fontId="12" fillId="0" borderId="6653" applyNumberFormat="0" applyFill="0" applyBorder="0" applyAlignment="0" applyProtection="0">
      <alignment horizontal="center"/>
    </xf>
    <xf numFmtId="192" fontId="9" fillId="3" borderId="6665">
      <alignment horizontal="right" vertical="center"/>
    </xf>
    <xf numFmtId="312" fontId="25" fillId="10" borderId="6709" applyNumberFormat="0" applyProtection="0">
      <alignment horizontal="left" vertical="top"/>
    </xf>
    <xf numFmtId="0" fontId="25" fillId="10" borderId="6663" applyNumberFormat="0" applyProtection="0">
      <alignment horizontal="left" vertical="top"/>
    </xf>
    <xf numFmtId="248" fontId="46" fillId="0" borderId="6665"/>
    <xf numFmtId="312" fontId="214" fillId="0" borderId="6707" applyNumberFormat="0" applyFont="0" applyFill="0" applyAlignment="0" applyProtection="0"/>
    <xf numFmtId="0" fontId="25" fillId="10" borderId="6661" applyNumberFormat="0" applyProtection="0">
      <alignment horizontal="left" vertical="top"/>
    </xf>
    <xf numFmtId="0" fontId="12" fillId="0" borderId="6665" applyNumberFormat="0" applyFill="0" applyBorder="0" applyAlignment="0" applyProtection="0">
      <alignment horizontal="center"/>
    </xf>
    <xf numFmtId="222" fontId="79" fillId="0" borderId="6664" applyBorder="0"/>
    <xf numFmtId="0" fontId="214" fillId="0" borderId="6707" applyNumberFormat="0" applyFont="0" applyFill="0" applyAlignment="0" applyProtection="0"/>
    <xf numFmtId="0" fontId="25" fillId="10" borderId="6829" applyNumberFormat="0" applyProtection="0">
      <alignment horizontal="left" vertical="top"/>
    </xf>
    <xf numFmtId="0" fontId="75" fillId="0" borderId="6822" applyNumberFormat="0" applyFont="0" applyFill="0" applyAlignment="0" applyProtection="0"/>
    <xf numFmtId="0" fontId="241" fillId="94" borderId="6821" applyBorder="0" applyProtection="0">
      <alignment horizontal="centerContinuous" vertical="center"/>
    </xf>
    <xf numFmtId="264" fontId="12" fillId="14" borderId="6821" applyFont="0" applyFill="0" applyBorder="0" applyAlignment="0" applyProtection="0">
      <alignment horizontal="right"/>
    </xf>
    <xf numFmtId="192" fontId="9" fillId="3" borderId="6821">
      <alignment horizontal="right" vertical="center"/>
    </xf>
    <xf numFmtId="0" fontId="25" fillId="10" borderId="6830" applyNumberFormat="0" applyProtection="0">
      <alignment horizontal="left" vertical="top"/>
    </xf>
    <xf numFmtId="222" fontId="79" fillId="0" borderId="6832" applyBorder="0"/>
    <xf numFmtId="0" fontId="2" fillId="0" borderId="6838" applyNumberFormat="0" applyAlignment="0" applyProtection="0"/>
    <xf numFmtId="222" fontId="79" fillId="0" borderId="6856" applyBorder="0"/>
    <xf numFmtId="186" fontId="146" fillId="3" borderId="6860">
      <alignment horizontal="left"/>
    </xf>
    <xf numFmtId="0" fontId="113" fillId="0" borderId="6869" applyNumberFormat="0" applyFill="0" applyAlignment="0" applyProtection="0"/>
    <xf numFmtId="0" fontId="166" fillId="0" borderId="6869">
      <alignment horizontal="center"/>
    </xf>
    <xf numFmtId="0" fontId="12" fillId="0" borderId="6881" applyNumberFormat="0" applyFill="0" applyBorder="0" applyAlignment="0" applyProtection="0">
      <alignment horizontal="center"/>
    </xf>
    <xf numFmtId="248" fontId="46" fillId="0" borderId="6881"/>
    <xf numFmtId="0" fontId="166" fillId="0" borderId="6881">
      <alignment horizontal="center"/>
    </xf>
    <xf numFmtId="192" fontId="9" fillId="3" borderId="6665">
      <alignment horizontal="right" vertical="center"/>
    </xf>
    <xf numFmtId="0" fontId="165" fillId="0" borderId="6665" applyFill="0" applyProtection="0">
      <alignment horizontal="center"/>
    </xf>
    <xf numFmtId="254" fontId="240" fillId="0" borderId="6665" applyBorder="0" applyProtection="0">
      <alignment horizontal="right" vertical="center"/>
    </xf>
    <xf numFmtId="246" fontId="250" fillId="0" borderId="6665" applyFill="0" applyProtection="0">
      <alignment horizontal="center"/>
    </xf>
    <xf numFmtId="248" fontId="46" fillId="0" borderId="6665"/>
    <xf numFmtId="312" fontId="101" fillId="0" borderId="6053" applyBorder="0"/>
    <xf numFmtId="192" fontId="9" fillId="3" borderId="6725">
      <alignment horizontal="right" vertical="center"/>
    </xf>
    <xf numFmtId="312" fontId="113" fillId="0" borderId="6053" applyNumberFormat="0" applyFill="0" applyAlignment="0" applyProtection="0"/>
    <xf numFmtId="312" fontId="75" fillId="0" borderId="6030" applyNumberFormat="0" applyFont="0" applyFill="0" applyAlignment="0" applyProtection="0"/>
    <xf numFmtId="254" fontId="240" fillId="0" borderId="6725" applyBorder="0" applyProtection="0">
      <alignment horizontal="right" vertical="center"/>
    </xf>
    <xf numFmtId="246" fontId="249" fillId="0" borderId="6725" applyFill="0" applyProtection="0">
      <alignment horizontal="center"/>
    </xf>
    <xf numFmtId="312" fontId="12" fillId="0" borderId="6053" applyNumberFormat="0" applyFill="0" applyBorder="0" applyAlignment="0" applyProtection="0">
      <alignment horizontal="center"/>
    </xf>
    <xf numFmtId="312" fontId="78" fillId="14" borderId="5995" applyFont="0" applyFill="0" applyBorder="0" applyAlignment="0" applyProtection="0"/>
    <xf numFmtId="246" fontId="250" fillId="0" borderId="6725" applyFill="0" applyProtection="0">
      <alignment horizontal="center"/>
    </xf>
    <xf numFmtId="254" fontId="240" fillId="0" borderId="6725" applyBorder="0" applyProtection="0">
      <alignment horizontal="right" vertical="center"/>
    </xf>
    <xf numFmtId="0" fontId="25" fillId="10" borderId="6709" applyNumberFormat="0" applyProtection="0">
      <alignment horizontal="left" vertical="top"/>
    </xf>
    <xf numFmtId="0" fontId="25" fillId="10" borderId="6710" applyNumberFormat="0" applyProtection="0">
      <alignment horizontal="left" vertical="top"/>
    </xf>
    <xf numFmtId="0" fontId="214" fillId="0" borderId="6707" applyNumberFormat="0" applyFont="0" applyFill="0" applyAlignment="0" applyProtection="0"/>
    <xf numFmtId="264" fontId="12" fillId="14" borderId="6725" applyFont="0" applyFill="0" applyBorder="0" applyAlignment="0" applyProtection="0">
      <alignment horizontal="right"/>
    </xf>
    <xf numFmtId="248" fontId="46" fillId="0" borderId="6725"/>
    <xf numFmtId="312" fontId="165" fillId="0" borderId="6053" applyFill="0" applyProtection="0">
      <alignment horizontal="center"/>
    </xf>
    <xf numFmtId="312" fontId="242" fillId="0" borderId="6053">
      <alignment horizontal="center"/>
    </xf>
    <xf numFmtId="190" fontId="214" fillId="0" borderId="6707" applyNumberFormat="0" applyFont="0" applyFill="0" applyAlignment="0" applyProtection="0"/>
    <xf numFmtId="190" fontId="2" fillId="0" borderId="6706" applyNumberFormat="0" applyAlignment="0" applyProtection="0"/>
    <xf numFmtId="190" fontId="166" fillId="0" borderId="6725">
      <alignment horizontal="center"/>
    </xf>
    <xf numFmtId="222" fontId="79" fillId="0" borderId="6688" applyBorder="0"/>
    <xf numFmtId="0" fontId="25" fillId="10" borderId="6662" applyNumberFormat="0" applyProtection="0">
      <alignment horizontal="left" vertical="top"/>
    </xf>
    <xf numFmtId="0" fontId="214" fillId="0" borderId="6659" applyNumberFormat="0" applyFont="0" applyFill="0" applyAlignment="0" applyProtection="0"/>
    <xf numFmtId="186" fontId="146" fillId="3" borderId="6656">
      <alignment horizontal="left"/>
    </xf>
    <xf numFmtId="312" fontId="210" fillId="0" borderId="6053" applyNumberFormat="0" applyFill="0" applyBorder="0" applyAlignment="0">
      <protection locked="0"/>
    </xf>
    <xf numFmtId="0" fontId="113" fillId="0" borderId="6665" applyNumberFormat="0" applyFill="0" applyAlignment="0" applyProtection="0"/>
    <xf numFmtId="192" fontId="9" fillId="3" borderId="6665">
      <alignment horizontal="right" vertical="center"/>
    </xf>
    <xf numFmtId="0" fontId="165" fillId="0" borderId="6665" applyFill="0" applyProtection="0">
      <alignment horizontal="center"/>
    </xf>
    <xf numFmtId="0" fontId="241" fillId="94" borderId="6665" applyBorder="0" applyProtection="0">
      <alignment horizontal="centerContinuous" vertical="center"/>
    </xf>
    <xf numFmtId="312" fontId="2" fillId="0" borderId="6034" applyNumberFormat="0" applyAlignment="0" applyProtection="0"/>
    <xf numFmtId="0" fontId="25" fillId="10" borderId="6000" applyNumberFormat="0" applyProtection="0">
      <alignment horizontal="left" vertical="top"/>
    </xf>
    <xf numFmtId="0" fontId="78" fillId="14" borderId="6691" applyFont="0" applyFill="0" applyBorder="0" applyAlignment="0" applyProtection="0"/>
    <xf numFmtId="0" fontId="241" fillId="94" borderId="6677" applyBorder="0" applyProtection="0">
      <alignment horizontal="centerContinuous" vertical="center"/>
    </xf>
    <xf numFmtId="0" fontId="210" fillId="0" borderId="6701" applyNumberFormat="0" applyFill="0" applyBorder="0" applyAlignment="0">
      <protection locked="0"/>
    </xf>
    <xf numFmtId="186" fontId="140" fillId="3" borderId="6657">
      <alignment horizontal="center" vertical="center"/>
    </xf>
    <xf numFmtId="0" fontId="25" fillId="10" borderId="6660" applyNumberFormat="0" applyProtection="0">
      <alignment horizontal="left" vertical="top"/>
    </xf>
    <xf numFmtId="0" fontId="25" fillId="10" borderId="6662" applyNumberFormat="0" applyProtection="0">
      <alignment horizontal="left" vertical="top"/>
    </xf>
    <xf numFmtId="312" fontId="214" fillId="0" borderId="6035" applyNumberFormat="0" applyFont="0" applyFill="0" applyAlignment="0" applyProtection="0"/>
    <xf numFmtId="246" fontId="249" fillId="0" borderId="6653" applyFill="0" applyProtection="0">
      <alignment horizontal="center"/>
    </xf>
    <xf numFmtId="312" fontId="25" fillId="10" borderId="6036" applyNumberFormat="0" applyProtection="0">
      <alignment horizontal="left" vertical="top"/>
    </xf>
    <xf numFmtId="312" fontId="25" fillId="10" borderId="6037" applyNumberFormat="0" applyProtection="0">
      <alignment horizontal="left" vertical="top"/>
    </xf>
    <xf numFmtId="312" fontId="25" fillId="10" borderId="6038" applyNumberFormat="0" applyProtection="0">
      <alignment horizontal="left" vertical="top"/>
    </xf>
    <xf numFmtId="312" fontId="25" fillId="10" borderId="6039" applyNumberFormat="0" applyProtection="0">
      <alignment horizontal="left" vertical="top"/>
    </xf>
    <xf numFmtId="312" fontId="241" fillId="94" borderId="6053" applyBorder="0" applyProtection="0">
      <alignment horizontal="centerContinuous" vertical="center"/>
    </xf>
    <xf numFmtId="246" fontId="296" fillId="0" borderId="6053" applyFill="0" applyProtection="0">
      <alignment horizontal="center"/>
    </xf>
    <xf numFmtId="0" fontId="2" fillId="0" borderId="6658" applyNumberFormat="0" applyAlignment="0" applyProtection="0"/>
    <xf numFmtId="254" fontId="240" fillId="0" borderId="6665" applyBorder="0" applyProtection="0">
      <alignment horizontal="right" vertical="center"/>
    </xf>
    <xf numFmtId="0" fontId="166" fillId="0" borderId="6665">
      <alignment horizontal="center"/>
    </xf>
    <xf numFmtId="0" fontId="165" fillId="0" borderId="6713" applyFill="0" applyProtection="0">
      <alignment horizontal="center"/>
    </xf>
    <xf numFmtId="0" fontId="25" fillId="10" borderId="6663" applyNumberFormat="0" applyProtection="0">
      <alignment horizontal="left" vertical="top"/>
    </xf>
    <xf numFmtId="0" fontId="25" fillId="10" borderId="6663" applyNumberFormat="0" applyProtection="0">
      <alignment horizontal="left" vertical="top"/>
    </xf>
    <xf numFmtId="246" fontId="249" fillId="0" borderId="6821" applyFill="0" applyProtection="0">
      <alignment horizontal="center"/>
    </xf>
    <xf numFmtId="0" fontId="214" fillId="0" borderId="6731" applyNumberFormat="0" applyFont="0" applyFill="0" applyAlignment="0" applyProtection="0"/>
    <xf numFmtId="248" fontId="46" fillId="0" borderId="6713"/>
    <xf numFmtId="0" fontId="214" fillId="0" borderId="6659" applyNumberFormat="0" applyFont="0" applyFill="0" applyAlignment="0" applyProtection="0"/>
    <xf numFmtId="186" fontId="146" fillId="3" borderId="6656">
      <alignment horizontal="left"/>
    </xf>
    <xf numFmtId="0" fontId="101" fillId="0" borderId="6665" applyBorder="0"/>
    <xf numFmtId="312" fontId="101" fillId="0" borderId="6053" applyBorder="0"/>
    <xf numFmtId="312" fontId="113" fillId="0" borderId="6053" applyNumberFormat="0" applyFill="0" applyAlignment="0" applyProtection="0"/>
    <xf numFmtId="312" fontId="75" fillId="0" borderId="6030" applyNumberFormat="0" applyFont="0" applyFill="0" applyAlignment="0" applyProtection="0"/>
    <xf numFmtId="312" fontId="12" fillId="0" borderId="6053" applyNumberFormat="0" applyFill="0" applyBorder="0" applyAlignment="0" applyProtection="0">
      <alignment horizontal="center"/>
    </xf>
    <xf numFmtId="312" fontId="78" fillId="14" borderId="5995" applyFont="0" applyFill="0" applyBorder="0" applyAlignment="0" applyProtection="0"/>
    <xf numFmtId="312" fontId="165" fillId="0" borderId="6053" applyFill="0" applyProtection="0">
      <alignment horizontal="center"/>
    </xf>
    <xf numFmtId="312" fontId="242" fillId="0" borderId="6053">
      <alignment horizontal="center"/>
    </xf>
    <xf numFmtId="312" fontId="210" fillId="0" borderId="6053" applyNumberFormat="0" applyFill="0" applyBorder="0" applyAlignment="0">
      <protection locked="0"/>
    </xf>
    <xf numFmtId="312" fontId="2" fillId="0" borderId="6034" applyNumberFormat="0" applyAlignment="0" applyProtection="0"/>
    <xf numFmtId="312" fontId="214" fillId="0" borderId="6035" applyNumberFormat="0" applyFont="0" applyFill="0" applyAlignment="0" applyProtection="0"/>
    <xf numFmtId="312" fontId="25" fillId="10" borderId="6036" applyNumberFormat="0" applyProtection="0">
      <alignment horizontal="left" vertical="top"/>
    </xf>
    <xf numFmtId="312" fontId="25" fillId="10" borderId="6037" applyNumberFormat="0" applyProtection="0">
      <alignment horizontal="left" vertical="top"/>
    </xf>
    <xf numFmtId="312" fontId="25" fillId="10" borderId="6038" applyNumberFormat="0" applyProtection="0">
      <alignment horizontal="left" vertical="top"/>
    </xf>
    <xf numFmtId="312" fontId="25" fillId="10" borderId="6039" applyNumberFormat="0" applyProtection="0">
      <alignment horizontal="left" vertical="top"/>
    </xf>
    <xf numFmtId="312" fontId="25" fillId="10" borderId="6036" applyNumberFormat="0" applyProtection="0">
      <alignment horizontal="left" vertical="top"/>
    </xf>
    <xf numFmtId="312" fontId="25" fillId="10" borderId="6037" applyNumberFormat="0" applyProtection="0">
      <alignment horizontal="left" vertical="top"/>
    </xf>
    <xf numFmtId="312" fontId="25" fillId="10" borderId="6038" applyNumberFormat="0" applyProtection="0">
      <alignment horizontal="left" vertical="top"/>
    </xf>
    <xf numFmtId="312" fontId="25" fillId="10" borderId="6039" applyNumberFormat="0" applyProtection="0">
      <alignment horizontal="left" vertical="top"/>
    </xf>
    <xf numFmtId="312" fontId="241" fillId="94" borderId="6053" applyBorder="0" applyProtection="0">
      <alignment horizontal="centerContinuous" vertical="center"/>
    </xf>
    <xf numFmtId="246" fontId="296" fillId="0" borderId="6053" applyFill="0" applyProtection="0">
      <alignment horizontal="center"/>
    </xf>
    <xf numFmtId="0" fontId="25" fillId="10" borderId="6660" applyNumberFormat="0" applyProtection="0">
      <alignment horizontal="left" vertical="top"/>
    </xf>
    <xf numFmtId="192" fontId="9" fillId="3" borderId="6665">
      <alignment horizontal="right" vertical="center"/>
    </xf>
    <xf numFmtId="0" fontId="25" fillId="10" borderId="6661" applyNumberFormat="0" applyProtection="0">
      <alignment horizontal="left" vertical="top"/>
    </xf>
    <xf numFmtId="0" fontId="78" fillId="14" borderId="6655" applyFont="0" applyFill="0" applyBorder="0" applyAlignment="0" applyProtection="0"/>
    <xf numFmtId="192" fontId="9" fillId="3" borderId="6713">
      <alignment horizontal="right" vertical="center"/>
    </xf>
    <xf numFmtId="0" fontId="2" fillId="0" borderId="6658" applyNumberFormat="0" applyAlignment="0" applyProtection="0"/>
    <xf numFmtId="222" fontId="79" fillId="0" borderId="6664" applyBorder="0"/>
    <xf numFmtId="248" fontId="46" fillId="0" borderId="6653"/>
    <xf numFmtId="312" fontId="2" fillId="0" borderId="6706" applyNumberFormat="0" applyAlignment="0" applyProtection="0"/>
    <xf numFmtId="0" fontId="78" fillId="14" borderId="5995" applyFont="0" applyFill="0" applyBorder="0" applyAlignment="0" applyProtection="0"/>
    <xf numFmtId="0" fontId="75" fillId="0" borderId="6150" applyNumberFormat="0" applyFont="0" applyFill="0" applyAlignment="0" applyProtection="0"/>
    <xf numFmtId="312" fontId="25" fillId="10" borderId="6195" applyNumberFormat="0" applyProtection="0">
      <alignment horizontal="left" vertical="top"/>
    </xf>
    <xf numFmtId="0" fontId="113" fillId="0" borderId="6665" applyNumberFormat="0" applyFill="0" applyAlignment="0" applyProtection="0"/>
    <xf numFmtId="312" fontId="210" fillId="0" borderId="6725" applyNumberFormat="0" applyFill="0" applyBorder="0" applyAlignment="0">
      <protection locked="0"/>
    </xf>
    <xf numFmtId="246" fontId="249" fillId="0" borderId="6665" applyFill="0" applyProtection="0">
      <alignment horizontal="center"/>
    </xf>
    <xf numFmtId="186" fontId="140" fillId="3" borderId="6657">
      <alignment horizontal="center" vertical="center"/>
    </xf>
    <xf numFmtId="0" fontId="12" fillId="0" borderId="6689" applyNumberFormat="0" applyFill="0" applyBorder="0" applyAlignment="0" applyProtection="0">
      <alignment horizontal="center"/>
    </xf>
    <xf numFmtId="0" fontId="2" fillId="0" borderId="6706" applyNumberFormat="0" applyAlignment="0" applyProtection="0"/>
    <xf numFmtId="246" fontId="250" fillId="0" borderId="6713" applyFill="0" applyProtection="0">
      <alignment horizontal="center"/>
    </xf>
    <xf numFmtId="0" fontId="166" fillId="0" borderId="6713">
      <alignment horizontal="center"/>
    </xf>
    <xf numFmtId="246" fontId="249" fillId="0" borderId="6665" applyFill="0" applyProtection="0">
      <alignment horizontal="center"/>
    </xf>
    <xf numFmtId="186" fontId="146" fillId="3" borderId="6725" applyBorder="0">
      <alignment horizontal="left" vertical="center"/>
    </xf>
    <xf numFmtId="0" fontId="25" fillId="10" borderId="6732" applyNumberFormat="0" applyProtection="0">
      <alignment horizontal="left" vertical="top"/>
    </xf>
    <xf numFmtId="180" fontId="9" fillId="3" borderId="6665">
      <alignment horizontal="right" vertical="center"/>
    </xf>
    <xf numFmtId="222" fontId="79" fillId="0" borderId="6664" applyBorder="0"/>
    <xf numFmtId="0" fontId="165" fillId="0" borderId="6725" applyFill="0" applyProtection="0">
      <alignment horizontal="center"/>
    </xf>
    <xf numFmtId="264" fontId="12" fillId="14" borderId="6725" applyFont="0" applyFill="0" applyBorder="0" applyAlignment="0" applyProtection="0">
      <alignment horizontal="right"/>
    </xf>
    <xf numFmtId="0" fontId="210" fillId="0" borderId="6725" applyNumberFormat="0" applyFill="0" applyBorder="0" applyAlignment="0">
      <protection locked="0"/>
    </xf>
    <xf numFmtId="0" fontId="78" fillId="14" borderId="6655" applyFont="0" applyFill="0" applyBorder="0" applyAlignment="0" applyProtection="0"/>
    <xf numFmtId="0" fontId="165" fillId="0" borderId="6689" applyFill="0" applyProtection="0">
      <alignment horizontal="center"/>
    </xf>
    <xf numFmtId="312" fontId="25" fillId="10" borderId="6711" applyNumberFormat="0" applyProtection="0">
      <alignment horizontal="left" vertical="top"/>
    </xf>
    <xf numFmtId="312" fontId="101" fillId="0" borderId="6725" applyBorder="0"/>
    <xf numFmtId="312" fontId="113" fillId="0" borderId="6725" applyNumberFormat="0" applyFill="0" applyAlignment="0" applyProtection="0"/>
    <xf numFmtId="0" fontId="113" fillId="0" borderId="6653" applyNumberFormat="0" applyFill="0" applyAlignment="0" applyProtection="0"/>
    <xf numFmtId="192" fontId="9" fillId="3" borderId="6653">
      <alignment horizontal="right" vertical="center"/>
    </xf>
    <xf numFmtId="0" fontId="210" fillId="0" borderId="6713" applyNumberFormat="0" applyFill="0" applyBorder="0" applyAlignment="0">
      <protection locked="0"/>
    </xf>
    <xf numFmtId="192" fontId="9" fillId="3" borderId="6689">
      <alignment horizontal="right" vertical="center"/>
    </xf>
    <xf numFmtId="222" fontId="79" fillId="0" borderId="6676" applyBorder="0"/>
    <xf numFmtId="0" fontId="101" fillId="0" borderId="6653" applyBorder="0"/>
    <xf numFmtId="0" fontId="12" fillId="0" borderId="6713" applyNumberFormat="0" applyFill="0" applyBorder="0" applyAlignment="0" applyProtection="0">
      <alignment horizontal="center"/>
    </xf>
    <xf numFmtId="254" fontId="240" fillId="0" borderId="6725" applyBorder="0" applyProtection="0">
      <alignment horizontal="right" vertical="center"/>
    </xf>
    <xf numFmtId="0" fontId="241" fillId="94" borderId="6725" applyBorder="0" applyProtection="0">
      <alignment horizontal="centerContinuous" vertical="center"/>
    </xf>
    <xf numFmtId="246" fontId="249" fillId="0" borderId="6725" applyFill="0" applyProtection="0">
      <alignment horizontal="center"/>
    </xf>
    <xf numFmtId="186" fontId="140" fillId="3" borderId="6729">
      <alignment horizontal="center" vertical="center"/>
    </xf>
    <xf numFmtId="246" fontId="250" fillId="0" borderId="6725" applyFill="0" applyProtection="0">
      <alignment horizontal="center"/>
    </xf>
    <xf numFmtId="222" fontId="79" fillId="0" borderId="6712" applyBorder="0"/>
    <xf numFmtId="0" fontId="2" fillId="0" borderId="6730" applyNumberFormat="0" applyAlignment="0" applyProtection="0"/>
    <xf numFmtId="186" fontId="146" fillId="3" borderId="6704">
      <alignment horizontal="left"/>
    </xf>
    <xf numFmtId="248" fontId="46" fillId="0" borderId="6725"/>
    <xf numFmtId="180" fontId="9" fillId="3" borderId="6725">
      <alignment horizontal="right" vertical="center"/>
    </xf>
    <xf numFmtId="192" fontId="9" fillId="3" borderId="6725">
      <alignment horizontal="right" vertical="center"/>
    </xf>
    <xf numFmtId="254" fontId="240" fillId="0" borderId="6725" applyBorder="0" applyProtection="0">
      <alignment horizontal="right" vertical="center"/>
    </xf>
    <xf numFmtId="0" fontId="165" fillId="0" borderId="6665" applyFill="0" applyProtection="0">
      <alignment horizontal="center"/>
    </xf>
    <xf numFmtId="264" fontId="12" fillId="14" borderId="6665" applyFont="0" applyFill="0" applyBorder="0" applyAlignment="0" applyProtection="0">
      <alignment horizontal="right"/>
    </xf>
    <xf numFmtId="222" fontId="79" fillId="0" borderId="6664" applyBorder="0"/>
    <xf numFmtId="246" fontId="250" fillId="0" borderId="6053" applyFill="0" applyProtection="0">
      <alignment horizontal="center"/>
    </xf>
    <xf numFmtId="246" fontId="249" fillId="0" borderId="6053" applyFill="0" applyProtection="0">
      <alignment horizontal="center"/>
    </xf>
    <xf numFmtId="0" fontId="241" fillId="94" borderId="6053" applyBorder="0" applyProtection="0">
      <alignment horizontal="centerContinuous" vertical="center"/>
    </xf>
    <xf numFmtId="254" fontId="240" fillId="0" borderId="6053" applyBorder="0" applyProtection="0">
      <alignment horizontal="right" vertical="center"/>
    </xf>
    <xf numFmtId="0" fontId="25" fillId="10" borderId="5991" applyNumberFormat="0" applyProtection="0">
      <alignment horizontal="left" vertical="top"/>
    </xf>
    <xf numFmtId="0" fontId="25" fillId="10" borderId="5990" applyNumberFormat="0" applyProtection="0">
      <alignment horizontal="left" vertical="top"/>
    </xf>
    <xf numFmtId="0" fontId="25" fillId="10" borderId="5989" applyNumberFormat="0" applyProtection="0">
      <alignment horizontal="left" vertical="top"/>
    </xf>
    <xf numFmtId="0" fontId="25" fillId="10" borderId="5988" applyNumberFormat="0" applyProtection="0">
      <alignment horizontal="left" vertical="top"/>
    </xf>
    <xf numFmtId="180" fontId="9" fillId="3" borderId="6653">
      <alignment horizontal="right" vertical="center"/>
    </xf>
    <xf numFmtId="0" fontId="12" fillId="0" borderId="6653" applyNumberFormat="0" applyFill="0" applyBorder="0" applyAlignment="0" applyProtection="0">
      <alignment horizontal="center"/>
    </xf>
    <xf numFmtId="264" fontId="12" fillId="14" borderId="6653" applyFont="0" applyFill="0" applyBorder="0" applyAlignment="0" applyProtection="0">
      <alignment horizontal="right"/>
    </xf>
    <xf numFmtId="312" fontId="25" fillId="10" borderId="6865" applyNumberFormat="0" applyProtection="0">
      <alignment horizontal="left" vertical="top"/>
    </xf>
    <xf numFmtId="0" fontId="214" fillId="0" borderId="5987" applyNumberFormat="0" applyFont="0" applyFill="0" applyAlignment="0" applyProtection="0"/>
    <xf numFmtId="0" fontId="210" fillId="0" borderId="6053" applyNumberFormat="0" applyFill="0" applyBorder="0" applyAlignment="0">
      <protection locked="0"/>
    </xf>
    <xf numFmtId="264" fontId="12" fillId="14" borderId="6053" applyFont="0" applyFill="0" applyBorder="0" applyAlignment="0" applyProtection="0">
      <alignment horizontal="right"/>
    </xf>
    <xf numFmtId="222" fontId="79" fillId="0" borderId="6724" applyBorder="0"/>
    <xf numFmtId="0" fontId="166" fillId="0" borderId="6053">
      <alignment horizontal="center"/>
    </xf>
    <xf numFmtId="0" fontId="165" fillId="0" borderId="6053" applyFill="0" applyProtection="0">
      <alignment horizontal="center"/>
    </xf>
    <xf numFmtId="0" fontId="75" fillId="0" borderId="6702" applyNumberFormat="0" applyFont="0" applyFill="0" applyAlignment="0" applyProtection="0"/>
    <xf numFmtId="186" fontId="140" fillId="3" borderId="5985">
      <alignment horizontal="center" vertical="center"/>
    </xf>
    <xf numFmtId="186" fontId="146" fillId="3" borderId="6053" applyBorder="0">
      <alignment horizontal="left" vertical="center"/>
    </xf>
    <xf numFmtId="180" fontId="9" fillId="3" borderId="6053">
      <alignment horizontal="right" vertical="center"/>
    </xf>
    <xf numFmtId="192" fontId="9" fillId="3" borderId="6053">
      <alignment horizontal="right" vertical="center"/>
    </xf>
    <xf numFmtId="248" fontId="46" fillId="0" borderId="6053"/>
    <xf numFmtId="0" fontId="78" fillId="14" borderId="5983" applyFont="0" applyFill="0" applyBorder="0" applyAlignment="0" applyProtection="0"/>
    <xf numFmtId="0" fontId="12" fillId="0" borderId="6053" applyNumberFormat="0" applyFill="0" applyBorder="0" applyAlignment="0" applyProtection="0">
      <alignment horizontal="center"/>
    </xf>
    <xf numFmtId="0" fontId="113" fillId="0" borderId="6053" applyNumberFormat="0" applyFill="0" applyAlignment="0" applyProtection="0"/>
    <xf numFmtId="186" fontId="146" fillId="3" borderId="6725" applyBorder="0">
      <alignment horizontal="left" vertical="center"/>
    </xf>
    <xf numFmtId="222" fontId="79" fillId="0" borderId="6052" applyBorder="0"/>
    <xf numFmtId="0" fontId="101" fillId="0" borderId="6053" applyBorder="0"/>
    <xf numFmtId="0" fontId="165" fillId="0" borderId="6653" applyFill="0" applyProtection="0">
      <alignment horizontal="center"/>
    </xf>
    <xf numFmtId="0" fontId="25" fillId="10" borderId="6000" applyNumberFormat="0" applyProtection="0">
      <alignment horizontal="left" vertical="top"/>
    </xf>
    <xf numFmtId="0" fontId="25" fillId="10" borderId="6060" applyNumberFormat="0" applyProtection="0">
      <alignment horizontal="left" vertical="top"/>
    </xf>
    <xf numFmtId="0" fontId="25" fillId="10" borderId="6061" applyNumberFormat="0" applyProtection="0">
      <alignment horizontal="left" vertical="top"/>
    </xf>
    <xf numFmtId="0" fontId="25" fillId="10" borderId="6062" applyNumberFormat="0" applyProtection="0">
      <alignment horizontal="left" vertical="top"/>
    </xf>
    <xf numFmtId="0" fontId="25" fillId="10" borderId="6063" applyNumberFormat="0" applyProtection="0">
      <alignment horizontal="left" vertical="top"/>
    </xf>
    <xf numFmtId="312" fontId="242" fillId="0" borderId="6725">
      <alignment horizontal="center"/>
    </xf>
    <xf numFmtId="246" fontId="250" fillId="0" borderId="6665" applyFill="0" applyProtection="0">
      <alignment horizontal="center"/>
    </xf>
    <xf numFmtId="264" fontId="12" fillId="14" borderId="6725" applyFont="0" applyFill="0" applyBorder="0" applyAlignment="0" applyProtection="0">
      <alignment horizontal="right"/>
    </xf>
    <xf numFmtId="0" fontId="113" fillId="0" borderId="6713" applyNumberFormat="0" applyFill="0" applyAlignment="0" applyProtection="0"/>
    <xf numFmtId="186" fontId="146" fillId="3" borderId="6689" applyBorder="0">
      <alignment horizontal="left" vertical="center"/>
    </xf>
    <xf numFmtId="264" fontId="12" fillId="14" borderId="6653" applyFont="0" applyFill="0" applyBorder="0" applyAlignment="0" applyProtection="0">
      <alignment horizontal="right"/>
    </xf>
    <xf numFmtId="312" fontId="25" fillId="10" borderId="6708" applyNumberFormat="0" applyProtection="0">
      <alignment horizontal="left" vertical="top"/>
    </xf>
    <xf numFmtId="0" fontId="25" fillId="10" borderId="6735" applyNumberFormat="0" applyProtection="0">
      <alignment horizontal="left" vertical="top"/>
    </xf>
    <xf numFmtId="0" fontId="166" fillId="0" borderId="6725">
      <alignment horizontal="center"/>
    </xf>
    <xf numFmtId="186" fontId="146" fillId="3" borderId="6728">
      <alignment horizontal="left"/>
    </xf>
    <xf numFmtId="0" fontId="166" fillId="0" borderId="6725">
      <alignment horizontal="center"/>
    </xf>
    <xf numFmtId="186" fontId="140" fillId="3" borderId="6669">
      <alignment horizontal="center" vertical="center"/>
    </xf>
    <xf numFmtId="0" fontId="113" fillId="0" borderId="6665" applyNumberFormat="0" applyFill="0" applyAlignment="0" applyProtection="0"/>
    <xf numFmtId="0" fontId="101" fillId="0" borderId="6653" applyBorder="0"/>
    <xf numFmtId="264" fontId="12" fillId="14" borderId="6701" applyFont="0" applyFill="0" applyBorder="0" applyAlignment="0" applyProtection="0">
      <alignment horizontal="right"/>
    </xf>
    <xf numFmtId="0" fontId="75" fillId="0" borderId="6666" applyNumberFormat="0" applyFont="0" applyFill="0" applyAlignment="0" applyProtection="0"/>
    <xf numFmtId="180" fontId="9" fillId="3" borderId="6725">
      <alignment horizontal="right" vertical="center"/>
    </xf>
    <xf numFmtId="312" fontId="78" fillId="14" borderId="5995" applyFont="0" applyFill="0" applyBorder="0" applyAlignment="0" applyProtection="0"/>
    <xf numFmtId="312" fontId="165" fillId="0" borderId="6725" applyFill="0" applyProtection="0">
      <alignment horizontal="center"/>
    </xf>
    <xf numFmtId="0" fontId="214" fillId="0" borderId="6659" applyNumberFormat="0" applyFont="0" applyFill="0" applyAlignment="0" applyProtection="0"/>
    <xf numFmtId="0" fontId="2" fillId="0" borderId="6658" applyNumberFormat="0" applyAlignment="0" applyProtection="0"/>
    <xf numFmtId="246" fontId="250" fillId="0" borderId="5993" applyFill="0" applyProtection="0">
      <alignment horizontal="center"/>
    </xf>
    <xf numFmtId="246" fontId="249" fillId="0" borderId="5993" applyFill="0" applyProtection="0">
      <alignment horizontal="center"/>
    </xf>
    <xf numFmtId="0" fontId="241" fillId="94" borderId="5993" applyBorder="0" applyProtection="0">
      <alignment horizontal="centerContinuous" vertical="center"/>
    </xf>
    <xf numFmtId="254" fontId="240" fillId="0" borderId="5993" applyBorder="0" applyProtection="0">
      <alignment horizontal="right" vertical="center"/>
    </xf>
    <xf numFmtId="0" fontId="210" fillId="0" borderId="5993" applyNumberFormat="0" applyFill="0" applyBorder="0" applyAlignment="0">
      <protection locked="0"/>
    </xf>
    <xf numFmtId="264" fontId="12" fillId="14" borderId="5993" applyFont="0" applyFill="0" applyBorder="0" applyAlignment="0" applyProtection="0">
      <alignment horizontal="right"/>
    </xf>
    <xf numFmtId="0" fontId="166" fillId="0" borderId="5993">
      <alignment horizontal="center"/>
    </xf>
    <xf numFmtId="0" fontId="165" fillId="0" borderId="5993" applyFill="0" applyProtection="0">
      <alignment horizontal="center"/>
    </xf>
    <xf numFmtId="186" fontId="146" fillId="3" borderId="5993" applyBorder="0">
      <alignment horizontal="left" vertical="center"/>
    </xf>
    <xf numFmtId="180" fontId="9" fillId="3" borderId="5993">
      <alignment horizontal="right" vertical="center"/>
    </xf>
    <xf numFmtId="192" fontId="9" fillId="3" borderId="5993">
      <alignment horizontal="right" vertical="center"/>
    </xf>
    <xf numFmtId="248" fontId="46" fillId="0" borderId="5993"/>
    <xf numFmtId="0" fontId="12" fillId="0" borderId="5993" applyNumberFormat="0" applyFill="0" applyBorder="0" applyAlignment="0" applyProtection="0">
      <alignment horizontal="center"/>
    </xf>
    <xf numFmtId="0" fontId="113" fillId="0" borderId="5993" applyNumberFormat="0" applyFill="0" applyAlignment="0" applyProtection="0"/>
    <xf numFmtId="222" fontId="79" fillId="0" borderId="5992" applyBorder="0"/>
    <xf numFmtId="0" fontId="101" fillId="0" borderId="5993" applyBorder="0"/>
    <xf numFmtId="0" fontId="166" fillId="0" borderId="6725">
      <alignment horizontal="center"/>
    </xf>
    <xf numFmtId="0" fontId="241" fillId="94" borderId="6725" applyBorder="0" applyProtection="0">
      <alignment horizontal="centerContinuous" vertical="center"/>
    </xf>
    <xf numFmtId="312" fontId="12" fillId="0" borderId="6725" applyNumberFormat="0" applyFill="0" applyBorder="0" applyAlignment="0" applyProtection="0">
      <alignment horizontal="center"/>
    </xf>
    <xf numFmtId="246" fontId="250" fillId="0" borderId="6725" applyFill="0" applyProtection="0">
      <alignment horizontal="center"/>
    </xf>
    <xf numFmtId="246" fontId="250" fillId="0" borderId="5993" applyFill="0" applyProtection="0">
      <alignment horizontal="center"/>
    </xf>
    <xf numFmtId="246" fontId="249" fillId="0" borderId="5993" applyFill="0" applyProtection="0">
      <alignment horizontal="center"/>
    </xf>
    <xf numFmtId="0" fontId="241" fillId="94" borderId="5993" applyBorder="0" applyProtection="0">
      <alignment horizontal="centerContinuous" vertical="center"/>
    </xf>
    <xf numFmtId="254" fontId="240" fillId="0" borderId="5993" applyBorder="0" applyProtection="0">
      <alignment horizontal="right" vertical="center"/>
    </xf>
    <xf numFmtId="264" fontId="12" fillId="14" borderId="6653" applyFont="0" applyFill="0" applyBorder="0" applyAlignment="0" applyProtection="0">
      <alignment horizontal="right"/>
    </xf>
    <xf numFmtId="180" fontId="9" fillId="3" borderId="6653">
      <alignment horizontal="right" vertical="center"/>
    </xf>
    <xf numFmtId="222" fontId="79" fillId="0" borderId="6832" applyBorder="0"/>
    <xf numFmtId="0" fontId="210" fillId="0" borderId="5993" applyNumberFormat="0" applyFill="0" applyBorder="0" applyAlignment="0">
      <protection locked="0"/>
    </xf>
    <xf numFmtId="264" fontId="12" fillId="14" borderId="5993" applyFont="0" applyFill="0" applyBorder="0" applyAlignment="0" applyProtection="0">
      <alignment horizontal="right"/>
    </xf>
    <xf numFmtId="0" fontId="166" fillId="0" borderId="5993">
      <alignment horizontal="center"/>
    </xf>
    <xf numFmtId="0" fontId="165" fillId="0" borderId="5993" applyFill="0" applyProtection="0">
      <alignment horizontal="center"/>
    </xf>
    <xf numFmtId="312" fontId="12" fillId="0" borderId="6725" applyNumberFormat="0" applyFill="0" applyBorder="0" applyAlignment="0" applyProtection="0">
      <alignment horizontal="center"/>
    </xf>
    <xf numFmtId="186" fontId="146" fillId="3" borderId="5993" applyBorder="0">
      <alignment horizontal="left" vertical="center"/>
    </xf>
    <xf numFmtId="180" fontId="9" fillId="3" borderId="5993">
      <alignment horizontal="right" vertical="center"/>
    </xf>
    <xf numFmtId="192" fontId="9" fillId="3" borderId="5993">
      <alignment horizontal="right" vertical="center"/>
    </xf>
    <xf numFmtId="0" fontId="12" fillId="0" borderId="5993" applyNumberFormat="0" applyFill="0" applyBorder="0" applyAlignment="0" applyProtection="0">
      <alignment horizontal="center"/>
    </xf>
    <xf numFmtId="0" fontId="113" fillId="0" borderId="5993" applyNumberFormat="0" applyFill="0" applyAlignment="0" applyProtection="0"/>
    <xf numFmtId="222" fontId="79" fillId="0" borderId="5992" applyBorder="0"/>
    <xf numFmtId="0" fontId="101" fillId="0" borderId="5993" applyBorder="0"/>
    <xf numFmtId="254" fontId="240" fillId="0" borderId="6725" applyBorder="0" applyProtection="0">
      <alignment horizontal="right" vertical="center"/>
    </xf>
    <xf numFmtId="248" fontId="46" fillId="0" borderId="5993"/>
    <xf numFmtId="0" fontId="210" fillId="0" borderId="6725" applyNumberFormat="0" applyFill="0" applyBorder="0" applyAlignment="0">
      <protection locked="0"/>
    </xf>
    <xf numFmtId="246" fontId="250" fillId="0" borderId="5993" applyFill="0" applyProtection="0">
      <alignment horizontal="center"/>
    </xf>
    <xf numFmtId="246" fontId="249" fillId="0" borderId="5993" applyFill="0" applyProtection="0">
      <alignment horizontal="center"/>
    </xf>
    <xf numFmtId="0" fontId="241" fillId="94" borderId="5993" applyBorder="0" applyProtection="0">
      <alignment horizontal="centerContinuous" vertical="center"/>
    </xf>
    <xf numFmtId="254" fontId="240" fillId="0" borderId="5993" applyBorder="0" applyProtection="0">
      <alignment horizontal="right" vertical="center"/>
    </xf>
    <xf numFmtId="0" fontId="210" fillId="0" borderId="5993" applyNumberFormat="0" applyFill="0" applyBorder="0" applyAlignment="0">
      <protection locked="0"/>
    </xf>
    <xf numFmtId="264" fontId="12" fillId="14" borderId="5993" applyFont="0" applyFill="0" applyBorder="0" applyAlignment="0" applyProtection="0">
      <alignment horizontal="right"/>
    </xf>
    <xf numFmtId="0" fontId="166" fillId="0" borderId="5993">
      <alignment horizontal="center"/>
    </xf>
    <xf numFmtId="0" fontId="165" fillId="0" borderId="5993" applyFill="0" applyProtection="0">
      <alignment horizontal="center"/>
    </xf>
    <xf numFmtId="186" fontId="146" fillId="3" borderId="5993" applyBorder="0">
      <alignment horizontal="left" vertical="center"/>
    </xf>
    <xf numFmtId="180" fontId="9" fillId="3" borderId="5993">
      <alignment horizontal="right" vertical="center"/>
    </xf>
    <xf numFmtId="192" fontId="9" fillId="3" borderId="5993">
      <alignment horizontal="right" vertical="center"/>
    </xf>
    <xf numFmtId="248" fontId="46" fillId="0" borderId="5993"/>
    <xf numFmtId="0" fontId="12" fillId="0" borderId="5993" applyNumberFormat="0" applyFill="0" applyBorder="0" applyAlignment="0" applyProtection="0">
      <alignment horizontal="center"/>
    </xf>
    <xf numFmtId="0" fontId="113" fillId="0" borderId="5993" applyNumberFormat="0" applyFill="0" applyAlignment="0" applyProtection="0"/>
    <xf numFmtId="222" fontId="79" fillId="0" borderId="5992" applyBorder="0"/>
    <xf numFmtId="0" fontId="101" fillId="0" borderId="5993" applyBorder="0"/>
    <xf numFmtId="0" fontId="165" fillId="0" borderId="6725" applyFill="0" applyProtection="0">
      <alignment horizontal="center"/>
    </xf>
    <xf numFmtId="312" fontId="214" fillId="0" borderId="6191" applyNumberFormat="0" applyFont="0" applyFill="0" applyAlignment="0" applyProtection="0"/>
    <xf numFmtId="312" fontId="2" fillId="0" borderId="6190" applyNumberFormat="0" applyAlignment="0" applyProtection="0"/>
    <xf numFmtId="312" fontId="210" fillId="0" borderId="6209" applyNumberFormat="0" applyFill="0" applyBorder="0" applyAlignment="0">
      <protection locked="0"/>
    </xf>
    <xf numFmtId="312" fontId="165" fillId="0" borderId="6209" applyFill="0" applyProtection="0">
      <alignment horizontal="center"/>
    </xf>
    <xf numFmtId="312" fontId="12" fillId="0" borderId="6209" applyNumberFormat="0" applyFill="0" applyBorder="0" applyAlignment="0" applyProtection="0">
      <alignment horizontal="center"/>
    </xf>
    <xf numFmtId="312" fontId="113" fillId="0" borderId="6209" applyNumberFormat="0" applyFill="0" applyAlignment="0" applyProtection="0"/>
    <xf numFmtId="0" fontId="25" fillId="10" borderId="6193" applyNumberFormat="0" applyProtection="0">
      <alignment horizontal="left" vertical="top"/>
    </xf>
    <xf numFmtId="248" fontId="46" fillId="0" borderId="6209"/>
    <xf numFmtId="0" fontId="113" fillId="0" borderId="6209" applyNumberFormat="0" applyFill="0" applyAlignment="0" applyProtection="0"/>
    <xf numFmtId="222" fontId="79" fillId="0" borderId="6208" applyBorder="0"/>
    <xf numFmtId="0" fontId="101" fillId="0" borderId="6209" applyBorder="0"/>
    <xf numFmtId="190" fontId="25" fillId="10" borderId="6195" applyNumberFormat="0" applyProtection="0">
      <alignment horizontal="left" vertical="top"/>
    </xf>
    <xf numFmtId="190" fontId="2" fillId="0" borderId="6190" applyNumberFormat="0" applyAlignment="0" applyProtection="0"/>
    <xf numFmtId="190" fontId="166" fillId="0" borderId="6209">
      <alignment horizontal="center"/>
    </xf>
    <xf numFmtId="190" fontId="113" fillId="0" borderId="6209" applyNumberFormat="0" applyFill="0" applyAlignment="0" applyProtection="0"/>
    <xf numFmtId="190" fontId="101" fillId="0" borderId="6209" applyBorder="0"/>
    <xf numFmtId="246" fontId="249" fillId="0" borderId="6209" applyFill="0" applyProtection="0">
      <alignment horizontal="center"/>
    </xf>
    <xf numFmtId="0" fontId="241" fillId="94" borderId="6209" applyBorder="0" applyProtection="0">
      <alignment horizontal="centerContinuous" vertical="center"/>
    </xf>
    <xf numFmtId="254" fontId="240" fillId="0" borderId="6209" applyBorder="0" applyProtection="0">
      <alignment horizontal="right" vertical="center"/>
    </xf>
    <xf numFmtId="0" fontId="25" fillId="10" borderId="6219" applyNumberFormat="0" applyProtection="0">
      <alignment horizontal="left" vertical="top"/>
    </xf>
    <xf numFmtId="0" fontId="25" fillId="10" borderId="6218" applyNumberFormat="0" applyProtection="0">
      <alignment horizontal="left" vertical="top"/>
    </xf>
    <xf numFmtId="0" fontId="25" fillId="10" borderId="6217" applyNumberFormat="0" applyProtection="0">
      <alignment horizontal="left" vertical="top"/>
    </xf>
    <xf numFmtId="0" fontId="25" fillId="10" borderId="6216" applyNumberFormat="0" applyProtection="0">
      <alignment horizontal="left" vertical="top"/>
    </xf>
    <xf numFmtId="0" fontId="25" fillId="10" borderId="6219" applyNumberFormat="0" applyProtection="0">
      <alignment horizontal="left" vertical="top"/>
    </xf>
    <xf numFmtId="0" fontId="25" fillId="10" borderId="6218" applyNumberFormat="0" applyProtection="0">
      <alignment horizontal="left" vertical="top"/>
    </xf>
    <xf numFmtId="0" fontId="25" fillId="10" borderId="6217" applyNumberFormat="0" applyProtection="0">
      <alignment horizontal="left" vertical="top"/>
    </xf>
    <xf numFmtId="0" fontId="25" fillId="10" borderId="6216" applyNumberFormat="0" applyProtection="0">
      <alignment horizontal="left" vertical="top"/>
    </xf>
    <xf numFmtId="0" fontId="214" fillId="0" borderId="6215" applyNumberFormat="0" applyFont="0" applyFill="0" applyAlignment="0" applyProtection="0"/>
    <xf numFmtId="0" fontId="2" fillId="0" borderId="6214" applyNumberFormat="0" applyAlignment="0" applyProtection="0"/>
    <xf numFmtId="0" fontId="210" fillId="0" borderId="6209" applyNumberFormat="0" applyFill="0" applyBorder="0" applyAlignment="0">
      <protection locked="0"/>
    </xf>
    <xf numFmtId="264" fontId="12" fillId="14" borderId="6209" applyFont="0" applyFill="0" applyBorder="0" applyAlignment="0" applyProtection="0">
      <alignment horizontal="right"/>
    </xf>
    <xf numFmtId="0" fontId="166" fillId="0" borderId="6209">
      <alignment horizontal="center"/>
    </xf>
    <xf numFmtId="0" fontId="165" fillId="0" borderId="6209" applyFill="0" applyProtection="0">
      <alignment horizontal="center"/>
    </xf>
    <xf numFmtId="0" fontId="12" fillId="0" borderId="6209" applyNumberFormat="0" applyFill="0" applyBorder="0" applyAlignment="0" applyProtection="0">
      <alignment horizontal="center"/>
    </xf>
    <xf numFmtId="248" fontId="46" fillId="0" borderId="6209"/>
    <xf numFmtId="222" fontId="79" fillId="0" borderId="6208" applyBorder="0"/>
    <xf numFmtId="0" fontId="113" fillId="0" borderId="6209" applyNumberFormat="0" applyFill="0" applyAlignment="0" applyProtection="0"/>
    <xf numFmtId="0" fontId="12" fillId="0" borderId="6209" applyNumberFormat="0" applyFill="0" applyBorder="0" applyAlignment="0" applyProtection="0">
      <alignment horizontal="center"/>
    </xf>
    <xf numFmtId="192" fontId="9" fillId="3" borderId="6209">
      <alignment horizontal="right" vertical="center"/>
    </xf>
    <xf numFmtId="180" fontId="9" fillId="3" borderId="6209">
      <alignment horizontal="right" vertical="center"/>
    </xf>
    <xf numFmtId="0" fontId="166" fillId="0" borderId="6209">
      <alignment horizontal="center"/>
    </xf>
    <xf numFmtId="264" fontId="12" fillId="14" borderId="6209" applyFont="0" applyFill="0" applyBorder="0" applyAlignment="0" applyProtection="0">
      <alignment horizontal="right"/>
    </xf>
    <xf numFmtId="246" fontId="249" fillId="0" borderId="6209" applyFill="0" applyProtection="0">
      <alignment horizontal="center"/>
    </xf>
    <xf numFmtId="0" fontId="78" fillId="14" borderId="6211" applyFont="0" applyFill="0" applyBorder="0" applyAlignment="0" applyProtection="0"/>
    <xf numFmtId="246" fontId="250" fillId="0" borderId="6197" applyFill="0" applyProtection="0">
      <alignment horizontal="center"/>
    </xf>
    <xf numFmtId="246" fontId="249" fillId="0" borderId="6197" applyFill="0" applyProtection="0">
      <alignment horizontal="center"/>
    </xf>
    <xf numFmtId="0" fontId="166" fillId="0" borderId="6197">
      <alignment horizontal="center"/>
    </xf>
    <xf numFmtId="180" fontId="9" fillId="3" borderId="6197">
      <alignment horizontal="right" vertical="center"/>
    </xf>
    <xf numFmtId="192" fontId="9" fillId="3" borderId="6197">
      <alignment horizontal="right" vertical="center"/>
    </xf>
    <xf numFmtId="0" fontId="113" fillId="0" borderId="6197" applyNumberFormat="0" applyFill="0" applyAlignment="0" applyProtection="0"/>
    <xf numFmtId="222" fontId="79" fillId="0" borderId="6196" applyBorder="0"/>
    <xf numFmtId="0" fontId="101" fillId="0" borderId="6197" applyBorder="0"/>
    <xf numFmtId="186" fontId="146" fillId="3" borderId="6188">
      <alignment horizontal="left"/>
    </xf>
    <xf numFmtId="0" fontId="214" fillId="0" borderId="6191" applyNumberFormat="0" applyFont="0" applyFill="0" applyAlignment="0" applyProtection="0"/>
    <xf numFmtId="0" fontId="25" fillId="10" borderId="6194" applyNumberFormat="0" applyProtection="0">
      <alignment horizontal="left" vertical="top"/>
    </xf>
    <xf numFmtId="222" fontId="79" fillId="0" borderId="6184" applyBorder="0"/>
    <xf numFmtId="0" fontId="241" fillId="94" borderId="6173" applyBorder="0" applyProtection="0">
      <alignment horizontal="centerContinuous" vertical="center"/>
    </xf>
    <xf numFmtId="264" fontId="12" fillId="14" borderId="6173" applyFont="0" applyFill="0" applyBorder="0" applyAlignment="0" applyProtection="0">
      <alignment horizontal="right"/>
    </xf>
    <xf numFmtId="186" fontId="146" fillId="3" borderId="6173" applyBorder="0">
      <alignment horizontal="left" vertical="center"/>
    </xf>
    <xf numFmtId="248" fontId="46" fillId="0" borderId="6173"/>
    <xf numFmtId="222" fontId="79" fillId="0" borderId="6172" applyBorder="0"/>
    <xf numFmtId="0" fontId="75" fillId="0" borderId="6162" applyNumberFormat="0" applyFont="0" applyFill="0" applyAlignment="0" applyProtection="0"/>
    <xf numFmtId="0" fontId="2" fillId="0" borderId="6166" applyNumberFormat="0" applyAlignment="0" applyProtection="0"/>
    <xf numFmtId="0" fontId="78" fillId="14" borderId="6151" applyFont="0" applyFill="0" applyBorder="0" applyAlignment="0" applyProtection="0"/>
    <xf numFmtId="0" fontId="166" fillId="0" borderId="6149">
      <alignment horizontal="center"/>
    </xf>
    <xf numFmtId="180" fontId="9" fillId="3" borderId="6149">
      <alignment horizontal="right" vertical="center"/>
    </xf>
    <xf numFmtId="192" fontId="9" fillId="3" borderId="6149">
      <alignment horizontal="right" vertical="center"/>
    </xf>
    <xf numFmtId="248" fontId="46" fillId="0" borderId="6149"/>
    <xf numFmtId="0" fontId="12" fillId="0" borderId="6149" applyNumberFormat="0" applyFill="0" applyBorder="0" applyAlignment="0" applyProtection="0">
      <alignment horizontal="center"/>
    </xf>
    <xf numFmtId="0" fontId="113" fillId="0" borderId="6149" applyNumberFormat="0" applyFill="0" applyAlignment="0" applyProtection="0"/>
    <xf numFmtId="222" fontId="79" fillId="0" borderId="6160" applyBorder="0"/>
    <xf numFmtId="0" fontId="25" fillId="10" borderId="6159" applyNumberFormat="0" applyProtection="0">
      <alignment horizontal="left" vertical="top"/>
    </xf>
    <xf numFmtId="186" fontId="146" fillId="3" borderId="6152">
      <alignment horizontal="left"/>
    </xf>
    <xf numFmtId="186" fontId="140" fillId="3" borderId="6153">
      <alignment horizontal="center" vertical="center"/>
    </xf>
    <xf numFmtId="0" fontId="2" fillId="0" borderId="6154" applyNumberFormat="0" applyAlignment="0" applyProtection="0"/>
    <xf numFmtId="0" fontId="25" fillId="10" borderId="6156" applyNumberFormat="0" applyProtection="0">
      <alignment horizontal="left" vertical="top"/>
    </xf>
    <xf numFmtId="0" fontId="25" fillId="10" borderId="6158" applyNumberFormat="0" applyProtection="0">
      <alignment horizontal="left" vertical="top"/>
    </xf>
    <xf numFmtId="0" fontId="25" fillId="10" borderId="6159" applyNumberFormat="0" applyProtection="0">
      <alignment horizontal="left" vertical="top"/>
    </xf>
    <xf numFmtId="222" fontId="79" fillId="0" borderId="6160" applyBorder="0"/>
    <xf numFmtId="0" fontId="78" fillId="14" borderId="6151" applyFont="0" applyFill="0" applyBorder="0" applyAlignment="0" applyProtection="0"/>
    <xf numFmtId="222" fontId="79" fillId="0" borderId="6160" applyBorder="0"/>
    <xf numFmtId="0" fontId="25" fillId="10" borderId="6158" applyNumberFormat="0" applyProtection="0">
      <alignment horizontal="left" vertical="top"/>
    </xf>
    <xf numFmtId="0" fontId="25" fillId="10" borderId="6156" applyNumberFormat="0" applyProtection="0">
      <alignment horizontal="left" vertical="top"/>
    </xf>
    <xf numFmtId="0" fontId="214" fillId="0" borderId="6155" applyNumberFormat="0" applyFont="0" applyFill="0" applyAlignment="0" applyProtection="0"/>
    <xf numFmtId="186" fontId="146" fillId="3" borderId="6152">
      <alignment horizontal="left"/>
    </xf>
    <xf numFmtId="0" fontId="101" fillId="0" borderId="6149" applyBorder="0"/>
    <xf numFmtId="180" fontId="9" fillId="3" borderId="6149">
      <alignment horizontal="right" vertical="center"/>
    </xf>
    <xf numFmtId="0" fontId="166" fillId="0" borderId="6149">
      <alignment horizontal="center"/>
    </xf>
    <xf numFmtId="264" fontId="12" fillId="14" borderId="6149" applyFont="0" applyFill="0" applyBorder="0" applyAlignment="0" applyProtection="0">
      <alignment horizontal="right"/>
    </xf>
    <xf numFmtId="0" fontId="210" fillId="0" borderId="6149" applyNumberFormat="0" applyFill="0" applyBorder="0" applyAlignment="0">
      <protection locked="0"/>
    </xf>
    <xf numFmtId="222" fontId="79" fillId="0" borderId="6160" applyBorder="0"/>
    <xf numFmtId="0" fontId="2" fillId="0" borderId="6154" applyNumberFormat="0" applyAlignment="0" applyProtection="0"/>
    <xf numFmtId="0" fontId="214" fillId="0" borderId="6155" applyNumberFormat="0" applyFont="0" applyFill="0" applyAlignment="0" applyProtection="0"/>
    <xf numFmtId="0" fontId="25" fillId="10" borderId="6158" applyNumberFormat="0" applyProtection="0">
      <alignment horizontal="left" vertical="top"/>
    </xf>
    <xf numFmtId="0" fontId="78" fillId="14" borderId="6151" applyFont="0" applyFill="0" applyBorder="0" applyAlignment="0" applyProtection="0"/>
    <xf numFmtId="0" fontId="113" fillId="0" borderId="6149" applyNumberFormat="0" applyFill="0" applyAlignment="0" applyProtection="0"/>
    <xf numFmtId="192" fontId="9" fillId="3" borderId="6149">
      <alignment horizontal="right" vertical="center"/>
    </xf>
    <xf numFmtId="180" fontId="9" fillId="3" borderId="6149">
      <alignment horizontal="right" vertical="center"/>
    </xf>
    <xf numFmtId="186" fontId="146" fillId="3" borderId="6149" applyBorder="0">
      <alignment horizontal="left" vertical="center"/>
    </xf>
    <xf numFmtId="264" fontId="12" fillId="14" borderId="6149" applyFont="0" applyFill="0" applyBorder="0" applyAlignment="0" applyProtection="0">
      <alignment horizontal="right"/>
    </xf>
    <xf numFmtId="0" fontId="210" fillId="0" borderId="6149" applyNumberFormat="0" applyFill="0" applyBorder="0" applyAlignment="0">
      <protection locked="0"/>
    </xf>
    <xf numFmtId="254" fontId="240" fillId="0" borderId="6149" applyBorder="0" applyProtection="0">
      <alignment horizontal="right" vertical="center"/>
    </xf>
    <xf numFmtId="0" fontId="241" fillId="94" borderId="6149" applyBorder="0" applyProtection="0">
      <alignment horizontal="centerContinuous" vertical="center"/>
    </xf>
    <xf numFmtId="246" fontId="249" fillId="0" borderId="6149" applyFill="0" applyProtection="0">
      <alignment horizontal="center"/>
    </xf>
    <xf numFmtId="246" fontId="250" fillId="0" borderId="6149" applyFill="0" applyProtection="0">
      <alignment horizontal="center"/>
    </xf>
    <xf numFmtId="0" fontId="75" fillId="0" borderId="6150" applyNumberFormat="0" applyFont="0" applyFill="0" applyAlignment="0" applyProtection="0"/>
    <xf numFmtId="186" fontId="146" fillId="3" borderId="6200">
      <alignment horizontal="left"/>
    </xf>
    <xf numFmtId="186" fontId="146" fillId="3" borderId="6152">
      <alignment horizontal="left"/>
    </xf>
    <xf numFmtId="186" fontId="140" fillId="3" borderId="6153">
      <alignment horizontal="center" vertical="center"/>
    </xf>
    <xf numFmtId="0" fontId="2" fillId="0" borderId="6154" applyNumberFormat="0" applyAlignment="0" applyProtection="0"/>
    <xf numFmtId="0" fontId="25" fillId="10" borderId="6156" applyNumberFormat="0" applyProtection="0">
      <alignment horizontal="left" vertical="top"/>
    </xf>
    <xf numFmtId="0" fontId="25" fillId="10" borderId="6157" applyNumberFormat="0" applyProtection="0">
      <alignment horizontal="left" vertical="top"/>
    </xf>
    <xf numFmtId="0" fontId="78" fillId="14" borderId="6151" applyFont="0" applyFill="0" applyBorder="0" applyAlignment="0" applyProtection="0"/>
    <xf numFmtId="0" fontId="78" fillId="14" borderId="6175" applyFont="0" applyFill="0" applyBorder="0" applyAlignment="0" applyProtection="0"/>
    <xf numFmtId="0" fontId="214" fillId="0" borderId="6179" applyNumberFormat="0" applyFont="0" applyFill="0" applyAlignment="0" applyProtection="0"/>
    <xf numFmtId="186" fontId="146" fillId="3" borderId="6185" applyBorder="0">
      <alignment horizontal="left" vertical="center"/>
    </xf>
    <xf numFmtId="0" fontId="166" fillId="0" borderId="6185">
      <alignment horizontal="center"/>
    </xf>
    <xf numFmtId="254" fontId="240" fillId="0" borderId="6161" applyBorder="0" applyProtection="0">
      <alignment horizontal="right" vertical="center"/>
    </xf>
    <xf numFmtId="222" fontId="79" fillId="0" borderId="6160" applyBorder="0"/>
    <xf numFmtId="0" fontId="25" fillId="10" borderId="6205" applyNumberFormat="0" applyProtection="0">
      <alignment horizontal="left" vertical="top"/>
    </xf>
    <xf numFmtId="246" fontId="249" fillId="0" borderId="6149" applyFill="0" applyProtection="0">
      <alignment horizontal="center"/>
    </xf>
    <xf numFmtId="0" fontId="25" fillId="10" borderId="6181" applyNumberFormat="0" applyProtection="0">
      <alignment horizontal="left" vertical="top"/>
    </xf>
    <xf numFmtId="186" fontId="146" fillId="3" borderId="6176">
      <alignment horizontal="left"/>
    </xf>
    <xf numFmtId="0" fontId="25" fillId="10" borderId="6182" applyNumberFormat="0" applyProtection="0">
      <alignment horizontal="left" vertical="top"/>
    </xf>
    <xf numFmtId="186" fontId="140" fillId="3" borderId="6177">
      <alignment horizontal="center" vertical="center"/>
    </xf>
    <xf numFmtId="222" fontId="79" fillId="0" borderId="6184" applyBorder="0"/>
    <xf numFmtId="248" fontId="46" fillId="0" borderId="6185"/>
    <xf numFmtId="264" fontId="12" fillId="14" borderId="6149" applyFont="0" applyFill="0" applyBorder="0" applyAlignment="0" applyProtection="0">
      <alignment horizontal="right"/>
    </xf>
    <xf numFmtId="0" fontId="166" fillId="0" borderId="6149">
      <alignment horizontal="center"/>
    </xf>
    <xf numFmtId="0" fontId="25" fillId="10" borderId="6159" applyNumberFormat="0" applyProtection="0">
      <alignment horizontal="left" vertical="top"/>
    </xf>
    <xf numFmtId="0" fontId="25" fillId="10" borderId="6157" applyNumberFormat="0" applyProtection="0">
      <alignment horizontal="left" vertical="top"/>
    </xf>
    <xf numFmtId="0" fontId="25" fillId="10" borderId="6156" applyNumberFormat="0" applyProtection="0">
      <alignment horizontal="left" vertical="top"/>
    </xf>
    <xf numFmtId="0" fontId="25" fillId="10" borderId="6159" applyNumberFormat="0" applyProtection="0">
      <alignment horizontal="left" vertical="top"/>
    </xf>
    <xf numFmtId="0" fontId="214" fillId="0" borderId="6155" applyNumberFormat="0" applyFont="0" applyFill="0" applyAlignment="0" applyProtection="0"/>
    <xf numFmtId="0" fontId="2" fillId="0" borderId="6154" applyNumberFormat="0" applyAlignment="0" applyProtection="0"/>
    <xf numFmtId="186" fontId="146" fillId="3" borderId="6152">
      <alignment horizontal="left"/>
    </xf>
    <xf numFmtId="0" fontId="75" fillId="0" borderId="6150" applyNumberFormat="0" applyFont="0" applyFill="0" applyAlignment="0" applyProtection="0"/>
    <xf numFmtId="0" fontId="25" fillId="10" borderId="6698" applyNumberFormat="0" applyProtection="0">
      <alignment horizontal="left" vertical="top"/>
    </xf>
    <xf numFmtId="186" fontId="146" fillId="3" borderId="6545" applyBorder="0">
      <alignment horizontal="left" vertical="center"/>
    </xf>
    <xf numFmtId="0" fontId="25" fillId="10" borderId="6552" applyNumberFormat="0" applyProtection="0">
      <alignment horizontal="left" vertical="top"/>
    </xf>
    <xf numFmtId="0" fontId="25" fillId="10" borderId="6554" applyNumberFormat="0" applyProtection="0">
      <alignment horizontal="left" vertical="top"/>
    </xf>
    <xf numFmtId="0" fontId="113" fillId="0" borderId="6545" applyNumberFormat="0" applyFill="0" applyAlignment="0" applyProtection="0"/>
    <xf numFmtId="0" fontId="165" fillId="0" borderId="6545" applyFill="0" applyProtection="0">
      <alignment horizontal="center"/>
    </xf>
    <xf numFmtId="0" fontId="25" fillId="10" borderId="6554" applyNumberFormat="0" applyProtection="0">
      <alignment horizontal="left" vertical="top"/>
    </xf>
    <xf numFmtId="248" fontId="46" fillId="0" borderId="6545"/>
    <xf numFmtId="0" fontId="2" fillId="0" borderId="6550" applyNumberFormat="0" applyAlignment="0" applyProtection="0"/>
    <xf numFmtId="254" fontId="240" fillId="0" borderId="6473" applyBorder="0" applyProtection="0">
      <alignment horizontal="right" vertical="center"/>
    </xf>
    <xf numFmtId="0" fontId="25" fillId="10" borderId="6552" applyNumberFormat="0" applyProtection="0">
      <alignment horizontal="left" vertical="top"/>
    </xf>
    <xf numFmtId="254" fontId="240" fillId="0" borderId="6509" applyBorder="0" applyProtection="0">
      <alignment horizontal="right" vertical="center"/>
    </xf>
    <xf numFmtId="0" fontId="101" fillId="0" borderId="6533" applyBorder="0"/>
    <xf numFmtId="186" fontId="146" fillId="3" borderId="6473" applyBorder="0">
      <alignment horizontal="left" vertical="center"/>
    </xf>
    <xf numFmtId="0" fontId="12" fillId="0" borderId="6185" applyNumberFormat="0" applyFill="0" applyBorder="0" applyAlignment="0" applyProtection="0">
      <alignment horizontal="center"/>
    </xf>
    <xf numFmtId="248" fontId="46" fillId="0" borderId="6149"/>
    <xf numFmtId="0" fontId="210" fillId="0" borderId="6209" applyNumberFormat="0" applyFill="0" applyBorder="0" applyAlignment="0">
      <protection locked="0"/>
    </xf>
    <xf numFmtId="186" fontId="140" fillId="3" borderId="6189">
      <alignment horizontal="center" vertical="center"/>
    </xf>
    <xf numFmtId="180" fontId="9" fillId="3" borderId="6149">
      <alignment horizontal="right" vertical="center"/>
    </xf>
    <xf numFmtId="0" fontId="25" fillId="10" borderId="6157" applyNumberFormat="0" applyProtection="0">
      <alignment horizontal="left" vertical="top"/>
    </xf>
    <xf numFmtId="222" fontId="79" fillId="0" borderId="6160" applyBorder="0"/>
    <xf numFmtId="0" fontId="12" fillId="0" borderId="6149" applyNumberFormat="0" applyFill="0" applyBorder="0" applyAlignment="0" applyProtection="0">
      <alignment horizontal="center"/>
    </xf>
    <xf numFmtId="0" fontId="165" fillId="0" borderId="6209" applyFill="0" applyProtection="0">
      <alignment horizontal="center"/>
    </xf>
    <xf numFmtId="222" fontId="79" fillId="0" borderId="6064" applyBorder="0"/>
    <xf numFmtId="0" fontId="101" fillId="0" borderId="6065" applyBorder="0"/>
    <xf numFmtId="222" fontId="79" fillId="0" borderId="6064" applyBorder="0"/>
    <xf numFmtId="0" fontId="113" fillId="0" borderId="6065" applyNumberFormat="0" applyFill="0" applyAlignment="0" applyProtection="0"/>
    <xf numFmtId="0" fontId="12" fillId="0" borderId="6065" applyNumberFormat="0" applyFill="0" applyBorder="0" applyAlignment="0" applyProtection="0">
      <alignment horizontal="center"/>
    </xf>
    <xf numFmtId="248" fontId="46" fillId="0" borderId="6065"/>
    <xf numFmtId="186" fontId="140" fillId="3" borderId="6213">
      <alignment horizontal="center" vertical="center"/>
    </xf>
    <xf numFmtId="0" fontId="75" fillId="0" borderId="6210" applyNumberFormat="0" applyFont="0" applyFill="0" applyAlignment="0" applyProtection="0"/>
    <xf numFmtId="192" fontId="9" fillId="3" borderId="6065">
      <alignment horizontal="right" vertical="center"/>
    </xf>
    <xf numFmtId="180" fontId="9" fillId="3" borderId="6065">
      <alignment horizontal="right" vertical="center"/>
    </xf>
    <xf numFmtId="186" fontId="146" fillId="3" borderId="6065" applyBorder="0">
      <alignment horizontal="left" vertical="center"/>
    </xf>
    <xf numFmtId="0" fontId="165" fillId="0" borderId="6209" applyFill="0" applyProtection="0">
      <alignment horizontal="center"/>
    </xf>
    <xf numFmtId="0" fontId="101" fillId="0" borderId="6149" applyBorder="0"/>
    <xf numFmtId="222" fontId="79" fillId="0" borderId="6160" applyBorder="0"/>
    <xf numFmtId="0" fontId="165" fillId="0" borderId="6065" applyFill="0" applyProtection="0">
      <alignment horizontal="center"/>
    </xf>
    <xf numFmtId="0" fontId="166" fillId="0" borderId="6065">
      <alignment horizontal="center"/>
    </xf>
    <xf numFmtId="222" fontId="79" fillId="0" borderId="6160" applyBorder="0"/>
    <xf numFmtId="264" fontId="12" fillId="14" borderId="6065" applyFont="0" applyFill="0" applyBorder="0" applyAlignment="0" applyProtection="0">
      <alignment horizontal="right"/>
    </xf>
    <xf numFmtId="0" fontId="25" fillId="10" borderId="6204" applyNumberFormat="0" applyProtection="0">
      <alignment horizontal="left" vertical="top"/>
    </xf>
    <xf numFmtId="0" fontId="101" fillId="0" borderId="6209" applyBorder="0"/>
    <xf numFmtId="186" fontId="146" fillId="3" borderId="6209" applyBorder="0">
      <alignment horizontal="left" vertical="center"/>
    </xf>
    <xf numFmtId="0" fontId="210" fillId="0" borderId="6065" applyNumberFormat="0" applyFill="0" applyBorder="0" applyAlignment="0">
      <protection locked="0"/>
    </xf>
    <xf numFmtId="222" fontId="79" fillId="0" borderId="6160" applyBorder="0"/>
    <xf numFmtId="254" fontId="240" fillId="0" borderId="6065" applyBorder="0" applyProtection="0">
      <alignment horizontal="right" vertical="center"/>
    </xf>
    <xf numFmtId="0" fontId="241" fillId="94" borderId="6065" applyBorder="0" applyProtection="0">
      <alignment horizontal="centerContinuous" vertical="center"/>
    </xf>
    <xf numFmtId="246" fontId="249" fillId="0" borderId="6065" applyFill="0" applyProtection="0">
      <alignment horizontal="center"/>
    </xf>
    <xf numFmtId="246" fontId="250" fillId="0" borderId="6065" applyFill="0" applyProtection="0">
      <alignment horizontal="center"/>
    </xf>
    <xf numFmtId="0" fontId="2" fillId="0" borderId="6178" applyNumberFormat="0" applyAlignment="0" applyProtection="0"/>
    <xf numFmtId="222" fontId="79" fillId="0" borderId="6160" applyBorder="0"/>
    <xf numFmtId="186" fontId="146" fillId="3" borderId="6152">
      <alignment horizontal="left"/>
    </xf>
    <xf numFmtId="254" fontId="240" fillId="0" borderId="6185" applyBorder="0" applyProtection="0">
      <alignment horizontal="right" vertical="center"/>
    </xf>
    <xf numFmtId="0" fontId="25" fillId="10" borderId="6192" applyNumberFormat="0" applyProtection="0">
      <alignment horizontal="left" vertical="top"/>
    </xf>
    <xf numFmtId="186" fontId="146" fillId="3" borderId="6209" applyBorder="0">
      <alignment horizontal="left" vertical="center"/>
    </xf>
    <xf numFmtId="0" fontId="210" fillId="0" borderId="6209" applyNumberFormat="0" applyFill="0" applyBorder="0" applyAlignment="0">
      <protection locked="0"/>
    </xf>
    <xf numFmtId="0" fontId="241" fillId="94" borderId="6197" applyBorder="0" applyProtection="0">
      <alignment horizontal="centerContinuous" vertical="center"/>
    </xf>
    <xf numFmtId="0" fontId="214" fillId="0" borderId="6167" applyNumberFormat="0" applyFont="0" applyFill="0" applyAlignment="0" applyProtection="0"/>
    <xf numFmtId="186" fontId="140" fillId="3" borderId="6153">
      <alignment horizontal="center" vertical="center"/>
    </xf>
    <xf numFmtId="264" fontId="12" fillId="14" borderId="6161" applyFont="0" applyFill="0" applyBorder="0" applyAlignment="0" applyProtection="0">
      <alignment horizontal="right"/>
    </xf>
    <xf numFmtId="0" fontId="78" fillId="14" borderId="6067" applyFont="0" applyFill="0" applyBorder="0" applyAlignment="0" applyProtection="0"/>
    <xf numFmtId="0" fontId="25" fillId="10" borderId="6075" applyNumberFormat="0" applyProtection="0">
      <alignment horizontal="left" vertical="top"/>
    </xf>
    <xf numFmtId="0" fontId="25" fillId="10" borderId="6074" applyNumberFormat="0" applyProtection="0">
      <alignment horizontal="left" vertical="top"/>
    </xf>
    <xf numFmtId="0" fontId="25" fillId="10" borderId="6073" applyNumberFormat="0" applyProtection="0">
      <alignment horizontal="left" vertical="top"/>
    </xf>
    <xf numFmtId="0" fontId="25" fillId="10" borderId="6072" applyNumberFormat="0" applyProtection="0">
      <alignment horizontal="left" vertical="top"/>
    </xf>
    <xf numFmtId="0" fontId="214" fillId="0" borderId="6071" applyNumberFormat="0" applyFont="0" applyFill="0" applyAlignment="0" applyProtection="0"/>
    <xf numFmtId="0" fontId="2" fillId="0" borderId="6070" applyNumberFormat="0" applyAlignment="0" applyProtection="0"/>
    <xf numFmtId="0" fontId="75" fillId="0" borderId="6198" applyNumberFormat="0" applyFont="0" applyFill="0" applyAlignment="0" applyProtection="0"/>
    <xf numFmtId="186" fontId="140" fillId="3" borderId="6069">
      <alignment horizontal="center" vertical="center"/>
    </xf>
    <xf numFmtId="186" fontId="146" fillId="3" borderId="6068">
      <alignment horizontal="left"/>
    </xf>
    <xf numFmtId="180" fontId="9" fillId="3" borderId="6209">
      <alignment horizontal="right" vertical="center"/>
    </xf>
    <xf numFmtId="0" fontId="75" fillId="0" borderId="6066" applyNumberFormat="0" applyFont="0" applyFill="0" applyAlignment="0" applyProtection="0"/>
    <xf numFmtId="186" fontId="146" fillId="3" borderId="6161" applyBorder="0">
      <alignment horizontal="left" vertical="center"/>
    </xf>
    <xf numFmtId="222" fontId="79" fillId="0" borderId="6076" applyBorder="0"/>
    <xf numFmtId="0" fontId="101" fillId="0" borderId="6077" applyBorder="0"/>
    <xf numFmtId="222" fontId="79" fillId="0" borderId="6076" applyBorder="0"/>
    <xf numFmtId="0" fontId="113" fillId="0" borderId="6077" applyNumberFormat="0" applyFill="0" applyAlignment="0" applyProtection="0"/>
    <xf numFmtId="0" fontId="12" fillId="0" borderId="6077" applyNumberFormat="0" applyFill="0" applyBorder="0" applyAlignment="0" applyProtection="0">
      <alignment horizontal="center"/>
    </xf>
    <xf numFmtId="248" fontId="46" fillId="0" borderId="6077"/>
    <xf numFmtId="186" fontId="146" fillId="3" borderId="6212">
      <alignment horizontal="left"/>
    </xf>
    <xf numFmtId="0" fontId="113" fillId="0" borderId="6209" applyNumberFormat="0" applyFill="0" applyAlignment="0" applyProtection="0"/>
    <xf numFmtId="192" fontId="9" fillId="3" borderId="6077">
      <alignment horizontal="right" vertical="center"/>
    </xf>
    <xf numFmtId="180" fontId="9" fillId="3" borderId="6077">
      <alignment horizontal="right" vertical="center"/>
    </xf>
    <xf numFmtId="186" fontId="146" fillId="3" borderId="6077" applyBorder="0">
      <alignment horizontal="left" vertical="center"/>
    </xf>
    <xf numFmtId="0" fontId="165" fillId="0" borderId="6077" applyFill="0" applyProtection="0">
      <alignment horizontal="center"/>
    </xf>
    <xf numFmtId="0" fontId="166" fillId="0" borderId="6077">
      <alignment horizontal="center"/>
    </xf>
    <xf numFmtId="264" fontId="12" fillId="14" borderId="6077" applyFont="0" applyFill="0" applyBorder="0" applyAlignment="0" applyProtection="0">
      <alignment horizontal="right"/>
    </xf>
    <xf numFmtId="0" fontId="210" fillId="0" borderId="6077" applyNumberFormat="0" applyFill="0" applyBorder="0" applyAlignment="0">
      <protection locked="0"/>
    </xf>
    <xf numFmtId="254" fontId="240" fillId="0" borderId="6077" applyBorder="0" applyProtection="0">
      <alignment horizontal="right" vertical="center"/>
    </xf>
    <xf numFmtId="0" fontId="241" fillId="94" borderId="6077" applyBorder="0" applyProtection="0">
      <alignment horizontal="centerContinuous" vertical="center"/>
    </xf>
    <xf numFmtId="246" fontId="249" fillId="0" borderId="6077" applyFill="0" applyProtection="0">
      <alignment horizontal="center"/>
    </xf>
    <xf numFmtId="246" fontId="250" fillId="0" borderId="6077" applyFill="0" applyProtection="0">
      <alignment horizontal="center"/>
    </xf>
    <xf numFmtId="0" fontId="166" fillId="0" borderId="6161">
      <alignment horizontal="center"/>
    </xf>
    <xf numFmtId="192" fontId="9" fillId="3" borderId="6161">
      <alignment horizontal="right" vertical="center"/>
    </xf>
    <xf numFmtId="248" fontId="46" fillId="0" borderId="6161"/>
    <xf numFmtId="0" fontId="12" fillId="0" borderId="6161" applyNumberFormat="0" applyFill="0" applyBorder="0" applyAlignment="0" applyProtection="0">
      <alignment horizontal="center"/>
    </xf>
    <xf numFmtId="0" fontId="113" fillId="0" borderId="6161" applyNumberFormat="0" applyFill="0" applyAlignment="0" applyProtection="0"/>
    <xf numFmtId="222" fontId="79" fillId="0" borderId="6160" applyBorder="0"/>
    <xf numFmtId="0" fontId="101" fillId="0" borderId="6161" applyBorder="0"/>
    <xf numFmtId="186" fontId="146" fillId="3" borderId="6152">
      <alignment horizontal="left"/>
    </xf>
    <xf numFmtId="0" fontId="113" fillId="0" borderId="6209" applyNumberFormat="0" applyFill="0" applyAlignment="0" applyProtection="0"/>
    <xf numFmtId="0" fontId="25" fillId="10" borderId="6156" applyNumberFormat="0" applyProtection="0">
      <alignment horizontal="left" vertical="top"/>
    </xf>
    <xf numFmtId="186" fontId="140" fillId="3" borderId="6213">
      <alignment horizontal="center" vertical="center"/>
    </xf>
    <xf numFmtId="0" fontId="25" fillId="10" borderId="6219" applyNumberFormat="0" applyProtection="0">
      <alignment horizontal="left" vertical="top"/>
    </xf>
    <xf numFmtId="0" fontId="2" fillId="0" borderId="6214" applyNumberFormat="0" applyAlignment="0" applyProtection="0"/>
    <xf numFmtId="0" fontId="101" fillId="0" borderId="6185" applyBorder="0"/>
    <xf numFmtId="0" fontId="214" fillId="0" borderId="6155" applyNumberFormat="0" applyFont="0" applyFill="0" applyAlignment="0" applyProtection="0"/>
    <xf numFmtId="186" fontId="146" fillId="3" borderId="6212">
      <alignment horizontal="left"/>
    </xf>
    <xf numFmtId="0" fontId="25" fillId="10" borderId="6216" applyNumberFormat="0" applyProtection="0">
      <alignment horizontal="left" vertical="top"/>
    </xf>
    <xf numFmtId="0" fontId="25" fillId="10" borderId="6218" applyNumberFormat="0" applyProtection="0">
      <alignment horizontal="left" vertical="top"/>
    </xf>
    <xf numFmtId="0" fontId="25" fillId="10" borderId="6217" applyNumberFormat="0" applyProtection="0">
      <alignment horizontal="left" vertical="top"/>
    </xf>
    <xf numFmtId="0" fontId="214" fillId="0" borderId="6215" applyNumberFormat="0" applyFont="0" applyFill="0" applyAlignment="0" applyProtection="0"/>
    <xf numFmtId="0" fontId="210" fillId="0" borderId="6209" applyNumberFormat="0" applyFill="0" applyBorder="0" applyAlignment="0">
      <protection locked="0"/>
    </xf>
    <xf numFmtId="254" fontId="240" fillId="0" borderId="6149" applyBorder="0" applyProtection="0">
      <alignment horizontal="right" vertical="center"/>
    </xf>
    <xf numFmtId="246" fontId="249" fillId="0" borderId="6149" applyFill="0" applyProtection="0">
      <alignment horizontal="center"/>
    </xf>
    <xf numFmtId="0" fontId="214" fillId="0" borderId="6155" applyNumberFormat="0" applyFont="0" applyFill="0" applyAlignment="0" applyProtection="0"/>
    <xf numFmtId="0" fontId="166" fillId="0" borderId="6209">
      <alignment horizontal="center"/>
    </xf>
    <xf numFmtId="222" fontId="79" fillId="0" borderId="6160" applyBorder="0"/>
    <xf numFmtId="0" fontId="12" fillId="0" borderId="6209" applyNumberFormat="0" applyFill="0" applyBorder="0" applyAlignment="0" applyProtection="0">
      <alignment horizontal="center"/>
    </xf>
    <xf numFmtId="190" fontId="25" fillId="10" borderId="6194" applyNumberFormat="0" applyProtection="0">
      <alignment horizontal="left" vertical="top"/>
    </xf>
    <xf numFmtId="246" fontId="250" fillId="0" borderId="6473" applyFill="0" applyProtection="0">
      <alignment horizontal="center"/>
    </xf>
    <xf numFmtId="222" fontId="79" fillId="0" borderId="6208" applyBorder="0"/>
    <xf numFmtId="192" fontId="9" fillId="3" borderId="6209">
      <alignment horizontal="right" vertical="center"/>
    </xf>
    <xf numFmtId="186" fontId="146" fillId="3" borderId="6080">
      <alignment horizontal="left"/>
    </xf>
    <xf numFmtId="0" fontId="75" fillId="0" borderId="6078" applyNumberFormat="0" applyFont="0" applyFill="0" applyAlignment="0" applyProtection="0"/>
    <xf numFmtId="0" fontId="25" fillId="10" borderId="6156" applyNumberFormat="0" applyProtection="0">
      <alignment horizontal="left" vertical="top"/>
    </xf>
    <xf numFmtId="0" fontId="75" fillId="0" borderId="6150" applyNumberFormat="0" applyFont="0" applyFill="0" applyAlignment="0" applyProtection="0"/>
    <xf numFmtId="0" fontId="25" fillId="10" borderId="6183" applyNumberFormat="0" applyProtection="0">
      <alignment horizontal="left" vertical="top"/>
    </xf>
    <xf numFmtId="0" fontId="113" fillId="0" borderId="6161" applyNumberFormat="0" applyFill="0" applyAlignment="0" applyProtection="0"/>
    <xf numFmtId="264" fontId="12" fillId="14" borderId="6161" applyFont="0" applyFill="0" applyBorder="0" applyAlignment="0" applyProtection="0">
      <alignment horizontal="right"/>
    </xf>
    <xf numFmtId="246" fontId="249" fillId="0" borderId="6161" applyFill="0" applyProtection="0">
      <alignment horizontal="center"/>
    </xf>
    <xf numFmtId="0" fontId="25" fillId="10" borderId="6087" applyNumberFormat="0" applyProtection="0">
      <alignment horizontal="left" vertical="top"/>
    </xf>
    <xf numFmtId="0" fontId="25" fillId="10" borderId="6085" applyNumberFormat="0" applyProtection="0">
      <alignment horizontal="left" vertical="top"/>
    </xf>
    <xf numFmtId="0" fontId="25" fillId="10" borderId="6086" applyNumberFormat="0" applyProtection="0">
      <alignment horizontal="left" vertical="top"/>
    </xf>
    <xf numFmtId="0" fontId="25" fillId="10" borderId="6084" applyNumberFormat="0" applyProtection="0">
      <alignment horizontal="left" vertical="top"/>
    </xf>
    <xf numFmtId="0" fontId="25" fillId="10" borderId="6087" applyNumberFormat="0" applyProtection="0">
      <alignment horizontal="left" vertical="top"/>
    </xf>
    <xf numFmtId="0" fontId="25" fillId="10" borderId="6086" applyNumberFormat="0" applyProtection="0">
      <alignment horizontal="left" vertical="top"/>
    </xf>
    <xf numFmtId="0" fontId="25" fillId="10" borderId="6085" applyNumberFormat="0" applyProtection="0">
      <alignment horizontal="left" vertical="top"/>
    </xf>
    <xf numFmtId="0" fontId="25" fillId="10" borderId="6084" applyNumberFormat="0" applyProtection="0">
      <alignment horizontal="left" vertical="top"/>
    </xf>
    <xf numFmtId="0" fontId="214" fillId="0" borderId="6083" applyNumberFormat="0" applyFont="0" applyFill="0" applyAlignment="0" applyProtection="0"/>
    <xf numFmtId="0" fontId="2" fillId="0" borderId="6082" applyNumberFormat="0" applyAlignment="0" applyProtection="0"/>
    <xf numFmtId="186" fontId="140" fillId="3" borderId="6081">
      <alignment horizontal="center" vertical="center"/>
    </xf>
    <xf numFmtId="186" fontId="140" fillId="3" borderId="6093">
      <alignment horizontal="center" vertical="center"/>
    </xf>
    <xf numFmtId="0" fontId="25" fillId="10" borderId="6096" applyNumberFormat="0" applyProtection="0">
      <alignment horizontal="left" vertical="top"/>
    </xf>
    <xf numFmtId="0" fontId="12" fillId="0" borderId="6161" applyNumberFormat="0" applyFill="0" applyBorder="0" applyAlignment="0" applyProtection="0">
      <alignment horizontal="center"/>
    </xf>
    <xf numFmtId="0" fontId="25" fillId="10" borderId="6158" applyNumberFormat="0" applyProtection="0">
      <alignment horizontal="left" vertical="top"/>
    </xf>
    <xf numFmtId="222" fontId="79" fillId="0" borderId="6148" applyBorder="0"/>
    <xf numFmtId="0" fontId="78" fillId="14" borderId="6151" applyFont="0" applyFill="0" applyBorder="0" applyAlignment="0" applyProtection="0"/>
    <xf numFmtId="222" fontId="79" fillId="0" borderId="6160" applyBorder="0"/>
    <xf numFmtId="0" fontId="101" fillId="0" borderId="6161" applyBorder="0"/>
    <xf numFmtId="222" fontId="79" fillId="0" borderId="6160" applyBorder="0"/>
    <xf numFmtId="248" fontId="46" fillId="0" borderId="6161"/>
    <xf numFmtId="192" fontId="9" fillId="3" borderId="6161">
      <alignment horizontal="right" vertical="center"/>
    </xf>
    <xf numFmtId="180" fontId="9" fillId="3" borderId="6161">
      <alignment horizontal="right" vertical="center"/>
    </xf>
    <xf numFmtId="186" fontId="146" fillId="3" borderId="6161" applyBorder="0">
      <alignment horizontal="left" vertical="center"/>
    </xf>
    <xf numFmtId="0" fontId="165" fillId="0" borderId="6161" applyFill="0" applyProtection="0">
      <alignment horizontal="center"/>
    </xf>
    <xf numFmtId="0" fontId="210" fillId="0" borderId="6161" applyNumberFormat="0" applyFill="0" applyBorder="0" applyAlignment="0">
      <protection locked="0"/>
    </xf>
    <xf numFmtId="254" fontId="240" fillId="0" borderId="6161" applyBorder="0" applyProtection="0">
      <alignment horizontal="right" vertical="center"/>
    </xf>
    <xf numFmtId="246" fontId="250" fillId="0" borderId="6161" applyFill="0" applyProtection="0">
      <alignment horizontal="center"/>
    </xf>
    <xf numFmtId="222" fontId="79" fillId="0" borderId="6100" applyBorder="0"/>
    <xf numFmtId="0" fontId="25" fillId="10" borderId="6097" applyNumberFormat="0" applyProtection="0">
      <alignment horizontal="left" vertical="top"/>
    </xf>
    <xf numFmtId="0" fontId="25" fillId="10" borderId="6099" applyNumberFormat="0" applyProtection="0">
      <alignment horizontal="left" vertical="top"/>
    </xf>
    <xf numFmtId="0" fontId="25" fillId="10" borderId="6096" applyNumberFormat="0" applyProtection="0">
      <alignment horizontal="left" vertical="top"/>
    </xf>
    <xf numFmtId="0" fontId="25" fillId="10" borderId="6097" applyNumberFormat="0" applyProtection="0">
      <alignment horizontal="left" vertical="top"/>
    </xf>
    <xf numFmtId="0" fontId="25" fillId="10" borderId="6098" applyNumberFormat="0" applyProtection="0">
      <alignment horizontal="left" vertical="top"/>
    </xf>
    <xf numFmtId="0" fontId="75" fillId="0" borderId="6102" applyNumberFormat="0" applyFont="0" applyFill="0" applyAlignment="0" applyProtection="0"/>
    <xf numFmtId="0" fontId="101" fillId="0" borderId="6113" applyBorder="0"/>
    <xf numFmtId="222" fontId="79" fillId="0" borderId="6112" applyBorder="0"/>
    <xf numFmtId="0" fontId="113" fillId="0" borderId="6113" applyNumberFormat="0" applyFill="0" applyAlignment="0" applyProtection="0"/>
    <xf numFmtId="0" fontId="12" fillId="0" borderId="6113" applyNumberFormat="0" applyFill="0" applyBorder="0" applyAlignment="0" applyProtection="0">
      <alignment horizontal="center"/>
    </xf>
    <xf numFmtId="248" fontId="46" fillId="0" borderId="6113"/>
    <xf numFmtId="192" fontId="9" fillId="3" borderId="6113">
      <alignment horizontal="right" vertical="center"/>
    </xf>
    <xf numFmtId="180" fontId="9" fillId="3" borderId="6113">
      <alignment horizontal="right" vertical="center"/>
    </xf>
    <xf numFmtId="186" fontId="146" fillId="3" borderId="6113" applyBorder="0">
      <alignment horizontal="left" vertical="center"/>
    </xf>
    <xf numFmtId="0" fontId="166" fillId="0" borderId="6113">
      <alignment horizontal="center"/>
    </xf>
    <xf numFmtId="0" fontId="210" fillId="0" borderId="6113" applyNumberFormat="0" applyFill="0" applyBorder="0" applyAlignment="0">
      <protection locked="0"/>
    </xf>
    <xf numFmtId="264" fontId="12" fillId="14" borderId="6113" applyFont="0" applyFill="0" applyBorder="0" applyAlignment="0" applyProtection="0">
      <alignment horizontal="right"/>
    </xf>
    <xf numFmtId="246" fontId="249" fillId="0" borderId="6113" applyFill="0" applyProtection="0">
      <alignment horizontal="center"/>
    </xf>
    <xf numFmtId="246" fontId="250" fillId="0" borderId="6113" applyFill="0" applyProtection="0">
      <alignment horizontal="center"/>
    </xf>
    <xf numFmtId="246" fontId="250" fillId="0" borderId="6137" applyFill="0" applyProtection="0">
      <alignment horizontal="center"/>
    </xf>
    <xf numFmtId="246" fontId="249" fillId="0" borderId="6137" applyFill="0" applyProtection="0">
      <alignment horizontal="center"/>
    </xf>
    <xf numFmtId="254" fontId="240" fillId="0" borderId="6137" applyBorder="0" applyProtection="0">
      <alignment horizontal="right" vertical="center"/>
    </xf>
    <xf numFmtId="264" fontId="12" fillId="14" borderId="6137" applyFont="0" applyFill="0" applyBorder="0" applyAlignment="0" applyProtection="0">
      <alignment horizontal="right"/>
    </xf>
    <xf numFmtId="0" fontId="165" fillId="0" borderId="6137" applyFill="0" applyProtection="0">
      <alignment horizontal="center"/>
    </xf>
    <xf numFmtId="180" fontId="9" fillId="3" borderId="6137">
      <alignment horizontal="right" vertical="center"/>
    </xf>
    <xf numFmtId="0" fontId="12" fillId="0" borderId="6137" applyNumberFormat="0" applyFill="0" applyBorder="0" applyAlignment="0" applyProtection="0">
      <alignment horizontal="center"/>
    </xf>
    <xf numFmtId="0" fontId="101" fillId="0" borderId="6137" applyBorder="0"/>
    <xf numFmtId="222" fontId="79" fillId="0" borderId="6136" applyBorder="0"/>
    <xf numFmtId="0" fontId="75" fillId="0" borderId="6126" applyNumberFormat="0" applyFont="0" applyFill="0" applyAlignment="0" applyProtection="0"/>
    <xf numFmtId="0" fontId="2" fillId="0" borderId="6130" applyNumberFormat="0" applyAlignment="0" applyProtection="0"/>
    <xf numFmtId="0" fontId="25" fillId="10" borderId="6132" applyNumberFormat="0" applyProtection="0">
      <alignment horizontal="left" vertical="top"/>
    </xf>
    <xf numFmtId="0" fontId="25" fillId="10" borderId="6135" applyNumberFormat="0" applyProtection="0">
      <alignment horizontal="left" vertical="top"/>
    </xf>
    <xf numFmtId="222" fontId="79" fillId="0" borderId="6124" applyBorder="0"/>
    <xf numFmtId="0" fontId="25" fillId="10" borderId="6110" applyNumberFormat="0" applyProtection="0">
      <alignment horizontal="left" vertical="top"/>
    </xf>
    <xf numFmtId="0" fontId="25" fillId="10" borderId="6108" applyNumberFormat="0" applyProtection="0">
      <alignment horizontal="left" vertical="top"/>
    </xf>
    <xf numFmtId="0" fontId="214" fillId="0" borderId="6107" applyNumberFormat="0" applyFont="0" applyFill="0" applyAlignment="0" applyProtection="0"/>
    <xf numFmtId="186" fontId="146" fillId="3" borderId="6104">
      <alignment horizontal="left"/>
    </xf>
    <xf numFmtId="222" fontId="79" fillId="0" borderId="6112" applyBorder="0"/>
    <xf numFmtId="222" fontId="79" fillId="0" borderId="6208" applyBorder="0"/>
    <xf numFmtId="186" fontId="140" fillId="3" borderId="6153">
      <alignment horizontal="center" vertical="center"/>
    </xf>
    <xf numFmtId="222" fontId="79" fillId="0" borderId="6172" applyBorder="0"/>
    <xf numFmtId="0" fontId="101" fillId="0" borderId="5993" applyBorder="0"/>
    <xf numFmtId="0" fontId="113" fillId="0" borderId="5993" applyNumberFormat="0" applyFill="0" applyAlignment="0" applyProtection="0"/>
    <xf numFmtId="0" fontId="12" fillId="0" borderId="5993" applyNumberFormat="0" applyFill="0" applyBorder="0" applyAlignment="0" applyProtection="0">
      <alignment horizontal="center"/>
    </xf>
    <xf numFmtId="248" fontId="46" fillId="0" borderId="5993"/>
    <xf numFmtId="192" fontId="9" fillId="3" borderId="5993">
      <alignment horizontal="right" vertical="center"/>
    </xf>
    <xf numFmtId="180" fontId="9" fillId="3" borderId="5993">
      <alignment horizontal="right" vertical="center"/>
    </xf>
    <xf numFmtId="186" fontId="146" fillId="3" borderId="5993" applyBorder="0">
      <alignment horizontal="left" vertical="center"/>
    </xf>
    <xf numFmtId="0" fontId="165" fillId="0" borderId="5993" applyFill="0" applyProtection="0">
      <alignment horizontal="center"/>
    </xf>
    <xf numFmtId="0" fontId="166" fillId="0" borderId="5993">
      <alignment horizontal="center"/>
    </xf>
    <xf numFmtId="264" fontId="12" fillId="14" borderId="5993" applyFont="0" applyFill="0" applyBorder="0" applyAlignment="0" applyProtection="0">
      <alignment horizontal="right"/>
    </xf>
    <xf numFmtId="0" fontId="210" fillId="0" borderId="5993" applyNumberFormat="0" applyFill="0" applyBorder="0" applyAlignment="0">
      <protection locked="0"/>
    </xf>
    <xf numFmtId="222" fontId="79" fillId="0" borderId="6208" applyBorder="0"/>
    <xf numFmtId="248" fontId="46" fillId="0" borderId="6137"/>
    <xf numFmtId="222" fontId="79" fillId="0" borderId="6136" applyBorder="0"/>
    <xf numFmtId="186" fontId="140" fillId="3" borderId="6129">
      <alignment horizontal="center" vertical="center"/>
    </xf>
    <xf numFmtId="0" fontId="25" fillId="10" borderId="6134" applyNumberFormat="0" applyProtection="0">
      <alignment horizontal="left" vertical="top"/>
    </xf>
    <xf numFmtId="0" fontId="210" fillId="0" borderId="6137" applyNumberFormat="0" applyFill="0" applyBorder="0" applyAlignment="0">
      <protection locked="0"/>
    </xf>
    <xf numFmtId="192" fontId="9" fillId="3" borderId="6137">
      <alignment horizontal="right" vertical="center"/>
    </xf>
    <xf numFmtId="0" fontId="113" fillId="0" borderId="6137" applyNumberFormat="0" applyFill="0" applyAlignment="0" applyProtection="0"/>
    <xf numFmtId="186" fontId="146" fillId="3" borderId="6128">
      <alignment horizontal="left"/>
    </xf>
    <xf numFmtId="0" fontId="25" fillId="10" borderId="6133" applyNumberFormat="0" applyProtection="0">
      <alignment horizontal="left" vertical="top"/>
    </xf>
    <xf numFmtId="254" fontId="240" fillId="0" borderId="5993" applyBorder="0" applyProtection="0">
      <alignment horizontal="right" vertical="center"/>
    </xf>
    <xf numFmtId="0" fontId="241" fillId="94" borderId="5993" applyBorder="0" applyProtection="0">
      <alignment horizontal="centerContinuous" vertical="center"/>
    </xf>
    <xf numFmtId="246" fontId="249" fillId="0" borderId="5993" applyFill="0" applyProtection="0">
      <alignment horizontal="center"/>
    </xf>
    <xf numFmtId="246" fontId="250" fillId="0" borderId="5993" applyFill="0" applyProtection="0">
      <alignment horizontal="center"/>
    </xf>
    <xf numFmtId="0" fontId="75" fillId="0" borderId="6174" applyNumberFormat="0" applyFont="0" applyFill="0" applyAlignment="0" applyProtection="0"/>
    <xf numFmtId="0" fontId="25" fillId="10" borderId="6157" applyNumberFormat="0" applyProtection="0">
      <alignment horizontal="left" vertical="top"/>
    </xf>
    <xf numFmtId="0" fontId="25" fillId="10" borderId="6159" applyNumberFormat="0" applyProtection="0">
      <alignment horizontal="left" vertical="top"/>
    </xf>
    <xf numFmtId="246" fontId="249" fillId="0" borderId="6185" applyFill="0" applyProtection="0">
      <alignment horizontal="center"/>
    </xf>
    <xf numFmtId="222" fontId="79" fillId="0" borderId="6088" applyBorder="0"/>
    <xf numFmtId="0" fontId="214" fillId="0" borderId="6155" applyNumberFormat="0" applyFont="0" applyFill="0" applyAlignment="0" applyProtection="0"/>
    <xf numFmtId="0" fontId="75" fillId="0" borderId="6090" applyNumberFormat="0" applyFont="0" applyFill="0" applyAlignment="0" applyProtection="0"/>
    <xf numFmtId="0" fontId="25" fillId="10" borderId="6098" applyNumberFormat="0" applyProtection="0">
      <alignment horizontal="left" vertical="top"/>
    </xf>
    <xf numFmtId="0" fontId="25" fillId="10" borderId="6099" applyNumberFormat="0" applyProtection="0">
      <alignment horizontal="left" vertical="top"/>
    </xf>
    <xf numFmtId="0" fontId="165" fillId="0" borderId="6113" applyFill="0" applyProtection="0">
      <alignment horizontal="center"/>
    </xf>
    <xf numFmtId="254" fontId="240" fillId="0" borderId="6113" applyBorder="0" applyProtection="0">
      <alignment horizontal="right" vertical="center"/>
    </xf>
    <xf numFmtId="0" fontId="241" fillId="94" borderId="6113" applyBorder="0" applyProtection="0">
      <alignment horizontal="centerContinuous" vertical="center"/>
    </xf>
    <xf numFmtId="0" fontId="241" fillId="94" borderId="6137" applyBorder="0" applyProtection="0">
      <alignment horizontal="centerContinuous" vertical="center"/>
    </xf>
    <xf numFmtId="0" fontId="166" fillId="0" borderId="6137">
      <alignment horizontal="center"/>
    </xf>
    <xf numFmtId="186" fontId="146" fillId="3" borderId="6137" applyBorder="0">
      <alignment horizontal="left" vertical="center"/>
    </xf>
    <xf numFmtId="0" fontId="214" fillId="0" borderId="6131" applyNumberFormat="0" applyFont="0" applyFill="0" applyAlignment="0" applyProtection="0"/>
    <xf numFmtId="0" fontId="78" fillId="14" borderId="6127" applyFont="0" applyFill="0" applyBorder="0" applyAlignment="0" applyProtection="0"/>
    <xf numFmtId="0" fontId="210" fillId="0" borderId="6161" applyNumberFormat="0" applyFill="0" applyBorder="0" applyAlignment="0">
      <protection locked="0"/>
    </xf>
    <xf numFmtId="0" fontId="78" fillId="14" borderId="6055" applyFont="0" applyFill="0" applyBorder="0" applyAlignment="0" applyProtection="0"/>
    <xf numFmtId="0" fontId="25" fillId="10" borderId="5991" applyNumberFormat="0" applyProtection="0">
      <alignment horizontal="left" vertical="top"/>
    </xf>
    <xf numFmtId="0" fontId="25" fillId="10" borderId="5990" applyNumberFormat="0" applyProtection="0">
      <alignment horizontal="left" vertical="top"/>
    </xf>
    <xf numFmtId="0" fontId="25" fillId="10" borderId="5989" applyNumberFormat="0" applyProtection="0">
      <alignment horizontal="left" vertical="top"/>
    </xf>
    <xf numFmtId="0" fontId="25" fillId="10" borderId="5988" applyNumberFormat="0" applyProtection="0">
      <alignment horizontal="left" vertical="top"/>
    </xf>
    <xf numFmtId="186" fontId="140" fillId="3" borderId="6153">
      <alignment horizontal="center" vertical="center"/>
    </xf>
    <xf numFmtId="0" fontId="214" fillId="0" borderId="5987" applyNumberFormat="0" applyFont="0" applyFill="0" applyAlignment="0" applyProtection="0"/>
    <xf numFmtId="186" fontId="140" fillId="3" borderId="5985">
      <alignment horizontal="center" vertical="center"/>
    </xf>
    <xf numFmtId="186" fontId="146" fillId="3" borderId="6152">
      <alignment horizontal="left"/>
    </xf>
    <xf numFmtId="180" fontId="9" fillId="3" borderId="6161">
      <alignment horizontal="right" vertical="center"/>
    </xf>
    <xf numFmtId="0" fontId="75" fillId="0" borderId="6150" applyNumberFormat="0" applyFont="0" applyFill="0" applyAlignment="0" applyProtection="0"/>
    <xf numFmtId="0" fontId="75" fillId="0" borderId="6150" applyNumberFormat="0" applyFont="0" applyFill="0" applyAlignment="0" applyProtection="0"/>
    <xf numFmtId="222" fontId="79" fillId="0" borderId="6064" applyBorder="0"/>
    <xf numFmtId="222" fontId="79" fillId="0" borderId="6064" applyBorder="0"/>
    <xf numFmtId="0" fontId="25" fillId="10" borderId="6156" applyNumberFormat="0" applyProtection="0">
      <alignment horizontal="left" vertical="top"/>
    </xf>
    <xf numFmtId="0" fontId="2" fillId="0" borderId="6154" applyNumberFormat="0" applyAlignment="0" applyProtection="0"/>
    <xf numFmtId="246" fontId="250" fillId="0" borderId="6089" applyFill="0" applyProtection="0">
      <alignment horizontal="center"/>
    </xf>
    <xf numFmtId="246" fontId="249" fillId="0" borderId="6089" applyFill="0" applyProtection="0">
      <alignment horizontal="center"/>
    </xf>
    <xf numFmtId="0" fontId="241" fillId="94" borderId="6089" applyBorder="0" applyProtection="0">
      <alignment horizontal="centerContinuous" vertical="center"/>
    </xf>
    <xf numFmtId="254" fontId="240" fillId="0" borderId="6089" applyBorder="0" applyProtection="0">
      <alignment horizontal="right" vertical="center"/>
    </xf>
    <xf numFmtId="0" fontId="210" fillId="0" borderId="6089" applyNumberFormat="0" applyFill="0" applyBorder="0" applyAlignment="0">
      <protection locked="0"/>
    </xf>
    <xf numFmtId="264" fontId="12" fillId="14" borderId="6089" applyFont="0" applyFill="0" applyBorder="0" applyAlignment="0" applyProtection="0">
      <alignment horizontal="right"/>
    </xf>
    <xf numFmtId="0" fontId="166" fillId="0" borderId="6089">
      <alignment horizontal="center"/>
    </xf>
    <xf numFmtId="0" fontId="165" fillId="0" borderId="6089" applyFill="0" applyProtection="0">
      <alignment horizontal="center"/>
    </xf>
    <xf numFmtId="186" fontId="146" fillId="3" borderId="6089" applyBorder="0">
      <alignment horizontal="left" vertical="center"/>
    </xf>
    <xf numFmtId="180" fontId="9" fillId="3" borderId="6089">
      <alignment horizontal="right" vertical="center"/>
    </xf>
    <xf numFmtId="192" fontId="9" fillId="3" borderId="6089">
      <alignment horizontal="right" vertical="center"/>
    </xf>
    <xf numFmtId="248" fontId="46" fillId="0" borderId="6089"/>
    <xf numFmtId="0" fontId="12" fillId="0" borderId="6089" applyNumberFormat="0" applyFill="0" applyBorder="0" applyAlignment="0" applyProtection="0">
      <alignment horizontal="center"/>
    </xf>
    <xf numFmtId="0" fontId="113" fillId="0" borderId="6089" applyNumberFormat="0" applyFill="0" applyAlignment="0" applyProtection="0"/>
    <xf numFmtId="222" fontId="79" fillId="0" borderId="6088" applyBorder="0"/>
    <xf numFmtId="0" fontId="101" fillId="0" borderId="6089" applyBorder="0"/>
    <xf numFmtId="222" fontId="79" fillId="0" borderId="6496" applyBorder="0"/>
    <xf numFmtId="222" fontId="79" fillId="0" borderId="6088" applyBorder="0"/>
    <xf numFmtId="0" fontId="75" fillId="0" borderId="6078" applyNumberFormat="0" applyFont="0" applyFill="0" applyAlignment="0" applyProtection="0"/>
    <xf numFmtId="186" fontId="146" fillId="3" borderId="6080">
      <alignment horizontal="left"/>
    </xf>
    <xf numFmtId="186" fontId="140" fillId="3" borderId="6081">
      <alignment horizontal="center" vertical="center"/>
    </xf>
    <xf numFmtId="0" fontId="2" fillId="0" borderId="6082" applyNumberFormat="0" applyAlignment="0" applyProtection="0"/>
    <xf numFmtId="0" fontId="214" fillId="0" borderId="6083" applyNumberFormat="0" applyFont="0" applyFill="0" applyAlignment="0" applyProtection="0"/>
    <xf numFmtId="0" fontId="25" fillId="10" borderId="6084" applyNumberFormat="0" applyProtection="0">
      <alignment horizontal="left" vertical="top"/>
    </xf>
    <xf numFmtId="0" fontId="25" fillId="10" borderId="6085" applyNumberFormat="0" applyProtection="0">
      <alignment horizontal="left" vertical="top"/>
    </xf>
    <xf numFmtId="0" fontId="25" fillId="10" borderId="6086" applyNumberFormat="0" applyProtection="0">
      <alignment horizontal="left" vertical="top"/>
    </xf>
    <xf numFmtId="0" fontId="25" fillId="10" borderId="6087" applyNumberFormat="0" applyProtection="0">
      <alignment horizontal="left" vertical="top"/>
    </xf>
    <xf numFmtId="246" fontId="250" fillId="0" borderId="6149" applyFill="0" applyProtection="0">
      <alignment horizontal="center"/>
    </xf>
    <xf numFmtId="0" fontId="78" fillId="14" borderId="6079" applyFont="0" applyFill="0" applyBorder="0" applyAlignment="0" applyProtection="0"/>
    <xf numFmtId="264" fontId="12" fillId="14" borderId="6209" applyFont="0" applyFill="0" applyBorder="0" applyAlignment="0" applyProtection="0">
      <alignment horizontal="right"/>
    </xf>
    <xf numFmtId="186" fontId="146" fillId="3" borderId="6188">
      <alignment horizontal="left"/>
    </xf>
    <xf numFmtId="222" fontId="79" fillId="0" borderId="6076" applyBorder="0"/>
    <xf numFmtId="312" fontId="101" fillId="0" borderId="6209" applyBorder="0"/>
    <xf numFmtId="0" fontId="75" fillId="0" borderId="6186" applyNumberFormat="0" applyFont="0" applyFill="0" applyAlignment="0" applyProtection="0"/>
    <xf numFmtId="0" fontId="75" fillId="0" borderId="6150" applyNumberFormat="0" applyFont="0" applyFill="0" applyAlignment="0" applyProtection="0"/>
    <xf numFmtId="0" fontId="241" fillId="94" borderId="6149" applyBorder="0" applyProtection="0">
      <alignment horizontal="centerContinuous" vertical="center"/>
    </xf>
    <xf numFmtId="0" fontId="241" fillId="94" borderId="6209" applyBorder="0" applyProtection="0">
      <alignment horizontal="centerContinuous" vertical="center"/>
    </xf>
    <xf numFmtId="186" fontId="146" fillId="3" borderId="6152">
      <alignment horizontal="left"/>
    </xf>
    <xf numFmtId="186" fontId="140" fillId="3" borderId="6153">
      <alignment horizontal="center" vertical="center"/>
    </xf>
    <xf numFmtId="192" fontId="9" fillId="3" borderId="6149">
      <alignment horizontal="right" vertical="center"/>
    </xf>
    <xf numFmtId="0" fontId="78" fillId="14" borderId="6055" applyFont="0" applyFill="0" applyBorder="0" applyAlignment="0" applyProtection="0"/>
    <xf numFmtId="222" fontId="79" fillId="0" borderId="6064" applyBorder="0"/>
    <xf numFmtId="0" fontId="214" fillId="0" borderId="6203" applyNumberFormat="0" applyFont="0" applyFill="0" applyAlignment="0" applyProtection="0"/>
    <xf numFmtId="0" fontId="2" fillId="0" borderId="6154" applyNumberFormat="0" applyAlignment="0" applyProtection="0"/>
    <xf numFmtId="0" fontId="78" fillId="14" borderId="6067" applyFont="0" applyFill="0" applyBorder="0" applyAlignment="0" applyProtection="0"/>
    <xf numFmtId="0" fontId="25" fillId="10" borderId="6075" applyNumberFormat="0" applyProtection="0">
      <alignment horizontal="left" vertical="top"/>
    </xf>
    <xf numFmtId="0" fontId="25" fillId="10" borderId="6074" applyNumberFormat="0" applyProtection="0">
      <alignment horizontal="left" vertical="top"/>
    </xf>
    <xf numFmtId="0" fontId="25" fillId="10" borderId="6073" applyNumberFormat="0" applyProtection="0">
      <alignment horizontal="left" vertical="top"/>
    </xf>
    <xf numFmtId="0" fontId="25" fillId="10" borderId="6072" applyNumberFormat="0" applyProtection="0">
      <alignment horizontal="left" vertical="top"/>
    </xf>
    <xf numFmtId="0" fontId="214" fillId="0" borderId="6071" applyNumberFormat="0" applyFont="0" applyFill="0" applyAlignment="0" applyProtection="0"/>
    <xf numFmtId="186" fontId="140" fillId="3" borderId="6069">
      <alignment horizontal="center" vertical="center"/>
    </xf>
    <xf numFmtId="186" fontId="146" fillId="3" borderId="6068">
      <alignment horizontal="left"/>
    </xf>
    <xf numFmtId="0" fontId="75" fillId="0" borderId="6066" applyNumberFormat="0" applyFont="0" applyFill="0" applyAlignment="0" applyProtection="0"/>
    <xf numFmtId="222" fontId="79" fillId="0" borderId="6076" applyBorder="0"/>
    <xf numFmtId="0" fontId="101" fillId="0" borderId="6077" applyBorder="0"/>
    <xf numFmtId="222" fontId="79" fillId="0" borderId="6076" applyBorder="0"/>
    <xf numFmtId="0" fontId="113" fillId="0" borderId="6077" applyNumberFormat="0" applyFill="0" applyAlignment="0" applyProtection="0"/>
    <xf numFmtId="0" fontId="12" fillId="0" borderId="6077" applyNumberFormat="0" applyFill="0" applyBorder="0" applyAlignment="0" applyProtection="0">
      <alignment horizontal="center"/>
    </xf>
    <xf numFmtId="248" fontId="46" fillId="0" borderId="6077"/>
    <xf numFmtId="192" fontId="9" fillId="3" borderId="6077">
      <alignment horizontal="right" vertical="center"/>
    </xf>
    <xf numFmtId="180" fontId="9" fillId="3" borderId="6077">
      <alignment horizontal="right" vertical="center"/>
    </xf>
    <xf numFmtId="186" fontId="146" fillId="3" borderId="6077" applyBorder="0">
      <alignment horizontal="left" vertical="center"/>
    </xf>
    <xf numFmtId="0" fontId="165" fillId="0" borderId="6077" applyFill="0" applyProtection="0">
      <alignment horizontal="center"/>
    </xf>
    <xf numFmtId="0" fontId="166" fillId="0" borderId="6077">
      <alignment horizontal="center"/>
    </xf>
    <xf numFmtId="264" fontId="12" fillId="14" borderId="6077" applyFont="0" applyFill="0" applyBorder="0" applyAlignment="0" applyProtection="0">
      <alignment horizontal="right"/>
    </xf>
    <xf numFmtId="0" fontId="210" fillId="0" borderId="6077" applyNumberFormat="0" applyFill="0" applyBorder="0" applyAlignment="0">
      <protection locked="0"/>
    </xf>
    <xf numFmtId="254" fontId="240" fillId="0" borderId="6077" applyBorder="0" applyProtection="0">
      <alignment horizontal="right" vertical="center"/>
    </xf>
    <xf numFmtId="0" fontId="241" fillId="94" borderId="6077" applyBorder="0" applyProtection="0">
      <alignment horizontal="centerContinuous" vertical="center"/>
    </xf>
    <xf numFmtId="246" fontId="249" fillId="0" borderId="6077" applyFill="0" applyProtection="0">
      <alignment horizontal="center"/>
    </xf>
    <xf numFmtId="246" fontId="250" fillId="0" borderId="6077" applyFill="0" applyProtection="0">
      <alignment horizontal="center"/>
    </xf>
    <xf numFmtId="0" fontId="241" fillId="94" borderId="6161" applyBorder="0" applyProtection="0">
      <alignment horizontal="centerContinuous" vertical="center"/>
    </xf>
    <xf numFmtId="0" fontId="166" fillId="0" borderId="6161">
      <alignment horizontal="center"/>
    </xf>
    <xf numFmtId="0" fontId="2" fillId="0" borderId="6094" applyNumberFormat="0" applyAlignment="0" applyProtection="0"/>
    <xf numFmtId="0" fontId="214" fillId="0" borderId="6095" applyNumberFormat="0" applyFont="0" applyFill="0" applyAlignment="0" applyProtection="0"/>
    <xf numFmtId="246" fontId="250" fillId="0" borderId="6101" applyFill="0" applyProtection="0">
      <alignment horizontal="center"/>
    </xf>
    <xf numFmtId="246" fontId="249" fillId="0" borderId="6101" applyFill="0" applyProtection="0">
      <alignment horizontal="center"/>
    </xf>
    <xf numFmtId="0" fontId="241" fillId="94" borderId="6101" applyBorder="0" applyProtection="0">
      <alignment horizontal="centerContinuous" vertical="center"/>
    </xf>
    <xf numFmtId="254" fontId="240" fillId="0" borderId="6101" applyBorder="0" applyProtection="0">
      <alignment horizontal="right" vertical="center"/>
    </xf>
    <xf numFmtId="0" fontId="210" fillId="0" borderId="6101" applyNumberFormat="0" applyFill="0" applyBorder="0" applyAlignment="0">
      <protection locked="0"/>
    </xf>
    <xf numFmtId="264" fontId="12" fillId="14" borderId="6101" applyFont="0" applyFill="0" applyBorder="0" applyAlignment="0" applyProtection="0">
      <alignment horizontal="right"/>
    </xf>
    <xf numFmtId="0" fontId="166" fillId="0" borderId="6101">
      <alignment horizontal="center"/>
    </xf>
    <xf numFmtId="0" fontId="165" fillId="0" borderId="6101" applyFill="0" applyProtection="0">
      <alignment horizontal="center"/>
    </xf>
    <xf numFmtId="186" fontId="146" fillId="3" borderId="6101" applyBorder="0">
      <alignment horizontal="left" vertical="center"/>
    </xf>
    <xf numFmtId="180" fontId="9" fillId="3" borderId="6101">
      <alignment horizontal="right" vertical="center"/>
    </xf>
    <xf numFmtId="192" fontId="9" fillId="3" borderId="6101">
      <alignment horizontal="right" vertical="center"/>
    </xf>
    <xf numFmtId="248" fontId="46" fillId="0" borderId="6101"/>
    <xf numFmtId="0" fontId="12" fillId="0" borderId="6101" applyNumberFormat="0" applyFill="0" applyBorder="0" applyAlignment="0" applyProtection="0">
      <alignment horizontal="center"/>
    </xf>
    <xf numFmtId="0" fontId="113" fillId="0" borderId="6101" applyNumberFormat="0" applyFill="0" applyAlignment="0" applyProtection="0"/>
    <xf numFmtId="222" fontId="79" fillId="0" borderId="6100" applyBorder="0"/>
    <xf numFmtId="0" fontId="101" fillId="0" borderId="6101" applyBorder="0"/>
    <xf numFmtId="222" fontId="79" fillId="0" borderId="6100" applyBorder="0"/>
    <xf numFmtId="0" fontId="75" fillId="0" borderId="6090" applyNumberFormat="0" applyFont="0" applyFill="0" applyAlignment="0" applyProtection="0"/>
    <xf numFmtId="186" fontId="146" fillId="3" borderId="6092">
      <alignment horizontal="left"/>
    </xf>
    <xf numFmtId="186" fontId="140" fillId="3" borderId="6093">
      <alignment horizontal="center" vertical="center"/>
    </xf>
    <xf numFmtId="0" fontId="2" fillId="0" borderId="6094" applyNumberFormat="0" applyAlignment="0" applyProtection="0"/>
    <xf numFmtId="0" fontId="214" fillId="0" borderId="6095" applyNumberFormat="0" applyFont="0" applyFill="0" applyAlignment="0" applyProtection="0"/>
    <xf numFmtId="0" fontId="25" fillId="10" borderId="6096" applyNumberFormat="0" applyProtection="0">
      <alignment horizontal="left" vertical="top"/>
    </xf>
    <xf numFmtId="0" fontId="25" fillId="10" borderId="6097" applyNumberFormat="0" applyProtection="0">
      <alignment horizontal="left" vertical="top"/>
    </xf>
    <xf numFmtId="0" fontId="25" fillId="10" borderId="6098" applyNumberFormat="0" applyProtection="0">
      <alignment horizontal="left" vertical="top"/>
    </xf>
    <xf numFmtId="0" fontId="25" fillId="10" borderId="6099" applyNumberFormat="0" applyProtection="0">
      <alignment horizontal="left" vertical="top"/>
    </xf>
    <xf numFmtId="0" fontId="78" fillId="14" borderId="6091" applyFont="0" applyFill="0" applyBorder="0" applyAlignment="0" applyProtection="0"/>
    <xf numFmtId="222" fontId="79" fillId="0" borderId="6088" applyBorder="0"/>
    <xf numFmtId="0" fontId="78" fillId="14" borderId="6103" applyFont="0" applyFill="0" applyBorder="0" applyAlignment="0" applyProtection="0"/>
    <xf numFmtId="186" fontId="146" fillId="3" borderId="6092">
      <alignment horizontal="left"/>
    </xf>
    <xf numFmtId="0" fontId="78" fillId="14" borderId="6079" applyFont="0" applyFill="0" applyBorder="0" applyAlignment="0" applyProtection="0"/>
    <xf numFmtId="222" fontId="79" fillId="0" borderId="6088" applyBorder="0"/>
    <xf numFmtId="0" fontId="2" fillId="0" borderId="6106" applyNumberFormat="0" applyAlignment="0" applyProtection="0"/>
    <xf numFmtId="0" fontId="78" fillId="14" borderId="6079" applyFont="0" applyFill="0" applyBorder="0" applyAlignment="0" applyProtection="0"/>
    <xf numFmtId="0" fontId="25" fillId="10" borderId="6087" applyNumberFormat="0" applyProtection="0">
      <alignment horizontal="left" vertical="top"/>
    </xf>
    <xf numFmtId="0" fontId="25" fillId="10" borderId="6086" applyNumberFormat="0" applyProtection="0">
      <alignment horizontal="left" vertical="top"/>
    </xf>
    <xf numFmtId="0" fontId="25" fillId="10" borderId="6085" applyNumberFormat="0" applyProtection="0">
      <alignment horizontal="left" vertical="top"/>
    </xf>
    <xf numFmtId="0" fontId="25" fillId="10" borderId="6084" applyNumberFormat="0" applyProtection="0">
      <alignment horizontal="left" vertical="top"/>
    </xf>
    <xf numFmtId="0" fontId="25" fillId="10" borderId="6109" applyNumberFormat="0" applyProtection="0">
      <alignment horizontal="left" vertical="top"/>
    </xf>
    <xf numFmtId="0" fontId="214" fillId="0" borderId="6083" applyNumberFormat="0" applyFont="0" applyFill="0" applyAlignment="0" applyProtection="0"/>
    <xf numFmtId="0" fontId="2" fillId="0" borderId="6082" applyNumberFormat="0" applyAlignment="0" applyProtection="0"/>
    <xf numFmtId="186" fontId="140" fillId="3" borderId="6081">
      <alignment horizontal="center" vertical="center"/>
    </xf>
    <xf numFmtId="186" fontId="146" fillId="3" borderId="6080">
      <alignment horizontal="left"/>
    </xf>
    <xf numFmtId="0" fontId="25" fillId="10" borderId="6111" applyNumberFormat="0" applyProtection="0">
      <alignment horizontal="left" vertical="top"/>
    </xf>
    <xf numFmtId="0" fontId="75" fillId="0" borderId="6078" applyNumberFormat="0" applyFont="0" applyFill="0" applyAlignment="0" applyProtection="0"/>
    <xf numFmtId="222" fontId="79" fillId="0" borderId="6088" applyBorder="0"/>
    <xf numFmtId="0" fontId="101" fillId="0" borderId="6089" applyBorder="0"/>
    <xf numFmtId="222" fontId="79" fillId="0" borderId="6088" applyBorder="0"/>
    <xf numFmtId="0" fontId="113" fillId="0" borderId="6089" applyNumberFormat="0" applyFill="0" applyAlignment="0" applyProtection="0"/>
    <xf numFmtId="0" fontId="12" fillId="0" borderId="6089" applyNumberFormat="0" applyFill="0" applyBorder="0" applyAlignment="0" applyProtection="0">
      <alignment horizontal="center"/>
    </xf>
    <xf numFmtId="248" fontId="46" fillId="0" borderId="6089"/>
    <xf numFmtId="192" fontId="9" fillId="3" borderId="6089">
      <alignment horizontal="right" vertical="center"/>
    </xf>
    <xf numFmtId="180" fontId="9" fillId="3" borderId="6089">
      <alignment horizontal="right" vertical="center"/>
    </xf>
    <xf numFmtId="186" fontId="146" fillId="3" borderId="6089" applyBorder="0">
      <alignment horizontal="left" vertical="center"/>
    </xf>
    <xf numFmtId="0" fontId="165" fillId="0" borderId="6089" applyFill="0" applyProtection="0">
      <alignment horizontal="center"/>
    </xf>
    <xf numFmtId="0" fontId="166" fillId="0" borderId="6089">
      <alignment horizontal="center"/>
    </xf>
    <xf numFmtId="264" fontId="12" fillId="14" borderId="6089" applyFont="0" applyFill="0" applyBorder="0" applyAlignment="0" applyProtection="0">
      <alignment horizontal="right"/>
    </xf>
    <xf numFmtId="0" fontId="210" fillId="0" borderId="6089" applyNumberFormat="0" applyFill="0" applyBorder="0" applyAlignment="0">
      <protection locked="0"/>
    </xf>
    <xf numFmtId="254" fontId="240" fillId="0" borderId="6089" applyBorder="0" applyProtection="0">
      <alignment horizontal="right" vertical="center"/>
    </xf>
    <xf numFmtId="0" fontId="241" fillId="94" borderId="6089" applyBorder="0" applyProtection="0">
      <alignment horizontal="centerContinuous" vertical="center"/>
    </xf>
    <xf numFmtId="246" fontId="249" fillId="0" borderId="6089" applyFill="0" applyProtection="0">
      <alignment horizontal="center"/>
    </xf>
    <xf numFmtId="246" fontId="250" fillId="0" borderId="6089" applyFill="0" applyProtection="0">
      <alignment horizontal="center"/>
    </xf>
    <xf numFmtId="186" fontId="140" fillId="3" borderId="6105">
      <alignment horizontal="center" vertical="center"/>
    </xf>
    <xf numFmtId="0" fontId="78" fillId="14" borderId="6091" applyFont="0" applyFill="0" applyBorder="0" applyAlignment="0" applyProtection="0"/>
    <xf numFmtId="222" fontId="79" fillId="0" borderId="6112" applyBorder="0"/>
    <xf numFmtId="0" fontId="78" fillId="14" borderId="6115" applyFont="0" applyFill="0" applyBorder="0" applyAlignment="0" applyProtection="0"/>
    <xf numFmtId="0" fontId="25" fillId="10" borderId="6123" applyNumberFormat="0" applyProtection="0">
      <alignment horizontal="left" vertical="top"/>
    </xf>
    <xf numFmtId="0" fontId="25" fillId="10" borderId="6122" applyNumberFormat="0" applyProtection="0">
      <alignment horizontal="left" vertical="top"/>
    </xf>
    <xf numFmtId="0" fontId="25" fillId="10" borderId="6121" applyNumberFormat="0" applyProtection="0">
      <alignment horizontal="left" vertical="top"/>
    </xf>
    <xf numFmtId="0" fontId="25" fillId="10" borderId="6120" applyNumberFormat="0" applyProtection="0">
      <alignment horizontal="left" vertical="top"/>
    </xf>
    <xf numFmtId="0" fontId="214" fillId="0" borderId="6119" applyNumberFormat="0" applyFont="0" applyFill="0" applyAlignment="0" applyProtection="0"/>
    <xf numFmtId="0" fontId="2" fillId="0" borderId="6118" applyNumberFormat="0" applyAlignment="0" applyProtection="0"/>
    <xf numFmtId="186" fontId="140" fillId="3" borderId="6117">
      <alignment horizontal="center" vertical="center"/>
    </xf>
    <xf numFmtId="186" fontId="146" fillId="3" borderId="6116">
      <alignment horizontal="left"/>
    </xf>
    <xf numFmtId="0" fontId="75" fillId="0" borderId="6114" applyNumberFormat="0" applyFont="0" applyFill="0" applyAlignment="0" applyProtection="0"/>
    <xf numFmtId="222" fontId="79" fillId="0" borderId="6124" applyBorder="0"/>
    <xf numFmtId="0" fontId="101" fillId="0" borderId="6125" applyBorder="0"/>
    <xf numFmtId="222" fontId="79" fillId="0" borderId="6124" applyBorder="0"/>
    <xf numFmtId="0" fontId="113" fillId="0" borderId="6125" applyNumberFormat="0" applyFill="0" applyAlignment="0" applyProtection="0"/>
    <xf numFmtId="0" fontId="12" fillId="0" borderId="6125" applyNumberFormat="0" applyFill="0" applyBorder="0" applyAlignment="0" applyProtection="0">
      <alignment horizontal="center"/>
    </xf>
    <xf numFmtId="248" fontId="46" fillId="0" borderId="6125"/>
    <xf numFmtId="192" fontId="9" fillId="3" borderId="6125">
      <alignment horizontal="right" vertical="center"/>
    </xf>
    <xf numFmtId="180" fontId="9" fillId="3" borderId="6125">
      <alignment horizontal="right" vertical="center"/>
    </xf>
    <xf numFmtId="186" fontId="146" fillId="3" borderId="6125" applyBorder="0">
      <alignment horizontal="left" vertical="center"/>
    </xf>
    <xf numFmtId="0" fontId="165" fillId="0" borderId="6125" applyFill="0" applyProtection="0">
      <alignment horizontal="center"/>
    </xf>
    <xf numFmtId="0" fontId="166" fillId="0" borderId="6125">
      <alignment horizontal="center"/>
    </xf>
    <xf numFmtId="264" fontId="12" fillId="14" borderId="6125" applyFont="0" applyFill="0" applyBorder="0" applyAlignment="0" applyProtection="0">
      <alignment horizontal="right"/>
    </xf>
    <xf numFmtId="0" fontId="210" fillId="0" borderId="6125" applyNumberFormat="0" applyFill="0" applyBorder="0" applyAlignment="0">
      <protection locked="0"/>
    </xf>
    <xf numFmtId="254" fontId="240" fillId="0" borderId="6125" applyBorder="0" applyProtection="0">
      <alignment horizontal="right" vertical="center"/>
    </xf>
    <xf numFmtId="0" fontId="241" fillId="94" borderId="6125" applyBorder="0" applyProtection="0">
      <alignment horizontal="centerContinuous" vertical="center"/>
    </xf>
    <xf numFmtId="246" fontId="249" fillId="0" borderId="6125" applyFill="0" applyProtection="0">
      <alignment horizontal="center"/>
    </xf>
    <xf numFmtId="246" fontId="250" fillId="0" borderId="6125" applyFill="0" applyProtection="0">
      <alignment horizontal="center"/>
    </xf>
    <xf numFmtId="222" fontId="79" fillId="0" borderId="6136" applyBorder="0"/>
    <xf numFmtId="0" fontId="78" fillId="14" borderId="6139" applyFont="0" applyFill="0" applyBorder="0" applyAlignment="0" applyProtection="0"/>
    <xf numFmtId="0" fontId="25" fillId="10" borderId="6147" applyNumberFormat="0" applyProtection="0">
      <alignment horizontal="left" vertical="top"/>
    </xf>
    <xf numFmtId="0" fontId="25" fillId="10" borderId="6146" applyNumberFormat="0" applyProtection="0">
      <alignment horizontal="left" vertical="top"/>
    </xf>
    <xf numFmtId="0" fontId="25" fillId="10" borderId="6145" applyNumberFormat="0" applyProtection="0">
      <alignment horizontal="left" vertical="top"/>
    </xf>
    <xf numFmtId="0" fontId="25" fillId="10" borderId="6144" applyNumberFormat="0" applyProtection="0">
      <alignment horizontal="left" vertical="top"/>
    </xf>
    <xf numFmtId="0" fontId="214" fillId="0" borderId="6143" applyNumberFormat="0" applyFont="0" applyFill="0" applyAlignment="0" applyProtection="0"/>
    <xf numFmtId="0" fontId="2" fillId="0" borderId="6142" applyNumberFormat="0" applyAlignment="0" applyProtection="0"/>
    <xf numFmtId="186" fontId="140" fillId="3" borderId="6141">
      <alignment horizontal="center" vertical="center"/>
    </xf>
    <xf numFmtId="186" fontId="146" fillId="3" borderId="6140">
      <alignment horizontal="left"/>
    </xf>
    <xf numFmtId="0" fontId="75" fillId="0" borderId="6138" applyNumberFormat="0" applyFont="0" applyFill="0" applyAlignment="0" applyProtection="0"/>
    <xf numFmtId="222" fontId="79" fillId="0" borderId="6148" applyBorder="0"/>
    <xf numFmtId="0" fontId="101" fillId="0" borderId="6149" applyBorder="0"/>
    <xf numFmtId="222" fontId="79" fillId="0" borderId="6148" applyBorder="0"/>
    <xf numFmtId="0" fontId="113" fillId="0" borderId="6149" applyNumberFormat="0" applyFill="0" applyAlignment="0" applyProtection="0"/>
    <xf numFmtId="0" fontId="12" fillId="0" borderId="6149" applyNumberFormat="0" applyFill="0" applyBorder="0" applyAlignment="0" applyProtection="0">
      <alignment horizontal="center"/>
    </xf>
    <xf numFmtId="248" fontId="46" fillId="0" borderId="6149"/>
    <xf numFmtId="192" fontId="9" fillId="3" borderId="6149">
      <alignment horizontal="right" vertical="center"/>
    </xf>
    <xf numFmtId="180" fontId="9" fillId="3" borderId="6149">
      <alignment horizontal="right" vertical="center"/>
    </xf>
    <xf numFmtId="186" fontId="146" fillId="3" borderId="6149" applyBorder="0">
      <alignment horizontal="left" vertical="center"/>
    </xf>
    <xf numFmtId="0" fontId="165" fillId="0" borderId="6149" applyFill="0" applyProtection="0">
      <alignment horizontal="center"/>
    </xf>
    <xf numFmtId="0" fontId="166" fillId="0" borderId="6149">
      <alignment horizontal="center"/>
    </xf>
    <xf numFmtId="264" fontId="12" fillId="14" borderId="6149" applyFont="0" applyFill="0" applyBorder="0" applyAlignment="0" applyProtection="0">
      <alignment horizontal="right"/>
    </xf>
    <xf numFmtId="0" fontId="210" fillId="0" borderId="6149" applyNumberFormat="0" applyFill="0" applyBorder="0" applyAlignment="0">
      <protection locked="0"/>
    </xf>
    <xf numFmtId="254" fontId="240" fillId="0" borderId="6149" applyBorder="0" applyProtection="0">
      <alignment horizontal="right" vertical="center"/>
    </xf>
    <xf numFmtId="0" fontId="241" fillId="94" borderId="6149" applyBorder="0" applyProtection="0">
      <alignment horizontal="centerContinuous" vertical="center"/>
    </xf>
    <xf numFmtId="246" fontId="249" fillId="0" borderId="6149" applyFill="0" applyProtection="0">
      <alignment horizontal="center"/>
    </xf>
    <xf numFmtId="246" fontId="250" fillId="0" borderId="6149" applyFill="0" applyProtection="0">
      <alignment horizontal="center"/>
    </xf>
    <xf numFmtId="0" fontId="75" fillId="0" borderId="6162" applyNumberFormat="0" applyFont="0" applyFill="0" applyAlignment="0" applyProtection="0"/>
    <xf numFmtId="0" fontId="78" fillId="14" borderId="6163" applyFont="0" applyFill="0" applyBorder="0" applyAlignment="0" applyProtection="0"/>
    <xf numFmtId="186" fontId="146" fillId="3" borderId="6164">
      <alignment horizontal="left"/>
    </xf>
    <xf numFmtId="186" fontId="140" fillId="3" borderId="6165">
      <alignment horizontal="center" vertical="center"/>
    </xf>
    <xf numFmtId="0" fontId="2" fillId="0" borderId="6166" applyNumberFormat="0" applyAlignment="0" applyProtection="0"/>
    <xf numFmtId="0" fontId="214" fillId="0" borderId="6167" applyNumberFormat="0" applyFont="0" applyFill="0" applyAlignment="0" applyProtection="0"/>
    <xf numFmtId="0" fontId="25" fillId="10" borderId="6168" applyNumberFormat="0" applyProtection="0">
      <alignment horizontal="left" vertical="top"/>
    </xf>
    <xf numFmtId="0" fontId="25" fillId="10" borderId="6169" applyNumberFormat="0" applyProtection="0">
      <alignment horizontal="left" vertical="top"/>
    </xf>
    <xf numFmtId="0" fontId="25" fillId="10" borderId="6170" applyNumberFormat="0" applyProtection="0">
      <alignment horizontal="left" vertical="top"/>
    </xf>
    <xf numFmtId="0" fontId="25" fillId="10" borderId="6171" applyNumberFormat="0" applyProtection="0">
      <alignment horizontal="left" vertical="top"/>
    </xf>
    <xf numFmtId="0" fontId="25" fillId="10" borderId="6158" applyNumberFormat="0" applyProtection="0">
      <alignment horizontal="left" vertical="top"/>
    </xf>
    <xf numFmtId="190" fontId="210" fillId="0" borderId="6209" applyNumberFormat="0" applyFill="0" applyBorder="0" applyAlignment="0">
      <protection locked="0"/>
    </xf>
    <xf numFmtId="254" fontId="240" fillId="0" borderId="6197" applyBorder="0" applyProtection="0">
      <alignment horizontal="right" vertical="center"/>
    </xf>
    <xf numFmtId="246" fontId="250" fillId="0" borderId="6161" applyFill="0" applyProtection="0">
      <alignment horizontal="center"/>
    </xf>
    <xf numFmtId="246" fontId="249" fillId="0" borderId="6161" applyFill="0" applyProtection="0">
      <alignment horizontal="center"/>
    </xf>
    <xf numFmtId="0" fontId="241" fillId="94" borderId="6161" applyBorder="0" applyProtection="0">
      <alignment horizontal="centerContinuous" vertical="center"/>
    </xf>
    <xf numFmtId="254" fontId="240" fillId="0" borderId="6161" applyBorder="0" applyProtection="0">
      <alignment horizontal="right" vertical="center"/>
    </xf>
    <xf numFmtId="0" fontId="210" fillId="0" borderId="6161" applyNumberFormat="0" applyFill="0" applyBorder="0" applyAlignment="0">
      <protection locked="0"/>
    </xf>
    <xf numFmtId="264" fontId="12" fillId="14" borderId="6161" applyFont="0" applyFill="0" applyBorder="0" applyAlignment="0" applyProtection="0">
      <alignment horizontal="right"/>
    </xf>
    <xf numFmtId="0" fontId="166" fillId="0" borderId="6161">
      <alignment horizontal="center"/>
    </xf>
    <xf numFmtId="0" fontId="165" fillId="0" borderId="6161" applyFill="0" applyProtection="0">
      <alignment horizontal="center"/>
    </xf>
    <xf numFmtId="246" fontId="250" fillId="0" borderId="6149" applyFill="0" applyProtection="0">
      <alignment horizontal="center"/>
    </xf>
    <xf numFmtId="0" fontId="25" fillId="10" borderId="6168" applyNumberFormat="0" applyProtection="0">
      <alignment horizontal="left" vertical="top"/>
    </xf>
    <xf numFmtId="186" fontId="146" fillId="3" borderId="6161" applyBorder="0">
      <alignment horizontal="left" vertical="center"/>
    </xf>
    <xf numFmtId="180" fontId="9" fillId="3" borderId="6161">
      <alignment horizontal="right" vertical="center"/>
    </xf>
    <xf numFmtId="192" fontId="9" fillId="3" borderId="6161">
      <alignment horizontal="right" vertical="center"/>
    </xf>
    <xf numFmtId="0" fontId="12" fillId="0" borderId="6161" applyNumberFormat="0" applyFill="0" applyBorder="0" applyAlignment="0" applyProtection="0">
      <alignment horizontal="center"/>
    </xf>
    <xf numFmtId="0" fontId="113" fillId="0" borderId="6161" applyNumberFormat="0" applyFill="0" applyAlignment="0" applyProtection="0"/>
    <xf numFmtId="0" fontId="25" fillId="10" borderId="6195" applyNumberFormat="0" applyProtection="0">
      <alignment horizontal="left" vertical="top"/>
    </xf>
    <xf numFmtId="246" fontId="250" fillId="0" borderId="6209" applyFill="0" applyProtection="0">
      <alignment horizontal="center"/>
    </xf>
    <xf numFmtId="222" fontId="79" fillId="0" borderId="6160" applyBorder="0"/>
    <xf numFmtId="0" fontId="101" fillId="0" borderId="6161" applyBorder="0"/>
    <xf numFmtId="248" fontId="46" fillId="0" borderId="6161"/>
    <xf numFmtId="0" fontId="101" fillId="0" borderId="6161" applyBorder="0"/>
    <xf numFmtId="222" fontId="79" fillId="0" borderId="6160" applyBorder="0"/>
    <xf numFmtId="0" fontId="113" fillId="0" borderId="6161" applyNumberFormat="0" applyFill="0" applyAlignment="0" applyProtection="0"/>
    <xf numFmtId="0" fontId="75" fillId="0" borderId="6162" applyNumberFormat="0" applyFont="0" applyFill="0" applyAlignment="0" applyProtection="0"/>
    <xf numFmtId="0" fontId="12" fillId="0" borderId="6161" applyNumberFormat="0" applyFill="0" applyBorder="0" applyAlignment="0" applyProtection="0">
      <alignment horizontal="center"/>
    </xf>
    <xf numFmtId="248" fontId="46" fillId="0" borderId="6161"/>
    <xf numFmtId="192" fontId="9" fillId="3" borderId="6161">
      <alignment horizontal="right" vertical="center"/>
    </xf>
    <xf numFmtId="180" fontId="9" fillId="3" borderId="6161">
      <alignment horizontal="right" vertical="center"/>
    </xf>
    <xf numFmtId="186" fontId="146" fillId="3" borderId="6161" applyBorder="0">
      <alignment horizontal="left" vertical="center"/>
    </xf>
    <xf numFmtId="186" fontId="146" fillId="3" borderId="6164">
      <alignment horizontal="left"/>
    </xf>
    <xf numFmtId="186" fontId="140" fillId="3" borderId="6165">
      <alignment horizontal="center" vertical="center"/>
    </xf>
    <xf numFmtId="0" fontId="165" fillId="0" borderId="6161" applyFill="0" applyProtection="0">
      <alignment horizontal="center"/>
    </xf>
    <xf numFmtId="0" fontId="166" fillId="0" borderId="6161">
      <alignment horizontal="center"/>
    </xf>
    <xf numFmtId="264" fontId="12" fillId="14" borderId="6161" applyFont="0" applyFill="0" applyBorder="0" applyAlignment="0" applyProtection="0">
      <alignment horizontal="right"/>
    </xf>
    <xf numFmtId="0" fontId="210" fillId="0" borderId="6161" applyNumberFormat="0" applyFill="0" applyBorder="0" applyAlignment="0">
      <protection locked="0"/>
    </xf>
    <xf numFmtId="0" fontId="2" fillId="0" borderId="6166" applyNumberFormat="0" applyAlignment="0" applyProtection="0"/>
    <xf numFmtId="0" fontId="214" fillId="0" borderId="6167" applyNumberFormat="0" applyFont="0" applyFill="0" applyAlignment="0" applyProtection="0"/>
    <xf numFmtId="0" fontId="25" fillId="10" borderId="6168" applyNumberFormat="0" applyProtection="0">
      <alignment horizontal="left" vertical="top"/>
    </xf>
    <xf numFmtId="0" fontId="25" fillId="10" borderId="6169" applyNumberFormat="0" applyProtection="0">
      <alignment horizontal="left" vertical="top"/>
    </xf>
    <xf numFmtId="0" fontId="25" fillId="10" borderId="6170" applyNumberFormat="0" applyProtection="0">
      <alignment horizontal="left" vertical="top"/>
    </xf>
    <xf numFmtId="0" fontId="25" fillId="10" borderId="6171" applyNumberFormat="0" applyProtection="0">
      <alignment horizontal="left" vertical="top"/>
    </xf>
    <xf numFmtId="0" fontId="25" fillId="10" borderId="6168" applyNumberFormat="0" applyProtection="0">
      <alignment horizontal="left" vertical="top"/>
    </xf>
    <xf numFmtId="0" fontId="25" fillId="10" borderId="6169" applyNumberFormat="0" applyProtection="0">
      <alignment horizontal="left" vertical="top"/>
    </xf>
    <xf numFmtId="0" fontId="25" fillId="10" borderId="6170" applyNumberFormat="0" applyProtection="0">
      <alignment horizontal="left" vertical="top"/>
    </xf>
    <xf numFmtId="0" fontId="25" fillId="10" borderId="6171" applyNumberFormat="0" applyProtection="0">
      <alignment horizontal="left" vertical="top"/>
    </xf>
    <xf numFmtId="254" fontId="240" fillId="0" borderId="6161" applyBorder="0" applyProtection="0">
      <alignment horizontal="right" vertical="center"/>
    </xf>
    <xf numFmtId="0" fontId="241" fillId="94" borderId="6161" applyBorder="0" applyProtection="0">
      <alignment horizontal="centerContinuous" vertical="center"/>
    </xf>
    <xf numFmtId="246" fontId="249" fillId="0" borderId="6161" applyFill="0" applyProtection="0">
      <alignment horizontal="center"/>
    </xf>
    <xf numFmtId="246" fontId="250" fillId="0" borderId="6161" applyFill="0" applyProtection="0">
      <alignment horizontal="center"/>
    </xf>
    <xf numFmtId="0" fontId="25" fillId="10" borderId="6157" applyNumberFormat="0" applyProtection="0">
      <alignment horizontal="left" vertical="top"/>
    </xf>
    <xf numFmtId="312" fontId="25" fillId="10" borderId="6192" applyNumberFormat="0" applyProtection="0">
      <alignment horizontal="left" vertical="top"/>
    </xf>
    <xf numFmtId="190" fontId="101" fillId="0" borderId="6161" applyBorder="0"/>
    <xf numFmtId="246" fontId="249" fillId="0" borderId="6209" applyFill="0" applyProtection="0">
      <alignment horizontal="center"/>
    </xf>
    <xf numFmtId="0" fontId="25" fillId="10" borderId="6194" applyNumberFormat="0" applyProtection="0">
      <alignment horizontal="left" vertical="top"/>
    </xf>
    <xf numFmtId="0" fontId="166" fillId="0" borderId="6209">
      <alignment horizontal="center"/>
    </xf>
    <xf numFmtId="186" fontId="146" fillId="3" borderId="6209" applyBorder="0">
      <alignment horizontal="left" vertical="center"/>
    </xf>
    <xf numFmtId="190" fontId="113" fillId="0" borderId="6161" applyNumberFormat="0" applyFill="0" applyAlignment="0" applyProtection="0"/>
    <xf numFmtId="190" fontId="75" fillId="0" borderId="6138" applyNumberFormat="0" applyFont="0" applyFill="0" applyAlignment="0" applyProtection="0"/>
    <xf numFmtId="190" fontId="241" fillId="94" borderId="6209" applyBorder="0" applyProtection="0">
      <alignment horizontal="centerContinuous" vertical="center"/>
    </xf>
    <xf numFmtId="190" fontId="25" fillId="10" borderId="6193" applyNumberFormat="0" applyProtection="0">
      <alignment horizontal="left" vertical="top"/>
    </xf>
    <xf numFmtId="190" fontId="12" fillId="0" borderId="6161" applyNumberFormat="0" applyFill="0" applyBorder="0" applyAlignment="0" applyProtection="0">
      <alignment horizontal="center"/>
    </xf>
    <xf numFmtId="190" fontId="75" fillId="0" borderId="6186" applyNumberFormat="0" applyFont="0" applyFill="0" applyAlignment="0" applyProtection="0"/>
    <xf numFmtId="190" fontId="78" fillId="14" borderId="6151" applyFont="0" applyFill="0" applyBorder="0" applyAlignment="0" applyProtection="0"/>
    <xf numFmtId="254" fontId="240" fillId="0" borderId="6209" applyBorder="0" applyProtection="0">
      <alignment horizontal="right" vertical="center"/>
    </xf>
    <xf numFmtId="246" fontId="250" fillId="0" borderId="6209" applyFill="0" applyProtection="0">
      <alignment horizontal="center"/>
    </xf>
    <xf numFmtId="0" fontId="165" fillId="0" borderId="6197" applyFill="0" applyProtection="0">
      <alignment horizontal="center"/>
    </xf>
    <xf numFmtId="248" fontId="46" fillId="0" borderId="6197"/>
    <xf numFmtId="222" fontId="79" fillId="0" borderId="6196" applyBorder="0"/>
    <xf numFmtId="186" fontId="140" fillId="3" borderId="6189">
      <alignment horizontal="center" vertical="center"/>
    </xf>
    <xf numFmtId="0" fontId="25" fillId="10" borderId="6192" applyNumberFormat="0" applyProtection="0">
      <alignment horizontal="left" vertical="top"/>
    </xf>
    <xf numFmtId="0" fontId="25" fillId="10" borderId="6195" applyNumberFormat="0" applyProtection="0">
      <alignment horizontal="left" vertical="top"/>
    </xf>
    <xf numFmtId="246" fontId="250" fillId="0" borderId="6173" applyFill="0" applyProtection="0">
      <alignment horizontal="center"/>
    </xf>
    <xf numFmtId="254" fontId="240" fillId="0" borderId="6173" applyBorder="0" applyProtection="0">
      <alignment horizontal="right" vertical="center"/>
    </xf>
    <xf numFmtId="0" fontId="166" fillId="0" borderId="6173">
      <alignment horizontal="center"/>
    </xf>
    <xf numFmtId="180" fontId="9" fillId="3" borderId="6173">
      <alignment horizontal="right" vertical="center"/>
    </xf>
    <xf numFmtId="0" fontId="12" fillId="0" borderId="6173" applyNumberFormat="0" applyFill="0" applyBorder="0" applyAlignment="0" applyProtection="0">
      <alignment horizontal="center"/>
    </xf>
    <xf numFmtId="0" fontId="101" fillId="0" borderId="6173" applyBorder="0"/>
    <xf numFmtId="186" fontId="146" fillId="3" borderId="6164">
      <alignment horizontal="left"/>
    </xf>
    <xf numFmtId="0" fontId="25" fillId="10" borderId="6169" applyNumberFormat="0" applyProtection="0">
      <alignment horizontal="left" vertical="top"/>
    </xf>
    <xf numFmtId="246" fontId="249" fillId="0" borderId="6149" applyFill="0" applyProtection="0">
      <alignment horizontal="center"/>
    </xf>
    <xf numFmtId="0" fontId="165" fillId="0" borderId="6149" applyFill="0" applyProtection="0">
      <alignment horizontal="center"/>
    </xf>
    <xf numFmtId="0" fontId="214" fillId="0" borderId="6155" applyNumberFormat="0" applyFont="0" applyFill="0" applyAlignment="0" applyProtection="0"/>
    <xf numFmtId="0" fontId="78" fillId="14" borderId="6151" applyFont="0" applyFill="0" applyBorder="0" applyAlignment="0" applyProtection="0"/>
    <xf numFmtId="0" fontId="2" fillId="0" borderId="6154" applyNumberFormat="0" applyAlignment="0" applyProtection="0"/>
    <xf numFmtId="0" fontId="75" fillId="0" borderId="6150" applyNumberFormat="0" applyFont="0" applyFill="0" applyAlignment="0" applyProtection="0"/>
    <xf numFmtId="0" fontId="12" fillId="0" borderId="6149" applyNumberFormat="0" applyFill="0" applyBorder="0" applyAlignment="0" applyProtection="0">
      <alignment horizontal="center"/>
    </xf>
    <xf numFmtId="186" fontId="146" fillId="3" borderId="6149" applyBorder="0">
      <alignment horizontal="left" vertical="center"/>
    </xf>
    <xf numFmtId="190" fontId="165" fillId="0" borderId="6161" applyFill="0" applyProtection="0">
      <alignment horizontal="center"/>
    </xf>
    <xf numFmtId="190" fontId="166" fillId="0" borderId="6161">
      <alignment horizontal="center"/>
    </xf>
    <xf numFmtId="0" fontId="25" fillId="10" borderId="6156" applyNumberFormat="0" applyProtection="0">
      <alignment horizontal="left" vertical="top"/>
    </xf>
    <xf numFmtId="0" fontId="25" fillId="10" borderId="6159" applyNumberFormat="0" applyProtection="0">
      <alignment horizontal="left" vertical="top"/>
    </xf>
    <xf numFmtId="222" fontId="79" fillId="0" borderId="6160" applyBorder="0"/>
    <xf numFmtId="0" fontId="101" fillId="0" borderId="6149" applyBorder="0"/>
    <xf numFmtId="0" fontId="12" fillId="0" borderId="6149" applyNumberFormat="0" applyFill="0" applyBorder="0" applyAlignment="0" applyProtection="0">
      <alignment horizontal="center"/>
    </xf>
    <xf numFmtId="0" fontId="165" fillId="0" borderId="6149" applyFill="0" applyProtection="0">
      <alignment horizontal="center"/>
    </xf>
    <xf numFmtId="0" fontId="214" fillId="0" borderId="6155" applyNumberFormat="0" applyFont="0" applyFill="0" applyAlignment="0" applyProtection="0"/>
    <xf numFmtId="0" fontId="25" fillId="10" borderId="6158" applyNumberFormat="0" applyProtection="0">
      <alignment horizontal="left" vertical="top"/>
    </xf>
    <xf numFmtId="0" fontId="241" fillId="94" borderId="6185" applyBorder="0" applyProtection="0">
      <alignment horizontal="centerContinuous" vertical="center"/>
    </xf>
    <xf numFmtId="0" fontId="165" fillId="0" borderId="6161" applyFill="0" applyProtection="0">
      <alignment horizontal="center"/>
    </xf>
    <xf numFmtId="0" fontId="25" fillId="10" borderId="6207" applyNumberFormat="0" applyProtection="0">
      <alignment horizontal="left" vertical="top"/>
    </xf>
    <xf numFmtId="0" fontId="241" fillId="94" borderId="6149" applyBorder="0" applyProtection="0">
      <alignment horizontal="centerContinuous" vertical="center"/>
    </xf>
    <xf numFmtId="0" fontId="113" fillId="0" borderId="6185" applyNumberFormat="0" applyFill="0" applyAlignment="0" applyProtection="0"/>
    <xf numFmtId="0" fontId="165" fillId="0" borderId="6149" applyFill="0" applyProtection="0">
      <alignment horizontal="center"/>
    </xf>
    <xf numFmtId="0" fontId="25" fillId="10" borderId="6206" applyNumberFormat="0" applyProtection="0">
      <alignment horizontal="left" vertical="top"/>
    </xf>
    <xf numFmtId="0" fontId="25" fillId="10" borderId="6159" applyNumberFormat="0" applyProtection="0">
      <alignment horizontal="left" vertical="top"/>
    </xf>
    <xf numFmtId="0" fontId="25" fillId="10" borderId="6158" applyNumberFormat="0" applyProtection="0">
      <alignment horizontal="left" vertical="top"/>
    </xf>
    <xf numFmtId="190" fontId="210" fillId="0" borderId="6161" applyNumberFormat="0" applyFill="0" applyBorder="0" applyAlignment="0">
      <protection locked="0"/>
    </xf>
    <xf numFmtId="190" fontId="2" fillId="0" borderId="6142" applyNumberFormat="0" applyAlignment="0" applyProtection="0"/>
    <xf numFmtId="190" fontId="214" fillId="0" borderId="6143" applyNumberFormat="0" applyFont="0" applyFill="0" applyAlignment="0" applyProtection="0"/>
    <xf numFmtId="190" fontId="25" fillId="10" borderId="6144" applyNumberFormat="0" applyProtection="0">
      <alignment horizontal="left" vertical="top"/>
    </xf>
    <xf numFmtId="190" fontId="25" fillId="10" borderId="6145" applyNumberFormat="0" applyProtection="0">
      <alignment horizontal="left" vertical="top"/>
    </xf>
    <xf numFmtId="190" fontId="25" fillId="10" borderId="6146" applyNumberFormat="0" applyProtection="0">
      <alignment horizontal="left" vertical="top"/>
    </xf>
    <xf numFmtId="190" fontId="25" fillId="10" borderId="6147" applyNumberFormat="0" applyProtection="0">
      <alignment horizontal="left" vertical="top"/>
    </xf>
    <xf numFmtId="190" fontId="241" fillId="94" borderId="6161" applyBorder="0" applyProtection="0">
      <alignment horizontal="centerContinuous" vertical="center"/>
    </xf>
    <xf numFmtId="264" fontId="12" fillId="14" borderId="6545" applyFont="0" applyFill="0" applyBorder="0" applyAlignment="0" applyProtection="0">
      <alignment horizontal="right"/>
    </xf>
    <xf numFmtId="0" fontId="75" fillId="0" borderId="6546" applyNumberFormat="0" applyFont="0" applyFill="0" applyAlignment="0" applyProtection="0"/>
    <xf numFmtId="0" fontId="25" fillId="10" borderId="6158" applyNumberFormat="0" applyProtection="0">
      <alignment horizontal="left" vertical="top"/>
    </xf>
    <xf numFmtId="180" fontId="9" fillId="3" borderId="6185">
      <alignment horizontal="right" vertical="center"/>
    </xf>
    <xf numFmtId="222" fontId="79" fillId="0" borderId="6160" applyBorder="0"/>
    <xf numFmtId="0" fontId="101" fillId="0" borderId="6161" applyBorder="0"/>
    <xf numFmtId="222" fontId="79" fillId="0" borderId="6160" applyBorder="0"/>
    <xf numFmtId="0" fontId="113" fillId="0" borderId="6161" applyNumberFormat="0" applyFill="0" applyAlignment="0" applyProtection="0"/>
    <xf numFmtId="0" fontId="75" fillId="0" borderId="6138" applyNumberFormat="0" applyFont="0" applyFill="0" applyAlignment="0" applyProtection="0"/>
    <xf numFmtId="0" fontId="12" fillId="0" borderId="6161" applyNumberFormat="0" applyFill="0" applyBorder="0" applyAlignment="0" applyProtection="0">
      <alignment horizontal="center"/>
    </xf>
    <xf numFmtId="248" fontId="46" fillId="0" borderId="6161"/>
    <xf numFmtId="192" fontId="9" fillId="3" borderId="6161">
      <alignment horizontal="right" vertical="center"/>
    </xf>
    <xf numFmtId="180" fontId="9" fillId="3" borderId="6161">
      <alignment horizontal="right" vertical="center"/>
    </xf>
    <xf numFmtId="186" fontId="146" fillId="3" borderId="6161" applyBorder="0">
      <alignment horizontal="left" vertical="center"/>
    </xf>
    <xf numFmtId="186" fontId="146" fillId="3" borderId="6140">
      <alignment horizontal="left"/>
    </xf>
    <xf numFmtId="186" fontId="140" fillId="3" borderId="6141">
      <alignment horizontal="center" vertical="center"/>
    </xf>
    <xf numFmtId="0" fontId="165" fillId="0" borderId="6161" applyFill="0" applyProtection="0">
      <alignment horizontal="center"/>
    </xf>
    <xf numFmtId="0" fontId="166" fillId="0" borderId="6161">
      <alignment horizontal="center"/>
    </xf>
    <xf numFmtId="264" fontId="12" fillId="14" borderId="6161" applyFont="0" applyFill="0" applyBorder="0" applyAlignment="0" applyProtection="0">
      <alignment horizontal="right"/>
    </xf>
    <xf numFmtId="0" fontId="210" fillId="0" borderId="6161" applyNumberFormat="0" applyFill="0" applyBorder="0" applyAlignment="0">
      <protection locked="0"/>
    </xf>
    <xf numFmtId="0" fontId="2" fillId="0" borderId="6142" applyNumberFormat="0" applyAlignment="0" applyProtection="0"/>
    <xf numFmtId="0" fontId="214" fillId="0" borderId="6143" applyNumberFormat="0" applyFont="0" applyFill="0" applyAlignment="0" applyProtection="0"/>
    <xf numFmtId="0" fontId="25" fillId="10" borderId="6144" applyNumberFormat="0" applyProtection="0">
      <alignment horizontal="left" vertical="top"/>
    </xf>
    <xf numFmtId="0" fontId="25" fillId="10" borderId="6145" applyNumberFormat="0" applyProtection="0">
      <alignment horizontal="left" vertical="top"/>
    </xf>
    <xf numFmtId="0" fontId="25" fillId="10" borderId="6146" applyNumberFormat="0" applyProtection="0">
      <alignment horizontal="left" vertical="top"/>
    </xf>
    <xf numFmtId="0" fontId="25" fillId="10" borderId="6147" applyNumberFormat="0" applyProtection="0">
      <alignment horizontal="left" vertical="top"/>
    </xf>
    <xf numFmtId="0" fontId="25" fillId="10" borderId="6144" applyNumberFormat="0" applyProtection="0">
      <alignment horizontal="left" vertical="top"/>
    </xf>
    <xf numFmtId="0" fontId="25" fillId="10" borderId="6145" applyNumberFormat="0" applyProtection="0">
      <alignment horizontal="left" vertical="top"/>
    </xf>
    <xf numFmtId="0" fontId="25" fillId="10" borderId="6146" applyNumberFormat="0" applyProtection="0">
      <alignment horizontal="left" vertical="top"/>
    </xf>
    <xf numFmtId="0" fontId="25" fillId="10" borderId="6147" applyNumberFormat="0" applyProtection="0">
      <alignment horizontal="left" vertical="top"/>
    </xf>
    <xf numFmtId="254" fontId="240" fillId="0" borderId="6161" applyBorder="0" applyProtection="0">
      <alignment horizontal="right" vertical="center"/>
    </xf>
    <xf numFmtId="0" fontId="241" fillId="94" borderId="6161" applyBorder="0" applyProtection="0">
      <alignment horizontal="centerContinuous" vertical="center"/>
    </xf>
    <xf numFmtId="246" fontId="249" fillId="0" borderId="6161" applyFill="0" applyProtection="0">
      <alignment horizontal="center"/>
    </xf>
    <xf numFmtId="246" fontId="250" fillId="0" borderId="6161" applyFill="0" applyProtection="0">
      <alignment horizontal="center"/>
    </xf>
    <xf numFmtId="248" fontId="46" fillId="0" borderId="6209"/>
    <xf numFmtId="0" fontId="101" fillId="0" borderId="6209" applyBorder="0"/>
    <xf numFmtId="192" fontId="9" fillId="3" borderId="6149">
      <alignment horizontal="right" vertical="center"/>
    </xf>
    <xf numFmtId="0" fontId="25" fillId="10" borderId="6156" applyNumberFormat="0" applyProtection="0">
      <alignment horizontal="left" vertical="top"/>
    </xf>
    <xf numFmtId="312" fontId="25" fillId="10" borderId="6194" applyNumberFormat="0" applyProtection="0">
      <alignment horizontal="left" vertical="top"/>
    </xf>
    <xf numFmtId="312" fontId="75" fillId="0" borderId="6186" applyNumberFormat="0" applyFont="0" applyFill="0" applyAlignment="0" applyProtection="0"/>
    <xf numFmtId="312" fontId="101" fillId="0" borderId="6161" applyBorder="0"/>
    <xf numFmtId="0" fontId="241" fillId="94" borderId="6209" applyBorder="0" applyProtection="0">
      <alignment horizontal="centerContinuous" vertical="center"/>
    </xf>
    <xf numFmtId="0" fontId="25" fillId="10" borderId="6193" applyNumberFormat="0" applyProtection="0">
      <alignment horizontal="left" vertical="top"/>
    </xf>
    <xf numFmtId="0" fontId="165" fillId="0" borderId="6209" applyFill="0" applyProtection="0">
      <alignment horizontal="center"/>
    </xf>
    <xf numFmtId="180" fontId="9" fillId="3" borderId="6209">
      <alignment horizontal="right" vertical="center"/>
    </xf>
    <xf numFmtId="312" fontId="113" fillId="0" borderId="6161" applyNumberFormat="0" applyFill="0" applyAlignment="0" applyProtection="0"/>
    <xf numFmtId="312" fontId="75" fillId="0" borderId="6138" applyNumberFormat="0" applyFont="0" applyFill="0" applyAlignment="0" applyProtection="0"/>
    <xf numFmtId="190" fontId="25" fillId="10" borderId="6192" applyNumberFormat="0" applyProtection="0">
      <alignment horizontal="left" vertical="top"/>
    </xf>
    <xf numFmtId="312" fontId="12" fillId="0" borderId="6161" applyNumberFormat="0" applyFill="0" applyBorder="0" applyAlignment="0" applyProtection="0">
      <alignment horizontal="center"/>
    </xf>
    <xf numFmtId="246" fontId="250" fillId="0" borderId="6209" applyFill="0" applyProtection="0">
      <alignment horizontal="center"/>
    </xf>
    <xf numFmtId="0" fontId="241" fillId="94" borderId="6209" applyBorder="0" applyProtection="0">
      <alignment horizontal="centerContinuous" vertical="center"/>
    </xf>
    <xf numFmtId="0" fontId="75" fillId="0" borderId="6210" applyNumberFormat="0" applyFont="0" applyFill="0" applyAlignment="0" applyProtection="0"/>
    <xf numFmtId="186" fontId="146" fillId="3" borderId="6197" applyBorder="0">
      <alignment horizontal="left" vertical="center"/>
    </xf>
    <xf numFmtId="0" fontId="12" fillId="0" borderId="6197" applyNumberFormat="0" applyFill="0" applyBorder="0" applyAlignment="0" applyProtection="0">
      <alignment horizontal="center"/>
    </xf>
    <xf numFmtId="0" fontId="75" fillId="0" borderId="6186" applyNumberFormat="0" applyFont="0" applyFill="0" applyAlignment="0" applyProtection="0"/>
    <xf numFmtId="0" fontId="2" fillId="0" borderId="6190" applyNumberFormat="0" applyAlignment="0" applyProtection="0"/>
    <xf numFmtId="0" fontId="25" fillId="10" borderId="6193" applyNumberFormat="0" applyProtection="0">
      <alignment horizontal="left" vertical="top"/>
    </xf>
    <xf numFmtId="0" fontId="78" fillId="14" borderId="6187" applyFont="0" applyFill="0" applyBorder="0" applyAlignment="0" applyProtection="0"/>
    <xf numFmtId="246" fontId="249" fillId="0" borderId="6173" applyFill="0" applyProtection="0">
      <alignment horizontal="center"/>
    </xf>
    <xf numFmtId="0" fontId="210" fillId="0" borderId="6173" applyNumberFormat="0" applyFill="0" applyBorder="0" applyAlignment="0">
      <protection locked="0"/>
    </xf>
    <xf numFmtId="0" fontId="165" fillId="0" borderId="6173" applyFill="0" applyProtection="0">
      <alignment horizontal="center"/>
    </xf>
    <xf numFmtId="192" fontId="9" fillId="3" borderId="6173">
      <alignment horizontal="right" vertical="center"/>
    </xf>
    <xf numFmtId="0" fontId="113" fillId="0" borderId="6173" applyNumberFormat="0" applyFill="0" applyAlignment="0" applyProtection="0"/>
    <xf numFmtId="222" fontId="79" fillId="0" borderId="6172" applyBorder="0"/>
    <xf numFmtId="186" fontId="140" fillId="3" borderId="6165">
      <alignment horizontal="center" vertical="center"/>
    </xf>
    <xf numFmtId="0" fontId="25" fillId="10" borderId="6170" applyNumberFormat="0" applyProtection="0">
      <alignment horizontal="left" vertical="top"/>
    </xf>
    <xf numFmtId="0" fontId="241" fillId="94" borderId="6149" applyBorder="0" applyProtection="0">
      <alignment horizontal="centerContinuous" vertical="center"/>
    </xf>
    <xf numFmtId="186" fontId="146" fillId="3" borderId="6149" applyBorder="0">
      <alignment horizontal="left" vertical="center"/>
    </xf>
    <xf numFmtId="0" fontId="25" fillId="10" borderId="6157" applyNumberFormat="0" applyProtection="0">
      <alignment horizontal="left" vertical="top"/>
    </xf>
    <xf numFmtId="0" fontId="2" fillId="0" borderId="6154" applyNumberFormat="0" applyAlignment="0" applyProtection="0"/>
    <xf numFmtId="186" fontId="140" fillId="3" borderId="6153">
      <alignment horizontal="center" vertical="center"/>
    </xf>
    <xf numFmtId="222" fontId="79" fillId="0" borderId="6160" applyBorder="0"/>
    <xf numFmtId="248" fontId="46" fillId="0" borderId="6149"/>
    <xf numFmtId="0" fontId="165" fillId="0" borderId="6149" applyFill="0" applyProtection="0">
      <alignment horizontal="center"/>
    </xf>
    <xf numFmtId="312" fontId="165" fillId="0" borderId="6161" applyFill="0" applyProtection="0">
      <alignment horizontal="center"/>
    </xf>
    <xf numFmtId="312" fontId="242" fillId="0" borderId="6161">
      <alignment horizontal="center"/>
    </xf>
    <xf numFmtId="222" fontId="79" fillId="0" borderId="6160" applyBorder="0"/>
    <xf numFmtId="0" fontId="25" fillId="10" borderId="6157" applyNumberFormat="0" applyProtection="0">
      <alignment horizontal="left" vertical="top"/>
    </xf>
    <xf numFmtId="0" fontId="78" fillId="14" borderId="6151" applyFont="0" applyFill="0" applyBorder="0" applyAlignment="0" applyProtection="0"/>
    <xf numFmtId="222" fontId="79" fillId="0" borderId="6160" applyBorder="0"/>
    <xf numFmtId="248" fontId="46" fillId="0" borderId="6149"/>
    <xf numFmtId="0" fontId="166" fillId="0" borderId="6149">
      <alignment horizontal="center"/>
    </xf>
    <xf numFmtId="186" fontId="140" fillId="3" borderId="6201">
      <alignment horizontal="center" vertical="center"/>
    </xf>
    <xf numFmtId="0" fontId="25" fillId="10" borderId="6159" applyNumberFormat="0" applyProtection="0">
      <alignment horizontal="left" vertical="top"/>
    </xf>
    <xf numFmtId="0" fontId="241" fillId="94" borderId="6161" applyBorder="0" applyProtection="0">
      <alignment horizontal="centerContinuous" vertical="center"/>
    </xf>
    <xf numFmtId="0" fontId="25" fillId="10" borderId="6159" applyNumberFormat="0" applyProtection="0">
      <alignment horizontal="left" vertical="top"/>
    </xf>
    <xf numFmtId="246" fontId="250" fillId="0" borderId="6149" applyFill="0" applyProtection="0">
      <alignment horizontal="center"/>
    </xf>
    <xf numFmtId="254" fontId="240" fillId="0" borderId="6149" applyBorder="0" applyProtection="0">
      <alignment horizontal="right" vertical="center"/>
    </xf>
    <xf numFmtId="192" fontId="9" fillId="3" borderId="6185">
      <alignment horizontal="right" vertical="center"/>
    </xf>
    <xf numFmtId="0" fontId="210" fillId="0" borderId="6149" applyNumberFormat="0" applyFill="0" applyBorder="0" applyAlignment="0">
      <protection locked="0"/>
    </xf>
    <xf numFmtId="186" fontId="146" fillId="3" borderId="6149" applyBorder="0">
      <alignment horizontal="left" vertical="center"/>
    </xf>
    <xf numFmtId="0" fontId="25" fillId="10" borderId="6158" applyNumberFormat="0" applyProtection="0">
      <alignment horizontal="left" vertical="top"/>
    </xf>
    <xf numFmtId="0" fontId="25" fillId="10" borderId="6157" applyNumberFormat="0" applyProtection="0">
      <alignment horizontal="left" vertical="top"/>
    </xf>
    <xf numFmtId="186" fontId="140" fillId="3" borderId="6153">
      <alignment horizontal="center" vertical="center"/>
    </xf>
    <xf numFmtId="312" fontId="210" fillId="0" borderId="6161" applyNumberFormat="0" applyFill="0" applyBorder="0" applyAlignment="0">
      <protection locked="0"/>
    </xf>
    <xf numFmtId="312" fontId="2" fillId="0" borderId="6142" applyNumberFormat="0" applyAlignment="0" applyProtection="0"/>
    <xf numFmtId="312" fontId="214" fillId="0" borderId="6143" applyNumberFormat="0" applyFont="0" applyFill="0" applyAlignment="0" applyProtection="0"/>
    <xf numFmtId="312" fontId="25" fillId="10" borderId="6144" applyNumberFormat="0" applyProtection="0">
      <alignment horizontal="left" vertical="top"/>
    </xf>
    <xf numFmtId="312" fontId="25" fillId="10" borderId="6145" applyNumberFormat="0" applyProtection="0">
      <alignment horizontal="left" vertical="top"/>
    </xf>
    <xf numFmtId="312" fontId="25" fillId="10" borderId="6146" applyNumberFormat="0" applyProtection="0">
      <alignment horizontal="left" vertical="top"/>
    </xf>
    <xf numFmtId="312" fontId="25" fillId="10" borderId="6147" applyNumberFormat="0" applyProtection="0">
      <alignment horizontal="left" vertical="top"/>
    </xf>
    <xf numFmtId="312" fontId="241" fillId="94" borderId="6161" applyBorder="0" applyProtection="0">
      <alignment horizontal="centerContinuous" vertical="center"/>
    </xf>
    <xf numFmtId="246" fontId="296" fillId="0" borderId="6161" applyFill="0" applyProtection="0">
      <alignment horizontal="center"/>
    </xf>
    <xf numFmtId="248" fontId="46" fillId="0" borderId="6545"/>
    <xf numFmtId="0" fontId="25" fillId="10" borderId="6156" applyNumberFormat="0" applyProtection="0">
      <alignment horizontal="left" vertical="top"/>
    </xf>
    <xf numFmtId="0" fontId="25" fillId="10" borderId="6156" applyNumberFormat="0" applyProtection="0">
      <alignment horizontal="left" vertical="top"/>
    </xf>
    <xf numFmtId="254" fontId="240" fillId="0" borderId="6209" applyBorder="0" applyProtection="0">
      <alignment horizontal="right" vertical="center"/>
    </xf>
    <xf numFmtId="312" fontId="241" fillId="94" borderId="6209" applyBorder="0" applyProtection="0">
      <alignment horizontal="centerContinuous" vertical="center"/>
    </xf>
    <xf numFmtId="312" fontId="101" fillId="0" borderId="6161" applyBorder="0"/>
    <xf numFmtId="312" fontId="113" fillId="0" borderId="6161" applyNumberFormat="0" applyFill="0" applyAlignment="0" applyProtection="0"/>
    <xf numFmtId="312" fontId="75" fillId="0" borderId="6138" applyNumberFormat="0" applyFont="0" applyFill="0" applyAlignment="0" applyProtection="0"/>
    <xf numFmtId="312" fontId="12" fillId="0" borderId="6161" applyNumberFormat="0" applyFill="0" applyBorder="0" applyAlignment="0" applyProtection="0">
      <alignment horizontal="center"/>
    </xf>
    <xf numFmtId="222" fontId="79" fillId="0" borderId="6208" applyBorder="0"/>
    <xf numFmtId="0" fontId="113" fillId="0" borderId="6149" applyNumberFormat="0" applyFill="0" applyAlignment="0" applyProtection="0"/>
    <xf numFmtId="312" fontId="165" fillId="0" borderId="6161" applyFill="0" applyProtection="0">
      <alignment horizontal="center"/>
    </xf>
    <xf numFmtId="312" fontId="242" fillId="0" borderId="6161">
      <alignment horizontal="center"/>
    </xf>
    <xf numFmtId="312" fontId="210" fillId="0" borderId="6161" applyNumberFormat="0" applyFill="0" applyBorder="0" applyAlignment="0">
      <protection locked="0"/>
    </xf>
    <xf numFmtId="312" fontId="2" fillId="0" borderId="6142" applyNumberFormat="0" applyAlignment="0" applyProtection="0"/>
    <xf numFmtId="312" fontId="214" fillId="0" borderId="6143" applyNumberFormat="0" applyFont="0" applyFill="0" applyAlignment="0" applyProtection="0"/>
    <xf numFmtId="312" fontId="25" fillId="10" borderId="6144" applyNumberFormat="0" applyProtection="0">
      <alignment horizontal="left" vertical="top"/>
    </xf>
    <xf numFmtId="312" fontId="25" fillId="10" borderId="6145" applyNumberFormat="0" applyProtection="0">
      <alignment horizontal="left" vertical="top"/>
    </xf>
    <xf numFmtId="312" fontId="25" fillId="10" borderId="6146" applyNumberFormat="0" applyProtection="0">
      <alignment horizontal="left" vertical="top"/>
    </xf>
    <xf numFmtId="312" fontId="25" fillId="10" borderId="6147" applyNumberFormat="0" applyProtection="0">
      <alignment horizontal="left" vertical="top"/>
    </xf>
    <xf numFmtId="312" fontId="25" fillId="10" borderId="6144" applyNumberFormat="0" applyProtection="0">
      <alignment horizontal="left" vertical="top"/>
    </xf>
    <xf numFmtId="312" fontId="25" fillId="10" borderId="6145" applyNumberFormat="0" applyProtection="0">
      <alignment horizontal="left" vertical="top"/>
    </xf>
    <xf numFmtId="312" fontId="25" fillId="10" borderId="6146" applyNumberFormat="0" applyProtection="0">
      <alignment horizontal="left" vertical="top"/>
    </xf>
    <xf numFmtId="312" fontId="25" fillId="10" borderId="6147" applyNumberFormat="0" applyProtection="0">
      <alignment horizontal="left" vertical="top"/>
    </xf>
    <xf numFmtId="312" fontId="241" fillId="94" borderId="6161" applyBorder="0" applyProtection="0">
      <alignment horizontal="centerContinuous" vertical="center"/>
    </xf>
    <xf numFmtId="246" fontId="296" fillId="0" borderId="6161" applyFill="0" applyProtection="0">
      <alignment horizontal="center"/>
    </xf>
    <xf numFmtId="0" fontId="113" fillId="0" borderId="6149" applyNumberFormat="0" applyFill="0" applyAlignment="0" applyProtection="0"/>
    <xf numFmtId="0" fontId="25" fillId="10" borderId="6158" applyNumberFormat="0" applyProtection="0">
      <alignment horizontal="left" vertical="top"/>
    </xf>
    <xf numFmtId="192" fontId="9" fillId="3" borderId="6209">
      <alignment horizontal="right" vertical="center"/>
    </xf>
    <xf numFmtId="0" fontId="25" fillId="10" borderId="6157" applyNumberFormat="0" applyProtection="0">
      <alignment horizontal="left" vertical="top"/>
    </xf>
    <xf numFmtId="246" fontId="250" fillId="0" borderId="6209" applyFill="0" applyProtection="0">
      <alignment horizontal="center"/>
    </xf>
    <xf numFmtId="0" fontId="101" fillId="0" borderId="6209" applyBorder="0"/>
    <xf numFmtId="0" fontId="78" fillId="14" borderId="6199" applyFont="0" applyFill="0" applyBorder="0" applyAlignment="0" applyProtection="0"/>
    <xf numFmtId="264" fontId="12" fillId="14" borderId="6209" applyFont="0" applyFill="0" applyBorder="0" applyAlignment="0" applyProtection="0">
      <alignment horizontal="right"/>
    </xf>
    <xf numFmtId="246" fontId="250" fillId="0" borderId="6161" applyFill="0" applyProtection="0">
      <alignment horizontal="center"/>
    </xf>
    <xf numFmtId="222" fontId="79" fillId="0" borderId="6184" applyBorder="0"/>
    <xf numFmtId="0" fontId="2" fillId="0" borderId="6154" applyNumberFormat="0" applyAlignment="0" applyProtection="0"/>
    <xf numFmtId="0" fontId="25" fillId="10" borderId="6157" applyNumberFormat="0" applyProtection="0">
      <alignment horizontal="left" vertical="top"/>
    </xf>
    <xf numFmtId="0" fontId="25" fillId="10" borderId="6159" applyNumberFormat="0" applyProtection="0">
      <alignment horizontal="left" vertical="top"/>
    </xf>
    <xf numFmtId="246" fontId="249" fillId="0" borderId="6209" applyFill="0" applyProtection="0">
      <alignment horizontal="center"/>
    </xf>
    <xf numFmtId="186" fontId="146" fillId="3" borderId="6209" applyBorder="0">
      <alignment horizontal="left" vertical="center"/>
    </xf>
    <xf numFmtId="0" fontId="25" fillId="10" borderId="6158" applyNumberFormat="0" applyProtection="0">
      <alignment horizontal="left" vertical="top"/>
    </xf>
    <xf numFmtId="0" fontId="25" fillId="10" borderId="6157" applyNumberFormat="0" applyProtection="0">
      <alignment horizontal="left" vertical="top"/>
    </xf>
    <xf numFmtId="248" fontId="46" fillId="0" borderId="6209"/>
    <xf numFmtId="0" fontId="101" fillId="0" borderId="6149" applyBorder="0"/>
    <xf numFmtId="190" fontId="78" fillId="14" borderId="6199" applyFont="0" applyFill="0" applyBorder="0" applyAlignment="0" applyProtection="0"/>
    <xf numFmtId="0" fontId="25" fillId="10" borderId="6159" applyNumberFormat="0" applyProtection="0">
      <alignment horizontal="left" vertical="top"/>
    </xf>
    <xf numFmtId="0" fontId="12" fillId="0" borderId="6209" applyNumberFormat="0" applyFill="0" applyBorder="0" applyAlignment="0" applyProtection="0">
      <alignment horizontal="center"/>
    </xf>
    <xf numFmtId="222" fontId="79" fillId="0" borderId="6196" applyBorder="0"/>
    <xf numFmtId="186" fontId="140" fillId="3" borderId="6153">
      <alignment horizontal="center" vertical="center"/>
    </xf>
    <xf numFmtId="0" fontId="25" fillId="10" borderId="6158" applyNumberFormat="0" applyProtection="0">
      <alignment horizontal="left" vertical="top"/>
    </xf>
    <xf numFmtId="0" fontId="210" fillId="0" borderId="6197" applyNumberFormat="0" applyFill="0" applyBorder="0" applyAlignment="0">
      <protection locked="0"/>
    </xf>
    <xf numFmtId="246" fontId="250" fillId="0" borderId="6161" applyFill="0" applyProtection="0">
      <alignment horizontal="center"/>
    </xf>
    <xf numFmtId="246" fontId="249" fillId="0" borderId="6161" applyFill="0" applyProtection="0">
      <alignment horizontal="center"/>
    </xf>
    <xf numFmtId="0" fontId="241" fillId="94" borderId="6161" applyBorder="0" applyProtection="0">
      <alignment horizontal="centerContinuous" vertical="center"/>
    </xf>
    <xf numFmtId="254" fontId="240" fillId="0" borderId="6161" applyBorder="0" applyProtection="0">
      <alignment horizontal="right" vertical="center"/>
    </xf>
    <xf numFmtId="0" fontId="25" fillId="10" borderId="6159" applyNumberFormat="0" applyProtection="0">
      <alignment horizontal="left" vertical="top"/>
    </xf>
    <xf numFmtId="0" fontId="25" fillId="10" borderId="6158" applyNumberFormat="0" applyProtection="0">
      <alignment horizontal="left" vertical="top"/>
    </xf>
    <xf numFmtId="0" fontId="25" fillId="10" borderId="6157" applyNumberFormat="0" applyProtection="0">
      <alignment horizontal="left" vertical="top"/>
    </xf>
    <xf numFmtId="0" fontId="25" fillId="10" borderId="6156" applyNumberFormat="0" applyProtection="0">
      <alignment horizontal="left" vertical="top"/>
    </xf>
    <xf numFmtId="0" fontId="25" fillId="10" borderId="6195" applyNumberFormat="0" applyProtection="0">
      <alignment horizontal="left" vertical="top"/>
    </xf>
    <xf numFmtId="0" fontId="214" fillId="0" borderId="6191" applyNumberFormat="0" applyFont="0" applyFill="0" applyAlignment="0" applyProtection="0"/>
    <xf numFmtId="0" fontId="214" fillId="0" borderId="6155" applyNumberFormat="0" applyFont="0" applyFill="0" applyAlignment="0" applyProtection="0"/>
    <xf numFmtId="0" fontId="2" fillId="0" borderId="6154" applyNumberFormat="0" applyAlignment="0" applyProtection="0"/>
    <xf numFmtId="0" fontId="210" fillId="0" borderId="6161" applyNumberFormat="0" applyFill="0" applyBorder="0" applyAlignment="0">
      <protection locked="0"/>
    </xf>
    <xf numFmtId="0" fontId="25" fillId="10" borderId="6156" applyNumberFormat="0" applyProtection="0">
      <alignment horizontal="left" vertical="top"/>
    </xf>
    <xf numFmtId="264" fontId="12" fillId="14" borderId="6161" applyFont="0" applyFill="0" applyBorder="0" applyAlignment="0" applyProtection="0">
      <alignment horizontal="right"/>
    </xf>
    <xf numFmtId="0" fontId="78" fillId="14" borderId="6163" applyFont="0" applyFill="0" applyBorder="0" applyAlignment="0" applyProtection="0"/>
    <xf numFmtId="0" fontId="210" fillId="0" borderId="6149" applyNumberFormat="0" applyFill="0" applyBorder="0" applyAlignment="0">
      <protection locked="0"/>
    </xf>
    <xf numFmtId="0" fontId="75" fillId="0" borderId="6150" applyNumberFormat="0" applyFont="0" applyFill="0" applyAlignment="0" applyProtection="0"/>
    <xf numFmtId="0" fontId="166" fillId="0" borderId="6161">
      <alignment horizontal="center"/>
    </xf>
    <xf numFmtId="0" fontId="165" fillId="0" borderId="6161" applyFill="0" applyProtection="0">
      <alignment horizontal="center"/>
    </xf>
    <xf numFmtId="0" fontId="78" fillId="14" borderId="6151" applyFont="0" applyFill="0" applyBorder="0" applyAlignment="0" applyProtection="0"/>
    <xf numFmtId="186" fontId="146" fillId="3" borderId="6152">
      <alignment horizontal="left"/>
    </xf>
    <xf numFmtId="254" fontId="240" fillId="0" borderId="6149" applyBorder="0" applyProtection="0">
      <alignment horizontal="right" vertical="center"/>
    </xf>
    <xf numFmtId="0" fontId="25" fillId="10" borderId="6171" applyNumberFormat="0" applyProtection="0">
      <alignment horizontal="left" vertical="top"/>
    </xf>
    <xf numFmtId="186" fontId="140" fillId="3" borderId="6153">
      <alignment horizontal="center" vertical="center"/>
    </xf>
    <xf numFmtId="186" fontId="146" fillId="3" borderId="6152">
      <alignment horizontal="left"/>
    </xf>
    <xf numFmtId="186" fontId="146" fillId="3" borderId="6161" applyBorder="0">
      <alignment horizontal="left" vertical="center"/>
    </xf>
    <xf numFmtId="180" fontId="9" fillId="3" borderId="6161">
      <alignment horizontal="right" vertical="center"/>
    </xf>
    <xf numFmtId="192" fontId="9" fillId="3" borderId="6161">
      <alignment horizontal="right" vertical="center"/>
    </xf>
    <xf numFmtId="192" fontId="9" fillId="3" borderId="6209">
      <alignment horizontal="right" vertical="center"/>
    </xf>
    <xf numFmtId="248" fontId="46" fillId="0" borderId="6161"/>
    <xf numFmtId="0" fontId="78" fillId="14" borderId="6151" applyFont="0" applyFill="0" applyBorder="0" applyAlignment="0" applyProtection="0"/>
    <xf numFmtId="0" fontId="12" fillId="0" borderId="6161" applyNumberFormat="0" applyFill="0" applyBorder="0" applyAlignment="0" applyProtection="0">
      <alignment horizontal="center"/>
    </xf>
    <xf numFmtId="0" fontId="75" fillId="0" borderId="6150" applyNumberFormat="0" applyFont="0" applyFill="0" applyAlignment="0" applyProtection="0"/>
    <xf numFmtId="0" fontId="113" fillId="0" borderId="6161" applyNumberFormat="0" applyFill="0" applyAlignment="0" applyProtection="0"/>
    <xf numFmtId="0" fontId="25" fillId="10" borderId="6192" applyNumberFormat="0" applyProtection="0">
      <alignment horizontal="left" vertical="top"/>
    </xf>
    <xf numFmtId="254" fontId="240" fillId="0" borderId="6209" applyBorder="0" applyProtection="0">
      <alignment horizontal="right" vertical="center"/>
    </xf>
    <xf numFmtId="222" fontId="79" fillId="0" borderId="6160" applyBorder="0"/>
    <xf numFmtId="0" fontId="101" fillId="0" borderId="6161" applyBorder="0"/>
    <xf numFmtId="0" fontId="25" fillId="10" borderId="6168" applyNumberFormat="0" applyProtection="0">
      <alignment horizontal="left" vertical="top"/>
    </xf>
    <xf numFmtId="0" fontId="25" fillId="10" borderId="6169" applyNumberFormat="0" applyProtection="0">
      <alignment horizontal="left" vertical="top"/>
    </xf>
    <xf numFmtId="0" fontId="25" fillId="10" borderId="6170" applyNumberFormat="0" applyProtection="0">
      <alignment horizontal="left" vertical="top"/>
    </xf>
    <xf numFmtId="0" fontId="25" fillId="10" borderId="6171" applyNumberFormat="0" applyProtection="0">
      <alignment horizontal="left" vertical="top"/>
    </xf>
    <xf numFmtId="190" fontId="12" fillId="0" borderId="6209" applyNumberFormat="0" applyFill="0" applyBorder="0" applyAlignment="0" applyProtection="0">
      <alignment horizontal="center"/>
    </xf>
    <xf numFmtId="0" fontId="165" fillId="0" borderId="6185" applyFill="0" applyProtection="0">
      <alignment horizontal="center"/>
    </xf>
    <xf numFmtId="190" fontId="214" fillId="0" borderId="6191" applyNumberFormat="0" applyFont="0" applyFill="0" applyAlignment="0" applyProtection="0"/>
    <xf numFmtId="312" fontId="242" fillId="0" borderId="6209">
      <alignment horizontal="center"/>
    </xf>
    <xf numFmtId="190" fontId="165" fillId="0" borderId="6209" applyFill="0" applyProtection="0">
      <alignment horizontal="center"/>
    </xf>
    <xf numFmtId="0" fontId="25" fillId="10" borderId="6157" applyNumberFormat="0" applyProtection="0">
      <alignment horizontal="left" vertical="top"/>
    </xf>
    <xf numFmtId="0" fontId="25" fillId="10" borderId="6180" applyNumberFormat="0" applyProtection="0">
      <alignment horizontal="left" vertical="top"/>
    </xf>
    <xf numFmtId="264" fontId="12" fillId="14" borderId="6185" applyFont="0" applyFill="0" applyBorder="0" applyAlignment="0" applyProtection="0">
      <alignment horizontal="right"/>
    </xf>
    <xf numFmtId="246" fontId="250" fillId="0" borderId="6185" applyFill="0" applyProtection="0">
      <alignment horizontal="center"/>
    </xf>
    <xf numFmtId="180" fontId="9" fillId="3" borderId="6209">
      <alignment horizontal="right" vertical="center"/>
    </xf>
    <xf numFmtId="0" fontId="214" fillId="0" borderId="6155" applyNumberFormat="0" applyFont="0" applyFill="0" applyAlignment="0" applyProtection="0"/>
    <xf numFmtId="246" fontId="249" fillId="0" borderId="6161" applyFill="0" applyProtection="0">
      <alignment horizontal="center"/>
    </xf>
    <xf numFmtId="246" fontId="250" fillId="0" borderId="6149" applyFill="0" applyProtection="0">
      <alignment horizontal="center"/>
    </xf>
    <xf numFmtId="246" fontId="249" fillId="0" borderId="6149" applyFill="0" applyProtection="0">
      <alignment horizontal="center"/>
    </xf>
    <xf numFmtId="0" fontId="241" fillId="94" borderId="6149" applyBorder="0" applyProtection="0">
      <alignment horizontal="centerContinuous" vertical="center"/>
    </xf>
    <xf numFmtId="254" fontId="240" fillId="0" borderId="6149" applyBorder="0" applyProtection="0">
      <alignment horizontal="right" vertical="center"/>
    </xf>
    <xf numFmtId="0" fontId="210" fillId="0" borderId="6149" applyNumberFormat="0" applyFill="0" applyBorder="0" applyAlignment="0">
      <protection locked="0"/>
    </xf>
    <xf numFmtId="0" fontId="2" fillId="0" borderId="6202" applyNumberFormat="0" applyAlignment="0" applyProtection="0"/>
    <xf numFmtId="264" fontId="12" fillId="14" borderId="6149" applyFont="0" applyFill="0" applyBorder="0" applyAlignment="0" applyProtection="0">
      <alignment horizontal="right"/>
    </xf>
    <xf numFmtId="0" fontId="166" fillId="0" borderId="6149">
      <alignment horizontal="center"/>
    </xf>
    <xf numFmtId="0" fontId="165" fillId="0" borderId="6149" applyFill="0" applyProtection="0">
      <alignment horizontal="center"/>
    </xf>
    <xf numFmtId="186" fontId="146" fillId="3" borderId="6149" applyBorder="0">
      <alignment horizontal="left" vertical="center"/>
    </xf>
    <xf numFmtId="180" fontId="9" fillId="3" borderId="6149">
      <alignment horizontal="right" vertical="center"/>
    </xf>
    <xf numFmtId="192" fontId="9" fillId="3" borderId="6149">
      <alignment horizontal="right" vertical="center"/>
    </xf>
    <xf numFmtId="248" fontId="46" fillId="0" borderId="6149"/>
    <xf numFmtId="0" fontId="12" fillId="0" borderId="6149" applyNumberFormat="0" applyFill="0" applyBorder="0" applyAlignment="0" applyProtection="0">
      <alignment horizontal="center"/>
    </xf>
    <xf numFmtId="0" fontId="113" fillId="0" borderId="6149" applyNumberFormat="0" applyFill="0" applyAlignment="0" applyProtection="0"/>
    <xf numFmtId="222" fontId="79" fillId="0" borderId="6148" applyBorder="0"/>
    <xf numFmtId="0" fontId="101" fillId="0" borderId="6149" applyBorder="0"/>
    <xf numFmtId="264" fontId="12" fillId="14" borderId="6197" applyFont="0" applyFill="0" applyBorder="0" applyAlignment="0" applyProtection="0">
      <alignment horizontal="right"/>
    </xf>
    <xf numFmtId="246" fontId="250" fillId="0" borderId="6149" applyFill="0" applyProtection="0">
      <alignment horizontal="center"/>
    </xf>
    <xf numFmtId="246" fontId="249" fillId="0" borderId="6149" applyFill="0" applyProtection="0">
      <alignment horizontal="center"/>
    </xf>
    <xf numFmtId="0" fontId="241" fillId="94" borderId="6149" applyBorder="0" applyProtection="0">
      <alignment horizontal="centerContinuous" vertical="center"/>
    </xf>
    <xf numFmtId="254" fontId="240" fillId="0" borderId="6149" applyBorder="0" applyProtection="0">
      <alignment horizontal="right" vertical="center"/>
    </xf>
    <xf numFmtId="0" fontId="210" fillId="0" borderId="6149" applyNumberFormat="0" applyFill="0" applyBorder="0" applyAlignment="0">
      <protection locked="0"/>
    </xf>
    <xf numFmtId="264" fontId="12" fillId="14" borderId="6149" applyFont="0" applyFill="0" applyBorder="0" applyAlignment="0" applyProtection="0">
      <alignment horizontal="right"/>
    </xf>
    <xf numFmtId="0" fontId="166" fillId="0" borderId="6149">
      <alignment horizontal="center"/>
    </xf>
    <xf numFmtId="0" fontId="165" fillId="0" borderId="6149" applyFill="0" applyProtection="0">
      <alignment horizontal="center"/>
    </xf>
    <xf numFmtId="0" fontId="25" fillId="10" borderId="6159" applyNumberFormat="0" applyProtection="0">
      <alignment horizontal="left" vertical="top"/>
    </xf>
    <xf numFmtId="0" fontId="78" fillId="14" borderId="6151" applyFont="0" applyFill="0" applyBorder="0" applyAlignment="0" applyProtection="0"/>
    <xf numFmtId="264" fontId="12" fillId="14" borderId="6149" applyFont="0" applyFill="0" applyBorder="0" applyAlignment="0" applyProtection="0">
      <alignment horizontal="right"/>
    </xf>
    <xf numFmtId="222" fontId="79" fillId="0" borderId="6160" applyBorder="0"/>
    <xf numFmtId="186" fontId="146" fillId="3" borderId="6149" applyBorder="0">
      <alignment horizontal="left" vertical="center"/>
    </xf>
    <xf numFmtId="180" fontId="9" fillId="3" borderId="6149">
      <alignment horizontal="right" vertical="center"/>
    </xf>
    <xf numFmtId="192" fontId="9" fillId="3" borderId="6149">
      <alignment horizontal="right" vertical="center"/>
    </xf>
    <xf numFmtId="0" fontId="12" fillId="0" borderId="6149" applyNumberFormat="0" applyFill="0" applyBorder="0" applyAlignment="0" applyProtection="0">
      <alignment horizontal="center"/>
    </xf>
    <xf numFmtId="0" fontId="113" fillId="0" borderId="6149" applyNumberFormat="0" applyFill="0" applyAlignment="0" applyProtection="0"/>
    <xf numFmtId="0" fontId="2" fillId="0" borderId="6190" applyNumberFormat="0" applyAlignment="0" applyProtection="0"/>
    <xf numFmtId="0" fontId="25" fillId="10" borderId="6194" applyNumberFormat="0" applyProtection="0">
      <alignment horizontal="left" vertical="top"/>
    </xf>
    <xf numFmtId="222" fontId="79" fillId="0" borderId="6148" applyBorder="0"/>
    <xf numFmtId="0" fontId="101" fillId="0" borderId="6149" applyBorder="0"/>
    <xf numFmtId="248" fontId="46" fillId="0" borderId="6149"/>
    <xf numFmtId="246" fontId="250" fillId="0" borderId="6149" applyFill="0" applyProtection="0">
      <alignment horizontal="center"/>
    </xf>
    <xf numFmtId="246" fontId="249" fillId="0" borderId="6149" applyFill="0" applyProtection="0">
      <alignment horizontal="center"/>
    </xf>
    <xf numFmtId="0" fontId="241" fillId="94" borderId="6149" applyBorder="0" applyProtection="0">
      <alignment horizontal="centerContinuous" vertical="center"/>
    </xf>
    <xf numFmtId="254" fontId="240" fillId="0" borderId="6149" applyBorder="0" applyProtection="0">
      <alignment horizontal="right" vertical="center"/>
    </xf>
    <xf numFmtId="0" fontId="210" fillId="0" borderId="6149" applyNumberFormat="0" applyFill="0" applyBorder="0" applyAlignment="0">
      <protection locked="0"/>
    </xf>
    <xf numFmtId="264" fontId="12" fillId="14" borderId="6149" applyFont="0" applyFill="0" applyBorder="0" applyAlignment="0" applyProtection="0">
      <alignment horizontal="right"/>
    </xf>
    <xf numFmtId="0" fontId="166" fillId="0" borderId="6149">
      <alignment horizontal="center"/>
    </xf>
    <xf numFmtId="0" fontId="165" fillId="0" borderId="6149" applyFill="0" applyProtection="0">
      <alignment horizontal="center"/>
    </xf>
    <xf numFmtId="186" fontId="146" fillId="3" borderId="6149" applyBorder="0">
      <alignment horizontal="left" vertical="center"/>
    </xf>
    <xf numFmtId="180" fontId="9" fillId="3" borderId="6149">
      <alignment horizontal="right" vertical="center"/>
    </xf>
    <xf numFmtId="192" fontId="9" fillId="3" borderId="6149">
      <alignment horizontal="right" vertical="center"/>
    </xf>
    <xf numFmtId="248" fontId="46" fillId="0" borderId="6149"/>
    <xf numFmtId="0" fontId="12" fillId="0" borderId="6149" applyNumberFormat="0" applyFill="0" applyBorder="0" applyAlignment="0" applyProtection="0">
      <alignment horizontal="center"/>
    </xf>
    <xf numFmtId="0" fontId="113" fillId="0" borderId="6149" applyNumberFormat="0" applyFill="0" applyAlignment="0" applyProtection="0"/>
    <xf numFmtId="222" fontId="79" fillId="0" borderId="6148" applyBorder="0"/>
    <xf numFmtId="0" fontId="101" fillId="0" borderId="6149" applyBorder="0"/>
    <xf numFmtId="246" fontId="296" fillId="0" borderId="6209" applyFill="0" applyProtection="0">
      <alignment horizontal="center"/>
    </xf>
    <xf numFmtId="312" fontId="101" fillId="0" borderId="6209" applyBorder="0"/>
    <xf numFmtId="312" fontId="113" fillId="0" borderId="6209" applyNumberFormat="0" applyFill="0" applyAlignment="0" applyProtection="0"/>
    <xf numFmtId="312" fontId="75" fillId="0" borderId="6186" applyNumberFormat="0" applyFont="0" applyFill="0" applyAlignment="0" applyProtection="0"/>
    <xf numFmtId="312" fontId="12" fillId="0" borderId="6209" applyNumberFormat="0" applyFill="0" applyBorder="0" applyAlignment="0" applyProtection="0">
      <alignment horizontal="center"/>
    </xf>
    <xf numFmtId="312" fontId="165" fillId="0" borderId="6209" applyFill="0" applyProtection="0">
      <alignment horizontal="center"/>
    </xf>
    <xf numFmtId="312" fontId="242" fillId="0" borderId="6209">
      <alignment horizontal="center"/>
    </xf>
    <xf numFmtId="312" fontId="210" fillId="0" borderId="6209" applyNumberFormat="0" applyFill="0" applyBorder="0" applyAlignment="0">
      <protection locked="0"/>
    </xf>
    <xf numFmtId="312" fontId="2" fillId="0" borderId="6190" applyNumberFormat="0" applyAlignment="0" applyProtection="0"/>
    <xf numFmtId="312" fontId="214" fillId="0" borderId="6191" applyNumberFormat="0" applyFont="0" applyFill="0" applyAlignment="0" applyProtection="0"/>
    <xf numFmtId="312" fontId="25" fillId="10" borderId="6192" applyNumberFormat="0" applyProtection="0">
      <alignment horizontal="left" vertical="top"/>
    </xf>
    <xf numFmtId="312" fontId="25" fillId="10" borderId="6193" applyNumberFormat="0" applyProtection="0">
      <alignment horizontal="left" vertical="top"/>
    </xf>
    <xf numFmtId="312" fontId="25" fillId="10" borderId="6194" applyNumberFormat="0" applyProtection="0">
      <alignment horizontal="left" vertical="top"/>
    </xf>
    <xf numFmtId="312" fontId="25" fillId="10" borderId="6195" applyNumberFormat="0" applyProtection="0">
      <alignment horizontal="left" vertical="top"/>
    </xf>
    <xf numFmtId="312" fontId="25" fillId="10" borderId="6192" applyNumberFormat="0" applyProtection="0">
      <alignment horizontal="left" vertical="top"/>
    </xf>
    <xf numFmtId="312" fontId="25" fillId="10" borderId="6193" applyNumberFormat="0" applyProtection="0">
      <alignment horizontal="left" vertical="top"/>
    </xf>
    <xf numFmtId="312" fontId="25" fillId="10" borderId="6194" applyNumberFormat="0" applyProtection="0">
      <alignment horizontal="left" vertical="top"/>
    </xf>
    <xf numFmtId="312" fontId="25" fillId="10" borderId="6195" applyNumberFormat="0" applyProtection="0">
      <alignment horizontal="left" vertical="top"/>
    </xf>
    <xf numFmtId="312" fontId="241" fillId="94" borderId="6209" applyBorder="0" applyProtection="0">
      <alignment horizontal="centerContinuous" vertical="center"/>
    </xf>
    <xf numFmtId="246" fontId="296" fillId="0" borderId="6209" applyFill="0" applyProtection="0">
      <alignment horizontal="center"/>
    </xf>
    <xf numFmtId="246" fontId="250" fillId="0" borderId="6209" applyFill="0" applyProtection="0">
      <alignment horizontal="center"/>
    </xf>
    <xf numFmtId="246" fontId="249" fillId="0" borderId="6209" applyFill="0" applyProtection="0">
      <alignment horizontal="center"/>
    </xf>
    <xf numFmtId="0" fontId="241" fillId="94" borderId="6209" applyBorder="0" applyProtection="0">
      <alignment horizontal="centerContinuous" vertical="center"/>
    </xf>
    <xf numFmtId="254" fontId="240" fillId="0" borderId="6209" applyBorder="0" applyProtection="0">
      <alignment horizontal="right" vertical="center"/>
    </xf>
    <xf numFmtId="0" fontId="210" fillId="0" borderId="6209" applyNumberFormat="0" applyFill="0" applyBorder="0" applyAlignment="0">
      <protection locked="0"/>
    </xf>
    <xf numFmtId="264" fontId="12" fillId="14" borderId="6209" applyFont="0" applyFill="0" applyBorder="0" applyAlignment="0" applyProtection="0">
      <alignment horizontal="right"/>
    </xf>
    <xf numFmtId="0" fontId="166" fillId="0" borderId="6209">
      <alignment horizontal="center"/>
    </xf>
    <xf numFmtId="0" fontId="165" fillId="0" borderId="6209" applyFill="0" applyProtection="0">
      <alignment horizontal="center"/>
    </xf>
    <xf numFmtId="186" fontId="146" fillId="3" borderId="6209" applyBorder="0">
      <alignment horizontal="left" vertical="center"/>
    </xf>
    <xf numFmtId="180" fontId="9" fillId="3" borderId="6209">
      <alignment horizontal="right" vertical="center"/>
    </xf>
    <xf numFmtId="192" fontId="9" fillId="3" borderId="6209">
      <alignment horizontal="right" vertical="center"/>
    </xf>
    <xf numFmtId="248" fontId="46" fillId="0" borderId="6209"/>
    <xf numFmtId="0" fontId="12" fillId="0" borderId="6209" applyNumberFormat="0" applyFill="0" applyBorder="0" applyAlignment="0" applyProtection="0">
      <alignment horizontal="center"/>
    </xf>
    <xf numFmtId="0" fontId="113" fillId="0" borderId="6209" applyNumberFormat="0" applyFill="0" applyAlignment="0" applyProtection="0"/>
    <xf numFmtId="222" fontId="79" fillId="0" borderId="6208" applyBorder="0"/>
    <xf numFmtId="0" fontId="101" fillId="0" borderId="6209" applyBorder="0"/>
    <xf numFmtId="0" fontId="25" fillId="10" borderId="6216" applyNumberFormat="0" applyProtection="0">
      <alignment horizontal="left" vertical="top"/>
    </xf>
    <xf numFmtId="0" fontId="25" fillId="10" borderId="6217" applyNumberFormat="0" applyProtection="0">
      <alignment horizontal="left" vertical="top"/>
    </xf>
    <xf numFmtId="0" fontId="25" fillId="10" borderId="6218" applyNumberFormat="0" applyProtection="0">
      <alignment horizontal="left" vertical="top"/>
    </xf>
    <xf numFmtId="0" fontId="25" fillId="10" borderId="6219" applyNumberFormat="0" applyProtection="0">
      <alignment horizontal="left" vertical="top"/>
    </xf>
    <xf numFmtId="222" fontId="79" fillId="0" borderId="6220" applyBorder="0"/>
    <xf numFmtId="0" fontId="101" fillId="0" borderId="6221" applyBorder="0"/>
    <xf numFmtId="222" fontId="79" fillId="0" borderId="6220" applyBorder="0"/>
    <xf numFmtId="0" fontId="113" fillId="0" borderId="6221" applyNumberFormat="0" applyFill="0" applyAlignment="0" applyProtection="0"/>
    <xf numFmtId="0" fontId="12" fillId="0" borderId="6221" applyNumberFormat="0" applyFill="0" applyBorder="0" applyAlignment="0" applyProtection="0">
      <alignment horizontal="center"/>
    </xf>
    <xf numFmtId="248" fontId="46" fillId="0" borderId="6221"/>
    <xf numFmtId="192" fontId="9" fillId="3" borderId="6221">
      <alignment horizontal="right" vertical="center"/>
    </xf>
    <xf numFmtId="180" fontId="9" fillId="3" borderId="6221">
      <alignment horizontal="right" vertical="center"/>
    </xf>
    <xf numFmtId="186" fontId="146" fillId="3" borderId="6221" applyBorder="0">
      <alignment horizontal="left" vertical="center"/>
    </xf>
    <xf numFmtId="0" fontId="165" fillId="0" borderId="6221" applyFill="0" applyProtection="0">
      <alignment horizontal="center"/>
    </xf>
    <xf numFmtId="0" fontId="166" fillId="0" borderId="6221">
      <alignment horizontal="center"/>
    </xf>
    <xf numFmtId="264" fontId="12" fillId="14" borderId="6221" applyFont="0" applyFill="0" applyBorder="0" applyAlignment="0" applyProtection="0">
      <alignment horizontal="right"/>
    </xf>
    <xf numFmtId="0" fontId="210" fillId="0" borderId="6221" applyNumberFormat="0" applyFill="0" applyBorder="0" applyAlignment="0">
      <protection locked="0"/>
    </xf>
    <xf numFmtId="254" fontId="240" fillId="0" borderId="6221" applyBorder="0" applyProtection="0">
      <alignment horizontal="right" vertical="center"/>
    </xf>
    <xf numFmtId="0" fontId="241" fillId="94" borderId="6221" applyBorder="0" applyProtection="0">
      <alignment horizontal="centerContinuous" vertical="center"/>
    </xf>
    <xf numFmtId="246" fontId="249" fillId="0" borderId="6221" applyFill="0" applyProtection="0">
      <alignment horizontal="center"/>
    </xf>
    <xf numFmtId="246" fontId="250" fillId="0" borderId="6221" applyFill="0" applyProtection="0">
      <alignment horizontal="center"/>
    </xf>
    <xf numFmtId="0" fontId="78" fillId="14" borderId="6223" applyFont="0" applyFill="0" applyBorder="0" applyAlignment="0" applyProtection="0"/>
    <xf numFmtId="0" fontId="25" fillId="10" borderId="6231" applyNumberFormat="0" applyProtection="0">
      <alignment horizontal="left" vertical="top"/>
    </xf>
    <xf numFmtId="0" fontId="25" fillId="10" borderId="6230" applyNumberFormat="0" applyProtection="0">
      <alignment horizontal="left" vertical="top"/>
    </xf>
    <xf numFmtId="0" fontId="25" fillId="10" borderId="6229" applyNumberFormat="0" applyProtection="0">
      <alignment horizontal="left" vertical="top"/>
    </xf>
    <xf numFmtId="0" fontId="25" fillId="10" borderId="6228" applyNumberFormat="0" applyProtection="0">
      <alignment horizontal="left" vertical="top"/>
    </xf>
    <xf numFmtId="0" fontId="214" fillId="0" borderId="6227" applyNumberFormat="0" applyFont="0" applyFill="0" applyAlignment="0" applyProtection="0"/>
    <xf numFmtId="0" fontId="2" fillId="0" borderId="6226" applyNumberFormat="0" applyAlignment="0" applyProtection="0"/>
    <xf numFmtId="186" fontId="140" fillId="3" borderId="6225">
      <alignment horizontal="center" vertical="center"/>
    </xf>
    <xf numFmtId="186" fontId="146" fillId="3" borderId="6224">
      <alignment horizontal="left"/>
    </xf>
    <xf numFmtId="0" fontId="75" fillId="0" borderId="6222" applyNumberFormat="0" applyFont="0" applyFill="0" applyAlignment="0" applyProtection="0"/>
    <xf numFmtId="222" fontId="79" fillId="0" borderId="6232" applyBorder="0"/>
    <xf numFmtId="0" fontId="101" fillId="0" borderId="6233" applyBorder="0"/>
    <xf numFmtId="222" fontId="79" fillId="0" borderId="6232" applyBorder="0"/>
    <xf numFmtId="0" fontId="113" fillId="0" borderId="6233" applyNumberFormat="0" applyFill="0" applyAlignment="0" applyProtection="0"/>
    <xf numFmtId="0" fontId="12" fillId="0" borderId="6233" applyNumberFormat="0" applyFill="0" applyBorder="0" applyAlignment="0" applyProtection="0">
      <alignment horizontal="center"/>
    </xf>
    <xf numFmtId="248" fontId="46" fillId="0" borderId="6233"/>
    <xf numFmtId="192" fontId="9" fillId="3" borderId="6233">
      <alignment horizontal="right" vertical="center"/>
    </xf>
    <xf numFmtId="180" fontId="9" fillId="3" borderId="6233">
      <alignment horizontal="right" vertical="center"/>
    </xf>
    <xf numFmtId="186" fontId="146" fillId="3" borderId="6233" applyBorder="0">
      <alignment horizontal="left" vertical="center"/>
    </xf>
    <xf numFmtId="0" fontId="165" fillId="0" borderId="6233" applyFill="0" applyProtection="0">
      <alignment horizontal="center"/>
    </xf>
    <xf numFmtId="0" fontId="166" fillId="0" borderId="6233">
      <alignment horizontal="center"/>
    </xf>
    <xf numFmtId="264" fontId="12" fillId="14" borderId="6233" applyFont="0" applyFill="0" applyBorder="0" applyAlignment="0" applyProtection="0">
      <alignment horizontal="right"/>
    </xf>
    <xf numFmtId="0" fontId="210" fillId="0" borderId="6233" applyNumberFormat="0" applyFill="0" applyBorder="0" applyAlignment="0">
      <protection locked="0"/>
    </xf>
    <xf numFmtId="254" fontId="240" fillId="0" borderId="6233" applyBorder="0" applyProtection="0">
      <alignment horizontal="right" vertical="center"/>
    </xf>
    <xf numFmtId="0" fontId="241" fillId="94" borderId="6233" applyBorder="0" applyProtection="0">
      <alignment horizontal="centerContinuous" vertical="center"/>
    </xf>
    <xf numFmtId="246" fontId="249" fillId="0" borderId="6233" applyFill="0" applyProtection="0">
      <alignment horizontal="center"/>
    </xf>
    <xf numFmtId="246" fontId="250" fillId="0" borderId="6233" applyFill="0" applyProtection="0">
      <alignment horizontal="center"/>
    </xf>
    <xf numFmtId="186" fontId="146" fillId="3" borderId="6236">
      <alignment horizontal="left"/>
    </xf>
    <xf numFmtId="0" fontId="75" fillId="0" borderId="6234" applyNumberFormat="0" applyFont="0" applyFill="0" applyAlignment="0" applyProtection="0"/>
    <xf numFmtId="0" fontId="113" fillId="0" borderId="6317" applyNumberFormat="0" applyFill="0" applyAlignment="0" applyProtection="0"/>
    <xf numFmtId="264" fontId="12" fillId="14" borderId="6317" applyFont="0" applyFill="0" applyBorder="0" applyAlignment="0" applyProtection="0">
      <alignment horizontal="right"/>
    </xf>
    <xf numFmtId="246" fontId="249" fillId="0" borderId="6317" applyFill="0" applyProtection="0">
      <alignment horizontal="center"/>
    </xf>
    <xf numFmtId="0" fontId="25" fillId="10" borderId="6243" applyNumberFormat="0" applyProtection="0">
      <alignment horizontal="left" vertical="top"/>
    </xf>
    <xf numFmtId="0" fontId="25" fillId="10" borderId="6241" applyNumberFormat="0" applyProtection="0">
      <alignment horizontal="left" vertical="top"/>
    </xf>
    <xf numFmtId="0" fontId="25" fillId="10" borderId="6242" applyNumberFormat="0" applyProtection="0">
      <alignment horizontal="left" vertical="top"/>
    </xf>
    <xf numFmtId="0" fontId="25" fillId="10" borderId="6240" applyNumberFormat="0" applyProtection="0">
      <alignment horizontal="left" vertical="top"/>
    </xf>
    <xf numFmtId="0" fontId="25" fillId="10" borderId="6243" applyNumberFormat="0" applyProtection="0">
      <alignment horizontal="left" vertical="top"/>
    </xf>
    <xf numFmtId="0" fontId="25" fillId="10" borderId="6242" applyNumberFormat="0" applyProtection="0">
      <alignment horizontal="left" vertical="top"/>
    </xf>
    <xf numFmtId="0" fontId="25" fillId="10" borderId="6241" applyNumberFormat="0" applyProtection="0">
      <alignment horizontal="left" vertical="top"/>
    </xf>
    <xf numFmtId="0" fontId="25" fillId="10" borderId="6240" applyNumberFormat="0" applyProtection="0">
      <alignment horizontal="left" vertical="top"/>
    </xf>
    <xf numFmtId="0" fontId="214" fillId="0" borderId="6239" applyNumberFormat="0" applyFont="0" applyFill="0" applyAlignment="0" applyProtection="0"/>
    <xf numFmtId="0" fontId="2" fillId="0" borderId="6238" applyNumberFormat="0" applyAlignment="0" applyProtection="0"/>
    <xf numFmtId="186" fontId="140" fillId="3" borderId="6237">
      <alignment horizontal="center" vertical="center"/>
    </xf>
    <xf numFmtId="186" fontId="140" fillId="3" borderId="6249">
      <alignment horizontal="center" vertical="center"/>
    </xf>
    <xf numFmtId="0" fontId="25" fillId="10" borderId="6252" applyNumberFormat="0" applyProtection="0">
      <alignment horizontal="left" vertical="top"/>
    </xf>
    <xf numFmtId="0" fontId="12" fillId="0" borderId="6317" applyNumberFormat="0" applyFill="0" applyBorder="0" applyAlignment="0" applyProtection="0">
      <alignment horizontal="center"/>
    </xf>
    <xf numFmtId="0" fontId="25" fillId="10" borderId="6314" applyNumberFormat="0" applyProtection="0">
      <alignment horizontal="left" vertical="top"/>
    </xf>
    <xf numFmtId="222" fontId="79" fillId="0" borderId="6304" applyBorder="0"/>
    <xf numFmtId="0" fontId="78" fillId="14" borderId="6307" applyFont="0" applyFill="0" applyBorder="0" applyAlignment="0" applyProtection="0"/>
    <xf numFmtId="222" fontId="79" fillId="0" borderId="6316" applyBorder="0"/>
    <xf numFmtId="0" fontId="101" fillId="0" borderId="6317" applyBorder="0"/>
    <xf numFmtId="222" fontId="79" fillId="0" borderId="6316" applyBorder="0"/>
    <xf numFmtId="248" fontId="46" fillId="0" borderId="6317"/>
    <xf numFmtId="192" fontId="9" fillId="3" borderId="6317">
      <alignment horizontal="right" vertical="center"/>
    </xf>
    <xf numFmtId="180" fontId="9" fillId="3" borderId="6317">
      <alignment horizontal="right" vertical="center"/>
    </xf>
    <xf numFmtId="186" fontId="146" fillId="3" borderId="6317" applyBorder="0">
      <alignment horizontal="left" vertical="center"/>
    </xf>
    <xf numFmtId="0" fontId="165" fillId="0" borderId="6317" applyFill="0" applyProtection="0">
      <alignment horizontal="center"/>
    </xf>
    <xf numFmtId="0" fontId="210" fillId="0" borderId="6317" applyNumberFormat="0" applyFill="0" applyBorder="0" applyAlignment="0">
      <protection locked="0"/>
    </xf>
    <xf numFmtId="254" fontId="240" fillId="0" borderId="6317" applyBorder="0" applyProtection="0">
      <alignment horizontal="right" vertical="center"/>
    </xf>
    <xf numFmtId="246" fontId="250" fillId="0" borderId="6317" applyFill="0" applyProtection="0">
      <alignment horizontal="center"/>
    </xf>
    <xf numFmtId="222" fontId="79" fillId="0" borderId="6256" applyBorder="0"/>
    <xf numFmtId="0" fontId="25" fillId="10" borderId="6253" applyNumberFormat="0" applyProtection="0">
      <alignment horizontal="left" vertical="top"/>
    </xf>
    <xf numFmtId="0" fontId="25" fillId="10" borderId="6255" applyNumberFormat="0" applyProtection="0">
      <alignment horizontal="left" vertical="top"/>
    </xf>
    <xf numFmtId="0" fontId="25" fillId="10" borderId="6252" applyNumberFormat="0" applyProtection="0">
      <alignment horizontal="left" vertical="top"/>
    </xf>
    <xf numFmtId="0" fontId="25" fillId="10" borderId="6253" applyNumberFormat="0" applyProtection="0">
      <alignment horizontal="left" vertical="top"/>
    </xf>
    <xf numFmtId="0" fontId="25" fillId="10" borderId="6254" applyNumberFormat="0" applyProtection="0">
      <alignment horizontal="left" vertical="top"/>
    </xf>
    <xf numFmtId="0" fontId="75" fillId="0" borderId="6258" applyNumberFormat="0" applyFont="0" applyFill="0" applyAlignment="0" applyProtection="0"/>
    <xf numFmtId="0" fontId="101" fillId="0" borderId="6269" applyBorder="0"/>
    <xf numFmtId="222" fontId="79" fillId="0" borderId="6268" applyBorder="0"/>
    <xf numFmtId="0" fontId="113" fillId="0" borderId="6269" applyNumberFormat="0" applyFill="0" applyAlignment="0" applyProtection="0"/>
    <xf numFmtId="0" fontId="12" fillId="0" borderId="6269" applyNumberFormat="0" applyFill="0" applyBorder="0" applyAlignment="0" applyProtection="0">
      <alignment horizontal="center"/>
    </xf>
    <xf numFmtId="248" fontId="46" fillId="0" borderId="6269"/>
    <xf numFmtId="192" fontId="9" fillId="3" borderId="6269">
      <alignment horizontal="right" vertical="center"/>
    </xf>
    <xf numFmtId="180" fontId="9" fillId="3" borderId="6269">
      <alignment horizontal="right" vertical="center"/>
    </xf>
    <xf numFmtId="186" fontId="146" fillId="3" borderId="6269" applyBorder="0">
      <alignment horizontal="left" vertical="center"/>
    </xf>
    <xf numFmtId="0" fontId="166" fillId="0" borderId="6269">
      <alignment horizontal="center"/>
    </xf>
    <xf numFmtId="0" fontId="210" fillId="0" borderId="6269" applyNumberFormat="0" applyFill="0" applyBorder="0" applyAlignment="0">
      <protection locked="0"/>
    </xf>
    <xf numFmtId="264" fontId="12" fillId="14" borderId="6269" applyFont="0" applyFill="0" applyBorder="0" applyAlignment="0" applyProtection="0">
      <alignment horizontal="right"/>
    </xf>
    <xf numFmtId="246" fontId="249" fillId="0" borderId="6269" applyFill="0" applyProtection="0">
      <alignment horizontal="center"/>
    </xf>
    <xf numFmtId="246" fontId="250" fillId="0" borderId="6269" applyFill="0" applyProtection="0">
      <alignment horizontal="center"/>
    </xf>
    <xf numFmtId="246" fontId="250" fillId="0" borderId="6293" applyFill="0" applyProtection="0">
      <alignment horizontal="center"/>
    </xf>
    <xf numFmtId="246" fontId="249" fillId="0" borderId="6293" applyFill="0" applyProtection="0">
      <alignment horizontal="center"/>
    </xf>
    <xf numFmtId="254" fontId="240" fillId="0" borderId="6293" applyBorder="0" applyProtection="0">
      <alignment horizontal="right" vertical="center"/>
    </xf>
    <xf numFmtId="264" fontId="12" fillId="14" borderId="6293" applyFont="0" applyFill="0" applyBorder="0" applyAlignment="0" applyProtection="0">
      <alignment horizontal="right"/>
    </xf>
    <xf numFmtId="0" fontId="165" fillId="0" borderId="6293" applyFill="0" applyProtection="0">
      <alignment horizontal="center"/>
    </xf>
    <xf numFmtId="180" fontId="9" fillId="3" borderId="6293">
      <alignment horizontal="right" vertical="center"/>
    </xf>
    <xf numFmtId="0" fontId="12" fillId="0" borderId="6293" applyNumberFormat="0" applyFill="0" applyBorder="0" applyAlignment="0" applyProtection="0">
      <alignment horizontal="center"/>
    </xf>
    <xf numFmtId="0" fontId="101" fillId="0" borderId="6293" applyBorder="0"/>
    <xf numFmtId="222" fontId="79" fillId="0" borderId="6292" applyBorder="0"/>
    <xf numFmtId="0" fontId="75" fillId="0" borderId="6282" applyNumberFormat="0" applyFont="0" applyFill="0" applyAlignment="0" applyProtection="0"/>
    <xf numFmtId="0" fontId="2" fillId="0" borderId="6286" applyNumberFormat="0" applyAlignment="0" applyProtection="0"/>
    <xf numFmtId="0" fontId="25" fillId="10" borderId="6288" applyNumberFormat="0" applyProtection="0">
      <alignment horizontal="left" vertical="top"/>
    </xf>
    <xf numFmtId="0" fontId="25" fillId="10" borderId="6291" applyNumberFormat="0" applyProtection="0">
      <alignment horizontal="left" vertical="top"/>
    </xf>
    <xf numFmtId="222" fontId="79" fillId="0" borderId="6280" applyBorder="0"/>
    <xf numFmtId="0" fontId="25" fillId="10" borderId="6266" applyNumberFormat="0" applyProtection="0">
      <alignment horizontal="left" vertical="top"/>
    </xf>
    <xf numFmtId="0" fontId="25" fillId="10" borderId="6264" applyNumberFormat="0" applyProtection="0">
      <alignment horizontal="left" vertical="top"/>
    </xf>
    <xf numFmtId="0" fontId="214" fillId="0" borderId="6263" applyNumberFormat="0" applyFont="0" applyFill="0" applyAlignment="0" applyProtection="0"/>
    <xf numFmtId="186" fontId="146" fillId="3" borderId="6260">
      <alignment horizontal="left"/>
    </xf>
    <xf numFmtId="222" fontId="79" fillId="0" borderId="6268" applyBorder="0"/>
    <xf numFmtId="0" fontId="101" fillId="0" borderId="6149" applyBorder="0"/>
    <xf numFmtId="0" fontId="113" fillId="0" borderId="6149" applyNumberFormat="0" applyFill="0" applyAlignment="0" applyProtection="0"/>
    <xf numFmtId="0" fontId="12" fillId="0" borderId="6149" applyNumberFormat="0" applyFill="0" applyBorder="0" applyAlignment="0" applyProtection="0">
      <alignment horizontal="center"/>
    </xf>
    <xf numFmtId="248" fontId="46" fillId="0" borderId="6149"/>
    <xf numFmtId="192" fontId="9" fillId="3" borderId="6149">
      <alignment horizontal="right" vertical="center"/>
    </xf>
    <xf numFmtId="180" fontId="9" fillId="3" borderId="6149">
      <alignment horizontal="right" vertical="center"/>
    </xf>
    <xf numFmtId="186" fontId="146" fillId="3" borderId="6149" applyBorder="0">
      <alignment horizontal="left" vertical="center"/>
    </xf>
    <xf numFmtId="0" fontId="165" fillId="0" borderId="6149" applyFill="0" applyProtection="0">
      <alignment horizontal="center"/>
    </xf>
    <xf numFmtId="0" fontId="166" fillId="0" borderId="6149">
      <alignment horizontal="center"/>
    </xf>
    <xf numFmtId="264" fontId="12" fillId="14" borderId="6149" applyFont="0" applyFill="0" applyBorder="0" applyAlignment="0" applyProtection="0">
      <alignment horizontal="right"/>
    </xf>
    <xf numFmtId="0" fontId="210" fillId="0" borderId="6149" applyNumberFormat="0" applyFill="0" applyBorder="0" applyAlignment="0">
      <protection locked="0"/>
    </xf>
    <xf numFmtId="248" fontId="46" fillId="0" borderId="6293"/>
    <xf numFmtId="222" fontId="79" fillId="0" borderId="6292" applyBorder="0"/>
    <xf numFmtId="186" fontId="140" fillId="3" borderId="6285">
      <alignment horizontal="center" vertical="center"/>
    </xf>
    <xf numFmtId="0" fontId="25" fillId="10" borderId="6290" applyNumberFormat="0" applyProtection="0">
      <alignment horizontal="left" vertical="top"/>
    </xf>
    <xf numFmtId="0" fontId="210" fillId="0" borderId="6293" applyNumberFormat="0" applyFill="0" applyBorder="0" applyAlignment="0">
      <protection locked="0"/>
    </xf>
    <xf numFmtId="192" fontId="9" fillId="3" borderId="6293">
      <alignment horizontal="right" vertical="center"/>
    </xf>
    <xf numFmtId="0" fontId="113" fillId="0" borderId="6293" applyNumberFormat="0" applyFill="0" applyAlignment="0" applyProtection="0"/>
    <xf numFmtId="186" fontId="146" fillId="3" borderId="6284">
      <alignment horizontal="left"/>
    </xf>
    <xf numFmtId="0" fontId="25" fillId="10" borderId="6289" applyNumberFormat="0" applyProtection="0">
      <alignment horizontal="left" vertical="top"/>
    </xf>
    <xf numFmtId="254" fontId="240" fillId="0" borderId="6149" applyBorder="0" applyProtection="0">
      <alignment horizontal="right" vertical="center"/>
    </xf>
    <xf numFmtId="0" fontId="241" fillId="94" borderId="6149" applyBorder="0" applyProtection="0">
      <alignment horizontal="centerContinuous" vertical="center"/>
    </xf>
    <xf numFmtId="246" fontId="249" fillId="0" borderId="6149" applyFill="0" applyProtection="0">
      <alignment horizontal="center"/>
    </xf>
    <xf numFmtId="246" fontId="250" fillId="0" borderId="6149" applyFill="0" applyProtection="0">
      <alignment horizontal="center"/>
    </xf>
    <xf numFmtId="0" fontId="25" fillId="10" borderId="6313" applyNumberFormat="0" applyProtection="0">
      <alignment horizontal="left" vertical="top"/>
    </xf>
    <xf numFmtId="0" fontId="25" fillId="10" borderId="6315" applyNumberFormat="0" applyProtection="0">
      <alignment horizontal="left" vertical="top"/>
    </xf>
    <xf numFmtId="222" fontId="79" fillId="0" borderId="6244" applyBorder="0"/>
    <xf numFmtId="0" fontId="214" fillId="0" borderId="6311" applyNumberFormat="0" applyFont="0" applyFill="0" applyAlignment="0" applyProtection="0"/>
    <xf numFmtId="0" fontId="75" fillId="0" borderId="6246" applyNumberFormat="0" applyFont="0" applyFill="0" applyAlignment="0" applyProtection="0"/>
    <xf numFmtId="0" fontId="25" fillId="10" borderId="6254" applyNumberFormat="0" applyProtection="0">
      <alignment horizontal="left" vertical="top"/>
    </xf>
    <xf numFmtId="0" fontId="25" fillId="10" borderId="6255" applyNumberFormat="0" applyProtection="0">
      <alignment horizontal="left" vertical="top"/>
    </xf>
    <xf numFmtId="0" fontId="165" fillId="0" borderId="6269" applyFill="0" applyProtection="0">
      <alignment horizontal="center"/>
    </xf>
    <xf numFmtId="254" fontId="240" fillId="0" borderId="6269" applyBorder="0" applyProtection="0">
      <alignment horizontal="right" vertical="center"/>
    </xf>
    <xf numFmtId="0" fontId="241" fillId="94" borderId="6269" applyBorder="0" applyProtection="0">
      <alignment horizontal="centerContinuous" vertical="center"/>
    </xf>
    <xf numFmtId="0" fontId="241" fillId="94" borderId="6293" applyBorder="0" applyProtection="0">
      <alignment horizontal="centerContinuous" vertical="center"/>
    </xf>
    <xf numFmtId="0" fontId="166" fillId="0" borderId="6293">
      <alignment horizontal="center"/>
    </xf>
    <xf numFmtId="186" fontId="146" fillId="3" borderId="6293" applyBorder="0">
      <alignment horizontal="left" vertical="center"/>
    </xf>
    <xf numFmtId="0" fontId="214" fillId="0" borderId="6287" applyNumberFormat="0" applyFont="0" applyFill="0" applyAlignment="0" applyProtection="0"/>
    <xf numFmtId="0" fontId="78" fillId="14" borderId="6283" applyFont="0" applyFill="0" applyBorder="0" applyAlignment="0" applyProtection="0"/>
    <xf numFmtId="0" fontId="78" fillId="14" borderId="6211" applyFont="0" applyFill="0" applyBorder="0" applyAlignment="0" applyProtection="0"/>
    <xf numFmtId="0" fontId="25" fillId="10" borderId="6159" applyNumberFormat="0" applyProtection="0">
      <alignment horizontal="left" vertical="top"/>
    </xf>
    <xf numFmtId="0" fontId="25" fillId="10" borderId="6158" applyNumberFormat="0" applyProtection="0">
      <alignment horizontal="left" vertical="top"/>
    </xf>
    <xf numFmtId="0" fontId="25" fillId="10" borderId="6157" applyNumberFormat="0" applyProtection="0">
      <alignment horizontal="left" vertical="top"/>
    </xf>
    <xf numFmtId="0" fontId="25" fillId="10" borderId="6156" applyNumberFormat="0" applyProtection="0">
      <alignment horizontal="left" vertical="top"/>
    </xf>
    <xf numFmtId="186" fontId="140" fillId="3" borderId="6309">
      <alignment horizontal="center" vertical="center"/>
    </xf>
    <xf numFmtId="0" fontId="214" fillId="0" borderId="6155" applyNumberFormat="0" applyFont="0" applyFill="0" applyAlignment="0" applyProtection="0"/>
    <xf numFmtId="0" fontId="2" fillId="0" borderId="6154" applyNumberFormat="0" applyAlignment="0" applyProtection="0"/>
    <xf numFmtId="186" fontId="140" fillId="3" borderId="6153">
      <alignment horizontal="center" vertical="center"/>
    </xf>
    <xf numFmtId="186" fontId="146" fillId="3" borderId="6152">
      <alignment horizontal="left"/>
    </xf>
    <xf numFmtId="186" fontId="146" fillId="3" borderId="6308">
      <alignment horizontal="left"/>
    </xf>
    <xf numFmtId="0" fontId="75" fillId="0" borderId="6150" applyNumberFormat="0" applyFont="0" applyFill="0" applyAlignment="0" applyProtection="0"/>
    <xf numFmtId="0" fontId="75" fillId="0" borderId="6306" applyNumberFormat="0" applyFont="0" applyFill="0" applyAlignment="0" applyProtection="0"/>
    <xf numFmtId="222" fontId="79" fillId="0" borderId="6220" applyBorder="0"/>
    <xf numFmtId="222" fontId="79" fillId="0" borderId="6220" applyBorder="0"/>
    <xf numFmtId="0" fontId="25" fillId="10" borderId="6312" applyNumberFormat="0" applyProtection="0">
      <alignment horizontal="left" vertical="top"/>
    </xf>
    <xf numFmtId="0" fontId="2" fillId="0" borderId="6310" applyNumberFormat="0" applyAlignment="0" applyProtection="0"/>
    <xf numFmtId="246" fontId="250" fillId="0" borderId="6245" applyFill="0" applyProtection="0">
      <alignment horizontal="center"/>
    </xf>
    <xf numFmtId="246" fontId="249" fillId="0" borderId="6245" applyFill="0" applyProtection="0">
      <alignment horizontal="center"/>
    </xf>
    <xf numFmtId="0" fontId="241" fillId="94" borderId="6245" applyBorder="0" applyProtection="0">
      <alignment horizontal="centerContinuous" vertical="center"/>
    </xf>
    <xf numFmtId="254" fontId="240" fillId="0" borderId="6245" applyBorder="0" applyProtection="0">
      <alignment horizontal="right" vertical="center"/>
    </xf>
    <xf numFmtId="0" fontId="210" fillId="0" borderId="6245" applyNumberFormat="0" applyFill="0" applyBorder="0" applyAlignment="0">
      <protection locked="0"/>
    </xf>
    <xf numFmtId="264" fontId="12" fillId="14" borderId="6245" applyFont="0" applyFill="0" applyBorder="0" applyAlignment="0" applyProtection="0">
      <alignment horizontal="right"/>
    </xf>
    <xf numFmtId="0" fontId="166" fillId="0" borderId="6245">
      <alignment horizontal="center"/>
    </xf>
    <xf numFmtId="0" fontId="165" fillId="0" borderId="6245" applyFill="0" applyProtection="0">
      <alignment horizontal="center"/>
    </xf>
    <xf numFmtId="186" fontId="146" fillId="3" borderId="6245" applyBorder="0">
      <alignment horizontal="left" vertical="center"/>
    </xf>
    <xf numFmtId="180" fontId="9" fillId="3" borderId="6245">
      <alignment horizontal="right" vertical="center"/>
    </xf>
    <xf numFmtId="192" fontId="9" fillId="3" borderId="6245">
      <alignment horizontal="right" vertical="center"/>
    </xf>
    <xf numFmtId="248" fontId="46" fillId="0" borderId="6245"/>
    <xf numFmtId="0" fontId="12" fillId="0" borderId="6245" applyNumberFormat="0" applyFill="0" applyBorder="0" applyAlignment="0" applyProtection="0">
      <alignment horizontal="center"/>
    </xf>
    <xf numFmtId="0" fontId="113" fillId="0" borderId="6245" applyNumberFormat="0" applyFill="0" applyAlignment="0" applyProtection="0"/>
    <xf numFmtId="222" fontId="79" fillId="0" borderId="6244" applyBorder="0"/>
    <xf numFmtId="0" fontId="101" fillId="0" borderId="6245" applyBorder="0"/>
    <xf numFmtId="222" fontId="79" fillId="0" borderId="6244" applyBorder="0"/>
    <xf numFmtId="0" fontId="75" fillId="0" borderId="6234" applyNumberFormat="0" applyFont="0" applyFill="0" applyAlignment="0" applyProtection="0"/>
    <xf numFmtId="186" fontId="146" fillId="3" borderId="6236">
      <alignment horizontal="left"/>
    </xf>
    <xf numFmtId="186" fontId="140" fillId="3" borderId="6237">
      <alignment horizontal="center" vertical="center"/>
    </xf>
    <xf numFmtId="0" fontId="2" fillId="0" borderId="6238" applyNumberFormat="0" applyAlignment="0" applyProtection="0"/>
    <xf numFmtId="0" fontId="214" fillId="0" borderId="6239" applyNumberFormat="0" applyFont="0" applyFill="0" applyAlignment="0" applyProtection="0"/>
    <xf numFmtId="0" fontId="25" fillId="10" borderId="6240" applyNumberFormat="0" applyProtection="0">
      <alignment horizontal="left" vertical="top"/>
    </xf>
    <xf numFmtId="0" fontId="25" fillId="10" borderId="6241" applyNumberFormat="0" applyProtection="0">
      <alignment horizontal="left" vertical="top"/>
    </xf>
    <xf numFmtId="0" fontId="25" fillId="10" borderId="6242" applyNumberFormat="0" applyProtection="0">
      <alignment horizontal="left" vertical="top"/>
    </xf>
    <xf numFmtId="0" fontId="25" fillId="10" borderId="6243" applyNumberFormat="0" applyProtection="0">
      <alignment horizontal="left" vertical="top"/>
    </xf>
    <xf numFmtId="0" fontId="78" fillId="14" borderId="6235" applyFont="0" applyFill="0" applyBorder="0" applyAlignment="0" applyProtection="0"/>
    <xf numFmtId="222" fontId="79" fillId="0" borderId="6232" applyBorder="0"/>
    <xf numFmtId="0" fontId="78" fillId="14" borderId="6211" applyFont="0" applyFill="0" applyBorder="0" applyAlignment="0" applyProtection="0"/>
    <xf numFmtId="222" fontId="79" fillId="0" borderId="6220" applyBorder="0"/>
    <xf numFmtId="0" fontId="78" fillId="14" borderId="6223" applyFont="0" applyFill="0" applyBorder="0" applyAlignment="0" applyProtection="0"/>
    <xf numFmtId="0" fontId="25" fillId="10" borderId="6231" applyNumberFormat="0" applyProtection="0">
      <alignment horizontal="left" vertical="top"/>
    </xf>
    <xf numFmtId="0" fontId="25" fillId="10" borderId="6230" applyNumberFormat="0" applyProtection="0">
      <alignment horizontal="left" vertical="top"/>
    </xf>
    <xf numFmtId="0" fontId="25" fillId="10" borderId="6229" applyNumberFormat="0" applyProtection="0">
      <alignment horizontal="left" vertical="top"/>
    </xf>
    <xf numFmtId="0" fontId="25" fillId="10" borderId="6228" applyNumberFormat="0" applyProtection="0">
      <alignment horizontal="left" vertical="top"/>
    </xf>
    <xf numFmtId="0" fontId="214" fillId="0" borderId="6227" applyNumberFormat="0" applyFont="0" applyFill="0" applyAlignment="0" applyProtection="0"/>
    <xf numFmtId="0" fontId="2" fillId="0" borderId="6154" applyNumberFormat="0" applyAlignment="0" applyProtection="0"/>
    <xf numFmtId="186" fontId="140" fillId="3" borderId="6225">
      <alignment horizontal="center" vertical="center"/>
    </xf>
    <xf numFmtId="186" fontId="146" fillId="3" borderId="6224">
      <alignment horizontal="left"/>
    </xf>
    <xf numFmtId="0" fontId="75" fillId="0" borderId="6222" applyNumberFormat="0" applyFont="0" applyFill="0" applyAlignment="0" applyProtection="0"/>
    <xf numFmtId="222" fontId="79" fillId="0" borderId="6232" applyBorder="0"/>
    <xf numFmtId="0" fontId="101" fillId="0" borderId="6233" applyBorder="0"/>
    <xf numFmtId="222" fontId="79" fillId="0" borderId="6232" applyBorder="0"/>
    <xf numFmtId="0" fontId="113" fillId="0" borderId="6233" applyNumberFormat="0" applyFill="0" applyAlignment="0" applyProtection="0"/>
    <xf numFmtId="0" fontId="12" fillId="0" borderId="6233" applyNumberFormat="0" applyFill="0" applyBorder="0" applyAlignment="0" applyProtection="0">
      <alignment horizontal="center"/>
    </xf>
    <xf numFmtId="248" fontId="46" fillId="0" borderId="6233"/>
    <xf numFmtId="192" fontId="9" fillId="3" borderId="6233">
      <alignment horizontal="right" vertical="center"/>
    </xf>
    <xf numFmtId="180" fontId="9" fillId="3" borderId="6233">
      <alignment horizontal="right" vertical="center"/>
    </xf>
    <xf numFmtId="186" fontId="146" fillId="3" borderId="6233" applyBorder="0">
      <alignment horizontal="left" vertical="center"/>
    </xf>
    <xf numFmtId="0" fontId="165" fillId="0" borderId="6233" applyFill="0" applyProtection="0">
      <alignment horizontal="center"/>
    </xf>
    <xf numFmtId="0" fontId="166" fillId="0" borderId="6233">
      <alignment horizontal="center"/>
    </xf>
    <xf numFmtId="264" fontId="12" fillId="14" borderId="6233" applyFont="0" applyFill="0" applyBorder="0" applyAlignment="0" applyProtection="0">
      <alignment horizontal="right"/>
    </xf>
    <xf numFmtId="0" fontId="210" fillId="0" borderId="6233" applyNumberFormat="0" applyFill="0" applyBorder="0" applyAlignment="0">
      <protection locked="0"/>
    </xf>
    <xf numFmtId="254" fontId="240" fillId="0" borderId="6233" applyBorder="0" applyProtection="0">
      <alignment horizontal="right" vertical="center"/>
    </xf>
    <xf numFmtId="0" fontId="241" fillId="94" borderId="6233" applyBorder="0" applyProtection="0">
      <alignment horizontal="centerContinuous" vertical="center"/>
    </xf>
    <xf numFmtId="246" fontId="249" fillId="0" borderId="6233" applyFill="0" applyProtection="0">
      <alignment horizontal="center"/>
    </xf>
    <xf numFmtId="246" fontId="250" fillId="0" borderId="6233" applyFill="0" applyProtection="0">
      <alignment horizontal="center"/>
    </xf>
    <xf numFmtId="0" fontId="241" fillId="94" borderId="6317" applyBorder="0" applyProtection="0">
      <alignment horizontal="centerContinuous" vertical="center"/>
    </xf>
    <xf numFmtId="0" fontId="166" fillId="0" borderId="6317">
      <alignment horizontal="center"/>
    </xf>
    <xf numFmtId="0" fontId="2" fillId="0" borderId="6250" applyNumberFormat="0" applyAlignment="0" applyProtection="0"/>
    <xf numFmtId="0" fontId="214" fillId="0" borderId="6251" applyNumberFormat="0" applyFont="0" applyFill="0" applyAlignment="0" applyProtection="0"/>
    <xf numFmtId="246" fontId="250" fillId="0" borderId="6257" applyFill="0" applyProtection="0">
      <alignment horizontal="center"/>
    </xf>
    <xf numFmtId="246" fontId="249" fillId="0" borderId="6257" applyFill="0" applyProtection="0">
      <alignment horizontal="center"/>
    </xf>
    <xf numFmtId="0" fontId="241" fillId="94" borderId="6257" applyBorder="0" applyProtection="0">
      <alignment horizontal="centerContinuous" vertical="center"/>
    </xf>
    <xf numFmtId="254" fontId="240" fillId="0" borderId="6257" applyBorder="0" applyProtection="0">
      <alignment horizontal="right" vertical="center"/>
    </xf>
    <xf numFmtId="0" fontId="210" fillId="0" borderId="6257" applyNumberFormat="0" applyFill="0" applyBorder="0" applyAlignment="0">
      <protection locked="0"/>
    </xf>
    <xf numFmtId="264" fontId="12" fillId="14" borderId="6257" applyFont="0" applyFill="0" applyBorder="0" applyAlignment="0" applyProtection="0">
      <alignment horizontal="right"/>
    </xf>
    <xf numFmtId="0" fontId="166" fillId="0" borderId="6257">
      <alignment horizontal="center"/>
    </xf>
    <xf numFmtId="0" fontId="165" fillId="0" borderId="6257" applyFill="0" applyProtection="0">
      <alignment horizontal="center"/>
    </xf>
    <xf numFmtId="186" fontId="146" fillId="3" borderId="6257" applyBorder="0">
      <alignment horizontal="left" vertical="center"/>
    </xf>
    <xf numFmtId="180" fontId="9" fillId="3" borderId="6257">
      <alignment horizontal="right" vertical="center"/>
    </xf>
    <xf numFmtId="192" fontId="9" fillId="3" borderId="6257">
      <alignment horizontal="right" vertical="center"/>
    </xf>
    <xf numFmtId="248" fontId="46" fillId="0" borderId="6257"/>
    <xf numFmtId="0" fontId="12" fillId="0" borderId="6257" applyNumberFormat="0" applyFill="0" applyBorder="0" applyAlignment="0" applyProtection="0">
      <alignment horizontal="center"/>
    </xf>
    <xf numFmtId="0" fontId="113" fillId="0" borderId="6257" applyNumberFormat="0" applyFill="0" applyAlignment="0" applyProtection="0"/>
    <xf numFmtId="222" fontId="79" fillId="0" borderId="6256" applyBorder="0"/>
    <xf numFmtId="0" fontId="101" fillId="0" borderId="6257" applyBorder="0"/>
    <xf numFmtId="222" fontId="79" fillId="0" borderId="6256" applyBorder="0"/>
    <xf numFmtId="0" fontId="75" fillId="0" borderId="6246" applyNumberFormat="0" applyFont="0" applyFill="0" applyAlignment="0" applyProtection="0"/>
    <xf numFmtId="186" fontId="146" fillId="3" borderId="6248">
      <alignment horizontal="left"/>
    </xf>
    <xf numFmtId="186" fontId="140" fillId="3" borderId="6249">
      <alignment horizontal="center" vertical="center"/>
    </xf>
    <xf numFmtId="0" fontId="2" fillId="0" borderId="6250" applyNumberFormat="0" applyAlignment="0" applyProtection="0"/>
    <xf numFmtId="0" fontId="214" fillId="0" borderId="6251" applyNumberFormat="0" applyFont="0" applyFill="0" applyAlignment="0" applyProtection="0"/>
    <xf numFmtId="0" fontId="25" fillId="10" borderId="6252" applyNumberFormat="0" applyProtection="0">
      <alignment horizontal="left" vertical="top"/>
    </xf>
    <xf numFmtId="0" fontId="25" fillId="10" borderId="6253" applyNumberFormat="0" applyProtection="0">
      <alignment horizontal="left" vertical="top"/>
    </xf>
    <xf numFmtId="0" fontId="25" fillId="10" borderId="6254" applyNumberFormat="0" applyProtection="0">
      <alignment horizontal="left" vertical="top"/>
    </xf>
    <xf numFmtId="0" fontId="25" fillId="10" borderId="6255" applyNumberFormat="0" applyProtection="0">
      <alignment horizontal="left" vertical="top"/>
    </xf>
    <xf numFmtId="0" fontId="78" fillId="14" borderId="6247" applyFont="0" applyFill="0" applyBorder="0" applyAlignment="0" applyProtection="0"/>
    <xf numFmtId="222" fontId="79" fillId="0" borderId="6244" applyBorder="0"/>
    <xf numFmtId="0" fontId="78" fillId="14" borderId="6259" applyFont="0" applyFill="0" applyBorder="0" applyAlignment="0" applyProtection="0"/>
    <xf numFmtId="186" fontId="146" fillId="3" borderId="6248">
      <alignment horizontal="left"/>
    </xf>
    <xf numFmtId="0" fontId="78" fillId="14" borderId="6235" applyFont="0" applyFill="0" applyBorder="0" applyAlignment="0" applyProtection="0"/>
    <xf numFmtId="222" fontId="79" fillId="0" borderId="6244" applyBorder="0"/>
    <xf numFmtId="0" fontId="2" fillId="0" borderId="6262" applyNumberFormat="0" applyAlignment="0" applyProtection="0"/>
    <xf numFmtId="0" fontId="78" fillId="14" borderId="6235" applyFont="0" applyFill="0" applyBorder="0" applyAlignment="0" applyProtection="0"/>
    <xf numFmtId="0" fontId="25" fillId="10" borderId="6243" applyNumberFormat="0" applyProtection="0">
      <alignment horizontal="left" vertical="top"/>
    </xf>
    <xf numFmtId="0" fontId="25" fillId="10" borderId="6242" applyNumberFormat="0" applyProtection="0">
      <alignment horizontal="left" vertical="top"/>
    </xf>
    <xf numFmtId="0" fontId="25" fillId="10" borderId="6241" applyNumberFormat="0" applyProtection="0">
      <alignment horizontal="left" vertical="top"/>
    </xf>
    <xf numFmtId="0" fontId="25" fillId="10" borderId="6240" applyNumberFormat="0" applyProtection="0">
      <alignment horizontal="left" vertical="top"/>
    </xf>
    <xf numFmtId="0" fontId="25" fillId="10" borderId="6265" applyNumberFormat="0" applyProtection="0">
      <alignment horizontal="left" vertical="top"/>
    </xf>
    <xf numFmtId="0" fontId="214" fillId="0" borderId="6239" applyNumberFormat="0" applyFont="0" applyFill="0" applyAlignment="0" applyProtection="0"/>
    <xf numFmtId="0" fontId="2" fillId="0" borderId="6238" applyNumberFormat="0" applyAlignment="0" applyProtection="0"/>
    <xf numFmtId="186" fontId="140" fillId="3" borderId="6237">
      <alignment horizontal="center" vertical="center"/>
    </xf>
    <xf numFmtId="186" fontId="146" fillId="3" borderId="6236">
      <alignment horizontal="left"/>
    </xf>
    <xf numFmtId="0" fontId="25" fillId="10" borderId="6267" applyNumberFormat="0" applyProtection="0">
      <alignment horizontal="left" vertical="top"/>
    </xf>
    <xf numFmtId="0" fontId="75" fillId="0" borderId="6234" applyNumberFormat="0" applyFont="0" applyFill="0" applyAlignment="0" applyProtection="0"/>
    <xf numFmtId="222" fontId="79" fillId="0" borderId="6244" applyBorder="0"/>
    <xf numFmtId="0" fontId="101" fillId="0" borderId="6245" applyBorder="0"/>
    <xf numFmtId="222" fontId="79" fillId="0" borderId="6244" applyBorder="0"/>
    <xf numFmtId="0" fontId="113" fillId="0" borderId="6245" applyNumberFormat="0" applyFill="0" applyAlignment="0" applyProtection="0"/>
    <xf numFmtId="0" fontId="12" fillId="0" borderId="6245" applyNumberFormat="0" applyFill="0" applyBorder="0" applyAlignment="0" applyProtection="0">
      <alignment horizontal="center"/>
    </xf>
    <xf numFmtId="248" fontId="46" fillId="0" borderId="6245"/>
    <xf numFmtId="192" fontId="9" fillId="3" borderId="6245">
      <alignment horizontal="right" vertical="center"/>
    </xf>
    <xf numFmtId="180" fontId="9" fillId="3" borderId="6245">
      <alignment horizontal="right" vertical="center"/>
    </xf>
    <xf numFmtId="186" fontId="146" fillId="3" borderId="6245" applyBorder="0">
      <alignment horizontal="left" vertical="center"/>
    </xf>
    <xf numFmtId="0" fontId="165" fillId="0" borderId="6245" applyFill="0" applyProtection="0">
      <alignment horizontal="center"/>
    </xf>
    <xf numFmtId="0" fontId="166" fillId="0" borderId="6245">
      <alignment horizontal="center"/>
    </xf>
    <xf numFmtId="264" fontId="12" fillId="14" borderId="6245" applyFont="0" applyFill="0" applyBorder="0" applyAlignment="0" applyProtection="0">
      <alignment horizontal="right"/>
    </xf>
    <xf numFmtId="0" fontId="210" fillId="0" borderId="6245" applyNumberFormat="0" applyFill="0" applyBorder="0" applyAlignment="0">
      <protection locked="0"/>
    </xf>
    <xf numFmtId="254" fontId="240" fillId="0" borderId="6245" applyBorder="0" applyProtection="0">
      <alignment horizontal="right" vertical="center"/>
    </xf>
    <xf numFmtId="0" fontId="241" fillId="94" borderId="6245" applyBorder="0" applyProtection="0">
      <alignment horizontal="centerContinuous" vertical="center"/>
    </xf>
    <xf numFmtId="246" fontId="249" fillId="0" borderId="6245" applyFill="0" applyProtection="0">
      <alignment horizontal="center"/>
    </xf>
    <xf numFmtId="246" fontId="250" fillId="0" borderId="6245" applyFill="0" applyProtection="0">
      <alignment horizontal="center"/>
    </xf>
    <xf numFmtId="186" fontId="140" fillId="3" borderId="6261">
      <alignment horizontal="center" vertical="center"/>
    </xf>
    <xf numFmtId="0" fontId="78" fillId="14" borderId="6247" applyFont="0" applyFill="0" applyBorder="0" applyAlignment="0" applyProtection="0"/>
    <xf numFmtId="222" fontId="79" fillId="0" borderId="6268" applyBorder="0"/>
    <xf numFmtId="0" fontId="78" fillId="14" borderId="6271" applyFont="0" applyFill="0" applyBorder="0" applyAlignment="0" applyProtection="0"/>
    <xf numFmtId="0" fontId="25" fillId="10" borderId="6279" applyNumberFormat="0" applyProtection="0">
      <alignment horizontal="left" vertical="top"/>
    </xf>
    <xf numFmtId="0" fontId="25" fillId="10" borderId="6278" applyNumberFormat="0" applyProtection="0">
      <alignment horizontal="left" vertical="top"/>
    </xf>
    <xf numFmtId="0" fontId="25" fillId="10" borderId="6277" applyNumberFormat="0" applyProtection="0">
      <alignment horizontal="left" vertical="top"/>
    </xf>
    <xf numFmtId="0" fontId="25" fillId="10" borderId="6276" applyNumberFormat="0" applyProtection="0">
      <alignment horizontal="left" vertical="top"/>
    </xf>
    <xf numFmtId="0" fontId="214" fillId="0" borderId="6275" applyNumberFormat="0" applyFont="0" applyFill="0" applyAlignment="0" applyProtection="0"/>
    <xf numFmtId="0" fontId="2" fillId="0" borderId="6274" applyNumberFormat="0" applyAlignment="0" applyProtection="0"/>
    <xf numFmtId="186" fontId="140" fillId="3" borderId="6273">
      <alignment horizontal="center" vertical="center"/>
    </xf>
    <xf numFmtId="186" fontId="146" fillId="3" borderId="6272">
      <alignment horizontal="left"/>
    </xf>
    <xf numFmtId="0" fontId="75" fillId="0" borderId="6270" applyNumberFormat="0" applyFont="0" applyFill="0" applyAlignment="0" applyProtection="0"/>
    <xf numFmtId="222" fontId="79" fillId="0" borderId="6280" applyBorder="0"/>
    <xf numFmtId="0" fontId="101" fillId="0" borderId="6281" applyBorder="0"/>
    <xf numFmtId="222" fontId="79" fillId="0" borderId="6280" applyBorder="0"/>
    <xf numFmtId="0" fontId="113" fillId="0" borderId="6281" applyNumberFormat="0" applyFill="0" applyAlignment="0" applyProtection="0"/>
    <xf numFmtId="0" fontId="12" fillId="0" borderId="6281" applyNumberFormat="0" applyFill="0" applyBorder="0" applyAlignment="0" applyProtection="0">
      <alignment horizontal="center"/>
    </xf>
    <xf numFmtId="248" fontId="46" fillId="0" borderId="6281"/>
    <xf numFmtId="192" fontId="9" fillId="3" borderId="6281">
      <alignment horizontal="right" vertical="center"/>
    </xf>
    <xf numFmtId="180" fontId="9" fillId="3" borderId="6281">
      <alignment horizontal="right" vertical="center"/>
    </xf>
    <xf numFmtId="186" fontId="146" fillId="3" borderId="6281" applyBorder="0">
      <alignment horizontal="left" vertical="center"/>
    </xf>
    <xf numFmtId="0" fontId="165" fillId="0" borderId="6281" applyFill="0" applyProtection="0">
      <alignment horizontal="center"/>
    </xf>
    <xf numFmtId="0" fontId="166" fillId="0" borderId="6281">
      <alignment horizontal="center"/>
    </xf>
    <xf numFmtId="264" fontId="12" fillId="14" borderId="6281" applyFont="0" applyFill="0" applyBorder="0" applyAlignment="0" applyProtection="0">
      <alignment horizontal="right"/>
    </xf>
    <xf numFmtId="0" fontId="210" fillId="0" borderId="6281" applyNumberFormat="0" applyFill="0" applyBorder="0" applyAlignment="0">
      <protection locked="0"/>
    </xf>
    <xf numFmtId="254" fontId="240" fillId="0" borderId="6281" applyBorder="0" applyProtection="0">
      <alignment horizontal="right" vertical="center"/>
    </xf>
    <xf numFmtId="0" fontId="241" fillId="94" borderId="6281" applyBorder="0" applyProtection="0">
      <alignment horizontal="centerContinuous" vertical="center"/>
    </xf>
    <xf numFmtId="246" fontId="249" fillId="0" borderId="6281" applyFill="0" applyProtection="0">
      <alignment horizontal="center"/>
    </xf>
    <xf numFmtId="246" fontId="250" fillId="0" borderId="6281" applyFill="0" applyProtection="0">
      <alignment horizontal="center"/>
    </xf>
    <xf numFmtId="222" fontId="79" fillId="0" borderId="6292" applyBorder="0"/>
    <xf numFmtId="0" fontId="78" fillId="14" borderId="6295" applyFont="0" applyFill="0" applyBorder="0" applyAlignment="0" applyProtection="0"/>
    <xf numFmtId="0" fontId="25" fillId="10" borderId="6303" applyNumberFormat="0" applyProtection="0">
      <alignment horizontal="left" vertical="top"/>
    </xf>
    <xf numFmtId="0" fontId="25" fillId="10" borderId="6302" applyNumberFormat="0" applyProtection="0">
      <alignment horizontal="left" vertical="top"/>
    </xf>
    <xf numFmtId="0" fontId="25" fillId="10" borderId="6301" applyNumberFormat="0" applyProtection="0">
      <alignment horizontal="left" vertical="top"/>
    </xf>
    <xf numFmtId="0" fontId="25" fillId="10" borderId="6300" applyNumberFormat="0" applyProtection="0">
      <alignment horizontal="left" vertical="top"/>
    </xf>
    <xf numFmtId="0" fontId="214" fillId="0" borderId="6299" applyNumberFormat="0" applyFont="0" applyFill="0" applyAlignment="0" applyProtection="0"/>
    <xf numFmtId="0" fontId="2" fillId="0" borderId="6298" applyNumberFormat="0" applyAlignment="0" applyProtection="0"/>
    <xf numFmtId="186" fontId="140" fillId="3" borderId="6297">
      <alignment horizontal="center" vertical="center"/>
    </xf>
    <xf numFmtId="186" fontId="146" fillId="3" borderId="6296">
      <alignment horizontal="left"/>
    </xf>
    <xf numFmtId="0" fontId="75" fillId="0" borderId="6294" applyNumberFormat="0" applyFont="0" applyFill="0" applyAlignment="0" applyProtection="0"/>
    <xf numFmtId="222" fontId="79" fillId="0" borderId="6304" applyBorder="0"/>
    <xf numFmtId="0" fontId="101" fillId="0" borderId="6305" applyBorder="0"/>
    <xf numFmtId="222" fontId="79" fillId="0" borderId="6304" applyBorder="0"/>
    <xf numFmtId="0" fontId="113" fillId="0" borderId="6305" applyNumberFormat="0" applyFill="0" applyAlignment="0" applyProtection="0"/>
    <xf numFmtId="0" fontId="12" fillId="0" borderId="6305" applyNumberFormat="0" applyFill="0" applyBorder="0" applyAlignment="0" applyProtection="0">
      <alignment horizontal="center"/>
    </xf>
    <xf numFmtId="248" fontId="46" fillId="0" borderId="6305"/>
    <xf numFmtId="192" fontId="9" fillId="3" borderId="6305">
      <alignment horizontal="right" vertical="center"/>
    </xf>
    <xf numFmtId="180" fontId="9" fillId="3" borderId="6305">
      <alignment horizontal="right" vertical="center"/>
    </xf>
    <xf numFmtId="186" fontId="146" fillId="3" borderId="6305" applyBorder="0">
      <alignment horizontal="left" vertical="center"/>
    </xf>
    <xf numFmtId="0" fontId="165" fillId="0" borderId="6305" applyFill="0" applyProtection="0">
      <alignment horizontal="center"/>
    </xf>
    <xf numFmtId="0" fontId="166" fillId="0" borderId="6305">
      <alignment horizontal="center"/>
    </xf>
    <xf numFmtId="264" fontId="12" fillId="14" borderId="6305" applyFont="0" applyFill="0" applyBorder="0" applyAlignment="0" applyProtection="0">
      <alignment horizontal="right"/>
    </xf>
    <xf numFmtId="0" fontId="210" fillId="0" borderId="6305" applyNumberFormat="0" applyFill="0" applyBorder="0" applyAlignment="0">
      <protection locked="0"/>
    </xf>
    <xf numFmtId="254" fontId="240" fillId="0" borderId="6305" applyBorder="0" applyProtection="0">
      <alignment horizontal="right" vertical="center"/>
    </xf>
    <xf numFmtId="0" fontId="241" fillId="94" borderId="6305" applyBorder="0" applyProtection="0">
      <alignment horizontal="centerContinuous" vertical="center"/>
    </xf>
    <xf numFmtId="246" fontId="249" fillId="0" borderId="6305" applyFill="0" applyProtection="0">
      <alignment horizontal="center"/>
    </xf>
    <xf numFmtId="246" fontId="250" fillId="0" borderId="6305" applyFill="0" applyProtection="0">
      <alignment horizontal="center"/>
    </xf>
    <xf numFmtId="0" fontId="75" fillId="0" borderId="6318" applyNumberFormat="0" applyFont="0" applyFill="0" applyAlignment="0" applyProtection="0"/>
    <xf numFmtId="0" fontId="78" fillId="14" borderId="6319" applyFont="0" applyFill="0" applyBorder="0" applyAlignment="0" applyProtection="0"/>
    <xf numFmtId="186" fontId="146" fillId="3" borderId="6320">
      <alignment horizontal="left"/>
    </xf>
    <xf numFmtId="186" fontId="140" fillId="3" borderId="6321">
      <alignment horizontal="center" vertical="center"/>
    </xf>
    <xf numFmtId="0" fontId="2" fillId="0" borderId="6322" applyNumberFormat="0" applyAlignment="0" applyProtection="0"/>
    <xf numFmtId="0" fontId="214" fillId="0" borderId="6323" applyNumberFormat="0" applyFont="0" applyFill="0" applyAlignment="0" applyProtection="0"/>
    <xf numFmtId="0" fontId="25" fillId="10" borderId="6324" applyNumberFormat="0" applyProtection="0">
      <alignment horizontal="left" vertical="top"/>
    </xf>
    <xf numFmtId="0" fontId="25" fillId="10" borderId="6325" applyNumberFormat="0" applyProtection="0">
      <alignment horizontal="left" vertical="top"/>
    </xf>
    <xf numFmtId="0" fontId="25" fillId="10" borderId="6326" applyNumberFormat="0" applyProtection="0">
      <alignment horizontal="left" vertical="top"/>
    </xf>
    <xf numFmtId="0" fontId="25" fillId="10" borderId="6327" applyNumberFormat="0" applyProtection="0">
      <alignment horizontal="left" vertical="top"/>
    </xf>
    <xf numFmtId="246" fontId="250" fillId="0" borderId="6317" applyFill="0" applyProtection="0">
      <alignment horizontal="center"/>
    </xf>
    <xf numFmtId="246" fontId="249" fillId="0" borderId="6317" applyFill="0" applyProtection="0">
      <alignment horizontal="center"/>
    </xf>
    <xf numFmtId="0" fontId="241" fillId="94" borderId="6317" applyBorder="0" applyProtection="0">
      <alignment horizontal="centerContinuous" vertical="center"/>
    </xf>
    <xf numFmtId="254" fontId="240" fillId="0" borderId="6317" applyBorder="0" applyProtection="0">
      <alignment horizontal="right" vertical="center"/>
    </xf>
    <xf numFmtId="0" fontId="210" fillId="0" borderId="6317" applyNumberFormat="0" applyFill="0" applyBorder="0" applyAlignment="0">
      <protection locked="0"/>
    </xf>
    <xf numFmtId="264" fontId="12" fillId="14" borderId="6317" applyFont="0" applyFill="0" applyBorder="0" applyAlignment="0" applyProtection="0">
      <alignment horizontal="right"/>
    </xf>
    <xf numFmtId="0" fontId="166" fillId="0" borderId="6317">
      <alignment horizontal="center"/>
    </xf>
    <xf numFmtId="0" fontId="165" fillId="0" borderId="6317" applyFill="0" applyProtection="0">
      <alignment horizontal="center"/>
    </xf>
    <xf numFmtId="186" fontId="146" fillId="3" borderId="6317" applyBorder="0">
      <alignment horizontal="left" vertical="center"/>
    </xf>
    <xf numFmtId="180" fontId="9" fillId="3" borderId="6317">
      <alignment horizontal="right" vertical="center"/>
    </xf>
    <xf numFmtId="192" fontId="9" fillId="3" borderId="6317">
      <alignment horizontal="right" vertical="center"/>
    </xf>
    <xf numFmtId="0" fontId="12" fillId="0" borderId="6317" applyNumberFormat="0" applyFill="0" applyBorder="0" applyAlignment="0" applyProtection="0">
      <alignment horizontal="center"/>
    </xf>
    <xf numFmtId="0" fontId="113" fillId="0" borderId="6317" applyNumberFormat="0" applyFill="0" applyAlignment="0" applyProtection="0"/>
    <xf numFmtId="222" fontId="79" fillId="0" borderId="6316" applyBorder="0"/>
    <xf numFmtId="0" fontId="101" fillId="0" borderId="6317" applyBorder="0"/>
    <xf numFmtId="248" fontId="46" fillId="0" borderId="6317"/>
    <xf numFmtId="0" fontId="101" fillId="0" borderId="6317" applyBorder="0"/>
    <xf numFmtId="222" fontId="79" fillId="0" borderId="6316" applyBorder="0"/>
    <xf numFmtId="0" fontId="113" fillId="0" borderId="6317" applyNumberFormat="0" applyFill="0" applyAlignment="0" applyProtection="0"/>
    <xf numFmtId="0" fontId="75" fillId="0" borderId="6318" applyNumberFormat="0" applyFont="0" applyFill="0" applyAlignment="0" applyProtection="0"/>
    <xf numFmtId="0" fontId="12" fillId="0" borderId="6317" applyNumberFormat="0" applyFill="0" applyBorder="0" applyAlignment="0" applyProtection="0">
      <alignment horizontal="center"/>
    </xf>
    <xf numFmtId="248" fontId="46" fillId="0" borderId="6317"/>
    <xf numFmtId="192" fontId="9" fillId="3" borderId="6317">
      <alignment horizontal="right" vertical="center"/>
    </xf>
    <xf numFmtId="180" fontId="9" fillId="3" borderId="6317">
      <alignment horizontal="right" vertical="center"/>
    </xf>
    <xf numFmtId="186" fontId="146" fillId="3" borderId="6317" applyBorder="0">
      <alignment horizontal="left" vertical="center"/>
    </xf>
    <xf numFmtId="186" fontId="146" fillId="3" borderId="6320">
      <alignment horizontal="left"/>
    </xf>
    <xf numFmtId="186" fontId="140" fillId="3" borderId="6321">
      <alignment horizontal="center" vertical="center"/>
    </xf>
    <xf numFmtId="0" fontId="165" fillId="0" borderId="6317" applyFill="0" applyProtection="0">
      <alignment horizontal="center"/>
    </xf>
    <xf numFmtId="0" fontId="166" fillId="0" borderId="6317">
      <alignment horizontal="center"/>
    </xf>
    <xf numFmtId="264" fontId="12" fillId="14" borderId="6317" applyFont="0" applyFill="0" applyBorder="0" applyAlignment="0" applyProtection="0">
      <alignment horizontal="right"/>
    </xf>
    <xf numFmtId="0" fontId="210" fillId="0" borderId="6317" applyNumberFormat="0" applyFill="0" applyBorder="0" applyAlignment="0">
      <protection locked="0"/>
    </xf>
    <xf numFmtId="0" fontId="2" fillId="0" borderId="6322" applyNumberFormat="0" applyAlignment="0" applyProtection="0"/>
    <xf numFmtId="0" fontId="214" fillId="0" borderId="6323" applyNumberFormat="0" applyFont="0" applyFill="0" applyAlignment="0" applyProtection="0"/>
    <xf numFmtId="0" fontId="25" fillId="10" borderId="6324" applyNumberFormat="0" applyProtection="0">
      <alignment horizontal="left" vertical="top"/>
    </xf>
    <xf numFmtId="0" fontId="25" fillId="10" borderId="6325" applyNumberFormat="0" applyProtection="0">
      <alignment horizontal="left" vertical="top"/>
    </xf>
    <xf numFmtId="0" fontId="25" fillId="10" borderId="6326" applyNumberFormat="0" applyProtection="0">
      <alignment horizontal="left" vertical="top"/>
    </xf>
    <xf numFmtId="0" fontId="25" fillId="10" borderId="6327" applyNumberFormat="0" applyProtection="0">
      <alignment horizontal="left" vertical="top"/>
    </xf>
    <xf numFmtId="0" fontId="25" fillId="10" borderId="6324" applyNumberFormat="0" applyProtection="0">
      <alignment horizontal="left" vertical="top"/>
    </xf>
    <xf numFmtId="0" fontId="25" fillId="10" borderId="6325" applyNumberFormat="0" applyProtection="0">
      <alignment horizontal="left" vertical="top"/>
    </xf>
    <xf numFmtId="0" fontId="25" fillId="10" borderId="6326" applyNumberFormat="0" applyProtection="0">
      <alignment horizontal="left" vertical="top"/>
    </xf>
    <xf numFmtId="0" fontId="25" fillId="10" borderId="6327" applyNumberFormat="0" applyProtection="0">
      <alignment horizontal="left" vertical="top"/>
    </xf>
    <xf numFmtId="254" fontId="240" fillId="0" borderId="6317" applyBorder="0" applyProtection="0">
      <alignment horizontal="right" vertical="center"/>
    </xf>
    <xf numFmtId="0" fontId="241" fillId="94" borderId="6317" applyBorder="0" applyProtection="0">
      <alignment horizontal="centerContinuous" vertical="center"/>
    </xf>
    <xf numFmtId="246" fontId="249" fillId="0" borderId="6317" applyFill="0" applyProtection="0">
      <alignment horizontal="center"/>
    </xf>
    <xf numFmtId="246" fontId="250" fillId="0" borderId="6317" applyFill="0" applyProtection="0">
      <alignment horizontal="center"/>
    </xf>
    <xf numFmtId="190" fontId="101" fillId="0" borderId="6317" applyBorder="0"/>
    <xf numFmtId="190" fontId="113" fillId="0" borderId="6317" applyNumberFormat="0" applyFill="0" applyAlignment="0" applyProtection="0"/>
    <xf numFmtId="190" fontId="75" fillId="0" borderId="6294" applyNumberFormat="0" applyFont="0" applyFill="0" applyAlignment="0" applyProtection="0"/>
    <xf numFmtId="190" fontId="12" fillId="0" borderId="6317" applyNumberFormat="0" applyFill="0" applyBorder="0" applyAlignment="0" applyProtection="0">
      <alignment horizontal="center"/>
    </xf>
    <xf numFmtId="190" fontId="78" fillId="14" borderId="6307" applyFont="0" applyFill="0" applyBorder="0" applyAlignment="0" applyProtection="0"/>
    <xf numFmtId="190" fontId="165" fillId="0" borderId="6317" applyFill="0" applyProtection="0">
      <alignment horizontal="center"/>
    </xf>
    <xf numFmtId="190" fontId="166" fillId="0" borderId="6317">
      <alignment horizontal="center"/>
    </xf>
    <xf numFmtId="190" fontId="210" fillId="0" borderId="6317" applyNumberFormat="0" applyFill="0" applyBorder="0" applyAlignment="0">
      <protection locked="0"/>
    </xf>
    <xf numFmtId="190" fontId="2" fillId="0" borderId="6298" applyNumberFormat="0" applyAlignment="0" applyProtection="0"/>
    <xf numFmtId="190" fontId="214" fillId="0" borderId="6299" applyNumberFormat="0" applyFont="0" applyFill="0" applyAlignment="0" applyProtection="0"/>
    <xf numFmtId="190" fontId="25" fillId="10" borderId="6300" applyNumberFormat="0" applyProtection="0">
      <alignment horizontal="left" vertical="top"/>
    </xf>
    <xf numFmtId="190" fontId="25" fillId="10" borderId="6301" applyNumberFormat="0" applyProtection="0">
      <alignment horizontal="left" vertical="top"/>
    </xf>
    <xf numFmtId="190" fontId="25" fillId="10" borderId="6302" applyNumberFormat="0" applyProtection="0">
      <alignment horizontal="left" vertical="top"/>
    </xf>
    <xf numFmtId="190" fontId="25" fillId="10" borderId="6303" applyNumberFormat="0" applyProtection="0">
      <alignment horizontal="left" vertical="top"/>
    </xf>
    <xf numFmtId="190" fontId="241" fillId="94" borderId="6317" applyBorder="0" applyProtection="0">
      <alignment horizontal="centerContinuous" vertical="center"/>
    </xf>
    <xf numFmtId="222" fontId="79" fillId="0" borderId="6316" applyBorder="0"/>
    <xf numFmtId="0" fontId="101" fillId="0" borderId="6317" applyBorder="0"/>
    <xf numFmtId="222" fontId="79" fillId="0" borderId="6316" applyBorder="0"/>
    <xf numFmtId="0" fontId="113" fillId="0" borderId="6317" applyNumberFormat="0" applyFill="0" applyAlignment="0" applyProtection="0"/>
    <xf numFmtId="0" fontId="75" fillId="0" borderId="6294" applyNumberFormat="0" applyFont="0" applyFill="0" applyAlignment="0" applyProtection="0"/>
    <xf numFmtId="0" fontId="12" fillId="0" borderId="6317" applyNumberFormat="0" applyFill="0" applyBorder="0" applyAlignment="0" applyProtection="0">
      <alignment horizontal="center"/>
    </xf>
    <xf numFmtId="248" fontId="46" fillId="0" borderId="6317"/>
    <xf numFmtId="192" fontId="9" fillId="3" borderId="6317">
      <alignment horizontal="right" vertical="center"/>
    </xf>
    <xf numFmtId="180" fontId="9" fillId="3" borderId="6317">
      <alignment horizontal="right" vertical="center"/>
    </xf>
    <xf numFmtId="186" fontId="146" fillId="3" borderId="6317" applyBorder="0">
      <alignment horizontal="left" vertical="center"/>
    </xf>
    <xf numFmtId="186" fontId="146" fillId="3" borderId="6296">
      <alignment horizontal="left"/>
    </xf>
    <xf numFmtId="186" fontId="140" fillId="3" borderId="6297">
      <alignment horizontal="center" vertical="center"/>
    </xf>
    <xf numFmtId="0" fontId="165" fillId="0" borderId="6317" applyFill="0" applyProtection="0">
      <alignment horizontal="center"/>
    </xf>
    <xf numFmtId="0" fontId="166" fillId="0" borderId="6317">
      <alignment horizontal="center"/>
    </xf>
    <xf numFmtId="264" fontId="12" fillId="14" borderId="6317" applyFont="0" applyFill="0" applyBorder="0" applyAlignment="0" applyProtection="0">
      <alignment horizontal="right"/>
    </xf>
    <xf numFmtId="0" fontId="210" fillId="0" borderId="6317" applyNumberFormat="0" applyFill="0" applyBorder="0" applyAlignment="0">
      <protection locked="0"/>
    </xf>
    <xf numFmtId="0" fontId="2" fillId="0" borderId="6298" applyNumberFormat="0" applyAlignment="0" applyProtection="0"/>
    <xf numFmtId="0" fontId="214" fillId="0" borderId="6299" applyNumberFormat="0" applyFont="0" applyFill="0" applyAlignment="0" applyProtection="0"/>
    <xf numFmtId="0" fontId="25" fillId="10" borderId="6300" applyNumberFormat="0" applyProtection="0">
      <alignment horizontal="left" vertical="top"/>
    </xf>
    <xf numFmtId="0" fontId="25" fillId="10" borderId="6301" applyNumberFormat="0" applyProtection="0">
      <alignment horizontal="left" vertical="top"/>
    </xf>
    <xf numFmtId="0" fontId="25" fillId="10" borderId="6302" applyNumberFormat="0" applyProtection="0">
      <alignment horizontal="left" vertical="top"/>
    </xf>
    <xf numFmtId="0" fontId="25" fillId="10" borderId="6303" applyNumberFormat="0" applyProtection="0">
      <alignment horizontal="left" vertical="top"/>
    </xf>
    <xf numFmtId="0" fontId="25" fillId="10" borderId="6300" applyNumberFormat="0" applyProtection="0">
      <alignment horizontal="left" vertical="top"/>
    </xf>
    <xf numFmtId="0" fontId="25" fillId="10" borderId="6301" applyNumberFormat="0" applyProtection="0">
      <alignment horizontal="left" vertical="top"/>
    </xf>
    <xf numFmtId="0" fontId="25" fillId="10" borderId="6302" applyNumberFormat="0" applyProtection="0">
      <alignment horizontal="left" vertical="top"/>
    </xf>
    <xf numFmtId="0" fontId="25" fillId="10" borderId="6303" applyNumberFormat="0" applyProtection="0">
      <alignment horizontal="left" vertical="top"/>
    </xf>
    <xf numFmtId="254" fontId="240" fillId="0" borderId="6317" applyBorder="0" applyProtection="0">
      <alignment horizontal="right" vertical="center"/>
    </xf>
    <xf numFmtId="0" fontId="241" fillId="94" borderId="6317" applyBorder="0" applyProtection="0">
      <alignment horizontal="centerContinuous" vertical="center"/>
    </xf>
    <xf numFmtId="246" fontId="249" fillId="0" borderId="6317" applyFill="0" applyProtection="0">
      <alignment horizontal="center"/>
    </xf>
    <xf numFmtId="246" fontId="250" fillId="0" borderId="6317" applyFill="0" applyProtection="0">
      <alignment horizontal="center"/>
    </xf>
    <xf numFmtId="312" fontId="101" fillId="0" borderId="6317" applyBorder="0"/>
    <xf numFmtId="312" fontId="113" fillId="0" borderId="6317" applyNumberFormat="0" applyFill="0" applyAlignment="0" applyProtection="0"/>
    <xf numFmtId="312" fontId="75" fillId="0" borderId="6294" applyNumberFormat="0" applyFont="0" applyFill="0" applyAlignment="0" applyProtection="0"/>
    <xf numFmtId="312" fontId="12" fillId="0" borderId="6317" applyNumberFormat="0" applyFill="0" applyBorder="0" applyAlignment="0" applyProtection="0">
      <alignment horizontal="center"/>
    </xf>
    <xf numFmtId="312" fontId="165" fillId="0" borderId="6317" applyFill="0" applyProtection="0">
      <alignment horizontal="center"/>
    </xf>
    <xf numFmtId="312" fontId="242" fillId="0" borderId="6317">
      <alignment horizontal="center"/>
    </xf>
    <xf numFmtId="312" fontId="210" fillId="0" borderId="6317" applyNumberFormat="0" applyFill="0" applyBorder="0" applyAlignment="0">
      <protection locked="0"/>
    </xf>
    <xf numFmtId="312" fontId="2" fillId="0" borderId="6298" applyNumberFormat="0" applyAlignment="0" applyProtection="0"/>
    <xf numFmtId="312" fontId="214" fillId="0" borderId="6299" applyNumberFormat="0" applyFont="0" applyFill="0" applyAlignment="0" applyProtection="0"/>
    <xf numFmtId="312" fontId="25" fillId="10" borderId="6300" applyNumberFormat="0" applyProtection="0">
      <alignment horizontal="left" vertical="top"/>
    </xf>
    <xf numFmtId="312" fontId="25" fillId="10" borderId="6301" applyNumberFormat="0" applyProtection="0">
      <alignment horizontal="left" vertical="top"/>
    </xf>
    <xf numFmtId="312" fontId="25" fillId="10" borderId="6302" applyNumberFormat="0" applyProtection="0">
      <alignment horizontal="left" vertical="top"/>
    </xf>
    <xf numFmtId="312" fontId="25" fillId="10" borderId="6303" applyNumberFormat="0" applyProtection="0">
      <alignment horizontal="left" vertical="top"/>
    </xf>
    <xf numFmtId="312" fontId="241" fillId="94" borderId="6317" applyBorder="0" applyProtection="0">
      <alignment horizontal="centerContinuous" vertical="center"/>
    </xf>
    <xf numFmtId="246" fontId="296" fillId="0" borderId="6317" applyFill="0" applyProtection="0">
      <alignment horizontal="center"/>
    </xf>
    <xf numFmtId="312" fontId="101" fillId="0" borderId="6317" applyBorder="0"/>
    <xf numFmtId="312" fontId="113" fillId="0" borderId="6317" applyNumberFormat="0" applyFill="0" applyAlignment="0" applyProtection="0"/>
    <xf numFmtId="312" fontId="75" fillId="0" borderId="6294" applyNumberFormat="0" applyFont="0" applyFill="0" applyAlignment="0" applyProtection="0"/>
    <xf numFmtId="312" fontId="12" fillId="0" borderId="6317" applyNumberFormat="0" applyFill="0" applyBorder="0" applyAlignment="0" applyProtection="0">
      <alignment horizontal="center"/>
    </xf>
    <xf numFmtId="312" fontId="165" fillId="0" borderId="6317" applyFill="0" applyProtection="0">
      <alignment horizontal="center"/>
    </xf>
    <xf numFmtId="312" fontId="242" fillId="0" borderId="6317">
      <alignment horizontal="center"/>
    </xf>
    <xf numFmtId="312" fontId="210" fillId="0" borderId="6317" applyNumberFormat="0" applyFill="0" applyBorder="0" applyAlignment="0">
      <protection locked="0"/>
    </xf>
    <xf numFmtId="312" fontId="2" fillId="0" borderId="6298" applyNumberFormat="0" applyAlignment="0" applyProtection="0"/>
    <xf numFmtId="312" fontId="214" fillId="0" borderId="6299" applyNumberFormat="0" applyFont="0" applyFill="0" applyAlignment="0" applyProtection="0"/>
    <xf numFmtId="312" fontId="25" fillId="10" borderId="6300" applyNumberFormat="0" applyProtection="0">
      <alignment horizontal="left" vertical="top"/>
    </xf>
    <xf numFmtId="312" fontId="25" fillId="10" borderId="6301" applyNumberFormat="0" applyProtection="0">
      <alignment horizontal="left" vertical="top"/>
    </xf>
    <xf numFmtId="312" fontId="25" fillId="10" borderId="6302" applyNumberFormat="0" applyProtection="0">
      <alignment horizontal="left" vertical="top"/>
    </xf>
    <xf numFmtId="312" fontId="25" fillId="10" borderId="6303" applyNumberFormat="0" applyProtection="0">
      <alignment horizontal="left" vertical="top"/>
    </xf>
    <xf numFmtId="312" fontId="25" fillId="10" borderId="6300" applyNumberFormat="0" applyProtection="0">
      <alignment horizontal="left" vertical="top"/>
    </xf>
    <xf numFmtId="312" fontId="25" fillId="10" borderId="6301" applyNumberFormat="0" applyProtection="0">
      <alignment horizontal="left" vertical="top"/>
    </xf>
    <xf numFmtId="312" fontId="25" fillId="10" borderId="6302" applyNumberFormat="0" applyProtection="0">
      <alignment horizontal="left" vertical="top"/>
    </xf>
    <xf numFmtId="312" fontId="25" fillId="10" borderId="6303" applyNumberFormat="0" applyProtection="0">
      <alignment horizontal="left" vertical="top"/>
    </xf>
    <xf numFmtId="312" fontId="241" fillId="94" borderId="6317" applyBorder="0" applyProtection="0">
      <alignment horizontal="centerContinuous" vertical="center"/>
    </xf>
    <xf numFmtId="246" fontId="296" fillId="0" borderId="6317" applyFill="0" applyProtection="0">
      <alignment horizontal="center"/>
    </xf>
    <xf numFmtId="246" fontId="250" fillId="0" borderId="6317" applyFill="0" applyProtection="0">
      <alignment horizontal="center"/>
    </xf>
    <xf numFmtId="246" fontId="249" fillId="0" borderId="6317" applyFill="0" applyProtection="0">
      <alignment horizontal="center"/>
    </xf>
    <xf numFmtId="0" fontId="241" fillId="94" borderId="6317" applyBorder="0" applyProtection="0">
      <alignment horizontal="centerContinuous" vertical="center"/>
    </xf>
    <xf numFmtId="254" fontId="240" fillId="0" borderId="6317" applyBorder="0" applyProtection="0">
      <alignment horizontal="right" vertical="center"/>
    </xf>
    <xf numFmtId="0" fontId="25" fillId="10" borderId="6315" applyNumberFormat="0" applyProtection="0">
      <alignment horizontal="left" vertical="top"/>
    </xf>
    <xf numFmtId="0" fontId="25" fillId="10" borderId="6314" applyNumberFormat="0" applyProtection="0">
      <alignment horizontal="left" vertical="top"/>
    </xf>
    <xf numFmtId="0" fontId="25" fillId="10" borderId="6313" applyNumberFormat="0" applyProtection="0">
      <alignment horizontal="left" vertical="top"/>
    </xf>
    <xf numFmtId="0" fontId="25" fillId="10" borderId="6312" applyNumberFormat="0" applyProtection="0">
      <alignment horizontal="left" vertical="top"/>
    </xf>
    <xf numFmtId="0" fontId="214" fillId="0" borderId="6311" applyNumberFormat="0" applyFont="0" applyFill="0" applyAlignment="0" applyProtection="0"/>
    <xf numFmtId="0" fontId="2" fillId="0" borderId="6310" applyNumberFormat="0" applyAlignment="0" applyProtection="0"/>
    <xf numFmtId="0" fontId="210" fillId="0" borderId="6317" applyNumberFormat="0" applyFill="0" applyBorder="0" applyAlignment="0">
      <protection locked="0"/>
    </xf>
    <xf numFmtId="264" fontId="12" fillId="14" borderId="6317" applyFont="0" applyFill="0" applyBorder="0" applyAlignment="0" applyProtection="0">
      <alignment horizontal="right"/>
    </xf>
    <xf numFmtId="0" fontId="166" fillId="0" borderId="6317">
      <alignment horizontal="center"/>
    </xf>
    <xf numFmtId="0" fontId="165" fillId="0" borderId="6317" applyFill="0" applyProtection="0">
      <alignment horizontal="center"/>
    </xf>
    <xf numFmtId="186" fontId="140" fillId="3" borderId="6309">
      <alignment horizontal="center" vertical="center"/>
    </xf>
    <xf numFmtId="186" fontId="146" fillId="3" borderId="6308">
      <alignment horizontal="left"/>
    </xf>
    <xf numFmtId="186" fontId="146" fillId="3" borderId="6317" applyBorder="0">
      <alignment horizontal="left" vertical="center"/>
    </xf>
    <xf numFmtId="180" fontId="9" fillId="3" borderId="6317">
      <alignment horizontal="right" vertical="center"/>
    </xf>
    <xf numFmtId="192" fontId="9" fillId="3" borderId="6317">
      <alignment horizontal="right" vertical="center"/>
    </xf>
    <xf numFmtId="248" fontId="46" fillId="0" borderId="6317"/>
    <xf numFmtId="0" fontId="78" fillId="14" borderId="6307" applyFont="0" applyFill="0" applyBorder="0" applyAlignment="0" applyProtection="0"/>
    <xf numFmtId="0" fontId="12" fillId="0" borderId="6317" applyNumberFormat="0" applyFill="0" applyBorder="0" applyAlignment="0" applyProtection="0">
      <alignment horizontal="center"/>
    </xf>
    <xf numFmtId="0" fontId="75" fillId="0" borderId="6306" applyNumberFormat="0" applyFont="0" applyFill="0" applyAlignment="0" applyProtection="0"/>
    <xf numFmtId="0" fontId="113" fillId="0" borderId="6317" applyNumberFormat="0" applyFill="0" applyAlignment="0" applyProtection="0"/>
    <xf numFmtId="222" fontId="79" fillId="0" borderId="6316" applyBorder="0"/>
    <xf numFmtId="0" fontId="101" fillId="0" borderId="6317" applyBorder="0"/>
    <xf numFmtId="0" fontId="25" fillId="10" borderId="6324" applyNumberFormat="0" applyProtection="0">
      <alignment horizontal="left" vertical="top"/>
    </xf>
    <xf numFmtId="0" fontId="25" fillId="10" borderId="6325" applyNumberFormat="0" applyProtection="0">
      <alignment horizontal="left" vertical="top"/>
    </xf>
    <xf numFmtId="0" fontId="25" fillId="10" borderId="6326" applyNumberFormat="0" applyProtection="0">
      <alignment horizontal="left" vertical="top"/>
    </xf>
    <xf numFmtId="0" fontId="25" fillId="10" borderId="6327" applyNumberFormat="0" applyProtection="0">
      <alignment horizontal="left" vertical="top"/>
    </xf>
    <xf numFmtId="246" fontId="250" fillId="0" borderId="6305" applyFill="0" applyProtection="0">
      <alignment horizontal="center"/>
    </xf>
    <xf numFmtId="246" fontId="249" fillId="0" borderId="6305" applyFill="0" applyProtection="0">
      <alignment horizontal="center"/>
    </xf>
    <xf numFmtId="0" fontId="241" fillId="94" borderId="6305" applyBorder="0" applyProtection="0">
      <alignment horizontal="centerContinuous" vertical="center"/>
    </xf>
    <xf numFmtId="254" fontId="240" fillId="0" borderId="6305" applyBorder="0" applyProtection="0">
      <alignment horizontal="right" vertical="center"/>
    </xf>
    <xf numFmtId="0" fontId="210" fillId="0" borderId="6305" applyNumberFormat="0" applyFill="0" applyBorder="0" applyAlignment="0">
      <protection locked="0"/>
    </xf>
    <xf numFmtId="264" fontId="12" fillId="14" borderId="6305" applyFont="0" applyFill="0" applyBorder="0" applyAlignment="0" applyProtection="0">
      <alignment horizontal="right"/>
    </xf>
    <xf numFmtId="0" fontId="166" fillId="0" borderId="6305">
      <alignment horizontal="center"/>
    </xf>
    <xf numFmtId="0" fontId="165" fillId="0" borderId="6305" applyFill="0" applyProtection="0">
      <alignment horizontal="center"/>
    </xf>
    <xf numFmtId="186" fontId="146" fillId="3" borderId="6305" applyBorder="0">
      <alignment horizontal="left" vertical="center"/>
    </xf>
    <xf numFmtId="180" fontId="9" fillId="3" borderId="6305">
      <alignment horizontal="right" vertical="center"/>
    </xf>
    <xf numFmtId="192" fontId="9" fillId="3" borderId="6305">
      <alignment horizontal="right" vertical="center"/>
    </xf>
    <xf numFmtId="248" fontId="46" fillId="0" borderId="6305"/>
    <xf numFmtId="0" fontId="12" fillId="0" borderId="6305" applyNumberFormat="0" applyFill="0" applyBorder="0" applyAlignment="0" applyProtection="0">
      <alignment horizontal="center"/>
    </xf>
    <xf numFmtId="0" fontId="113" fillId="0" borderId="6305" applyNumberFormat="0" applyFill="0" applyAlignment="0" applyProtection="0"/>
    <xf numFmtId="222" fontId="79" fillId="0" borderId="6304" applyBorder="0"/>
    <xf numFmtId="0" fontId="101" fillId="0" borderId="6305" applyBorder="0"/>
    <xf numFmtId="246" fontId="250" fillId="0" borderId="6305" applyFill="0" applyProtection="0">
      <alignment horizontal="center"/>
    </xf>
    <xf numFmtId="246" fontId="249" fillId="0" borderId="6305" applyFill="0" applyProtection="0">
      <alignment horizontal="center"/>
    </xf>
    <xf numFmtId="0" fontId="241" fillId="94" borderId="6305" applyBorder="0" applyProtection="0">
      <alignment horizontal="centerContinuous" vertical="center"/>
    </xf>
    <xf numFmtId="254" fontId="240" fillId="0" borderId="6305" applyBorder="0" applyProtection="0">
      <alignment horizontal="right" vertical="center"/>
    </xf>
    <xf numFmtId="0" fontId="210" fillId="0" borderId="6305" applyNumberFormat="0" applyFill="0" applyBorder="0" applyAlignment="0">
      <protection locked="0"/>
    </xf>
    <xf numFmtId="264" fontId="12" fillId="14" borderId="6305" applyFont="0" applyFill="0" applyBorder="0" applyAlignment="0" applyProtection="0">
      <alignment horizontal="right"/>
    </xf>
    <xf numFmtId="0" fontId="166" fillId="0" borderId="6305">
      <alignment horizontal="center"/>
    </xf>
    <xf numFmtId="0" fontId="165" fillId="0" borderId="6305" applyFill="0" applyProtection="0">
      <alignment horizontal="center"/>
    </xf>
    <xf numFmtId="186" fontId="146" fillId="3" borderId="6305" applyBorder="0">
      <alignment horizontal="left" vertical="center"/>
    </xf>
    <xf numFmtId="180" fontId="9" fillId="3" borderId="6305">
      <alignment horizontal="right" vertical="center"/>
    </xf>
    <xf numFmtId="192" fontId="9" fillId="3" borderId="6305">
      <alignment horizontal="right" vertical="center"/>
    </xf>
    <xf numFmtId="0" fontId="12" fillId="0" borderId="6305" applyNumberFormat="0" applyFill="0" applyBorder="0" applyAlignment="0" applyProtection="0">
      <alignment horizontal="center"/>
    </xf>
    <xf numFmtId="0" fontId="113" fillId="0" borderId="6305" applyNumberFormat="0" applyFill="0" applyAlignment="0" applyProtection="0"/>
    <xf numFmtId="222" fontId="79" fillId="0" borderId="6304" applyBorder="0"/>
    <xf numFmtId="0" fontId="101" fillId="0" borderId="6305" applyBorder="0"/>
    <xf numFmtId="248" fontId="46" fillId="0" borderId="6305"/>
    <xf numFmtId="246" fontId="250" fillId="0" borderId="6305" applyFill="0" applyProtection="0">
      <alignment horizontal="center"/>
    </xf>
    <xf numFmtId="246" fontId="249" fillId="0" borderId="6305" applyFill="0" applyProtection="0">
      <alignment horizontal="center"/>
    </xf>
    <xf numFmtId="0" fontId="241" fillId="94" borderId="6305" applyBorder="0" applyProtection="0">
      <alignment horizontal="centerContinuous" vertical="center"/>
    </xf>
    <xf numFmtId="254" fontId="240" fillId="0" borderId="6305" applyBorder="0" applyProtection="0">
      <alignment horizontal="right" vertical="center"/>
    </xf>
    <xf numFmtId="0" fontId="210" fillId="0" borderId="6305" applyNumberFormat="0" applyFill="0" applyBorder="0" applyAlignment="0">
      <protection locked="0"/>
    </xf>
    <xf numFmtId="264" fontId="12" fillId="14" borderId="6305" applyFont="0" applyFill="0" applyBorder="0" applyAlignment="0" applyProtection="0">
      <alignment horizontal="right"/>
    </xf>
    <xf numFmtId="0" fontId="166" fillId="0" borderId="6305">
      <alignment horizontal="center"/>
    </xf>
    <xf numFmtId="0" fontId="165" fillId="0" borderId="6305" applyFill="0" applyProtection="0">
      <alignment horizontal="center"/>
    </xf>
    <xf numFmtId="186" fontId="146" fillId="3" borderId="6305" applyBorder="0">
      <alignment horizontal="left" vertical="center"/>
    </xf>
    <xf numFmtId="180" fontId="9" fillId="3" borderId="6305">
      <alignment horizontal="right" vertical="center"/>
    </xf>
    <xf numFmtId="192" fontId="9" fillId="3" borderId="6305">
      <alignment horizontal="right" vertical="center"/>
    </xf>
    <xf numFmtId="248" fontId="46" fillId="0" borderId="6305"/>
    <xf numFmtId="0" fontId="12" fillId="0" borderId="6305" applyNumberFormat="0" applyFill="0" applyBorder="0" applyAlignment="0" applyProtection="0">
      <alignment horizontal="center"/>
    </xf>
    <xf numFmtId="0" fontId="113" fillId="0" borderId="6305" applyNumberFormat="0" applyFill="0" applyAlignment="0" applyProtection="0"/>
    <xf numFmtId="222" fontId="79" fillId="0" borderId="6304" applyBorder="0"/>
    <xf numFmtId="0" fontId="101" fillId="0" borderId="6305" applyBorder="0"/>
    <xf numFmtId="222" fontId="79" fillId="0" borderId="6364" applyBorder="0"/>
    <xf numFmtId="0" fontId="113" fillId="0" borderId="6485" applyNumberFormat="0" applyFill="0" applyAlignment="0" applyProtection="0"/>
    <xf numFmtId="0" fontId="210" fillId="0" borderId="6473" applyNumberFormat="0" applyFill="0" applyBorder="0" applyAlignment="0">
      <protection locked="0"/>
    </xf>
    <xf numFmtId="0" fontId="241" fillId="94" borderId="6485" applyBorder="0" applyProtection="0">
      <alignment horizontal="centerContinuous" vertical="center"/>
    </xf>
    <xf numFmtId="246" fontId="249" fillId="0" borderId="6653" applyFill="0" applyProtection="0">
      <alignment horizontal="center"/>
    </xf>
    <xf numFmtId="190" fontId="2" fillId="0" borderId="6526" applyNumberFormat="0" applyAlignment="0" applyProtection="0"/>
    <xf numFmtId="190" fontId="210" fillId="0" borderId="6545" applyNumberFormat="0" applyFill="0" applyBorder="0" applyAlignment="0">
      <protection locked="0"/>
    </xf>
    <xf numFmtId="190" fontId="166" fillId="0" borderId="6545">
      <alignment horizontal="center"/>
    </xf>
    <xf numFmtId="190" fontId="165" fillId="0" borderId="6545" applyFill="0" applyProtection="0">
      <alignment horizontal="center"/>
    </xf>
    <xf numFmtId="190" fontId="12" fillId="0" borderId="6545" applyNumberFormat="0" applyFill="0" applyBorder="0" applyAlignment="0" applyProtection="0">
      <alignment horizontal="center"/>
    </xf>
    <xf numFmtId="190" fontId="75" fillId="0" borderId="6522" applyNumberFormat="0" applyFont="0" applyFill="0" applyAlignment="0" applyProtection="0"/>
    <xf numFmtId="246" fontId="249" fillId="0" borderId="6545" applyFill="0" applyProtection="0">
      <alignment horizontal="center"/>
    </xf>
    <xf numFmtId="0" fontId="25" fillId="10" borderId="6555" applyNumberFormat="0" applyProtection="0">
      <alignment horizontal="left" vertical="top"/>
    </xf>
    <xf numFmtId="186" fontId="146" fillId="3" borderId="6725" applyBorder="0">
      <alignment horizontal="left" vertical="center"/>
    </xf>
    <xf numFmtId="0" fontId="101" fillId="0" borderId="6545" applyBorder="0"/>
    <xf numFmtId="222" fontId="79" fillId="0" borderId="6544" applyBorder="0"/>
    <xf numFmtId="0" fontId="12" fillId="0" borderId="6545" applyNumberFormat="0" applyFill="0" applyBorder="0" applyAlignment="0" applyProtection="0">
      <alignment horizontal="center"/>
    </xf>
    <xf numFmtId="248" fontId="46" fillId="0" borderId="6725"/>
    <xf numFmtId="0" fontId="241" fillId="94" borderId="6545" applyBorder="0" applyProtection="0">
      <alignment horizontal="centerContinuous" vertical="center"/>
    </xf>
    <xf numFmtId="0" fontId="25" fillId="10" borderId="6555" applyNumberFormat="0" applyProtection="0">
      <alignment horizontal="left" vertical="top"/>
    </xf>
    <xf numFmtId="0" fontId="25" fillId="10" borderId="6554" applyNumberFormat="0" applyProtection="0">
      <alignment horizontal="left" vertical="top"/>
    </xf>
    <xf numFmtId="0" fontId="25" fillId="10" borderId="6553" applyNumberFormat="0" applyProtection="0">
      <alignment horizontal="left" vertical="top"/>
    </xf>
    <xf numFmtId="0" fontId="25" fillId="10" borderId="6552" applyNumberFormat="0" applyProtection="0">
      <alignment horizontal="left" vertical="top"/>
    </xf>
    <xf numFmtId="186" fontId="140" fillId="3" borderId="6549">
      <alignment horizontal="center" vertical="center"/>
    </xf>
    <xf numFmtId="246" fontId="249" fillId="0" borderId="6533" applyFill="0" applyProtection="0">
      <alignment horizontal="center"/>
    </xf>
    <xf numFmtId="0" fontId="210" fillId="0" borderId="6533" applyNumberFormat="0" applyFill="0" applyBorder="0" applyAlignment="0">
      <protection locked="0"/>
    </xf>
    <xf numFmtId="264" fontId="12" fillId="14" borderId="6533" applyFont="0" applyFill="0" applyBorder="0" applyAlignment="0" applyProtection="0">
      <alignment horizontal="right"/>
    </xf>
    <xf numFmtId="192" fontId="9" fillId="3" borderId="6533">
      <alignment horizontal="right" vertical="center"/>
    </xf>
    <xf numFmtId="0" fontId="113" fillId="0" borderId="6533" applyNumberFormat="0" applyFill="0" applyAlignment="0" applyProtection="0"/>
    <xf numFmtId="222" fontId="79" fillId="0" borderId="6532" applyBorder="0"/>
    <xf numFmtId="0" fontId="75" fillId="0" borderId="6522" applyNumberFormat="0" applyFont="0" applyFill="0" applyAlignment="0" applyProtection="0"/>
    <xf numFmtId="186" fontId="146" fillId="3" borderId="6524">
      <alignment horizontal="left"/>
    </xf>
    <xf numFmtId="0" fontId="25" fillId="10" borderId="6529" applyNumberFormat="0" applyProtection="0">
      <alignment horizontal="left" vertical="top"/>
    </xf>
    <xf numFmtId="0" fontId="25" fillId="10" borderId="6530" applyNumberFormat="0" applyProtection="0">
      <alignment horizontal="left" vertical="top"/>
    </xf>
    <xf numFmtId="0" fontId="25" fillId="10" borderId="6531" applyNumberFormat="0" applyProtection="0">
      <alignment horizontal="left" vertical="top"/>
    </xf>
    <xf numFmtId="246" fontId="250" fillId="0" borderId="6509" applyFill="0" applyProtection="0">
      <alignment horizontal="center"/>
    </xf>
    <xf numFmtId="246" fontId="249" fillId="0" borderId="6509" applyFill="0" applyProtection="0">
      <alignment horizontal="center"/>
    </xf>
    <xf numFmtId="0" fontId="241" fillId="94" borderId="6509" applyBorder="0" applyProtection="0">
      <alignment horizontal="centerContinuous" vertical="center"/>
    </xf>
    <xf numFmtId="0" fontId="210" fillId="0" borderId="6509" applyNumberFormat="0" applyFill="0" applyBorder="0" applyAlignment="0">
      <protection locked="0"/>
    </xf>
    <xf numFmtId="0" fontId="165" fillId="0" borderId="6509" applyFill="0" applyProtection="0">
      <alignment horizontal="center"/>
    </xf>
    <xf numFmtId="192" fontId="9" fillId="3" borderId="6509">
      <alignment horizontal="right" vertical="center"/>
    </xf>
    <xf numFmtId="0" fontId="113" fillId="0" borderId="6509" applyNumberFormat="0" applyFill="0" applyAlignment="0" applyProtection="0"/>
    <xf numFmtId="222" fontId="79" fillId="0" borderId="6508" applyBorder="0"/>
    <xf numFmtId="186" fontId="140" fillId="3" borderId="6501">
      <alignment horizontal="center" vertical="center"/>
    </xf>
    <xf numFmtId="0" fontId="25" fillId="10" borderId="6504" applyNumberFormat="0" applyProtection="0">
      <alignment horizontal="left" vertical="top"/>
    </xf>
    <xf numFmtId="0" fontId="25" fillId="10" borderId="6507" applyNumberFormat="0" applyProtection="0">
      <alignment horizontal="left" vertical="top"/>
    </xf>
    <xf numFmtId="0" fontId="78" fillId="14" borderId="6475" applyFont="0" applyFill="0" applyBorder="0" applyAlignment="0" applyProtection="0"/>
    <xf numFmtId="186" fontId="140" fillId="3" borderId="6489">
      <alignment horizontal="center" vertical="center"/>
    </xf>
    <xf numFmtId="0" fontId="241" fillId="94" borderId="6485" applyBorder="0" applyProtection="0">
      <alignment horizontal="centerContinuous" vertical="center"/>
    </xf>
    <xf numFmtId="254" fontId="240" fillId="0" borderId="6485" applyBorder="0" applyProtection="0">
      <alignment horizontal="right" vertical="center"/>
    </xf>
    <xf numFmtId="0" fontId="210" fillId="0" borderId="6485" applyNumberFormat="0" applyFill="0" applyBorder="0" applyAlignment="0">
      <protection locked="0"/>
    </xf>
    <xf numFmtId="264" fontId="12" fillId="14" borderId="6485" applyFont="0" applyFill="0" applyBorder="0" applyAlignment="0" applyProtection="0">
      <alignment horizontal="right"/>
    </xf>
    <xf numFmtId="186" fontId="140" fillId="3" borderId="6477">
      <alignment horizontal="center" vertical="center"/>
    </xf>
    <xf numFmtId="186" fontId="146" fillId="3" borderId="6476">
      <alignment horizontal="left"/>
    </xf>
    <xf numFmtId="222" fontId="79" fillId="0" borderId="6484" applyBorder="0"/>
    <xf numFmtId="180" fontId="9" fillId="3" borderId="6473">
      <alignment horizontal="right" vertical="center"/>
    </xf>
    <xf numFmtId="192" fontId="9" fillId="3" borderId="6473">
      <alignment horizontal="right" vertical="center"/>
    </xf>
    <xf numFmtId="248" fontId="46" fillId="0" borderId="6473"/>
    <xf numFmtId="0" fontId="12" fillId="0" borderId="6473" applyNumberFormat="0" applyFill="0" applyBorder="0" applyAlignment="0" applyProtection="0">
      <alignment horizontal="center"/>
    </xf>
    <xf numFmtId="0" fontId="101" fillId="0" borderId="6473" applyBorder="0"/>
    <xf numFmtId="222" fontId="79" fillId="0" borderId="6364" applyBorder="0"/>
    <xf numFmtId="0" fontId="78" fillId="14" borderId="6355" applyFont="0" applyFill="0" applyBorder="0" applyAlignment="0" applyProtection="0"/>
    <xf numFmtId="222" fontId="79" fillId="0" borderId="6364" applyBorder="0"/>
    <xf numFmtId="0" fontId="25" fillId="10" borderId="6482" applyNumberFormat="0" applyProtection="0">
      <alignment horizontal="left" vertical="top"/>
    </xf>
    <xf numFmtId="0" fontId="214" fillId="0" borderId="6479" applyNumberFormat="0" applyFont="0" applyFill="0" applyAlignment="0" applyProtection="0"/>
    <xf numFmtId="186" fontId="146" fillId="3" borderId="6476">
      <alignment horizontal="left"/>
    </xf>
    <xf numFmtId="0" fontId="75" fillId="0" borderId="6474" applyNumberFormat="0" applyFont="0" applyFill="0" applyAlignment="0" applyProtection="0"/>
    <xf numFmtId="0" fontId="25" fillId="10" borderId="6734" applyNumberFormat="0" applyProtection="0">
      <alignment horizontal="left" vertical="top"/>
    </xf>
    <xf numFmtId="222" fontId="79" fillId="0" borderId="6484" applyBorder="0"/>
    <xf numFmtId="248" fontId="46" fillId="0" borderId="6485"/>
    <xf numFmtId="192" fontId="9" fillId="3" borderId="6485">
      <alignment horizontal="right" vertical="center"/>
    </xf>
    <xf numFmtId="180" fontId="9" fillId="3" borderId="6485">
      <alignment horizontal="right" vertical="center"/>
    </xf>
    <xf numFmtId="186" fontId="146" fillId="3" borderId="6485" applyBorder="0">
      <alignment horizontal="left" vertical="center"/>
    </xf>
    <xf numFmtId="0" fontId="165" fillId="0" borderId="6485" applyFill="0" applyProtection="0">
      <alignment horizontal="center"/>
    </xf>
    <xf numFmtId="0" fontId="166" fillId="0" borderId="6485">
      <alignment horizontal="center"/>
    </xf>
    <xf numFmtId="264" fontId="12" fillId="14" borderId="6485" applyFont="0" applyFill="0" applyBorder="0" applyAlignment="0" applyProtection="0">
      <alignment horizontal="right"/>
    </xf>
    <xf numFmtId="0" fontId="210" fillId="0" borderId="6485" applyNumberFormat="0" applyFill="0" applyBorder="0" applyAlignment="0">
      <protection locked="0"/>
    </xf>
    <xf numFmtId="254" fontId="240" fillId="0" borderId="6485" applyBorder="0" applyProtection="0">
      <alignment horizontal="right" vertical="center"/>
    </xf>
    <xf numFmtId="0" fontId="241" fillId="94" borderId="6485" applyBorder="0" applyProtection="0">
      <alignment horizontal="centerContinuous" vertical="center"/>
    </xf>
    <xf numFmtId="0" fontId="2" fillId="0" borderId="6538" applyNumberFormat="0" applyAlignment="0" applyProtection="0"/>
    <xf numFmtId="0" fontId="25" fillId="10" borderId="6540" applyNumberFormat="0" applyProtection="0">
      <alignment horizontal="left" vertical="top"/>
    </xf>
    <xf numFmtId="222" fontId="79" fillId="0" borderId="6364" applyBorder="0"/>
    <xf numFmtId="186" fontId="146" fillId="3" borderId="6536">
      <alignment horizontal="left"/>
    </xf>
    <xf numFmtId="186" fontId="140" fillId="3" borderId="6537">
      <alignment horizontal="center" vertical="center"/>
    </xf>
    <xf numFmtId="0" fontId="25" fillId="10" borderId="6324" applyNumberFormat="0" applyProtection="0">
      <alignment horizontal="left" vertical="top"/>
    </xf>
    <xf numFmtId="0" fontId="25" fillId="10" borderId="6327" applyNumberFormat="0" applyProtection="0">
      <alignment horizontal="left" vertical="top"/>
    </xf>
    <xf numFmtId="0" fontId="78" fillId="14" borderId="6355" applyFont="0" applyFill="0" applyBorder="0" applyAlignment="0" applyProtection="0"/>
    <xf numFmtId="0" fontId="78" fillId="14" borderId="6511" applyFont="0" applyFill="0" applyBorder="0" applyAlignment="0" applyProtection="0"/>
    <xf numFmtId="0" fontId="214" fillId="0" borderId="6515" applyNumberFormat="0" applyFont="0" applyFill="0" applyAlignment="0" applyProtection="0"/>
    <xf numFmtId="186" fontId="146" fillId="3" borderId="6521" applyBorder="0">
      <alignment horizontal="left" vertical="center"/>
    </xf>
    <xf numFmtId="0" fontId="166" fillId="0" borderId="6521">
      <alignment horizontal="center"/>
    </xf>
    <xf numFmtId="0" fontId="241" fillId="94" borderId="6521" applyBorder="0" applyProtection="0">
      <alignment horizontal="centerContinuous" vertical="center"/>
    </xf>
    <xf numFmtId="0" fontId="241" fillId="94" borderId="6497" applyBorder="0" applyProtection="0">
      <alignment horizontal="centerContinuous" vertical="center"/>
    </xf>
    <xf numFmtId="254" fontId="240" fillId="0" borderId="6497" applyBorder="0" applyProtection="0">
      <alignment horizontal="right" vertical="center"/>
    </xf>
    <xf numFmtId="0" fontId="165" fillId="0" borderId="6497" applyFill="0" applyProtection="0">
      <alignment horizontal="center"/>
    </xf>
    <xf numFmtId="0" fontId="25" fillId="10" borderId="6483" applyNumberFormat="0" applyProtection="0">
      <alignment horizontal="left" vertical="top"/>
    </xf>
    <xf numFmtId="0" fontId="25" fillId="10" borderId="6482" applyNumberFormat="0" applyProtection="0">
      <alignment horizontal="left" vertical="top"/>
    </xf>
    <xf numFmtId="0" fontId="75" fillId="0" borderId="6474" applyNumberFormat="0" applyFont="0" applyFill="0" applyAlignment="0" applyProtection="0"/>
    <xf numFmtId="0" fontId="214" fillId="0" borderId="6539" applyNumberFormat="0" applyFont="0" applyFill="0" applyAlignment="0" applyProtection="0"/>
    <xf numFmtId="222" fontId="79" fillId="0" borderId="6484" applyBorder="0"/>
    <xf numFmtId="0" fontId="25" fillId="10" borderId="6543" applyNumberFormat="0" applyProtection="0">
      <alignment horizontal="left" vertical="top"/>
    </xf>
    <xf numFmtId="254" fontId="240" fillId="0" borderId="6365" applyBorder="0" applyProtection="0">
      <alignment horizontal="right" vertical="center"/>
    </xf>
    <xf numFmtId="0" fontId="210" fillId="0" borderId="6365" applyNumberFormat="0" applyFill="0" applyBorder="0" applyAlignment="0">
      <protection locked="0"/>
    </xf>
    <xf numFmtId="264" fontId="12" fillId="14" borderId="6365" applyFont="0" applyFill="0" applyBorder="0" applyAlignment="0" applyProtection="0">
      <alignment horizontal="right"/>
    </xf>
    <xf numFmtId="0" fontId="166" fillId="0" borderId="6365">
      <alignment horizontal="center"/>
    </xf>
    <xf numFmtId="0" fontId="165" fillId="0" borderId="6365" applyFill="0" applyProtection="0">
      <alignment horizontal="center"/>
    </xf>
    <xf numFmtId="186" fontId="146" fillId="3" borderId="6365" applyBorder="0">
      <alignment horizontal="left" vertical="center"/>
    </xf>
    <xf numFmtId="180" fontId="9" fillId="3" borderId="6365">
      <alignment horizontal="right" vertical="center"/>
    </xf>
    <xf numFmtId="186" fontId="146" fillId="3" borderId="6488">
      <alignment horizontal="left"/>
    </xf>
    <xf numFmtId="0" fontId="214" fillId="0" borderId="6491" applyNumberFormat="0" applyFont="0" applyFill="0" applyAlignment="0" applyProtection="0"/>
    <xf numFmtId="0" fontId="25" fillId="10" borderId="6492" applyNumberFormat="0" applyProtection="0">
      <alignment horizontal="left" vertical="top"/>
    </xf>
    <xf numFmtId="0" fontId="25" fillId="10" borderId="6494" applyNumberFormat="0" applyProtection="0">
      <alignment horizontal="left" vertical="top"/>
    </xf>
    <xf numFmtId="222" fontId="79" fillId="0" borderId="6508" applyBorder="0"/>
    <xf numFmtId="0" fontId="25" fillId="10" borderId="6519" applyNumberFormat="0" applyProtection="0">
      <alignment horizontal="left" vertical="top"/>
    </xf>
    <xf numFmtId="0" fontId="25" fillId="10" borderId="6516" applyNumberFormat="0" applyProtection="0">
      <alignment horizontal="left" vertical="top"/>
    </xf>
    <xf numFmtId="222" fontId="79" fillId="0" borderId="6520" applyBorder="0"/>
    <xf numFmtId="180" fontId="9" fillId="3" borderId="6521">
      <alignment horizontal="right" vertical="center"/>
    </xf>
    <xf numFmtId="254" fontId="240" fillId="0" borderId="6521" applyBorder="0" applyProtection="0">
      <alignment horizontal="right" vertical="center"/>
    </xf>
    <xf numFmtId="246" fontId="249" fillId="0" borderId="6521" applyFill="0" applyProtection="0">
      <alignment horizontal="center"/>
    </xf>
    <xf numFmtId="246" fontId="250" fillId="0" borderId="6521" applyFill="0" applyProtection="0">
      <alignment horizontal="center"/>
    </xf>
    <xf numFmtId="264" fontId="12" fillId="14" borderId="6497" applyFont="0" applyFill="0" applyBorder="0" applyAlignment="0" applyProtection="0">
      <alignment horizontal="right"/>
    </xf>
    <xf numFmtId="186" fontId="146" fillId="3" borderId="6497" applyBorder="0">
      <alignment horizontal="left" vertical="center"/>
    </xf>
    <xf numFmtId="180" fontId="9" fillId="3" borderId="6497">
      <alignment horizontal="right" vertical="center"/>
    </xf>
    <xf numFmtId="192" fontId="9" fillId="3" borderId="6497">
      <alignment horizontal="right" vertical="center"/>
    </xf>
    <xf numFmtId="248" fontId="46" fillId="0" borderId="6497"/>
    <xf numFmtId="0" fontId="12" fillId="0" borderId="6497" applyNumberFormat="0" applyFill="0" applyBorder="0" applyAlignment="0" applyProtection="0">
      <alignment horizontal="center"/>
    </xf>
    <xf numFmtId="0" fontId="113" fillId="0" borderId="6497" applyNumberFormat="0" applyFill="0" applyAlignment="0" applyProtection="0"/>
    <xf numFmtId="0" fontId="210" fillId="0" borderId="6545" applyNumberFormat="0" applyFill="0" applyBorder="0" applyAlignment="0">
      <protection locked="0"/>
    </xf>
    <xf numFmtId="0" fontId="165" fillId="0" borderId="6545" applyFill="0" applyProtection="0">
      <alignment horizontal="center"/>
    </xf>
    <xf numFmtId="192" fontId="9" fillId="3" borderId="6545">
      <alignment horizontal="right" vertical="center"/>
    </xf>
    <xf numFmtId="248" fontId="46" fillId="0" borderId="6545"/>
    <xf numFmtId="222" fontId="79" fillId="0" borderId="6544" applyBorder="0"/>
    <xf numFmtId="0" fontId="78" fillId="14" borderId="6535" applyFont="0" applyFill="0" applyBorder="0" applyAlignment="0" applyProtection="0"/>
    <xf numFmtId="0" fontId="25" fillId="10" borderId="6542" applyNumberFormat="0" applyProtection="0">
      <alignment horizontal="left" vertical="top"/>
    </xf>
    <xf numFmtId="186" fontId="140" fillId="3" borderId="6477">
      <alignment horizontal="center" vertical="center"/>
    </xf>
    <xf numFmtId="0" fontId="2" fillId="0" borderId="6478" applyNumberFormat="0" applyAlignment="0" applyProtection="0"/>
    <xf numFmtId="0" fontId="25" fillId="10" borderId="6481" applyNumberFormat="0" applyProtection="0">
      <alignment horizontal="left" vertical="top"/>
    </xf>
    <xf numFmtId="0" fontId="25" fillId="10" borderId="6480" applyNumberFormat="0" applyProtection="0">
      <alignment horizontal="left" vertical="top"/>
    </xf>
    <xf numFmtId="0" fontId="25" fillId="10" borderId="6483" applyNumberFormat="0" applyProtection="0">
      <alignment horizontal="left" vertical="top"/>
    </xf>
    <xf numFmtId="222" fontId="79" fillId="0" borderId="6724" applyBorder="0"/>
    <xf numFmtId="0" fontId="75" fillId="0" borderId="6474" applyNumberFormat="0" applyFont="0" applyFill="0" applyAlignment="0" applyProtection="0"/>
    <xf numFmtId="186" fontId="146" fillId="3" borderId="6476">
      <alignment horizontal="left"/>
    </xf>
    <xf numFmtId="0" fontId="210" fillId="0" borderId="6653" applyNumberFormat="0" applyFill="0" applyBorder="0" applyAlignment="0">
      <protection locked="0"/>
    </xf>
    <xf numFmtId="246" fontId="250" fillId="0" borderId="6473" applyFill="0" applyProtection="0">
      <alignment horizontal="center"/>
    </xf>
    <xf numFmtId="0" fontId="210" fillId="0" borderId="6473" applyNumberFormat="0" applyFill="0" applyBorder="0" applyAlignment="0">
      <protection locked="0"/>
    </xf>
    <xf numFmtId="264" fontId="12" fillId="14" borderId="6473" applyFont="0" applyFill="0" applyBorder="0" applyAlignment="0" applyProtection="0">
      <alignment horizontal="right"/>
    </xf>
    <xf numFmtId="180" fontId="9" fillId="3" borderId="6473">
      <alignment horizontal="right" vertical="center"/>
    </xf>
    <xf numFmtId="248" fontId="46" fillId="0" borderId="6473"/>
    <xf numFmtId="0" fontId="78" fillId="14" borderId="6655" applyFont="0" applyFill="0" applyBorder="0" applyAlignment="0" applyProtection="0"/>
    <xf numFmtId="0" fontId="165" fillId="0" borderId="6653" applyFill="0" applyProtection="0">
      <alignment horizontal="center"/>
    </xf>
    <xf numFmtId="246" fontId="249" fillId="0" borderId="6473" applyFill="0" applyProtection="0">
      <alignment horizontal="center"/>
    </xf>
    <xf numFmtId="0" fontId="241" fillId="94" borderId="6473" applyBorder="0" applyProtection="0">
      <alignment horizontal="centerContinuous" vertical="center"/>
    </xf>
    <xf numFmtId="254" fontId="240" fillId="0" borderId="6473" applyBorder="0" applyProtection="0">
      <alignment horizontal="right" vertical="center"/>
    </xf>
    <xf numFmtId="0" fontId="25" fillId="10" borderId="6001" applyNumberFormat="0" applyProtection="0">
      <alignment horizontal="left" vertical="top"/>
    </xf>
    <xf numFmtId="0" fontId="166" fillId="0" borderId="6653">
      <alignment horizontal="center"/>
    </xf>
    <xf numFmtId="0" fontId="12" fillId="0" borderId="6473" applyNumberFormat="0" applyFill="0" applyBorder="0" applyAlignment="0" applyProtection="0">
      <alignment horizontal="center"/>
    </xf>
    <xf numFmtId="254" fontId="240" fillId="0" borderId="6485" applyBorder="0" applyProtection="0">
      <alignment horizontal="right" vertical="center"/>
    </xf>
    <xf numFmtId="264" fontId="12" fillId="14" borderId="6545" applyFont="0" applyFill="0" applyBorder="0" applyAlignment="0" applyProtection="0">
      <alignment horizontal="right"/>
    </xf>
    <xf numFmtId="0" fontId="25" fillId="10" borderId="6326" applyNumberFormat="0" applyProtection="0">
      <alignment horizontal="left" vertical="top"/>
    </xf>
    <xf numFmtId="254" fontId="240" fillId="0" borderId="6545" applyBorder="0" applyProtection="0">
      <alignment horizontal="right" vertical="center"/>
    </xf>
    <xf numFmtId="0" fontId="166" fillId="0" borderId="6485">
      <alignment horizontal="center"/>
    </xf>
    <xf numFmtId="186" fontId="146" fillId="3" borderId="6476">
      <alignment horizontal="left"/>
    </xf>
    <xf numFmtId="0" fontId="78" fillId="14" borderId="6355" applyFont="0" applyFill="0" applyBorder="0" applyAlignment="0" applyProtection="0"/>
    <xf numFmtId="246" fontId="249" fillId="0" borderId="6473" applyFill="0" applyProtection="0">
      <alignment horizontal="center"/>
    </xf>
    <xf numFmtId="0" fontId="78" fillId="14" borderId="6307" applyFont="0" applyFill="0" applyBorder="0" applyAlignment="0" applyProtection="0"/>
    <xf numFmtId="192" fontId="9" fillId="3" borderId="6473">
      <alignment horizontal="right" vertical="center"/>
    </xf>
    <xf numFmtId="222" fontId="79" fillId="0" borderId="6064" applyBorder="0"/>
    <xf numFmtId="248" fontId="46" fillId="0" borderId="6725"/>
    <xf numFmtId="0" fontId="101" fillId="0" borderId="6245" applyBorder="0"/>
    <xf numFmtId="222" fontId="79" fillId="0" borderId="6064" applyBorder="0"/>
    <xf numFmtId="0" fontId="113" fillId="0" borderId="6245" applyNumberFormat="0" applyFill="0" applyAlignment="0" applyProtection="0"/>
    <xf numFmtId="0" fontId="12" fillId="0" borderId="6245" applyNumberFormat="0" applyFill="0" applyBorder="0" applyAlignment="0" applyProtection="0">
      <alignment horizontal="center"/>
    </xf>
    <xf numFmtId="0" fontId="75" fillId="0" borderId="6474" applyNumberFormat="0" applyFont="0" applyFill="0" applyAlignment="0" applyProtection="0"/>
    <xf numFmtId="248" fontId="46" fillId="0" borderId="6245"/>
    <xf numFmtId="0" fontId="25" fillId="10" borderId="6517" applyNumberFormat="0" applyProtection="0">
      <alignment horizontal="left" vertical="top"/>
    </xf>
    <xf numFmtId="192" fontId="9" fillId="3" borderId="6365">
      <alignment horizontal="right" vertical="center"/>
    </xf>
    <xf numFmtId="192" fontId="9" fillId="3" borderId="6245">
      <alignment horizontal="right" vertical="center"/>
    </xf>
    <xf numFmtId="180" fontId="9" fillId="3" borderId="6245">
      <alignment horizontal="right" vertical="center"/>
    </xf>
    <xf numFmtId="186" fontId="146" fillId="3" borderId="6245" applyBorder="0">
      <alignment horizontal="left" vertical="center"/>
    </xf>
    <xf numFmtId="222" fontId="79" fillId="0" borderId="6496" applyBorder="0"/>
    <xf numFmtId="186" fontId="140" fillId="3" borderId="6285">
      <alignment horizontal="center" vertical="center"/>
    </xf>
    <xf numFmtId="0" fontId="165" fillId="0" borderId="6245" applyFill="0" applyProtection="0">
      <alignment horizontal="center"/>
    </xf>
    <xf numFmtId="0" fontId="166" fillId="0" borderId="6245">
      <alignment horizontal="center"/>
    </xf>
    <xf numFmtId="190" fontId="12" fillId="0" borderId="6725" applyNumberFormat="0" applyFill="0" applyBorder="0" applyAlignment="0" applyProtection="0">
      <alignment horizontal="center"/>
    </xf>
    <xf numFmtId="264" fontId="12" fillId="14" borderId="6245" applyFont="0" applyFill="0" applyBorder="0" applyAlignment="0" applyProtection="0">
      <alignment horizontal="right"/>
    </xf>
    <xf numFmtId="0" fontId="12" fillId="0" borderId="6365" applyNumberFormat="0" applyFill="0" applyBorder="0" applyAlignment="0" applyProtection="0">
      <alignment horizontal="center"/>
    </xf>
    <xf numFmtId="192" fontId="9" fillId="3" borderId="6521">
      <alignment horizontal="right" vertical="center"/>
    </xf>
    <xf numFmtId="0" fontId="210" fillId="0" borderId="6245" applyNumberFormat="0" applyFill="0" applyBorder="0" applyAlignment="0">
      <protection locked="0"/>
    </xf>
    <xf numFmtId="0" fontId="214" fillId="0" borderId="6311" applyNumberFormat="0" applyFont="0" applyFill="0" applyAlignment="0" applyProtection="0"/>
    <xf numFmtId="0" fontId="25" fillId="10" borderId="6312" applyNumberFormat="0" applyProtection="0">
      <alignment horizontal="left" vertical="top"/>
    </xf>
    <xf numFmtId="0" fontId="25" fillId="10" borderId="6313" applyNumberFormat="0" applyProtection="0">
      <alignment horizontal="left" vertical="top"/>
    </xf>
    <xf numFmtId="0" fontId="25" fillId="10" borderId="6314" applyNumberFormat="0" applyProtection="0">
      <alignment horizontal="left" vertical="top"/>
    </xf>
    <xf numFmtId="0" fontId="25" fillId="10" borderId="6315" applyNumberFormat="0" applyProtection="0">
      <alignment horizontal="left" vertical="top"/>
    </xf>
    <xf numFmtId="0" fontId="25" fillId="10" borderId="6312" applyNumberFormat="0" applyProtection="0">
      <alignment horizontal="left" vertical="top"/>
    </xf>
    <xf numFmtId="0" fontId="25" fillId="10" borderId="6313" applyNumberFormat="0" applyProtection="0">
      <alignment horizontal="left" vertical="top"/>
    </xf>
    <xf numFmtId="0" fontId="25" fillId="10" borderId="6314" applyNumberFormat="0" applyProtection="0">
      <alignment horizontal="left" vertical="top"/>
    </xf>
    <xf numFmtId="0" fontId="25" fillId="10" borderId="6315" applyNumberFormat="0" applyProtection="0">
      <alignment horizontal="left" vertical="top"/>
    </xf>
    <xf numFmtId="254" fontId="240" fillId="0" borderId="6245" applyBorder="0" applyProtection="0">
      <alignment horizontal="right" vertical="center"/>
    </xf>
    <xf numFmtId="0" fontId="241" fillId="94" borderId="6245" applyBorder="0" applyProtection="0">
      <alignment horizontal="centerContinuous" vertical="center"/>
    </xf>
    <xf numFmtId="246" fontId="249" fillId="0" borderId="6245" applyFill="0" applyProtection="0">
      <alignment horizontal="center"/>
    </xf>
    <xf numFmtId="246" fontId="250" fillId="0" borderId="6245" applyFill="0" applyProtection="0">
      <alignment horizontal="center"/>
    </xf>
    <xf numFmtId="264" fontId="12" fillId="14" borderId="6473" applyFont="0" applyFill="0" applyBorder="0" applyAlignment="0" applyProtection="0">
      <alignment horizontal="right"/>
    </xf>
    <xf numFmtId="248" fontId="46" fillId="0" borderId="6473"/>
    <xf numFmtId="264" fontId="12" fillId="14" borderId="6473" applyFont="0" applyFill="0" applyBorder="0" applyAlignment="0" applyProtection="0">
      <alignment horizontal="right"/>
    </xf>
    <xf numFmtId="246" fontId="250" fillId="0" borderId="6485" applyFill="0" applyProtection="0">
      <alignment horizontal="center"/>
    </xf>
    <xf numFmtId="0" fontId="101" fillId="0" borderId="6473" applyBorder="0"/>
    <xf numFmtId="0" fontId="166" fillId="0" borderId="6473">
      <alignment horizontal="center"/>
    </xf>
    <xf numFmtId="0" fontId="101" fillId="0" borderId="6725" applyBorder="0"/>
    <xf numFmtId="312" fontId="113" fillId="0" borderId="6725" applyNumberFormat="0" applyFill="0" applyAlignment="0" applyProtection="0"/>
    <xf numFmtId="186" fontId="140" fillId="3" borderId="6705">
      <alignment horizontal="center" vertical="center"/>
    </xf>
    <xf numFmtId="0" fontId="210" fillId="0" borderId="6653" applyNumberFormat="0" applyFill="0" applyBorder="0" applyAlignment="0">
      <protection locked="0"/>
    </xf>
    <xf numFmtId="248" fontId="46" fillId="0" borderId="6653"/>
    <xf numFmtId="0" fontId="12" fillId="0" borderId="6653" applyNumberFormat="0" applyFill="0" applyBorder="0" applyAlignment="0" applyProtection="0">
      <alignment horizontal="center"/>
    </xf>
    <xf numFmtId="186" fontId="146" fillId="3" borderId="6473" applyBorder="0">
      <alignment horizontal="left" vertical="center"/>
    </xf>
    <xf numFmtId="0" fontId="101" fillId="0" borderId="6485" applyBorder="0"/>
    <xf numFmtId="186" fontId="146" fillId="3" borderId="6212">
      <alignment horizontal="left"/>
    </xf>
    <xf numFmtId="0" fontId="113" fillId="0" borderId="6365" applyNumberFormat="0" applyFill="0" applyAlignment="0" applyProtection="0"/>
    <xf numFmtId="0" fontId="25" fillId="10" borderId="6518" applyNumberFormat="0" applyProtection="0">
      <alignment horizontal="left" vertical="top"/>
    </xf>
    <xf numFmtId="246" fontId="250" fillId="0" borderId="6365" applyFill="0" applyProtection="0">
      <alignment horizontal="center"/>
    </xf>
    <xf numFmtId="0" fontId="75" fillId="0" borderId="6210" applyNumberFormat="0" applyFont="0" applyFill="0" applyAlignment="0" applyProtection="0"/>
    <xf numFmtId="186" fontId="146" fillId="3" borderId="6485" applyBorder="0">
      <alignment horizontal="left" vertical="center"/>
    </xf>
    <xf numFmtId="180" fontId="9" fillId="3" borderId="6485">
      <alignment horizontal="right" vertical="center"/>
    </xf>
    <xf numFmtId="222" fontId="79" fillId="0" borderId="6064" applyBorder="0"/>
    <xf numFmtId="190" fontId="113" fillId="0" borderId="6545" applyNumberFormat="0" applyFill="0" applyAlignment="0" applyProtection="0"/>
    <xf numFmtId="0" fontId="101" fillId="0" borderId="6245" applyBorder="0"/>
    <xf numFmtId="222" fontId="79" fillId="0" borderId="6064" applyBorder="0"/>
    <xf numFmtId="0" fontId="113" fillId="0" borderId="6245" applyNumberFormat="0" applyFill="0" applyAlignment="0" applyProtection="0"/>
    <xf numFmtId="0" fontId="12" fillId="0" borderId="6245" applyNumberFormat="0" applyFill="0" applyBorder="0" applyAlignment="0" applyProtection="0">
      <alignment horizontal="center"/>
    </xf>
    <xf numFmtId="248" fontId="46" fillId="0" borderId="6245"/>
    <xf numFmtId="0" fontId="25" fillId="10" borderId="6541" applyNumberFormat="0" applyProtection="0">
      <alignment horizontal="left" vertical="top"/>
    </xf>
    <xf numFmtId="186" fontId="146" fillId="3" borderId="6512">
      <alignment horizontal="left"/>
    </xf>
    <xf numFmtId="248" fontId="46" fillId="0" borderId="6365"/>
    <xf numFmtId="192" fontId="9" fillId="3" borderId="6245">
      <alignment horizontal="right" vertical="center"/>
    </xf>
    <xf numFmtId="180" fontId="9" fillId="3" borderId="6245">
      <alignment horizontal="right" vertical="center"/>
    </xf>
    <xf numFmtId="186" fontId="146" fillId="3" borderId="6245" applyBorder="0">
      <alignment horizontal="left" vertical="center"/>
    </xf>
    <xf numFmtId="0" fontId="165" fillId="0" borderId="6245" applyFill="0" applyProtection="0">
      <alignment horizontal="center"/>
    </xf>
    <xf numFmtId="0" fontId="166" fillId="0" borderId="6245">
      <alignment horizontal="center"/>
    </xf>
    <xf numFmtId="264" fontId="12" fillId="14" borderId="6245" applyFont="0" applyFill="0" applyBorder="0" applyAlignment="0" applyProtection="0">
      <alignment horizontal="right"/>
    </xf>
    <xf numFmtId="0" fontId="210" fillId="0" borderId="6245" applyNumberFormat="0" applyFill="0" applyBorder="0" applyAlignment="0">
      <protection locked="0"/>
    </xf>
    <xf numFmtId="254" fontId="240" fillId="0" borderId="6245" applyBorder="0" applyProtection="0">
      <alignment horizontal="right" vertical="center"/>
    </xf>
    <xf numFmtId="0" fontId="241" fillId="94" borderId="6245" applyBorder="0" applyProtection="0">
      <alignment horizontal="centerContinuous" vertical="center"/>
    </xf>
    <xf numFmtId="246" fontId="249" fillId="0" borderId="6245" applyFill="0" applyProtection="0">
      <alignment horizontal="center"/>
    </xf>
    <xf numFmtId="246" fontId="250" fillId="0" borderId="6245" applyFill="0" applyProtection="0">
      <alignment horizontal="center"/>
    </xf>
    <xf numFmtId="248" fontId="46" fillId="0" borderId="6485"/>
    <xf numFmtId="0" fontId="12" fillId="0" borderId="6485" applyNumberFormat="0" applyFill="0" applyBorder="0" applyAlignment="0" applyProtection="0">
      <alignment horizontal="center"/>
    </xf>
    <xf numFmtId="192" fontId="9" fillId="3" borderId="6485">
      <alignment horizontal="right" vertical="center"/>
    </xf>
    <xf numFmtId="0" fontId="78" fillId="14" borderId="6355" applyFont="0" applyFill="0" applyBorder="0" applyAlignment="0" applyProtection="0"/>
    <xf numFmtId="0" fontId="2" fillId="0" borderId="6478" applyNumberFormat="0" applyAlignment="0" applyProtection="0"/>
    <xf numFmtId="222" fontId="79" fillId="0" borderId="6484" applyBorder="0"/>
    <xf numFmtId="0" fontId="101" fillId="0" borderId="6485" applyBorder="0"/>
    <xf numFmtId="222" fontId="79" fillId="0" borderId="6484" applyBorder="0"/>
    <xf numFmtId="0" fontId="25" fillId="10" borderId="6481" applyNumberFormat="0" applyProtection="0">
      <alignment horizontal="left" vertical="top"/>
    </xf>
    <xf numFmtId="0" fontId="25" fillId="10" borderId="6482" applyNumberFormat="0" applyProtection="0">
      <alignment horizontal="left" vertical="top"/>
    </xf>
    <xf numFmtId="0" fontId="25" fillId="10" borderId="6483" applyNumberFormat="0" applyProtection="0">
      <alignment horizontal="left" vertical="top"/>
    </xf>
    <xf numFmtId="0" fontId="75" fillId="0" borderId="6486" applyNumberFormat="0" applyFont="0" applyFill="0" applyAlignment="0" applyProtection="0"/>
    <xf numFmtId="222" fontId="79" fillId="0" borderId="6484" applyBorder="0"/>
    <xf numFmtId="0" fontId="25" fillId="10" borderId="6481" applyNumberFormat="0" applyProtection="0">
      <alignment horizontal="left" vertical="top"/>
    </xf>
    <xf numFmtId="0" fontId="25" fillId="10" borderId="6480" applyNumberFormat="0" applyProtection="0">
      <alignment horizontal="left" vertical="top"/>
    </xf>
    <xf numFmtId="0" fontId="25" fillId="10" borderId="6481" applyNumberFormat="0" applyProtection="0">
      <alignment horizontal="left" vertical="top"/>
    </xf>
    <xf numFmtId="0" fontId="210" fillId="0" borderId="6881" applyNumberFormat="0" applyFill="0" applyBorder="0" applyAlignment="0">
      <protection locked="0"/>
    </xf>
    <xf numFmtId="186" fontId="146" fillId="3" borderId="6320">
      <alignment horizontal="left"/>
    </xf>
    <xf numFmtId="0" fontId="75" fillId="0" borderId="6318" applyNumberFormat="0" applyFont="0" applyFill="0" applyAlignment="0" applyProtection="0"/>
    <xf numFmtId="0" fontId="214" fillId="0" borderId="6479" applyNumberFormat="0" applyFont="0" applyFill="0" applyAlignment="0" applyProtection="0"/>
    <xf numFmtId="0" fontId="78" fillId="14" borderId="6475" applyFont="0" applyFill="0" applyBorder="0" applyAlignment="0" applyProtection="0"/>
    <xf numFmtId="186" fontId="140" fillId="3" borderId="6549">
      <alignment horizontal="center" vertical="center"/>
    </xf>
    <xf numFmtId="180" fontId="9" fillId="3" borderId="6545">
      <alignment horizontal="right" vertical="center"/>
    </xf>
    <xf numFmtId="0" fontId="12" fillId="0" borderId="6545" applyNumberFormat="0" applyFill="0" applyBorder="0" applyAlignment="0" applyProtection="0">
      <alignment horizontal="center"/>
    </xf>
    <xf numFmtId="222" fontId="79" fillId="0" borderId="6544" applyBorder="0"/>
    <xf numFmtId="0" fontId="113" fillId="0" borderId="6365" applyNumberFormat="0" applyFill="0" applyAlignment="0" applyProtection="0"/>
    <xf numFmtId="264" fontId="12" fillId="14" borderId="6365" applyFont="0" applyFill="0" applyBorder="0" applyAlignment="0" applyProtection="0">
      <alignment horizontal="right"/>
    </xf>
    <xf numFmtId="246" fontId="249" fillId="0" borderId="6365" applyFill="0" applyProtection="0">
      <alignment horizontal="center"/>
    </xf>
    <xf numFmtId="0" fontId="25" fillId="10" borderId="6327" applyNumberFormat="0" applyProtection="0">
      <alignment horizontal="left" vertical="top"/>
    </xf>
    <xf numFmtId="0" fontId="25" fillId="10" borderId="6325" applyNumberFormat="0" applyProtection="0">
      <alignment horizontal="left" vertical="top"/>
    </xf>
    <xf numFmtId="0" fontId="25" fillId="10" borderId="6326" applyNumberFormat="0" applyProtection="0">
      <alignment horizontal="left" vertical="top"/>
    </xf>
    <xf numFmtId="0" fontId="25" fillId="10" borderId="6324" applyNumberFormat="0" applyProtection="0">
      <alignment horizontal="left" vertical="top"/>
    </xf>
    <xf numFmtId="0" fontId="25" fillId="10" borderId="6327" applyNumberFormat="0" applyProtection="0">
      <alignment horizontal="left" vertical="top"/>
    </xf>
    <xf numFmtId="0" fontId="25" fillId="10" borderId="6326" applyNumberFormat="0" applyProtection="0">
      <alignment horizontal="left" vertical="top"/>
    </xf>
    <xf numFmtId="0" fontId="25" fillId="10" borderId="6325" applyNumberFormat="0" applyProtection="0">
      <alignment horizontal="left" vertical="top"/>
    </xf>
    <xf numFmtId="0" fontId="25" fillId="10" borderId="6324" applyNumberFormat="0" applyProtection="0">
      <alignment horizontal="left" vertical="top"/>
    </xf>
    <xf numFmtId="0" fontId="214" fillId="0" borderId="6323" applyNumberFormat="0" applyFont="0" applyFill="0" applyAlignment="0" applyProtection="0"/>
    <xf numFmtId="0" fontId="2" fillId="0" borderId="6322" applyNumberFormat="0" applyAlignment="0" applyProtection="0"/>
    <xf numFmtId="186" fontId="140" fillId="3" borderId="6321">
      <alignment horizontal="center" vertical="center"/>
    </xf>
    <xf numFmtId="186" fontId="140" fillId="3" borderId="6285">
      <alignment horizontal="center" vertical="center"/>
    </xf>
    <xf numFmtId="0" fontId="25" fillId="10" borderId="6312" applyNumberFormat="0" applyProtection="0">
      <alignment horizontal="left" vertical="top"/>
    </xf>
    <xf numFmtId="0" fontId="12" fillId="0" borderId="6365" applyNumberFormat="0" applyFill="0" applyBorder="0" applyAlignment="0" applyProtection="0">
      <alignment horizontal="center"/>
    </xf>
    <xf numFmtId="0" fontId="25" fillId="10" borderId="6362" applyNumberFormat="0" applyProtection="0">
      <alignment horizontal="left" vertical="top"/>
    </xf>
    <xf numFmtId="0" fontId="78" fillId="14" borderId="6475" applyFont="0" applyFill="0" applyBorder="0" applyAlignment="0" applyProtection="0"/>
    <xf numFmtId="222" fontId="79" fillId="0" borderId="6352" applyBorder="0"/>
    <xf numFmtId="0" fontId="78" fillId="14" borderId="6355" applyFont="0" applyFill="0" applyBorder="0" applyAlignment="0" applyProtection="0"/>
    <xf numFmtId="222" fontId="79" fillId="0" borderId="6364" applyBorder="0"/>
    <xf numFmtId="0" fontId="101" fillId="0" borderId="6365" applyBorder="0"/>
    <xf numFmtId="222" fontId="79" fillId="0" borderId="6364" applyBorder="0"/>
    <xf numFmtId="248" fontId="46" fillId="0" borderId="6365"/>
    <xf numFmtId="192" fontId="9" fillId="3" borderId="6365">
      <alignment horizontal="right" vertical="center"/>
    </xf>
    <xf numFmtId="180" fontId="9" fillId="3" borderId="6365">
      <alignment horizontal="right" vertical="center"/>
    </xf>
    <xf numFmtId="186" fontId="146" fillId="3" borderId="6365" applyBorder="0">
      <alignment horizontal="left" vertical="center"/>
    </xf>
    <xf numFmtId="0" fontId="165" fillId="0" borderId="6365" applyFill="0" applyProtection="0">
      <alignment horizontal="center"/>
    </xf>
    <xf numFmtId="0" fontId="210" fillId="0" borderId="6365" applyNumberFormat="0" applyFill="0" applyBorder="0" applyAlignment="0">
      <protection locked="0"/>
    </xf>
    <xf numFmtId="254" fontId="240" fillId="0" borderId="6365" applyBorder="0" applyProtection="0">
      <alignment horizontal="right" vertical="center"/>
    </xf>
    <xf numFmtId="246" fontId="250" fillId="0" borderId="6365" applyFill="0" applyProtection="0">
      <alignment horizontal="center"/>
    </xf>
    <xf numFmtId="222" fontId="79" fillId="0" borderId="6064" applyBorder="0"/>
    <xf numFmtId="0" fontId="25" fillId="10" borderId="6313" applyNumberFormat="0" applyProtection="0">
      <alignment horizontal="left" vertical="top"/>
    </xf>
    <xf numFmtId="0" fontId="25" fillId="10" borderId="6315" applyNumberFormat="0" applyProtection="0">
      <alignment horizontal="left" vertical="top"/>
    </xf>
    <xf numFmtId="0" fontId="25" fillId="10" borderId="6312" applyNumberFormat="0" applyProtection="0">
      <alignment horizontal="left" vertical="top"/>
    </xf>
    <xf numFmtId="0" fontId="25" fillId="10" borderId="6313" applyNumberFormat="0" applyProtection="0">
      <alignment horizontal="left" vertical="top"/>
    </xf>
    <xf numFmtId="0" fontId="25" fillId="10" borderId="6314" applyNumberFormat="0" applyProtection="0">
      <alignment horizontal="left" vertical="top"/>
    </xf>
    <xf numFmtId="0" fontId="75" fillId="0" borderId="6318" applyNumberFormat="0" applyFont="0" applyFill="0" applyAlignment="0" applyProtection="0"/>
    <xf numFmtId="0" fontId="101" fillId="0" borderId="6329" applyBorder="0"/>
    <xf numFmtId="222" fontId="79" fillId="0" borderId="6328" applyBorder="0"/>
    <xf numFmtId="0" fontId="113" fillId="0" borderId="6329" applyNumberFormat="0" applyFill="0" applyAlignment="0" applyProtection="0"/>
    <xf numFmtId="0" fontId="12" fillId="0" borderId="6329" applyNumberFormat="0" applyFill="0" applyBorder="0" applyAlignment="0" applyProtection="0">
      <alignment horizontal="center"/>
    </xf>
    <xf numFmtId="248" fontId="46" fillId="0" borderId="6329"/>
    <xf numFmtId="192" fontId="9" fillId="3" borderId="6329">
      <alignment horizontal="right" vertical="center"/>
    </xf>
    <xf numFmtId="180" fontId="9" fillId="3" borderId="6329">
      <alignment horizontal="right" vertical="center"/>
    </xf>
    <xf numFmtId="186" fontId="146" fillId="3" borderId="6329" applyBorder="0">
      <alignment horizontal="left" vertical="center"/>
    </xf>
    <xf numFmtId="0" fontId="166" fillId="0" borderId="6329">
      <alignment horizontal="center"/>
    </xf>
    <xf numFmtId="0" fontId="210" fillId="0" borderId="6329" applyNumberFormat="0" applyFill="0" applyBorder="0" applyAlignment="0">
      <protection locked="0"/>
    </xf>
    <xf numFmtId="264" fontId="12" fillId="14" borderId="6329" applyFont="0" applyFill="0" applyBorder="0" applyAlignment="0" applyProtection="0">
      <alignment horizontal="right"/>
    </xf>
    <xf numFmtId="246" fontId="249" fillId="0" borderId="6329" applyFill="0" applyProtection="0">
      <alignment horizontal="center"/>
    </xf>
    <xf numFmtId="246" fontId="250" fillId="0" borderId="6329" applyFill="0" applyProtection="0">
      <alignment horizontal="center"/>
    </xf>
    <xf numFmtId="246" fontId="250" fillId="0" borderId="6341" applyFill="0" applyProtection="0">
      <alignment horizontal="center"/>
    </xf>
    <xf numFmtId="246" fontId="249" fillId="0" borderId="6341" applyFill="0" applyProtection="0">
      <alignment horizontal="center"/>
    </xf>
    <xf numFmtId="254" fontId="240" fillId="0" borderId="6341" applyBorder="0" applyProtection="0">
      <alignment horizontal="right" vertical="center"/>
    </xf>
    <xf numFmtId="264" fontId="12" fillId="14" borderId="6341" applyFont="0" applyFill="0" applyBorder="0" applyAlignment="0" applyProtection="0">
      <alignment horizontal="right"/>
    </xf>
    <xf numFmtId="0" fontId="165" fillId="0" borderId="6341" applyFill="0" applyProtection="0">
      <alignment horizontal="center"/>
    </xf>
    <xf numFmtId="180" fontId="9" fillId="3" borderId="6341">
      <alignment horizontal="right" vertical="center"/>
    </xf>
    <xf numFmtId="0" fontId="12" fillId="0" borderId="6341" applyNumberFormat="0" applyFill="0" applyBorder="0" applyAlignment="0" applyProtection="0">
      <alignment horizontal="center"/>
    </xf>
    <xf numFmtId="0" fontId="101" fillId="0" borderId="6341" applyBorder="0"/>
    <xf numFmtId="222" fontId="79" fillId="0" borderId="6340" applyBorder="0"/>
    <xf numFmtId="0" fontId="75" fillId="0" borderId="6330" applyNumberFormat="0" applyFont="0" applyFill="0" applyAlignment="0" applyProtection="0"/>
    <xf numFmtId="0" fontId="2" fillId="0" borderId="6334" applyNumberFormat="0" applyAlignment="0" applyProtection="0"/>
    <xf numFmtId="0" fontId="25" fillId="10" borderId="6336" applyNumberFormat="0" applyProtection="0">
      <alignment horizontal="left" vertical="top"/>
    </xf>
    <xf numFmtId="0" fontId="25" fillId="10" borderId="6339" applyNumberFormat="0" applyProtection="0">
      <alignment horizontal="left" vertical="top"/>
    </xf>
    <xf numFmtId="222" fontId="79" fillId="0" borderId="6328" applyBorder="0"/>
    <xf numFmtId="0" fontId="25" fillId="10" borderId="6326" applyNumberFormat="0" applyProtection="0">
      <alignment horizontal="left" vertical="top"/>
    </xf>
    <xf numFmtId="0" fontId="25" fillId="10" borderId="6324" applyNumberFormat="0" applyProtection="0">
      <alignment horizontal="left" vertical="top"/>
    </xf>
    <xf numFmtId="0" fontId="214" fillId="0" borderId="6323" applyNumberFormat="0" applyFont="0" applyFill="0" applyAlignment="0" applyProtection="0"/>
    <xf numFmtId="186" fontId="146" fillId="3" borderId="6320">
      <alignment horizontal="left"/>
    </xf>
    <xf numFmtId="222" fontId="79" fillId="0" borderId="6328" applyBorder="0"/>
    <xf numFmtId="0" fontId="214" fillId="0" borderId="6887" applyNumberFormat="0" applyFont="0" applyFill="0" applyAlignment="0" applyProtection="0"/>
    <xf numFmtId="186" fontId="146" fillId="3" borderId="6473" applyBorder="0">
      <alignment horizontal="left" vertical="center"/>
    </xf>
    <xf numFmtId="0" fontId="101" fillId="0" borderId="6317" applyBorder="0"/>
    <xf numFmtId="0" fontId="113" fillId="0" borderId="6317" applyNumberFormat="0" applyFill="0" applyAlignment="0" applyProtection="0"/>
    <xf numFmtId="0" fontId="12" fillId="0" borderId="6317" applyNumberFormat="0" applyFill="0" applyBorder="0" applyAlignment="0" applyProtection="0">
      <alignment horizontal="center"/>
    </xf>
    <xf numFmtId="248" fontId="46" fillId="0" borderId="6317"/>
    <xf numFmtId="192" fontId="9" fillId="3" borderId="6317">
      <alignment horizontal="right" vertical="center"/>
    </xf>
    <xf numFmtId="180" fontId="9" fillId="3" borderId="6317">
      <alignment horizontal="right" vertical="center"/>
    </xf>
    <xf numFmtId="186" fontId="146" fillId="3" borderId="6317" applyBorder="0">
      <alignment horizontal="left" vertical="center"/>
    </xf>
    <xf numFmtId="0" fontId="165" fillId="0" borderId="6317" applyFill="0" applyProtection="0">
      <alignment horizontal="center"/>
    </xf>
    <xf numFmtId="0" fontId="166" fillId="0" borderId="6317">
      <alignment horizontal="center"/>
    </xf>
    <xf numFmtId="264" fontId="12" fillId="14" borderId="6317" applyFont="0" applyFill="0" applyBorder="0" applyAlignment="0" applyProtection="0">
      <alignment horizontal="right"/>
    </xf>
    <xf numFmtId="0" fontId="210" fillId="0" borderId="6317" applyNumberFormat="0" applyFill="0" applyBorder="0" applyAlignment="0">
      <protection locked="0"/>
    </xf>
    <xf numFmtId="248" fontId="46" fillId="0" borderId="6341"/>
    <xf numFmtId="222" fontId="79" fillId="0" borderId="6340" applyBorder="0"/>
    <xf numFmtId="186" fontId="140" fillId="3" borderId="6333">
      <alignment horizontal="center" vertical="center"/>
    </xf>
    <xf numFmtId="0" fontId="25" fillId="10" borderId="6338" applyNumberFormat="0" applyProtection="0">
      <alignment horizontal="left" vertical="top"/>
    </xf>
    <xf numFmtId="0" fontId="210" fillId="0" borderId="6341" applyNumberFormat="0" applyFill="0" applyBorder="0" applyAlignment="0">
      <protection locked="0"/>
    </xf>
    <xf numFmtId="192" fontId="9" fillId="3" borderId="6341">
      <alignment horizontal="right" vertical="center"/>
    </xf>
    <xf numFmtId="0" fontId="113" fillId="0" borderId="6341" applyNumberFormat="0" applyFill="0" applyAlignment="0" applyProtection="0"/>
    <xf numFmtId="186" fontId="146" fillId="3" borderId="6332">
      <alignment horizontal="left"/>
    </xf>
    <xf numFmtId="0" fontId="25" fillId="10" borderId="6337" applyNumberFormat="0" applyProtection="0">
      <alignment horizontal="left" vertical="top"/>
    </xf>
    <xf numFmtId="254" fontId="240" fillId="0" borderId="6317" applyBorder="0" applyProtection="0">
      <alignment horizontal="right" vertical="center"/>
    </xf>
    <xf numFmtId="0" fontId="241" fillId="94" borderId="6317" applyBorder="0" applyProtection="0">
      <alignment horizontal="centerContinuous" vertical="center"/>
    </xf>
    <xf numFmtId="246" fontId="249" fillId="0" borderId="6317" applyFill="0" applyProtection="0">
      <alignment horizontal="center"/>
    </xf>
    <xf numFmtId="246" fontId="250" fillId="0" borderId="6317" applyFill="0" applyProtection="0">
      <alignment horizontal="center"/>
    </xf>
    <xf numFmtId="0" fontId="25" fillId="10" borderId="6361" applyNumberFormat="0" applyProtection="0">
      <alignment horizontal="left" vertical="top"/>
    </xf>
    <xf numFmtId="0" fontId="25" fillId="10" borderId="6363" applyNumberFormat="0" applyProtection="0">
      <alignment horizontal="left" vertical="top"/>
    </xf>
    <xf numFmtId="222" fontId="79" fillId="0" borderId="6328" applyBorder="0"/>
    <xf numFmtId="0" fontId="214" fillId="0" borderId="6359" applyNumberFormat="0" applyFont="0" applyFill="0" applyAlignment="0" applyProtection="0"/>
    <xf numFmtId="0" fontId="75" fillId="0" borderId="6210" applyNumberFormat="0" applyFont="0" applyFill="0" applyAlignment="0" applyProtection="0"/>
    <xf numFmtId="0" fontId="25" fillId="10" borderId="6314" applyNumberFormat="0" applyProtection="0">
      <alignment horizontal="left" vertical="top"/>
    </xf>
    <xf numFmtId="0" fontId="25" fillId="10" borderId="6315" applyNumberFormat="0" applyProtection="0">
      <alignment horizontal="left" vertical="top"/>
    </xf>
    <xf numFmtId="0" fontId="165" fillId="0" borderId="6329" applyFill="0" applyProtection="0">
      <alignment horizontal="center"/>
    </xf>
    <xf numFmtId="254" fontId="240" fillId="0" borderId="6329" applyBorder="0" applyProtection="0">
      <alignment horizontal="right" vertical="center"/>
    </xf>
    <xf numFmtId="0" fontId="241" fillId="94" borderId="6329" applyBorder="0" applyProtection="0">
      <alignment horizontal="centerContinuous" vertical="center"/>
    </xf>
    <xf numFmtId="0" fontId="241" fillId="94" borderId="6341" applyBorder="0" applyProtection="0">
      <alignment horizontal="centerContinuous" vertical="center"/>
    </xf>
    <xf numFmtId="0" fontId="166" fillId="0" borderId="6341">
      <alignment horizontal="center"/>
    </xf>
    <xf numFmtId="186" fontId="146" fillId="3" borderId="6341" applyBorder="0">
      <alignment horizontal="left" vertical="center"/>
    </xf>
    <xf numFmtId="0" fontId="214" fillId="0" borderId="6335" applyNumberFormat="0" applyFont="0" applyFill="0" applyAlignment="0" applyProtection="0"/>
    <xf numFmtId="0" fontId="78" fillId="14" borderId="6331" applyFont="0" applyFill="0" applyBorder="0" applyAlignment="0" applyProtection="0"/>
    <xf numFmtId="0" fontId="78" fillId="14" borderId="6307" applyFont="0" applyFill="0" applyBorder="0" applyAlignment="0" applyProtection="0"/>
    <xf numFmtId="0" fontId="25" fillId="10" borderId="6315" applyNumberFormat="0" applyProtection="0">
      <alignment horizontal="left" vertical="top"/>
    </xf>
    <xf numFmtId="0" fontId="25" fillId="10" borderId="6314" applyNumberFormat="0" applyProtection="0">
      <alignment horizontal="left" vertical="top"/>
    </xf>
    <xf numFmtId="0" fontId="25" fillId="10" borderId="6313" applyNumberFormat="0" applyProtection="0">
      <alignment horizontal="left" vertical="top"/>
    </xf>
    <xf numFmtId="0" fontId="25" fillId="10" borderId="6312" applyNumberFormat="0" applyProtection="0">
      <alignment horizontal="left" vertical="top"/>
    </xf>
    <xf numFmtId="186" fontId="140" fillId="3" borderId="6357">
      <alignment horizontal="center" vertical="center"/>
    </xf>
    <xf numFmtId="0" fontId="214" fillId="0" borderId="6311" applyNumberFormat="0" applyFont="0" applyFill="0" applyAlignment="0" applyProtection="0"/>
    <xf numFmtId="186" fontId="140" fillId="3" borderId="6285">
      <alignment horizontal="center" vertical="center"/>
    </xf>
    <xf numFmtId="186" fontId="146" fillId="3" borderId="6212">
      <alignment horizontal="left"/>
    </xf>
    <xf numFmtId="186" fontId="146" fillId="3" borderId="6356">
      <alignment horizontal="left"/>
    </xf>
    <xf numFmtId="0" fontId="75" fillId="0" borderId="6210" applyNumberFormat="0" applyFont="0" applyFill="0" applyAlignment="0" applyProtection="0"/>
    <xf numFmtId="0" fontId="75" fillId="0" borderId="6354" applyNumberFormat="0" applyFont="0" applyFill="0" applyAlignment="0" applyProtection="0"/>
    <xf numFmtId="222" fontId="79" fillId="0" borderId="6064" applyBorder="0"/>
    <xf numFmtId="222" fontId="79" fillId="0" borderId="6064" applyBorder="0"/>
    <xf numFmtId="0" fontId="25" fillId="10" borderId="6360" applyNumberFormat="0" applyProtection="0">
      <alignment horizontal="left" vertical="top"/>
    </xf>
    <xf numFmtId="0" fontId="2" fillId="0" borderId="6358" applyNumberFormat="0" applyAlignment="0" applyProtection="0"/>
    <xf numFmtId="246" fontId="250" fillId="0" borderId="6329" applyFill="0" applyProtection="0">
      <alignment horizontal="center"/>
    </xf>
    <xf numFmtId="246" fontId="249" fillId="0" borderId="6329" applyFill="0" applyProtection="0">
      <alignment horizontal="center"/>
    </xf>
    <xf numFmtId="0" fontId="241" fillId="94" borderId="6329" applyBorder="0" applyProtection="0">
      <alignment horizontal="centerContinuous" vertical="center"/>
    </xf>
    <xf numFmtId="254" fontId="240" fillId="0" borderId="6329" applyBorder="0" applyProtection="0">
      <alignment horizontal="right" vertical="center"/>
    </xf>
    <xf numFmtId="0" fontId="210" fillId="0" borderId="6329" applyNumberFormat="0" applyFill="0" applyBorder="0" applyAlignment="0">
      <protection locked="0"/>
    </xf>
    <xf numFmtId="264" fontId="12" fillId="14" borderId="6329" applyFont="0" applyFill="0" applyBorder="0" applyAlignment="0" applyProtection="0">
      <alignment horizontal="right"/>
    </xf>
    <xf numFmtId="0" fontId="166" fillId="0" borderId="6329">
      <alignment horizontal="center"/>
    </xf>
    <xf numFmtId="0" fontId="165" fillId="0" borderId="6329" applyFill="0" applyProtection="0">
      <alignment horizontal="center"/>
    </xf>
    <xf numFmtId="186" fontId="146" fillId="3" borderId="6329" applyBorder="0">
      <alignment horizontal="left" vertical="center"/>
    </xf>
    <xf numFmtId="180" fontId="9" fillId="3" borderId="6329">
      <alignment horizontal="right" vertical="center"/>
    </xf>
    <xf numFmtId="192" fontId="9" fillId="3" borderId="6329">
      <alignment horizontal="right" vertical="center"/>
    </xf>
    <xf numFmtId="248" fontId="46" fillId="0" borderId="6329"/>
    <xf numFmtId="0" fontId="12" fillId="0" borderId="6329" applyNumberFormat="0" applyFill="0" applyBorder="0" applyAlignment="0" applyProtection="0">
      <alignment horizontal="center"/>
    </xf>
    <xf numFmtId="0" fontId="113" fillId="0" borderId="6329" applyNumberFormat="0" applyFill="0" applyAlignment="0" applyProtection="0"/>
    <xf numFmtId="222" fontId="79" fillId="0" borderId="6328" applyBorder="0"/>
    <xf numFmtId="0" fontId="101" fillId="0" borderId="6329" applyBorder="0"/>
    <xf numFmtId="222" fontId="79" fillId="0" borderId="6328" applyBorder="0"/>
    <xf numFmtId="0" fontId="75" fillId="0" borderId="6318" applyNumberFormat="0" applyFont="0" applyFill="0" applyAlignment="0" applyProtection="0"/>
    <xf numFmtId="186" fontId="146" fillId="3" borderId="6320">
      <alignment horizontal="left"/>
    </xf>
    <xf numFmtId="186" fontId="140" fillId="3" borderId="6321">
      <alignment horizontal="center" vertical="center"/>
    </xf>
    <xf numFmtId="0" fontId="2" fillId="0" borderId="6322" applyNumberFormat="0" applyAlignment="0" applyProtection="0"/>
    <xf numFmtId="0" fontId="214" fillId="0" borderId="6323" applyNumberFormat="0" applyFont="0" applyFill="0" applyAlignment="0" applyProtection="0"/>
    <xf numFmtId="0" fontId="25" fillId="10" borderId="6324" applyNumberFormat="0" applyProtection="0">
      <alignment horizontal="left" vertical="top"/>
    </xf>
    <xf numFmtId="0" fontId="25" fillId="10" borderId="6325" applyNumberFormat="0" applyProtection="0">
      <alignment horizontal="left" vertical="top"/>
    </xf>
    <xf numFmtId="0" fontId="25" fillId="10" borderId="6326" applyNumberFormat="0" applyProtection="0">
      <alignment horizontal="left" vertical="top"/>
    </xf>
    <xf numFmtId="0" fontId="25" fillId="10" borderId="6327" applyNumberFormat="0" applyProtection="0">
      <alignment horizontal="left" vertical="top"/>
    </xf>
    <xf numFmtId="0" fontId="78" fillId="14" borderId="6319" applyFont="0" applyFill="0" applyBorder="0" applyAlignment="0" applyProtection="0"/>
    <xf numFmtId="246" fontId="250" fillId="0" borderId="6545" applyFill="0" applyProtection="0">
      <alignment horizontal="center"/>
    </xf>
    <xf numFmtId="0" fontId="25" fillId="10" borderId="6555" applyNumberFormat="0" applyProtection="0">
      <alignment horizontal="left" vertical="top"/>
    </xf>
    <xf numFmtId="222" fontId="79" fillId="0" borderId="6064" applyBorder="0"/>
    <xf numFmtId="0" fontId="75" fillId="0" borderId="6546" applyNumberFormat="0" applyFont="0" applyFill="0" applyAlignment="0" applyProtection="0"/>
    <xf numFmtId="222" fontId="79" fillId="0" borderId="6532" applyBorder="0"/>
    <xf numFmtId="0" fontId="101" fillId="0" borderId="6497" applyBorder="0"/>
    <xf numFmtId="0" fontId="78" fillId="14" borderId="6487" applyFont="0" applyFill="0" applyBorder="0" applyAlignment="0" applyProtection="0"/>
    <xf numFmtId="222" fontId="79" fillId="0" borderId="6484" applyBorder="0"/>
    <xf numFmtId="0" fontId="2" fillId="0" borderId="6478" applyNumberFormat="0" applyAlignment="0" applyProtection="0"/>
    <xf numFmtId="0" fontId="214" fillId="0" borderId="6479" applyNumberFormat="0" applyFont="0" applyFill="0" applyAlignment="0" applyProtection="0"/>
    <xf numFmtId="0" fontId="78" fillId="14" borderId="6475" applyFont="0" applyFill="0" applyBorder="0" applyAlignment="0" applyProtection="0"/>
    <xf numFmtId="0" fontId="101" fillId="0" borderId="6545" applyBorder="0"/>
    <xf numFmtId="0" fontId="78" fillId="14" borderId="6307" applyFont="0" applyFill="0" applyBorder="0" applyAlignment="0" applyProtection="0"/>
    <xf numFmtId="222" fontId="79" fillId="0" borderId="6064" applyBorder="0"/>
    <xf numFmtId="186" fontId="146" fillId="3" borderId="6476">
      <alignment horizontal="left"/>
    </xf>
    <xf numFmtId="0" fontId="25" fillId="10" borderId="6553" applyNumberFormat="0" applyProtection="0">
      <alignment horizontal="left" vertical="top"/>
    </xf>
    <xf numFmtId="0" fontId="214" fillId="0" borderId="6551" applyNumberFormat="0" applyFont="0" applyFill="0" applyAlignment="0" applyProtection="0"/>
    <xf numFmtId="0" fontId="25" fillId="10" borderId="6495" applyNumberFormat="0" applyProtection="0">
      <alignment horizontal="left" vertical="top"/>
    </xf>
    <xf numFmtId="0" fontId="78" fillId="14" borderId="6307" applyFont="0" applyFill="0" applyBorder="0" applyAlignment="0" applyProtection="0"/>
    <xf numFmtId="0" fontId="25" fillId="10" borderId="6315" applyNumberFormat="0" applyProtection="0">
      <alignment horizontal="left" vertical="top"/>
    </xf>
    <xf numFmtId="0" fontId="25" fillId="10" borderId="6314" applyNumberFormat="0" applyProtection="0">
      <alignment horizontal="left" vertical="top"/>
    </xf>
    <xf numFmtId="0" fontId="25" fillId="10" borderId="6313" applyNumberFormat="0" applyProtection="0">
      <alignment horizontal="left" vertical="top"/>
    </xf>
    <xf numFmtId="0" fontId="25" fillId="10" borderId="6312" applyNumberFormat="0" applyProtection="0">
      <alignment horizontal="left" vertical="top"/>
    </xf>
    <xf numFmtId="0" fontId="166" fillId="0" borderId="6545">
      <alignment horizontal="center"/>
    </xf>
    <xf numFmtId="0" fontId="214" fillId="0" borderId="6311" applyNumberFormat="0" applyFont="0" applyFill="0" applyAlignment="0" applyProtection="0"/>
    <xf numFmtId="186" fontId="140" fillId="3" borderId="6285">
      <alignment horizontal="center" vertical="center"/>
    </xf>
    <xf numFmtId="186" fontId="146" fillId="3" borderId="6212">
      <alignment horizontal="left"/>
    </xf>
    <xf numFmtId="186" fontId="146" fillId="3" borderId="6548">
      <alignment horizontal="left"/>
    </xf>
    <xf numFmtId="0" fontId="75" fillId="0" borderId="6210" applyNumberFormat="0" applyFont="0" applyFill="0" applyAlignment="0" applyProtection="0"/>
    <xf numFmtId="192" fontId="9" fillId="3" borderId="6545">
      <alignment horizontal="right" vertical="center"/>
    </xf>
    <xf numFmtId="222" fontId="79" fillId="0" borderId="6064" applyBorder="0"/>
    <xf numFmtId="0" fontId="101" fillId="0" borderId="6245" applyBorder="0"/>
    <xf numFmtId="222" fontId="79" fillId="0" borderId="6064" applyBorder="0"/>
    <xf numFmtId="0" fontId="113" fillId="0" borderId="6245" applyNumberFormat="0" applyFill="0" applyAlignment="0" applyProtection="0"/>
    <xf numFmtId="0" fontId="12" fillId="0" borderId="6245" applyNumberFormat="0" applyFill="0" applyBorder="0" applyAlignment="0" applyProtection="0">
      <alignment horizontal="center"/>
    </xf>
    <xf numFmtId="248" fontId="46" fillId="0" borderId="6245"/>
    <xf numFmtId="192" fontId="9" fillId="3" borderId="6245">
      <alignment horizontal="right" vertical="center"/>
    </xf>
    <xf numFmtId="180" fontId="9" fillId="3" borderId="6245">
      <alignment horizontal="right" vertical="center"/>
    </xf>
    <xf numFmtId="186" fontId="146" fillId="3" borderId="6245" applyBorder="0">
      <alignment horizontal="left" vertical="center"/>
    </xf>
    <xf numFmtId="0" fontId="165" fillId="0" borderId="6245" applyFill="0" applyProtection="0">
      <alignment horizontal="center"/>
    </xf>
    <xf numFmtId="0" fontId="166" fillId="0" borderId="6245">
      <alignment horizontal="center"/>
    </xf>
    <xf numFmtId="264" fontId="12" fillId="14" borderId="6245" applyFont="0" applyFill="0" applyBorder="0" applyAlignment="0" applyProtection="0">
      <alignment horizontal="right"/>
    </xf>
    <xf numFmtId="0" fontId="210" fillId="0" borderId="6245" applyNumberFormat="0" applyFill="0" applyBorder="0" applyAlignment="0">
      <protection locked="0"/>
    </xf>
    <xf numFmtId="254" fontId="240" fillId="0" borderId="6245" applyBorder="0" applyProtection="0">
      <alignment horizontal="right" vertical="center"/>
    </xf>
    <xf numFmtId="0" fontId="241" fillId="94" borderId="6245" applyBorder="0" applyProtection="0">
      <alignment horizontal="centerContinuous" vertical="center"/>
    </xf>
    <xf numFmtId="246" fontId="249" fillId="0" borderId="6245" applyFill="0" applyProtection="0">
      <alignment horizontal="center"/>
    </xf>
    <xf numFmtId="246" fontId="250" fillId="0" borderId="6245" applyFill="0" applyProtection="0">
      <alignment horizontal="center"/>
    </xf>
    <xf numFmtId="0" fontId="25" fillId="10" borderId="6553" applyNumberFormat="0" applyProtection="0">
      <alignment horizontal="left" vertical="top"/>
    </xf>
    <xf numFmtId="0" fontId="75" fillId="0" borderId="6474" applyNumberFormat="0" applyFont="0" applyFill="0" applyAlignment="0" applyProtection="0"/>
    <xf numFmtId="0" fontId="210" fillId="0" borderId="6545" applyNumberFormat="0" applyFill="0" applyBorder="0" applyAlignment="0">
      <protection locked="0"/>
    </xf>
    <xf numFmtId="0" fontId="25" fillId="10" borderId="6483" applyNumberFormat="0" applyProtection="0">
      <alignment horizontal="left" vertical="top"/>
    </xf>
    <xf numFmtId="0" fontId="25" fillId="10" borderId="6481" applyNumberFormat="0" applyProtection="0">
      <alignment horizontal="left" vertical="top"/>
    </xf>
    <xf numFmtId="0" fontId="25" fillId="10" borderId="6482" applyNumberFormat="0" applyProtection="0">
      <alignment horizontal="left" vertical="top"/>
    </xf>
    <xf numFmtId="0" fontId="25" fillId="10" borderId="6480" applyNumberFormat="0" applyProtection="0">
      <alignment horizontal="left" vertical="top"/>
    </xf>
    <xf numFmtId="186" fontId="140" fillId="3" borderId="6477">
      <alignment horizontal="center" vertical="center"/>
    </xf>
    <xf numFmtId="0" fontId="241" fillId="94" borderId="6365" applyBorder="0" applyProtection="0">
      <alignment horizontal="centerContinuous" vertical="center"/>
    </xf>
    <xf numFmtId="0" fontId="166" fillId="0" borderId="6365">
      <alignment horizontal="center"/>
    </xf>
    <xf numFmtId="0" fontId="214" fillId="0" borderId="6311" applyNumberFormat="0" applyFont="0" applyFill="0" applyAlignment="0" applyProtection="0"/>
    <xf numFmtId="246" fontId="250" fillId="0" borderId="6245" applyFill="0" applyProtection="0">
      <alignment horizontal="center"/>
    </xf>
    <xf numFmtId="246" fontId="249" fillId="0" borderId="6245" applyFill="0" applyProtection="0">
      <alignment horizontal="center"/>
    </xf>
    <xf numFmtId="0" fontId="241" fillId="94" borderId="6245" applyBorder="0" applyProtection="0">
      <alignment horizontal="centerContinuous" vertical="center"/>
    </xf>
    <xf numFmtId="254" fontId="240" fillId="0" borderId="6245" applyBorder="0" applyProtection="0">
      <alignment horizontal="right" vertical="center"/>
    </xf>
    <xf numFmtId="0" fontId="210" fillId="0" borderId="6245" applyNumberFormat="0" applyFill="0" applyBorder="0" applyAlignment="0">
      <protection locked="0"/>
    </xf>
    <xf numFmtId="264" fontId="12" fillId="14" borderId="6245" applyFont="0" applyFill="0" applyBorder="0" applyAlignment="0" applyProtection="0">
      <alignment horizontal="right"/>
    </xf>
    <xf numFmtId="0" fontId="166" fillId="0" borderId="6245">
      <alignment horizontal="center"/>
    </xf>
    <xf numFmtId="0" fontId="165" fillId="0" borderId="6245" applyFill="0" applyProtection="0">
      <alignment horizontal="center"/>
    </xf>
    <xf numFmtId="186" fontId="146" fillId="3" borderId="6245" applyBorder="0">
      <alignment horizontal="left" vertical="center"/>
    </xf>
    <xf numFmtId="180" fontId="9" fillId="3" borderId="6245">
      <alignment horizontal="right" vertical="center"/>
    </xf>
    <xf numFmtId="192" fontId="9" fillId="3" borderId="6245">
      <alignment horizontal="right" vertical="center"/>
    </xf>
    <xf numFmtId="248" fontId="46" fillId="0" borderId="6245"/>
    <xf numFmtId="0" fontId="12" fillId="0" borderId="6245" applyNumberFormat="0" applyFill="0" applyBorder="0" applyAlignment="0" applyProtection="0">
      <alignment horizontal="center"/>
    </xf>
    <xf numFmtId="0" fontId="113" fillId="0" borderId="6245" applyNumberFormat="0" applyFill="0" applyAlignment="0" applyProtection="0"/>
    <xf numFmtId="222" fontId="79" fillId="0" borderId="6064" applyBorder="0"/>
    <xf numFmtId="0" fontId="101" fillId="0" borderId="6245" applyBorder="0"/>
    <xf numFmtId="222" fontId="79" fillId="0" borderId="6064" applyBorder="0"/>
    <xf numFmtId="0" fontId="75" fillId="0" borderId="6210" applyNumberFormat="0" applyFont="0" applyFill="0" applyAlignment="0" applyProtection="0"/>
    <xf numFmtId="186" fontId="146" fillId="3" borderId="6212">
      <alignment horizontal="left"/>
    </xf>
    <xf numFmtId="186" fontId="140" fillId="3" borderId="6285">
      <alignment horizontal="center" vertical="center"/>
    </xf>
    <xf numFmtId="0" fontId="214" fillId="0" borderId="6311" applyNumberFormat="0" applyFont="0" applyFill="0" applyAlignment="0" applyProtection="0"/>
    <xf numFmtId="0" fontId="25" fillId="10" borderId="6312" applyNumberFormat="0" applyProtection="0">
      <alignment horizontal="left" vertical="top"/>
    </xf>
    <xf numFmtId="0" fontId="25" fillId="10" borderId="6313" applyNumberFormat="0" applyProtection="0">
      <alignment horizontal="left" vertical="top"/>
    </xf>
    <xf numFmtId="0" fontId="25" fillId="10" borderId="6314" applyNumberFormat="0" applyProtection="0">
      <alignment horizontal="left" vertical="top"/>
    </xf>
    <xf numFmtId="0" fontId="25" fillId="10" borderId="6315" applyNumberFormat="0" applyProtection="0">
      <alignment horizontal="left" vertical="top"/>
    </xf>
    <xf numFmtId="0" fontId="78" fillId="14" borderId="6319" applyFont="0" applyFill="0" applyBorder="0" applyAlignment="0" applyProtection="0"/>
    <xf numFmtId="222" fontId="79" fillId="0" borderId="6328" applyBorder="0"/>
    <xf numFmtId="0" fontId="78" fillId="14" borderId="6319" applyFont="0" applyFill="0" applyBorder="0" applyAlignment="0" applyProtection="0"/>
    <xf numFmtId="186" fontId="146" fillId="3" borderId="6212">
      <alignment horizontal="left"/>
    </xf>
    <xf numFmtId="0" fontId="78" fillId="14" borderId="6319" applyFont="0" applyFill="0" applyBorder="0" applyAlignment="0" applyProtection="0"/>
    <xf numFmtId="222" fontId="79" fillId="0" borderId="6328" applyBorder="0"/>
    <xf numFmtId="0" fontId="2" fillId="0" borderId="6322" applyNumberFormat="0" applyAlignment="0" applyProtection="0"/>
    <xf numFmtId="0" fontId="78" fillId="14" borderId="6319" applyFont="0" applyFill="0" applyBorder="0" applyAlignment="0" applyProtection="0"/>
    <xf numFmtId="0" fontId="25" fillId="10" borderId="6327" applyNumberFormat="0" applyProtection="0">
      <alignment horizontal="left" vertical="top"/>
    </xf>
    <xf numFmtId="0" fontId="25" fillId="10" borderId="6326" applyNumberFormat="0" applyProtection="0">
      <alignment horizontal="left" vertical="top"/>
    </xf>
    <xf numFmtId="0" fontId="25" fillId="10" borderId="6325" applyNumberFormat="0" applyProtection="0">
      <alignment horizontal="left" vertical="top"/>
    </xf>
    <xf numFmtId="0" fontId="25" fillId="10" borderId="6324" applyNumberFormat="0" applyProtection="0">
      <alignment horizontal="left" vertical="top"/>
    </xf>
    <xf numFmtId="0" fontId="25" fillId="10" borderId="6325" applyNumberFormat="0" applyProtection="0">
      <alignment horizontal="left" vertical="top"/>
    </xf>
    <xf numFmtId="0" fontId="214" fillId="0" borderId="6323" applyNumberFormat="0" applyFont="0" applyFill="0" applyAlignment="0" applyProtection="0"/>
    <xf numFmtId="0" fontId="2" fillId="0" borderId="6322" applyNumberFormat="0" applyAlignment="0" applyProtection="0"/>
    <xf numFmtId="186" fontId="140" fillId="3" borderId="6321">
      <alignment horizontal="center" vertical="center"/>
    </xf>
    <xf numFmtId="186" fontId="146" fillId="3" borderId="6320">
      <alignment horizontal="left"/>
    </xf>
    <xf numFmtId="0" fontId="25" fillId="10" borderId="6327" applyNumberFormat="0" applyProtection="0">
      <alignment horizontal="left" vertical="top"/>
    </xf>
    <xf numFmtId="0" fontId="75" fillId="0" borderId="6318" applyNumberFormat="0" applyFont="0" applyFill="0" applyAlignment="0" applyProtection="0"/>
    <xf numFmtId="222" fontId="79" fillId="0" borderId="6328" applyBorder="0"/>
    <xf numFmtId="0" fontId="101" fillId="0" borderId="6329" applyBorder="0"/>
    <xf numFmtId="222" fontId="79" fillId="0" borderId="6328" applyBorder="0"/>
    <xf numFmtId="0" fontId="113" fillId="0" borderId="6329" applyNumberFormat="0" applyFill="0" applyAlignment="0" applyProtection="0"/>
    <xf numFmtId="0" fontId="12" fillId="0" borderId="6329" applyNumberFormat="0" applyFill="0" applyBorder="0" applyAlignment="0" applyProtection="0">
      <alignment horizontal="center"/>
    </xf>
    <xf numFmtId="248" fontId="46" fillId="0" borderId="6329"/>
    <xf numFmtId="192" fontId="9" fillId="3" borderId="6329">
      <alignment horizontal="right" vertical="center"/>
    </xf>
    <xf numFmtId="180" fontId="9" fillId="3" borderId="6329">
      <alignment horizontal="right" vertical="center"/>
    </xf>
    <xf numFmtId="186" fontId="146" fillId="3" borderId="6329" applyBorder="0">
      <alignment horizontal="left" vertical="center"/>
    </xf>
    <xf numFmtId="0" fontId="165" fillId="0" borderId="6329" applyFill="0" applyProtection="0">
      <alignment horizontal="center"/>
    </xf>
    <xf numFmtId="0" fontId="166" fillId="0" borderId="6329">
      <alignment horizontal="center"/>
    </xf>
    <xf numFmtId="264" fontId="12" fillId="14" borderId="6329" applyFont="0" applyFill="0" applyBorder="0" applyAlignment="0" applyProtection="0">
      <alignment horizontal="right"/>
    </xf>
    <xf numFmtId="0" fontId="210" fillId="0" borderId="6329" applyNumberFormat="0" applyFill="0" applyBorder="0" applyAlignment="0">
      <protection locked="0"/>
    </xf>
    <xf numFmtId="254" fontId="240" fillId="0" borderId="6329" applyBorder="0" applyProtection="0">
      <alignment horizontal="right" vertical="center"/>
    </xf>
    <xf numFmtId="0" fontId="241" fillId="94" borderId="6329" applyBorder="0" applyProtection="0">
      <alignment horizontal="centerContinuous" vertical="center"/>
    </xf>
    <xf numFmtId="246" fontId="249" fillId="0" borderId="6329" applyFill="0" applyProtection="0">
      <alignment horizontal="center"/>
    </xf>
    <xf numFmtId="246" fontId="250" fillId="0" borderId="6329" applyFill="0" applyProtection="0">
      <alignment horizontal="center"/>
    </xf>
    <xf numFmtId="186" fontId="140" fillId="3" borderId="6321">
      <alignment horizontal="center" vertical="center"/>
    </xf>
    <xf numFmtId="0" fontId="78" fillId="14" borderId="6319" applyFont="0" applyFill="0" applyBorder="0" applyAlignment="0" applyProtection="0"/>
    <xf numFmtId="222" fontId="79" fillId="0" borderId="6328" applyBorder="0"/>
    <xf numFmtId="0" fontId="78" fillId="14" borderId="6319" applyFont="0" applyFill="0" applyBorder="0" applyAlignment="0" applyProtection="0"/>
    <xf numFmtId="0" fontId="25" fillId="10" borderId="6327" applyNumberFormat="0" applyProtection="0">
      <alignment horizontal="left" vertical="top"/>
    </xf>
    <xf numFmtId="0" fontId="25" fillId="10" borderId="6326" applyNumberFormat="0" applyProtection="0">
      <alignment horizontal="left" vertical="top"/>
    </xf>
    <xf numFmtId="0" fontId="25" fillId="10" borderId="6325" applyNumberFormat="0" applyProtection="0">
      <alignment horizontal="left" vertical="top"/>
    </xf>
    <xf numFmtId="0" fontId="25" fillId="10" borderId="6324" applyNumberFormat="0" applyProtection="0">
      <alignment horizontal="left" vertical="top"/>
    </xf>
    <xf numFmtId="0" fontId="214" fillId="0" borderId="6323" applyNumberFormat="0" applyFont="0" applyFill="0" applyAlignment="0" applyProtection="0"/>
    <xf numFmtId="0" fontId="2" fillId="0" borderId="6322" applyNumberFormat="0" applyAlignment="0" applyProtection="0"/>
    <xf numFmtId="186" fontId="140" fillId="3" borderId="6321">
      <alignment horizontal="center" vertical="center"/>
    </xf>
    <xf numFmtId="186" fontId="146" fillId="3" borderId="6320">
      <alignment horizontal="left"/>
    </xf>
    <xf numFmtId="0" fontId="75" fillId="0" borderId="6318" applyNumberFormat="0" applyFont="0" applyFill="0" applyAlignment="0" applyProtection="0"/>
    <xf numFmtId="222" fontId="79" fillId="0" borderId="6328" applyBorder="0"/>
    <xf numFmtId="0" fontId="101" fillId="0" borderId="6329" applyBorder="0"/>
    <xf numFmtId="222" fontId="79" fillId="0" borderId="6328" applyBorder="0"/>
    <xf numFmtId="0" fontId="113" fillId="0" borderId="6329" applyNumberFormat="0" applyFill="0" applyAlignment="0" applyProtection="0"/>
    <xf numFmtId="0" fontId="12" fillId="0" borderId="6329" applyNumberFormat="0" applyFill="0" applyBorder="0" applyAlignment="0" applyProtection="0">
      <alignment horizontal="center"/>
    </xf>
    <xf numFmtId="248" fontId="46" fillId="0" borderId="6329"/>
    <xf numFmtId="192" fontId="9" fillId="3" borderId="6329">
      <alignment horizontal="right" vertical="center"/>
    </xf>
    <xf numFmtId="180" fontId="9" fillId="3" borderId="6329">
      <alignment horizontal="right" vertical="center"/>
    </xf>
    <xf numFmtId="186" fontId="146" fillId="3" borderId="6329" applyBorder="0">
      <alignment horizontal="left" vertical="center"/>
    </xf>
    <xf numFmtId="0" fontId="165" fillId="0" borderId="6329" applyFill="0" applyProtection="0">
      <alignment horizontal="center"/>
    </xf>
    <xf numFmtId="0" fontId="166" fillId="0" borderId="6329">
      <alignment horizontal="center"/>
    </xf>
    <xf numFmtId="264" fontId="12" fillId="14" borderId="6329" applyFont="0" applyFill="0" applyBorder="0" applyAlignment="0" applyProtection="0">
      <alignment horizontal="right"/>
    </xf>
    <xf numFmtId="0" fontId="210" fillId="0" borderId="6329" applyNumberFormat="0" applyFill="0" applyBorder="0" applyAlignment="0">
      <protection locked="0"/>
    </xf>
    <xf numFmtId="254" fontId="240" fillId="0" borderId="6329" applyBorder="0" applyProtection="0">
      <alignment horizontal="right" vertical="center"/>
    </xf>
    <xf numFmtId="0" fontId="241" fillId="94" borderId="6329" applyBorder="0" applyProtection="0">
      <alignment horizontal="centerContinuous" vertical="center"/>
    </xf>
    <xf numFmtId="246" fontId="249" fillId="0" borderId="6329" applyFill="0" applyProtection="0">
      <alignment horizontal="center"/>
    </xf>
    <xf numFmtId="246" fontId="250" fillId="0" borderId="6329" applyFill="0" applyProtection="0">
      <alignment horizontal="center"/>
    </xf>
    <xf numFmtId="222" fontId="79" fillId="0" borderId="6340" applyBorder="0"/>
    <xf numFmtId="0" fontId="78" fillId="14" borderId="6343" applyFont="0" applyFill="0" applyBorder="0" applyAlignment="0" applyProtection="0"/>
    <xf numFmtId="0" fontId="25" fillId="10" borderId="6351" applyNumberFormat="0" applyProtection="0">
      <alignment horizontal="left" vertical="top"/>
    </xf>
    <xf numFmtId="0" fontId="25" fillId="10" borderId="6350" applyNumberFormat="0" applyProtection="0">
      <alignment horizontal="left" vertical="top"/>
    </xf>
    <xf numFmtId="0" fontId="25" fillId="10" borderId="6349" applyNumberFormat="0" applyProtection="0">
      <alignment horizontal="left" vertical="top"/>
    </xf>
    <xf numFmtId="0" fontId="25" fillId="10" borderId="6348" applyNumberFormat="0" applyProtection="0">
      <alignment horizontal="left" vertical="top"/>
    </xf>
    <xf numFmtId="0" fontId="214" fillId="0" borderId="6347" applyNumberFormat="0" applyFont="0" applyFill="0" applyAlignment="0" applyProtection="0"/>
    <xf numFmtId="0" fontId="2" fillId="0" borderId="6346" applyNumberFormat="0" applyAlignment="0" applyProtection="0"/>
    <xf numFmtId="186" fontId="140" fillId="3" borderId="6345">
      <alignment horizontal="center" vertical="center"/>
    </xf>
    <xf numFmtId="186" fontId="146" fillId="3" borderId="6344">
      <alignment horizontal="left"/>
    </xf>
    <xf numFmtId="0" fontId="75" fillId="0" borderId="6342" applyNumberFormat="0" applyFont="0" applyFill="0" applyAlignment="0" applyProtection="0"/>
    <xf numFmtId="222" fontId="79" fillId="0" borderId="6352" applyBorder="0"/>
    <xf numFmtId="0" fontId="101" fillId="0" borderId="6353" applyBorder="0"/>
    <xf numFmtId="222" fontId="79" fillId="0" borderId="6352" applyBorder="0"/>
    <xf numFmtId="0" fontId="113" fillId="0" borderId="6353" applyNumberFormat="0" applyFill="0" applyAlignment="0" applyProtection="0"/>
    <xf numFmtId="0" fontId="12" fillId="0" borderId="6353" applyNumberFormat="0" applyFill="0" applyBorder="0" applyAlignment="0" applyProtection="0">
      <alignment horizontal="center"/>
    </xf>
    <xf numFmtId="248" fontId="46" fillId="0" borderId="6353"/>
    <xf numFmtId="192" fontId="9" fillId="3" borderId="6353">
      <alignment horizontal="right" vertical="center"/>
    </xf>
    <xf numFmtId="180" fontId="9" fillId="3" borderId="6353">
      <alignment horizontal="right" vertical="center"/>
    </xf>
    <xf numFmtId="186" fontId="146" fillId="3" borderId="6353" applyBorder="0">
      <alignment horizontal="left" vertical="center"/>
    </xf>
    <xf numFmtId="0" fontId="165" fillId="0" borderId="6353" applyFill="0" applyProtection="0">
      <alignment horizontal="center"/>
    </xf>
    <xf numFmtId="0" fontId="166" fillId="0" borderId="6353">
      <alignment horizontal="center"/>
    </xf>
    <xf numFmtId="264" fontId="12" fillId="14" borderId="6353" applyFont="0" applyFill="0" applyBorder="0" applyAlignment="0" applyProtection="0">
      <alignment horizontal="right"/>
    </xf>
    <xf numFmtId="0" fontId="210" fillId="0" borderId="6353" applyNumberFormat="0" applyFill="0" applyBorder="0" applyAlignment="0">
      <protection locked="0"/>
    </xf>
    <xf numFmtId="254" fontId="240" fillId="0" borderId="6353" applyBorder="0" applyProtection="0">
      <alignment horizontal="right" vertical="center"/>
    </xf>
    <xf numFmtId="0" fontId="241" fillId="94" borderId="6353" applyBorder="0" applyProtection="0">
      <alignment horizontal="centerContinuous" vertical="center"/>
    </xf>
    <xf numFmtId="246" fontId="249" fillId="0" borderId="6353" applyFill="0" applyProtection="0">
      <alignment horizontal="center"/>
    </xf>
    <xf numFmtId="246" fontId="250" fillId="0" borderId="6353" applyFill="0" applyProtection="0">
      <alignment horizontal="center"/>
    </xf>
    <xf numFmtId="0" fontId="113" fillId="0" borderId="6485" applyNumberFormat="0" applyFill="0" applyAlignment="0" applyProtection="0"/>
    <xf numFmtId="0" fontId="75" fillId="0" borderId="6366" applyNumberFormat="0" applyFont="0" applyFill="0" applyAlignment="0" applyProtection="0"/>
    <xf numFmtId="0" fontId="78" fillId="14" borderId="6367" applyFont="0" applyFill="0" applyBorder="0" applyAlignment="0" applyProtection="0"/>
    <xf numFmtId="186" fontId="146" fillId="3" borderId="6368">
      <alignment horizontal="left"/>
    </xf>
    <xf numFmtId="186" fontId="140" fillId="3" borderId="6369">
      <alignment horizontal="center" vertical="center"/>
    </xf>
    <xf numFmtId="0" fontId="2" fillId="0" borderId="6370" applyNumberFormat="0" applyAlignment="0" applyProtection="0"/>
    <xf numFmtId="0" fontId="214" fillId="0" borderId="6371" applyNumberFormat="0" applyFont="0" applyFill="0" applyAlignment="0" applyProtection="0"/>
    <xf numFmtId="0" fontId="25" fillId="10" borderId="6372" applyNumberFormat="0" applyProtection="0">
      <alignment horizontal="left" vertical="top"/>
    </xf>
    <xf numFmtId="0" fontId="25" fillId="10" borderId="6373" applyNumberFormat="0" applyProtection="0">
      <alignment horizontal="left" vertical="top"/>
    </xf>
    <xf numFmtId="0" fontId="25" fillId="10" borderId="6374" applyNumberFormat="0" applyProtection="0">
      <alignment horizontal="left" vertical="top"/>
    </xf>
    <xf numFmtId="0" fontId="25" fillId="10" borderId="6375" applyNumberFormat="0" applyProtection="0">
      <alignment horizontal="left" vertical="top"/>
    </xf>
    <xf numFmtId="0" fontId="12" fillId="0" borderId="6485" applyNumberFormat="0" applyFill="0" applyBorder="0" applyAlignment="0" applyProtection="0">
      <alignment horizontal="center"/>
    </xf>
    <xf numFmtId="0" fontId="101" fillId="0" borderId="6485" applyBorder="0"/>
    <xf numFmtId="248" fontId="46" fillId="0" borderId="6485"/>
    <xf numFmtId="246" fontId="250" fillId="0" borderId="6365" applyFill="0" applyProtection="0">
      <alignment horizontal="center"/>
    </xf>
    <xf numFmtId="246" fontId="249" fillId="0" borderId="6365" applyFill="0" applyProtection="0">
      <alignment horizontal="center"/>
    </xf>
    <xf numFmtId="0" fontId="241" fillId="94" borderId="6365" applyBorder="0" applyProtection="0">
      <alignment horizontal="centerContinuous" vertical="center"/>
    </xf>
    <xf numFmtId="254" fontId="240" fillId="0" borderId="6365" applyBorder="0" applyProtection="0">
      <alignment horizontal="right" vertical="center"/>
    </xf>
    <xf numFmtId="0" fontId="210" fillId="0" borderId="6365" applyNumberFormat="0" applyFill="0" applyBorder="0" applyAlignment="0">
      <protection locked="0"/>
    </xf>
    <xf numFmtId="264" fontId="12" fillId="14" borderId="6365" applyFont="0" applyFill="0" applyBorder="0" applyAlignment="0" applyProtection="0">
      <alignment horizontal="right"/>
    </xf>
    <xf numFmtId="0" fontId="166" fillId="0" borderId="6365">
      <alignment horizontal="center"/>
    </xf>
    <xf numFmtId="0" fontId="165" fillId="0" borderId="6365" applyFill="0" applyProtection="0">
      <alignment horizontal="center"/>
    </xf>
    <xf numFmtId="186" fontId="146" fillId="3" borderId="6725" applyBorder="0">
      <alignment horizontal="left" vertical="center"/>
    </xf>
    <xf numFmtId="186" fontId="146" fillId="3" borderId="6365" applyBorder="0">
      <alignment horizontal="left" vertical="center"/>
    </xf>
    <xf numFmtId="180" fontId="9" fillId="3" borderId="6365">
      <alignment horizontal="right" vertical="center"/>
    </xf>
    <xf numFmtId="192" fontId="9" fillId="3" borderId="6365">
      <alignment horizontal="right" vertical="center"/>
    </xf>
    <xf numFmtId="0" fontId="12" fillId="0" borderId="6365" applyNumberFormat="0" applyFill="0" applyBorder="0" applyAlignment="0" applyProtection="0">
      <alignment horizontal="center"/>
    </xf>
    <xf numFmtId="0" fontId="113" fillId="0" borderId="6365" applyNumberFormat="0" applyFill="0" applyAlignment="0" applyProtection="0"/>
    <xf numFmtId="222" fontId="79" fillId="0" borderId="6364" applyBorder="0"/>
    <xf numFmtId="0" fontId="101" fillId="0" borderId="6365" applyBorder="0"/>
    <xf numFmtId="192" fontId="9" fillId="3" borderId="6485">
      <alignment horizontal="right" vertical="center"/>
    </xf>
    <xf numFmtId="248" fontId="46" fillId="0" borderId="6365"/>
    <xf numFmtId="180" fontId="9" fillId="3" borderId="6485">
      <alignment horizontal="right" vertical="center"/>
    </xf>
    <xf numFmtId="0" fontId="166" fillId="0" borderId="6473">
      <alignment horizontal="center"/>
    </xf>
    <xf numFmtId="186" fontId="146" fillId="3" borderId="6485" applyBorder="0">
      <alignment horizontal="left" vertical="center"/>
    </xf>
    <xf numFmtId="254" fontId="240" fillId="0" borderId="6473" applyBorder="0" applyProtection="0">
      <alignment horizontal="right" vertical="center"/>
    </xf>
    <xf numFmtId="0" fontId="101" fillId="0" borderId="6365" applyBorder="0"/>
    <xf numFmtId="222" fontId="79" fillId="0" borderId="6364" applyBorder="0"/>
    <xf numFmtId="0" fontId="113" fillId="0" borderId="6365" applyNumberFormat="0" applyFill="0" applyAlignment="0" applyProtection="0"/>
    <xf numFmtId="0" fontId="75" fillId="0" borderId="6366" applyNumberFormat="0" applyFont="0" applyFill="0" applyAlignment="0" applyProtection="0"/>
    <xf numFmtId="0" fontId="12" fillId="0" borderId="6365" applyNumberFormat="0" applyFill="0" applyBorder="0" applyAlignment="0" applyProtection="0">
      <alignment horizontal="center"/>
    </xf>
    <xf numFmtId="248" fontId="46" fillId="0" borderId="6365"/>
    <xf numFmtId="192" fontId="9" fillId="3" borderId="6365">
      <alignment horizontal="right" vertical="center"/>
    </xf>
    <xf numFmtId="180" fontId="9" fillId="3" borderId="6365">
      <alignment horizontal="right" vertical="center"/>
    </xf>
    <xf numFmtId="186" fontId="146" fillId="3" borderId="6365" applyBorder="0">
      <alignment horizontal="left" vertical="center"/>
    </xf>
    <xf numFmtId="186" fontId="146" fillId="3" borderId="6368">
      <alignment horizontal="left"/>
    </xf>
    <xf numFmtId="186" fontId="140" fillId="3" borderId="6369">
      <alignment horizontal="center" vertical="center"/>
    </xf>
    <xf numFmtId="0" fontId="165" fillId="0" borderId="6365" applyFill="0" applyProtection="0">
      <alignment horizontal="center"/>
    </xf>
    <xf numFmtId="0" fontId="166" fillId="0" borderId="6365">
      <alignment horizontal="center"/>
    </xf>
    <xf numFmtId="264" fontId="12" fillId="14" borderId="6365" applyFont="0" applyFill="0" applyBorder="0" applyAlignment="0" applyProtection="0">
      <alignment horizontal="right"/>
    </xf>
    <xf numFmtId="0" fontId="210" fillId="0" borderId="6365" applyNumberFormat="0" applyFill="0" applyBorder="0" applyAlignment="0">
      <protection locked="0"/>
    </xf>
    <xf numFmtId="0" fontId="2" fillId="0" borderId="6370" applyNumberFormat="0" applyAlignment="0" applyProtection="0"/>
    <xf numFmtId="0" fontId="214" fillId="0" borderId="6371" applyNumberFormat="0" applyFont="0" applyFill="0" applyAlignment="0" applyProtection="0"/>
    <xf numFmtId="0" fontId="25" fillId="10" borderId="6372" applyNumberFormat="0" applyProtection="0">
      <alignment horizontal="left" vertical="top"/>
    </xf>
    <xf numFmtId="0" fontId="25" fillId="10" borderId="6373" applyNumberFormat="0" applyProtection="0">
      <alignment horizontal="left" vertical="top"/>
    </xf>
    <xf numFmtId="0" fontId="25" fillId="10" borderId="6374" applyNumberFormat="0" applyProtection="0">
      <alignment horizontal="left" vertical="top"/>
    </xf>
    <xf numFmtId="0" fontId="25" fillId="10" borderId="6375" applyNumberFormat="0" applyProtection="0">
      <alignment horizontal="left" vertical="top"/>
    </xf>
    <xf numFmtId="0" fontId="25" fillId="10" borderId="6372" applyNumberFormat="0" applyProtection="0">
      <alignment horizontal="left" vertical="top"/>
    </xf>
    <xf numFmtId="0" fontId="25" fillId="10" borderId="6373" applyNumberFormat="0" applyProtection="0">
      <alignment horizontal="left" vertical="top"/>
    </xf>
    <xf numFmtId="0" fontId="25" fillId="10" borderId="6374" applyNumberFormat="0" applyProtection="0">
      <alignment horizontal="left" vertical="top"/>
    </xf>
    <xf numFmtId="0" fontId="25" fillId="10" borderId="6375" applyNumberFormat="0" applyProtection="0">
      <alignment horizontal="left" vertical="top"/>
    </xf>
    <xf numFmtId="254" fontId="240" fillId="0" borderId="6365" applyBorder="0" applyProtection="0">
      <alignment horizontal="right" vertical="center"/>
    </xf>
    <xf numFmtId="0" fontId="241" fillId="94" borderId="6365" applyBorder="0" applyProtection="0">
      <alignment horizontal="centerContinuous" vertical="center"/>
    </xf>
    <xf numFmtId="246" fontId="249" fillId="0" borderId="6365" applyFill="0" applyProtection="0">
      <alignment horizontal="center"/>
    </xf>
    <xf numFmtId="246" fontId="250" fillId="0" borderId="6365" applyFill="0" applyProtection="0">
      <alignment horizontal="center"/>
    </xf>
    <xf numFmtId="0" fontId="165" fillId="0" borderId="6485" applyFill="0" applyProtection="0">
      <alignment horizontal="center"/>
    </xf>
    <xf numFmtId="0" fontId="166" fillId="0" borderId="6485">
      <alignment horizontal="center"/>
    </xf>
    <xf numFmtId="0" fontId="241" fillId="94" borderId="6653" applyBorder="0" applyProtection="0">
      <alignment horizontal="centerContinuous" vertical="center"/>
    </xf>
    <xf numFmtId="0" fontId="241" fillId="94" borderId="6545" applyBorder="0" applyProtection="0">
      <alignment horizontal="centerContinuous" vertical="center"/>
    </xf>
    <xf numFmtId="190" fontId="101" fillId="0" borderId="6365" applyBorder="0"/>
    <xf numFmtId="186" fontId="146" fillId="3" borderId="6545" applyBorder="0">
      <alignment horizontal="left" vertical="center"/>
    </xf>
    <xf numFmtId="192" fontId="9" fillId="3" borderId="6545">
      <alignment horizontal="right" vertical="center"/>
    </xf>
    <xf numFmtId="0" fontId="166" fillId="0" borderId="6725">
      <alignment horizontal="center"/>
    </xf>
    <xf numFmtId="0" fontId="210" fillId="0" borderId="6545" applyNumberFormat="0" applyFill="0" applyBorder="0" applyAlignment="0">
      <protection locked="0"/>
    </xf>
    <xf numFmtId="246" fontId="249" fillId="0" borderId="6545" applyFill="0" applyProtection="0">
      <alignment horizontal="center"/>
    </xf>
    <xf numFmtId="190" fontId="113" fillId="0" borderId="6365" applyNumberFormat="0" applyFill="0" applyAlignment="0" applyProtection="0"/>
    <xf numFmtId="190" fontId="75" fillId="0" borderId="6342" applyNumberFormat="0" applyFont="0" applyFill="0" applyAlignment="0" applyProtection="0"/>
    <xf numFmtId="0" fontId="214" fillId="0" borderId="6551" applyNumberFormat="0" applyFont="0" applyFill="0" applyAlignment="0" applyProtection="0"/>
    <xf numFmtId="186" fontId="146" fillId="3" borderId="6548">
      <alignment horizontal="left"/>
    </xf>
    <xf numFmtId="0" fontId="241" fillId="94" borderId="6533" applyBorder="0" applyProtection="0">
      <alignment horizontal="centerContinuous" vertical="center"/>
    </xf>
    <xf numFmtId="0" fontId="166" fillId="0" borderId="6533">
      <alignment horizontal="center"/>
    </xf>
    <xf numFmtId="248" fontId="46" fillId="0" borderId="6533"/>
    <xf numFmtId="0" fontId="214" fillId="0" borderId="6527" applyNumberFormat="0" applyFont="0" applyFill="0" applyAlignment="0" applyProtection="0"/>
    <xf numFmtId="186" fontId="140" fillId="3" borderId="6525">
      <alignment horizontal="center" vertical="center"/>
    </xf>
    <xf numFmtId="190" fontId="12" fillId="0" borderId="6365" applyNumberFormat="0" applyFill="0" applyBorder="0" applyAlignment="0" applyProtection="0">
      <alignment horizontal="center"/>
    </xf>
    <xf numFmtId="0" fontId="78" fillId="14" borderId="6523" applyFont="0" applyFill="0" applyBorder="0" applyAlignment="0" applyProtection="0"/>
    <xf numFmtId="264" fontId="12" fillId="14" borderId="6509" applyFont="0" applyFill="0" applyBorder="0" applyAlignment="0" applyProtection="0">
      <alignment horizontal="right"/>
    </xf>
    <xf numFmtId="186" fontId="146" fillId="3" borderId="6509" applyBorder="0">
      <alignment horizontal="left" vertical="center"/>
    </xf>
    <xf numFmtId="248" fontId="46" fillId="0" borderId="6509"/>
    <xf numFmtId="222" fontId="79" fillId="0" borderId="6508" applyBorder="0"/>
    <xf numFmtId="0" fontId="75" fillId="0" borderId="6498" applyNumberFormat="0" applyFont="0" applyFill="0" applyAlignment="0" applyProtection="0"/>
    <xf numFmtId="0" fontId="2" fillId="0" borderId="6502" applyNumberFormat="0" applyAlignment="0" applyProtection="0"/>
    <xf numFmtId="0" fontId="25" fillId="10" borderId="6505" applyNumberFormat="0" applyProtection="0">
      <alignment horizontal="left" vertical="top"/>
    </xf>
    <xf numFmtId="0" fontId="78" fillId="14" borderId="6499" applyFont="0" applyFill="0" applyBorder="0" applyAlignment="0" applyProtection="0"/>
    <xf numFmtId="246" fontId="250" fillId="0" borderId="6485" applyFill="0" applyProtection="0">
      <alignment horizontal="center"/>
    </xf>
    <xf numFmtId="0" fontId="113" fillId="0" borderId="6473" applyNumberFormat="0" applyFill="0" applyAlignment="0" applyProtection="0"/>
    <xf numFmtId="0" fontId="25" fillId="10" borderId="6481" applyNumberFormat="0" applyProtection="0">
      <alignment horizontal="left" vertical="top"/>
    </xf>
    <xf numFmtId="0" fontId="2" fillId="0" borderId="6478" applyNumberFormat="0" applyAlignment="0" applyProtection="0"/>
    <xf numFmtId="190" fontId="78" fillId="14" borderId="6355" applyFont="0" applyFill="0" applyBorder="0" applyAlignment="0" applyProtection="0"/>
    <xf numFmtId="0" fontId="113" fillId="0" borderId="6485" applyNumberFormat="0" applyFill="0" applyAlignment="0" applyProtection="0"/>
    <xf numFmtId="246" fontId="249" fillId="0" borderId="6485" applyFill="0" applyProtection="0">
      <alignment horizontal="center"/>
    </xf>
    <xf numFmtId="0" fontId="25" fillId="10" borderId="6325" applyNumberFormat="0" applyProtection="0">
      <alignment horizontal="left" vertical="top"/>
    </xf>
    <xf numFmtId="186" fontId="140" fillId="3" borderId="6513">
      <alignment horizontal="center" vertical="center"/>
    </xf>
    <xf numFmtId="0" fontId="2" fillId="0" borderId="6514" applyNumberFormat="0" applyAlignment="0" applyProtection="0"/>
    <xf numFmtId="0" fontId="101" fillId="0" borderId="6521" applyBorder="0"/>
    <xf numFmtId="0" fontId="165" fillId="0" borderId="6521" applyFill="0" applyProtection="0">
      <alignment horizontal="center"/>
    </xf>
    <xf numFmtId="246" fontId="250" fillId="0" borderId="6497" applyFill="0" applyProtection="0">
      <alignment horizontal="center"/>
    </xf>
    <xf numFmtId="0" fontId="210" fillId="0" borderId="6497" applyNumberFormat="0" applyFill="0" applyBorder="0" applyAlignment="0">
      <protection locked="0"/>
    </xf>
    <xf numFmtId="246" fontId="250" fillId="0" borderId="6545" applyFill="0" applyProtection="0">
      <alignment horizontal="center"/>
    </xf>
    <xf numFmtId="186" fontId="146" fillId="3" borderId="6545" applyBorder="0">
      <alignment horizontal="left" vertical="center"/>
    </xf>
    <xf numFmtId="0" fontId="101" fillId="0" borderId="6545" applyBorder="0"/>
    <xf numFmtId="222" fontId="79" fillId="0" borderId="6532" applyBorder="0"/>
    <xf numFmtId="0" fontId="12" fillId="0" borderId="6545" applyNumberFormat="0" applyFill="0" applyBorder="0" applyAlignment="0" applyProtection="0">
      <alignment horizontal="center"/>
    </xf>
    <xf numFmtId="0" fontId="214" fillId="0" borderId="6479" applyNumberFormat="0" applyFont="0" applyFill="0" applyAlignment="0" applyProtection="0"/>
    <xf numFmtId="0" fontId="25" fillId="10" borderId="6482" applyNumberFormat="0" applyProtection="0">
      <alignment horizontal="left" vertical="top"/>
    </xf>
    <xf numFmtId="0" fontId="25" fillId="10" borderId="6482" applyNumberFormat="0" applyProtection="0">
      <alignment horizontal="left" vertical="top"/>
    </xf>
    <xf numFmtId="246" fontId="249" fillId="0" borderId="6545" applyFill="0" applyProtection="0">
      <alignment horizontal="center"/>
    </xf>
    <xf numFmtId="0" fontId="113" fillId="0" borderId="6545" applyNumberFormat="0" applyFill="0" applyAlignment="0" applyProtection="0"/>
    <xf numFmtId="192" fontId="9" fillId="3" borderId="6725">
      <alignment horizontal="right" vertical="center"/>
    </xf>
    <xf numFmtId="190" fontId="165" fillId="0" borderId="6365" applyFill="0" applyProtection="0">
      <alignment horizontal="center"/>
    </xf>
    <xf numFmtId="190" fontId="166" fillId="0" borderId="6365">
      <alignment horizontal="center"/>
    </xf>
    <xf numFmtId="246" fontId="249" fillId="0" borderId="6473" applyFill="0" applyProtection="0">
      <alignment horizontal="center"/>
    </xf>
    <xf numFmtId="0" fontId="166" fillId="0" borderId="6473">
      <alignment horizontal="center"/>
    </xf>
    <xf numFmtId="0" fontId="12" fillId="0" borderId="6473" applyNumberFormat="0" applyFill="0" applyBorder="0" applyAlignment="0" applyProtection="0">
      <alignment horizontal="center"/>
    </xf>
    <xf numFmtId="0" fontId="101" fillId="0" borderId="6473" applyBorder="0"/>
    <xf numFmtId="0" fontId="25" fillId="10" borderId="6735" applyNumberFormat="0" applyProtection="0">
      <alignment horizontal="left" vertical="top"/>
    </xf>
    <xf numFmtId="190" fontId="210" fillId="0" borderId="6365" applyNumberFormat="0" applyFill="0" applyBorder="0" applyAlignment="0">
      <protection locked="0"/>
    </xf>
    <xf numFmtId="190" fontId="2" fillId="0" borderId="6346" applyNumberFormat="0" applyAlignment="0" applyProtection="0"/>
    <xf numFmtId="190" fontId="214" fillId="0" borderId="6347" applyNumberFormat="0" applyFont="0" applyFill="0" applyAlignment="0" applyProtection="0"/>
    <xf numFmtId="254" fontId="240" fillId="0" borderId="6653" applyBorder="0" applyProtection="0">
      <alignment horizontal="right" vertical="center"/>
    </xf>
    <xf numFmtId="0" fontId="113" fillId="0" borderId="6653" applyNumberFormat="0" applyFill="0" applyAlignment="0" applyProtection="0"/>
    <xf numFmtId="190" fontId="25" fillId="10" borderId="6348" applyNumberFormat="0" applyProtection="0">
      <alignment horizontal="left" vertical="top"/>
    </xf>
    <xf numFmtId="190" fontId="25" fillId="10" borderId="6349" applyNumberFormat="0" applyProtection="0">
      <alignment horizontal="left" vertical="top"/>
    </xf>
    <xf numFmtId="190" fontId="25" fillId="10" borderId="6350" applyNumberFormat="0" applyProtection="0">
      <alignment horizontal="left" vertical="top"/>
    </xf>
    <xf numFmtId="190" fontId="25" fillId="10" borderId="6351" applyNumberFormat="0" applyProtection="0">
      <alignment horizontal="left" vertical="top"/>
    </xf>
    <xf numFmtId="190" fontId="241" fillId="94" borderId="6365" applyBorder="0" applyProtection="0">
      <alignment horizontal="centerContinuous" vertical="center"/>
    </xf>
    <xf numFmtId="0" fontId="165" fillId="0" borderId="6473" applyFill="0" applyProtection="0">
      <alignment horizontal="center"/>
    </xf>
    <xf numFmtId="222" fontId="79" fillId="0" borderId="6364" applyBorder="0"/>
    <xf numFmtId="0" fontId="101" fillId="0" borderId="6365" applyBorder="0"/>
    <xf numFmtId="222" fontId="79" fillId="0" borderId="6364" applyBorder="0"/>
    <xf numFmtId="0" fontId="113" fillId="0" borderId="6365" applyNumberFormat="0" applyFill="0" applyAlignment="0" applyProtection="0"/>
    <xf numFmtId="0" fontId="75" fillId="0" borderId="6342" applyNumberFormat="0" applyFont="0" applyFill="0" applyAlignment="0" applyProtection="0"/>
    <xf numFmtId="0" fontId="12" fillId="0" borderId="6365" applyNumberFormat="0" applyFill="0" applyBorder="0" applyAlignment="0" applyProtection="0">
      <alignment horizontal="center"/>
    </xf>
    <xf numFmtId="248" fontId="46" fillId="0" borderId="6365"/>
    <xf numFmtId="192" fontId="9" fillId="3" borderId="6365">
      <alignment horizontal="right" vertical="center"/>
    </xf>
    <xf numFmtId="180" fontId="9" fillId="3" borderId="6365">
      <alignment horizontal="right" vertical="center"/>
    </xf>
    <xf numFmtId="186" fontId="146" fillId="3" borderId="6365" applyBorder="0">
      <alignment horizontal="left" vertical="center"/>
    </xf>
    <xf numFmtId="186" fontId="146" fillId="3" borderId="6344">
      <alignment horizontal="left"/>
    </xf>
    <xf numFmtId="186" fontId="140" fillId="3" borderId="6345">
      <alignment horizontal="center" vertical="center"/>
    </xf>
    <xf numFmtId="0" fontId="165" fillId="0" borderId="6365" applyFill="0" applyProtection="0">
      <alignment horizontal="center"/>
    </xf>
    <xf numFmtId="0" fontId="166" fillId="0" borderId="6365">
      <alignment horizontal="center"/>
    </xf>
    <xf numFmtId="264" fontId="12" fillId="14" borderId="6365" applyFont="0" applyFill="0" applyBorder="0" applyAlignment="0" applyProtection="0">
      <alignment horizontal="right"/>
    </xf>
    <xf numFmtId="0" fontId="210" fillId="0" borderId="6365" applyNumberFormat="0" applyFill="0" applyBorder="0" applyAlignment="0">
      <protection locked="0"/>
    </xf>
    <xf numFmtId="0" fontId="2" fillId="0" borderId="6346" applyNumberFormat="0" applyAlignment="0" applyProtection="0"/>
    <xf numFmtId="0" fontId="214" fillId="0" borderId="6347" applyNumberFormat="0" applyFont="0" applyFill="0" applyAlignment="0" applyProtection="0"/>
    <xf numFmtId="0" fontId="25" fillId="10" borderId="6348" applyNumberFormat="0" applyProtection="0">
      <alignment horizontal="left" vertical="top"/>
    </xf>
    <xf numFmtId="0" fontId="25" fillId="10" borderId="6349" applyNumberFormat="0" applyProtection="0">
      <alignment horizontal="left" vertical="top"/>
    </xf>
    <xf numFmtId="0" fontId="25" fillId="10" borderId="6350" applyNumberFormat="0" applyProtection="0">
      <alignment horizontal="left" vertical="top"/>
    </xf>
    <xf numFmtId="0" fontId="25" fillId="10" borderId="6351" applyNumberFormat="0" applyProtection="0">
      <alignment horizontal="left" vertical="top"/>
    </xf>
    <xf numFmtId="0" fontId="25" fillId="10" borderId="6348" applyNumberFormat="0" applyProtection="0">
      <alignment horizontal="left" vertical="top"/>
    </xf>
    <xf numFmtId="0" fontId="25" fillId="10" borderId="6349" applyNumberFormat="0" applyProtection="0">
      <alignment horizontal="left" vertical="top"/>
    </xf>
    <xf numFmtId="0" fontId="25" fillId="10" borderId="6350" applyNumberFormat="0" applyProtection="0">
      <alignment horizontal="left" vertical="top"/>
    </xf>
    <xf numFmtId="0" fontId="25" fillId="10" borderId="6351" applyNumberFormat="0" applyProtection="0">
      <alignment horizontal="left" vertical="top"/>
    </xf>
    <xf numFmtId="254" fontId="240" fillId="0" borderId="6365" applyBorder="0" applyProtection="0">
      <alignment horizontal="right" vertical="center"/>
    </xf>
    <xf numFmtId="0" fontId="241" fillId="94" borderId="6365" applyBorder="0" applyProtection="0">
      <alignment horizontal="centerContinuous" vertical="center"/>
    </xf>
    <xf numFmtId="246" fontId="249" fillId="0" borderId="6365" applyFill="0" applyProtection="0">
      <alignment horizontal="center"/>
    </xf>
    <xf numFmtId="246" fontId="250" fillId="0" borderId="6365" applyFill="0" applyProtection="0">
      <alignment horizontal="center"/>
    </xf>
    <xf numFmtId="264" fontId="12" fillId="14" borderId="6485" applyFont="0" applyFill="0" applyBorder="0" applyAlignment="0" applyProtection="0">
      <alignment horizontal="right"/>
    </xf>
    <xf numFmtId="0" fontId="241" fillId="94" borderId="6365" applyBorder="0" applyProtection="0">
      <alignment horizontal="centerContinuous" vertical="center"/>
    </xf>
    <xf numFmtId="0" fontId="210" fillId="0" borderId="6485" applyNumberFormat="0" applyFill="0" applyBorder="0" applyAlignment="0">
      <protection locked="0"/>
    </xf>
    <xf numFmtId="0" fontId="166" fillId="0" borderId="6545">
      <alignment horizontal="center"/>
    </xf>
    <xf numFmtId="190" fontId="214" fillId="0" borderId="6527" applyNumberFormat="0" applyFont="0" applyFill="0" applyAlignment="0" applyProtection="0"/>
    <xf numFmtId="190" fontId="78" fillId="14" borderId="6535" applyFont="0" applyFill="0" applyBorder="0" applyAlignment="0" applyProtection="0"/>
    <xf numFmtId="190" fontId="101" fillId="0" borderId="6545" applyBorder="0"/>
    <xf numFmtId="254" fontId="240" fillId="0" borderId="6545" applyBorder="0" applyProtection="0">
      <alignment horizontal="right" vertical="center"/>
    </xf>
    <xf numFmtId="312" fontId="101" fillId="0" borderId="6365" applyBorder="0"/>
    <xf numFmtId="0" fontId="113" fillId="0" borderId="6545" applyNumberFormat="0" applyFill="0" applyAlignment="0" applyProtection="0"/>
    <xf numFmtId="180" fontId="9" fillId="3" borderId="6545">
      <alignment horizontal="right" vertical="center"/>
    </xf>
    <xf numFmtId="0" fontId="113" fillId="0" borderId="6725" applyNumberFormat="0" applyFill="0" applyAlignment="0" applyProtection="0"/>
    <xf numFmtId="180" fontId="9" fillId="3" borderId="6725">
      <alignment horizontal="right" vertical="center"/>
    </xf>
    <xf numFmtId="0" fontId="165" fillId="0" borderId="6545" applyFill="0" applyProtection="0">
      <alignment horizontal="center"/>
    </xf>
    <xf numFmtId="246" fontId="250" fillId="0" borderId="6545" applyFill="0" applyProtection="0">
      <alignment horizontal="center"/>
    </xf>
    <xf numFmtId="312" fontId="113" fillId="0" borderId="6365" applyNumberFormat="0" applyFill="0" applyAlignment="0" applyProtection="0"/>
    <xf numFmtId="312" fontId="75" fillId="0" borderId="6342" applyNumberFormat="0" applyFont="0" applyFill="0" applyAlignment="0" applyProtection="0"/>
    <xf numFmtId="0" fontId="2" fillId="0" borderId="6550" applyNumberFormat="0" applyAlignment="0" applyProtection="0"/>
    <xf numFmtId="0" fontId="78" fillId="14" borderId="6547" applyFont="0" applyFill="0" applyBorder="0" applyAlignment="0" applyProtection="0"/>
    <xf numFmtId="246" fontId="250" fillId="0" borderId="6533" applyFill="0" applyProtection="0">
      <alignment horizontal="center"/>
    </xf>
    <xf numFmtId="254" fontId="240" fillId="0" borderId="6533" applyBorder="0" applyProtection="0">
      <alignment horizontal="right" vertical="center"/>
    </xf>
    <xf numFmtId="0" fontId="165" fillId="0" borderId="6533" applyFill="0" applyProtection="0">
      <alignment horizontal="center"/>
    </xf>
    <xf numFmtId="0" fontId="12" fillId="0" borderId="6533" applyNumberFormat="0" applyFill="0" applyBorder="0" applyAlignment="0" applyProtection="0">
      <alignment horizontal="center"/>
    </xf>
    <xf numFmtId="0" fontId="25" fillId="10" borderId="6528" applyNumberFormat="0" applyProtection="0">
      <alignment horizontal="left" vertical="top"/>
    </xf>
    <xf numFmtId="0" fontId="2" fillId="0" borderId="6526" applyNumberFormat="0" applyAlignment="0" applyProtection="0"/>
    <xf numFmtId="312" fontId="12" fillId="0" borderId="6365" applyNumberFormat="0" applyFill="0" applyBorder="0" applyAlignment="0" applyProtection="0">
      <alignment horizontal="center"/>
    </xf>
    <xf numFmtId="222" fontId="79" fillId="0" borderId="6520" applyBorder="0"/>
    <xf numFmtId="0" fontId="166" fillId="0" borderId="6509">
      <alignment horizontal="center"/>
    </xf>
    <xf numFmtId="180" fontId="9" fillId="3" borderId="6509">
      <alignment horizontal="right" vertical="center"/>
    </xf>
    <xf numFmtId="0" fontId="12" fillId="0" borderId="6509" applyNumberFormat="0" applyFill="0" applyBorder="0" applyAlignment="0" applyProtection="0">
      <alignment horizontal="center"/>
    </xf>
    <xf numFmtId="0" fontId="101" fillId="0" borderId="6509" applyBorder="0"/>
    <xf numFmtId="186" fontId="146" fillId="3" borderId="6500">
      <alignment horizontal="left"/>
    </xf>
    <xf numFmtId="0" fontId="214" fillId="0" borderId="6503" applyNumberFormat="0" applyFont="0" applyFill="0" applyAlignment="0" applyProtection="0"/>
    <xf numFmtId="0" fontId="25" fillId="10" borderId="6506" applyNumberFormat="0" applyProtection="0">
      <alignment horizontal="left" vertical="top"/>
    </xf>
    <xf numFmtId="222" fontId="79" fillId="0" borderId="6496" applyBorder="0"/>
    <xf numFmtId="246" fontId="249" fillId="0" borderId="6485" applyFill="0" applyProtection="0">
      <alignment horizontal="center"/>
    </xf>
    <xf numFmtId="222" fontId="79" fillId="0" borderId="6364" applyBorder="0"/>
    <xf numFmtId="0" fontId="78" fillId="14" borderId="6475" applyFont="0" applyFill="0" applyBorder="0" applyAlignment="0" applyProtection="0"/>
    <xf numFmtId="0" fontId="25" fillId="10" borderId="6483" applyNumberFormat="0" applyProtection="0">
      <alignment horizontal="left" vertical="top"/>
    </xf>
    <xf numFmtId="0" fontId="25" fillId="10" borderId="6480" applyNumberFormat="0" applyProtection="0">
      <alignment horizontal="left" vertical="top"/>
    </xf>
    <xf numFmtId="186" fontId="140" fillId="3" borderId="6477">
      <alignment horizontal="center" vertical="center"/>
    </xf>
    <xf numFmtId="222" fontId="79" fillId="0" borderId="6484" applyBorder="0"/>
    <xf numFmtId="312" fontId="78" fillId="14" borderId="6307" applyFont="0" applyFill="0" applyBorder="0" applyAlignment="0" applyProtection="0"/>
    <xf numFmtId="0" fontId="12" fillId="0" borderId="6485" applyNumberFormat="0" applyFill="0" applyBorder="0" applyAlignment="0" applyProtection="0">
      <alignment horizontal="center"/>
    </xf>
    <xf numFmtId="246" fontId="250" fillId="0" borderId="6485" applyFill="0" applyProtection="0">
      <alignment horizontal="center"/>
    </xf>
    <xf numFmtId="222" fontId="79" fillId="0" borderId="6364" applyBorder="0"/>
    <xf numFmtId="0" fontId="75" fillId="0" borderId="6534" applyNumberFormat="0" applyFont="0" applyFill="0" applyAlignment="0" applyProtection="0"/>
    <xf numFmtId="0" fontId="25" fillId="10" borderId="6326" applyNumberFormat="0" applyProtection="0">
      <alignment horizontal="left" vertical="top"/>
    </xf>
    <xf numFmtId="222" fontId="79" fillId="0" borderId="6520" applyBorder="0"/>
    <xf numFmtId="0" fontId="75" fillId="0" borderId="6510" applyNumberFormat="0" applyFont="0" applyFill="0" applyAlignment="0" applyProtection="0"/>
    <xf numFmtId="0" fontId="12" fillId="0" borderId="6521" applyNumberFormat="0" applyFill="0" applyBorder="0" applyAlignment="0" applyProtection="0">
      <alignment horizontal="center"/>
    </xf>
    <xf numFmtId="264" fontId="12" fillId="14" borderId="6521" applyFont="0" applyFill="0" applyBorder="0" applyAlignment="0" applyProtection="0">
      <alignment horizontal="right"/>
    </xf>
    <xf numFmtId="246" fontId="249" fillId="0" borderId="6497" applyFill="0" applyProtection="0">
      <alignment horizontal="center"/>
    </xf>
    <xf numFmtId="0" fontId="166" fillId="0" borderId="6497">
      <alignment horizontal="center"/>
    </xf>
    <xf numFmtId="254" fontId="240" fillId="0" borderId="6545" applyBorder="0" applyProtection="0">
      <alignment horizontal="right" vertical="center"/>
    </xf>
    <xf numFmtId="180" fontId="9" fillId="3" borderId="6545">
      <alignment horizontal="right" vertical="center"/>
    </xf>
    <xf numFmtId="222" fontId="79" fillId="0" borderId="6544" applyBorder="0"/>
    <xf numFmtId="0" fontId="25" fillId="10" borderId="6480" applyNumberFormat="0" applyProtection="0">
      <alignment horizontal="left" vertical="top"/>
    </xf>
    <xf numFmtId="186" fontId="140" fillId="3" borderId="6477">
      <alignment horizontal="center" vertical="center"/>
    </xf>
    <xf numFmtId="0" fontId="25" fillId="10" borderId="6480" applyNumberFormat="0" applyProtection="0">
      <alignment horizontal="left" vertical="top"/>
    </xf>
    <xf numFmtId="0" fontId="25" fillId="10" borderId="6483" applyNumberFormat="0" applyProtection="0">
      <alignment horizontal="left" vertical="top"/>
    </xf>
    <xf numFmtId="0" fontId="25" fillId="10" borderId="6481" applyNumberFormat="0" applyProtection="0">
      <alignment horizontal="left" vertical="top"/>
    </xf>
    <xf numFmtId="264" fontId="12" fillId="14" borderId="6545" applyFont="0" applyFill="0" applyBorder="0" applyAlignment="0" applyProtection="0">
      <alignment horizontal="right"/>
    </xf>
    <xf numFmtId="0" fontId="12" fillId="0" borderId="6725" applyNumberFormat="0" applyFill="0" applyBorder="0" applyAlignment="0" applyProtection="0">
      <alignment horizontal="center"/>
    </xf>
    <xf numFmtId="312" fontId="165" fillId="0" borderId="6365" applyFill="0" applyProtection="0">
      <alignment horizontal="center"/>
    </xf>
    <xf numFmtId="312" fontId="242" fillId="0" borderId="6365">
      <alignment horizontal="center"/>
    </xf>
    <xf numFmtId="0" fontId="241" fillId="94" borderId="6473" applyBorder="0" applyProtection="0">
      <alignment horizontal="centerContinuous" vertical="center"/>
    </xf>
    <xf numFmtId="0" fontId="165" fillId="0" borderId="6473" applyFill="0" applyProtection="0">
      <alignment horizontal="center"/>
    </xf>
    <xf numFmtId="0" fontId="113" fillId="0" borderId="6473" applyNumberFormat="0" applyFill="0" applyAlignment="0" applyProtection="0"/>
    <xf numFmtId="0" fontId="25" fillId="10" borderId="6326" applyNumberFormat="0" applyProtection="0">
      <alignment horizontal="left" vertical="top"/>
    </xf>
    <xf numFmtId="254" fontId="240" fillId="0" borderId="6665" applyBorder="0" applyProtection="0">
      <alignment horizontal="right" vertical="center"/>
    </xf>
    <xf numFmtId="312" fontId="210" fillId="0" borderId="6365" applyNumberFormat="0" applyFill="0" applyBorder="0" applyAlignment="0">
      <protection locked="0"/>
    </xf>
    <xf numFmtId="312" fontId="2" fillId="0" borderId="6346" applyNumberFormat="0" applyAlignment="0" applyProtection="0"/>
    <xf numFmtId="312" fontId="214" fillId="0" borderId="6347" applyNumberFormat="0" applyFont="0" applyFill="0" applyAlignment="0" applyProtection="0"/>
    <xf numFmtId="0" fontId="25" fillId="10" borderId="6002" applyNumberFormat="0" applyProtection="0">
      <alignment horizontal="left" vertical="top"/>
    </xf>
    <xf numFmtId="0" fontId="210" fillId="0" borderId="6653" applyNumberFormat="0" applyFill="0" applyBorder="0" applyAlignment="0">
      <protection locked="0"/>
    </xf>
    <xf numFmtId="186" fontId="146" fillId="3" borderId="6653" applyBorder="0">
      <alignment horizontal="left" vertical="center"/>
    </xf>
    <xf numFmtId="0" fontId="101" fillId="0" borderId="6653" applyBorder="0"/>
    <xf numFmtId="312" fontId="25" fillId="10" borderId="6348" applyNumberFormat="0" applyProtection="0">
      <alignment horizontal="left" vertical="top"/>
    </xf>
    <xf numFmtId="312" fontId="25" fillId="10" borderId="6349" applyNumberFormat="0" applyProtection="0">
      <alignment horizontal="left" vertical="top"/>
    </xf>
    <xf numFmtId="312" fontId="25" fillId="10" borderId="6350" applyNumberFormat="0" applyProtection="0">
      <alignment horizontal="left" vertical="top"/>
    </xf>
    <xf numFmtId="312" fontId="25" fillId="10" borderId="6351" applyNumberFormat="0" applyProtection="0">
      <alignment horizontal="left" vertical="top"/>
    </xf>
    <xf numFmtId="312" fontId="241" fillId="94" borderId="6365" applyBorder="0" applyProtection="0">
      <alignment horizontal="centerContinuous" vertical="center"/>
    </xf>
    <xf numFmtId="246" fontId="296" fillId="0" borderId="6365" applyFill="0" applyProtection="0">
      <alignment horizontal="center"/>
    </xf>
    <xf numFmtId="0" fontId="25" fillId="10" borderId="6735" applyNumberFormat="0" applyProtection="0">
      <alignment horizontal="left" vertical="top"/>
    </xf>
    <xf numFmtId="190" fontId="25" fillId="10" borderId="6708" applyNumberFormat="0" applyProtection="0">
      <alignment horizontal="left" vertical="top"/>
    </xf>
    <xf numFmtId="312" fontId="101" fillId="0" borderId="6365" applyBorder="0"/>
    <xf numFmtId="312" fontId="113" fillId="0" borderId="6365" applyNumberFormat="0" applyFill="0" applyAlignment="0" applyProtection="0"/>
    <xf numFmtId="312" fontId="75" fillId="0" borderId="6342" applyNumberFormat="0" applyFont="0" applyFill="0" applyAlignment="0" applyProtection="0"/>
    <xf numFmtId="312" fontId="12" fillId="0" borderId="6365" applyNumberFormat="0" applyFill="0" applyBorder="0" applyAlignment="0" applyProtection="0">
      <alignment horizontal="center"/>
    </xf>
    <xf numFmtId="312" fontId="78" fillId="14" borderId="6307" applyFont="0" applyFill="0" applyBorder="0" applyAlignment="0" applyProtection="0"/>
    <xf numFmtId="0" fontId="113" fillId="0" borderId="6521" applyNumberFormat="0" applyFill="0" applyAlignment="0" applyProtection="0"/>
    <xf numFmtId="312" fontId="165" fillId="0" borderId="6365" applyFill="0" applyProtection="0">
      <alignment horizontal="center"/>
    </xf>
    <xf numFmtId="312" fontId="242" fillId="0" borderId="6365">
      <alignment horizontal="center"/>
    </xf>
    <xf numFmtId="0" fontId="210" fillId="0" borderId="6521" applyNumberFormat="0" applyFill="0" applyBorder="0" applyAlignment="0">
      <protection locked="0"/>
    </xf>
    <xf numFmtId="312" fontId="210" fillId="0" borderId="6365" applyNumberFormat="0" applyFill="0" applyBorder="0" applyAlignment="0">
      <protection locked="0"/>
    </xf>
    <xf numFmtId="312" fontId="2" fillId="0" borderId="6346" applyNumberFormat="0" applyAlignment="0" applyProtection="0"/>
    <xf numFmtId="312" fontId="214" fillId="0" borderId="6347" applyNumberFormat="0" applyFont="0" applyFill="0" applyAlignment="0" applyProtection="0"/>
    <xf numFmtId="312" fontId="25" fillId="10" borderId="6348" applyNumberFormat="0" applyProtection="0">
      <alignment horizontal="left" vertical="top"/>
    </xf>
    <xf numFmtId="312" fontId="25" fillId="10" borderId="6349" applyNumberFormat="0" applyProtection="0">
      <alignment horizontal="left" vertical="top"/>
    </xf>
    <xf numFmtId="312" fontId="25" fillId="10" borderId="6350" applyNumberFormat="0" applyProtection="0">
      <alignment horizontal="left" vertical="top"/>
    </xf>
    <xf numFmtId="312" fontId="25" fillId="10" borderId="6351" applyNumberFormat="0" applyProtection="0">
      <alignment horizontal="left" vertical="top"/>
    </xf>
    <xf numFmtId="312" fontId="25" fillId="10" borderId="6348" applyNumberFormat="0" applyProtection="0">
      <alignment horizontal="left" vertical="top"/>
    </xf>
    <xf numFmtId="312" fontId="25" fillId="10" borderId="6349" applyNumberFormat="0" applyProtection="0">
      <alignment horizontal="left" vertical="top"/>
    </xf>
    <xf numFmtId="312" fontId="25" fillId="10" borderId="6350" applyNumberFormat="0" applyProtection="0">
      <alignment horizontal="left" vertical="top"/>
    </xf>
    <xf numFmtId="312" fontId="25" fillId="10" borderId="6351" applyNumberFormat="0" applyProtection="0">
      <alignment horizontal="left" vertical="top"/>
    </xf>
    <xf numFmtId="312" fontId="241" fillId="94" borderId="6365" applyBorder="0" applyProtection="0">
      <alignment horizontal="centerContinuous" vertical="center"/>
    </xf>
    <xf numFmtId="246" fontId="296" fillId="0" borderId="6365" applyFill="0" applyProtection="0">
      <alignment horizontal="center"/>
    </xf>
    <xf numFmtId="0" fontId="241" fillId="94" borderId="6545" applyBorder="0" applyProtection="0">
      <alignment horizontal="centerContinuous" vertical="center"/>
    </xf>
    <xf numFmtId="0" fontId="241" fillId="94" borderId="6473" applyBorder="0" applyProtection="0">
      <alignment horizontal="centerContinuous" vertical="center"/>
    </xf>
    <xf numFmtId="0" fontId="210" fillId="0" borderId="6473" applyNumberFormat="0" applyFill="0" applyBorder="0" applyAlignment="0">
      <protection locked="0"/>
    </xf>
    <xf numFmtId="0" fontId="2" fillId="0" borderId="6886" applyNumberFormat="0" applyAlignment="0" applyProtection="0"/>
    <xf numFmtId="264" fontId="12" fillId="14" borderId="6665" applyFont="0" applyFill="0" applyBorder="0" applyAlignment="0" applyProtection="0">
      <alignment horizontal="right"/>
    </xf>
    <xf numFmtId="0" fontId="210" fillId="0" borderId="6665" applyNumberFormat="0" applyFill="0" applyBorder="0" applyAlignment="0">
      <protection locked="0"/>
    </xf>
    <xf numFmtId="246" fontId="249" fillId="0" borderId="6485" applyFill="0" applyProtection="0">
      <alignment horizontal="center"/>
    </xf>
    <xf numFmtId="192" fontId="9" fillId="3" borderId="6665">
      <alignment horizontal="right" vertical="center"/>
    </xf>
    <xf numFmtId="0" fontId="166" fillId="0" borderId="6665">
      <alignment horizontal="center"/>
    </xf>
    <xf numFmtId="0" fontId="165" fillId="0" borderId="6665" applyFill="0" applyProtection="0">
      <alignment horizontal="center"/>
    </xf>
    <xf numFmtId="0" fontId="2" fillId="0" borderId="6490" applyNumberFormat="0" applyAlignment="0" applyProtection="0"/>
    <xf numFmtId="0" fontId="214" fillId="0" borderId="6479" applyNumberFormat="0" applyFont="0" applyFill="0" applyAlignment="0" applyProtection="0"/>
    <xf numFmtId="0" fontId="25" fillId="10" borderId="6482" applyNumberFormat="0" applyProtection="0">
      <alignment horizontal="left" vertical="top"/>
    </xf>
    <xf numFmtId="180" fontId="9" fillId="3" borderId="6473">
      <alignment horizontal="right" vertical="center"/>
    </xf>
    <xf numFmtId="0" fontId="165" fillId="0" borderId="6473" applyFill="0" applyProtection="0">
      <alignment horizontal="center"/>
    </xf>
    <xf numFmtId="246" fontId="250" fillId="0" borderId="6365" applyFill="0" applyProtection="0">
      <alignment horizontal="center"/>
    </xf>
    <xf numFmtId="246" fontId="249" fillId="0" borderId="6365" applyFill="0" applyProtection="0">
      <alignment horizontal="center"/>
    </xf>
    <xf numFmtId="0" fontId="241" fillId="94" borderId="6365" applyBorder="0" applyProtection="0">
      <alignment horizontal="centerContinuous" vertical="center"/>
    </xf>
    <xf numFmtId="254" fontId="240" fillId="0" borderId="6365" applyBorder="0" applyProtection="0">
      <alignment horizontal="right" vertical="center"/>
    </xf>
    <xf numFmtId="192" fontId="9" fillId="3" borderId="6653">
      <alignment horizontal="right" vertical="center"/>
    </xf>
    <xf numFmtId="0" fontId="25" fillId="10" borderId="6001" applyNumberFormat="0" applyProtection="0">
      <alignment horizontal="left" vertical="top"/>
    </xf>
    <xf numFmtId="0" fontId="113" fillId="0" borderId="6653" applyNumberFormat="0" applyFill="0" applyAlignment="0" applyProtection="0"/>
    <xf numFmtId="0" fontId="166" fillId="0" borderId="6653">
      <alignment horizontal="center"/>
    </xf>
    <xf numFmtId="0" fontId="12" fillId="0" borderId="6725" applyNumberFormat="0" applyFill="0" applyBorder="0" applyAlignment="0" applyProtection="0">
      <alignment horizontal="center"/>
    </xf>
    <xf numFmtId="186" fontId="140" fillId="3" borderId="6657">
      <alignment horizontal="center" vertical="center"/>
    </xf>
    <xf numFmtId="0" fontId="210" fillId="0" borderId="6365" applyNumberFormat="0" applyFill="0" applyBorder="0" applyAlignment="0">
      <protection locked="0"/>
    </xf>
    <xf numFmtId="264" fontId="12" fillId="14" borderId="6365" applyFont="0" applyFill="0" applyBorder="0" applyAlignment="0" applyProtection="0">
      <alignment horizontal="right"/>
    </xf>
    <xf numFmtId="0" fontId="101" fillId="0" borderId="6725" applyBorder="0"/>
    <xf numFmtId="192" fontId="9" fillId="3" borderId="6473">
      <alignment horizontal="right" vertical="center"/>
    </xf>
    <xf numFmtId="0" fontId="166" fillId="0" borderId="6365">
      <alignment horizontal="center"/>
    </xf>
    <xf numFmtId="0" fontId="165" fillId="0" borderId="6365" applyFill="0" applyProtection="0">
      <alignment horizontal="center"/>
    </xf>
    <xf numFmtId="0" fontId="113" fillId="0" borderId="6725" applyNumberFormat="0" applyFill="0" applyAlignment="0" applyProtection="0"/>
    <xf numFmtId="186" fontId="140" fillId="3" borderId="6285">
      <alignment horizontal="center" vertical="center"/>
    </xf>
    <xf numFmtId="186" fontId="146" fillId="3" borderId="6212">
      <alignment horizontal="left"/>
    </xf>
    <xf numFmtId="186" fontId="146" fillId="3" borderId="6365" applyBorder="0">
      <alignment horizontal="left" vertical="center"/>
    </xf>
    <xf numFmtId="180" fontId="9" fillId="3" borderId="6365">
      <alignment horizontal="right" vertical="center"/>
    </xf>
    <xf numFmtId="192" fontId="9" fillId="3" borderId="6365">
      <alignment horizontal="right" vertical="center"/>
    </xf>
    <xf numFmtId="0" fontId="101" fillId="0" borderId="6365" applyBorder="0"/>
    <xf numFmtId="248" fontId="46" fillId="0" borderId="6521"/>
    <xf numFmtId="246" fontId="249" fillId="0" borderId="6365" applyFill="0" applyProtection="0">
      <alignment horizontal="center"/>
    </xf>
    <xf numFmtId="248" fontId="46" fillId="0" borderId="6365"/>
    <xf numFmtId="0" fontId="78" fillId="14" borderId="6319" applyFont="0" applyFill="0" applyBorder="0" applyAlignment="0" applyProtection="0"/>
    <xf numFmtId="0" fontId="12" fillId="0" borderId="6365" applyNumberFormat="0" applyFill="0" applyBorder="0" applyAlignment="0" applyProtection="0">
      <alignment horizontal="center"/>
    </xf>
    <xf numFmtId="186" fontId="146" fillId="3" borderId="6533" applyBorder="0">
      <alignment horizontal="left" vertical="center"/>
    </xf>
    <xf numFmtId="0" fontId="75" fillId="0" borderId="6210" applyNumberFormat="0" applyFont="0" applyFill="0" applyAlignment="0" applyProtection="0"/>
    <xf numFmtId="0" fontId="113" fillId="0" borderId="6365" applyNumberFormat="0" applyFill="0" applyAlignment="0" applyProtection="0"/>
    <xf numFmtId="186" fontId="146" fillId="3" borderId="6656">
      <alignment horizontal="left"/>
    </xf>
    <xf numFmtId="0" fontId="75" fillId="0" borderId="6654" applyNumberFormat="0" applyFont="0" applyFill="0" applyAlignment="0" applyProtection="0"/>
    <xf numFmtId="222" fontId="79" fillId="0" borderId="6364" applyBorder="0"/>
    <xf numFmtId="0" fontId="101" fillId="0" borderId="6365" applyBorder="0"/>
    <xf numFmtId="186" fontId="146" fillId="3" borderId="6653" applyBorder="0">
      <alignment horizontal="left" vertical="center"/>
    </xf>
    <xf numFmtId="0" fontId="101" fillId="0" borderId="6653" applyBorder="0"/>
    <xf numFmtId="0" fontId="25" fillId="10" borderId="6372" applyNumberFormat="0" applyProtection="0">
      <alignment horizontal="left" vertical="top"/>
    </xf>
    <xf numFmtId="0" fontId="25" fillId="10" borderId="6373" applyNumberFormat="0" applyProtection="0">
      <alignment horizontal="left" vertical="top"/>
    </xf>
    <xf numFmtId="0" fontId="25" fillId="10" borderId="6374" applyNumberFormat="0" applyProtection="0">
      <alignment horizontal="left" vertical="top"/>
    </xf>
    <xf numFmtId="0" fontId="25" fillId="10" borderId="6375" applyNumberFormat="0" applyProtection="0">
      <alignment horizontal="left" vertical="top"/>
    </xf>
    <xf numFmtId="0" fontId="113" fillId="0" borderId="6473" applyNumberFormat="0" applyFill="0" applyAlignment="0" applyProtection="0"/>
    <xf numFmtId="222" fontId="79" fillId="0" borderId="6484" applyBorder="0"/>
    <xf numFmtId="0" fontId="25" fillId="10" borderId="6480" applyNumberFormat="0" applyProtection="0">
      <alignment horizontal="left" vertical="top"/>
    </xf>
    <xf numFmtId="0" fontId="165" fillId="0" borderId="6485" applyFill="0" applyProtection="0">
      <alignment horizontal="center"/>
    </xf>
    <xf numFmtId="0" fontId="25" fillId="10" borderId="6493" applyNumberFormat="0" applyProtection="0">
      <alignment horizontal="left" vertical="top"/>
    </xf>
    <xf numFmtId="222" fontId="79" fillId="0" borderId="6484" applyBorder="0"/>
    <xf numFmtId="0" fontId="2" fillId="0" borderId="6478" applyNumberFormat="0" applyAlignment="0" applyProtection="0"/>
    <xf numFmtId="0" fontId="25" fillId="10" borderId="6483" applyNumberFormat="0" applyProtection="0">
      <alignment horizontal="left" vertical="top"/>
    </xf>
    <xf numFmtId="246" fontId="250" fillId="0" borderId="6329" applyFill="0" applyProtection="0">
      <alignment horizontal="center"/>
    </xf>
    <xf numFmtId="246" fontId="249" fillId="0" borderId="6329" applyFill="0" applyProtection="0">
      <alignment horizontal="center"/>
    </xf>
    <xf numFmtId="0" fontId="241" fillId="94" borderId="6329" applyBorder="0" applyProtection="0">
      <alignment horizontal="centerContinuous" vertical="center"/>
    </xf>
    <xf numFmtId="254" fontId="240" fillId="0" borderId="6329" applyBorder="0" applyProtection="0">
      <alignment horizontal="right" vertical="center"/>
    </xf>
    <xf numFmtId="0" fontId="210" fillId="0" borderId="6329" applyNumberFormat="0" applyFill="0" applyBorder="0" applyAlignment="0">
      <protection locked="0"/>
    </xf>
    <xf numFmtId="264" fontId="12" fillId="14" borderId="6329" applyFont="0" applyFill="0" applyBorder="0" applyAlignment="0" applyProtection="0">
      <alignment horizontal="right"/>
    </xf>
    <xf numFmtId="0" fontId="166" fillId="0" borderId="6329">
      <alignment horizontal="center"/>
    </xf>
    <xf numFmtId="0" fontId="165" fillId="0" borderId="6329" applyFill="0" applyProtection="0">
      <alignment horizontal="center"/>
    </xf>
    <xf numFmtId="186" fontId="146" fillId="3" borderId="6329" applyBorder="0">
      <alignment horizontal="left" vertical="center"/>
    </xf>
    <xf numFmtId="180" fontId="9" fillId="3" borderId="6329">
      <alignment horizontal="right" vertical="center"/>
    </xf>
    <xf numFmtId="192" fontId="9" fillId="3" borderId="6329">
      <alignment horizontal="right" vertical="center"/>
    </xf>
    <xf numFmtId="248" fontId="46" fillId="0" borderId="6329"/>
    <xf numFmtId="0" fontId="12" fillId="0" borderId="6329" applyNumberFormat="0" applyFill="0" applyBorder="0" applyAlignment="0" applyProtection="0">
      <alignment horizontal="center"/>
    </xf>
    <xf numFmtId="0" fontId="113" fillId="0" borderId="6329" applyNumberFormat="0" applyFill="0" applyAlignment="0" applyProtection="0"/>
    <xf numFmtId="222" fontId="79" fillId="0" borderId="6316" applyBorder="0"/>
    <xf numFmtId="0" fontId="101" fillId="0" borderId="6329" applyBorder="0"/>
    <xf numFmtId="246" fontId="250" fillId="0" borderId="6329" applyFill="0" applyProtection="0">
      <alignment horizontal="center"/>
    </xf>
    <xf numFmtId="246" fontId="249" fillId="0" borderId="6329" applyFill="0" applyProtection="0">
      <alignment horizontal="center"/>
    </xf>
    <xf numFmtId="0" fontId="241" fillId="94" borderId="6329" applyBorder="0" applyProtection="0">
      <alignment horizontal="centerContinuous" vertical="center"/>
    </xf>
    <xf numFmtId="254" fontId="240" fillId="0" borderId="6329" applyBorder="0" applyProtection="0">
      <alignment horizontal="right" vertical="center"/>
    </xf>
    <xf numFmtId="248" fontId="46" fillId="0" borderId="6653"/>
    <xf numFmtId="0" fontId="25" fillId="10" borderId="6002" applyNumberFormat="0" applyProtection="0">
      <alignment horizontal="left" vertical="top"/>
    </xf>
    <xf numFmtId="192" fontId="9" fillId="3" borderId="6653">
      <alignment horizontal="right" vertical="center"/>
    </xf>
    <xf numFmtId="0" fontId="210" fillId="0" borderId="6329" applyNumberFormat="0" applyFill="0" applyBorder="0" applyAlignment="0">
      <protection locked="0"/>
    </xf>
    <xf numFmtId="264" fontId="12" fillId="14" borderId="6329" applyFont="0" applyFill="0" applyBorder="0" applyAlignment="0" applyProtection="0">
      <alignment horizontal="right"/>
    </xf>
    <xf numFmtId="0" fontId="166" fillId="0" borderId="6329">
      <alignment horizontal="center"/>
    </xf>
    <xf numFmtId="0" fontId="165" fillId="0" borderId="6329" applyFill="0" applyProtection="0">
      <alignment horizontal="center"/>
    </xf>
    <xf numFmtId="186" fontId="146" fillId="3" borderId="6329" applyBorder="0">
      <alignment horizontal="left" vertical="center"/>
    </xf>
    <xf numFmtId="180" fontId="9" fillId="3" borderId="6329">
      <alignment horizontal="right" vertical="center"/>
    </xf>
    <xf numFmtId="192" fontId="9" fillId="3" borderId="6329">
      <alignment horizontal="right" vertical="center"/>
    </xf>
    <xf numFmtId="0" fontId="12" fillId="0" borderId="6329" applyNumberFormat="0" applyFill="0" applyBorder="0" applyAlignment="0" applyProtection="0">
      <alignment horizontal="center"/>
    </xf>
    <xf numFmtId="180" fontId="9" fillId="3" borderId="6533">
      <alignment horizontal="right" vertical="center"/>
    </xf>
    <xf numFmtId="0" fontId="113" fillId="0" borderId="6329" applyNumberFormat="0" applyFill="0" applyAlignment="0" applyProtection="0"/>
    <xf numFmtId="264" fontId="12" fillId="14" borderId="6725" applyFont="0" applyFill="0" applyBorder="0" applyAlignment="0" applyProtection="0">
      <alignment horizontal="right"/>
    </xf>
    <xf numFmtId="0" fontId="78" fillId="14" borderId="6655" applyFont="0" applyFill="0" applyBorder="0" applyAlignment="0" applyProtection="0"/>
    <xf numFmtId="222" fontId="79" fillId="0" borderId="6316" applyBorder="0"/>
    <xf numFmtId="0" fontId="101" fillId="0" borderId="6329" applyBorder="0"/>
    <xf numFmtId="248" fontId="46" fillId="0" borderId="6329"/>
    <xf numFmtId="246" fontId="250" fillId="0" borderId="6329" applyFill="0" applyProtection="0">
      <alignment horizontal="center"/>
    </xf>
    <xf numFmtId="246" fontId="249" fillId="0" borderId="6329" applyFill="0" applyProtection="0">
      <alignment horizontal="center"/>
    </xf>
    <xf numFmtId="0" fontId="241" fillId="94" borderId="6329" applyBorder="0" applyProtection="0">
      <alignment horizontal="centerContinuous" vertical="center"/>
    </xf>
    <xf numFmtId="254" fontId="240" fillId="0" borderId="6329" applyBorder="0" applyProtection="0">
      <alignment horizontal="right" vertical="center"/>
    </xf>
    <xf numFmtId="0" fontId="210" fillId="0" borderId="6329" applyNumberFormat="0" applyFill="0" applyBorder="0" applyAlignment="0">
      <protection locked="0"/>
    </xf>
    <xf numFmtId="264" fontId="12" fillId="14" borderId="6329" applyFont="0" applyFill="0" applyBorder="0" applyAlignment="0" applyProtection="0">
      <alignment horizontal="right"/>
    </xf>
    <xf numFmtId="0" fontId="166" fillId="0" borderId="6329">
      <alignment horizontal="center"/>
    </xf>
    <xf numFmtId="0" fontId="165" fillId="0" borderId="6329" applyFill="0" applyProtection="0">
      <alignment horizontal="center"/>
    </xf>
    <xf numFmtId="186" fontId="146" fillId="3" borderId="6329" applyBorder="0">
      <alignment horizontal="left" vertical="center"/>
    </xf>
    <xf numFmtId="180" fontId="9" fillId="3" borderId="6329">
      <alignment horizontal="right" vertical="center"/>
    </xf>
    <xf numFmtId="192" fontId="9" fillId="3" borderId="6329">
      <alignment horizontal="right" vertical="center"/>
    </xf>
    <xf numFmtId="248" fontId="46" fillId="0" borderId="6329"/>
    <xf numFmtId="0" fontId="12" fillId="0" borderId="6329" applyNumberFormat="0" applyFill="0" applyBorder="0" applyAlignment="0" applyProtection="0">
      <alignment horizontal="center"/>
    </xf>
    <xf numFmtId="0" fontId="113" fillId="0" borderId="6329" applyNumberFormat="0" applyFill="0" applyAlignment="0" applyProtection="0"/>
    <xf numFmtId="222" fontId="79" fillId="0" borderId="6316" applyBorder="0"/>
    <xf numFmtId="0" fontId="101" fillId="0" borderId="6329" applyBorder="0"/>
    <xf numFmtId="246" fontId="250" fillId="0" borderId="6473" applyFill="0" applyProtection="0">
      <alignment horizontal="center"/>
    </xf>
    <xf numFmtId="0" fontId="166" fillId="0" borderId="6545">
      <alignment horizontal="center"/>
    </xf>
    <xf numFmtId="222" fontId="79" fillId="0" borderId="6364" applyBorder="0"/>
    <xf numFmtId="192" fontId="9" fillId="3" borderId="6725">
      <alignment horizontal="right" vertical="center"/>
    </xf>
    <xf numFmtId="222" fontId="79" fillId="0" borderId="6376" applyBorder="0"/>
    <xf numFmtId="0" fontId="101" fillId="0" borderId="6377" applyBorder="0"/>
    <xf numFmtId="222" fontId="79" fillId="0" borderId="6376" applyBorder="0"/>
    <xf numFmtId="0" fontId="113" fillId="0" borderId="6377" applyNumberFormat="0" applyFill="0" applyAlignment="0" applyProtection="0"/>
    <xf numFmtId="0" fontId="12" fillId="0" borderId="6377" applyNumberFormat="0" applyFill="0" applyBorder="0" applyAlignment="0" applyProtection="0">
      <alignment horizontal="center"/>
    </xf>
    <xf numFmtId="248" fontId="46" fillId="0" borderId="6377"/>
    <xf numFmtId="192" fontId="9" fillId="3" borderId="6377">
      <alignment horizontal="right" vertical="center"/>
    </xf>
    <xf numFmtId="180" fontId="9" fillId="3" borderId="6377">
      <alignment horizontal="right" vertical="center"/>
    </xf>
    <xf numFmtId="186" fontId="146" fillId="3" borderId="6377" applyBorder="0">
      <alignment horizontal="left" vertical="center"/>
    </xf>
    <xf numFmtId="0" fontId="165" fillId="0" borderId="6377" applyFill="0" applyProtection="0">
      <alignment horizontal="center"/>
    </xf>
    <xf numFmtId="0" fontId="166" fillId="0" borderId="6377">
      <alignment horizontal="center"/>
    </xf>
    <xf numFmtId="264" fontId="12" fillId="14" borderId="6377" applyFont="0" applyFill="0" applyBorder="0" applyAlignment="0" applyProtection="0">
      <alignment horizontal="right"/>
    </xf>
    <xf numFmtId="0" fontId="210" fillId="0" borderId="6377" applyNumberFormat="0" applyFill="0" applyBorder="0" applyAlignment="0">
      <protection locked="0"/>
    </xf>
    <xf numFmtId="254" fontId="240" fillId="0" borderId="6377" applyBorder="0" applyProtection="0">
      <alignment horizontal="right" vertical="center"/>
    </xf>
    <xf numFmtId="0" fontId="241" fillId="94" borderId="6377" applyBorder="0" applyProtection="0">
      <alignment horizontal="centerContinuous" vertical="center"/>
    </xf>
    <xf numFmtId="246" fontId="249" fillId="0" borderId="6377" applyFill="0" applyProtection="0">
      <alignment horizontal="center"/>
    </xf>
    <xf numFmtId="246" fontId="250" fillId="0" borderId="6377" applyFill="0" applyProtection="0">
      <alignment horizontal="center"/>
    </xf>
    <xf numFmtId="0" fontId="78" fillId="14" borderId="6379" applyFont="0" applyFill="0" applyBorder="0" applyAlignment="0" applyProtection="0"/>
    <xf numFmtId="0" fontId="25" fillId="10" borderId="6387" applyNumberFormat="0" applyProtection="0">
      <alignment horizontal="left" vertical="top"/>
    </xf>
    <xf numFmtId="0" fontId="25" fillId="10" borderId="6386" applyNumberFormat="0" applyProtection="0">
      <alignment horizontal="left" vertical="top"/>
    </xf>
    <xf numFmtId="0" fontId="25" fillId="10" borderId="6385" applyNumberFormat="0" applyProtection="0">
      <alignment horizontal="left" vertical="top"/>
    </xf>
    <xf numFmtId="0" fontId="25" fillId="10" borderId="6384" applyNumberFormat="0" applyProtection="0">
      <alignment horizontal="left" vertical="top"/>
    </xf>
    <xf numFmtId="0" fontId="214" fillId="0" borderId="6383" applyNumberFormat="0" applyFont="0" applyFill="0" applyAlignment="0" applyProtection="0"/>
    <xf numFmtId="0" fontId="2" fillId="0" borderId="6382" applyNumberFormat="0" applyAlignment="0" applyProtection="0"/>
    <xf numFmtId="186" fontId="140" fillId="3" borderId="6381">
      <alignment horizontal="center" vertical="center"/>
    </xf>
    <xf numFmtId="186" fontId="146" fillId="3" borderId="6380">
      <alignment horizontal="left"/>
    </xf>
    <xf numFmtId="0" fontId="75" fillId="0" borderId="6378" applyNumberFormat="0" applyFont="0" applyFill="0" applyAlignment="0" applyProtection="0"/>
    <xf numFmtId="222" fontId="79" fillId="0" borderId="6388" applyBorder="0"/>
    <xf numFmtId="0" fontId="101" fillId="0" borderId="6389" applyBorder="0"/>
    <xf numFmtId="222" fontId="79" fillId="0" borderId="6388" applyBorder="0"/>
    <xf numFmtId="0" fontId="113" fillId="0" borderId="6389" applyNumberFormat="0" applyFill="0" applyAlignment="0" applyProtection="0"/>
    <xf numFmtId="0" fontId="12" fillId="0" borderId="6389" applyNumberFormat="0" applyFill="0" applyBorder="0" applyAlignment="0" applyProtection="0">
      <alignment horizontal="center"/>
    </xf>
    <xf numFmtId="248" fontId="46" fillId="0" borderId="6389"/>
    <xf numFmtId="192" fontId="9" fillId="3" borderId="6389">
      <alignment horizontal="right" vertical="center"/>
    </xf>
    <xf numFmtId="180" fontId="9" fillId="3" borderId="6389">
      <alignment horizontal="right" vertical="center"/>
    </xf>
    <xf numFmtId="186" fontId="146" fillId="3" borderId="6389" applyBorder="0">
      <alignment horizontal="left" vertical="center"/>
    </xf>
    <xf numFmtId="0" fontId="165" fillId="0" borderId="6389" applyFill="0" applyProtection="0">
      <alignment horizontal="center"/>
    </xf>
    <xf numFmtId="0" fontId="166" fillId="0" borderId="6389">
      <alignment horizontal="center"/>
    </xf>
    <xf numFmtId="264" fontId="12" fillId="14" borderId="6389" applyFont="0" applyFill="0" applyBorder="0" applyAlignment="0" applyProtection="0">
      <alignment horizontal="right"/>
    </xf>
    <xf numFmtId="0" fontId="210" fillId="0" borderId="6389" applyNumberFormat="0" applyFill="0" applyBorder="0" applyAlignment="0">
      <protection locked="0"/>
    </xf>
    <xf numFmtId="254" fontId="240" fillId="0" borderId="6389" applyBorder="0" applyProtection="0">
      <alignment horizontal="right" vertical="center"/>
    </xf>
    <xf numFmtId="0" fontId="241" fillId="94" borderId="6389" applyBorder="0" applyProtection="0">
      <alignment horizontal="centerContinuous" vertical="center"/>
    </xf>
    <xf numFmtId="246" fontId="249" fillId="0" borderId="6389" applyFill="0" applyProtection="0">
      <alignment horizontal="center"/>
    </xf>
    <xf numFmtId="246" fontId="250" fillId="0" borderId="6389" applyFill="0" applyProtection="0">
      <alignment horizontal="center"/>
    </xf>
    <xf numFmtId="186" fontId="146" fillId="3" borderId="6392">
      <alignment horizontal="left"/>
    </xf>
    <xf numFmtId="0" fontId="75" fillId="0" borderId="6390" applyNumberFormat="0" applyFont="0" applyFill="0" applyAlignment="0" applyProtection="0"/>
    <xf numFmtId="0" fontId="113" fillId="0" borderId="6473" applyNumberFormat="0" applyFill="0" applyAlignment="0" applyProtection="0"/>
    <xf numFmtId="264" fontId="12" fillId="14" borderId="6473" applyFont="0" applyFill="0" applyBorder="0" applyAlignment="0" applyProtection="0">
      <alignment horizontal="right"/>
    </xf>
    <xf numFmtId="246" fontId="249" fillId="0" borderId="6473" applyFill="0" applyProtection="0">
      <alignment horizontal="center"/>
    </xf>
    <xf numFmtId="0" fontId="25" fillId="10" borderId="6399" applyNumberFormat="0" applyProtection="0">
      <alignment horizontal="left" vertical="top"/>
    </xf>
    <xf numFmtId="0" fontId="25" fillId="10" borderId="6397" applyNumberFormat="0" applyProtection="0">
      <alignment horizontal="left" vertical="top"/>
    </xf>
    <xf numFmtId="0" fontId="25" fillId="10" borderId="6398" applyNumberFormat="0" applyProtection="0">
      <alignment horizontal="left" vertical="top"/>
    </xf>
    <xf numFmtId="0" fontId="25" fillId="10" borderId="6396" applyNumberFormat="0" applyProtection="0">
      <alignment horizontal="left" vertical="top"/>
    </xf>
    <xf numFmtId="0" fontId="25" fillId="10" borderId="6399" applyNumberFormat="0" applyProtection="0">
      <alignment horizontal="left" vertical="top"/>
    </xf>
    <xf numFmtId="0" fontId="25" fillId="10" borderId="6398" applyNumberFormat="0" applyProtection="0">
      <alignment horizontal="left" vertical="top"/>
    </xf>
    <xf numFmtId="0" fontId="25" fillId="10" borderId="6397" applyNumberFormat="0" applyProtection="0">
      <alignment horizontal="left" vertical="top"/>
    </xf>
    <xf numFmtId="0" fontId="25" fillId="10" borderId="6396" applyNumberFormat="0" applyProtection="0">
      <alignment horizontal="left" vertical="top"/>
    </xf>
    <xf numFmtId="0" fontId="214" fillId="0" borderId="6395" applyNumberFormat="0" applyFont="0" applyFill="0" applyAlignment="0" applyProtection="0"/>
    <xf numFmtId="0" fontId="2" fillId="0" borderId="6394" applyNumberFormat="0" applyAlignment="0" applyProtection="0"/>
    <xf numFmtId="186" fontId="140" fillId="3" borderId="6393">
      <alignment horizontal="center" vertical="center"/>
    </xf>
    <xf numFmtId="186" fontId="140" fillId="3" borderId="6405">
      <alignment horizontal="center" vertical="center"/>
    </xf>
    <xf numFmtId="0" fontId="25" fillId="10" borderId="6408" applyNumberFormat="0" applyProtection="0">
      <alignment horizontal="left" vertical="top"/>
    </xf>
    <xf numFmtId="0" fontId="12" fillId="0" borderId="6473" applyNumberFormat="0" applyFill="0" applyBorder="0" applyAlignment="0" applyProtection="0">
      <alignment horizontal="center"/>
    </xf>
    <xf numFmtId="0" fontId="25" fillId="10" borderId="6470" applyNumberFormat="0" applyProtection="0">
      <alignment horizontal="left" vertical="top"/>
    </xf>
    <xf numFmtId="222" fontId="79" fillId="0" borderId="6460" applyBorder="0"/>
    <xf numFmtId="0" fontId="78" fillId="14" borderId="6463" applyFont="0" applyFill="0" applyBorder="0" applyAlignment="0" applyProtection="0"/>
    <xf numFmtId="222" fontId="79" fillId="0" borderId="6472" applyBorder="0"/>
    <xf numFmtId="0" fontId="101" fillId="0" borderId="6473" applyBorder="0"/>
    <xf numFmtId="222" fontId="79" fillId="0" borderId="6472" applyBorder="0"/>
    <xf numFmtId="248" fontId="46" fillId="0" borderId="6473"/>
    <xf numFmtId="192" fontId="9" fillId="3" borderId="6473">
      <alignment horizontal="right" vertical="center"/>
    </xf>
    <xf numFmtId="180" fontId="9" fillId="3" borderId="6473">
      <alignment horizontal="right" vertical="center"/>
    </xf>
    <xf numFmtId="186" fontId="146" fillId="3" borderId="6473" applyBorder="0">
      <alignment horizontal="left" vertical="center"/>
    </xf>
    <xf numFmtId="0" fontId="165" fillId="0" borderId="6473" applyFill="0" applyProtection="0">
      <alignment horizontal="center"/>
    </xf>
    <xf numFmtId="0" fontId="210" fillId="0" borderId="6473" applyNumberFormat="0" applyFill="0" applyBorder="0" applyAlignment="0">
      <protection locked="0"/>
    </xf>
    <xf numFmtId="254" fontId="240" fillId="0" borderId="6473" applyBorder="0" applyProtection="0">
      <alignment horizontal="right" vertical="center"/>
    </xf>
    <xf numFmtId="246" fontId="250" fillId="0" borderId="6473" applyFill="0" applyProtection="0">
      <alignment horizontal="center"/>
    </xf>
    <xf numFmtId="222" fontId="79" fillId="0" borderId="6412" applyBorder="0"/>
    <xf numFmtId="0" fontId="25" fillId="10" borderId="6409" applyNumberFormat="0" applyProtection="0">
      <alignment horizontal="left" vertical="top"/>
    </xf>
    <xf numFmtId="0" fontId="25" fillId="10" borderId="6411" applyNumberFormat="0" applyProtection="0">
      <alignment horizontal="left" vertical="top"/>
    </xf>
    <xf numFmtId="0" fontId="25" fillId="10" borderId="6408" applyNumberFormat="0" applyProtection="0">
      <alignment horizontal="left" vertical="top"/>
    </xf>
    <xf numFmtId="0" fontId="25" fillId="10" borderId="6409" applyNumberFormat="0" applyProtection="0">
      <alignment horizontal="left" vertical="top"/>
    </xf>
    <xf numFmtId="0" fontId="25" fillId="10" borderId="6410" applyNumberFormat="0" applyProtection="0">
      <alignment horizontal="left" vertical="top"/>
    </xf>
    <xf numFmtId="0" fontId="75" fillId="0" borderId="6414" applyNumberFormat="0" applyFont="0" applyFill="0" applyAlignment="0" applyProtection="0"/>
    <xf numFmtId="0" fontId="101" fillId="0" borderId="6425" applyBorder="0"/>
    <xf numFmtId="222" fontId="79" fillId="0" borderId="6424" applyBorder="0"/>
    <xf numFmtId="0" fontId="113" fillId="0" borderId="6425" applyNumberFormat="0" applyFill="0" applyAlignment="0" applyProtection="0"/>
    <xf numFmtId="0" fontId="12" fillId="0" borderId="6425" applyNumberFormat="0" applyFill="0" applyBorder="0" applyAlignment="0" applyProtection="0">
      <alignment horizontal="center"/>
    </xf>
    <xf numFmtId="248" fontId="46" fillId="0" borderId="6425"/>
    <xf numFmtId="192" fontId="9" fillId="3" borderId="6425">
      <alignment horizontal="right" vertical="center"/>
    </xf>
    <xf numFmtId="180" fontId="9" fillId="3" borderId="6425">
      <alignment horizontal="right" vertical="center"/>
    </xf>
    <xf numFmtId="186" fontId="146" fillId="3" borderId="6425" applyBorder="0">
      <alignment horizontal="left" vertical="center"/>
    </xf>
    <xf numFmtId="0" fontId="166" fillId="0" borderId="6425">
      <alignment horizontal="center"/>
    </xf>
    <xf numFmtId="0" fontId="210" fillId="0" borderId="6425" applyNumberFormat="0" applyFill="0" applyBorder="0" applyAlignment="0">
      <protection locked="0"/>
    </xf>
    <xf numFmtId="264" fontId="12" fillId="14" borderId="6425" applyFont="0" applyFill="0" applyBorder="0" applyAlignment="0" applyProtection="0">
      <alignment horizontal="right"/>
    </xf>
    <xf numFmtId="246" fontId="249" fillId="0" borderId="6425" applyFill="0" applyProtection="0">
      <alignment horizontal="center"/>
    </xf>
    <xf numFmtId="246" fontId="250" fillId="0" borderId="6425" applyFill="0" applyProtection="0">
      <alignment horizontal="center"/>
    </xf>
    <xf numFmtId="246" fontId="250" fillId="0" borderId="6449" applyFill="0" applyProtection="0">
      <alignment horizontal="center"/>
    </xf>
    <xf numFmtId="246" fontId="249" fillId="0" borderId="6449" applyFill="0" applyProtection="0">
      <alignment horizontal="center"/>
    </xf>
    <xf numFmtId="254" fontId="240" fillId="0" borderId="6449" applyBorder="0" applyProtection="0">
      <alignment horizontal="right" vertical="center"/>
    </xf>
    <xf numFmtId="264" fontId="12" fillId="14" borderId="6449" applyFont="0" applyFill="0" applyBorder="0" applyAlignment="0" applyProtection="0">
      <alignment horizontal="right"/>
    </xf>
    <xf numFmtId="0" fontId="165" fillId="0" borderId="6449" applyFill="0" applyProtection="0">
      <alignment horizontal="center"/>
    </xf>
    <xf numFmtId="180" fontId="9" fillId="3" borderId="6449">
      <alignment horizontal="right" vertical="center"/>
    </xf>
    <xf numFmtId="0" fontId="12" fillId="0" borderId="6449" applyNumberFormat="0" applyFill="0" applyBorder="0" applyAlignment="0" applyProtection="0">
      <alignment horizontal="center"/>
    </xf>
    <xf numFmtId="0" fontId="101" fillId="0" borderId="6449" applyBorder="0"/>
    <xf numFmtId="222" fontId="79" fillId="0" borderId="6448" applyBorder="0"/>
    <xf numFmtId="0" fontId="75" fillId="0" borderId="6438" applyNumberFormat="0" applyFont="0" applyFill="0" applyAlignment="0" applyProtection="0"/>
    <xf numFmtId="0" fontId="2" fillId="0" borderId="6442" applyNumberFormat="0" applyAlignment="0" applyProtection="0"/>
    <xf numFmtId="0" fontId="25" fillId="10" borderId="6444" applyNumberFormat="0" applyProtection="0">
      <alignment horizontal="left" vertical="top"/>
    </xf>
    <xf numFmtId="0" fontId="25" fillId="10" borderId="6447" applyNumberFormat="0" applyProtection="0">
      <alignment horizontal="left" vertical="top"/>
    </xf>
    <xf numFmtId="222" fontId="79" fillId="0" borderId="6436" applyBorder="0"/>
    <xf numFmtId="0" fontId="25" fillId="10" borderId="6422" applyNumberFormat="0" applyProtection="0">
      <alignment horizontal="left" vertical="top"/>
    </xf>
    <xf numFmtId="0" fontId="25" fillId="10" borderId="6420" applyNumberFormat="0" applyProtection="0">
      <alignment horizontal="left" vertical="top"/>
    </xf>
    <xf numFmtId="0" fontId="214" fillId="0" borderId="6419" applyNumberFormat="0" applyFont="0" applyFill="0" applyAlignment="0" applyProtection="0"/>
    <xf numFmtId="186" fontId="146" fillId="3" borderId="6416">
      <alignment horizontal="left"/>
    </xf>
    <xf numFmtId="222" fontId="79" fillId="0" borderId="6424" applyBorder="0"/>
    <xf numFmtId="0" fontId="101" fillId="0" borderId="6329" applyBorder="0"/>
    <xf numFmtId="0" fontId="113" fillId="0" borderId="6329" applyNumberFormat="0" applyFill="0" applyAlignment="0" applyProtection="0"/>
    <xf numFmtId="0" fontId="12" fillId="0" borderId="6329" applyNumberFormat="0" applyFill="0" applyBorder="0" applyAlignment="0" applyProtection="0">
      <alignment horizontal="center"/>
    </xf>
    <xf numFmtId="248" fontId="46" fillId="0" borderId="6329"/>
    <xf numFmtId="192" fontId="9" fillId="3" borderId="6329">
      <alignment horizontal="right" vertical="center"/>
    </xf>
    <xf numFmtId="180" fontId="9" fillId="3" borderId="6329">
      <alignment horizontal="right" vertical="center"/>
    </xf>
    <xf numFmtId="186" fontId="146" fillId="3" borderId="6329" applyBorder="0">
      <alignment horizontal="left" vertical="center"/>
    </xf>
    <xf numFmtId="0" fontId="165" fillId="0" borderId="6329" applyFill="0" applyProtection="0">
      <alignment horizontal="center"/>
    </xf>
    <xf numFmtId="0" fontId="166" fillId="0" borderId="6329">
      <alignment horizontal="center"/>
    </xf>
    <xf numFmtId="264" fontId="12" fillId="14" borderId="6329" applyFont="0" applyFill="0" applyBorder="0" applyAlignment="0" applyProtection="0">
      <alignment horizontal="right"/>
    </xf>
    <xf numFmtId="0" fontId="210" fillId="0" borderId="6329" applyNumberFormat="0" applyFill="0" applyBorder="0" applyAlignment="0">
      <protection locked="0"/>
    </xf>
    <xf numFmtId="248" fontId="46" fillId="0" borderId="6449"/>
    <xf numFmtId="222" fontId="79" fillId="0" borderId="6448" applyBorder="0"/>
    <xf numFmtId="186" fontId="140" fillId="3" borderId="6441">
      <alignment horizontal="center" vertical="center"/>
    </xf>
    <xf numFmtId="0" fontId="25" fillId="10" borderId="6446" applyNumberFormat="0" applyProtection="0">
      <alignment horizontal="left" vertical="top"/>
    </xf>
    <xf numFmtId="0" fontId="210" fillId="0" borderId="6449" applyNumberFormat="0" applyFill="0" applyBorder="0" applyAlignment="0">
      <protection locked="0"/>
    </xf>
    <xf numFmtId="192" fontId="9" fillId="3" borderId="6449">
      <alignment horizontal="right" vertical="center"/>
    </xf>
    <xf numFmtId="0" fontId="113" fillId="0" borderId="6449" applyNumberFormat="0" applyFill="0" applyAlignment="0" applyProtection="0"/>
    <xf numFmtId="186" fontId="146" fillId="3" borderId="6440">
      <alignment horizontal="left"/>
    </xf>
    <xf numFmtId="0" fontId="25" fillId="10" borderId="6445" applyNumberFormat="0" applyProtection="0">
      <alignment horizontal="left" vertical="top"/>
    </xf>
    <xf numFmtId="254" fontId="240" fillId="0" borderId="6329" applyBorder="0" applyProtection="0">
      <alignment horizontal="right" vertical="center"/>
    </xf>
    <xf numFmtId="0" fontId="241" fillId="94" borderId="6329" applyBorder="0" applyProtection="0">
      <alignment horizontal="centerContinuous" vertical="center"/>
    </xf>
    <xf numFmtId="246" fontId="249" fillId="0" borderId="6329" applyFill="0" applyProtection="0">
      <alignment horizontal="center"/>
    </xf>
    <xf numFmtId="246" fontId="250" fillId="0" borderId="6329" applyFill="0" applyProtection="0">
      <alignment horizontal="center"/>
    </xf>
    <xf numFmtId="0" fontId="25" fillId="10" borderId="6469" applyNumberFormat="0" applyProtection="0">
      <alignment horizontal="left" vertical="top"/>
    </xf>
    <xf numFmtId="0" fontId="25" fillId="10" borderId="6471" applyNumberFormat="0" applyProtection="0">
      <alignment horizontal="left" vertical="top"/>
    </xf>
    <xf numFmtId="222" fontId="79" fillId="0" borderId="6400" applyBorder="0"/>
    <xf numFmtId="0" fontId="214" fillId="0" borderId="6467" applyNumberFormat="0" applyFont="0" applyFill="0" applyAlignment="0" applyProtection="0"/>
    <xf numFmtId="0" fontId="75" fillId="0" borderId="6402" applyNumberFormat="0" applyFont="0" applyFill="0" applyAlignment="0" applyProtection="0"/>
    <xf numFmtId="0" fontId="25" fillId="10" borderId="6410" applyNumberFormat="0" applyProtection="0">
      <alignment horizontal="left" vertical="top"/>
    </xf>
    <xf numFmtId="0" fontId="25" fillId="10" borderId="6411" applyNumberFormat="0" applyProtection="0">
      <alignment horizontal="left" vertical="top"/>
    </xf>
    <xf numFmtId="0" fontId="165" fillId="0" borderId="6425" applyFill="0" applyProtection="0">
      <alignment horizontal="center"/>
    </xf>
    <xf numFmtId="254" fontId="240" fillId="0" borderId="6425" applyBorder="0" applyProtection="0">
      <alignment horizontal="right" vertical="center"/>
    </xf>
    <xf numFmtId="0" fontId="241" fillId="94" borderId="6425" applyBorder="0" applyProtection="0">
      <alignment horizontal="centerContinuous" vertical="center"/>
    </xf>
    <xf numFmtId="0" fontId="241" fillId="94" borderId="6449" applyBorder="0" applyProtection="0">
      <alignment horizontal="centerContinuous" vertical="center"/>
    </xf>
    <xf numFmtId="0" fontId="166" fillId="0" borderId="6449">
      <alignment horizontal="center"/>
    </xf>
    <xf numFmtId="186" fontId="146" fillId="3" borderId="6449" applyBorder="0">
      <alignment horizontal="left" vertical="center"/>
    </xf>
    <xf numFmtId="0" fontId="214" fillId="0" borderId="6443" applyNumberFormat="0" applyFont="0" applyFill="0" applyAlignment="0" applyProtection="0"/>
    <xf numFmtId="0" fontId="78" fillId="14" borderId="6439" applyFont="0" applyFill="0" applyBorder="0" applyAlignment="0" applyProtection="0"/>
    <xf numFmtId="0" fontId="78" fillId="14" borderId="6367" applyFont="0" applyFill="0" applyBorder="0" applyAlignment="0" applyProtection="0"/>
    <xf numFmtId="0" fontId="25" fillId="10" borderId="6315" applyNumberFormat="0" applyProtection="0">
      <alignment horizontal="left" vertical="top"/>
    </xf>
    <xf numFmtId="0" fontId="25" fillId="10" borderId="6314" applyNumberFormat="0" applyProtection="0">
      <alignment horizontal="left" vertical="top"/>
    </xf>
    <xf numFmtId="0" fontId="25" fillId="10" borderId="6313" applyNumberFormat="0" applyProtection="0">
      <alignment horizontal="left" vertical="top"/>
    </xf>
    <xf numFmtId="0" fontId="25" fillId="10" borderId="6312" applyNumberFormat="0" applyProtection="0">
      <alignment horizontal="left" vertical="top"/>
    </xf>
    <xf numFmtId="186" fontId="140" fillId="3" borderId="6465">
      <alignment horizontal="center" vertical="center"/>
    </xf>
    <xf numFmtId="0" fontId="214" fillId="0" borderId="6311" applyNumberFormat="0" applyFont="0" applyFill="0" applyAlignment="0" applyProtection="0"/>
    <xf numFmtId="186" fontId="140" fillId="3" borderId="6285">
      <alignment horizontal="center" vertical="center"/>
    </xf>
    <xf numFmtId="186" fontId="146" fillId="3" borderId="6212">
      <alignment horizontal="left"/>
    </xf>
    <xf numFmtId="186" fontId="146" fillId="3" borderId="6464">
      <alignment horizontal="left"/>
    </xf>
    <xf numFmtId="0" fontId="75" fillId="0" borderId="6210" applyNumberFormat="0" applyFont="0" applyFill="0" applyAlignment="0" applyProtection="0"/>
    <xf numFmtId="0" fontId="75" fillId="0" borderId="6462" applyNumberFormat="0" applyFont="0" applyFill="0" applyAlignment="0" applyProtection="0"/>
    <xf numFmtId="222" fontId="79" fillId="0" borderId="6376" applyBorder="0"/>
    <xf numFmtId="222" fontId="79" fillId="0" borderId="6376" applyBorder="0"/>
    <xf numFmtId="0" fontId="25" fillId="10" borderId="6468" applyNumberFormat="0" applyProtection="0">
      <alignment horizontal="left" vertical="top"/>
    </xf>
    <xf numFmtId="0" fontId="2" fillId="0" borderId="6466" applyNumberFormat="0" applyAlignment="0" applyProtection="0"/>
    <xf numFmtId="246" fontId="250" fillId="0" borderId="6401" applyFill="0" applyProtection="0">
      <alignment horizontal="center"/>
    </xf>
    <xf numFmtId="246" fontId="249" fillId="0" borderId="6401" applyFill="0" applyProtection="0">
      <alignment horizontal="center"/>
    </xf>
    <xf numFmtId="0" fontId="241" fillId="94" borderId="6401" applyBorder="0" applyProtection="0">
      <alignment horizontal="centerContinuous" vertical="center"/>
    </xf>
    <xf numFmtId="254" fontId="240" fillId="0" borderId="6401" applyBorder="0" applyProtection="0">
      <alignment horizontal="right" vertical="center"/>
    </xf>
    <xf numFmtId="0" fontId="210" fillId="0" borderId="6401" applyNumberFormat="0" applyFill="0" applyBorder="0" applyAlignment="0">
      <protection locked="0"/>
    </xf>
    <xf numFmtId="264" fontId="12" fillId="14" borderId="6401" applyFont="0" applyFill="0" applyBorder="0" applyAlignment="0" applyProtection="0">
      <alignment horizontal="right"/>
    </xf>
    <xf numFmtId="0" fontId="166" fillId="0" borderId="6401">
      <alignment horizontal="center"/>
    </xf>
    <xf numFmtId="0" fontId="165" fillId="0" borderId="6401" applyFill="0" applyProtection="0">
      <alignment horizontal="center"/>
    </xf>
    <xf numFmtId="186" fontId="146" fillId="3" borderId="6401" applyBorder="0">
      <alignment horizontal="left" vertical="center"/>
    </xf>
    <xf numFmtId="180" fontId="9" fillId="3" borderId="6401">
      <alignment horizontal="right" vertical="center"/>
    </xf>
    <xf numFmtId="192" fontId="9" fillId="3" borderId="6401">
      <alignment horizontal="right" vertical="center"/>
    </xf>
    <xf numFmtId="248" fontId="46" fillId="0" borderId="6401"/>
    <xf numFmtId="0" fontId="12" fillId="0" borderId="6401" applyNumberFormat="0" applyFill="0" applyBorder="0" applyAlignment="0" applyProtection="0">
      <alignment horizontal="center"/>
    </xf>
    <xf numFmtId="0" fontId="113" fillId="0" borderId="6401" applyNumberFormat="0" applyFill="0" applyAlignment="0" applyProtection="0"/>
    <xf numFmtId="222" fontId="79" fillId="0" borderId="6400" applyBorder="0"/>
    <xf numFmtId="0" fontId="101" fillId="0" borderId="6401" applyBorder="0"/>
    <xf numFmtId="222" fontId="79" fillId="0" borderId="6400" applyBorder="0"/>
    <xf numFmtId="0" fontId="75" fillId="0" borderId="6390" applyNumberFormat="0" applyFont="0" applyFill="0" applyAlignment="0" applyProtection="0"/>
    <xf numFmtId="186" fontId="146" fillId="3" borderId="6392">
      <alignment horizontal="left"/>
    </xf>
    <xf numFmtId="186" fontId="140" fillId="3" borderId="6393">
      <alignment horizontal="center" vertical="center"/>
    </xf>
    <xf numFmtId="0" fontId="2" fillId="0" borderId="6394" applyNumberFormat="0" applyAlignment="0" applyProtection="0"/>
    <xf numFmtId="0" fontId="214" fillId="0" borderId="6395" applyNumberFormat="0" applyFont="0" applyFill="0" applyAlignment="0" applyProtection="0"/>
    <xf numFmtId="0" fontId="25" fillId="10" borderId="6396" applyNumberFormat="0" applyProtection="0">
      <alignment horizontal="left" vertical="top"/>
    </xf>
    <xf numFmtId="0" fontId="25" fillId="10" borderId="6397" applyNumberFormat="0" applyProtection="0">
      <alignment horizontal="left" vertical="top"/>
    </xf>
    <xf numFmtId="0" fontId="25" fillId="10" borderId="6398" applyNumberFormat="0" applyProtection="0">
      <alignment horizontal="left" vertical="top"/>
    </xf>
    <xf numFmtId="0" fontId="25" fillId="10" borderId="6399" applyNumberFormat="0" applyProtection="0">
      <alignment horizontal="left" vertical="top"/>
    </xf>
    <xf numFmtId="0" fontId="78" fillId="14" borderId="6391" applyFont="0" applyFill="0" applyBorder="0" applyAlignment="0" applyProtection="0"/>
    <xf numFmtId="222" fontId="79" fillId="0" borderId="6388" applyBorder="0"/>
    <xf numFmtId="0" fontId="78" fillId="14" borderId="6367" applyFont="0" applyFill="0" applyBorder="0" applyAlignment="0" applyProtection="0"/>
    <xf numFmtId="222" fontId="79" fillId="0" borderId="6376" applyBorder="0"/>
    <xf numFmtId="0" fontId="78" fillId="14" borderId="6379" applyFont="0" applyFill="0" applyBorder="0" applyAlignment="0" applyProtection="0"/>
    <xf numFmtId="0" fontId="25" fillId="10" borderId="6387" applyNumberFormat="0" applyProtection="0">
      <alignment horizontal="left" vertical="top"/>
    </xf>
    <xf numFmtId="0" fontId="25" fillId="10" borderId="6386" applyNumberFormat="0" applyProtection="0">
      <alignment horizontal="left" vertical="top"/>
    </xf>
    <xf numFmtId="0" fontId="25" fillId="10" borderId="6385" applyNumberFormat="0" applyProtection="0">
      <alignment horizontal="left" vertical="top"/>
    </xf>
    <xf numFmtId="0" fontId="25" fillId="10" borderId="6384" applyNumberFormat="0" applyProtection="0">
      <alignment horizontal="left" vertical="top"/>
    </xf>
    <xf numFmtId="0" fontId="214" fillId="0" borderId="6383" applyNumberFormat="0" applyFont="0" applyFill="0" applyAlignment="0" applyProtection="0"/>
    <xf numFmtId="186" fontId="140" fillId="3" borderId="6381">
      <alignment horizontal="center" vertical="center"/>
    </xf>
    <xf numFmtId="186" fontId="146" fillId="3" borderId="6380">
      <alignment horizontal="left"/>
    </xf>
    <xf numFmtId="0" fontId="75" fillId="0" borderId="6378" applyNumberFormat="0" applyFont="0" applyFill="0" applyAlignment="0" applyProtection="0"/>
    <xf numFmtId="222" fontId="79" fillId="0" borderId="6388" applyBorder="0"/>
    <xf numFmtId="0" fontId="101" fillId="0" borderId="6389" applyBorder="0"/>
    <xf numFmtId="222" fontId="79" fillId="0" borderId="6388" applyBorder="0"/>
    <xf numFmtId="0" fontId="113" fillId="0" borderId="6389" applyNumberFormat="0" applyFill="0" applyAlignment="0" applyProtection="0"/>
    <xf numFmtId="0" fontId="12" fillId="0" borderId="6389" applyNumberFormat="0" applyFill="0" applyBorder="0" applyAlignment="0" applyProtection="0">
      <alignment horizontal="center"/>
    </xf>
    <xf numFmtId="248" fontId="46" fillId="0" borderId="6389"/>
    <xf numFmtId="192" fontId="9" fillId="3" borderId="6389">
      <alignment horizontal="right" vertical="center"/>
    </xf>
    <xf numFmtId="180" fontId="9" fillId="3" borderId="6389">
      <alignment horizontal="right" vertical="center"/>
    </xf>
    <xf numFmtId="186" fontId="146" fillId="3" borderId="6389" applyBorder="0">
      <alignment horizontal="left" vertical="center"/>
    </xf>
    <xf numFmtId="0" fontId="165" fillId="0" borderId="6389" applyFill="0" applyProtection="0">
      <alignment horizontal="center"/>
    </xf>
    <xf numFmtId="0" fontId="166" fillId="0" borderId="6389">
      <alignment horizontal="center"/>
    </xf>
    <xf numFmtId="264" fontId="12" fillId="14" borderId="6389" applyFont="0" applyFill="0" applyBorder="0" applyAlignment="0" applyProtection="0">
      <alignment horizontal="right"/>
    </xf>
    <xf numFmtId="0" fontId="210" fillId="0" borderId="6389" applyNumberFormat="0" applyFill="0" applyBorder="0" applyAlignment="0">
      <protection locked="0"/>
    </xf>
    <xf numFmtId="254" fontId="240" fillId="0" borderId="6389" applyBorder="0" applyProtection="0">
      <alignment horizontal="right" vertical="center"/>
    </xf>
    <xf numFmtId="0" fontId="241" fillId="94" borderId="6389" applyBorder="0" applyProtection="0">
      <alignment horizontal="centerContinuous" vertical="center"/>
    </xf>
    <xf numFmtId="246" fontId="249" fillId="0" borderId="6389" applyFill="0" applyProtection="0">
      <alignment horizontal="center"/>
    </xf>
    <xf numFmtId="246" fontId="250" fillId="0" borderId="6389" applyFill="0" applyProtection="0">
      <alignment horizontal="center"/>
    </xf>
    <xf numFmtId="0" fontId="241" fillId="94" borderId="6473" applyBorder="0" applyProtection="0">
      <alignment horizontal="centerContinuous" vertical="center"/>
    </xf>
    <xf numFmtId="0" fontId="166" fillId="0" borderId="6473">
      <alignment horizontal="center"/>
    </xf>
    <xf numFmtId="0" fontId="2" fillId="0" borderId="6406" applyNumberFormat="0" applyAlignment="0" applyProtection="0"/>
    <xf numFmtId="0" fontId="214" fillId="0" borderId="6407" applyNumberFormat="0" applyFont="0" applyFill="0" applyAlignment="0" applyProtection="0"/>
    <xf numFmtId="246" fontId="250" fillId="0" borderId="6413" applyFill="0" applyProtection="0">
      <alignment horizontal="center"/>
    </xf>
    <xf numFmtId="246" fontId="249" fillId="0" borderId="6413" applyFill="0" applyProtection="0">
      <alignment horizontal="center"/>
    </xf>
    <xf numFmtId="0" fontId="241" fillId="94" borderId="6413" applyBorder="0" applyProtection="0">
      <alignment horizontal="centerContinuous" vertical="center"/>
    </xf>
    <xf numFmtId="254" fontId="240" fillId="0" borderId="6413" applyBorder="0" applyProtection="0">
      <alignment horizontal="right" vertical="center"/>
    </xf>
    <xf numFmtId="0" fontId="210" fillId="0" borderId="6413" applyNumberFormat="0" applyFill="0" applyBorder="0" applyAlignment="0">
      <protection locked="0"/>
    </xf>
    <xf numFmtId="264" fontId="12" fillId="14" borderId="6413" applyFont="0" applyFill="0" applyBorder="0" applyAlignment="0" applyProtection="0">
      <alignment horizontal="right"/>
    </xf>
    <xf numFmtId="0" fontId="166" fillId="0" borderId="6413">
      <alignment horizontal="center"/>
    </xf>
    <xf numFmtId="0" fontId="165" fillId="0" borderId="6413" applyFill="0" applyProtection="0">
      <alignment horizontal="center"/>
    </xf>
    <xf numFmtId="186" fontId="146" fillId="3" borderId="6413" applyBorder="0">
      <alignment horizontal="left" vertical="center"/>
    </xf>
    <xf numFmtId="180" fontId="9" fillId="3" borderId="6413">
      <alignment horizontal="right" vertical="center"/>
    </xf>
    <xf numFmtId="192" fontId="9" fillId="3" borderId="6413">
      <alignment horizontal="right" vertical="center"/>
    </xf>
    <xf numFmtId="248" fontId="46" fillId="0" borderId="6413"/>
    <xf numFmtId="0" fontId="12" fillId="0" borderId="6413" applyNumberFormat="0" applyFill="0" applyBorder="0" applyAlignment="0" applyProtection="0">
      <alignment horizontal="center"/>
    </xf>
    <xf numFmtId="0" fontId="113" fillId="0" borderId="6413" applyNumberFormat="0" applyFill="0" applyAlignment="0" applyProtection="0"/>
    <xf numFmtId="222" fontId="79" fillId="0" borderId="6412" applyBorder="0"/>
    <xf numFmtId="0" fontId="101" fillId="0" borderId="6413" applyBorder="0"/>
    <xf numFmtId="222" fontId="79" fillId="0" borderId="6412" applyBorder="0"/>
    <xf numFmtId="0" fontId="75" fillId="0" borderId="6402" applyNumberFormat="0" applyFont="0" applyFill="0" applyAlignment="0" applyProtection="0"/>
    <xf numFmtId="186" fontId="146" fillId="3" borderId="6404">
      <alignment horizontal="left"/>
    </xf>
    <xf numFmtId="186" fontId="140" fillId="3" borderId="6405">
      <alignment horizontal="center" vertical="center"/>
    </xf>
    <xf numFmtId="0" fontId="2" fillId="0" borderId="6406" applyNumberFormat="0" applyAlignment="0" applyProtection="0"/>
    <xf numFmtId="0" fontId="214" fillId="0" borderId="6407" applyNumberFormat="0" applyFont="0" applyFill="0" applyAlignment="0" applyProtection="0"/>
    <xf numFmtId="0" fontId="25" fillId="10" borderId="6408" applyNumberFormat="0" applyProtection="0">
      <alignment horizontal="left" vertical="top"/>
    </xf>
    <xf numFmtId="0" fontId="25" fillId="10" borderId="6409" applyNumberFormat="0" applyProtection="0">
      <alignment horizontal="left" vertical="top"/>
    </xf>
    <xf numFmtId="0" fontId="25" fillId="10" borderId="6410" applyNumberFormat="0" applyProtection="0">
      <alignment horizontal="left" vertical="top"/>
    </xf>
    <xf numFmtId="0" fontId="25" fillId="10" borderId="6411" applyNumberFormat="0" applyProtection="0">
      <alignment horizontal="left" vertical="top"/>
    </xf>
    <xf numFmtId="0" fontId="78" fillId="14" borderId="6403" applyFont="0" applyFill="0" applyBorder="0" applyAlignment="0" applyProtection="0"/>
    <xf numFmtId="222" fontId="79" fillId="0" borderId="6400" applyBorder="0"/>
    <xf numFmtId="0" fontId="78" fillId="14" borderId="6415" applyFont="0" applyFill="0" applyBorder="0" applyAlignment="0" applyProtection="0"/>
    <xf numFmtId="186" fontId="146" fillId="3" borderId="6404">
      <alignment horizontal="left"/>
    </xf>
    <xf numFmtId="0" fontId="78" fillId="14" borderId="6391" applyFont="0" applyFill="0" applyBorder="0" applyAlignment="0" applyProtection="0"/>
    <xf numFmtId="222" fontId="79" fillId="0" borderId="6400" applyBorder="0"/>
    <xf numFmtId="0" fontId="2" fillId="0" borderId="6418" applyNumberFormat="0" applyAlignment="0" applyProtection="0"/>
    <xf numFmtId="0" fontId="78" fillId="14" borderId="6391" applyFont="0" applyFill="0" applyBorder="0" applyAlignment="0" applyProtection="0"/>
    <xf numFmtId="0" fontId="25" fillId="10" borderId="6399" applyNumberFormat="0" applyProtection="0">
      <alignment horizontal="left" vertical="top"/>
    </xf>
    <xf numFmtId="0" fontId="25" fillId="10" borderId="6398" applyNumberFormat="0" applyProtection="0">
      <alignment horizontal="left" vertical="top"/>
    </xf>
    <xf numFmtId="0" fontId="25" fillId="10" borderId="6397" applyNumberFormat="0" applyProtection="0">
      <alignment horizontal="left" vertical="top"/>
    </xf>
    <xf numFmtId="0" fontId="25" fillId="10" borderId="6396" applyNumberFormat="0" applyProtection="0">
      <alignment horizontal="left" vertical="top"/>
    </xf>
    <xf numFmtId="0" fontId="25" fillId="10" borderId="6421" applyNumberFormat="0" applyProtection="0">
      <alignment horizontal="left" vertical="top"/>
    </xf>
    <xf numFmtId="0" fontId="214" fillId="0" borderId="6395" applyNumberFormat="0" applyFont="0" applyFill="0" applyAlignment="0" applyProtection="0"/>
    <xf numFmtId="0" fontId="2" fillId="0" borderId="6394" applyNumberFormat="0" applyAlignment="0" applyProtection="0"/>
    <xf numFmtId="186" fontId="140" fillId="3" borderId="6393">
      <alignment horizontal="center" vertical="center"/>
    </xf>
    <xf numFmtId="186" fontId="146" fillId="3" borderId="6392">
      <alignment horizontal="left"/>
    </xf>
    <xf numFmtId="0" fontId="25" fillId="10" borderId="6423" applyNumberFormat="0" applyProtection="0">
      <alignment horizontal="left" vertical="top"/>
    </xf>
    <xf numFmtId="0" fontId="75" fillId="0" borderId="6390" applyNumberFormat="0" applyFont="0" applyFill="0" applyAlignment="0" applyProtection="0"/>
    <xf numFmtId="222" fontId="79" fillId="0" borderId="6400" applyBorder="0"/>
    <xf numFmtId="0" fontId="101" fillId="0" borderId="6401" applyBorder="0"/>
    <xf numFmtId="222" fontId="79" fillId="0" borderId="6400" applyBorder="0"/>
    <xf numFmtId="0" fontId="113" fillId="0" borderId="6401" applyNumberFormat="0" applyFill="0" applyAlignment="0" applyProtection="0"/>
    <xf numFmtId="0" fontId="12" fillId="0" borderId="6401" applyNumberFormat="0" applyFill="0" applyBorder="0" applyAlignment="0" applyProtection="0">
      <alignment horizontal="center"/>
    </xf>
    <xf numFmtId="248" fontId="46" fillId="0" borderId="6401"/>
    <xf numFmtId="192" fontId="9" fillId="3" borderId="6401">
      <alignment horizontal="right" vertical="center"/>
    </xf>
    <xf numFmtId="180" fontId="9" fillId="3" borderId="6401">
      <alignment horizontal="right" vertical="center"/>
    </xf>
    <xf numFmtId="186" fontId="146" fillId="3" borderId="6401" applyBorder="0">
      <alignment horizontal="left" vertical="center"/>
    </xf>
    <xf numFmtId="0" fontId="165" fillId="0" borderId="6401" applyFill="0" applyProtection="0">
      <alignment horizontal="center"/>
    </xf>
    <xf numFmtId="0" fontId="166" fillId="0" borderId="6401">
      <alignment horizontal="center"/>
    </xf>
    <xf numFmtId="264" fontId="12" fillId="14" borderId="6401" applyFont="0" applyFill="0" applyBorder="0" applyAlignment="0" applyProtection="0">
      <alignment horizontal="right"/>
    </xf>
    <xf numFmtId="0" fontId="210" fillId="0" borderId="6401" applyNumberFormat="0" applyFill="0" applyBorder="0" applyAlignment="0">
      <protection locked="0"/>
    </xf>
    <xf numFmtId="254" fontId="240" fillId="0" borderId="6401" applyBorder="0" applyProtection="0">
      <alignment horizontal="right" vertical="center"/>
    </xf>
    <xf numFmtId="0" fontId="241" fillId="94" borderId="6401" applyBorder="0" applyProtection="0">
      <alignment horizontal="centerContinuous" vertical="center"/>
    </xf>
    <xf numFmtId="246" fontId="249" fillId="0" borderId="6401" applyFill="0" applyProtection="0">
      <alignment horizontal="center"/>
    </xf>
    <xf numFmtId="246" fontId="250" fillId="0" borderId="6401" applyFill="0" applyProtection="0">
      <alignment horizontal="center"/>
    </xf>
    <xf numFmtId="186" fontId="140" fillId="3" borderId="6417">
      <alignment horizontal="center" vertical="center"/>
    </xf>
    <xf numFmtId="0" fontId="78" fillId="14" borderId="6403" applyFont="0" applyFill="0" applyBorder="0" applyAlignment="0" applyProtection="0"/>
    <xf numFmtId="222" fontId="79" fillId="0" borderId="6424" applyBorder="0"/>
    <xf numFmtId="0" fontId="78" fillId="14" borderId="6427" applyFont="0" applyFill="0" applyBorder="0" applyAlignment="0" applyProtection="0"/>
    <xf numFmtId="0" fontId="25" fillId="10" borderId="6435" applyNumberFormat="0" applyProtection="0">
      <alignment horizontal="left" vertical="top"/>
    </xf>
    <xf numFmtId="0" fontId="25" fillId="10" borderId="6434" applyNumberFormat="0" applyProtection="0">
      <alignment horizontal="left" vertical="top"/>
    </xf>
    <xf numFmtId="0" fontId="25" fillId="10" borderId="6433" applyNumberFormat="0" applyProtection="0">
      <alignment horizontal="left" vertical="top"/>
    </xf>
    <xf numFmtId="0" fontId="25" fillId="10" borderId="6432" applyNumberFormat="0" applyProtection="0">
      <alignment horizontal="left" vertical="top"/>
    </xf>
    <xf numFmtId="0" fontId="214" fillId="0" borderId="6431" applyNumberFormat="0" applyFont="0" applyFill="0" applyAlignment="0" applyProtection="0"/>
    <xf numFmtId="0" fontId="2" fillId="0" borderId="6430" applyNumberFormat="0" applyAlignment="0" applyProtection="0"/>
    <xf numFmtId="186" fontId="140" fillId="3" borderId="6429">
      <alignment horizontal="center" vertical="center"/>
    </xf>
    <xf numFmtId="186" fontId="146" fillId="3" borderId="6428">
      <alignment horizontal="left"/>
    </xf>
    <xf numFmtId="0" fontId="75" fillId="0" borderId="6426" applyNumberFormat="0" applyFont="0" applyFill="0" applyAlignment="0" applyProtection="0"/>
    <xf numFmtId="222" fontId="79" fillId="0" borderId="6436" applyBorder="0"/>
    <xf numFmtId="0" fontId="101" fillId="0" borderId="6437" applyBorder="0"/>
    <xf numFmtId="222" fontId="79" fillId="0" borderId="6436" applyBorder="0"/>
    <xf numFmtId="0" fontId="113" fillId="0" borderId="6437" applyNumberFormat="0" applyFill="0" applyAlignment="0" applyProtection="0"/>
    <xf numFmtId="0" fontId="12" fillId="0" borderId="6437" applyNumberFormat="0" applyFill="0" applyBorder="0" applyAlignment="0" applyProtection="0">
      <alignment horizontal="center"/>
    </xf>
    <xf numFmtId="248" fontId="46" fillId="0" borderId="6437"/>
    <xf numFmtId="192" fontId="9" fillId="3" borderId="6437">
      <alignment horizontal="right" vertical="center"/>
    </xf>
    <xf numFmtId="180" fontId="9" fillId="3" borderId="6437">
      <alignment horizontal="right" vertical="center"/>
    </xf>
    <xf numFmtId="186" fontId="146" fillId="3" borderId="6437" applyBorder="0">
      <alignment horizontal="left" vertical="center"/>
    </xf>
    <xf numFmtId="0" fontId="165" fillId="0" borderId="6437" applyFill="0" applyProtection="0">
      <alignment horizontal="center"/>
    </xf>
    <xf numFmtId="0" fontId="166" fillId="0" borderId="6437">
      <alignment horizontal="center"/>
    </xf>
    <xf numFmtId="264" fontId="12" fillId="14" borderId="6437" applyFont="0" applyFill="0" applyBorder="0" applyAlignment="0" applyProtection="0">
      <alignment horizontal="right"/>
    </xf>
    <xf numFmtId="0" fontId="210" fillId="0" borderId="6437" applyNumberFormat="0" applyFill="0" applyBorder="0" applyAlignment="0">
      <protection locked="0"/>
    </xf>
    <xf numFmtId="254" fontId="240" fillId="0" borderId="6437" applyBorder="0" applyProtection="0">
      <alignment horizontal="right" vertical="center"/>
    </xf>
    <xf numFmtId="0" fontId="241" fillId="94" borderId="6437" applyBorder="0" applyProtection="0">
      <alignment horizontal="centerContinuous" vertical="center"/>
    </xf>
    <xf numFmtId="246" fontId="249" fillId="0" borderId="6437" applyFill="0" applyProtection="0">
      <alignment horizontal="center"/>
    </xf>
    <xf numFmtId="246" fontId="250" fillId="0" borderId="6437" applyFill="0" applyProtection="0">
      <alignment horizontal="center"/>
    </xf>
    <xf numFmtId="222" fontId="79" fillId="0" borderId="6448" applyBorder="0"/>
    <xf numFmtId="0" fontId="78" fillId="14" borderId="6451" applyFont="0" applyFill="0" applyBorder="0" applyAlignment="0" applyProtection="0"/>
    <xf numFmtId="0" fontId="25" fillId="10" borderId="6459" applyNumberFormat="0" applyProtection="0">
      <alignment horizontal="left" vertical="top"/>
    </xf>
    <xf numFmtId="0" fontId="25" fillId="10" borderId="6458" applyNumberFormat="0" applyProtection="0">
      <alignment horizontal="left" vertical="top"/>
    </xf>
    <xf numFmtId="0" fontId="25" fillId="10" borderId="6457" applyNumberFormat="0" applyProtection="0">
      <alignment horizontal="left" vertical="top"/>
    </xf>
    <xf numFmtId="0" fontId="25" fillId="10" borderId="6456" applyNumberFormat="0" applyProtection="0">
      <alignment horizontal="left" vertical="top"/>
    </xf>
    <xf numFmtId="0" fontId="214" fillId="0" borderId="6455" applyNumberFormat="0" applyFont="0" applyFill="0" applyAlignment="0" applyProtection="0"/>
    <xf numFmtId="0" fontId="2" fillId="0" borderId="6454" applyNumberFormat="0" applyAlignment="0" applyProtection="0"/>
    <xf numFmtId="186" fontId="140" fillId="3" borderId="6453">
      <alignment horizontal="center" vertical="center"/>
    </xf>
    <xf numFmtId="186" fontId="146" fillId="3" borderId="6452">
      <alignment horizontal="left"/>
    </xf>
    <xf numFmtId="0" fontId="75" fillId="0" borderId="6450" applyNumberFormat="0" applyFont="0" applyFill="0" applyAlignment="0" applyProtection="0"/>
    <xf numFmtId="222" fontId="79" fillId="0" borderId="6460" applyBorder="0"/>
    <xf numFmtId="0" fontId="101" fillId="0" borderId="6461" applyBorder="0"/>
    <xf numFmtId="222" fontId="79" fillId="0" borderId="6460" applyBorder="0"/>
    <xf numFmtId="0" fontId="113" fillId="0" borderId="6461" applyNumberFormat="0" applyFill="0" applyAlignment="0" applyProtection="0"/>
    <xf numFmtId="0" fontId="12" fillId="0" borderId="6461" applyNumberFormat="0" applyFill="0" applyBorder="0" applyAlignment="0" applyProtection="0">
      <alignment horizontal="center"/>
    </xf>
    <xf numFmtId="248" fontId="46" fillId="0" borderId="6461"/>
    <xf numFmtId="192" fontId="9" fillId="3" borderId="6461">
      <alignment horizontal="right" vertical="center"/>
    </xf>
    <xf numFmtId="180" fontId="9" fillId="3" borderId="6461">
      <alignment horizontal="right" vertical="center"/>
    </xf>
    <xf numFmtId="186" fontId="146" fillId="3" borderId="6461" applyBorder="0">
      <alignment horizontal="left" vertical="center"/>
    </xf>
    <xf numFmtId="0" fontId="165" fillId="0" borderId="6461" applyFill="0" applyProtection="0">
      <alignment horizontal="center"/>
    </xf>
    <xf numFmtId="0" fontId="166" fillId="0" borderId="6461">
      <alignment horizontal="center"/>
    </xf>
    <xf numFmtId="264" fontId="12" fillId="14" borderId="6461" applyFont="0" applyFill="0" applyBorder="0" applyAlignment="0" applyProtection="0">
      <alignment horizontal="right"/>
    </xf>
    <xf numFmtId="0" fontId="210" fillId="0" borderId="6461" applyNumberFormat="0" applyFill="0" applyBorder="0" applyAlignment="0">
      <protection locked="0"/>
    </xf>
    <xf numFmtId="254" fontId="240" fillId="0" borderId="6461" applyBorder="0" applyProtection="0">
      <alignment horizontal="right" vertical="center"/>
    </xf>
    <xf numFmtId="0" fontId="241" fillId="94" borderId="6461" applyBorder="0" applyProtection="0">
      <alignment horizontal="centerContinuous" vertical="center"/>
    </xf>
    <xf numFmtId="246" fontId="249" fillId="0" borderId="6461" applyFill="0" applyProtection="0">
      <alignment horizontal="center"/>
    </xf>
    <xf numFmtId="246" fontId="250" fillId="0" borderId="6461" applyFill="0" applyProtection="0">
      <alignment horizontal="center"/>
    </xf>
    <xf numFmtId="0" fontId="75" fillId="0" borderId="6474" applyNumberFormat="0" applyFont="0" applyFill="0" applyAlignment="0" applyProtection="0"/>
    <xf numFmtId="0" fontId="78" fillId="14" borderId="6475" applyFont="0" applyFill="0" applyBorder="0" applyAlignment="0" applyProtection="0"/>
    <xf numFmtId="186" fontId="146" fillId="3" borderId="6476">
      <alignment horizontal="left"/>
    </xf>
    <xf numFmtId="186" fontId="140" fillId="3" borderId="6477">
      <alignment horizontal="center" vertical="center"/>
    </xf>
    <xf numFmtId="0" fontId="2" fillId="0" borderId="6478" applyNumberFormat="0" applyAlignment="0" applyProtection="0"/>
    <xf numFmtId="0" fontId="214" fillId="0" borderId="6479" applyNumberFormat="0" applyFont="0" applyFill="0" applyAlignment="0" applyProtection="0"/>
    <xf numFmtId="0" fontId="25" fillId="10" borderId="6480" applyNumberFormat="0" applyProtection="0">
      <alignment horizontal="left" vertical="top"/>
    </xf>
    <xf numFmtId="0" fontId="25" fillId="10" borderId="6481" applyNumberFormat="0" applyProtection="0">
      <alignment horizontal="left" vertical="top"/>
    </xf>
    <xf numFmtId="0" fontId="25" fillId="10" borderId="6482" applyNumberFormat="0" applyProtection="0">
      <alignment horizontal="left" vertical="top"/>
    </xf>
    <xf numFmtId="0" fontId="25" fillId="10" borderId="6483" applyNumberFormat="0" applyProtection="0">
      <alignment horizontal="left" vertical="top"/>
    </xf>
    <xf numFmtId="246" fontId="250" fillId="0" borderId="6473" applyFill="0" applyProtection="0">
      <alignment horizontal="center"/>
    </xf>
    <xf numFmtId="246" fontId="249" fillId="0" borderId="6473" applyFill="0" applyProtection="0">
      <alignment horizontal="center"/>
    </xf>
    <xf numFmtId="0" fontId="241" fillId="94" borderId="6473" applyBorder="0" applyProtection="0">
      <alignment horizontal="centerContinuous" vertical="center"/>
    </xf>
    <xf numFmtId="254" fontId="240" fillId="0" borderId="6473" applyBorder="0" applyProtection="0">
      <alignment horizontal="right" vertical="center"/>
    </xf>
    <xf numFmtId="0" fontId="210" fillId="0" borderId="6473" applyNumberFormat="0" applyFill="0" applyBorder="0" applyAlignment="0">
      <protection locked="0"/>
    </xf>
    <xf numFmtId="264" fontId="12" fillId="14" borderId="6473" applyFont="0" applyFill="0" applyBorder="0" applyAlignment="0" applyProtection="0">
      <alignment horizontal="right"/>
    </xf>
    <xf numFmtId="0" fontId="166" fillId="0" borderId="6473">
      <alignment horizontal="center"/>
    </xf>
    <xf numFmtId="0" fontId="165" fillId="0" borderId="6473" applyFill="0" applyProtection="0">
      <alignment horizontal="center"/>
    </xf>
    <xf numFmtId="186" fontId="146" fillId="3" borderId="6473" applyBorder="0">
      <alignment horizontal="left" vertical="center"/>
    </xf>
    <xf numFmtId="180" fontId="9" fillId="3" borderId="6473">
      <alignment horizontal="right" vertical="center"/>
    </xf>
    <xf numFmtId="192" fontId="9" fillId="3" borderId="6473">
      <alignment horizontal="right" vertical="center"/>
    </xf>
    <xf numFmtId="0" fontId="12" fillId="0" borderId="6473" applyNumberFormat="0" applyFill="0" applyBorder="0" applyAlignment="0" applyProtection="0">
      <alignment horizontal="center"/>
    </xf>
    <xf numFmtId="0" fontId="113" fillId="0" borderId="6473" applyNumberFormat="0" applyFill="0" applyAlignment="0" applyProtection="0"/>
    <xf numFmtId="222" fontId="79" fillId="0" borderId="6472" applyBorder="0"/>
    <xf numFmtId="0" fontId="101" fillId="0" borderId="6473" applyBorder="0"/>
    <xf numFmtId="248" fontId="46" fillId="0" borderId="6473"/>
    <xf numFmtId="0" fontId="101" fillId="0" borderId="6473" applyBorder="0"/>
    <xf numFmtId="222" fontId="79" fillId="0" borderId="6472" applyBorder="0"/>
    <xf numFmtId="0" fontId="113" fillId="0" borderId="6473" applyNumberFormat="0" applyFill="0" applyAlignment="0" applyProtection="0"/>
    <xf numFmtId="0" fontId="75" fillId="0" borderId="6474" applyNumberFormat="0" applyFont="0" applyFill="0" applyAlignment="0" applyProtection="0"/>
    <xf numFmtId="0" fontId="12" fillId="0" borderId="6473" applyNumberFormat="0" applyFill="0" applyBorder="0" applyAlignment="0" applyProtection="0">
      <alignment horizontal="center"/>
    </xf>
    <xf numFmtId="248" fontId="46" fillId="0" borderId="6473"/>
    <xf numFmtId="192" fontId="9" fillId="3" borderId="6473">
      <alignment horizontal="right" vertical="center"/>
    </xf>
    <xf numFmtId="180" fontId="9" fillId="3" borderId="6473">
      <alignment horizontal="right" vertical="center"/>
    </xf>
    <xf numFmtId="186" fontId="146" fillId="3" borderId="6473" applyBorder="0">
      <alignment horizontal="left" vertical="center"/>
    </xf>
    <xf numFmtId="186" fontId="146" fillId="3" borderId="6476">
      <alignment horizontal="left"/>
    </xf>
    <xf numFmtId="186" fontId="140" fillId="3" borderId="6477">
      <alignment horizontal="center" vertical="center"/>
    </xf>
    <xf numFmtId="0" fontId="165" fillId="0" borderId="6473" applyFill="0" applyProtection="0">
      <alignment horizontal="center"/>
    </xf>
    <xf numFmtId="0" fontId="166" fillId="0" borderId="6473">
      <alignment horizontal="center"/>
    </xf>
    <xf numFmtId="264" fontId="12" fillId="14" borderId="6473" applyFont="0" applyFill="0" applyBorder="0" applyAlignment="0" applyProtection="0">
      <alignment horizontal="right"/>
    </xf>
    <xf numFmtId="0" fontId="210" fillId="0" borderId="6473" applyNumberFormat="0" applyFill="0" applyBorder="0" applyAlignment="0">
      <protection locked="0"/>
    </xf>
    <xf numFmtId="0" fontId="2" fillId="0" borderId="6478" applyNumberFormat="0" applyAlignment="0" applyProtection="0"/>
    <xf numFmtId="0" fontId="214" fillId="0" borderId="6479" applyNumberFormat="0" applyFont="0" applyFill="0" applyAlignment="0" applyProtection="0"/>
    <xf numFmtId="0" fontId="25" fillId="10" borderId="6480" applyNumberFormat="0" applyProtection="0">
      <alignment horizontal="left" vertical="top"/>
    </xf>
    <xf numFmtId="0" fontId="25" fillId="10" borderId="6481" applyNumberFormat="0" applyProtection="0">
      <alignment horizontal="left" vertical="top"/>
    </xf>
    <xf numFmtId="0" fontId="25" fillId="10" borderId="6482" applyNumberFormat="0" applyProtection="0">
      <alignment horizontal="left" vertical="top"/>
    </xf>
    <xf numFmtId="0" fontId="25" fillId="10" borderId="6483" applyNumberFormat="0" applyProtection="0">
      <alignment horizontal="left" vertical="top"/>
    </xf>
    <xf numFmtId="0" fontId="25" fillId="10" borderId="6480" applyNumberFormat="0" applyProtection="0">
      <alignment horizontal="left" vertical="top"/>
    </xf>
    <xf numFmtId="0" fontId="25" fillId="10" borderId="6481" applyNumberFormat="0" applyProtection="0">
      <alignment horizontal="left" vertical="top"/>
    </xf>
    <xf numFmtId="0" fontId="25" fillId="10" borderId="6482" applyNumberFormat="0" applyProtection="0">
      <alignment horizontal="left" vertical="top"/>
    </xf>
    <xf numFmtId="0" fontId="25" fillId="10" borderId="6483" applyNumberFormat="0" applyProtection="0">
      <alignment horizontal="left" vertical="top"/>
    </xf>
    <xf numFmtId="254" fontId="240" fillId="0" borderId="6473" applyBorder="0" applyProtection="0">
      <alignment horizontal="right" vertical="center"/>
    </xf>
    <xf numFmtId="0" fontId="241" fillId="94" borderId="6473" applyBorder="0" applyProtection="0">
      <alignment horizontal="centerContinuous" vertical="center"/>
    </xf>
    <xf numFmtId="246" fontId="249" fillId="0" borderId="6473" applyFill="0" applyProtection="0">
      <alignment horizontal="center"/>
    </xf>
    <xf numFmtId="246" fontId="250" fillId="0" borderId="6473" applyFill="0" applyProtection="0">
      <alignment horizontal="center"/>
    </xf>
    <xf numFmtId="190" fontId="101" fillId="0" borderId="6473" applyBorder="0"/>
    <xf numFmtId="190" fontId="113" fillId="0" borderId="6473" applyNumberFormat="0" applyFill="0" applyAlignment="0" applyProtection="0"/>
    <xf numFmtId="190" fontId="75" fillId="0" borderId="6450" applyNumberFormat="0" applyFont="0" applyFill="0" applyAlignment="0" applyProtection="0"/>
    <xf numFmtId="190" fontId="12" fillId="0" borderId="6473" applyNumberFormat="0" applyFill="0" applyBorder="0" applyAlignment="0" applyProtection="0">
      <alignment horizontal="center"/>
    </xf>
    <xf numFmtId="190" fontId="78" fillId="14" borderId="6463" applyFont="0" applyFill="0" applyBorder="0" applyAlignment="0" applyProtection="0"/>
    <xf numFmtId="190" fontId="165" fillId="0" borderId="6473" applyFill="0" applyProtection="0">
      <alignment horizontal="center"/>
    </xf>
    <xf numFmtId="190" fontId="166" fillId="0" borderId="6473">
      <alignment horizontal="center"/>
    </xf>
    <xf numFmtId="190" fontId="210" fillId="0" borderId="6473" applyNumberFormat="0" applyFill="0" applyBorder="0" applyAlignment="0">
      <protection locked="0"/>
    </xf>
    <xf numFmtId="190" fontId="2" fillId="0" borderId="6454" applyNumberFormat="0" applyAlignment="0" applyProtection="0"/>
    <xf numFmtId="190" fontId="214" fillId="0" borderId="6455" applyNumberFormat="0" applyFont="0" applyFill="0" applyAlignment="0" applyProtection="0"/>
    <xf numFmtId="190" fontId="25" fillId="10" borderId="6456" applyNumberFormat="0" applyProtection="0">
      <alignment horizontal="left" vertical="top"/>
    </xf>
    <xf numFmtId="190" fontId="25" fillId="10" borderId="6457" applyNumberFormat="0" applyProtection="0">
      <alignment horizontal="left" vertical="top"/>
    </xf>
    <xf numFmtId="190" fontId="25" fillId="10" borderId="6458" applyNumberFormat="0" applyProtection="0">
      <alignment horizontal="left" vertical="top"/>
    </xf>
    <xf numFmtId="190" fontId="25" fillId="10" borderId="6459" applyNumberFormat="0" applyProtection="0">
      <alignment horizontal="left" vertical="top"/>
    </xf>
    <xf numFmtId="190" fontId="241" fillId="94" borderId="6473" applyBorder="0" applyProtection="0">
      <alignment horizontal="centerContinuous" vertical="center"/>
    </xf>
    <xf numFmtId="222" fontId="79" fillId="0" borderId="6472" applyBorder="0"/>
    <xf numFmtId="0" fontId="101" fillId="0" borderId="6473" applyBorder="0"/>
    <xf numFmtId="222" fontId="79" fillId="0" borderId="6472" applyBorder="0"/>
    <xf numFmtId="0" fontId="113" fillId="0" borderId="6473" applyNumberFormat="0" applyFill="0" applyAlignment="0" applyProtection="0"/>
    <xf numFmtId="0" fontId="75" fillId="0" borderId="6450" applyNumberFormat="0" applyFont="0" applyFill="0" applyAlignment="0" applyProtection="0"/>
    <xf numFmtId="0" fontId="12" fillId="0" borderId="6473" applyNumberFormat="0" applyFill="0" applyBorder="0" applyAlignment="0" applyProtection="0">
      <alignment horizontal="center"/>
    </xf>
    <xf numFmtId="248" fontId="46" fillId="0" borderId="6473"/>
    <xf numFmtId="192" fontId="9" fillId="3" borderId="6473">
      <alignment horizontal="right" vertical="center"/>
    </xf>
    <xf numFmtId="180" fontId="9" fillId="3" borderId="6473">
      <alignment horizontal="right" vertical="center"/>
    </xf>
    <xf numFmtId="186" fontId="146" fillId="3" borderId="6473" applyBorder="0">
      <alignment horizontal="left" vertical="center"/>
    </xf>
    <xf numFmtId="186" fontId="146" fillId="3" borderId="6452">
      <alignment horizontal="left"/>
    </xf>
    <xf numFmtId="186" fontId="140" fillId="3" borderId="6453">
      <alignment horizontal="center" vertical="center"/>
    </xf>
    <xf numFmtId="0" fontId="165" fillId="0" borderId="6473" applyFill="0" applyProtection="0">
      <alignment horizontal="center"/>
    </xf>
    <xf numFmtId="0" fontId="166" fillId="0" borderId="6473">
      <alignment horizontal="center"/>
    </xf>
    <xf numFmtId="264" fontId="12" fillId="14" borderId="6473" applyFont="0" applyFill="0" applyBorder="0" applyAlignment="0" applyProtection="0">
      <alignment horizontal="right"/>
    </xf>
    <xf numFmtId="0" fontId="210" fillId="0" borderId="6473" applyNumberFormat="0" applyFill="0" applyBorder="0" applyAlignment="0">
      <protection locked="0"/>
    </xf>
    <xf numFmtId="0" fontId="2" fillId="0" borderId="6454" applyNumberFormat="0" applyAlignment="0" applyProtection="0"/>
    <xf numFmtId="0" fontId="214" fillId="0" borderId="6455" applyNumberFormat="0" applyFont="0" applyFill="0" applyAlignment="0" applyProtection="0"/>
    <xf numFmtId="0" fontId="25" fillId="10" borderId="6456" applyNumberFormat="0" applyProtection="0">
      <alignment horizontal="left" vertical="top"/>
    </xf>
    <xf numFmtId="0" fontId="25" fillId="10" borderId="6457" applyNumberFormat="0" applyProtection="0">
      <alignment horizontal="left" vertical="top"/>
    </xf>
    <xf numFmtId="0" fontId="25" fillId="10" borderId="6458" applyNumberFormat="0" applyProtection="0">
      <alignment horizontal="left" vertical="top"/>
    </xf>
    <xf numFmtId="0" fontId="25" fillId="10" borderId="6459" applyNumberFormat="0" applyProtection="0">
      <alignment horizontal="left" vertical="top"/>
    </xf>
    <xf numFmtId="0" fontId="25" fillId="10" borderId="6456" applyNumberFormat="0" applyProtection="0">
      <alignment horizontal="left" vertical="top"/>
    </xf>
    <xf numFmtId="0" fontId="25" fillId="10" borderId="6457" applyNumberFormat="0" applyProtection="0">
      <alignment horizontal="left" vertical="top"/>
    </xf>
    <xf numFmtId="0" fontId="25" fillId="10" borderId="6458" applyNumberFormat="0" applyProtection="0">
      <alignment horizontal="left" vertical="top"/>
    </xf>
    <xf numFmtId="0" fontId="25" fillId="10" borderId="6459" applyNumberFormat="0" applyProtection="0">
      <alignment horizontal="left" vertical="top"/>
    </xf>
    <xf numFmtId="254" fontId="240" fillId="0" borderId="6473" applyBorder="0" applyProtection="0">
      <alignment horizontal="right" vertical="center"/>
    </xf>
    <xf numFmtId="0" fontId="241" fillId="94" borderId="6473" applyBorder="0" applyProtection="0">
      <alignment horizontal="centerContinuous" vertical="center"/>
    </xf>
    <xf numFmtId="246" fontId="249" fillId="0" borderId="6473" applyFill="0" applyProtection="0">
      <alignment horizontal="center"/>
    </xf>
    <xf numFmtId="246" fontId="250" fillId="0" borderId="6473" applyFill="0" applyProtection="0">
      <alignment horizontal="center"/>
    </xf>
    <xf numFmtId="312" fontId="101" fillId="0" borderId="6473" applyBorder="0"/>
    <xf numFmtId="312" fontId="113" fillId="0" borderId="6473" applyNumberFormat="0" applyFill="0" applyAlignment="0" applyProtection="0"/>
    <xf numFmtId="312" fontId="75" fillId="0" borderId="6450" applyNumberFormat="0" applyFont="0" applyFill="0" applyAlignment="0" applyProtection="0"/>
    <xf numFmtId="312" fontId="12" fillId="0" borderId="6473" applyNumberFormat="0" applyFill="0" applyBorder="0" applyAlignment="0" applyProtection="0">
      <alignment horizontal="center"/>
    </xf>
    <xf numFmtId="312" fontId="165" fillId="0" borderId="6473" applyFill="0" applyProtection="0">
      <alignment horizontal="center"/>
    </xf>
    <xf numFmtId="312" fontId="242" fillId="0" borderId="6473">
      <alignment horizontal="center"/>
    </xf>
    <xf numFmtId="312" fontId="210" fillId="0" borderId="6473" applyNumberFormat="0" applyFill="0" applyBorder="0" applyAlignment="0">
      <protection locked="0"/>
    </xf>
    <xf numFmtId="312" fontId="2" fillId="0" borderId="6454" applyNumberFormat="0" applyAlignment="0" applyProtection="0"/>
    <xf numFmtId="312" fontId="214" fillId="0" borderId="6455" applyNumberFormat="0" applyFont="0" applyFill="0" applyAlignment="0" applyProtection="0"/>
    <xf numFmtId="312" fontId="25" fillId="10" borderId="6456" applyNumberFormat="0" applyProtection="0">
      <alignment horizontal="left" vertical="top"/>
    </xf>
    <xf numFmtId="312" fontId="25" fillId="10" borderId="6457" applyNumberFormat="0" applyProtection="0">
      <alignment horizontal="left" vertical="top"/>
    </xf>
    <xf numFmtId="312" fontId="25" fillId="10" borderId="6458" applyNumberFormat="0" applyProtection="0">
      <alignment horizontal="left" vertical="top"/>
    </xf>
    <xf numFmtId="312" fontId="25" fillId="10" borderId="6459" applyNumberFormat="0" applyProtection="0">
      <alignment horizontal="left" vertical="top"/>
    </xf>
    <xf numFmtId="312" fontId="241" fillId="94" borderId="6473" applyBorder="0" applyProtection="0">
      <alignment horizontal="centerContinuous" vertical="center"/>
    </xf>
    <xf numFmtId="246" fontId="296" fillId="0" borderId="6473" applyFill="0" applyProtection="0">
      <alignment horizontal="center"/>
    </xf>
    <xf numFmtId="312" fontId="101" fillId="0" borderId="6473" applyBorder="0"/>
    <xf numFmtId="312" fontId="113" fillId="0" borderId="6473" applyNumberFormat="0" applyFill="0" applyAlignment="0" applyProtection="0"/>
    <xf numFmtId="312" fontId="75" fillId="0" borderId="6450" applyNumberFormat="0" applyFont="0" applyFill="0" applyAlignment="0" applyProtection="0"/>
    <xf numFmtId="312" fontId="12" fillId="0" borderId="6473" applyNumberFormat="0" applyFill="0" applyBorder="0" applyAlignment="0" applyProtection="0">
      <alignment horizontal="center"/>
    </xf>
    <xf numFmtId="312" fontId="165" fillId="0" borderId="6473" applyFill="0" applyProtection="0">
      <alignment horizontal="center"/>
    </xf>
    <xf numFmtId="312" fontId="242" fillId="0" borderId="6473">
      <alignment horizontal="center"/>
    </xf>
    <xf numFmtId="312" fontId="210" fillId="0" borderId="6473" applyNumberFormat="0" applyFill="0" applyBorder="0" applyAlignment="0">
      <protection locked="0"/>
    </xf>
    <xf numFmtId="312" fontId="2" fillId="0" borderId="6454" applyNumberFormat="0" applyAlignment="0" applyProtection="0"/>
    <xf numFmtId="312" fontId="214" fillId="0" borderId="6455" applyNumberFormat="0" applyFont="0" applyFill="0" applyAlignment="0" applyProtection="0"/>
    <xf numFmtId="312" fontId="25" fillId="10" borderId="6456" applyNumberFormat="0" applyProtection="0">
      <alignment horizontal="left" vertical="top"/>
    </xf>
    <xf numFmtId="312" fontId="25" fillId="10" borderId="6457" applyNumberFormat="0" applyProtection="0">
      <alignment horizontal="left" vertical="top"/>
    </xf>
    <xf numFmtId="312" fontId="25" fillId="10" borderId="6458" applyNumberFormat="0" applyProtection="0">
      <alignment horizontal="left" vertical="top"/>
    </xf>
    <xf numFmtId="312" fontId="25" fillId="10" borderId="6459" applyNumberFormat="0" applyProtection="0">
      <alignment horizontal="left" vertical="top"/>
    </xf>
    <xf numFmtId="312" fontId="25" fillId="10" borderId="6456" applyNumberFormat="0" applyProtection="0">
      <alignment horizontal="left" vertical="top"/>
    </xf>
    <xf numFmtId="312" fontId="25" fillId="10" borderId="6457" applyNumberFormat="0" applyProtection="0">
      <alignment horizontal="left" vertical="top"/>
    </xf>
    <xf numFmtId="312" fontId="25" fillId="10" borderId="6458" applyNumberFormat="0" applyProtection="0">
      <alignment horizontal="left" vertical="top"/>
    </xf>
    <xf numFmtId="312" fontId="25" fillId="10" borderId="6459" applyNumberFormat="0" applyProtection="0">
      <alignment horizontal="left" vertical="top"/>
    </xf>
    <xf numFmtId="312" fontId="241" fillId="94" borderId="6473" applyBorder="0" applyProtection="0">
      <alignment horizontal="centerContinuous" vertical="center"/>
    </xf>
    <xf numFmtId="246" fontId="296" fillId="0" borderId="6473" applyFill="0" applyProtection="0">
      <alignment horizontal="center"/>
    </xf>
    <xf numFmtId="246" fontId="250" fillId="0" borderId="6473" applyFill="0" applyProtection="0">
      <alignment horizontal="center"/>
    </xf>
    <xf numFmtId="246" fontId="249" fillId="0" borderId="6473" applyFill="0" applyProtection="0">
      <alignment horizontal="center"/>
    </xf>
    <xf numFmtId="0" fontId="241" fillId="94" borderId="6473" applyBorder="0" applyProtection="0">
      <alignment horizontal="centerContinuous" vertical="center"/>
    </xf>
    <xf numFmtId="254" fontId="240" fillId="0" borderId="6473" applyBorder="0" applyProtection="0">
      <alignment horizontal="right" vertical="center"/>
    </xf>
    <xf numFmtId="0" fontId="25" fillId="10" borderId="6471" applyNumberFormat="0" applyProtection="0">
      <alignment horizontal="left" vertical="top"/>
    </xf>
    <xf numFmtId="0" fontId="25" fillId="10" borderId="6470" applyNumberFormat="0" applyProtection="0">
      <alignment horizontal="left" vertical="top"/>
    </xf>
    <xf numFmtId="0" fontId="25" fillId="10" borderId="6469" applyNumberFormat="0" applyProtection="0">
      <alignment horizontal="left" vertical="top"/>
    </xf>
    <xf numFmtId="0" fontId="25" fillId="10" borderId="6468" applyNumberFormat="0" applyProtection="0">
      <alignment horizontal="left" vertical="top"/>
    </xf>
    <xf numFmtId="0" fontId="214" fillId="0" borderId="6467" applyNumberFormat="0" applyFont="0" applyFill="0" applyAlignment="0" applyProtection="0"/>
    <xf numFmtId="0" fontId="2" fillId="0" borderId="6466" applyNumberFormat="0" applyAlignment="0" applyProtection="0"/>
    <xf numFmtId="0" fontId="210" fillId="0" borderId="6473" applyNumberFormat="0" applyFill="0" applyBorder="0" applyAlignment="0">
      <protection locked="0"/>
    </xf>
    <xf numFmtId="264" fontId="12" fillId="14" borderId="6473" applyFont="0" applyFill="0" applyBorder="0" applyAlignment="0" applyProtection="0">
      <alignment horizontal="right"/>
    </xf>
    <xf numFmtId="0" fontId="166" fillId="0" borderId="6473">
      <alignment horizontal="center"/>
    </xf>
    <xf numFmtId="0" fontId="165" fillId="0" borderId="6473" applyFill="0" applyProtection="0">
      <alignment horizontal="center"/>
    </xf>
    <xf numFmtId="186" fontId="140" fillId="3" borderId="6465">
      <alignment horizontal="center" vertical="center"/>
    </xf>
    <xf numFmtId="186" fontId="146" fillId="3" borderId="6464">
      <alignment horizontal="left"/>
    </xf>
    <xf numFmtId="186" fontId="146" fillId="3" borderId="6473" applyBorder="0">
      <alignment horizontal="left" vertical="center"/>
    </xf>
    <xf numFmtId="180" fontId="9" fillId="3" borderId="6473">
      <alignment horizontal="right" vertical="center"/>
    </xf>
    <xf numFmtId="192" fontId="9" fillId="3" borderId="6473">
      <alignment horizontal="right" vertical="center"/>
    </xf>
    <xf numFmtId="248" fontId="46" fillId="0" borderId="6473"/>
    <xf numFmtId="0" fontId="78" fillId="14" borderId="6463" applyFont="0" applyFill="0" applyBorder="0" applyAlignment="0" applyProtection="0"/>
    <xf numFmtId="0" fontId="12" fillId="0" borderId="6473" applyNumberFormat="0" applyFill="0" applyBorder="0" applyAlignment="0" applyProtection="0">
      <alignment horizontal="center"/>
    </xf>
    <xf numFmtId="0" fontId="75" fillId="0" borderId="6462" applyNumberFormat="0" applyFont="0" applyFill="0" applyAlignment="0" applyProtection="0"/>
    <xf numFmtId="0" fontId="113" fillId="0" borderId="6473" applyNumberFormat="0" applyFill="0" applyAlignment="0" applyProtection="0"/>
    <xf numFmtId="222" fontId="79" fillId="0" borderId="6472" applyBorder="0"/>
    <xf numFmtId="0" fontId="101" fillId="0" borderId="6473" applyBorder="0"/>
    <xf numFmtId="0" fontId="25" fillId="10" borderId="6480" applyNumberFormat="0" applyProtection="0">
      <alignment horizontal="left" vertical="top"/>
    </xf>
    <xf numFmtId="0" fontId="25" fillId="10" borderId="6481" applyNumberFormat="0" applyProtection="0">
      <alignment horizontal="left" vertical="top"/>
    </xf>
    <xf numFmtId="0" fontId="25" fillId="10" borderId="6482" applyNumberFormat="0" applyProtection="0">
      <alignment horizontal="left" vertical="top"/>
    </xf>
    <xf numFmtId="0" fontId="25" fillId="10" borderId="6483" applyNumberFormat="0" applyProtection="0">
      <alignment horizontal="left" vertical="top"/>
    </xf>
    <xf numFmtId="246" fontId="250" fillId="0" borderId="6461" applyFill="0" applyProtection="0">
      <alignment horizontal="center"/>
    </xf>
    <xf numFmtId="246" fontId="249" fillId="0" borderId="6461" applyFill="0" applyProtection="0">
      <alignment horizontal="center"/>
    </xf>
    <xf numFmtId="0" fontId="241" fillId="94" borderId="6461" applyBorder="0" applyProtection="0">
      <alignment horizontal="centerContinuous" vertical="center"/>
    </xf>
    <xf numFmtId="254" fontId="240" fillId="0" borderId="6461" applyBorder="0" applyProtection="0">
      <alignment horizontal="right" vertical="center"/>
    </xf>
    <xf numFmtId="0" fontId="210" fillId="0" borderId="6461" applyNumberFormat="0" applyFill="0" applyBorder="0" applyAlignment="0">
      <protection locked="0"/>
    </xf>
    <xf numFmtId="264" fontId="12" fillId="14" borderId="6461" applyFont="0" applyFill="0" applyBorder="0" applyAlignment="0" applyProtection="0">
      <alignment horizontal="right"/>
    </xf>
    <xf numFmtId="0" fontId="166" fillId="0" borderId="6461">
      <alignment horizontal="center"/>
    </xf>
    <xf numFmtId="0" fontId="165" fillId="0" borderId="6461" applyFill="0" applyProtection="0">
      <alignment horizontal="center"/>
    </xf>
    <xf numFmtId="186" fontId="146" fillId="3" borderId="6461" applyBorder="0">
      <alignment horizontal="left" vertical="center"/>
    </xf>
    <xf numFmtId="180" fontId="9" fillId="3" borderId="6461">
      <alignment horizontal="right" vertical="center"/>
    </xf>
    <xf numFmtId="192" fontId="9" fillId="3" borderId="6461">
      <alignment horizontal="right" vertical="center"/>
    </xf>
    <xf numFmtId="248" fontId="46" fillId="0" borderId="6461"/>
    <xf numFmtId="0" fontId="12" fillId="0" borderId="6461" applyNumberFormat="0" applyFill="0" applyBorder="0" applyAlignment="0" applyProtection="0">
      <alignment horizontal="center"/>
    </xf>
    <xf numFmtId="0" fontId="113" fillId="0" borderId="6461" applyNumberFormat="0" applyFill="0" applyAlignment="0" applyProtection="0"/>
    <xf numFmtId="222" fontId="79" fillId="0" borderId="6460" applyBorder="0"/>
    <xf numFmtId="0" fontId="101" fillId="0" borderId="6461" applyBorder="0"/>
    <xf numFmtId="246" fontId="250" fillId="0" borderId="6461" applyFill="0" applyProtection="0">
      <alignment horizontal="center"/>
    </xf>
    <xf numFmtId="246" fontId="249" fillId="0" borderId="6461" applyFill="0" applyProtection="0">
      <alignment horizontal="center"/>
    </xf>
    <xf numFmtId="0" fontId="241" fillId="94" borderId="6461" applyBorder="0" applyProtection="0">
      <alignment horizontal="centerContinuous" vertical="center"/>
    </xf>
    <xf numFmtId="254" fontId="240" fillId="0" borderId="6461" applyBorder="0" applyProtection="0">
      <alignment horizontal="right" vertical="center"/>
    </xf>
    <xf numFmtId="0" fontId="210" fillId="0" borderId="6461" applyNumberFormat="0" applyFill="0" applyBorder="0" applyAlignment="0">
      <protection locked="0"/>
    </xf>
    <xf numFmtId="264" fontId="12" fillId="14" borderId="6461" applyFont="0" applyFill="0" applyBorder="0" applyAlignment="0" applyProtection="0">
      <alignment horizontal="right"/>
    </xf>
    <xf numFmtId="0" fontId="166" fillId="0" borderId="6461">
      <alignment horizontal="center"/>
    </xf>
    <xf numFmtId="0" fontId="165" fillId="0" borderId="6461" applyFill="0" applyProtection="0">
      <alignment horizontal="center"/>
    </xf>
    <xf numFmtId="186" fontId="146" fillId="3" borderId="6461" applyBorder="0">
      <alignment horizontal="left" vertical="center"/>
    </xf>
    <xf numFmtId="180" fontId="9" fillId="3" borderId="6461">
      <alignment horizontal="right" vertical="center"/>
    </xf>
    <xf numFmtId="192" fontId="9" fillId="3" borderId="6461">
      <alignment horizontal="right" vertical="center"/>
    </xf>
    <xf numFmtId="0" fontId="12" fillId="0" borderId="6461" applyNumberFormat="0" applyFill="0" applyBorder="0" applyAlignment="0" applyProtection="0">
      <alignment horizontal="center"/>
    </xf>
    <xf numFmtId="0" fontId="113" fillId="0" borderId="6461" applyNumberFormat="0" applyFill="0" applyAlignment="0" applyProtection="0"/>
    <xf numFmtId="222" fontId="79" fillId="0" borderId="6460" applyBorder="0"/>
    <xf numFmtId="0" fontId="101" fillId="0" borderId="6461" applyBorder="0"/>
    <xf numFmtId="248" fontId="46" fillId="0" borderId="6461"/>
    <xf numFmtId="246" fontId="250" fillId="0" borderId="6461" applyFill="0" applyProtection="0">
      <alignment horizontal="center"/>
    </xf>
    <xf numFmtId="246" fontId="249" fillId="0" borderId="6461" applyFill="0" applyProtection="0">
      <alignment horizontal="center"/>
    </xf>
    <xf numFmtId="0" fontId="241" fillId="94" borderId="6461" applyBorder="0" applyProtection="0">
      <alignment horizontal="centerContinuous" vertical="center"/>
    </xf>
    <xf numFmtId="254" fontId="240" fillId="0" borderId="6461" applyBorder="0" applyProtection="0">
      <alignment horizontal="right" vertical="center"/>
    </xf>
    <xf numFmtId="0" fontId="210" fillId="0" borderId="6461" applyNumberFormat="0" applyFill="0" applyBorder="0" applyAlignment="0">
      <protection locked="0"/>
    </xf>
    <xf numFmtId="264" fontId="12" fillId="14" borderId="6461" applyFont="0" applyFill="0" applyBorder="0" applyAlignment="0" applyProtection="0">
      <alignment horizontal="right"/>
    </xf>
    <xf numFmtId="0" fontId="166" fillId="0" borderId="6461">
      <alignment horizontal="center"/>
    </xf>
    <xf numFmtId="0" fontId="165" fillId="0" borderId="6461" applyFill="0" applyProtection="0">
      <alignment horizontal="center"/>
    </xf>
    <xf numFmtId="186" fontId="146" fillId="3" borderId="6461" applyBorder="0">
      <alignment horizontal="left" vertical="center"/>
    </xf>
    <xf numFmtId="180" fontId="9" fillId="3" borderId="6461">
      <alignment horizontal="right" vertical="center"/>
    </xf>
    <xf numFmtId="192" fontId="9" fillId="3" borderId="6461">
      <alignment horizontal="right" vertical="center"/>
    </xf>
    <xf numFmtId="248" fontId="46" fillId="0" borderId="6461"/>
    <xf numFmtId="0" fontId="12" fillId="0" borderId="6461" applyNumberFormat="0" applyFill="0" applyBorder="0" applyAlignment="0" applyProtection="0">
      <alignment horizontal="center"/>
    </xf>
    <xf numFmtId="0" fontId="113" fillId="0" borderId="6461" applyNumberFormat="0" applyFill="0" applyAlignment="0" applyProtection="0"/>
    <xf numFmtId="222" fontId="79" fillId="0" borderId="6460" applyBorder="0"/>
    <xf numFmtId="0" fontId="101" fillId="0" borderId="6461" applyBorder="0"/>
    <xf numFmtId="0" fontId="241" fillId="94" borderId="6665" applyBorder="0" applyProtection="0">
      <alignment horizontal="centerContinuous" vertical="center"/>
    </xf>
    <xf numFmtId="190" fontId="25" fillId="10" borderId="6528" applyNumberFormat="0" applyProtection="0">
      <alignment horizontal="left" vertical="top"/>
    </xf>
    <xf numFmtId="190" fontId="25" fillId="10" borderId="6529" applyNumberFormat="0" applyProtection="0">
      <alignment horizontal="left" vertical="top"/>
    </xf>
    <xf numFmtId="190" fontId="25" fillId="10" borderId="6530" applyNumberFormat="0" applyProtection="0">
      <alignment horizontal="left" vertical="top"/>
    </xf>
    <xf numFmtId="190" fontId="25" fillId="10" borderId="6531" applyNumberFormat="0" applyProtection="0">
      <alignment horizontal="left" vertical="top"/>
    </xf>
    <xf numFmtId="190" fontId="241" fillId="94" borderId="6545" applyBorder="0" applyProtection="0">
      <alignment horizontal="centerContinuous" vertical="center"/>
    </xf>
    <xf numFmtId="222" fontId="79" fillId="0" borderId="6064" applyBorder="0"/>
    <xf numFmtId="264" fontId="12" fillId="14" borderId="6881" applyFont="0" applyFill="0" applyBorder="0" applyAlignment="0" applyProtection="0">
      <alignment horizontal="right"/>
    </xf>
    <xf numFmtId="222" fontId="79" fillId="0" borderId="6544" applyBorder="0"/>
    <xf numFmtId="0" fontId="101" fillId="0" borderId="6545" applyBorder="0"/>
    <xf numFmtId="222" fontId="79" fillId="0" borderId="6544" applyBorder="0"/>
    <xf numFmtId="0" fontId="113" fillId="0" borderId="6545" applyNumberFormat="0" applyFill="0" applyAlignment="0" applyProtection="0"/>
    <xf numFmtId="0" fontId="75" fillId="0" borderId="6522" applyNumberFormat="0" applyFont="0" applyFill="0" applyAlignment="0" applyProtection="0"/>
    <xf numFmtId="0" fontId="12" fillId="0" borderId="6545" applyNumberFormat="0" applyFill="0" applyBorder="0" applyAlignment="0" applyProtection="0">
      <alignment horizontal="center"/>
    </xf>
    <xf numFmtId="248" fontId="46" fillId="0" borderId="6545"/>
    <xf numFmtId="192" fontId="9" fillId="3" borderId="6545">
      <alignment horizontal="right" vertical="center"/>
    </xf>
    <xf numFmtId="180" fontId="9" fillId="3" borderId="6545">
      <alignment horizontal="right" vertical="center"/>
    </xf>
    <xf numFmtId="186" fontId="146" fillId="3" borderId="6545" applyBorder="0">
      <alignment horizontal="left" vertical="center"/>
    </xf>
    <xf numFmtId="186" fontId="146" fillId="3" borderId="6524">
      <alignment horizontal="left"/>
    </xf>
    <xf numFmtId="186" fontId="140" fillId="3" borderId="6525">
      <alignment horizontal="center" vertical="center"/>
    </xf>
    <xf numFmtId="0" fontId="165" fillId="0" borderId="6545" applyFill="0" applyProtection="0">
      <alignment horizontal="center"/>
    </xf>
    <xf numFmtId="0" fontId="166" fillId="0" borderId="6545">
      <alignment horizontal="center"/>
    </xf>
    <xf numFmtId="264" fontId="12" fillId="14" borderId="6545" applyFont="0" applyFill="0" applyBorder="0" applyAlignment="0" applyProtection="0">
      <alignment horizontal="right"/>
    </xf>
    <xf numFmtId="0" fontId="210" fillId="0" borderId="6545" applyNumberFormat="0" applyFill="0" applyBorder="0" applyAlignment="0">
      <protection locked="0"/>
    </xf>
    <xf numFmtId="0" fontId="2" fillId="0" borderId="6526" applyNumberFormat="0" applyAlignment="0" applyProtection="0"/>
    <xf numFmtId="0" fontId="214" fillId="0" borderId="6527" applyNumberFormat="0" applyFont="0" applyFill="0" applyAlignment="0" applyProtection="0"/>
    <xf numFmtId="0" fontId="25" fillId="10" borderId="6528" applyNumberFormat="0" applyProtection="0">
      <alignment horizontal="left" vertical="top"/>
    </xf>
    <xf numFmtId="0" fontId="25" fillId="10" borderId="6529" applyNumberFormat="0" applyProtection="0">
      <alignment horizontal="left" vertical="top"/>
    </xf>
    <xf numFmtId="0" fontId="25" fillId="10" borderId="6530" applyNumberFormat="0" applyProtection="0">
      <alignment horizontal="left" vertical="top"/>
    </xf>
    <xf numFmtId="0" fontId="25" fillId="10" borderId="6531" applyNumberFormat="0" applyProtection="0">
      <alignment horizontal="left" vertical="top"/>
    </xf>
    <xf numFmtId="0" fontId="25" fillId="10" borderId="6528" applyNumberFormat="0" applyProtection="0">
      <alignment horizontal="left" vertical="top"/>
    </xf>
    <xf numFmtId="0" fontId="25" fillId="10" borderId="6529" applyNumberFormat="0" applyProtection="0">
      <alignment horizontal="left" vertical="top"/>
    </xf>
    <xf numFmtId="0" fontId="25" fillId="10" borderId="6530" applyNumberFormat="0" applyProtection="0">
      <alignment horizontal="left" vertical="top"/>
    </xf>
    <xf numFmtId="0" fontId="25" fillId="10" borderId="6531" applyNumberFormat="0" applyProtection="0">
      <alignment horizontal="left" vertical="top"/>
    </xf>
    <xf numFmtId="254" fontId="240" fillId="0" borderId="6545" applyBorder="0" applyProtection="0">
      <alignment horizontal="right" vertical="center"/>
    </xf>
    <xf numFmtId="0" fontId="241" fillId="94" borderId="6545" applyBorder="0" applyProtection="0">
      <alignment horizontal="centerContinuous" vertical="center"/>
    </xf>
    <xf numFmtId="246" fontId="249" fillId="0" borderId="6545" applyFill="0" applyProtection="0">
      <alignment horizontal="center"/>
    </xf>
    <xf numFmtId="246" fontId="250" fillId="0" borderId="6545" applyFill="0" applyProtection="0">
      <alignment horizontal="center"/>
    </xf>
    <xf numFmtId="0" fontId="78" fillId="14" borderId="6715" applyFont="0" applyFill="0" applyBorder="0" applyAlignment="0" applyProtection="0"/>
    <xf numFmtId="312" fontId="101" fillId="0" borderId="6545" applyBorder="0"/>
    <xf numFmtId="312" fontId="113" fillId="0" borderId="6545" applyNumberFormat="0" applyFill="0" applyAlignment="0" applyProtection="0"/>
    <xf numFmtId="312" fontId="75" fillId="0" borderId="6522" applyNumberFormat="0" applyFont="0" applyFill="0" applyAlignment="0" applyProtection="0"/>
    <xf numFmtId="312" fontId="12" fillId="0" borderId="6545" applyNumberFormat="0" applyFill="0" applyBorder="0" applyAlignment="0" applyProtection="0">
      <alignment horizontal="center"/>
    </xf>
    <xf numFmtId="312" fontId="78" fillId="14" borderId="6355" applyFont="0" applyFill="0" applyBorder="0" applyAlignment="0" applyProtection="0"/>
    <xf numFmtId="312" fontId="165" fillId="0" borderId="6545" applyFill="0" applyProtection="0">
      <alignment horizontal="center"/>
    </xf>
    <xf numFmtId="312" fontId="242" fillId="0" borderId="6545">
      <alignment horizontal="center"/>
    </xf>
    <xf numFmtId="312" fontId="210" fillId="0" borderId="6545" applyNumberFormat="0" applyFill="0" applyBorder="0" applyAlignment="0">
      <protection locked="0"/>
    </xf>
    <xf numFmtId="312" fontId="2" fillId="0" borderId="6526" applyNumberFormat="0" applyAlignment="0" applyProtection="0"/>
    <xf numFmtId="312" fontId="214" fillId="0" borderId="6527" applyNumberFormat="0" applyFont="0" applyFill="0" applyAlignment="0" applyProtection="0"/>
    <xf numFmtId="222" fontId="79" fillId="0" borderId="6664" applyBorder="0"/>
    <xf numFmtId="312" fontId="25" fillId="10" borderId="6528" applyNumberFormat="0" applyProtection="0">
      <alignment horizontal="left" vertical="top"/>
    </xf>
    <xf numFmtId="312" fontId="25" fillId="10" borderId="6529" applyNumberFormat="0" applyProtection="0">
      <alignment horizontal="left" vertical="top"/>
    </xf>
    <xf numFmtId="312" fontId="25" fillId="10" borderId="6530" applyNumberFormat="0" applyProtection="0">
      <alignment horizontal="left" vertical="top"/>
    </xf>
    <xf numFmtId="312" fontId="25" fillId="10" borderId="6531" applyNumberFormat="0" applyProtection="0">
      <alignment horizontal="left" vertical="top"/>
    </xf>
    <xf numFmtId="312" fontId="241" fillId="94" borderId="6545" applyBorder="0" applyProtection="0">
      <alignment horizontal="centerContinuous" vertical="center"/>
    </xf>
    <xf numFmtId="246" fontId="296" fillId="0" borderId="6545" applyFill="0" applyProtection="0">
      <alignment horizontal="center"/>
    </xf>
    <xf numFmtId="248" fontId="46" fillId="0" borderId="6665"/>
    <xf numFmtId="0" fontId="113" fillId="0" borderId="6665" applyNumberFormat="0" applyFill="0" applyAlignment="0" applyProtection="0"/>
    <xf numFmtId="0" fontId="12" fillId="0" borderId="6665" applyNumberFormat="0" applyFill="0" applyBorder="0" applyAlignment="0" applyProtection="0">
      <alignment horizontal="center"/>
    </xf>
    <xf numFmtId="312" fontId="101" fillId="0" borderId="6545" applyBorder="0"/>
    <xf numFmtId="312" fontId="113" fillId="0" borderId="6545" applyNumberFormat="0" applyFill="0" applyAlignment="0" applyProtection="0"/>
    <xf numFmtId="312" fontId="75" fillId="0" borderId="6522" applyNumberFormat="0" applyFont="0" applyFill="0" applyAlignment="0" applyProtection="0"/>
    <xf numFmtId="312" fontId="12" fillId="0" borderId="6545" applyNumberFormat="0" applyFill="0" applyBorder="0" applyAlignment="0" applyProtection="0">
      <alignment horizontal="center"/>
    </xf>
    <xf numFmtId="312" fontId="78" fillId="14" borderId="6355" applyFont="0" applyFill="0" applyBorder="0" applyAlignment="0" applyProtection="0"/>
    <xf numFmtId="312" fontId="165" fillId="0" borderId="6545" applyFill="0" applyProtection="0">
      <alignment horizontal="center"/>
    </xf>
    <xf numFmtId="312" fontId="242" fillId="0" borderId="6545">
      <alignment horizontal="center"/>
    </xf>
    <xf numFmtId="312" fontId="210" fillId="0" borderId="6545" applyNumberFormat="0" applyFill="0" applyBorder="0" applyAlignment="0">
      <protection locked="0"/>
    </xf>
    <xf numFmtId="312" fontId="2" fillId="0" borderId="6526" applyNumberFormat="0" applyAlignment="0" applyProtection="0"/>
    <xf numFmtId="312" fontId="214" fillId="0" borderId="6527" applyNumberFormat="0" applyFont="0" applyFill="0" applyAlignment="0" applyProtection="0"/>
    <xf numFmtId="312" fontId="25" fillId="10" borderId="6528" applyNumberFormat="0" applyProtection="0">
      <alignment horizontal="left" vertical="top"/>
    </xf>
    <xf numFmtId="312" fontId="25" fillId="10" borderId="6529" applyNumberFormat="0" applyProtection="0">
      <alignment horizontal="left" vertical="top"/>
    </xf>
    <xf numFmtId="312" fontId="25" fillId="10" borderId="6530" applyNumberFormat="0" applyProtection="0">
      <alignment horizontal="left" vertical="top"/>
    </xf>
    <xf numFmtId="312" fontId="25" fillId="10" borderId="6531" applyNumberFormat="0" applyProtection="0">
      <alignment horizontal="left" vertical="top"/>
    </xf>
    <xf numFmtId="312" fontId="25" fillId="10" borderId="6528" applyNumberFormat="0" applyProtection="0">
      <alignment horizontal="left" vertical="top"/>
    </xf>
    <xf numFmtId="312" fontId="25" fillId="10" borderId="6529" applyNumberFormat="0" applyProtection="0">
      <alignment horizontal="left" vertical="top"/>
    </xf>
    <xf numFmtId="312" fontId="25" fillId="10" borderId="6530" applyNumberFormat="0" applyProtection="0">
      <alignment horizontal="left" vertical="top"/>
    </xf>
    <xf numFmtId="312" fontId="25" fillId="10" borderId="6531" applyNumberFormat="0" applyProtection="0">
      <alignment horizontal="left" vertical="top"/>
    </xf>
    <xf numFmtId="312" fontId="241" fillId="94" borderId="6545" applyBorder="0" applyProtection="0">
      <alignment horizontal="centerContinuous" vertical="center"/>
    </xf>
    <xf numFmtId="246" fontId="296" fillId="0" borderId="6545" applyFill="0" applyProtection="0">
      <alignment horizontal="center"/>
    </xf>
    <xf numFmtId="246" fontId="250" fillId="0" borderId="6545" applyFill="0" applyProtection="0">
      <alignment horizontal="center"/>
    </xf>
    <xf numFmtId="246" fontId="249" fillId="0" borderId="6545" applyFill="0" applyProtection="0">
      <alignment horizontal="center"/>
    </xf>
    <xf numFmtId="0" fontId="241" fillId="94" borderId="6545" applyBorder="0" applyProtection="0">
      <alignment horizontal="centerContinuous" vertical="center"/>
    </xf>
    <xf numFmtId="254" fontId="240" fillId="0" borderId="6545" applyBorder="0" applyProtection="0">
      <alignment horizontal="right" vertical="center"/>
    </xf>
    <xf numFmtId="0" fontId="25" fillId="10" borderId="6483" applyNumberFormat="0" applyProtection="0">
      <alignment horizontal="left" vertical="top"/>
    </xf>
    <xf numFmtId="0" fontId="25" fillId="10" borderId="6482" applyNumberFormat="0" applyProtection="0">
      <alignment horizontal="left" vertical="top"/>
    </xf>
    <xf numFmtId="0" fontId="25" fillId="10" borderId="6481" applyNumberFormat="0" applyProtection="0">
      <alignment horizontal="left" vertical="top"/>
    </xf>
    <xf numFmtId="0" fontId="25" fillId="10" borderId="6480" applyNumberFormat="0" applyProtection="0">
      <alignment horizontal="left" vertical="top"/>
    </xf>
    <xf numFmtId="0" fontId="214" fillId="0" borderId="6479" applyNumberFormat="0" applyFont="0" applyFill="0" applyAlignment="0" applyProtection="0"/>
    <xf numFmtId="0" fontId="2" fillId="0" borderId="6478" applyNumberFormat="0" applyAlignment="0" applyProtection="0"/>
    <xf numFmtId="0" fontId="210" fillId="0" borderId="6545" applyNumberFormat="0" applyFill="0" applyBorder="0" applyAlignment="0">
      <protection locked="0"/>
    </xf>
    <xf numFmtId="264" fontId="12" fillId="14" borderId="6545" applyFont="0" applyFill="0" applyBorder="0" applyAlignment="0" applyProtection="0">
      <alignment horizontal="right"/>
    </xf>
    <xf numFmtId="254" fontId="240" fillId="0" borderId="6653" applyBorder="0" applyProtection="0">
      <alignment horizontal="right" vertical="center"/>
    </xf>
    <xf numFmtId="0" fontId="166" fillId="0" borderId="6545">
      <alignment horizontal="center"/>
    </xf>
    <xf numFmtId="0" fontId="165" fillId="0" borderId="6545" applyFill="0" applyProtection="0">
      <alignment horizontal="center"/>
    </xf>
    <xf numFmtId="186" fontId="140" fillId="3" borderId="6477">
      <alignment horizontal="center" vertical="center"/>
    </xf>
    <xf numFmtId="186" fontId="146" fillId="3" borderId="6476">
      <alignment horizontal="left"/>
    </xf>
    <xf numFmtId="186" fontId="146" fillId="3" borderId="6545" applyBorder="0">
      <alignment horizontal="left" vertical="center"/>
    </xf>
    <xf numFmtId="180" fontId="9" fillId="3" borderId="6545">
      <alignment horizontal="right" vertical="center"/>
    </xf>
    <xf numFmtId="192" fontId="9" fillId="3" borderId="6545">
      <alignment horizontal="right" vertical="center"/>
    </xf>
    <xf numFmtId="248" fontId="46" fillId="0" borderId="6545"/>
    <xf numFmtId="0" fontId="78" fillId="14" borderId="6475" applyFont="0" applyFill="0" applyBorder="0" applyAlignment="0" applyProtection="0"/>
    <xf numFmtId="222" fontId="79" fillId="0" borderId="6724" applyBorder="0"/>
    <xf numFmtId="0" fontId="12" fillId="0" borderId="6545" applyNumberFormat="0" applyFill="0" applyBorder="0" applyAlignment="0" applyProtection="0">
      <alignment horizontal="center"/>
    </xf>
    <xf numFmtId="0" fontId="75" fillId="0" borderId="6474" applyNumberFormat="0" applyFont="0" applyFill="0" applyAlignment="0" applyProtection="0"/>
    <xf numFmtId="0" fontId="113" fillId="0" borderId="6545" applyNumberFormat="0" applyFill="0" applyAlignment="0" applyProtection="0"/>
    <xf numFmtId="222" fontId="79" fillId="0" borderId="6544" applyBorder="0"/>
    <xf numFmtId="0" fontId="101" fillId="0" borderId="6545" applyBorder="0"/>
    <xf numFmtId="0" fontId="25" fillId="10" borderId="6552" applyNumberFormat="0" applyProtection="0">
      <alignment horizontal="left" vertical="top"/>
    </xf>
    <xf numFmtId="0" fontId="25" fillId="10" borderId="6553" applyNumberFormat="0" applyProtection="0">
      <alignment horizontal="left" vertical="top"/>
    </xf>
    <xf numFmtId="0" fontId="25" fillId="10" borderId="6554" applyNumberFormat="0" applyProtection="0">
      <alignment horizontal="left" vertical="top"/>
    </xf>
    <xf numFmtId="0" fontId="25" fillId="10" borderId="6555" applyNumberFormat="0" applyProtection="0">
      <alignment horizontal="left" vertical="top"/>
    </xf>
    <xf numFmtId="246" fontId="249" fillId="0" borderId="6665" applyFill="0" applyProtection="0">
      <alignment horizontal="center"/>
    </xf>
    <xf numFmtId="0" fontId="210" fillId="0" borderId="6665" applyNumberFormat="0" applyFill="0" applyBorder="0" applyAlignment="0">
      <protection locked="0"/>
    </xf>
    <xf numFmtId="246" fontId="250" fillId="0" borderId="6485" applyFill="0" applyProtection="0">
      <alignment horizontal="center"/>
    </xf>
    <xf numFmtId="246" fontId="249" fillId="0" borderId="6485" applyFill="0" applyProtection="0">
      <alignment horizontal="center"/>
    </xf>
    <xf numFmtId="0" fontId="241" fillId="94" borderId="6485" applyBorder="0" applyProtection="0">
      <alignment horizontal="centerContinuous" vertical="center"/>
    </xf>
    <xf numFmtId="254" fontId="240" fillId="0" borderId="6485" applyBorder="0" applyProtection="0">
      <alignment horizontal="right" vertical="center"/>
    </xf>
    <xf numFmtId="0" fontId="210" fillId="0" borderId="6485" applyNumberFormat="0" applyFill="0" applyBorder="0" applyAlignment="0">
      <protection locked="0"/>
    </xf>
    <xf numFmtId="264" fontId="12" fillId="14" borderId="6485" applyFont="0" applyFill="0" applyBorder="0" applyAlignment="0" applyProtection="0">
      <alignment horizontal="right"/>
    </xf>
    <xf numFmtId="0" fontId="166" fillId="0" borderId="6485">
      <alignment horizontal="center"/>
    </xf>
    <xf numFmtId="0" fontId="165" fillId="0" borderId="6485" applyFill="0" applyProtection="0">
      <alignment horizontal="center"/>
    </xf>
    <xf numFmtId="186" fontId="146" fillId="3" borderId="6485" applyBorder="0">
      <alignment horizontal="left" vertical="center"/>
    </xf>
    <xf numFmtId="180" fontId="9" fillId="3" borderId="6485">
      <alignment horizontal="right" vertical="center"/>
    </xf>
    <xf numFmtId="192" fontId="9" fillId="3" borderId="6485">
      <alignment horizontal="right" vertical="center"/>
    </xf>
    <xf numFmtId="248" fontId="46" fillId="0" borderId="6485"/>
    <xf numFmtId="0" fontId="12" fillId="0" borderId="6485" applyNumberFormat="0" applyFill="0" applyBorder="0" applyAlignment="0" applyProtection="0">
      <alignment horizontal="center"/>
    </xf>
    <xf numFmtId="0" fontId="113" fillId="0" borderId="6485" applyNumberFormat="0" applyFill="0" applyAlignment="0" applyProtection="0"/>
    <xf numFmtId="222" fontId="79" fillId="0" borderId="6364" applyBorder="0"/>
    <xf numFmtId="0" fontId="101" fillId="0" borderId="6485" applyBorder="0"/>
    <xf numFmtId="246" fontId="250" fillId="0" borderId="6653" applyFill="0" applyProtection="0">
      <alignment horizontal="center"/>
    </xf>
    <xf numFmtId="246" fontId="250" fillId="0" borderId="6665" applyFill="0" applyProtection="0">
      <alignment horizontal="center"/>
    </xf>
    <xf numFmtId="246" fontId="250" fillId="0" borderId="6485" applyFill="0" applyProtection="0">
      <alignment horizontal="center"/>
    </xf>
    <xf numFmtId="246" fontId="249" fillId="0" borderId="6485" applyFill="0" applyProtection="0">
      <alignment horizontal="center"/>
    </xf>
    <xf numFmtId="0" fontId="241" fillId="94" borderId="6485" applyBorder="0" applyProtection="0">
      <alignment horizontal="centerContinuous" vertical="center"/>
    </xf>
    <xf numFmtId="254" fontId="240" fillId="0" borderId="6485" applyBorder="0" applyProtection="0">
      <alignment horizontal="right" vertical="center"/>
    </xf>
    <xf numFmtId="180" fontId="9" fillId="3" borderId="6725">
      <alignment horizontal="right" vertical="center"/>
    </xf>
    <xf numFmtId="0" fontId="210" fillId="0" borderId="6485" applyNumberFormat="0" applyFill="0" applyBorder="0" applyAlignment="0">
      <protection locked="0"/>
    </xf>
    <xf numFmtId="264" fontId="12" fillId="14" borderId="6485" applyFont="0" applyFill="0" applyBorder="0" applyAlignment="0" applyProtection="0">
      <alignment horizontal="right"/>
    </xf>
    <xf numFmtId="0" fontId="166" fillId="0" borderId="6485">
      <alignment horizontal="center"/>
    </xf>
    <xf numFmtId="0" fontId="165" fillId="0" borderId="6485" applyFill="0" applyProtection="0">
      <alignment horizontal="center"/>
    </xf>
    <xf numFmtId="186" fontId="146" fillId="3" borderId="6485" applyBorder="0">
      <alignment horizontal="left" vertical="center"/>
    </xf>
    <xf numFmtId="180" fontId="9" fillId="3" borderId="6485">
      <alignment horizontal="right" vertical="center"/>
    </xf>
    <xf numFmtId="192" fontId="9" fillId="3" borderId="6485">
      <alignment horizontal="right" vertical="center"/>
    </xf>
    <xf numFmtId="0" fontId="12" fillId="0" borderId="6485" applyNumberFormat="0" applyFill="0" applyBorder="0" applyAlignment="0" applyProtection="0">
      <alignment horizontal="center"/>
    </xf>
    <xf numFmtId="0" fontId="113" fillId="0" borderId="6485" applyNumberFormat="0" applyFill="0" applyAlignment="0" applyProtection="0"/>
    <xf numFmtId="222" fontId="79" fillId="0" borderId="6364" applyBorder="0"/>
    <xf numFmtId="0" fontId="101" fillId="0" borderId="6485" applyBorder="0"/>
    <xf numFmtId="0" fontId="210" fillId="0" borderId="6665" applyNumberFormat="0" applyFill="0" applyBorder="0" applyAlignment="0">
      <protection locked="0"/>
    </xf>
    <xf numFmtId="248" fontId="46" fillId="0" borderId="6485"/>
    <xf numFmtId="246" fontId="249" fillId="0" borderId="6713" applyFill="0" applyProtection="0">
      <alignment horizontal="center"/>
    </xf>
    <xf numFmtId="246" fontId="250" fillId="0" borderId="6485" applyFill="0" applyProtection="0">
      <alignment horizontal="center"/>
    </xf>
    <xf numFmtId="246" fontId="249" fillId="0" borderId="6485" applyFill="0" applyProtection="0">
      <alignment horizontal="center"/>
    </xf>
    <xf numFmtId="0" fontId="241" fillId="94" borderId="6485" applyBorder="0" applyProtection="0">
      <alignment horizontal="centerContinuous" vertical="center"/>
    </xf>
    <xf numFmtId="254" fontId="240" fillId="0" borderId="6485" applyBorder="0" applyProtection="0">
      <alignment horizontal="right" vertical="center"/>
    </xf>
    <xf numFmtId="0" fontId="210" fillId="0" borderId="6485" applyNumberFormat="0" applyFill="0" applyBorder="0" applyAlignment="0">
      <protection locked="0"/>
    </xf>
    <xf numFmtId="264" fontId="12" fillId="14" borderId="6485" applyFont="0" applyFill="0" applyBorder="0" applyAlignment="0" applyProtection="0">
      <alignment horizontal="right"/>
    </xf>
    <xf numFmtId="0" fontId="166" fillId="0" borderId="6485">
      <alignment horizontal="center"/>
    </xf>
    <xf numFmtId="0" fontId="165" fillId="0" borderId="6485" applyFill="0" applyProtection="0">
      <alignment horizontal="center"/>
    </xf>
    <xf numFmtId="186" fontId="146" fillId="3" borderId="6485" applyBorder="0">
      <alignment horizontal="left" vertical="center"/>
    </xf>
    <xf numFmtId="180" fontId="9" fillId="3" borderId="6485">
      <alignment horizontal="right" vertical="center"/>
    </xf>
    <xf numFmtId="192" fontId="9" fillId="3" borderId="6485">
      <alignment horizontal="right" vertical="center"/>
    </xf>
    <xf numFmtId="248" fontId="46" fillId="0" borderId="6485"/>
    <xf numFmtId="0" fontId="12" fillId="0" borderId="6485" applyNumberFormat="0" applyFill="0" applyBorder="0" applyAlignment="0" applyProtection="0">
      <alignment horizontal="center"/>
    </xf>
    <xf numFmtId="0" fontId="113" fillId="0" borderId="6485" applyNumberFormat="0" applyFill="0" applyAlignment="0" applyProtection="0"/>
    <xf numFmtId="222" fontId="79" fillId="0" borderId="6364" applyBorder="0"/>
    <xf numFmtId="0" fontId="101" fillId="0" borderId="6485" applyBorder="0"/>
    <xf numFmtId="0" fontId="25" fillId="10" borderId="6708" applyNumberFormat="0" applyProtection="0">
      <alignment horizontal="left" vertical="top"/>
    </xf>
    <xf numFmtId="222" fontId="79" fillId="0" borderId="6556" applyBorder="0"/>
    <xf numFmtId="0" fontId="101" fillId="0" borderId="6557" applyBorder="0"/>
    <xf numFmtId="222" fontId="79" fillId="0" borderId="6556" applyBorder="0"/>
    <xf numFmtId="0" fontId="113" fillId="0" borderId="6557" applyNumberFormat="0" applyFill="0" applyAlignment="0" applyProtection="0"/>
    <xf numFmtId="0" fontId="12" fillId="0" borderId="6557" applyNumberFormat="0" applyFill="0" applyBorder="0" applyAlignment="0" applyProtection="0">
      <alignment horizontal="center"/>
    </xf>
    <xf numFmtId="248" fontId="46" fillId="0" borderId="6557"/>
    <xf numFmtId="192" fontId="9" fillId="3" borderId="6557">
      <alignment horizontal="right" vertical="center"/>
    </xf>
    <xf numFmtId="180" fontId="9" fillId="3" borderId="6557">
      <alignment horizontal="right" vertical="center"/>
    </xf>
    <xf numFmtId="186" fontId="146" fillId="3" borderId="6557" applyBorder="0">
      <alignment horizontal="left" vertical="center"/>
    </xf>
    <xf numFmtId="0" fontId="165" fillId="0" borderId="6557" applyFill="0" applyProtection="0">
      <alignment horizontal="center"/>
    </xf>
    <xf numFmtId="0" fontId="166" fillId="0" borderId="6557">
      <alignment horizontal="center"/>
    </xf>
    <xf numFmtId="264" fontId="12" fillId="14" borderId="6557" applyFont="0" applyFill="0" applyBorder="0" applyAlignment="0" applyProtection="0">
      <alignment horizontal="right"/>
    </xf>
    <xf numFmtId="0" fontId="210" fillId="0" borderId="6557" applyNumberFormat="0" applyFill="0" applyBorder="0" applyAlignment="0">
      <protection locked="0"/>
    </xf>
    <xf numFmtId="254" fontId="240" fillId="0" borderId="6557" applyBorder="0" applyProtection="0">
      <alignment horizontal="right" vertical="center"/>
    </xf>
    <xf numFmtId="0" fontId="241" fillId="94" borderId="6557" applyBorder="0" applyProtection="0">
      <alignment horizontal="centerContinuous" vertical="center"/>
    </xf>
    <xf numFmtId="246" fontId="249" fillId="0" borderId="6557" applyFill="0" applyProtection="0">
      <alignment horizontal="center"/>
    </xf>
    <xf numFmtId="246" fontId="250" fillId="0" borderId="6557" applyFill="0" applyProtection="0">
      <alignment horizontal="center"/>
    </xf>
    <xf numFmtId="0" fontId="78" fillId="14" borderId="6559" applyFont="0" applyFill="0" applyBorder="0" applyAlignment="0" applyProtection="0"/>
    <xf numFmtId="0" fontId="25" fillId="10" borderId="6567" applyNumberFormat="0" applyProtection="0">
      <alignment horizontal="left" vertical="top"/>
    </xf>
    <xf numFmtId="0" fontId="25" fillId="10" borderId="6566" applyNumberFormat="0" applyProtection="0">
      <alignment horizontal="left" vertical="top"/>
    </xf>
    <xf numFmtId="0" fontId="25" fillId="10" borderId="6565" applyNumberFormat="0" applyProtection="0">
      <alignment horizontal="left" vertical="top"/>
    </xf>
    <xf numFmtId="0" fontId="25" fillId="10" borderId="6564" applyNumberFormat="0" applyProtection="0">
      <alignment horizontal="left" vertical="top"/>
    </xf>
    <xf numFmtId="0" fontId="214" fillId="0" borderId="6563" applyNumberFormat="0" applyFont="0" applyFill="0" applyAlignment="0" applyProtection="0"/>
    <xf numFmtId="0" fontId="2" fillId="0" borderId="6562" applyNumberFormat="0" applyAlignment="0" applyProtection="0"/>
    <xf numFmtId="186" fontId="140" fillId="3" borderId="6561">
      <alignment horizontal="center" vertical="center"/>
    </xf>
    <xf numFmtId="186" fontId="146" fillId="3" borderId="6560">
      <alignment horizontal="left"/>
    </xf>
    <xf numFmtId="0" fontId="75" fillId="0" borderId="6558" applyNumberFormat="0" applyFont="0" applyFill="0" applyAlignment="0" applyProtection="0"/>
    <xf numFmtId="222" fontId="79" fillId="0" borderId="6568" applyBorder="0"/>
    <xf numFmtId="0" fontId="101" fillId="0" borderId="6569" applyBorder="0"/>
    <xf numFmtId="222" fontId="79" fillId="0" borderId="6568" applyBorder="0"/>
    <xf numFmtId="0" fontId="113" fillId="0" borderId="6569" applyNumberFormat="0" applyFill="0" applyAlignment="0" applyProtection="0"/>
    <xf numFmtId="0" fontId="12" fillId="0" borderId="6569" applyNumberFormat="0" applyFill="0" applyBorder="0" applyAlignment="0" applyProtection="0">
      <alignment horizontal="center"/>
    </xf>
    <xf numFmtId="248" fontId="46" fillId="0" borderId="6569"/>
    <xf numFmtId="192" fontId="9" fillId="3" borderId="6569">
      <alignment horizontal="right" vertical="center"/>
    </xf>
    <xf numFmtId="180" fontId="9" fillId="3" borderId="6569">
      <alignment horizontal="right" vertical="center"/>
    </xf>
    <xf numFmtId="186" fontId="146" fillId="3" borderId="6569" applyBorder="0">
      <alignment horizontal="left" vertical="center"/>
    </xf>
    <xf numFmtId="0" fontId="165" fillId="0" borderId="6569" applyFill="0" applyProtection="0">
      <alignment horizontal="center"/>
    </xf>
    <xf numFmtId="0" fontId="166" fillId="0" borderId="6569">
      <alignment horizontal="center"/>
    </xf>
    <xf numFmtId="264" fontId="12" fillId="14" borderId="6569" applyFont="0" applyFill="0" applyBorder="0" applyAlignment="0" applyProtection="0">
      <alignment horizontal="right"/>
    </xf>
    <xf numFmtId="0" fontId="210" fillId="0" borderId="6569" applyNumberFormat="0" applyFill="0" applyBorder="0" applyAlignment="0">
      <protection locked="0"/>
    </xf>
    <xf numFmtId="254" fontId="240" fillId="0" borderId="6569" applyBorder="0" applyProtection="0">
      <alignment horizontal="right" vertical="center"/>
    </xf>
    <xf numFmtId="0" fontId="241" fillId="94" borderId="6569" applyBorder="0" applyProtection="0">
      <alignment horizontal="centerContinuous" vertical="center"/>
    </xf>
    <xf numFmtId="246" fontId="249" fillId="0" borderId="6569" applyFill="0" applyProtection="0">
      <alignment horizontal="center"/>
    </xf>
    <xf numFmtId="246" fontId="250" fillId="0" borderId="6569" applyFill="0" applyProtection="0">
      <alignment horizontal="center"/>
    </xf>
    <xf numFmtId="186" fontId="146" fillId="3" borderId="6572">
      <alignment horizontal="left"/>
    </xf>
    <xf numFmtId="0" fontId="75" fillId="0" borderId="6570" applyNumberFormat="0" applyFont="0" applyFill="0" applyAlignment="0" applyProtection="0"/>
    <xf numFmtId="0" fontId="113" fillId="0" borderId="6653" applyNumberFormat="0" applyFill="0" applyAlignment="0" applyProtection="0"/>
    <xf numFmtId="264" fontId="12" fillId="14" borderId="6653" applyFont="0" applyFill="0" applyBorder="0" applyAlignment="0" applyProtection="0">
      <alignment horizontal="right"/>
    </xf>
    <xf numFmtId="246" fontId="249" fillId="0" borderId="6653" applyFill="0" applyProtection="0">
      <alignment horizontal="center"/>
    </xf>
    <xf numFmtId="0" fontId="25" fillId="10" borderId="6579" applyNumberFormat="0" applyProtection="0">
      <alignment horizontal="left" vertical="top"/>
    </xf>
    <xf numFmtId="0" fontId="25" fillId="10" borderId="6577" applyNumberFormat="0" applyProtection="0">
      <alignment horizontal="left" vertical="top"/>
    </xf>
    <xf numFmtId="0" fontId="25" fillId="10" borderId="6578" applyNumberFormat="0" applyProtection="0">
      <alignment horizontal="left" vertical="top"/>
    </xf>
    <xf numFmtId="0" fontId="25" fillId="10" borderId="6576" applyNumberFormat="0" applyProtection="0">
      <alignment horizontal="left" vertical="top"/>
    </xf>
    <xf numFmtId="0" fontId="25" fillId="10" borderId="6579" applyNumberFormat="0" applyProtection="0">
      <alignment horizontal="left" vertical="top"/>
    </xf>
    <xf numFmtId="0" fontId="25" fillId="10" borderId="6578" applyNumberFormat="0" applyProtection="0">
      <alignment horizontal="left" vertical="top"/>
    </xf>
    <xf numFmtId="0" fontId="25" fillId="10" borderId="6577" applyNumberFormat="0" applyProtection="0">
      <alignment horizontal="left" vertical="top"/>
    </xf>
    <xf numFmtId="0" fontId="25" fillId="10" borderId="6576" applyNumberFormat="0" applyProtection="0">
      <alignment horizontal="left" vertical="top"/>
    </xf>
    <xf numFmtId="0" fontId="214" fillId="0" borderId="6575" applyNumberFormat="0" applyFont="0" applyFill="0" applyAlignment="0" applyProtection="0"/>
    <xf numFmtId="0" fontId="2" fillId="0" borderId="6574" applyNumberFormat="0" applyAlignment="0" applyProtection="0"/>
    <xf numFmtId="186" fontId="140" fillId="3" borderId="6573">
      <alignment horizontal="center" vertical="center"/>
    </xf>
    <xf numFmtId="186" fontId="140" fillId="3" borderId="6585">
      <alignment horizontal="center" vertical="center"/>
    </xf>
    <xf numFmtId="0" fontId="25" fillId="10" borderId="6588" applyNumberFormat="0" applyProtection="0">
      <alignment horizontal="left" vertical="top"/>
    </xf>
    <xf numFmtId="0" fontId="12" fillId="0" borderId="6653" applyNumberFormat="0" applyFill="0" applyBorder="0" applyAlignment="0" applyProtection="0">
      <alignment horizontal="center"/>
    </xf>
    <xf numFmtId="0" fontId="25" fillId="10" borderId="6650" applyNumberFormat="0" applyProtection="0">
      <alignment horizontal="left" vertical="top"/>
    </xf>
    <xf numFmtId="222" fontId="79" fillId="0" borderId="6640" applyBorder="0"/>
    <xf numFmtId="0" fontId="78" fillId="14" borderId="6643" applyFont="0" applyFill="0" applyBorder="0" applyAlignment="0" applyProtection="0"/>
    <xf numFmtId="222" fontId="79" fillId="0" borderId="6652" applyBorder="0"/>
    <xf numFmtId="0" fontId="101" fillId="0" borderId="6653" applyBorder="0"/>
    <xf numFmtId="222" fontId="79" fillId="0" borderId="6652" applyBorder="0"/>
    <xf numFmtId="248" fontId="46" fillId="0" borderId="6653"/>
    <xf numFmtId="192" fontId="9" fillId="3" borderId="6653">
      <alignment horizontal="right" vertical="center"/>
    </xf>
    <xf numFmtId="180" fontId="9" fillId="3" borderId="6653">
      <alignment horizontal="right" vertical="center"/>
    </xf>
    <xf numFmtId="186" fontId="146" fillId="3" borderId="6653" applyBorder="0">
      <alignment horizontal="left" vertical="center"/>
    </xf>
    <xf numFmtId="0" fontId="165" fillId="0" borderId="6653" applyFill="0" applyProtection="0">
      <alignment horizontal="center"/>
    </xf>
    <xf numFmtId="0" fontId="210" fillId="0" borderId="6653" applyNumberFormat="0" applyFill="0" applyBorder="0" applyAlignment="0">
      <protection locked="0"/>
    </xf>
    <xf numFmtId="254" fontId="240" fillId="0" borderId="6653" applyBorder="0" applyProtection="0">
      <alignment horizontal="right" vertical="center"/>
    </xf>
    <xf numFmtId="246" fontId="250" fillId="0" borderId="6653" applyFill="0" applyProtection="0">
      <alignment horizontal="center"/>
    </xf>
    <xf numFmtId="222" fontId="79" fillId="0" borderId="6592" applyBorder="0"/>
    <xf numFmtId="0" fontId="25" fillId="10" borderId="6589" applyNumberFormat="0" applyProtection="0">
      <alignment horizontal="left" vertical="top"/>
    </xf>
    <xf numFmtId="0" fontId="25" fillId="10" borderId="6591" applyNumberFormat="0" applyProtection="0">
      <alignment horizontal="left" vertical="top"/>
    </xf>
    <xf numFmtId="0" fontId="25" fillId="10" borderId="6588" applyNumberFormat="0" applyProtection="0">
      <alignment horizontal="left" vertical="top"/>
    </xf>
    <xf numFmtId="0" fontId="25" fillId="10" borderId="6589" applyNumberFormat="0" applyProtection="0">
      <alignment horizontal="left" vertical="top"/>
    </xf>
    <xf numFmtId="0" fontId="25" fillId="10" borderId="6590" applyNumberFormat="0" applyProtection="0">
      <alignment horizontal="left" vertical="top"/>
    </xf>
    <xf numFmtId="0" fontId="75" fillId="0" borderId="6594" applyNumberFormat="0" applyFont="0" applyFill="0" applyAlignment="0" applyProtection="0"/>
    <xf numFmtId="0" fontId="101" fillId="0" borderId="6605" applyBorder="0"/>
    <xf numFmtId="222" fontId="79" fillId="0" borderId="6604" applyBorder="0"/>
    <xf numFmtId="0" fontId="113" fillId="0" borderId="6605" applyNumberFormat="0" applyFill="0" applyAlignment="0" applyProtection="0"/>
    <xf numFmtId="0" fontId="12" fillId="0" borderId="6605" applyNumberFormat="0" applyFill="0" applyBorder="0" applyAlignment="0" applyProtection="0">
      <alignment horizontal="center"/>
    </xf>
    <xf numFmtId="248" fontId="46" fillId="0" borderId="6605"/>
    <xf numFmtId="192" fontId="9" fillId="3" borderId="6605">
      <alignment horizontal="right" vertical="center"/>
    </xf>
    <xf numFmtId="180" fontId="9" fillId="3" borderId="6605">
      <alignment horizontal="right" vertical="center"/>
    </xf>
    <xf numFmtId="186" fontId="146" fillId="3" borderId="6605" applyBorder="0">
      <alignment horizontal="left" vertical="center"/>
    </xf>
    <xf numFmtId="0" fontId="166" fillId="0" borderId="6605">
      <alignment horizontal="center"/>
    </xf>
    <xf numFmtId="0" fontId="210" fillId="0" borderId="6605" applyNumberFormat="0" applyFill="0" applyBorder="0" applyAlignment="0">
      <protection locked="0"/>
    </xf>
    <xf numFmtId="264" fontId="12" fillId="14" borderId="6605" applyFont="0" applyFill="0" applyBorder="0" applyAlignment="0" applyProtection="0">
      <alignment horizontal="right"/>
    </xf>
    <xf numFmtId="246" fontId="249" fillId="0" borderId="6605" applyFill="0" applyProtection="0">
      <alignment horizontal="center"/>
    </xf>
    <xf numFmtId="246" fontId="250" fillId="0" borderId="6605" applyFill="0" applyProtection="0">
      <alignment horizontal="center"/>
    </xf>
    <xf numFmtId="246" fontId="250" fillId="0" borderId="6629" applyFill="0" applyProtection="0">
      <alignment horizontal="center"/>
    </xf>
    <xf numFmtId="246" fontId="249" fillId="0" borderId="6629" applyFill="0" applyProtection="0">
      <alignment horizontal="center"/>
    </xf>
    <xf numFmtId="254" fontId="240" fillId="0" borderId="6629" applyBorder="0" applyProtection="0">
      <alignment horizontal="right" vertical="center"/>
    </xf>
    <xf numFmtId="264" fontId="12" fillId="14" borderId="6629" applyFont="0" applyFill="0" applyBorder="0" applyAlignment="0" applyProtection="0">
      <alignment horizontal="right"/>
    </xf>
    <xf numFmtId="0" fontId="165" fillId="0" borderId="6629" applyFill="0" applyProtection="0">
      <alignment horizontal="center"/>
    </xf>
    <xf numFmtId="180" fontId="9" fillId="3" borderId="6629">
      <alignment horizontal="right" vertical="center"/>
    </xf>
    <xf numFmtId="0" fontId="12" fillId="0" borderId="6629" applyNumberFormat="0" applyFill="0" applyBorder="0" applyAlignment="0" applyProtection="0">
      <alignment horizontal="center"/>
    </xf>
    <xf numFmtId="0" fontId="101" fillId="0" borderId="6629" applyBorder="0"/>
    <xf numFmtId="222" fontId="79" fillId="0" borderId="6628" applyBorder="0"/>
    <xf numFmtId="0" fontId="75" fillId="0" borderId="6618" applyNumberFormat="0" applyFont="0" applyFill="0" applyAlignment="0" applyProtection="0"/>
    <xf numFmtId="0" fontId="2" fillId="0" borderId="6622" applyNumberFormat="0" applyAlignment="0" applyProtection="0"/>
    <xf numFmtId="0" fontId="25" fillId="10" borderId="6624" applyNumberFormat="0" applyProtection="0">
      <alignment horizontal="left" vertical="top"/>
    </xf>
    <xf numFmtId="0" fontId="25" fillId="10" borderId="6627" applyNumberFormat="0" applyProtection="0">
      <alignment horizontal="left" vertical="top"/>
    </xf>
    <xf numFmtId="222" fontId="79" fillId="0" borderId="6616" applyBorder="0"/>
    <xf numFmtId="0" fontId="25" fillId="10" borderId="6602" applyNumberFormat="0" applyProtection="0">
      <alignment horizontal="left" vertical="top"/>
    </xf>
    <xf numFmtId="0" fontId="25" fillId="10" borderId="6600" applyNumberFormat="0" applyProtection="0">
      <alignment horizontal="left" vertical="top"/>
    </xf>
    <xf numFmtId="0" fontId="214" fillId="0" borderId="6599" applyNumberFormat="0" applyFont="0" applyFill="0" applyAlignment="0" applyProtection="0"/>
    <xf numFmtId="186" fontId="146" fillId="3" borderId="6596">
      <alignment horizontal="left"/>
    </xf>
    <xf numFmtId="222" fontId="79" fillId="0" borderId="6604" applyBorder="0"/>
    <xf numFmtId="0" fontId="101" fillId="0" borderId="6485" applyBorder="0"/>
    <xf numFmtId="0" fontId="113" fillId="0" borderId="6485" applyNumberFormat="0" applyFill="0" applyAlignment="0" applyProtection="0"/>
    <xf numFmtId="0" fontId="12" fillId="0" borderId="6485" applyNumberFormat="0" applyFill="0" applyBorder="0" applyAlignment="0" applyProtection="0">
      <alignment horizontal="center"/>
    </xf>
    <xf numFmtId="248" fontId="46" fillId="0" borderId="6485"/>
    <xf numFmtId="192" fontId="9" fillId="3" borderId="6485">
      <alignment horizontal="right" vertical="center"/>
    </xf>
    <xf numFmtId="180" fontId="9" fillId="3" borderId="6485">
      <alignment horizontal="right" vertical="center"/>
    </xf>
    <xf numFmtId="186" fontId="146" fillId="3" borderId="6485" applyBorder="0">
      <alignment horizontal="left" vertical="center"/>
    </xf>
    <xf numFmtId="0" fontId="165" fillId="0" borderId="6485" applyFill="0" applyProtection="0">
      <alignment horizontal="center"/>
    </xf>
    <xf numFmtId="0" fontId="166" fillId="0" borderId="6485">
      <alignment horizontal="center"/>
    </xf>
    <xf numFmtId="264" fontId="12" fillId="14" borderId="6485" applyFont="0" applyFill="0" applyBorder="0" applyAlignment="0" applyProtection="0">
      <alignment horizontal="right"/>
    </xf>
    <xf numFmtId="0" fontId="210" fillId="0" borderId="6485" applyNumberFormat="0" applyFill="0" applyBorder="0" applyAlignment="0">
      <protection locked="0"/>
    </xf>
    <xf numFmtId="248" fontId="46" fillId="0" borderId="6629"/>
    <xf numFmtId="222" fontId="79" fillId="0" borderId="6628" applyBorder="0"/>
    <xf numFmtId="186" fontId="140" fillId="3" borderId="6621">
      <alignment horizontal="center" vertical="center"/>
    </xf>
    <xf numFmtId="0" fontId="25" fillId="10" borderId="6626" applyNumberFormat="0" applyProtection="0">
      <alignment horizontal="left" vertical="top"/>
    </xf>
    <xf numFmtId="0" fontId="210" fillId="0" borderId="6629" applyNumberFormat="0" applyFill="0" applyBorder="0" applyAlignment="0">
      <protection locked="0"/>
    </xf>
    <xf numFmtId="192" fontId="9" fillId="3" borderId="6629">
      <alignment horizontal="right" vertical="center"/>
    </xf>
    <xf numFmtId="0" fontId="113" fillId="0" borderId="6629" applyNumberFormat="0" applyFill="0" applyAlignment="0" applyProtection="0"/>
    <xf numFmtId="186" fontId="146" fillId="3" borderId="6620">
      <alignment horizontal="left"/>
    </xf>
    <xf numFmtId="0" fontId="25" fillId="10" borderId="6625" applyNumberFormat="0" applyProtection="0">
      <alignment horizontal="left" vertical="top"/>
    </xf>
    <xf numFmtId="254" fontId="240" fillId="0" borderId="6485" applyBorder="0" applyProtection="0">
      <alignment horizontal="right" vertical="center"/>
    </xf>
    <xf numFmtId="0" fontId="241" fillId="94" borderId="6485" applyBorder="0" applyProtection="0">
      <alignment horizontal="centerContinuous" vertical="center"/>
    </xf>
    <xf numFmtId="246" fontId="249" fillId="0" borderId="6485" applyFill="0" applyProtection="0">
      <alignment horizontal="center"/>
    </xf>
    <xf numFmtId="246" fontId="250" fillId="0" borderId="6485" applyFill="0" applyProtection="0">
      <alignment horizontal="center"/>
    </xf>
    <xf numFmtId="0" fontId="25" fillId="10" borderId="6649" applyNumberFormat="0" applyProtection="0">
      <alignment horizontal="left" vertical="top"/>
    </xf>
    <xf numFmtId="0" fontId="25" fillId="10" borderId="6651" applyNumberFormat="0" applyProtection="0">
      <alignment horizontal="left" vertical="top"/>
    </xf>
    <xf numFmtId="222" fontId="79" fillId="0" borderId="6580" applyBorder="0"/>
    <xf numFmtId="0" fontId="214" fillId="0" borderId="6647" applyNumberFormat="0" applyFont="0" applyFill="0" applyAlignment="0" applyProtection="0"/>
    <xf numFmtId="0" fontId="75" fillId="0" borderId="6582" applyNumberFormat="0" applyFont="0" applyFill="0" applyAlignment="0" applyProtection="0"/>
    <xf numFmtId="0" fontId="25" fillId="10" borderId="6590" applyNumberFormat="0" applyProtection="0">
      <alignment horizontal="left" vertical="top"/>
    </xf>
    <xf numFmtId="0" fontId="25" fillId="10" borderId="6591" applyNumberFormat="0" applyProtection="0">
      <alignment horizontal="left" vertical="top"/>
    </xf>
    <xf numFmtId="0" fontId="165" fillId="0" borderId="6605" applyFill="0" applyProtection="0">
      <alignment horizontal="center"/>
    </xf>
    <xf numFmtId="254" fontId="240" fillId="0" borderId="6605" applyBorder="0" applyProtection="0">
      <alignment horizontal="right" vertical="center"/>
    </xf>
    <xf numFmtId="0" fontId="241" fillId="94" borderId="6605" applyBorder="0" applyProtection="0">
      <alignment horizontal="centerContinuous" vertical="center"/>
    </xf>
    <xf numFmtId="0" fontId="241" fillId="94" borderId="6629" applyBorder="0" applyProtection="0">
      <alignment horizontal="centerContinuous" vertical="center"/>
    </xf>
    <xf numFmtId="0" fontId="166" fillId="0" borderId="6629">
      <alignment horizontal="center"/>
    </xf>
    <xf numFmtId="186" fontId="146" fillId="3" borderId="6629" applyBorder="0">
      <alignment horizontal="left" vertical="center"/>
    </xf>
    <xf numFmtId="0" fontId="214" fillId="0" borderId="6623" applyNumberFormat="0" applyFont="0" applyFill="0" applyAlignment="0" applyProtection="0"/>
    <xf numFmtId="0" fontId="78" fillId="14" borderId="6619" applyFont="0" applyFill="0" applyBorder="0" applyAlignment="0" applyProtection="0"/>
    <xf numFmtId="0" fontId="78" fillId="14" borderId="6547" applyFont="0" applyFill="0" applyBorder="0" applyAlignment="0" applyProtection="0"/>
    <xf numFmtId="0" fontId="25" fillId="10" borderId="6483" applyNumberFormat="0" applyProtection="0">
      <alignment horizontal="left" vertical="top"/>
    </xf>
    <xf numFmtId="0" fontId="25" fillId="10" borderId="6482" applyNumberFormat="0" applyProtection="0">
      <alignment horizontal="left" vertical="top"/>
    </xf>
    <xf numFmtId="0" fontId="25" fillId="10" borderId="6481" applyNumberFormat="0" applyProtection="0">
      <alignment horizontal="left" vertical="top"/>
    </xf>
    <xf numFmtId="0" fontId="25" fillId="10" borderId="6480" applyNumberFormat="0" applyProtection="0">
      <alignment horizontal="left" vertical="top"/>
    </xf>
    <xf numFmtId="186" fontId="140" fillId="3" borderId="6645">
      <alignment horizontal="center" vertical="center"/>
    </xf>
    <xf numFmtId="0" fontId="214" fillId="0" borderId="6479" applyNumberFormat="0" applyFont="0" applyFill="0" applyAlignment="0" applyProtection="0"/>
    <xf numFmtId="0" fontId="2" fillId="0" borderId="6478" applyNumberFormat="0" applyAlignment="0" applyProtection="0"/>
    <xf numFmtId="186" fontId="140" fillId="3" borderId="6477">
      <alignment horizontal="center" vertical="center"/>
    </xf>
    <xf numFmtId="186" fontId="146" fillId="3" borderId="6476">
      <alignment horizontal="left"/>
    </xf>
    <xf numFmtId="186" fontId="146" fillId="3" borderId="6644">
      <alignment horizontal="left"/>
    </xf>
    <xf numFmtId="0" fontId="75" fillId="0" borderId="6474" applyNumberFormat="0" applyFont="0" applyFill="0" applyAlignment="0" applyProtection="0"/>
    <xf numFmtId="0" fontId="75" fillId="0" borderId="6642" applyNumberFormat="0" applyFont="0" applyFill="0" applyAlignment="0" applyProtection="0"/>
    <xf numFmtId="222" fontId="79" fillId="0" borderId="6556" applyBorder="0"/>
    <xf numFmtId="222" fontId="79" fillId="0" borderId="6556" applyBorder="0"/>
    <xf numFmtId="0" fontId="25" fillId="10" borderId="6648" applyNumberFormat="0" applyProtection="0">
      <alignment horizontal="left" vertical="top"/>
    </xf>
    <xf numFmtId="0" fontId="2" fillId="0" borderId="6646" applyNumberFormat="0" applyAlignment="0" applyProtection="0"/>
    <xf numFmtId="246" fontId="250" fillId="0" borderId="6581" applyFill="0" applyProtection="0">
      <alignment horizontal="center"/>
    </xf>
    <xf numFmtId="246" fontId="249" fillId="0" borderId="6581" applyFill="0" applyProtection="0">
      <alignment horizontal="center"/>
    </xf>
    <xf numFmtId="0" fontId="241" fillId="94" borderId="6581" applyBorder="0" applyProtection="0">
      <alignment horizontal="centerContinuous" vertical="center"/>
    </xf>
    <xf numFmtId="254" fontId="240" fillId="0" borderId="6581" applyBorder="0" applyProtection="0">
      <alignment horizontal="right" vertical="center"/>
    </xf>
    <xf numFmtId="0" fontId="210" fillId="0" borderId="6581" applyNumberFormat="0" applyFill="0" applyBorder="0" applyAlignment="0">
      <protection locked="0"/>
    </xf>
    <xf numFmtId="264" fontId="12" fillId="14" borderId="6581" applyFont="0" applyFill="0" applyBorder="0" applyAlignment="0" applyProtection="0">
      <alignment horizontal="right"/>
    </xf>
    <xf numFmtId="0" fontId="166" fillId="0" borderId="6581">
      <alignment horizontal="center"/>
    </xf>
    <xf numFmtId="0" fontId="165" fillId="0" borderId="6581" applyFill="0" applyProtection="0">
      <alignment horizontal="center"/>
    </xf>
    <xf numFmtId="186" fontId="146" fillId="3" borderId="6581" applyBorder="0">
      <alignment horizontal="left" vertical="center"/>
    </xf>
    <xf numFmtId="180" fontId="9" fillId="3" borderId="6581">
      <alignment horizontal="right" vertical="center"/>
    </xf>
    <xf numFmtId="192" fontId="9" fillId="3" borderId="6581">
      <alignment horizontal="right" vertical="center"/>
    </xf>
    <xf numFmtId="248" fontId="46" fillId="0" borderId="6581"/>
    <xf numFmtId="0" fontId="12" fillId="0" borderId="6581" applyNumberFormat="0" applyFill="0" applyBorder="0" applyAlignment="0" applyProtection="0">
      <alignment horizontal="center"/>
    </xf>
    <xf numFmtId="0" fontId="113" fillId="0" borderId="6581" applyNumberFormat="0" applyFill="0" applyAlignment="0" applyProtection="0"/>
    <xf numFmtId="222" fontId="79" fillId="0" borderId="6580" applyBorder="0"/>
    <xf numFmtId="0" fontId="101" fillId="0" borderId="6581" applyBorder="0"/>
    <xf numFmtId="222" fontId="79" fillId="0" borderId="6580" applyBorder="0"/>
    <xf numFmtId="0" fontId="75" fillId="0" borderId="6570" applyNumberFormat="0" applyFont="0" applyFill="0" applyAlignment="0" applyProtection="0"/>
    <xf numFmtId="186" fontId="146" fillId="3" borderId="6572">
      <alignment horizontal="left"/>
    </xf>
    <xf numFmtId="186" fontId="140" fillId="3" borderId="6573">
      <alignment horizontal="center" vertical="center"/>
    </xf>
    <xf numFmtId="0" fontId="2" fillId="0" borderId="6574" applyNumberFormat="0" applyAlignment="0" applyProtection="0"/>
    <xf numFmtId="0" fontId="214" fillId="0" borderId="6575" applyNumberFormat="0" applyFont="0" applyFill="0" applyAlignment="0" applyProtection="0"/>
    <xf numFmtId="0" fontId="25" fillId="10" borderId="6576" applyNumberFormat="0" applyProtection="0">
      <alignment horizontal="left" vertical="top"/>
    </xf>
    <xf numFmtId="0" fontId="25" fillId="10" borderId="6577" applyNumberFormat="0" applyProtection="0">
      <alignment horizontal="left" vertical="top"/>
    </xf>
    <xf numFmtId="0" fontId="25" fillId="10" borderId="6578" applyNumberFormat="0" applyProtection="0">
      <alignment horizontal="left" vertical="top"/>
    </xf>
    <xf numFmtId="0" fontId="25" fillId="10" borderId="6579" applyNumberFormat="0" applyProtection="0">
      <alignment horizontal="left" vertical="top"/>
    </xf>
    <xf numFmtId="0" fontId="78" fillId="14" borderId="6571" applyFont="0" applyFill="0" applyBorder="0" applyAlignment="0" applyProtection="0"/>
    <xf numFmtId="222" fontId="79" fillId="0" borderId="6568" applyBorder="0"/>
    <xf numFmtId="0" fontId="78" fillId="14" borderId="6547" applyFont="0" applyFill="0" applyBorder="0" applyAlignment="0" applyProtection="0"/>
    <xf numFmtId="222" fontId="79" fillId="0" borderId="6556" applyBorder="0"/>
    <xf numFmtId="0" fontId="78" fillId="14" borderId="6559" applyFont="0" applyFill="0" applyBorder="0" applyAlignment="0" applyProtection="0"/>
    <xf numFmtId="0" fontId="25" fillId="10" borderId="6567" applyNumberFormat="0" applyProtection="0">
      <alignment horizontal="left" vertical="top"/>
    </xf>
    <xf numFmtId="0" fontId="25" fillId="10" borderId="6566" applyNumberFormat="0" applyProtection="0">
      <alignment horizontal="left" vertical="top"/>
    </xf>
    <xf numFmtId="0" fontId="25" fillId="10" borderId="6565" applyNumberFormat="0" applyProtection="0">
      <alignment horizontal="left" vertical="top"/>
    </xf>
    <xf numFmtId="0" fontId="25" fillId="10" borderId="6564" applyNumberFormat="0" applyProtection="0">
      <alignment horizontal="left" vertical="top"/>
    </xf>
    <xf numFmtId="0" fontId="214" fillId="0" borderId="6563" applyNumberFormat="0" applyFont="0" applyFill="0" applyAlignment="0" applyProtection="0"/>
    <xf numFmtId="0" fontId="2" fillId="0" borderId="6478" applyNumberFormat="0" applyAlignment="0" applyProtection="0"/>
    <xf numFmtId="186" fontId="140" fillId="3" borderId="6561">
      <alignment horizontal="center" vertical="center"/>
    </xf>
    <xf numFmtId="186" fontId="146" fillId="3" borderId="6560">
      <alignment horizontal="left"/>
    </xf>
    <xf numFmtId="0" fontId="75" fillId="0" borderId="6558" applyNumberFormat="0" applyFont="0" applyFill="0" applyAlignment="0" applyProtection="0"/>
    <xf numFmtId="222" fontId="79" fillId="0" borderId="6568" applyBorder="0"/>
    <xf numFmtId="0" fontId="101" fillId="0" borderId="6569" applyBorder="0"/>
    <xf numFmtId="222" fontId="79" fillId="0" borderId="6568" applyBorder="0"/>
    <xf numFmtId="0" fontId="113" fillId="0" borderId="6569" applyNumberFormat="0" applyFill="0" applyAlignment="0" applyProtection="0"/>
    <xf numFmtId="0" fontId="12" fillId="0" borderId="6569" applyNumberFormat="0" applyFill="0" applyBorder="0" applyAlignment="0" applyProtection="0">
      <alignment horizontal="center"/>
    </xf>
    <xf numFmtId="248" fontId="46" fillId="0" borderId="6569"/>
    <xf numFmtId="192" fontId="9" fillId="3" borderId="6569">
      <alignment horizontal="right" vertical="center"/>
    </xf>
    <xf numFmtId="180" fontId="9" fillId="3" borderId="6569">
      <alignment horizontal="right" vertical="center"/>
    </xf>
    <xf numFmtId="186" fontId="146" fillId="3" borderId="6569" applyBorder="0">
      <alignment horizontal="left" vertical="center"/>
    </xf>
    <xf numFmtId="0" fontId="165" fillId="0" borderId="6569" applyFill="0" applyProtection="0">
      <alignment horizontal="center"/>
    </xf>
    <xf numFmtId="0" fontId="166" fillId="0" borderId="6569">
      <alignment horizontal="center"/>
    </xf>
    <xf numFmtId="264" fontId="12" fillId="14" borderId="6569" applyFont="0" applyFill="0" applyBorder="0" applyAlignment="0" applyProtection="0">
      <alignment horizontal="right"/>
    </xf>
    <xf numFmtId="0" fontId="210" fillId="0" borderId="6569" applyNumberFormat="0" applyFill="0" applyBorder="0" applyAlignment="0">
      <protection locked="0"/>
    </xf>
    <xf numFmtId="254" fontId="240" fillId="0" borderId="6569" applyBorder="0" applyProtection="0">
      <alignment horizontal="right" vertical="center"/>
    </xf>
    <xf numFmtId="0" fontId="241" fillId="94" borderId="6569" applyBorder="0" applyProtection="0">
      <alignment horizontal="centerContinuous" vertical="center"/>
    </xf>
    <xf numFmtId="246" fontId="249" fillId="0" borderId="6569" applyFill="0" applyProtection="0">
      <alignment horizontal="center"/>
    </xf>
    <xf numFmtId="246" fontId="250" fillId="0" borderId="6569" applyFill="0" applyProtection="0">
      <alignment horizontal="center"/>
    </xf>
    <xf numFmtId="0" fontId="241" fillId="94" borderId="6653" applyBorder="0" applyProtection="0">
      <alignment horizontal="centerContinuous" vertical="center"/>
    </xf>
    <xf numFmtId="0" fontId="166" fillId="0" borderId="6653">
      <alignment horizontal="center"/>
    </xf>
    <xf numFmtId="0" fontId="2" fillId="0" borderId="6586" applyNumberFormat="0" applyAlignment="0" applyProtection="0"/>
    <xf numFmtId="0" fontId="214" fillId="0" borderId="6587" applyNumberFormat="0" applyFont="0" applyFill="0" applyAlignment="0" applyProtection="0"/>
    <xf numFmtId="246" fontId="250" fillId="0" borderId="6593" applyFill="0" applyProtection="0">
      <alignment horizontal="center"/>
    </xf>
    <xf numFmtId="246" fontId="249" fillId="0" borderId="6593" applyFill="0" applyProtection="0">
      <alignment horizontal="center"/>
    </xf>
    <xf numFmtId="0" fontId="241" fillId="94" borderId="6593" applyBorder="0" applyProtection="0">
      <alignment horizontal="centerContinuous" vertical="center"/>
    </xf>
    <xf numFmtId="254" fontId="240" fillId="0" borderId="6593" applyBorder="0" applyProtection="0">
      <alignment horizontal="right" vertical="center"/>
    </xf>
    <xf numFmtId="0" fontId="210" fillId="0" borderId="6593" applyNumberFormat="0" applyFill="0" applyBorder="0" applyAlignment="0">
      <protection locked="0"/>
    </xf>
    <xf numFmtId="264" fontId="12" fillId="14" borderId="6593" applyFont="0" applyFill="0" applyBorder="0" applyAlignment="0" applyProtection="0">
      <alignment horizontal="right"/>
    </xf>
    <xf numFmtId="0" fontId="166" fillId="0" borderId="6593">
      <alignment horizontal="center"/>
    </xf>
    <xf numFmtId="0" fontId="165" fillId="0" borderId="6593" applyFill="0" applyProtection="0">
      <alignment horizontal="center"/>
    </xf>
    <xf numFmtId="186" fontId="146" fillId="3" borderId="6593" applyBorder="0">
      <alignment horizontal="left" vertical="center"/>
    </xf>
    <xf numFmtId="180" fontId="9" fillId="3" borderId="6593">
      <alignment horizontal="right" vertical="center"/>
    </xf>
    <xf numFmtId="192" fontId="9" fillId="3" borderId="6593">
      <alignment horizontal="right" vertical="center"/>
    </xf>
    <xf numFmtId="248" fontId="46" fillId="0" borderId="6593"/>
    <xf numFmtId="0" fontId="12" fillId="0" borderId="6593" applyNumberFormat="0" applyFill="0" applyBorder="0" applyAlignment="0" applyProtection="0">
      <alignment horizontal="center"/>
    </xf>
    <xf numFmtId="0" fontId="113" fillId="0" borderId="6593" applyNumberFormat="0" applyFill="0" applyAlignment="0" applyProtection="0"/>
    <xf numFmtId="222" fontId="79" fillId="0" borderId="6592" applyBorder="0"/>
    <xf numFmtId="0" fontId="101" fillId="0" borderId="6593" applyBorder="0"/>
    <xf numFmtId="222" fontId="79" fillId="0" borderId="6592" applyBorder="0"/>
    <xf numFmtId="0" fontId="75" fillId="0" borderId="6582" applyNumberFormat="0" applyFont="0" applyFill="0" applyAlignment="0" applyProtection="0"/>
    <xf numFmtId="186" fontId="146" fillId="3" borderId="6584">
      <alignment horizontal="left"/>
    </xf>
    <xf numFmtId="186" fontId="140" fillId="3" borderId="6585">
      <alignment horizontal="center" vertical="center"/>
    </xf>
    <xf numFmtId="0" fontId="2" fillId="0" borderId="6586" applyNumberFormat="0" applyAlignment="0" applyProtection="0"/>
    <xf numFmtId="0" fontId="214" fillId="0" borderId="6587" applyNumberFormat="0" applyFont="0" applyFill="0" applyAlignment="0" applyProtection="0"/>
    <xf numFmtId="0" fontId="25" fillId="10" borderId="6588" applyNumberFormat="0" applyProtection="0">
      <alignment horizontal="left" vertical="top"/>
    </xf>
    <xf numFmtId="0" fontId="25" fillId="10" borderId="6589" applyNumberFormat="0" applyProtection="0">
      <alignment horizontal="left" vertical="top"/>
    </xf>
    <xf numFmtId="0" fontId="25" fillId="10" borderId="6590" applyNumberFormat="0" applyProtection="0">
      <alignment horizontal="left" vertical="top"/>
    </xf>
    <xf numFmtId="0" fontId="25" fillId="10" borderId="6591" applyNumberFormat="0" applyProtection="0">
      <alignment horizontal="left" vertical="top"/>
    </xf>
    <xf numFmtId="0" fontId="78" fillId="14" borderId="6583" applyFont="0" applyFill="0" applyBorder="0" applyAlignment="0" applyProtection="0"/>
    <xf numFmtId="222" fontId="79" fillId="0" borderId="6580" applyBorder="0"/>
    <xf numFmtId="0" fontId="78" fillId="14" borderId="6595" applyFont="0" applyFill="0" applyBorder="0" applyAlignment="0" applyProtection="0"/>
    <xf numFmtId="186" fontId="146" fillId="3" borderId="6584">
      <alignment horizontal="left"/>
    </xf>
    <xf numFmtId="0" fontId="78" fillId="14" borderId="6571" applyFont="0" applyFill="0" applyBorder="0" applyAlignment="0" applyProtection="0"/>
    <xf numFmtId="222" fontId="79" fillId="0" borderId="6580" applyBorder="0"/>
    <xf numFmtId="0" fontId="2" fillId="0" borderId="6598" applyNumberFormat="0" applyAlignment="0" applyProtection="0"/>
    <xf numFmtId="0" fontId="78" fillId="14" borderId="6571" applyFont="0" applyFill="0" applyBorder="0" applyAlignment="0" applyProtection="0"/>
    <xf numFmtId="0" fontId="25" fillId="10" borderId="6579" applyNumberFormat="0" applyProtection="0">
      <alignment horizontal="left" vertical="top"/>
    </xf>
    <xf numFmtId="0" fontId="25" fillId="10" borderId="6578" applyNumberFormat="0" applyProtection="0">
      <alignment horizontal="left" vertical="top"/>
    </xf>
    <xf numFmtId="0" fontId="25" fillId="10" borderId="6577" applyNumberFormat="0" applyProtection="0">
      <alignment horizontal="left" vertical="top"/>
    </xf>
    <xf numFmtId="0" fontId="25" fillId="10" borderId="6576" applyNumberFormat="0" applyProtection="0">
      <alignment horizontal="left" vertical="top"/>
    </xf>
    <xf numFmtId="0" fontId="25" fillId="10" borderId="6601" applyNumberFormat="0" applyProtection="0">
      <alignment horizontal="left" vertical="top"/>
    </xf>
    <xf numFmtId="0" fontId="214" fillId="0" borderId="6575" applyNumberFormat="0" applyFont="0" applyFill="0" applyAlignment="0" applyProtection="0"/>
    <xf numFmtId="0" fontId="2" fillId="0" borderId="6574" applyNumberFormat="0" applyAlignment="0" applyProtection="0"/>
    <xf numFmtId="186" fontId="140" fillId="3" borderId="6573">
      <alignment horizontal="center" vertical="center"/>
    </xf>
    <xf numFmtId="186" fontId="146" fillId="3" borderId="6572">
      <alignment horizontal="left"/>
    </xf>
    <xf numFmtId="0" fontId="25" fillId="10" borderId="6603" applyNumberFormat="0" applyProtection="0">
      <alignment horizontal="left" vertical="top"/>
    </xf>
    <xf numFmtId="0" fontId="75" fillId="0" borderId="6570" applyNumberFormat="0" applyFont="0" applyFill="0" applyAlignment="0" applyProtection="0"/>
    <xf numFmtId="222" fontId="79" fillId="0" borderId="6580" applyBorder="0"/>
    <xf numFmtId="0" fontId="101" fillId="0" borderId="6581" applyBorder="0"/>
    <xf numFmtId="222" fontId="79" fillId="0" borderId="6580" applyBorder="0"/>
    <xf numFmtId="0" fontId="113" fillId="0" borderId="6581" applyNumberFormat="0" applyFill="0" applyAlignment="0" applyProtection="0"/>
    <xf numFmtId="0" fontId="12" fillId="0" borderId="6581" applyNumberFormat="0" applyFill="0" applyBorder="0" applyAlignment="0" applyProtection="0">
      <alignment horizontal="center"/>
    </xf>
    <xf numFmtId="248" fontId="46" fillId="0" borderId="6581"/>
    <xf numFmtId="192" fontId="9" fillId="3" borderId="6581">
      <alignment horizontal="right" vertical="center"/>
    </xf>
    <xf numFmtId="180" fontId="9" fillId="3" borderId="6581">
      <alignment horizontal="right" vertical="center"/>
    </xf>
    <xf numFmtId="186" fontId="146" fillId="3" borderId="6581" applyBorder="0">
      <alignment horizontal="left" vertical="center"/>
    </xf>
    <xf numFmtId="0" fontId="165" fillId="0" borderId="6581" applyFill="0" applyProtection="0">
      <alignment horizontal="center"/>
    </xf>
    <xf numFmtId="0" fontId="166" fillId="0" borderId="6581">
      <alignment horizontal="center"/>
    </xf>
    <xf numFmtId="264" fontId="12" fillId="14" borderId="6581" applyFont="0" applyFill="0" applyBorder="0" applyAlignment="0" applyProtection="0">
      <alignment horizontal="right"/>
    </xf>
    <xf numFmtId="0" fontId="210" fillId="0" borderId="6581" applyNumberFormat="0" applyFill="0" applyBorder="0" applyAlignment="0">
      <protection locked="0"/>
    </xf>
    <xf numFmtId="254" fontId="240" fillId="0" borderId="6581" applyBorder="0" applyProtection="0">
      <alignment horizontal="right" vertical="center"/>
    </xf>
    <xf numFmtId="0" fontId="241" fillId="94" borderId="6581" applyBorder="0" applyProtection="0">
      <alignment horizontal="centerContinuous" vertical="center"/>
    </xf>
    <xf numFmtId="246" fontId="249" fillId="0" borderId="6581" applyFill="0" applyProtection="0">
      <alignment horizontal="center"/>
    </xf>
    <xf numFmtId="246" fontId="250" fillId="0" borderId="6581" applyFill="0" applyProtection="0">
      <alignment horizontal="center"/>
    </xf>
    <xf numFmtId="186" fontId="140" fillId="3" borderId="6597">
      <alignment horizontal="center" vertical="center"/>
    </xf>
    <xf numFmtId="0" fontId="78" fillId="14" borderId="6583" applyFont="0" applyFill="0" applyBorder="0" applyAlignment="0" applyProtection="0"/>
    <xf numFmtId="222" fontId="79" fillId="0" borderId="6604" applyBorder="0"/>
    <xf numFmtId="0" fontId="78" fillId="14" borderId="6607" applyFont="0" applyFill="0" applyBorder="0" applyAlignment="0" applyProtection="0"/>
    <xf numFmtId="0" fontId="25" fillId="10" borderId="6615" applyNumberFormat="0" applyProtection="0">
      <alignment horizontal="left" vertical="top"/>
    </xf>
    <xf numFmtId="0" fontId="25" fillId="10" borderId="6614" applyNumberFormat="0" applyProtection="0">
      <alignment horizontal="left" vertical="top"/>
    </xf>
    <xf numFmtId="0" fontId="25" fillId="10" borderId="6613" applyNumberFormat="0" applyProtection="0">
      <alignment horizontal="left" vertical="top"/>
    </xf>
    <xf numFmtId="0" fontId="25" fillId="10" borderId="6612" applyNumberFormat="0" applyProtection="0">
      <alignment horizontal="left" vertical="top"/>
    </xf>
    <xf numFmtId="0" fontId="214" fillId="0" borderId="6611" applyNumberFormat="0" applyFont="0" applyFill="0" applyAlignment="0" applyProtection="0"/>
    <xf numFmtId="0" fontId="2" fillId="0" borderId="6610" applyNumberFormat="0" applyAlignment="0" applyProtection="0"/>
    <xf numFmtId="186" fontId="140" fillId="3" borderId="6609">
      <alignment horizontal="center" vertical="center"/>
    </xf>
    <xf numFmtId="186" fontId="146" fillId="3" borderId="6608">
      <alignment horizontal="left"/>
    </xf>
    <xf numFmtId="0" fontId="75" fillId="0" borderId="6606" applyNumberFormat="0" applyFont="0" applyFill="0" applyAlignment="0" applyProtection="0"/>
    <xf numFmtId="222" fontId="79" fillId="0" borderId="6616" applyBorder="0"/>
    <xf numFmtId="0" fontId="101" fillId="0" borderId="6617" applyBorder="0"/>
    <xf numFmtId="222" fontId="79" fillId="0" borderId="6616" applyBorder="0"/>
    <xf numFmtId="0" fontId="113" fillId="0" borderId="6617" applyNumberFormat="0" applyFill="0" applyAlignment="0" applyProtection="0"/>
    <xf numFmtId="0" fontId="12" fillId="0" borderId="6617" applyNumberFormat="0" applyFill="0" applyBorder="0" applyAlignment="0" applyProtection="0">
      <alignment horizontal="center"/>
    </xf>
    <xf numFmtId="248" fontId="46" fillId="0" borderId="6617"/>
    <xf numFmtId="192" fontId="9" fillId="3" borderId="6617">
      <alignment horizontal="right" vertical="center"/>
    </xf>
    <xf numFmtId="180" fontId="9" fillId="3" borderId="6617">
      <alignment horizontal="right" vertical="center"/>
    </xf>
    <xf numFmtId="186" fontId="146" fillId="3" borderId="6617" applyBorder="0">
      <alignment horizontal="left" vertical="center"/>
    </xf>
    <xf numFmtId="0" fontId="165" fillId="0" borderId="6617" applyFill="0" applyProtection="0">
      <alignment horizontal="center"/>
    </xf>
    <xf numFmtId="0" fontId="166" fillId="0" borderId="6617">
      <alignment horizontal="center"/>
    </xf>
    <xf numFmtId="264" fontId="12" fillId="14" borderId="6617" applyFont="0" applyFill="0" applyBorder="0" applyAlignment="0" applyProtection="0">
      <alignment horizontal="right"/>
    </xf>
    <xf numFmtId="0" fontId="210" fillId="0" borderId="6617" applyNumberFormat="0" applyFill="0" applyBorder="0" applyAlignment="0">
      <protection locked="0"/>
    </xf>
    <xf numFmtId="254" fontId="240" fillId="0" borderId="6617" applyBorder="0" applyProtection="0">
      <alignment horizontal="right" vertical="center"/>
    </xf>
    <xf numFmtId="0" fontId="241" fillId="94" borderId="6617" applyBorder="0" applyProtection="0">
      <alignment horizontal="centerContinuous" vertical="center"/>
    </xf>
    <xf numFmtId="246" fontId="249" fillId="0" borderId="6617" applyFill="0" applyProtection="0">
      <alignment horizontal="center"/>
    </xf>
    <xf numFmtId="246" fontId="250" fillId="0" borderId="6617" applyFill="0" applyProtection="0">
      <alignment horizontal="center"/>
    </xf>
    <xf numFmtId="222" fontId="79" fillId="0" borderId="6628" applyBorder="0"/>
    <xf numFmtId="0" fontId="78" fillId="14" borderId="6631" applyFont="0" applyFill="0" applyBorder="0" applyAlignment="0" applyProtection="0"/>
    <xf numFmtId="0" fontId="25" fillId="10" borderId="6639" applyNumberFormat="0" applyProtection="0">
      <alignment horizontal="left" vertical="top"/>
    </xf>
    <xf numFmtId="0" fontId="25" fillId="10" borderId="6638" applyNumberFormat="0" applyProtection="0">
      <alignment horizontal="left" vertical="top"/>
    </xf>
    <xf numFmtId="0" fontId="25" fillId="10" borderId="6637" applyNumberFormat="0" applyProtection="0">
      <alignment horizontal="left" vertical="top"/>
    </xf>
    <xf numFmtId="0" fontId="25" fillId="10" borderId="6636" applyNumberFormat="0" applyProtection="0">
      <alignment horizontal="left" vertical="top"/>
    </xf>
    <xf numFmtId="0" fontId="214" fillId="0" borderId="6635" applyNumberFormat="0" applyFont="0" applyFill="0" applyAlignment="0" applyProtection="0"/>
    <xf numFmtId="0" fontId="2" fillId="0" borderId="6634" applyNumberFormat="0" applyAlignment="0" applyProtection="0"/>
    <xf numFmtId="186" fontId="140" fillId="3" borderId="6633">
      <alignment horizontal="center" vertical="center"/>
    </xf>
    <xf numFmtId="186" fontId="146" fillId="3" borderId="6632">
      <alignment horizontal="left"/>
    </xf>
    <xf numFmtId="0" fontId="75" fillId="0" borderId="6630" applyNumberFormat="0" applyFont="0" applyFill="0" applyAlignment="0" applyProtection="0"/>
    <xf numFmtId="222" fontId="79" fillId="0" borderId="6640" applyBorder="0"/>
    <xf numFmtId="0" fontId="101" fillId="0" borderId="6641" applyBorder="0"/>
    <xf numFmtId="222" fontId="79" fillId="0" borderId="6640" applyBorder="0"/>
    <xf numFmtId="0" fontId="113" fillId="0" borderId="6641" applyNumberFormat="0" applyFill="0" applyAlignment="0" applyProtection="0"/>
    <xf numFmtId="0" fontId="12" fillId="0" borderId="6641" applyNumberFormat="0" applyFill="0" applyBorder="0" applyAlignment="0" applyProtection="0">
      <alignment horizontal="center"/>
    </xf>
    <xf numFmtId="248" fontId="46" fillId="0" borderId="6641"/>
    <xf numFmtId="192" fontId="9" fillId="3" borderId="6641">
      <alignment horizontal="right" vertical="center"/>
    </xf>
    <xf numFmtId="180" fontId="9" fillId="3" borderId="6641">
      <alignment horizontal="right" vertical="center"/>
    </xf>
    <xf numFmtId="186" fontId="146" fillId="3" borderId="6641" applyBorder="0">
      <alignment horizontal="left" vertical="center"/>
    </xf>
    <xf numFmtId="0" fontId="165" fillId="0" borderId="6641" applyFill="0" applyProtection="0">
      <alignment horizontal="center"/>
    </xf>
    <xf numFmtId="0" fontId="166" fillId="0" borderId="6641">
      <alignment horizontal="center"/>
    </xf>
    <xf numFmtId="264" fontId="12" fillId="14" borderId="6641" applyFont="0" applyFill="0" applyBorder="0" applyAlignment="0" applyProtection="0">
      <alignment horizontal="right"/>
    </xf>
    <xf numFmtId="0" fontId="210" fillId="0" borderId="6641" applyNumberFormat="0" applyFill="0" applyBorder="0" applyAlignment="0">
      <protection locked="0"/>
    </xf>
    <xf numFmtId="254" fontId="240" fillId="0" borderId="6641" applyBorder="0" applyProtection="0">
      <alignment horizontal="right" vertical="center"/>
    </xf>
    <xf numFmtId="0" fontId="241" fillId="94" borderId="6641" applyBorder="0" applyProtection="0">
      <alignment horizontal="centerContinuous" vertical="center"/>
    </xf>
    <xf numFmtId="246" fontId="249" fillId="0" borderId="6641" applyFill="0" applyProtection="0">
      <alignment horizontal="center"/>
    </xf>
    <xf numFmtId="246" fontId="250" fillId="0" borderId="6641" applyFill="0" applyProtection="0">
      <alignment horizontal="center"/>
    </xf>
    <xf numFmtId="0" fontId="75" fillId="0" borderId="6654" applyNumberFormat="0" applyFont="0" applyFill="0" applyAlignment="0" applyProtection="0"/>
    <xf numFmtId="0" fontId="78" fillId="14" borderId="6655" applyFont="0" applyFill="0" applyBorder="0" applyAlignment="0" applyProtection="0"/>
    <xf numFmtId="186" fontId="146" fillId="3" borderId="6656">
      <alignment horizontal="left"/>
    </xf>
    <xf numFmtId="186" fontId="140" fillId="3" borderId="6657">
      <alignment horizontal="center" vertical="center"/>
    </xf>
    <xf numFmtId="0" fontId="2" fillId="0" borderId="6658" applyNumberFormat="0" applyAlignment="0" applyProtection="0"/>
    <xf numFmtId="0" fontId="214" fillId="0" borderId="6659" applyNumberFormat="0" applyFont="0" applyFill="0" applyAlignment="0" applyProtection="0"/>
    <xf numFmtId="0" fontId="25" fillId="10" borderId="6660" applyNumberFormat="0" applyProtection="0">
      <alignment horizontal="left" vertical="top"/>
    </xf>
    <xf numFmtId="0" fontId="25" fillId="10" borderId="6661" applyNumberFormat="0" applyProtection="0">
      <alignment horizontal="left" vertical="top"/>
    </xf>
    <xf numFmtId="0" fontId="25" fillId="10" borderId="6662" applyNumberFormat="0" applyProtection="0">
      <alignment horizontal="left" vertical="top"/>
    </xf>
    <xf numFmtId="0" fontId="25" fillId="10" borderId="6663" applyNumberFormat="0" applyProtection="0">
      <alignment horizontal="left" vertical="top"/>
    </xf>
    <xf numFmtId="246" fontId="250" fillId="0" borderId="6653" applyFill="0" applyProtection="0">
      <alignment horizontal="center"/>
    </xf>
    <xf numFmtId="246" fontId="249" fillId="0" borderId="6653" applyFill="0" applyProtection="0">
      <alignment horizontal="center"/>
    </xf>
    <xf numFmtId="0" fontId="241" fillId="94" borderId="6653" applyBorder="0" applyProtection="0">
      <alignment horizontal="centerContinuous" vertical="center"/>
    </xf>
    <xf numFmtId="254" fontId="240" fillId="0" borderId="6653" applyBorder="0" applyProtection="0">
      <alignment horizontal="right" vertical="center"/>
    </xf>
    <xf numFmtId="0" fontId="210" fillId="0" borderId="6653" applyNumberFormat="0" applyFill="0" applyBorder="0" applyAlignment="0">
      <protection locked="0"/>
    </xf>
    <xf numFmtId="264" fontId="12" fillId="14" borderId="6653" applyFont="0" applyFill="0" applyBorder="0" applyAlignment="0" applyProtection="0">
      <alignment horizontal="right"/>
    </xf>
    <xf numFmtId="0" fontId="166" fillId="0" borderId="6653">
      <alignment horizontal="center"/>
    </xf>
    <xf numFmtId="0" fontId="165" fillId="0" borderId="6653" applyFill="0" applyProtection="0">
      <alignment horizontal="center"/>
    </xf>
    <xf numFmtId="186" fontId="146" fillId="3" borderId="6653" applyBorder="0">
      <alignment horizontal="left" vertical="center"/>
    </xf>
    <xf numFmtId="180" fontId="9" fillId="3" borderId="6653">
      <alignment horizontal="right" vertical="center"/>
    </xf>
    <xf numFmtId="192" fontId="9" fillId="3" borderId="6653">
      <alignment horizontal="right" vertical="center"/>
    </xf>
    <xf numFmtId="0" fontId="12" fillId="0" borderId="6653" applyNumberFormat="0" applyFill="0" applyBorder="0" applyAlignment="0" applyProtection="0">
      <alignment horizontal="center"/>
    </xf>
    <xf numFmtId="0" fontId="113" fillId="0" borderId="6653" applyNumberFormat="0" applyFill="0" applyAlignment="0" applyProtection="0"/>
    <xf numFmtId="222" fontId="79" fillId="0" borderId="6652" applyBorder="0"/>
    <xf numFmtId="0" fontId="101" fillId="0" borderId="6653" applyBorder="0"/>
    <xf numFmtId="248" fontId="46" fillId="0" borderId="6653"/>
    <xf numFmtId="0" fontId="101" fillId="0" borderId="6653" applyBorder="0"/>
    <xf numFmtId="222" fontId="79" fillId="0" borderId="6652" applyBorder="0"/>
    <xf numFmtId="0" fontId="113" fillId="0" borderId="6653" applyNumberFormat="0" applyFill="0" applyAlignment="0" applyProtection="0"/>
    <xf numFmtId="0" fontId="75" fillId="0" borderId="6654" applyNumberFormat="0" applyFont="0" applyFill="0" applyAlignment="0" applyProtection="0"/>
    <xf numFmtId="0" fontId="12" fillId="0" borderId="6653" applyNumberFormat="0" applyFill="0" applyBorder="0" applyAlignment="0" applyProtection="0">
      <alignment horizontal="center"/>
    </xf>
    <xf numFmtId="248" fontId="46" fillId="0" borderId="6653"/>
    <xf numFmtId="192" fontId="9" fillId="3" borderId="6653">
      <alignment horizontal="right" vertical="center"/>
    </xf>
    <xf numFmtId="180" fontId="9" fillId="3" borderId="6653">
      <alignment horizontal="right" vertical="center"/>
    </xf>
    <xf numFmtId="186" fontId="146" fillId="3" borderId="6653" applyBorder="0">
      <alignment horizontal="left" vertical="center"/>
    </xf>
    <xf numFmtId="186" fontId="146" fillId="3" borderId="6656">
      <alignment horizontal="left"/>
    </xf>
    <xf numFmtId="186" fontId="140" fillId="3" borderId="6657">
      <alignment horizontal="center" vertical="center"/>
    </xf>
    <xf numFmtId="0" fontId="165" fillId="0" borderId="6653" applyFill="0" applyProtection="0">
      <alignment horizontal="center"/>
    </xf>
    <xf numFmtId="0" fontId="166" fillId="0" borderId="6653">
      <alignment horizontal="center"/>
    </xf>
    <xf numFmtId="264" fontId="12" fillId="14" borderId="6653" applyFont="0" applyFill="0" applyBorder="0" applyAlignment="0" applyProtection="0">
      <alignment horizontal="right"/>
    </xf>
    <xf numFmtId="0" fontId="210" fillId="0" borderId="6653" applyNumberFormat="0" applyFill="0" applyBorder="0" applyAlignment="0">
      <protection locked="0"/>
    </xf>
    <xf numFmtId="0" fontId="2" fillId="0" borderId="6658" applyNumberFormat="0" applyAlignment="0" applyProtection="0"/>
    <xf numFmtId="0" fontId="214" fillId="0" borderId="6659" applyNumberFormat="0" applyFont="0" applyFill="0" applyAlignment="0" applyProtection="0"/>
    <xf numFmtId="0" fontId="25" fillId="10" borderId="6660" applyNumberFormat="0" applyProtection="0">
      <alignment horizontal="left" vertical="top"/>
    </xf>
    <xf numFmtId="0" fontId="25" fillId="10" borderId="6661" applyNumberFormat="0" applyProtection="0">
      <alignment horizontal="left" vertical="top"/>
    </xf>
    <xf numFmtId="0" fontId="25" fillId="10" borderId="6662" applyNumberFormat="0" applyProtection="0">
      <alignment horizontal="left" vertical="top"/>
    </xf>
    <xf numFmtId="0" fontId="25" fillId="10" borderId="6663" applyNumberFormat="0" applyProtection="0">
      <alignment horizontal="left" vertical="top"/>
    </xf>
    <xf numFmtId="0" fontId="25" fillId="10" borderId="6660" applyNumberFormat="0" applyProtection="0">
      <alignment horizontal="left" vertical="top"/>
    </xf>
    <xf numFmtId="0" fontId="25" fillId="10" borderId="6661" applyNumberFormat="0" applyProtection="0">
      <alignment horizontal="left" vertical="top"/>
    </xf>
    <xf numFmtId="0" fontId="25" fillId="10" borderId="6662" applyNumberFormat="0" applyProtection="0">
      <alignment horizontal="left" vertical="top"/>
    </xf>
    <xf numFmtId="0" fontId="25" fillId="10" borderId="6663" applyNumberFormat="0" applyProtection="0">
      <alignment horizontal="left" vertical="top"/>
    </xf>
    <xf numFmtId="254" fontId="240" fillId="0" borderId="6653" applyBorder="0" applyProtection="0">
      <alignment horizontal="right" vertical="center"/>
    </xf>
    <xf numFmtId="0" fontId="241" fillId="94" borderId="6653" applyBorder="0" applyProtection="0">
      <alignment horizontal="centerContinuous" vertical="center"/>
    </xf>
    <xf numFmtId="246" fontId="249" fillId="0" borderId="6653" applyFill="0" applyProtection="0">
      <alignment horizontal="center"/>
    </xf>
    <xf numFmtId="246" fontId="250" fillId="0" borderId="6653" applyFill="0" applyProtection="0">
      <alignment horizontal="center"/>
    </xf>
    <xf numFmtId="190" fontId="101" fillId="0" borderId="6653" applyBorder="0"/>
    <xf numFmtId="190" fontId="113" fillId="0" borderId="6653" applyNumberFormat="0" applyFill="0" applyAlignment="0" applyProtection="0"/>
    <xf numFmtId="190" fontId="75" fillId="0" borderId="6630" applyNumberFormat="0" applyFont="0" applyFill="0" applyAlignment="0" applyProtection="0"/>
    <xf numFmtId="190" fontId="12" fillId="0" borderId="6653" applyNumberFormat="0" applyFill="0" applyBorder="0" applyAlignment="0" applyProtection="0">
      <alignment horizontal="center"/>
    </xf>
    <xf numFmtId="190" fontId="78" fillId="14" borderId="6643" applyFont="0" applyFill="0" applyBorder="0" applyAlignment="0" applyProtection="0"/>
    <xf numFmtId="190" fontId="165" fillId="0" borderId="6653" applyFill="0" applyProtection="0">
      <alignment horizontal="center"/>
    </xf>
    <xf numFmtId="190" fontId="166" fillId="0" borderId="6653">
      <alignment horizontal="center"/>
    </xf>
    <xf numFmtId="190" fontId="210" fillId="0" borderId="6653" applyNumberFormat="0" applyFill="0" applyBorder="0" applyAlignment="0">
      <protection locked="0"/>
    </xf>
    <xf numFmtId="190" fontId="2" fillId="0" borderId="6634" applyNumberFormat="0" applyAlignment="0" applyProtection="0"/>
    <xf numFmtId="190" fontId="214" fillId="0" borderId="6635" applyNumberFormat="0" applyFont="0" applyFill="0" applyAlignment="0" applyProtection="0"/>
    <xf numFmtId="190" fontId="25" fillId="10" borderId="6636" applyNumberFormat="0" applyProtection="0">
      <alignment horizontal="left" vertical="top"/>
    </xf>
    <xf numFmtId="190" fontId="25" fillId="10" borderId="6637" applyNumberFormat="0" applyProtection="0">
      <alignment horizontal="left" vertical="top"/>
    </xf>
    <xf numFmtId="190" fontId="25" fillId="10" borderId="6638" applyNumberFormat="0" applyProtection="0">
      <alignment horizontal="left" vertical="top"/>
    </xf>
    <xf numFmtId="190" fontId="25" fillId="10" borderId="6639" applyNumberFormat="0" applyProtection="0">
      <alignment horizontal="left" vertical="top"/>
    </xf>
    <xf numFmtId="190" fontId="241" fillId="94" borderId="6653" applyBorder="0" applyProtection="0">
      <alignment horizontal="centerContinuous" vertical="center"/>
    </xf>
    <xf numFmtId="222" fontId="79" fillId="0" borderId="6652" applyBorder="0"/>
    <xf numFmtId="0" fontId="101" fillId="0" borderId="6653" applyBorder="0"/>
    <xf numFmtId="222" fontId="79" fillId="0" borderId="6652" applyBorder="0"/>
    <xf numFmtId="0" fontId="113" fillId="0" borderId="6653" applyNumberFormat="0" applyFill="0" applyAlignment="0" applyProtection="0"/>
    <xf numFmtId="0" fontId="75" fillId="0" borderId="6630" applyNumberFormat="0" applyFont="0" applyFill="0" applyAlignment="0" applyProtection="0"/>
    <xf numFmtId="0" fontId="12" fillId="0" borderId="6653" applyNumberFormat="0" applyFill="0" applyBorder="0" applyAlignment="0" applyProtection="0">
      <alignment horizontal="center"/>
    </xf>
    <xf numFmtId="248" fontId="46" fillId="0" borderId="6653"/>
    <xf numFmtId="192" fontId="9" fillId="3" borderId="6653">
      <alignment horizontal="right" vertical="center"/>
    </xf>
    <xf numFmtId="180" fontId="9" fillId="3" borderId="6653">
      <alignment horizontal="right" vertical="center"/>
    </xf>
    <xf numFmtId="186" fontId="146" fillId="3" borderId="6653" applyBorder="0">
      <alignment horizontal="left" vertical="center"/>
    </xf>
    <xf numFmtId="186" fontId="146" fillId="3" borderId="6632">
      <alignment horizontal="left"/>
    </xf>
    <xf numFmtId="186" fontId="140" fillId="3" borderId="6633">
      <alignment horizontal="center" vertical="center"/>
    </xf>
    <xf numFmtId="0" fontId="165" fillId="0" borderId="6653" applyFill="0" applyProtection="0">
      <alignment horizontal="center"/>
    </xf>
    <xf numFmtId="0" fontId="166" fillId="0" borderId="6653">
      <alignment horizontal="center"/>
    </xf>
    <xf numFmtId="264" fontId="12" fillId="14" borderId="6653" applyFont="0" applyFill="0" applyBorder="0" applyAlignment="0" applyProtection="0">
      <alignment horizontal="right"/>
    </xf>
    <xf numFmtId="0" fontId="210" fillId="0" borderId="6653" applyNumberFormat="0" applyFill="0" applyBorder="0" applyAlignment="0">
      <protection locked="0"/>
    </xf>
    <xf numFmtId="0" fontId="2" fillId="0" borderId="6634" applyNumberFormat="0" applyAlignment="0" applyProtection="0"/>
    <xf numFmtId="0" fontId="214" fillId="0" borderId="6635" applyNumberFormat="0" applyFont="0" applyFill="0" applyAlignment="0" applyProtection="0"/>
    <xf numFmtId="0" fontId="25" fillId="10" borderId="6636" applyNumberFormat="0" applyProtection="0">
      <alignment horizontal="left" vertical="top"/>
    </xf>
    <xf numFmtId="0" fontId="25" fillId="10" borderId="6637" applyNumberFormat="0" applyProtection="0">
      <alignment horizontal="left" vertical="top"/>
    </xf>
    <xf numFmtId="0" fontId="25" fillId="10" borderId="6638" applyNumberFormat="0" applyProtection="0">
      <alignment horizontal="left" vertical="top"/>
    </xf>
    <xf numFmtId="0" fontId="25" fillId="10" borderId="6639" applyNumberFormat="0" applyProtection="0">
      <alignment horizontal="left" vertical="top"/>
    </xf>
    <xf numFmtId="0" fontId="25" fillId="10" borderId="6636" applyNumberFormat="0" applyProtection="0">
      <alignment horizontal="left" vertical="top"/>
    </xf>
    <xf numFmtId="0" fontId="25" fillId="10" borderId="6637" applyNumberFormat="0" applyProtection="0">
      <alignment horizontal="left" vertical="top"/>
    </xf>
    <xf numFmtId="0" fontId="25" fillId="10" borderId="6638" applyNumberFormat="0" applyProtection="0">
      <alignment horizontal="left" vertical="top"/>
    </xf>
    <xf numFmtId="0" fontId="25" fillId="10" borderId="6639" applyNumberFormat="0" applyProtection="0">
      <alignment horizontal="left" vertical="top"/>
    </xf>
    <xf numFmtId="254" fontId="240" fillId="0" borderId="6653" applyBorder="0" applyProtection="0">
      <alignment horizontal="right" vertical="center"/>
    </xf>
    <xf numFmtId="0" fontId="241" fillId="94" borderId="6653" applyBorder="0" applyProtection="0">
      <alignment horizontal="centerContinuous" vertical="center"/>
    </xf>
    <xf numFmtId="246" fontId="249" fillId="0" borderId="6653" applyFill="0" applyProtection="0">
      <alignment horizontal="center"/>
    </xf>
    <xf numFmtId="246" fontId="250" fillId="0" borderId="6653" applyFill="0" applyProtection="0">
      <alignment horizontal="center"/>
    </xf>
    <xf numFmtId="312" fontId="101" fillId="0" borderId="6653" applyBorder="0"/>
    <xf numFmtId="312" fontId="113" fillId="0" borderId="6653" applyNumberFormat="0" applyFill="0" applyAlignment="0" applyProtection="0"/>
    <xf numFmtId="312" fontId="75" fillId="0" borderId="6630" applyNumberFormat="0" applyFont="0" applyFill="0" applyAlignment="0" applyProtection="0"/>
    <xf numFmtId="312" fontId="12" fillId="0" borderId="6653" applyNumberFormat="0" applyFill="0" applyBorder="0" applyAlignment="0" applyProtection="0">
      <alignment horizontal="center"/>
    </xf>
    <xf numFmtId="312" fontId="165" fillId="0" borderId="6653" applyFill="0" applyProtection="0">
      <alignment horizontal="center"/>
    </xf>
    <xf numFmtId="312" fontId="242" fillId="0" borderId="6653">
      <alignment horizontal="center"/>
    </xf>
    <xf numFmtId="312" fontId="210" fillId="0" borderId="6653" applyNumberFormat="0" applyFill="0" applyBorder="0" applyAlignment="0">
      <protection locked="0"/>
    </xf>
    <xf numFmtId="312" fontId="2" fillId="0" borderId="6634" applyNumberFormat="0" applyAlignment="0" applyProtection="0"/>
    <xf numFmtId="312" fontId="214" fillId="0" borderId="6635" applyNumberFormat="0" applyFont="0" applyFill="0" applyAlignment="0" applyProtection="0"/>
    <xf numFmtId="312" fontId="25" fillId="10" borderId="6636" applyNumberFormat="0" applyProtection="0">
      <alignment horizontal="left" vertical="top"/>
    </xf>
    <xf numFmtId="312" fontId="25" fillId="10" borderId="6637" applyNumberFormat="0" applyProtection="0">
      <alignment horizontal="left" vertical="top"/>
    </xf>
    <xf numFmtId="312" fontId="25" fillId="10" borderId="6638" applyNumberFormat="0" applyProtection="0">
      <alignment horizontal="left" vertical="top"/>
    </xf>
    <xf numFmtId="312" fontId="25" fillId="10" borderId="6639" applyNumberFormat="0" applyProtection="0">
      <alignment horizontal="left" vertical="top"/>
    </xf>
    <xf numFmtId="312" fontId="241" fillId="94" borderId="6653" applyBorder="0" applyProtection="0">
      <alignment horizontal="centerContinuous" vertical="center"/>
    </xf>
    <xf numFmtId="246" fontId="296" fillId="0" borderId="6653" applyFill="0" applyProtection="0">
      <alignment horizontal="center"/>
    </xf>
    <xf numFmtId="312" fontId="101" fillId="0" borderId="6653" applyBorder="0"/>
    <xf numFmtId="312" fontId="113" fillId="0" borderId="6653" applyNumberFormat="0" applyFill="0" applyAlignment="0" applyProtection="0"/>
    <xf numFmtId="312" fontId="75" fillId="0" borderId="6630" applyNumberFormat="0" applyFont="0" applyFill="0" applyAlignment="0" applyProtection="0"/>
    <xf numFmtId="312" fontId="12" fillId="0" borderId="6653" applyNumberFormat="0" applyFill="0" applyBorder="0" applyAlignment="0" applyProtection="0">
      <alignment horizontal="center"/>
    </xf>
    <xf numFmtId="312" fontId="165" fillId="0" borderId="6653" applyFill="0" applyProtection="0">
      <alignment horizontal="center"/>
    </xf>
    <xf numFmtId="312" fontId="242" fillId="0" borderId="6653">
      <alignment horizontal="center"/>
    </xf>
    <xf numFmtId="312" fontId="210" fillId="0" borderId="6653" applyNumberFormat="0" applyFill="0" applyBorder="0" applyAlignment="0">
      <protection locked="0"/>
    </xf>
    <xf numFmtId="312" fontId="2" fillId="0" borderId="6634" applyNumberFormat="0" applyAlignment="0" applyProtection="0"/>
    <xf numFmtId="312" fontId="214" fillId="0" borderId="6635" applyNumberFormat="0" applyFont="0" applyFill="0" applyAlignment="0" applyProtection="0"/>
    <xf numFmtId="312" fontId="25" fillId="10" borderId="6636" applyNumberFormat="0" applyProtection="0">
      <alignment horizontal="left" vertical="top"/>
    </xf>
    <xf numFmtId="312" fontId="25" fillId="10" borderId="6637" applyNumberFormat="0" applyProtection="0">
      <alignment horizontal="left" vertical="top"/>
    </xf>
    <xf numFmtId="312" fontId="25" fillId="10" borderId="6638" applyNumberFormat="0" applyProtection="0">
      <alignment horizontal="left" vertical="top"/>
    </xf>
    <xf numFmtId="312" fontId="25" fillId="10" borderId="6639" applyNumberFormat="0" applyProtection="0">
      <alignment horizontal="left" vertical="top"/>
    </xf>
    <xf numFmtId="312" fontId="25" fillId="10" borderId="6636" applyNumberFormat="0" applyProtection="0">
      <alignment horizontal="left" vertical="top"/>
    </xf>
    <xf numFmtId="312" fontId="25" fillId="10" borderId="6637" applyNumberFormat="0" applyProtection="0">
      <alignment horizontal="left" vertical="top"/>
    </xf>
    <xf numFmtId="312" fontId="25" fillId="10" borderId="6638" applyNumberFormat="0" applyProtection="0">
      <alignment horizontal="left" vertical="top"/>
    </xf>
    <xf numFmtId="312" fontId="25" fillId="10" borderId="6639" applyNumberFormat="0" applyProtection="0">
      <alignment horizontal="left" vertical="top"/>
    </xf>
    <xf numFmtId="312" fontId="241" fillId="94" borderId="6653" applyBorder="0" applyProtection="0">
      <alignment horizontal="centerContinuous" vertical="center"/>
    </xf>
    <xf numFmtId="246" fontId="296" fillId="0" borderId="6653" applyFill="0" applyProtection="0">
      <alignment horizontal="center"/>
    </xf>
    <xf numFmtId="246" fontId="250" fillId="0" borderId="6653" applyFill="0" applyProtection="0">
      <alignment horizontal="center"/>
    </xf>
    <xf numFmtId="246" fontId="249" fillId="0" borderId="6653" applyFill="0" applyProtection="0">
      <alignment horizontal="center"/>
    </xf>
    <xf numFmtId="0" fontId="241" fillId="94" borderId="6653" applyBorder="0" applyProtection="0">
      <alignment horizontal="centerContinuous" vertical="center"/>
    </xf>
    <xf numFmtId="254" fontId="240" fillId="0" borderId="6653" applyBorder="0" applyProtection="0">
      <alignment horizontal="right" vertical="center"/>
    </xf>
    <xf numFmtId="0" fontId="25" fillId="10" borderId="6651" applyNumberFormat="0" applyProtection="0">
      <alignment horizontal="left" vertical="top"/>
    </xf>
    <xf numFmtId="0" fontId="25" fillId="10" borderId="6650" applyNumberFormat="0" applyProtection="0">
      <alignment horizontal="left" vertical="top"/>
    </xf>
    <xf numFmtId="0" fontId="25" fillId="10" borderId="6649" applyNumberFormat="0" applyProtection="0">
      <alignment horizontal="left" vertical="top"/>
    </xf>
    <xf numFmtId="0" fontId="25" fillId="10" borderId="6648" applyNumberFormat="0" applyProtection="0">
      <alignment horizontal="left" vertical="top"/>
    </xf>
    <xf numFmtId="0" fontId="214" fillId="0" borderId="6647" applyNumberFormat="0" applyFont="0" applyFill="0" applyAlignment="0" applyProtection="0"/>
    <xf numFmtId="0" fontId="2" fillId="0" borderId="6646" applyNumberFormat="0" applyAlignment="0" applyProtection="0"/>
    <xf numFmtId="0" fontId="210" fillId="0" borderId="6653" applyNumberFormat="0" applyFill="0" applyBorder="0" applyAlignment="0">
      <protection locked="0"/>
    </xf>
    <xf numFmtId="264" fontId="12" fillId="14" borderId="6653" applyFont="0" applyFill="0" applyBorder="0" applyAlignment="0" applyProtection="0">
      <alignment horizontal="right"/>
    </xf>
    <xf numFmtId="0" fontId="166" fillId="0" borderId="6653">
      <alignment horizontal="center"/>
    </xf>
    <xf numFmtId="0" fontId="165" fillId="0" borderId="6653" applyFill="0" applyProtection="0">
      <alignment horizontal="center"/>
    </xf>
    <xf numFmtId="186" fontId="140" fillId="3" borderId="6645">
      <alignment horizontal="center" vertical="center"/>
    </xf>
    <xf numFmtId="186" fontId="146" fillId="3" borderId="6644">
      <alignment horizontal="left"/>
    </xf>
    <xf numFmtId="186" fontId="146" fillId="3" borderId="6653" applyBorder="0">
      <alignment horizontal="left" vertical="center"/>
    </xf>
    <xf numFmtId="180" fontId="9" fillId="3" borderId="6653">
      <alignment horizontal="right" vertical="center"/>
    </xf>
    <xf numFmtId="192" fontId="9" fillId="3" borderId="6653">
      <alignment horizontal="right" vertical="center"/>
    </xf>
    <xf numFmtId="248" fontId="46" fillId="0" borderId="6653"/>
    <xf numFmtId="0" fontId="78" fillId="14" borderId="6643" applyFont="0" applyFill="0" applyBorder="0" applyAlignment="0" applyProtection="0"/>
    <xf numFmtId="0" fontId="12" fillId="0" borderId="6653" applyNumberFormat="0" applyFill="0" applyBorder="0" applyAlignment="0" applyProtection="0">
      <alignment horizontal="center"/>
    </xf>
    <xf numFmtId="0" fontId="75" fillId="0" borderId="6642" applyNumberFormat="0" applyFont="0" applyFill="0" applyAlignment="0" applyProtection="0"/>
    <xf numFmtId="0" fontId="113" fillId="0" borderId="6653" applyNumberFormat="0" applyFill="0" applyAlignment="0" applyProtection="0"/>
    <xf numFmtId="222" fontId="79" fillId="0" borderId="6652" applyBorder="0"/>
    <xf numFmtId="0" fontId="101" fillId="0" borderId="6653" applyBorder="0"/>
    <xf numFmtId="0" fontId="25" fillId="10" borderId="6660" applyNumberFormat="0" applyProtection="0">
      <alignment horizontal="left" vertical="top"/>
    </xf>
    <xf numFmtId="0" fontId="25" fillId="10" borderId="6661" applyNumberFormat="0" applyProtection="0">
      <alignment horizontal="left" vertical="top"/>
    </xf>
    <xf numFmtId="0" fontId="25" fillId="10" borderId="6662" applyNumberFormat="0" applyProtection="0">
      <alignment horizontal="left" vertical="top"/>
    </xf>
    <xf numFmtId="0" fontId="25" fillId="10" borderId="6663" applyNumberFormat="0" applyProtection="0">
      <alignment horizontal="left" vertical="top"/>
    </xf>
    <xf numFmtId="246" fontId="250" fillId="0" borderId="6641" applyFill="0" applyProtection="0">
      <alignment horizontal="center"/>
    </xf>
    <xf numFmtId="246" fontId="249" fillId="0" borderId="6641" applyFill="0" applyProtection="0">
      <alignment horizontal="center"/>
    </xf>
    <xf numFmtId="0" fontId="241" fillId="94" borderId="6641" applyBorder="0" applyProtection="0">
      <alignment horizontal="centerContinuous" vertical="center"/>
    </xf>
    <xf numFmtId="254" fontId="240" fillId="0" borderId="6641" applyBorder="0" applyProtection="0">
      <alignment horizontal="right" vertical="center"/>
    </xf>
    <xf numFmtId="0" fontId="210" fillId="0" borderId="6641" applyNumberFormat="0" applyFill="0" applyBorder="0" applyAlignment="0">
      <protection locked="0"/>
    </xf>
    <xf numFmtId="264" fontId="12" fillId="14" borderId="6641" applyFont="0" applyFill="0" applyBorder="0" applyAlignment="0" applyProtection="0">
      <alignment horizontal="right"/>
    </xf>
    <xf numFmtId="0" fontId="166" fillId="0" borderId="6641">
      <alignment horizontal="center"/>
    </xf>
    <xf numFmtId="0" fontId="165" fillId="0" borderId="6641" applyFill="0" applyProtection="0">
      <alignment horizontal="center"/>
    </xf>
    <xf numFmtId="186" fontId="146" fillId="3" borderId="6641" applyBorder="0">
      <alignment horizontal="left" vertical="center"/>
    </xf>
    <xf numFmtId="180" fontId="9" fillId="3" borderId="6641">
      <alignment horizontal="right" vertical="center"/>
    </xf>
    <xf numFmtId="192" fontId="9" fillId="3" borderId="6641">
      <alignment horizontal="right" vertical="center"/>
    </xf>
    <xf numFmtId="248" fontId="46" fillId="0" borderId="6641"/>
    <xf numFmtId="0" fontId="12" fillId="0" borderId="6641" applyNumberFormat="0" applyFill="0" applyBorder="0" applyAlignment="0" applyProtection="0">
      <alignment horizontal="center"/>
    </xf>
    <xf numFmtId="0" fontId="113" fillId="0" borderId="6641" applyNumberFormat="0" applyFill="0" applyAlignment="0" applyProtection="0"/>
    <xf numFmtId="222" fontId="79" fillId="0" borderId="6640" applyBorder="0"/>
    <xf numFmtId="0" fontId="101" fillId="0" borderId="6641" applyBorder="0"/>
    <xf numFmtId="246" fontId="250" fillId="0" borderId="6641" applyFill="0" applyProtection="0">
      <alignment horizontal="center"/>
    </xf>
    <xf numFmtId="246" fontId="249" fillId="0" borderId="6641" applyFill="0" applyProtection="0">
      <alignment horizontal="center"/>
    </xf>
    <xf numFmtId="0" fontId="241" fillId="94" borderId="6641" applyBorder="0" applyProtection="0">
      <alignment horizontal="centerContinuous" vertical="center"/>
    </xf>
    <xf numFmtId="254" fontId="240" fillId="0" borderId="6641" applyBorder="0" applyProtection="0">
      <alignment horizontal="right" vertical="center"/>
    </xf>
    <xf numFmtId="0" fontId="210" fillId="0" borderId="6641" applyNumberFormat="0" applyFill="0" applyBorder="0" applyAlignment="0">
      <protection locked="0"/>
    </xf>
    <xf numFmtId="264" fontId="12" fillId="14" borderId="6641" applyFont="0" applyFill="0" applyBorder="0" applyAlignment="0" applyProtection="0">
      <alignment horizontal="right"/>
    </xf>
    <xf numFmtId="0" fontId="166" fillId="0" borderId="6641">
      <alignment horizontal="center"/>
    </xf>
    <xf numFmtId="0" fontId="165" fillId="0" borderId="6641" applyFill="0" applyProtection="0">
      <alignment horizontal="center"/>
    </xf>
    <xf numFmtId="186" fontId="146" fillId="3" borderId="6641" applyBorder="0">
      <alignment horizontal="left" vertical="center"/>
    </xf>
    <xf numFmtId="180" fontId="9" fillId="3" borderId="6641">
      <alignment horizontal="right" vertical="center"/>
    </xf>
    <xf numFmtId="192" fontId="9" fillId="3" borderId="6641">
      <alignment horizontal="right" vertical="center"/>
    </xf>
    <xf numFmtId="0" fontId="12" fillId="0" borderId="6641" applyNumberFormat="0" applyFill="0" applyBorder="0" applyAlignment="0" applyProtection="0">
      <alignment horizontal="center"/>
    </xf>
    <xf numFmtId="0" fontId="113" fillId="0" borderId="6641" applyNumberFormat="0" applyFill="0" applyAlignment="0" applyProtection="0"/>
    <xf numFmtId="222" fontId="79" fillId="0" borderId="6640" applyBorder="0"/>
    <xf numFmtId="0" fontId="101" fillId="0" borderId="6641" applyBorder="0"/>
    <xf numFmtId="248" fontId="46" fillId="0" borderId="6641"/>
    <xf numFmtId="246" fontId="250" fillId="0" borderId="6641" applyFill="0" applyProtection="0">
      <alignment horizontal="center"/>
    </xf>
    <xf numFmtId="246" fontId="249" fillId="0" borderId="6641" applyFill="0" applyProtection="0">
      <alignment horizontal="center"/>
    </xf>
    <xf numFmtId="0" fontId="241" fillId="94" borderId="6641" applyBorder="0" applyProtection="0">
      <alignment horizontal="centerContinuous" vertical="center"/>
    </xf>
    <xf numFmtId="254" fontId="240" fillId="0" borderId="6641" applyBorder="0" applyProtection="0">
      <alignment horizontal="right" vertical="center"/>
    </xf>
    <xf numFmtId="0" fontId="210" fillId="0" borderId="6641" applyNumberFormat="0" applyFill="0" applyBorder="0" applyAlignment="0">
      <protection locked="0"/>
    </xf>
    <xf numFmtId="264" fontId="12" fillId="14" borderId="6641" applyFont="0" applyFill="0" applyBorder="0" applyAlignment="0" applyProtection="0">
      <alignment horizontal="right"/>
    </xf>
    <xf numFmtId="0" fontId="166" fillId="0" borderId="6641">
      <alignment horizontal="center"/>
    </xf>
    <xf numFmtId="0" fontId="165" fillId="0" borderId="6641" applyFill="0" applyProtection="0">
      <alignment horizontal="center"/>
    </xf>
    <xf numFmtId="186" fontId="146" fillId="3" borderId="6641" applyBorder="0">
      <alignment horizontal="left" vertical="center"/>
    </xf>
    <xf numFmtId="180" fontId="9" fillId="3" borderId="6641">
      <alignment horizontal="right" vertical="center"/>
    </xf>
    <xf numFmtId="192" fontId="9" fillId="3" borderId="6641">
      <alignment horizontal="right" vertical="center"/>
    </xf>
    <xf numFmtId="248" fontId="46" fillId="0" borderId="6641"/>
    <xf numFmtId="0" fontId="12" fillId="0" borderId="6641" applyNumberFormat="0" applyFill="0" applyBorder="0" applyAlignment="0" applyProtection="0">
      <alignment horizontal="center"/>
    </xf>
    <xf numFmtId="0" fontId="113" fillId="0" borderId="6641" applyNumberFormat="0" applyFill="0" applyAlignment="0" applyProtection="0"/>
    <xf numFmtId="222" fontId="79" fillId="0" borderId="6640" applyBorder="0"/>
    <xf numFmtId="0" fontId="101" fillId="0" borderId="6641" applyBorder="0"/>
    <xf numFmtId="0" fontId="25" fillId="10" borderId="6854" applyNumberFormat="0" applyProtection="0">
      <alignment horizontal="left" vertical="top"/>
    </xf>
    <xf numFmtId="186" fontId="140" fillId="3" borderId="6849">
      <alignment horizontal="center" vertical="center"/>
    </xf>
    <xf numFmtId="222" fontId="79" fillId="0" borderId="6856" applyBorder="0"/>
    <xf numFmtId="248" fontId="46" fillId="0" borderId="6857"/>
    <xf numFmtId="264" fontId="12" fillId="14" borderId="6821" applyFont="0" applyFill="0" applyBorder="0" applyAlignment="0" applyProtection="0">
      <alignment horizontal="right"/>
    </xf>
    <xf numFmtId="0" fontId="166" fillId="0" borderId="6821">
      <alignment horizontal="center"/>
    </xf>
    <xf numFmtId="0" fontId="25" fillId="10" borderId="6831" applyNumberFormat="0" applyProtection="0">
      <alignment horizontal="left" vertical="top"/>
    </xf>
    <xf numFmtId="0" fontId="25" fillId="10" borderId="6829" applyNumberFormat="0" applyProtection="0">
      <alignment horizontal="left" vertical="top"/>
    </xf>
    <xf numFmtId="0" fontId="25" fillId="10" borderId="6828" applyNumberFormat="0" applyProtection="0">
      <alignment horizontal="left" vertical="top"/>
    </xf>
    <xf numFmtId="0" fontId="25" fillId="10" borderId="6831" applyNumberFormat="0" applyProtection="0">
      <alignment horizontal="left" vertical="top"/>
    </xf>
    <xf numFmtId="0" fontId="214" fillId="0" borderId="6827" applyNumberFormat="0" applyFont="0" applyFill="0" applyAlignment="0" applyProtection="0"/>
    <xf numFmtId="0" fontId="2" fillId="0" borderId="6826" applyNumberFormat="0" applyAlignment="0" applyProtection="0"/>
    <xf numFmtId="186" fontId="146" fillId="3" borderId="6824">
      <alignment horizontal="left"/>
    </xf>
    <xf numFmtId="0" fontId="75" fillId="0" borderId="6822" applyNumberFormat="0" applyFont="0" applyFill="0" applyAlignment="0" applyProtection="0"/>
    <xf numFmtId="186" fontId="146" fillId="3" borderId="7239" applyBorder="0">
      <alignment horizontal="left" vertical="center"/>
    </xf>
    <xf numFmtId="0" fontId="25" fillId="10" borderId="7246" applyNumberFormat="0" applyProtection="0">
      <alignment horizontal="left" vertical="top"/>
    </xf>
    <xf numFmtId="0" fontId="25" fillId="10" borderId="7248" applyNumberFormat="0" applyProtection="0">
      <alignment horizontal="left" vertical="top"/>
    </xf>
    <xf numFmtId="0" fontId="113" fillId="0" borderId="7239" applyNumberFormat="0" applyFill="0" applyAlignment="0" applyProtection="0"/>
    <xf numFmtId="0" fontId="165" fillId="0" borderId="7239" applyFill="0" applyProtection="0">
      <alignment horizontal="center"/>
    </xf>
    <xf numFmtId="0" fontId="25" fillId="10" borderId="7248" applyNumberFormat="0" applyProtection="0">
      <alignment horizontal="left" vertical="top"/>
    </xf>
    <xf numFmtId="248" fontId="46" fillId="0" borderId="7239"/>
    <xf numFmtId="0" fontId="2" fillId="0" borderId="7244" applyNumberFormat="0" applyAlignment="0" applyProtection="0"/>
    <xf numFmtId="254" fontId="240" fillId="0" borderId="7167" applyBorder="0" applyProtection="0">
      <alignment horizontal="right" vertical="center"/>
    </xf>
    <xf numFmtId="0" fontId="25" fillId="10" borderId="7246" applyNumberFormat="0" applyProtection="0">
      <alignment horizontal="left" vertical="top"/>
    </xf>
    <xf numFmtId="254" fontId="240" fillId="0" borderId="7203" applyBorder="0" applyProtection="0">
      <alignment horizontal="right" vertical="center"/>
    </xf>
    <xf numFmtId="0" fontId="101" fillId="0" borderId="7227" applyBorder="0"/>
    <xf numFmtId="186" fontId="146" fillId="3" borderId="7167" applyBorder="0">
      <alignment horizontal="left" vertical="center"/>
    </xf>
    <xf numFmtId="0" fontId="12" fillId="0" borderId="6857" applyNumberFormat="0" applyFill="0" applyBorder="0" applyAlignment="0" applyProtection="0">
      <alignment horizontal="center"/>
    </xf>
    <xf numFmtId="248" fontId="46" fillId="0" borderId="6821"/>
    <xf numFmtId="0" fontId="210" fillId="0" borderId="6881" applyNumberFormat="0" applyFill="0" applyBorder="0" applyAlignment="0">
      <protection locked="0"/>
    </xf>
    <xf numFmtId="186" fontId="140" fillId="3" borderId="6861">
      <alignment horizontal="center" vertical="center"/>
    </xf>
    <xf numFmtId="180" fontId="9" fillId="3" borderId="6821">
      <alignment horizontal="right" vertical="center"/>
    </xf>
    <xf numFmtId="0" fontId="25" fillId="10" borderId="6829" applyNumberFormat="0" applyProtection="0">
      <alignment horizontal="left" vertical="top"/>
    </xf>
    <xf numFmtId="222" fontId="79" fillId="0" borderId="6832" applyBorder="0"/>
    <xf numFmtId="0" fontId="12" fillId="0" borderId="6821" applyNumberFormat="0" applyFill="0" applyBorder="0" applyAlignment="0" applyProtection="0">
      <alignment horizontal="center"/>
    </xf>
    <xf numFmtId="0" fontId="165" fillId="0" borderId="6881" applyFill="0" applyProtection="0">
      <alignment horizontal="center"/>
    </xf>
    <xf numFmtId="222" fontId="79" fillId="0" borderId="6736" applyBorder="0"/>
    <xf numFmtId="0" fontId="101" fillId="0" borderId="6737" applyBorder="0"/>
    <xf numFmtId="222" fontId="79" fillId="0" borderId="6736" applyBorder="0"/>
    <xf numFmtId="0" fontId="113" fillId="0" borderId="6737" applyNumberFormat="0" applyFill="0" applyAlignment="0" applyProtection="0"/>
    <xf numFmtId="0" fontId="12" fillId="0" borderId="6737" applyNumberFormat="0" applyFill="0" applyBorder="0" applyAlignment="0" applyProtection="0">
      <alignment horizontal="center"/>
    </xf>
    <xf numFmtId="248" fontId="46" fillId="0" borderId="6737"/>
    <xf numFmtId="186" fontId="140" fillId="3" borderId="6885">
      <alignment horizontal="center" vertical="center"/>
    </xf>
    <xf numFmtId="0" fontId="75" fillId="0" borderId="6882" applyNumberFormat="0" applyFont="0" applyFill="0" applyAlignment="0" applyProtection="0"/>
    <xf numFmtId="192" fontId="9" fillId="3" borderId="6737">
      <alignment horizontal="right" vertical="center"/>
    </xf>
    <xf numFmtId="180" fontId="9" fillId="3" borderId="6737">
      <alignment horizontal="right" vertical="center"/>
    </xf>
    <xf numFmtId="186" fontId="146" fillId="3" borderId="6737" applyBorder="0">
      <alignment horizontal="left" vertical="center"/>
    </xf>
    <xf numFmtId="0" fontId="165" fillId="0" borderId="6881" applyFill="0" applyProtection="0">
      <alignment horizontal="center"/>
    </xf>
    <xf numFmtId="0" fontId="101" fillId="0" borderId="6821" applyBorder="0"/>
    <xf numFmtId="222" fontId="79" fillId="0" borderId="6832" applyBorder="0"/>
    <xf numFmtId="0" fontId="165" fillId="0" borderId="6737" applyFill="0" applyProtection="0">
      <alignment horizontal="center"/>
    </xf>
    <xf numFmtId="0" fontId="166" fillId="0" borderId="6737">
      <alignment horizontal="center"/>
    </xf>
    <xf numFmtId="222" fontId="79" fillId="0" borderId="6832" applyBorder="0"/>
    <xf numFmtId="264" fontId="12" fillId="14" borderId="6737" applyFont="0" applyFill="0" applyBorder="0" applyAlignment="0" applyProtection="0">
      <alignment horizontal="right"/>
    </xf>
    <xf numFmtId="0" fontId="25" fillId="10" borderId="6876" applyNumberFormat="0" applyProtection="0">
      <alignment horizontal="left" vertical="top"/>
    </xf>
    <xf numFmtId="0" fontId="101" fillId="0" borderId="6881" applyBorder="0"/>
    <xf numFmtId="186" fontId="146" fillId="3" borderId="6881" applyBorder="0">
      <alignment horizontal="left" vertical="center"/>
    </xf>
    <xf numFmtId="0" fontId="210" fillId="0" borderId="6737" applyNumberFormat="0" applyFill="0" applyBorder="0" applyAlignment="0">
      <protection locked="0"/>
    </xf>
    <xf numFmtId="222" fontId="79" fillId="0" borderId="6832" applyBorder="0"/>
    <xf numFmtId="254" fontId="240" fillId="0" borderId="6737" applyBorder="0" applyProtection="0">
      <alignment horizontal="right" vertical="center"/>
    </xf>
    <xf numFmtId="0" fontId="241" fillId="94" borderId="6737" applyBorder="0" applyProtection="0">
      <alignment horizontal="centerContinuous" vertical="center"/>
    </xf>
    <xf numFmtId="246" fontId="249" fillId="0" borderId="6737" applyFill="0" applyProtection="0">
      <alignment horizontal="center"/>
    </xf>
    <xf numFmtId="246" fontId="250" fillId="0" borderId="6737" applyFill="0" applyProtection="0">
      <alignment horizontal="center"/>
    </xf>
    <xf numFmtId="0" fontId="2" fillId="0" borderId="6850" applyNumberFormat="0" applyAlignment="0" applyProtection="0"/>
    <xf numFmtId="222" fontId="79" fillId="0" borderId="6832" applyBorder="0"/>
    <xf numFmtId="186" fontId="146" fillId="3" borderId="6824">
      <alignment horizontal="left"/>
    </xf>
    <xf numFmtId="254" fontId="240" fillId="0" borderId="6857" applyBorder="0" applyProtection="0">
      <alignment horizontal="right" vertical="center"/>
    </xf>
    <xf numFmtId="0" fontId="25" fillId="10" borderId="6864" applyNumberFormat="0" applyProtection="0">
      <alignment horizontal="left" vertical="top"/>
    </xf>
    <xf numFmtId="186" fontId="146" fillId="3" borderId="6881" applyBorder="0">
      <alignment horizontal="left" vertical="center"/>
    </xf>
    <xf numFmtId="0" fontId="210" fillId="0" borderId="6881" applyNumberFormat="0" applyFill="0" applyBorder="0" applyAlignment="0">
      <protection locked="0"/>
    </xf>
    <xf numFmtId="0" fontId="241" fillId="94" borderId="6869" applyBorder="0" applyProtection="0">
      <alignment horizontal="centerContinuous" vertical="center"/>
    </xf>
    <xf numFmtId="0" fontId="214" fillId="0" borderId="6839" applyNumberFormat="0" applyFont="0" applyFill="0" applyAlignment="0" applyProtection="0"/>
    <xf numFmtId="186" fontId="140" fillId="3" borderId="6825">
      <alignment horizontal="center" vertical="center"/>
    </xf>
    <xf numFmtId="264" fontId="12" fillId="14" borderId="6833" applyFont="0" applyFill="0" applyBorder="0" applyAlignment="0" applyProtection="0">
      <alignment horizontal="right"/>
    </xf>
    <xf numFmtId="0" fontId="78" fillId="14" borderId="6739" applyFont="0" applyFill="0" applyBorder="0" applyAlignment="0" applyProtection="0"/>
    <xf numFmtId="0" fontId="25" fillId="10" borderId="6747" applyNumberFormat="0" applyProtection="0">
      <alignment horizontal="left" vertical="top"/>
    </xf>
    <xf numFmtId="0" fontId="25" fillId="10" borderId="6746" applyNumberFormat="0" applyProtection="0">
      <alignment horizontal="left" vertical="top"/>
    </xf>
    <xf numFmtId="0" fontId="25" fillId="10" borderId="6745" applyNumberFormat="0" applyProtection="0">
      <alignment horizontal="left" vertical="top"/>
    </xf>
    <xf numFmtId="0" fontId="25" fillId="10" borderId="6744" applyNumberFormat="0" applyProtection="0">
      <alignment horizontal="left" vertical="top"/>
    </xf>
    <xf numFmtId="0" fontId="214" fillId="0" borderId="6743" applyNumberFormat="0" applyFont="0" applyFill="0" applyAlignment="0" applyProtection="0"/>
    <xf numFmtId="0" fontId="2" fillId="0" borderId="6742" applyNumberFormat="0" applyAlignment="0" applyProtection="0"/>
    <xf numFmtId="0" fontId="75" fillId="0" borderId="6870" applyNumberFormat="0" applyFont="0" applyFill="0" applyAlignment="0" applyProtection="0"/>
    <xf numFmtId="186" fontId="140" fillId="3" borderId="6741">
      <alignment horizontal="center" vertical="center"/>
    </xf>
    <xf numFmtId="186" fontId="146" fillId="3" borderId="6740">
      <alignment horizontal="left"/>
    </xf>
    <xf numFmtId="180" fontId="9" fillId="3" borderId="6881">
      <alignment horizontal="right" vertical="center"/>
    </xf>
    <xf numFmtId="0" fontId="75" fillId="0" borderId="6738" applyNumberFormat="0" applyFont="0" applyFill="0" applyAlignment="0" applyProtection="0"/>
    <xf numFmtId="186" fontId="146" fillId="3" borderId="6833" applyBorder="0">
      <alignment horizontal="left" vertical="center"/>
    </xf>
    <xf numFmtId="222" fontId="79" fillId="0" borderId="6748" applyBorder="0"/>
    <xf numFmtId="0" fontId="101" fillId="0" borderId="6749" applyBorder="0"/>
    <xf numFmtId="222" fontId="79" fillId="0" borderId="6748" applyBorder="0"/>
    <xf numFmtId="0" fontId="113" fillId="0" borderId="6749" applyNumberFormat="0" applyFill="0" applyAlignment="0" applyProtection="0"/>
    <xf numFmtId="0" fontId="12" fillId="0" borderId="6749" applyNumberFormat="0" applyFill="0" applyBorder="0" applyAlignment="0" applyProtection="0">
      <alignment horizontal="center"/>
    </xf>
    <xf numFmtId="248" fontId="46" fillId="0" borderId="6749"/>
    <xf numFmtId="186" fontId="146" fillId="3" borderId="6884">
      <alignment horizontal="left"/>
    </xf>
    <xf numFmtId="0" fontId="113" fillId="0" borderId="6881" applyNumberFormat="0" applyFill="0" applyAlignment="0" applyProtection="0"/>
    <xf numFmtId="192" fontId="9" fillId="3" borderId="6749">
      <alignment horizontal="right" vertical="center"/>
    </xf>
    <xf numFmtId="180" fontId="9" fillId="3" borderId="6749">
      <alignment horizontal="right" vertical="center"/>
    </xf>
    <xf numFmtId="186" fontId="146" fillId="3" borderId="6749" applyBorder="0">
      <alignment horizontal="left" vertical="center"/>
    </xf>
    <xf numFmtId="0" fontId="165" fillId="0" borderId="6749" applyFill="0" applyProtection="0">
      <alignment horizontal="center"/>
    </xf>
    <xf numFmtId="0" fontId="166" fillId="0" borderId="6749">
      <alignment horizontal="center"/>
    </xf>
    <xf numFmtId="264" fontId="12" fillId="14" borderId="6749" applyFont="0" applyFill="0" applyBorder="0" applyAlignment="0" applyProtection="0">
      <alignment horizontal="right"/>
    </xf>
    <xf numFmtId="0" fontId="210" fillId="0" borderId="6749" applyNumberFormat="0" applyFill="0" applyBorder="0" applyAlignment="0">
      <protection locked="0"/>
    </xf>
    <xf numFmtId="254" fontId="240" fillId="0" borderId="6749" applyBorder="0" applyProtection="0">
      <alignment horizontal="right" vertical="center"/>
    </xf>
    <xf numFmtId="0" fontId="241" fillId="94" borderId="6749" applyBorder="0" applyProtection="0">
      <alignment horizontal="centerContinuous" vertical="center"/>
    </xf>
    <xf numFmtId="246" fontId="249" fillId="0" borderId="6749" applyFill="0" applyProtection="0">
      <alignment horizontal="center"/>
    </xf>
    <xf numFmtId="246" fontId="250" fillId="0" borderId="6749" applyFill="0" applyProtection="0">
      <alignment horizontal="center"/>
    </xf>
    <xf numFmtId="0" fontId="166" fillId="0" borderId="6833">
      <alignment horizontal="center"/>
    </xf>
    <xf numFmtId="192" fontId="9" fillId="3" borderId="6833">
      <alignment horizontal="right" vertical="center"/>
    </xf>
    <xf numFmtId="248" fontId="46" fillId="0" borderId="6833"/>
    <xf numFmtId="0" fontId="12" fillId="0" borderId="6833" applyNumberFormat="0" applyFill="0" applyBorder="0" applyAlignment="0" applyProtection="0">
      <alignment horizontal="center"/>
    </xf>
    <xf numFmtId="0" fontId="113" fillId="0" borderId="6833" applyNumberFormat="0" applyFill="0" applyAlignment="0" applyProtection="0"/>
    <xf numFmtId="222" fontId="79" fillId="0" borderId="6832" applyBorder="0"/>
    <xf numFmtId="0" fontId="101" fillId="0" borderId="6833" applyBorder="0"/>
    <xf numFmtId="186" fontId="146" fillId="3" borderId="6824">
      <alignment horizontal="left"/>
    </xf>
    <xf numFmtId="0" fontId="113" fillId="0" borderId="6881" applyNumberFormat="0" applyFill="0" applyAlignment="0" applyProtection="0"/>
    <xf numFmtId="0" fontId="25" fillId="10" borderId="6828" applyNumberFormat="0" applyProtection="0">
      <alignment horizontal="left" vertical="top"/>
    </xf>
    <xf numFmtId="186" fontId="140" fillId="3" borderId="6885">
      <alignment horizontal="center" vertical="center"/>
    </xf>
    <xf numFmtId="0" fontId="25" fillId="10" borderId="6891" applyNumberFormat="0" applyProtection="0">
      <alignment horizontal="left" vertical="top"/>
    </xf>
    <xf numFmtId="0" fontId="2" fillId="0" borderId="6886" applyNumberFormat="0" applyAlignment="0" applyProtection="0"/>
    <xf numFmtId="0" fontId="101" fillId="0" borderId="6857" applyBorder="0"/>
    <xf numFmtId="0" fontId="214" fillId="0" borderId="6827" applyNumberFormat="0" applyFont="0" applyFill="0" applyAlignment="0" applyProtection="0"/>
    <xf numFmtId="186" fontId="146" fillId="3" borderId="6884">
      <alignment horizontal="left"/>
    </xf>
    <xf numFmtId="0" fontId="25" fillId="10" borderId="6888" applyNumberFormat="0" applyProtection="0">
      <alignment horizontal="left" vertical="top"/>
    </xf>
    <xf numFmtId="0" fontId="25" fillId="10" borderId="6890" applyNumberFormat="0" applyProtection="0">
      <alignment horizontal="left" vertical="top"/>
    </xf>
    <xf numFmtId="0" fontId="25" fillId="10" borderId="6889" applyNumberFormat="0" applyProtection="0">
      <alignment horizontal="left" vertical="top"/>
    </xf>
    <xf numFmtId="0" fontId="214" fillId="0" borderId="6887" applyNumberFormat="0" applyFont="0" applyFill="0" applyAlignment="0" applyProtection="0"/>
    <xf numFmtId="0" fontId="210" fillId="0" borderId="6881" applyNumberFormat="0" applyFill="0" applyBorder="0" applyAlignment="0">
      <protection locked="0"/>
    </xf>
    <xf numFmtId="254" fontId="240" fillId="0" borderId="6821" applyBorder="0" applyProtection="0">
      <alignment horizontal="right" vertical="center"/>
    </xf>
    <xf numFmtId="246" fontId="249" fillId="0" borderId="6821" applyFill="0" applyProtection="0">
      <alignment horizontal="center"/>
    </xf>
    <xf numFmtId="0" fontId="214" fillId="0" borderId="6827" applyNumberFormat="0" applyFont="0" applyFill="0" applyAlignment="0" applyProtection="0"/>
    <xf numFmtId="0" fontId="166" fillId="0" borderId="6881">
      <alignment horizontal="center"/>
    </xf>
    <xf numFmtId="222" fontId="79" fillId="0" borderId="6832" applyBorder="0"/>
    <xf numFmtId="0" fontId="12" fillId="0" borderId="6881" applyNumberFormat="0" applyFill="0" applyBorder="0" applyAlignment="0" applyProtection="0">
      <alignment horizontal="center"/>
    </xf>
    <xf numFmtId="190" fontId="25" fillId="10" borderId="6866" applyNumberFormat="0" applyProtection="0">
      <alignment horizontal="left" vertical="top"/>
    </xf>
    <xf numFmtId="246" fontId="250" fillId="0" borderId="7167" applyFill="0" applyProtection="0">
      <alignment horizontal="center"/>
    </xf>
    <xf numFmtId="222" fontId="79" fillId="0" borderId="6880" applyBorder="0"/>
    <xf numFmtId="192" fontId="9" fillId="3" borderId="6881">
      <alignment horizontal="right" vertical="center"/>
    </xf>
    <xf numFmtId="186" fontId="146" fillId="3" borderId="6752">
      <alignment horizontal="left"/>
    </xf>
    <xf numFmtId="0" fontId="75" fillId="0" borderId="6750" applyNumberFormat="0" applyFont="0" applyFill="0" applyAlignment="0" applyProtection="0"/>
    <xf numFmtId="0" fontId="25" fillId="10" borderId="6828" applyNumberFormat="0" applyProtection="0">
      <alignment horizontal="left" vertical="top"/>
    </xf>
    <xf numFmtId="0" fontId="75" fillId="0" borderId="6822" applyNumberFormat="0" applyFont="0" applyFill="0" applyAlignment="0" applyProtection="0"/>
    <xf numFmtId="0" fontId="25" fillId="10" borderId="6855" applyNumberFormat="0" applyProtection="0">
      <alignment horizontal="left" vertical="top"/>
    </xf>
    <xf numFmtId="0" fontId="113" fillId="0" borderId="6833" applyNumberFormat="0" applyFill="0" applyAlignment="0" applyProtection="0"/>
    <xf numFmtId="264" fontId="12" fillId="14" borderId="6833" applyFont="0" applyFill="0" applyBorder="0" applyAlignment="0" applyProtection="0">
      <alignment horizontal="right"/>
    </xf>
    <xf numFmtId="246" fontId="249" fillId="0" borderId="6833" applyFill="0" applyProtection="0">
      <alignment horizontal="center"/>
    </xf>
    <xf numFmtId="0" fontId="25" fillId="10" borderId="6759" applyNumberFormat="0" applyProtection="0">
      <alignment horizontal="left" vertical="top"/>
    </xf>
    <xf numFmtId="0" fontId="25" fillId="10" borderId="6757" applyNumberFormat="0" applyProtection="0">
      <alignment horizontal="left" vertical="top"/>
    </xf>
    <xf numFmtId="0" fontId="25" fillId="10" borderId="6758" applyNumberFormat="0" applyProtection="0">
      <alignment horizontal="left" vertical="top"/>
    </xf>
    <xf numFmtId="0" fontId="25" fillId="10" borderId="6756" applyNumberFormat="0" applyProtection="0">
      <alignment horizontal="left" vertical="top"/>
    </xf>
    <xf numFmtId="0" fontId="25" fillId="10" borderId="6759" applyNumberFormat="0" applyProtection="0">
      <alignment horizontal="left" vertical="top"/>
    </xf>
    <xf numFmtId="0" fontId="25" fillId="10" borderId="6758" applyNumberFormat="0" applyProtection="0">
      <alignment horizontal="left" vertical="top"/>
    </xf>
    <xf numFmtId="0" fontId="25" fillId="10" borderId="6757" applyNumberFormat="0" applyProtection="0">
      <alignment horizontal="left" vertical="top"/>
    </xf>
    <xf numFmtId="0" fontId="25" fillId="10" borderId="6756" applyNumberFormat="0" applyProtection="0">
      <alignment horizontal="left" vertical="top"/>
    </xf>
    <xf numFmtId="0" fontId="214" fillId="0" borderId="6755" applyNumberFormat="0" applyFont="0" applyFill="0" applyAlignment="0" applyProtection="0"/>
    <xf numFmtId="0" fontId="2" fillId="0" borderId="6754" applyNumberFormat="0" applyAlignment="0" applyProtection="0"/>
    <xf numFmtId="186" fontId="140" fillId="3" borderId="6753">
      <alignment horizontal="center" vertical="center"/>
    </xf>
    <xf numFmtId="186" fontId="140" fillId="3" borderId="6765">
      <alignment horizontal="center" vertical="center"/>
    </xf>
    <xf numFmtId="0" fontId="25" fillId="10" borderId="6768" applyNumberFormat="0" applyProtection="0">
      <alignment horizontal="left" vertical="top"/>
    </xf>
    <xf numFmtId="0" fontId="12" fillId="0" borderId="6833" applyNumberFormat="0" applyFill="0" applyBorder="0" applyAlignment="0" applyProtection="0">
      <alignment horizontal="center"/>
    </xf>
    <xf numFmtId="0" fontId="25" fillId="10" borderId="6830" applyNumberFormat="0" applyProtection="0">
      <alignment horizontal="left" vertical="top"/>
    </xf>
    <xf numFmtId="222" fontId="79" fillId="0" borderId="6820" applyBorder="0"/>
    <xf numFmtId="0" fontId="78" fillId="14" borderId="6823" applyFont="0" applyFill="0" applyBorder="0" applyAlignment="0" applyProtection="0"/>
    <xf numFmtId="222" fontId="79" fillId="0" borderId="6832" applyBorder="0"/>
    <xf numFmtId="0" fontId="101" fillId="0" borderId="6833" applyBorder="0"/>
    <xf numFmtId="222" fontId="79" fillId="0" borderId="6832" applyBorder="0"/>
    <xf numFmtId="248" fontId="46" fillId="0" borderId="6833"/>
    <xf numFmtId="192" fontId="9" fillId="3" borderId="6833">
      <alignment horizontal="right" vertical="center"/>
    </xf>
    <xf numFmtId="180" fontId="9" fillId="3" borderId="6833">
      <alignment horizontal="right" vertical="center"/>
    </xf>
    <xf numFmtId="186" fontId="146" fillId="3" borderId="6833" applyBorder="0">
      <alignment horizontal="left" vertical="center"/>
    </xf>
    <xf numFmtId="0" fontId="165" fillId="0" borderId="6833" applyFill="0" applyProtection="0">
      <alignment horizontal="center"/>
    </xf>
    <xf numFmtId="0" fontId="210" fillId="0" borderId="6833" applyNumberFormat="0" applyFill="0" applyBorder="0" applyAlignment="0">
      <protection locked="0"/>
    </xf>
    <xf numFmtId="254" fontId="240" fillId="0" borderId="6833" applyBorder="0" applyProtection="0">
      <alignment horizontal="right" vertical="center"/>
    </xf>
    <xf numFmtId="246" fontId="250" fillId="0" borderId="6833" applyFill="0" applyProtection="0">
      <alignment horizontal="center"/>
    </xf>
    <xf numFmtId="222" fontId="79" fillId="0" borderId="6772" applyBorder="0"/>
    <xf numFmtId="0" fontId="25" fillId="10" borderId="6769" applyNumberFormat="0" applyProtection="0">
      <alignment horizontal="left" vertical="top"/>
    </xf>
    <xf numFmtId="0" fontId="25" fillId="10" borderId="6771" applyNumberFormat="0" applyProtection="0">
      <alignment horizontal="left" vertical="top"/>
    </xf>
    <xf numFmtId="0" fontId="25" fillId="10" borderId="6768" applyNumberFormat="0" applyProtection="0">
      <alignment horizontal="left" vertical="top"/>
    </xf>
    <xf numFmtId="0" fontId="25" fillId="10" borderId="6769" applyNumberFormat="0" applyProtection="0">
      <alignment horizontal="left" vertical="top"/>
    </xf>
    <xf numFmtId="0" fontId="25" fillId="10" borderId="6770" applyNumberFormat="0" applyProtection="0">
      <alignment horizontal="left" vertical="top"/>
    </xf>
    <xf numFmtId="0" fontId="75" fillId="0" borderId="6774" applyNumberFormat="0" applyFont="0" applyFill="0" applyAlignment="0" applyProtection="0"/>
    <xf numFmtId="0" fontId="101" fillId="0" borderId="6785" applyBorder="0"/>
    <xf numFmtId="222" fontId="79" fillId="0" borderId="6784" applyBorder="0"/>
    <xf numFmtId="0" fontId="113" fillId="0" borderId="6785" applyNumberFormat="0" applyFill="0" applyAlignment="0" applyProtection="0"/>
    <xf numFmtId="0" fontId="12" fillId="0" borderId="6785" applyNumberFormat="0" applyFill="0" applyBorder="0" applyAlignment="0" applyProtection="0">
      <alignment horizontal="center"/>
    </xf>
    <xf numFmtId="248" fontId="46" fillId="0" borderId="6785"/>
    <xf numFmtId="192" fontId="9" fillId="3" borderId="6785">
      <alignment horizontal="right" vertical="center"/>
    </xf>
    <xf numFmtId="180" fontId="9" fillId="3" borderId="6785">
      <alignment horizontal="right" vertical="center"/>
    </xf>
    <xf numFmtId="186" fontId="146" fillId="3" borderId="6785" applyBorder="0">
      <alignment horizontal="left" vertical="center"/>
    </xf>
    <xf numFmtId="0" fontId="166" fillId="0" borderId="6785">
      <alignment horizontal="center"/>
    </xf>
    <xf numFmtId="0" fontId="210" fillId="0" borderId="6785" applyNumberFormat="0" applyFill="0" applyBorder="0" applyAlignment="0">
      <protection locked="0"/>
    </xf>
    <xf numFmtId="264" fontId="12" fillId="14" borderId="6785" applyFont="0" applyFill="0" applyBorder="0" applyAlignment="0" applyProtection="0">
      <alignment horizontal="right"/>
    </xf>
    <xf numFmtId="246" fontId="249" fillId="0" borderId="6785" applyFill="0" applyProtection="0">
      <alignment horizontal="center"/>
    </xf>
    <xf numFmtId="246" fontId="250" fillId="0" borderId="6785" applyFill="0" applyProtection="0">
      <alignment horizontal="center"/>
    </xf>
    <xf numFmtId="246" fontId="250" fillId="0" borderId="6809" applyFill="0" applyProtection="0">
      <alignment horizontal="center"/>
    </xf>
    <xf numFmtId="246" fontId="249" fillId="0" borderId="6809" applyFill="0" applyProtection="0">
      <alignment horizontal="center"/>
    </xf>
    <xf numFmtId="254" fontId="240" fillId="0" borderId="6809" applyBorder="0" applyProtection="0">
      <alignment horizontal="right" vertical="center"/>
    </xf>
    <xf numFmtId="264" fontId="12" fillId="14" borderId="6809" applyFont="0" applyFill="0" applyBorder="0" applyAlignment="0" applyProtection="0">
      <alignment horizontal="right"/>
    </xf>
    <xf numFmtId="0" fontId="165" fillId="0" borderId="6809" applyFill="0" applyProtection="0">
      <alignment horizontal="center"/>
    </xf>
    <xf numFmtId="180" fontId="9" fillId="3" borderId="6809">
      <alignment horizontal="right" vertical="center"/>
    </xf>
    <xf numFmtId="0" fontId="12" fillId="0" borderId="6809" applyNumberFormat="0" applyFill="0" applyBorder="0" applyAlignment="0" applyProtection="0">
      <alignment horizontal="center"/>
    </xf>
    <xf numFmtId="0" fontId="101" fillId="0" borderId="6809" applyBorder="0"/>
    <xf numFmtId="222" fontId="79" fillId="0" borderId="6808" applyBorder="0"/>
    <xf numFmtId="0" fontId="75" fillId="0" borderId="6798" applyNumberFormat="0" applyFont="0" applyFill="0" applyAlignment="0" applyProtection="0"/>
    <xf numFmtId="0" fontId="2" fillId="0" borderId="6802" applyNumberFormat="0" applyAlignment="0" applyProtection="0"/>
    <xf numFmtId="0" fontId="25" fillId="10" borderId="6804" applyNumberFormat="0" applyProtection="0">
      <alignment horizontal="left" vertical="top"/>
    </xf>
    <xf numFmtId="0" fontId="25" fillId="10" borderId="6807" applyNumberFormat="0" applyProtection="0">
      <alignment horizontal="left" vertical="top"/>
    </xf>
    <xf numFmtId="222" fontId="79" fillId="0" borderId="6796" applyBorder="0"/>
    <xf numFmtId="0" fontId="25" fillId="10" borderId="6782" applyNumberFormat="0" applyProtection="0">
      <alignment horizontal="left" vertical="top"/>
    </xf>
    <xf numFmtId="0" fontId="25" fillId="10" borderId="6780" applyNumberFormat="0" applyProtection="0">
      <alignment horizontal="left" vertical="top"/>
    </xf>
    <xf numFmtId="0" fontId="214" fillId="0" borderId="6779" applyNumberFormat="0" applyFont="0" applyFill="0" applyAlignment="0" applyProtection="0"/>
    <xf numFmtId="186" fontId="146" fillId="3" borderId="6776">
      <alignment horizontal="left"/>
    </xf>
    <xf numFmtId="222" fontId="79" fillId="0" borderId="6784" applyBorder="0"/>
    <xf numFmtId="222" fontId="79" fillId="0" borderId="6880" applyBorder="0"/>
    <xf numFmtId="186" fontId="140" fillId="3" borderId="6825">
      <alignment horizontal="center" vertical="center"/>
    </xf>
    <xf numFmtId="222" fontId="79" fillId="0" borderId="6844" applyBorder="0"/>
    <xf numFmtId="0" fontId="101" fillId="0" borderId="6665" applyBorder="0"/>
    <xf numFmtId="0" fontId="113" fillId="0" borderId="6665" applyNumberFormat="0" applyFill="0" applyAlignment="0" applyProtection="0"/>
    <xf numFmtId="0" fontId="12" fillId="0" borderId="6665" applyNumberFormat="0" applyFill="0" applyBorder="0" applyAlignment="0" applyProtection="0">
      <alignment horizontal="center"/>
    </xf>
    <xf numFmtId="248" fontId="46" fillId="0" borderId="6665"/>
    <xf numFmtId="192" fontId="9" fillId="3" borderId="6665">
      <alignment horizontal="right" vertical="center"/>
    </xf>
    <xf numFmtId="180" fontId="9" fillId="3" borderId="6665">
      <alignment horizontal="right" vertical="center"/>
    </xf>
    <xf numFmtId="186" fontId="146" fillId="3" borderId="6665" applyBorder="0">
      <alignment horizontal="left" vertical="center"/>
    </xf>
    <xf numFmtId="0" fontId="165" fillId="0" borderId="6665" applyFill="0" applyProtection="0">
      <alignment horizontal="center"/>
    </xf>
    <xf numFmtId="0" fontId="166" fillId="0" borderId="6665">
      <alignment horizontal="center"/>
    </xf>
    <xf numFmtId="264" fontId="12" fillId="14" borderId="6665" applyFont="0" applyFill="0" applyBorder="0" applyAlignment="0" applyProtection="0">
      <alignment horizontal="right"/>
    </xf>
    <xf numFmtId="0" fontId="210" fillId="0" borderId="6665" applyNumberFormat="0" applyFill="0" applyBorder="0" applyAlignment="0">
      <protection locked="0"/>
    </xf>
    <xf numFmtId="222" fontId="79" fillId="0" borderId="6880" applyBorder="0"/>
    <xf numFmtId="248" fontId="46" fillId="0" borderId="6809"/>
    <xf numFmtId="222" fontId="79" fillId="0" borderId="6808" applyBorder="0"/>
    <xf numFmtId="186" fontId="140" fillId="3" borderId="6801">
      <alignment horizontal="center" vertical="center"/>
    </xf>
    <xf numFmtId="0" fontId="25" fillId="10" borderId="6806" applyNumberFormat="0" applyProtection="0">
      <alignment horizontal="left" vertical="top"/>
    </xf>
    <xf numFmtId="0" fontId="210" fillId="0" borderId="6809" applyNumberFormat="0" applyFill="0" applyBorder="0" applyAlignment="0">
      <protection locked="0"/>
    </xf>
    <xf numFmtId="192" fontId="9" fillId="3" borderId="6809">
      <alignment horizontal="right" vertical="center"/>
    </xf>
    <xf numFmtId="0" fontId="113" fillId="0" borderId="6809" applyNumberFormat="0" applyFill="0" applyAlignment="0" applyProtection="0"/>
    <xf numFmtId="186" fontId="146" fillId="3" borderId="6800">
      <alignment horizontal="left"/>
    </xf>
    <xf numFmtId="0" fontId="25" fillId="10" borderId="6805" applyNumberFormat="0" applyProtection="0">
      <alignment horizontal="left" vertical="top"/>
    </xf>
    <xf numFmtId="254" fontId="240" fillId="0" borderId="6665" applyBorder="0" applyProtection="0">
      <alignment horizontal="right" vertical="center"/>
    </xf>
    <xf numFmtId="0" fontId="241" fillId="94" borderId="6665" applyBorder="0" applyProtection="0">
      <alignment horizontal="centerContinuous" vertical="center"/>
    </xf>
    <xf numFmtId="246" fontId="249" fillId="0" borderId="6665" applyFill="0" applyProtection="0">
      <alignment horizontal="center"/>
    </xf>
    <xf numFmtId="246" fontId="250" fillId="0" borderId="6665" applyFill="0" applyProtection="0">
      <alignment horizontal="center"/>
    </xf>
    <xf numFmtId="0" fontId="75" fillId="0" borderId="6846" applyNumberFormat="0" applyFont="0" applyFill="0" applyAlignment="0" applyProtection="0"/>
    <xf numFmtId="0" fontId="25" fillId="10" borderId="6829" applyNumberFormat="0" applyProtection="0">
      <alignment horizontal="left" vertical="top"/>
    </xf>
    <xf numFmtId="0" fontId="25" fillId="10" borderId="6831" applyNumberFormat="0" applyProtection="0">
      <alignment horizontal="left" vertical="top"/>
    </xf>
    <xf numFmtId="246" fontId="249" fillId="0" borderId="6857" applyFill="0" applyProtection="0">
      <alignment horizontal="center"/>
    </xf>
    <xf numFmtId="222" fontId="79" fillId="0" borderId="6760" applyBorder="0"/>
    <xf numFmtId="0" fontId="214" fillId="0" borderId="6827" applyNumberFormat="0" applyFont="0" applyFill="0" applyAlignment="0" applyProtection="0"/>
    <xf numFmtId="0" fontId="75" fillId="0" borderId="6762" applyNumberFormat="0" applyFont="0" applyFill="0" applyAlignment="0" applyProtection="0"/>
    <xf numFmtId="0" fontId="25" fillId="10" borderId="6770" applyNumberFormat="0" applyProtection="0">
      <alignment horizontal="left" vertical="top"/>
    </xf>
    <xf numFmtId="0" fontId="25" fillId="10" borderId="6771" applyNumberFormat="0" applyProtection="0">
      <alignment horizontal="left" vertical="top"/>
    </xf>
    <xf numFmtId="0" fontId="165" fillId="0" borderId="6785" applyFill="0" applyProtection="0">
      <alignment horizontal="center"/>
    </xf>
    <xf numFmtId="254" fontId="240" fillId="0" borderId="6785" applyBorder="0" applyProtection="0">
      <alignment horizontal="right" vertical="center"/>
    </xf>
    <xf numFmtId="0" fontId="241" fillId="94" borderId="6785" applyBorder="0" applyProtection="0">
      <alignment horizontal="centerContinuous" vertical="center"/>
    </xf>
    <xf numFmtId="0" fontId="241" fillId="94" borderId="6809" applyBorder="0" applyProtection="0">
      <alignment horizontal="centerContinuous" vertical="center"/>
    </xf>
    <xf numFmtId="0" fontId="166" fillId="0" borderId="6809">
      <alignment horizontal="center"/>
    </xf>
    <xf numFmtId="186" fontId="146" fillId="3" borderId="6809" applyBorder="0">
      <alignment horizontal="left" vertical="center"/>
    </xf>
    <xf numFmtId="0" fontId="214" fillId="0" borderId="6803" applyNumberFormat="0" applyFont="0" applyFill="0" applyAlignment="0" applyProtection="0"/>
    <xf numFmtId="0" fontId="78" fillId="14" borderId="6799" applyFont="0" applyFill="0" applyBorder="0" applyAlignment="0" applyProtection="0"/>
    <xf numFmtId="0" fontId="210" fillId="0" borderId="6833" applyNumberFormat="0" applyFill="0" applyBorder="0" applyAlignment="0">
      <protection locked="0"/>
    </xf>
    <xf numFmtId="0" fontId="78" fillId="14" borderId="6727" applyFont="0" applyFill="0" applyBorder="0" applyAlignment="0" applyProtection="0"/>
    <xf numFmtId="0" fontId="25" fillId="10" borderId="6663" applyNumberFormat="0" applyProtection="0">
      <alignment horizontal="left" vertical="top"/>
    </xf>
    <xf numFmtId="0" fontId="25" fillId="10" borderId="6662" applyNumberFormat="0" applyProtection="0">
      <alignment horizontal="left" vertical="top"/>
    </xf>
    <xf numFmtId="0" fontId="25" fillId="10" borderId="6661" applyNumberFormat="0" applyProtection="0">
      <alignment horizontal="left" vertical="top"/>
    </xf>
    <xf numFmtId="0" fontId="25" fillId="10" borderId="6660" applyNumberFormat="0" applyProtection="0">
      <alignment horizontal="left" vertical="top"/>
    </xf>
    <xf numFmtId="186" fontId="140" fillId="3" borderId="6825">
      <alignment horizontal="center" vertical="center"/>
    </xf>
    <xf numFmtId="0" fontId="214" fillId="0" borderId="6659" applyNumberFormat="0" applyFont="0" applyFill="0" applyAlignment="0" applyProtection="0"/>
    <xf numFmtId="0" fontId="2" fillId="0" borderId="6658" applyNumberFormat="0" applyAlignment="0" applyProtection="0"/>
    <xf numFmtId="186" fontId="140" fillId="3" borderId="6657">
      <alignment horizontal="center" vertical="center"/>
    </xf>
    <xf numFmtId="186" fontId="146" fillId="3" borderId="6656">
      <alignment horizontal="left"/>
    </xf>
    <xf numFmtId="186" fontId="146" fillId="3" borderId="6824">
      <alignment horizontal="left"/>
    </xf>
    <xf numFmtId="0" fontId="75" fillId="0" borderId="6654" applyNumberFormat="0" applyFont="0" applyFill="0" applyAlignment="0" applyProtection="0"/>
    <xf numFmtId="180" fontId="9" fillId="3" borderId="6833">
      <alignment horizontal="right" vertical="center"/>
    </xf>
    <xf numFmtId="0" fontId="75" fillId="0" borderId="6822" applyNumberFormat="0" applyFont="0" applyFill="0" applyAlignment="0" applyProtection="0"/>
    <xf numFmtId="0" fontId="75" fillId="0" borderId="6822" applyNumberFormat="0" applyFont="0" applyFill="0" applyAlignment="0" applyProtection="0"/>
    <xf numFmtId="222" fontId="79" fillId="0" borderId="6736" applyBorder="0"/>
    <xf numFmtId="222" fontId="79" fillId="0" borderId="6736" applyBorder="0"/>
    <xf numFmtId="0" fontId="25" fillId="10" borderId="6828" applyNumberFormat="0" applyProtection="0">
      <alignment horizontal="left" vertical="top"/>
    </xf>
    <xf numFmtId="0" fontId="2" fillId="0" borderId="6826" applyNumberFormat="0" applyAlignment="0" applyProtection="0"/>
    <xf numFmtId="246" fontId="250" fillId="0" borderId="6761" applyFill="0" applyProtection="0">
      <alignment horizontal="center"/>
    </xf>
    <xf numFmtId="246" fontId="249" fillId="0" borderId="6761" applyFill="0" applyProtection="0">
      <alignment horizontal="center"/>
    </xf>
    <xf numFmtId="0" fontId="241" fillId="94" borderId="6761" applyBorder="0" applyProtection="0">
      <alignment horizontal="centerContinuous" vertical="center"/>
    </xf>
    <xf numFmtId="254" fontId="240" fillId="0" borderId="6761" applyBorder="0" applyProtection="0">
      <alignment horizontal="right" vertical="center"/>
    </xf>
    <xf numFmtId="0" fontId="210" fillId="0" borderId="6761" applyNumberFormat="0" applyFill="0" applyBorder="0" applyAlignment="0">
      <protection locked="0"/>
    </xf>
    <xf numFmtId="264" fontId="12" fillId="14" borderId="6761" applyFont="0" applyFill="0" applyBorder="0" applyAlignment="0" applyProtection="0">
      <alignment horizontal="right"/>
    </xf>
    <xf numFmtId="0" fontId="166" fillId="0" borderId="6761">
      <alignment horizontal="center"/>
    </xf>
    <xf numFmtId="0" fontId="165" fillId="0" borderId="6761" applyFill="0" applyProtection="0">
      <alignment horizontal="center"/>
    </xf>
    <xf numFmtId="186" fontId="146" fillId="3" borderId="6761" applyBorder="0">
      <alignment horizontal="left" vertical="center"/>
    </xf>
    <xf numFmtId="180" fontId="9" fillId="3" borderId="6761">
      <alignment horizontal="right" vertical="center"/>
    </xf>
    <xf numFmtId="192" fontId="9" fillId="3" borderId="6761">
      <alignment horizontal="right" vertical="center"/>
    </xf>
    <xf numFmtId="248" fontId="46" fillId="0" borderId="6761"/>
    <xf numFmtId="0" fontId="12" fillId="0" borderId="6761" applyNumberFormat="0" applyFill="0" applyBorder="0" applyAlignment="0" applyProtection="0">
      <alignment horizontal="center"/>
    </xf>
    <xf numFmtId="0" fontId="113" fillId="0" borderId="6761" applyNumberFormat="0" applyFill="0" applyAlignment="0" applyProtection="0"/>
    <xf numFmtId="222" fontId="79" fillId="0" borderId="6760" applyBorder="0"/>
    <xf numFmtId="0" fontId="101" fillId="0" borderId="6761" applyBorder="0"/>
    <xf numFmtId="222" fontId="79" fillId="0" borderId="7190" applyBorder="0"/>
    <xf numFmtId="222" fontId="79" fillId="0" borderId="6760" applyBorder="0"/>
    <xf numFmtId="0" fontId="75" fillId="0" borderId="6750" applyNumberFormat="0" applyFont="0" applyFill="0" applyAlignment="0" applyProtection="0"/>
    <xf numFmtId="186" fontId="146" fillId="3" borderId="6752">
      <alignment horizontal="left"/>
    </xf>
    <xf numFmtId="186" fontId="140" fillId="3" borderId="6753">
      <alignment horizontal="center" vertical="center"/>
    </xf>
    <xf numFmtId="0" fontId="2" fillId="0" borderId="6754" applyNumberFormat="0" applyAlignment="0" applyProtection="0"/>
    <xf numFmtId="0" fontId="214" fillId="0" borderId="6755" applyNumberFormat="0" applyFont="0" applyFill="0" applyAlignment="0" applyProtection="0"/>
    <xf numFmtId="0" fontId="25" fillId="10" borderId="6756" applyNumberFormat="0" applyProtection="0">
      <alignment horizontal="left" vertical="top"/>
    </xf>
    <xf numFmtId="0" fontId="25" fillId="10" borderId="6757" applyNumberFormat="0" applyProtection="0">
      <alignment horizontal="left" vertical="top"/>
    </xf>
    <xf numFmtId="0" fontId="25" fillId="10" borderId="6758" applyNumberFormat="0" applyProtection="0">
      <alignment horizontal="left" vertical="top"/>
    </xf>
    <xf numFmtId="0" fontId="25" fillId="10" borderId="6759" applyNumberFormat="0" applyProtection="0">
      <alignment horizontal="left" vertical="top"/>
    </xf>
    <xf numFmtId="246" fontId="250" fillId="0" borderId="6821" applyFill="0" applyProtection="0">
      <alignment horizontal="center"/>
    </xf>
    <xf numFmtId="0" fontId="78" fillId="14" borderId="6751" applyFont="0" applyFill="0" applyBorder="0" applyAlignment="0" applyProtection="0"/>
    <xf numFmtId="264" fontId="12" fillId="14" borderId="6881" applyFont="0" applyFill="0" applyBorder="0" applyAlignment="0" applyProtection="0">
      <alignment horizontal="right"/>
    </xf>
    <xf numFmtId="186" fontId="146" fillId="3" borderId="6860">
      <alignment horizontal="left"/>
    </xf>
    <xf numFmtId="222" fontId="79" fillId="0" borderId="6748" applyBorder="0"/>
    <xf numFmtId="312" fontId="101" fillId="0" borderId="6881" applyBorder="0"/>
    <xf numFmtId="0" fontId="75" fillId="0" borderId="6858" applyNumberFormat="0" applyFont="0" applyFill="0" applyAlignment="0" applyProtection="0"/>
    <xf numFmtId="0" fontId="75" fillId="0" borderId="6822" applyNumberFormat="0" applyFont="0" applyFill="0" applyAlignment="0" applyProtection="0"/>
    <xf numFmtId="0" fontId="241" fillId="94" borderId="6821" applyBorder="0" applyProtection="0">
      <alignment horizontal="centerContinuous" vertical="center"/>
    </xf>
    <xf numFmtId="0" fontId="241" fillId="94" borderId="6881" applyBorder="0" applyProtection="0">
      <alignment horizontal="centerContinuous" vertical="center"/>
    </xf>
    <xf numFmtId="186" fontId="146" fillId="3" borderId="6824">
      <alignment horizontal="left"/>
    </xf>
    <xf numFmtId="186" fontId="140" fillId="3" borderId="6825">
      <alignment horizontal="center" vertical="center"/>
    </xf>
    <xf numFmtId="192" fontId="9" fillId="3" borderId="6821">
      <alignment horizontal="right" vertical="center"/>
    </xf>
    <xf numFmtId="0" fontId="78" fillId="14" borderId="6727" applyFont="0" applyFill="0" applyBorder="0" applyAlignment="0" applyProtection="0"/>
    <xf numFmtId="222" fontId="79" fillId="0" borderId="6736" applyBorder="0"/>
    <xf numFmtId="0" fontId="214" fillId="0" borderId="6875" applyNumberFormat="0" applyFont="0" applyFill="0" applyAlignment="0" applyProtection="0"/>
    <xf numFmtId="0" fontId="2" fillId="0" borderId="6826" applyNumberFormat="0" applyAlignment="0" applyProtection="0"/>
    <xf numFmtId="0" fontId="78" fillId="14" borderId="6739" applyFont="0" applyFill="0" applyBorder="0" applyAlignment="0" applyProtection="0"/>
    <xf numFmtId="0" fontId="25" fillId="10" borderId="6747" applyNumberFormat="0" applyProtection="0">
      <alignment horizontal="left" vertical="top"/>
    </xf>
    <xf numFmtId="0" fontId="25" fillId="10" borderId="6746" applyNumberFormat="0" applyProtection="0">
      <alignment horizontal="left" vertical="top"/>
    </xf>
    <xf numFmtId="0" fontId="25" fillId="10" borderId="6745" applyNumberFormat="0" applyProtection="0">
      <alignment horizontal="left" vertical="top"/>
    </xf>
    <xf numFmtId="0" fontId="25" fillId="10" borderId="6744" applyNumberFormat="0" applyProtection="0">
      <alignment horizontal="left" vertical="top"/>
    </xf>
    <xf numFmtId="0" fontId="214" fillId="0" borderId="6743" applyNumberFormat="0" applyFont="0" applyFill="0" applyAlignment="0" applyProtection="0"/>
    <xf numFmtId="0" fontId="2" fillId="0" borderId="6658" applyNumberFormat="0" applyAlignment="0" applyProtection="0"/>
    <xf numFmtId="186" fontId="140" fillId="3" borderId="6741">
      <alignment horizontal="center" vertical="center"/>
    </xf>
    <xf numFmtId="186" fontId="146" fillId="3" borderId="6740">
      <alignment horizontal="left"/>
    </xf>
    <xf numFmtId="0" fontId="75" fillId="0" borderId="6738" applyNumberFormat="0" applyFont="0" applyFill="0" applyAlignment="0" applyProtection="0"/>
    <xf numFmtId="222" fontId="79" fillId="0" borderId="6748" applyBorder="0"/>
    <xf numFmtId="0" fontId="101" fillId="0" borderId="6749" applyBorder="0"/>
    <xf numFmtId="222" fontId="79" fillId="0" borderId="6748" applyBorder="0"/>
    <xf numFmtId="0" fontId="113" fillId="0" borderId="6749" applyNumberFormat="0" applyFill="0" applyAlignment="0" applyProtection="0"/>
    <xf numFmtId="0" fontId="12" fillId="0" borderId="6749" applyNumberFormat="0" applyFill="0" applyBorder="0" applyAlignment="0" applyProtection="0">
      <alignment horizontal="center"/>
    </xf>
    <xf numFmtId="248" fontId="46" fillId="0" borderId="6749"/>
    <xf numFmtId="192" fontId="9" fillId="3" borderId="6749">
      <alignment horizontal="right" vertical="center"/>
    </xf>
    <xf numFmtId="180" fontId="9" fillId="3" borderId="6749">
      <alignment horizontal="right" vertical="center"/>
    </xf>
    <xf numFmtId="186" fontId="146" fillId="3" borderId="6749" applyBorder="0">
      <alignment horizontal="left" vertical="center"/>
    </xf>
    <xf numFmtId="0" fontId="165" fillId="0" borderId="6749" applyFill="0" applyProtection="0">
      <alignment horizontal="center"/>
    </xf>
    <xf numFmtId="0" fontId="166" fillId="0" borderId="6749">
      <alignment horizontal="center"/>
    </xf>
    <xf numFmtId="264" fontId="12" fillId="14" borderId="6749" applyFont="0" applyFill="0" applyBorder="0" applyAlignment="0" applyProtection="0">
      <alignment horizontal="right"/>
    </xf>
    <xf numFmtId="0" fontId="210" fillId="0" borderId="6749" applyNumberFormat="0" applyFill="0" applyBorder="0" applyAlignment="0">
      <protection locked="0"/>
    </xf>
    <xf numFmtId="254" fontId="240" fillId="0" borderId="6749" applyBorder="0" applyProtection="0">
      <alignment horizontal="right" vertical="center"/>
    </xf>
    <xf numFmtId="0" fontId="241" fillId="94" borderId="6749" applyBorder="0" applyProtection="0">
      <alignment horizontal="centerContinuous" vertical="center"/>
    </xf>
    <xf numFmtId="246" fontId="249" fillId="0" borderId="6749" applyFill="0" applyProtection="0">
      <alignment horizontal="center"/>
    </xf>
    <xf numFmtId="246" fontId="250" fillId="0" borderId="6749" applyFill="0" applyProtection="0">
      <alignment horizontal="center"/>
    </xf>
    <xf numFmtId="0" fontId="241" fillId="94" borderId="6833" applyBorder="0" applyProtection="0">
      <alignment horizontal="centerContinuous" vertical="center"/>
    </xf>
    <xf numFmtId="0" fontId="166" fillId="0" borderId="6833">
      <alignment horizontal="center"/>
    </xf>
    <xf numFmtId="0" fontId="2" fillId="0" borderId="6766" applyNumberFormat="0" applyAlignment="0" applyProtection="0"/>
    <xf numFmtId="0" fontId="214" fillId="0" borderId="6767" applyNumberFormat="0" applyFont="0" applyFill="0" applyAlignment="0" applyProtection="0"/>
    <xf numFmtId="246" fontId="250" fillId="0" borderId="6773" applyFill="0" applyProtection="0">
      <alignment horizontal="center"/>
    </xf>
    <xf numFmtId="246" fontId="249" fillId="0" borderId="6773" applyFill="0" applyProtection="0">
      <alignment horizontal="center"/>
    </xf>
    <xf numFmtId="0" fontId="241" fillId="94" borderId="6773" applyBorder="0" applyProtection="0">
      <alignment horizontal="centerContinuous" vertical="center"/>
    </xf>
    <xf numFmtId="254" fontId="240" fillId="0" borderId="6773" applyBorder="0" applyProtection="0">
      <alignment horizontal="right" vertical="center"/>
    </xf>
    <xf numFmtId="0" fontId="210" fillId="0" borderId="6773" applyNumberFormat="0" applyFill="0" applyBorder="0" applyAlignment="0">
      <protection locked="0"/>
    </xf>
    <xf numFmtId="264" fontId="12" fillId="14" borderId="6773" applyFont="0" applyFill="0" applyBorder="0" applyAlignment="0" applyProtection="0">
      <alignment horizontal="right"/>
    </xf>
    <xf numFmtId="0" fontId="166" fillId="0" borderId="6773">
      <alignment horizontal="center"/>
    </xf>
    <xf numFmtId="0" fontId="165" fillId="0" borderId="6773" applyFill="0" applyProtection="0">
      <alignment horizontal="center"/>
    </xf>
    <xf numFmtId="186" fontId="146" fillId="3" borderId="6773" applyBorder="0">
      <alignment horizontal="left" vertical="center"/>
    </xf>
    <xf numFmtId="180" fontId="9" fillId="3" borderId="6773">
      <alignment horizontal="right" vertical="center"/>
    </xf>
    <xf numFmtId="192" fontId="9" fillId="3" borderId="6773">
      <alignment horizontal="right" vertical="center"/>
    </xf>
    <xf numFmtId="248" fontId="46" fillId="0" borderId="6773"/>
    <xf numFmtId="0" fontId="12" fillId="0" borderId="6773" applyNumberFormat="0" applyFill="0" applyBorder="0" applyAlignment="0" applyProtection="0">
      <alignment horizontal="center"/>
    </xf>
    <xf numFmtId="0" fontId="113" fillId="0" borderId="6773" applyNumberFormat="0" applyFill="0" applyAlignment="0" applyProtection="0"/>
    <xf numFmtId="222" fontId="79" fillId="0" borderId="6772" applyBorder="0"/>
    <xf numFmtId="0" fontId="101" fillId="0" borderId="6773" applyBorder="0"/>
    <xf numFmtId="222" fontId="79" fillId="0" borderId="6772" applyBorder="0"/>
    <xf numFmtId="0" fontId="75" fillId="0" borderId="6762" applyNumberFormat="0" applyFont="0" applyFill="0" applyAlignment="0" applyProtection="0"/>
    <xf numFmtId="186" fontId="146" fillId="3" borderId="6764">
      <alignment horizontal="left"/>
    </xf>
    <xf numFmtId="186" fontId="140" fillId="3" borderId="6765">
      <alignment horizontal="center" vertical="center"/>
    </xf>
    <xf numFmtId="0" fontId="2" fillId="0" borderId="6766" applyNumberFormat="0" applyAlignment="0" applyProtection="0"/>
    <xf numFmtId="0" fontId="214" fillId="0" borderId="6767" applyNumberFormat="0" applyFont="0" applyFill="0" applyAlignment="0" applyProtection="0"/>
    <xf numFmtId="0" fontId="25" fillId="10" borderId="6768" applyNumberFormat="0" applyProtection="0">
      <alignment horizontal="left" vertical="top"/>
    </xf>
    <xf numFmtId="0" fontId="25" fillId="10" borderId="6769" applyNumberFormat="0" applyProtection="0">
      <alignment horizontal="left" vertical="top"/>
    </xf>
    <xf numFmtId="0" fontId="25" fillId="10" borderId="6770" applyNumberFormat="0" applyProtection="0">
      <alignment horizontal="left" vertical="top"/>
    </xf>
    <xf numFmtId="0" fontId="25" fillId="10" borderId="6771" applyNumberFormat="0" applyProtection="0">
      <alignment horizontal="left" vertical="top"/>
    </xf>
    <xf numFmtId="0" fontId="78" fillId="14" borderId="6763" applyFont="0" applyFill="0" applyBorder="0" applyAlignment="0" applyProtection="0"/>
    <xf numFmtId="222" fontId="79" fillId="0" borderId="6760" applyBorder="0"/>
    <xf numFmtId="0" fontId="78" fillId="14" borderId="6775" applyFont="0" applyFill="0" applyBorder="0" applyAlignment="0" applyProtection="0"/>
    <xf numFmtId="186" fontId="146" fillId="3" borderId="6764">
      <alignment horizontal="left"/>
    </xf>
    <xf numFmtId="0" fontId="78" fillId="14" borderId="6751" applyFont="0" applyFill="0" applyBorder="0" applyAlignment="0" applyProtection="0"/>
    <xf numFmtId="222" fontId="79" fillId="0" borderId="6760" applyBorder="0"/>
    <xf numFmtId="0" fontId="2" fillId="0" borderId="6778" applyNumberFormat="0" applyAlignment="0" applyProtection="0"/>
    <xf numFmtId="0" fontId="78" fillId="14" borderId="6751" applyFont="0" applyFill="0" applyBorder="0" applyAlignment="0" applyProtection="0"/>
    <xf numFmtId="0" fontId="25" fillId="10" borderId="6759" applyNumberFormat="0" applyProtection="0">
      <alignment horizontal="left" vertical="top"/>
    </xf>
    <xf numFmtId="0" fontId="25" fillId="10" borderId="6758" applyNumberFormat="0" applyProtection="0">
      <alignment horizontal="left" vertical="top"/>
    </xf>
    <xf numFmtId="0" fontId="25" fillId="10" borderId="6757" applyNumberFormat="0" applyProtection="0">
      <alignment horizontal="left" vertical="top"/>
    </xf>
    <xf numFmtId="0" fontId="25" fillId="10" borderId="6756" applyNumberFormat="0" applyProtection="0">
      <alignment horizontal="left" vertical="top"/>
    </xf>
    <xf numFmtId="0" fontId="25" fillId="10" borderId="6781" applyNumberFormat="0" applyProtection="0">
      <alignment horizontal="left" vertical="top"/>
    </xf>
    <xf numFmtId="0" fontId="214" fillId="0" borderId="6755" applyNumberFormat="0" applyFont="0" applyFill="0" applyAlignment="0" applyProtection="0"/>
    <xf numFmtId="0" fontId="2" fillId="0" borderId="6754" applyNumberFormat="0" applyAlignment="0" applyProtection="0"/>
    <xf numFmtId="186" fontId="140" fillId="3" borderId="6753">
      <alignment horizontal="center" vertical="center"/>
    </xf>
    <xf numFmtId="186" fontId="146" fillId="3" borderId="6752">
      <alignment horizontal="left"/>
    </xf>
    <xf numFmtId="0" fontId="25" fillId="10" borderId="6783" applyNumberFormat="0" applyProtection="0">
      <alignment horizontal="left" vertical="top"/>
    </xf>
    <xf numFmtId="0" fontId="75" fillId="0" borderId="6750" applyNumberFormat="0" applyFont="0" applyFill="0" applyAlignment="0" applyProtection="0"/>
    <xf numFmtId="222" fontId="79" fillId="0" borderId="6760" applyBorder="0"/>
    <xf numFmtId="0" fontId="101" fillId="0" borderId="6761" applyBorder="0"/>
    <xf numFmtId="222" fontId="79" fillId="0" borderId="6760" applyBorder="0"/>
    <xf numFmtId="0" fontId="113" fillId="0" borderId="6761" applyNumberFormat="0" applyFill="0" applyAlignment="0" applyProtection="0"/>
    <xf numFmtId="0" fontId="12" fillId="0" borderId="6761" applyNumberFormat="0" applyFill="0" applyBorder="0" applyAlignment="0" applyProtection="0">
      <alignment horizontal="center"/>
    </xf>
    <xf numFmtId="248" fontId="46" fillId="0" borderId="6761"/>
    <xf numFmtId="192" fontId="9" fillId="3" borderId="6761">
      <alignment horizontal="right" vertical="center"/>
    </xf>
    <xf numFmtId="180" fontId="9" fillId="3" borderId="6761">
      <alignment horizontal="right" vertical="center"/>
    </xf>
    <xf numFmtId="186" fontId="146" fillId="3" borderId="6761" applyBorder="0">
      <alignment horizontal="left" vertical="center"/>
    </xf>
    <xf numFmtId="0" fontId="165" fillId="0" borderId="6761" applyFill="0" applyProtection="0">
      <alignment horizontal="center"/>
    </xf>
    <xf numFmtId="0" fontId="166" fillId="0" borderId="6761">
      <alignment horizontal="center"/>
    </xf>
    <xf numFmtId="264" fontId="12" fillId="14" borderId="6761" applyFont="0" applyFill="0" applyBorder="0" applyAlignment="0" applyProtection="0">
      <alignment horizontal="right"/>
    </xf>
    <xf numFmtId="0" fontId="210" fillId="0" borderId="6761" applyNumberFormat="0" applyFill="0" applyBorder="0" applyAlignment="0">
      <protection locked="0"/>
    </xf>
    <xf numFmtId="254" fontId="240" fillId="0" borderId="6761" applyBorder="0" applyProtection="0">
      <alignment horizontal="right" vertical="center"/>
    </xf>
    <xf numFmtId="0" fontId="241" fillId="94" borderId="6761" applyBorder="0" applyProtection="0">
      <alignment horizontal="centerContinuous" vertical="center"/>
    </xf>
    <xf numFmtId="246" fontId="249" fillId="0" borderId="6761" applyFill="0" applyProtection="0">
      <alignment horizontal="center"/>
    </xf>
    <xf numFmtId="246" fontId="250" fillId="0" borderId="6761" applyFill="0" applyProtection="0">
      <alignment horizontal="center"/>
    </xf>
    <xf numFmtId="186" fontId="140" fillId="3" borderId="6777">
      <alignment horizontal="center" vertical="center"/>
    </xf>
    <xf numFmtId="0" fontId="78" fillId="14" borderId="6763" applyFont="0" applyFill="0" applyBorder="0" applyAlignment="0" applyProtection="0"/>
    <xf numFmtId="222" fontId="79" fillId="0" borderId="6784" applyBorder="0"/>
    <xf numFmtId="0" fontId="78" fillId="14" borderId="6787" applyFont="0" applyFill="0" applyBorder="0" applyAlignment="0" applyProtection="0"/>
    <xf numFmtId="0" fontId="25" fillId="10" borderId="6795" applyNumberFormat="0" applyProtection="0">
      <alignment horizontal="left" vertical="top"/>
    </xf>
    <xf numFmtId="0" fontId="25" fillId="10" borderId="6794" applyNumberFormat="0" applyProtection="0">
      <alignment horizontal="left" vertical="top"/>
    </xf>
    <xf numFmtId="0" fontId="25" fillId="10" borderId="6793" applyNumberFormat="0" applyProtection="0">
      <alignment horizontal="left" vertical="top"/>
    </xf>
    <xf numFmtId="0" fontId="25" fillId="10" borderId="6792" applyNumberFormat="0" applyProtection="0">
      <alignment horizontal="left" vertical="top"/>
    </xf>
    <xf numFmtId="0" fontId="214" fillId="0" borderId="6791" applyNumberFormat="0" applyFont="0" applyFill="0" applyAlignment="0" applyProtection="0"/>
    <xf numFmtId="0" fontId="2" fillId="0" borderId="6790" applyNumberFormat="0" applyAlignment="0" applyProtection="0"/>
    <xf numFmtId="186" fontId="140" fillId="3" borderId="6789">
      <alignment horizontal="center" vertical="center"/>
    </xf>
    <xf numFmtId="186" fontId="146" fillId="3" borderId="6788">
      <alignment horizontal="left"/>
    </xf>
    <xf numFmtId="0" fontId="75" fillId="0" borderId="6786" applyNumberFormat="0" applyFont="0" applyFill="0" applyAlignment="0" applyProtection="0"/>
    <xf numFmtId="222" fontId="79" fillId="0" borderId="6796" applyBorder="0"/>
    <xf numFmtId="0" fontId="101" fillId="0" borderId="6797" applyBorder="0"/>
    <xf numFmtId="222" fontId="79" fillId="0" borderId="6796" applyBorder="0"/>
    <xf numFmtId="0" fontId="113" fillId="0" borderId="6797" applyNumberFormat="0" applyFill="0" applyAlignment="0" applyProtection="0"/>
    <xf numFmtId="0" fontId="12" fillId="0" borderId="6797" applyNumberFormat="0" applyFill="0" applyBorder="0" applyAlignment="0" applyProtection="0">
      <alignment horizontal="center"/>
    </xf>
    <xf numFmtId="248" fontId="46" fillId="0" borderId="6797"/>
    <xf numFmtId="192" fontId="9" fillId="3" borderId="6797">
      <alignment horizontal="right" vertical="center"/>
    </xf>
    <xf numFmtId="180" fontId="9" fillId="3" borderId="6797">
      <alignment horizontal="right" vertical="center"/>
    </xf>
    <xf numFmtId="186" fontId="146" fillId="3" borderId="6797" applyBorder="0">
      <alignment horizontal="left" vertical="center"/>
    </xf>
    <xf numFmtId="0" fontId="165" fillId="0" borderId="6797" applyFill="0" applyProtection="0">
      <alignment horizontal="center"/>
    </xf>
    <xf numFmtId="0" fontId="166" fillId="0" borderId="6797">
      <alignment horizontal="center"/>
    </xf>
    <xf numFmtId="264" fontId="12" fillId="14" borderId="6797" applyFont="0" applyFill="0" applyBorder="0" applyAlignment="0" applyProtection="0">
      <alignment horizontal="right"/>
    </xf>
    <xf numFmtId="0" fontId="210" fillId="0" borderId="6797" applyNumberFormat="0" applyFill="0" applyBorder="0" applyAlignment="0">
      <protection locked="0"/>
    </xf>
    <xf numFmtId="254" fontId="240" fillId="0" borderId="6797" applyBorder="0" applyProtection="0">
      <alignment horizontal="right" vertical="center"/>
    </xf>
    <xf numFmtId="0" fontId="241" fillId="94" borderId="6797" applyBorder="0" applyProtection="0">
      <alignment horizontal="centerContinuous" vertical="center"/>
    </xf>
    <xf numFmtId="246" fontId="249" fillId="0" borderId="6797" applyFill="0" applyProtection="0">
      <alignment horizontal="center"/>
    </xf>
    <xf numFmtId="246" fontId="250" fillId="0" borderId="6797" applyFill="0" applyProtection="0">
      <alignment horizontal="center"/>
    </xf>
    <xf numFmtId="222" fontId="79" fillId="0" borderId="6808" applyBorder="0"/>
    <xf numFmtId="0" fontId="78" fillId="14" borderId="6811" applyFont="0" applyFill="0" applyBorder="0" applyAlignment="0" applyProtection="0"/>
    <xf numFmtId="0" fontId="25" fillId="10" borderId="6819" applyNumberFormat="0" applyProtection="0">
      <alignment horizontal="left" vertical="top"/>
    </xf>
    <xf numFmtId="0" fontId="25" fillId="10" borderId="6818" applyNumberFormat="0" applyProtection="0">
      <alignment horizontal="left" vertical="top"/>
    </xf>
    <xf numFmtId="0" fontId="25" fillId="10" borderId="6817" applyNumberFormat="0" applyProtection="0">
      <alignment horizontal="left" vertical="top"/>
    </xf>
    <xf numFmtId="0" fontId="25" fillId="10" borderId="6816" applyNumberFormat="0" applyProtection="0">
      <alignment horizontal="left" vertical="top"/>
    </xf>
    <xf numFmtId="0" fontId="214" fillId="0" borderId="6815" applyNumberFormat="0" applyFont="0" applyFill="0" applyAlignment="0" applyProtection="0"/>
    <xf numFmtId="0" fontId="2" fillId="0" borderId="6814" applyNumberFormat="0" applyAlignment="0" applyProtection="0"/>
    <xf numFmtId="186" fontId="140" fillId="3" borderId="6813">
      <alignment horizontal="center" vertical="center"/>
    </xf>
    <xf numFmtId="186" fontId="146" fillId="3" borderId="6812">
      <alignment horizontal="left"/>
    </xf>
    <xf numFmtId="0" fontId="75" fillId="0" borderId="6810" applyNumberFormat="0" applyFont="0" applyFill="0" applyAlignment="0" applyProtection="0"/>
    <xf numFmtId="222" fontId="79" fillId="0" borderId="6820" applyBorder="0"/>
    <xf numFmtId="0" fontId="101" fillId="0" borderId="6821" applyBorder="0"/>
    <xf numFmtId="222" fontId="79" fillId="0" borderId="6820" applyBorder="0"/>
    <xf numFmtId="0" fontId="113" fillId="0" borderId="6821" applyNumberFormat="0" applyFill="0" applyAlignment="0" applyProtection="0"/>
    <xf numFmtId="0" fontId="12" fillId="0" borderId="6821" applyNumberFormat="0" applyFill="0" applyBorder="0" applyAlignment="0" applyProtection="0">
      <alignment horizontal="center"/>
    </xf>
    <xf numFmtId="248" fontId="46" fillId="0" borderId="6821"/>
    <xf numFmtId="192" fontId="9" fillId="3" borderId="6821">
      <alignment horizontal="right" vertical="center"/>
    </xf>
    <xf numFmtId="180" fontId="9" fillId="3" borderId="6821">
      <alignment horizontal="right" vertical="center"/>
    </xf>
    <xf numFmtId="186" fontId="146" fillId="3" borderId="6821" applyBorder="0">
      <alignment horizontal="left" vertical="center"/>
    </xf>
    <xf numFmtId="0" fontId="165" fillId="0" borderId="6821" applyFill="0" applyProtection="0">
      <alignment horizontal="center"/>
    </xf>
    <xf numFmtId="0" fontId="166" fillId="0" borderId="6821">
      <alignment horizontal="center"/>
    </xf>
    <xf numFmtId="264" fontId="12" fillId="14" borderId="6821" applyFont="0" applyFill="0" applyBorder="0" applyAlignment="0" applyProtection="0">
      <alignment horizontal="right"/>
    </xf>
    <xf numFmtId="0" fontId="210" fillId="0" borderId="6821" applyNumberFormat="0" applyFill="0" applyBorder="0" applyAlignment="0">
      <protection locked="0"/>
    </xf>
    <xf numFmtId="254" fontId="240" fillId="0" borderId="6821" applyBorder="0" applyProtection="0">
      <alignment horizontal="right" vertical="center"/>
    </xf>
    <xf numFmtId="0" fontId="241" fillId="94" borderId="6821" applyBorder="0" applyProtection="0">
      <alignment horizontal="centerContinuous" vertical="center"/>
    </xf>
    <xf numFmtId="246" fontId="249" fillId="0" borderId="6821" applyFill="0" applyProtection="0">
      <alignment horizontal="center"/>
    </xf>
    <xf numFmtId="246" fontId="250" fillId="0" borderId="6821" applyFill="0" applyProtection="0">
      <alignment horizontal="center"/>
    </xf>
    <xf numFmtId="0" fontId="75" fillId="0" borderId="6834" applyNumberFormat="0" applyFont="0" applyFill="0" applyAlignment="0" applyProtection="0"/>
    <xf numFmtId="0" fontId="78" fillId="14" borderId="6835" applyFont="0" applyFill="0" applyBorder="0" applyAlignment="0" applyProtection="0"/>
    <xf numFmtId="186" fontId="146" fillId="3" borderId="6836">
      <alignment horizontal="left"/>
    </xf>
    <xf numFmtId="186" fontId="140" fillId="3" borderId="6837">
      <alignment horizontal="center" vertical="center"/>
    </xf>
    <xf numFmtId="0" fontId="2" fillId="0" borderId="6838" applyNumberFormat="0" applyAlignment="0" applyProtection="0"/>
    <xf numFmtId="0" fontId="214" fillId="0" borderId="6839" applyNumberFormat="0" applyFont="0" applyFill="0" applyAlignment="0" applyProtection="0"/>
    <xf numFmtId="0" fontId="25" fillId="10" borderId="6840" applyNumberFormat="0" applyProtection="0">
      <alignment horizontal="left" vertical="top"/>
    </xf>
    <xf numFmtId="0" fontId="25" fillId="10" borderId="6841" applyNumberFormat="0" applyProtection="0">
      <alignment horizontal="left" vertical="top"/>
    </xf>
    <xf numFmtId="0" fontId="25" fillId="10" borderId="6842" applyNumberFormat="0" applyProtection="0">
      <alignment horizontal="left" vertical="top"/>
    </xf>
    <xf numFmtId="0" fontId="25" fillId="10" borderId="6843" applyNumberFormat="0" applyProtection="0">
      <alignment horizontal="left" vertical="top"/>
    </xf>
    <xf numFmtId="0" fontId="25" fillId="10" borderId="6830" applyNumberFormat="0" applyProtection="0">
      <alignment horizontal="left" vertical="top"/>
    </xf>
    <xf numFmtId="190" fontId="210" fillId="0" borderId="6881" applyNumberFormat="0" applyFill="0" applyBorder="0" applyAlignment="0">
      <protection locked="0"/>
    </xf>
    <xf numFmtId="254" fontId="240" fillId="0" borderId="6869" applyBorder="0" applyProtection="0">
      <alignment horizontal="right" vertical="center"/>
    </xf>
    <xf numFmtId="246" fontId="250" fillId="0" borderId="6833" applyFill="0" applyProtection="0">
      <alignment horizontal="center"/>
    </xf>
    <xf numFmtId="246" fontId="249" fillId="0" borderId="6833" applyFill="0" applyProtection="0">
      <alignment horizontal="center"/>
    </xf>
    <xf numFmtId="0" fontId="241" fillId="94" borderId="6833" applyBorder="0" applyProtection="0">
      <alignment horizontal="centerContinuous" vertical="center"/>
    </xf>
    <xf numFmtId="254" fontId="240" fillId="0" borderId="6833" applyBorder="0" applyProtection="0">
      <alignment horizontal="right" vertical="center"/>
    </xf>
    <xf numFmtId="0" fontId="210" fillId="0" borderId="6833" applyNumberFormat="0" applyFill="0" applyBorder="0" applyAlignment="0">
      <protection locked="0"/>
    </xf>
    <xf numFmtId="264" fontId="12" fillId="14" borderId="6833" applyFont="0" applyFill="0" applyBorder="0" applyAlignment="0" applyProtection="0">
      <alignment horizontal="right"/>
    </xf>
    <xf numFmtId="0" fontId="166" fillId="0" borderId="6833">
      <alignment horizontal="center"/>
    </xf>
    <xf numFmtId="0" fontId="165" fillId="0" borderId="6833" applyFill="0" applyProtection="0">
      <alignment horizontal="center"/>
    </xf>
    <xf numFmtId="246" fontId="250" fillId="0" borderId="6821" applyFill="0" applyProtection="0">
      <alignment horizontal="center"/>
    </xf>
    <xf numFmtId="0" fontId="25" fillId="10" borderId="6840" applyNumberFormat="0" applyProtection="0">
      <alignment horizontal="left" vertical="top"/>
    </xf>
    <xf numFmtId="186" fontId="146" fillId="3" borderId="6833" applyBorder="0">
      <alignment horizontal="left" vertical="center"/>
    </xf>
    <xf numFmtId="180" fontId="9" fillId="3" borderId="6833">
      <alignment horizontal="right" vertical="center"/>
    </xf>
    <xf numFmtId="192" fontId="9" fillId="3" borderId="6833">
      <alignment horizontal="right" vertical="center"/>
    </xf>
    <xf numFmtId="0" fontId="12" fillId="0" borderId="6833" applyNumberFormat="0" applyFill="0" applyBorder="0" applyAlignment="0" applyProtection="0">
      <alignment horizontal="center"/>
    </xf>
    <xf numFmtId="0" fontId="113" fillId="0" borderId="6833" applyNumberFormat="0" applyFill="0" applyAlignment="0" applyProtection="0"/>
    <xf numFmtId="0" fontId="25" fillId="10" borderId="6867" applyNumberFormat="0" applyProtection="0">
      <alignment horizontal="left" vertical="top"/>
    </xf>
    <xf numFmtId="246" fontId="250" fillId="0" borderId="6881" applyFill="0" applyProtection="0">
      <alignment horizontal="center"/>
    </xf>
    <xf numFmtId="222" fontId="79" fillId="0" borderId="6832" applyBorder="0"/>
    <xf numFmtId="0" fontId="101" fillId="0" borderId="6833" applyBorder="0"/>
    <xf numFmtId="248" fontId="46" fillId="0" borderId="6833"/>
    <xf numFmtId="0" fontId="101" fillId="0" borderId="6833" applyBorder="0"/>
    <xf numFmtId="222" fontId="79" fillId="0" borderId="6832" applyBorder="0"/>
    <xf numFmtId="0" fontId="113" fillId="0" borderId="6833" applyNumberFormat="0" applyFill="0" applyAlignment="0" applyProtection="0"/>
    <xf numFmtId="0" fontId="75" fillId="0" borderId="6834" applyNumberFormat="0" applyFont="0" applyFill="0" applyAlignment="0" applyProtection="0"/>
    <xf numFmtId="0" fontId="12" fillId="0" borderId="6833" applyNumberFormat="0" applyFill="0" applyBorder="0" applyAlignment="0" applyProtection="0">
      <alignment horizontal="center"/>
    </xf>
    <xf numFmtId="248" fontId="46" fillId="0" borderId="6833"/>
    <xf numFmtId="192" fontId="9" fillId="3" borderId="6833">
      <alignment horizontal="right" vertical="center"/>
    </xf>
    <xf numFmtId="180" fontId="9" fillId="3" borderId="6833">
      <alignment horizontal="right" vertical="center"/>
    </xf>
    <xf numFmtId="186" fontId="146" fillId="3" borderId="6833" applyBorder="0">
      <alignment horizontal="left" vertical="center"/>
    </xf>
    <xf numFmtId="186" fontId="146" fillId="3" borderId="6836">
      <alignment horizontal="left"/>
    </xf>
    <xf numFmtId="186" fontId="140" fillId="3" borderId="6837">
      <alignment horizontal="center" vertical="center"/>
    </xf>
    <xf numFmtId="0" fontId="165" fillId="0" borderId="6833" applyFill="0" applyProtection="0">
      <alignment horizontal="center"/>
    </xf>
    <xf numFmtId="0" fontId="166" fillId="0" borderId="6833">
      <alignment horizontal="center"/>
    </xf>
    <xf numFmtId="264" fontId="12" fillId="14" borderId="6833" applyFont="0" applyFill="0" applyBorder="0" applyAlignment="0" applyProtection="0">
      <alignment horizontal="right"/>
    </xf>
    <xf numFmtId="0" fontId="210" fillId="0" borderId="6833" applyNumberFormat="0" applyFill="0" applyBorder="0" applyAlignment="0">
      <protection locked="0"/>
    </xf>
    <xf numFmtId="0" fontId="2" fillId="0" borderId="6838" applyNumberFormat="0" applyAlignment="0" applyProtection="0"/>
    <xf numFmtId="0" fontId="214" fillId="0" borderId="6839" applyNumberFormat="0" applyFont="0" applyFill="0" applyAlignment="0" applyProtection="0"/>
    <xf numFmtId="0" fontId="25" fillId="10" borderId="6840" applyNumberFormat="0" applyProtection="0">
      <alignment horizontal="left" vertical="top"/>
    </xf>
    <xf numFmtId="0" fontId="25" fillId="10" borderId="6841" applyNumberFormat="0" applyProtection="0">
      <alignment horizontal="left" vertical="top"/>
    </xf>
    <xf numFmtId="0" fontId="25" fillId="10" borderId="6842" applyNumberFormat="0" applyProtection="0">
      <alignment horizontal="left" vertical="top"/>
    </xf>
    <xf numFmtId="0" fontId="25" fillId="10" borderId="6843" applyNumberFormat="0" applyProtection="0">
      <alignment horizontal="left" vertical="top"/>
    </xf>
    <xf numFmtId="0" fontId="25" fillId="10" borderId="6840" applyNumberFormat="0" applyProtection="0">
      <alignment horizontal="left" vertical="top"/>
    </xf>
    <xf numFmtId="0" fontId="25" fillId="10" borderId="6841" applyNumberFormat="0" applyProtection="0">
      <alignment horizontal="left" vertical="top"/>
    </xf>
    <xf numFmtId="0" fontId="25" fillId="10" borderId="6842" applyNumberFormat="0" applyProtection="0">
      <alignment horizontal="left" vertical="top"/>
    </xf>
    <xf numFmtId="0" fontId="25" fillId="10" borderId="6843" applyNumberFormat="0" applyProtection="0">
      <alignment horizontal="left" vertical="top"/>
    </xf>
    <xf numFmtId="254" fontId="240" fillId="0" borderId="6833" applyBorder="0" applyProtection="0">
      <alignment horizontal="right" vertical="center"/>
    </xf>
    <xf numFmtId="0" fontId="241" fillId="94" borderId="6833" applyBorder="0" applyProtection="0">
      <alignment horizontal="centerContinuous" vertical="center"/>
    </xf>
    <xf numFmtId="246" fontId="249" fillId="0" borderId="6833" applyFill="0" applyProtection="0">
      <alignment horizontal="center"/>
    </xf>
    <xf numFmtId="246" fontId="250" fillId="0" borderId="6833" applyFill="0" applyProtection="0">
      <alignment horizontal="center"/>
    </xf>
    <xf numFmtId="0" fontId="25" fillId="10" borderId="6829" applyNumberFormat="0" applyProtection="0">
      <alignment horizontal="left" vertical="top"/>
    </xf>
    <xf numFmtId="312" fontId="25" fillId="10" borderId="6864" applyNumberFormat="0" applyProtection="0">
      <alignment horizontal="left" vertical="top"/>
    </xf>
    <xf numFmtId="190" fontId="101" fillId="0" borderId="6833" applyBorder="0"/>
    <xf numFmtId="246" fontId="249" fillId="0" borderId="6881" applyFill="0" applyProtection="0">
      <alignment horizontal="center"/>
    </xf>
    <xf numFmtId="0" fontId="25" fillId="10" borderId="6866" applyNumberFormat="0" applyProtection="0">
      <alignment horizontal="left" vertical="top"/>
    </xf>
    <xf numFmtId="0" fontId="166" fillId="0" borderId="6881">
      <alignment horizontal="center"/>
    </xf>
    <xf numFmtId="186" fontId="146" fillId="3" borderId="6881" applyBorder="0">
      <alignment horizontal="left" vertical="center"/>
    </xf>
    <xf numFmtId="190" fontId="113" fillId="0" borderId="6833" applyNumberFormat="0" applyFill="0" applyAlignment="0" applyProtection="0"/>
    <xf numFmtId="190" fontId="75" fillId="0" borderId="6810" applyNumberFormat="0" applyFont="0" applyFill="0" applyAlignment="0" applyProtection="0"/>
    <xf numFmtId="190" fontId="241" fillId="94" borderId="6881" applyBorder="0" applyProtection="0">
      <alignment horizontal="centerContinuous" vertical="center"/>
    </xf>
    <xf numFmtId="190" fontId="25" fillId="10" borderId="6865" applyNumberFormat="0" applyProtection="0">
      <alignment horizontal="left" vertical="top"/>
    </xf>
    <xf numFmtId="190" fontId="12" fillId="0" borderId="6833" applyNumberFormat="0" applyFill="0" applyBorder="0" applyAlignment="0" applyProtection="0">
      <alignment horizontal="center"/>
    </xf>
    <xf numFmtId="190" fontId="75" fillId="0" borderId="6858" applyNumberFormat="0" applyFont="0" applyFill="0" applyAlignment="0" applyProtection="0"/>
    <xf numFmtId="190" fontId="78" fillId="14" borderId="6823" applyFont="0" applyFill="0" applyBorder="0" applyAlignment="0" applyProtection="0"/>
    <xf numFmtId="254" fontId="240" fillId="0" borderId="6881" applyBorder="0" applyProtection="0">
      <alignment horizontal="right" vertical="center"/>
    </xf>
    <xf numFmtId="246" fontId="250" fillId="0" borderId="6881" applyFill="0" applyProtection="0">
      <alignment horizontal="center"/>
    </xf>
    <xf numFmtId="0" fontId="165" fillId="0" borderId="6869" applyFill="0" applyProtection="0">
      <alignment horizontal="center"/>
    </xf>
    <xf numFmtId="248" fontId="46" fillId="0" borderId="6869"/>
    <xf numFmtId="222" fontId="79" fillId="0" borderId="6868" applyBorder="0"/>
    <xf numFmtId="186" fontId="140" fillId="3" borderId="6861">
      <alignment horizontal="center" vertical="center"/>
    </xf>
    <xf numFmtId="0" fontId="25" fillId="10" borderId="6864" applyNumberFormat="0" applyProtection="0">
      <alignment horizontal="left" vertical="top"/>
    </xf>
    <xf numFmtId="0" fontId="25" fillId="10" borderId="6867" applyNumberFormat="0" applyProtection="0">
      <alignment horizontal="left" vertical="top"/>
    </xf>
    <xf numFmtId="246" fontId="250" fillId="0" borderId="6845" applyFill="0" applyProtection="0">
      <alignment horizontal="center"/>
    </xf>
    <xf numFmtId="254" fontId="240" fillId="0" borderId="6845" applyBorder="0" applyProtection="0">
      <alignment horizontal="right" vertical="center"/>
    </xf>
    <xf numFmtId="0" fontId="166" fillId="0" borderId="6845">
      <alignment horizontal="center"/>
    </xf>
    <xf numFmtId="180" fontId="9" fillId="3" borderId="6845">
      <alignment horizontal="right" vertical="center"/>
    </xf>
    <xf numFmtId="0" fontId="12" fillId="0" borderId="6845" applyNumberFormat="0" applyFill="0" applyBorder="0" applyAlignment="0" applyProtection="0">
      <alignment horizontal="center"/>
    </xf>
    <xf numFmtId="0" fontId="101" fillId="0" borderId="6845" applyBorder="0"/>
    <xf numFmtId="186" fontId="146" fillId="3" borderId="6836">
      <alignment horizontal="left"/>
    </xf>
    <xf numFmtId="0" fontId="25" fillId="10" borderId="6841" applyNumberFormat="0" applyProtection="0">
      <alignment horizontal="left" vertical="top"/>
    </xf>
    <xf numFmtId="246" fontId="249" fillId="0" borderId="6821" applyFill="0" applyProtection="0">
      <alignment horizontal="center"/>
    </xf>
    <xf numFmtId="0" fontId="165" fillId="0" borderId="6821" applyFill="0" applyProtection="0">
      <alignment horizontal="center"/>
    </xf>
    <xf numFmtId="0" fontId="214" fillId="0" borderId="6827" applyNumberFormat="0" applyFont="0" applyFill="0" applyAlignment="0" applyProtection="0"/>
    <xf numFmtId="0" fontId="78" fillId="14" borderId="6823" applyFont="0" applyFill="0" applyBorder="0" applyAlignment="0" applyProtection="0"/>
    <xf numFmtId="0" fontId="2" fillId="0" borderId="6826" applyNumberFormat="0" applyAlignment="0" applyProtection="0"/>
    <xf numFmtId="0" fontId="75" fillId="0" borderId="6822" applyNumberFormat="0" applyFont="0" applyFill="0" applyAlignment="0" applyProtection="0"/>
    <xf numFmtId="0" fontId="12" fillId="0" borderId="6821" applyNumberFormat="0" applyFill="0" applyBorder="0" applyAlignment="0" applyProtection="0">
      <alignment horizontal="center"/>
    </xf>
    <xf numFmtId="186" fontId="146" fillId="3" borderId="6821" applyBorder="0">
      <alignment horizontal="left" vertical="center"/>
    </xf>
    <xf numFmtId="190" fontId="165" fillId="0" borderId="6833" applyFill="0" applyProtection="0">
      <alignment horizontal="center"/>
    </xf>
    <xf numFmtId="190" fontId="166" fillId="0" borderId="6833">
      <alignment horizontal="center"/>
    </xf>
    <xf numFmtId="0" fontId="25" fillId="10" borderId="6828" applyNumberFormat="0" applyProtection="0">
      <alignment horizontal="left" vertical="top"/>
    </xf>
    <xf numFmtId="0" fontId="25" fillId="10" borderId="6831" applyNumberFormat="0" applyProtection="0">
      <alignment horizontal="left" vertical="top"/>
    </xf>
    <xf numFmtId="222" fontId="79" fillId="0" borderId="6832" applyBorder="0"/>
    <xf numFmtId="0" fontId="101" fillId="0" borderId="6821" applyBorder="0"/>
    <xf numFmtId="0" fontId="12" fillId="0" borderId="6821" applyNumberFormat="0" applyFill="0" applyBorder="0" applyAlignment="0" applyProtection="0">
      <alignment horizontal="center"/>
    </xf>
    <xf numFmtId="0" fontId="165" fillId="0" borderId="6821" applyFill="0" applyProtection="0">
      <alignment horizontal="center"/>
    </xf>
    <xf numFmtId="0" fontId="214" fillId="0" borderId="6827" applyNumberFormat="0" applyFont="0" applyFill="0" applyAlignment="0" applyProtection="0"/>
    <xf numFmtId="0" fontId="25" fillId="10" borderId="6830" applyNumberFormat="0" applyProtection="0">
      <alignment horizontal="left" vertical="top"/>
    </xf>
    <xf numFmtId="0" fontId="241" fillId="94" borderId="6857" applyBorder="0" applyProtection="0">
      <alignment horizontal="centerContinuous" vertical="center"/>
    </xf>
    <xf numFmtId="0" fontId="165" fillId="0" borderId="6833" applyFill="0" applyProtection="0">
      <alignment horizontal="center"/>
    </xf>
    <xf numFmtId="0" fontId="25" fillId="10" borderId="6879" applyNumberFormat="0" applyProtection="0">
      <alignment horizontal="left" vertical="top"/>
    </xf>
    <xf numFmtId="0" fontId="241" fillId="94" borderId="6821" applyBorder="0" applyProtection="0">
      <alignment horizontal="centerContinuous" vertical="center"/>
    </xf>
    <xf numFmtId="0" fontId="113" fillId="0" borderId="6857" applyNumberFormat="0" applyFill="0" applyAlignment="0" applyProtection="0"/>
    <xf numFmtId="0" fontId="165" fillId="0" borderId="6821" applyFill="0" applyProtection="0">
      <alignment horizontal="center"/>
    </xf>
    <xf numFmtId="0" fontId="25" fillId="10" borderId="6878" applyNumberFormat="0" applyProtection="0">
      <alignment horizontal="left" vertical="top"/>
    </xf>
    <xf numFmtId="0" fontId="25" fillId="10" borderId="6831" applyNumberFormat="0" applyProtection="0">
      <alignment horizontal="left" vertical="top"/>
    </xf>
    <xf numFmtId="0" fontId="25" fillId="10" borderId="6830" applyNumberFormat="0" applyProtection="0">
      <alignment horizontal="left" vertical="top"/>
    </xf>
    <xf numFmtId="190" fontId="210" fillId="0" borderId="6833" applyNumberFormat="0" applyFill="0" applyBorder="0" applyAlignment="0">
      <protection locked="0"/>
    </xf>
    <xf numFmtId="190" fontId="2" fillId="0" borderId="6814" applyNumberFormat="0" applyAlignment="0" applyProtection="0"/>
    <xf numFmtId="190" fontId="214" fillId="0" borderId="6815" applyNumberFormat="0" applyFont="0" applyFill="0" applyAlignment="0" applyProtection="0"/>
    <xf numFmtId="190" fontId="25" fillId="10" borderId="6816" applyNumberFormat="0" applyProtection="0">
      <alignment horizontal="left" vertical="top"/>
    </xf>
    <xf numFmtId="190" fontId="25" fillId="10" borderId="6817" applyNumberFormat="0" applyProtection="0">
      <alignment horizontal="left" vertical="top"/>
    </xf>
    <xf numFmtId="190" fontId="25" fillId="10" borderId="6818" applyNumberFormat="0" applyProtection="0">
      <alignment horizontal="left" vertical="top"/>
    </xf>
    <xf numFmtId="190" fontId="25" fillId="10" borderId="6819" applyNumberFormat="0" applyProtection="0">
      <alignment horizontal="left" vertical="top"/>
    </xf>
    <xf numFmtId="190" fontId="241" fillId="94" borderId="6833" applyBorder="0" applyProtection="0">
      <alignment horizontal="centerContinuous" vertical="center"/>
    </xf>
    <xf numFmtId="264" fontId="12" fillId="14" borderId="7239" applyFont="0" applyFill="0" applyBorder="0" applyAlignment="0" applyProtection="0">
      <alignment horizontal="right"/>
    </xf>
    <xf numFmtId="0" fontId="75" fillId="0" borderId="7240" applyNumberFormat="0" applyFont="0" applyFill="0" applyAlignment="0" applyProtection="0"/>
    <xf numFmtId="0" fontId="25" fillId="10" borderId="6830" applyNumberFormat="0" applyProtection="0">
      <alignment horizontal="left" vertical="top"/>
    </xf>
    <xf numFmtId="180" fontId="9" fillId="3" borderId="6857">
      <alignment horizontal="right" vertical="center"/>
    </xf>
    <xf numFmtId="222" fontId="79" fillId="0" borderId="6832" applyBorder="0"/>
    <xf numFmtId="0" fontId="101" fillId="0" borderId="6833" applyBorder="0"/>
    <xf numFmtId="222" fontId="79" fillId="0" borderId="6832" applyBorder="0"/>
    <xf numFmtId="0" fontId="113" fillId="0" borderId="6833" applyNumberFormat="0" applyFill="0" applyAlignment="0" applyProtection="0"/>
    <xf numFmtId="0" fontId="75" fillId="0" borderId="6810" applyNumberFormat="0" applyFont="0" applyFill="0" applyAlignment="0" applyProtection="0"/>
    <xf numFmtId="0" fontId="12" fillId="0" borderId="6833" applyNumberFormat="0" applyFill="0" applyBorder="0" applyAlignment="0" applyProtection="0">
      <alignment horizontal="center"/>
    </xf>
    <xf numFmtId="248" fontId="46" fillId="0" borderId="6833"/>
    <xf numFmtId="192" fontId="9" fillId="3" borderId="6833">
      <alignment horizontal="right" vertical="center"/>
    </xf>
    <xf numFmtId="180" fontId="9" fillId="3" borderId="6833">
      <alignment horizontal="right" vertical="center"/>
    </xf>
    <xf numFmtId="186" fontId="146" fillId="3" borderId="6833" applyBorder="0">
      <alignment horizontal="left" vertical="center"/>
    </xf>
    <xf numFmtId="186" fontId="146" fillId="3" borderId="6812">
      <alignment horizontal="left"/>
    </xf>
    <xf numFmtId="186" fontId="140" fillId="3" borderId="6813">
      <alignment horizontal="center" vertical="center"/>
    </xf>
    <xf numFmtId="0" fontId="165" fillId="0" borderId="6833" applyFill="0" applyProtection="0">
      <alignment horizontal="center"/>
    </xf>
    <xf numFmtId="0" fontId="166" fillId="0" borderId="6833">
      <alignment horizontal="center"/>
    </xf>
    <xf numFmtId="264" fontId="12" fillId="14" borderId="6833" applyFont="0" applyFill="0" applyBorder="0" applyAlignment="0" applyProtection="0">
      <alignment horizontal="right"/>
    </xf>
    <xf numFmtId="0" fontId="210" fillId="0" borderId="6833" applyNumberFormat="0" applyFill="0" applyBorder="0" applyAlignment="0">
      <protection locked="0"/>
    </xf>
    <xf numFmtId="0" fontId="2" fillId="0" borderId="6814" applyNumberFormat="0" applyAlignment="0" applyProtection="0"/>
    <xf numFmtId="0" fontId="214" fillId="0" borderId="6815" applyNumberFormat="0" applyFont="0" applyFill="0" applyAlignment="0" applyProtection="0"/>
    <xf numFmtId="0" fontId="25" fillId="10" borderId="6816" applyNumberFormat="0" applyProtection="0">
      <alignment horizontal="left" vertical="top"/>
    </xf>
    <xf numFmtId="0" fontId="25" fillId="10" borderId="6817" applyNumberFormat="0" applyProtection="0">
      <alignment horizontal="left" vertical="top"/>
    </xf>
    <xf numFmtId="0" fontId="25" fillId="10" borderId="6818" applyNumberFormat="0" applyProtection="0">
      <alignment horizontal="left" vertical="top"/>
    </xf>
    <xf numFmtId="0" fontId="25" fillId="10" borderId="6819" applyNumberFormat="0" applyProtection="0">
      <alignment horizontal="left" vertical="top"/>
    </xf>
    <xf numFmtId="0" fontId="25" fillId="10" borderId="6816" applyNumberFormat="0" applyProtection="0">
      <alignment horizontal="left" vertical="top"/>
    </xf>
    <xf numFmtId="0" fontId="25" fillId="10" borderId="6817" applyNumberFormat="0" applyProtection="0">
      <alignment horizontal="left" vertical="top"/>
    </xf>
    <xf numFmtId="0" fontId="25" fillId="10" borderId="6818" applyNumberFormat="0" applyProtection="0">
      <alignment horizontal="left" vertical="top"/>
    </xf>
    <xf numFmtId="0" fontId="25" fillId="10" borderId="6819" applyNumberFormat="0" applyProtection="0">
      <alignment horizontal="left" vertical="top"/>
    </xf>
    <xf numFmtId="254" fontId="240" fillId="0" borderId="6833" applyBorder="0" applyProtection="0">
      <alignment horizontal="right" vertical="center"/>
    </xf>
    <xf numFmtId="0" fontId="241" fillId="94" borderId="6833" applyBorder="0" applyProtection="0">
      <alignment horizontal="centerContinuous" vertical="center"/>
    </xf>
    <xf numFmtId="246" fontId="249" fillId="0" borderId="6833" applyFill="0" applyProtection="0">
      <alignment horizontal="center"/>
    </xf>
    <xf numFmtId="246" fontId="250" fillId="0" borderId="6833" applyFill="0" applyProtection="0">
      <alignment horizontal="center"/>
    </xf>
    <xf numFmtId="248" fontId="46" fillId="0" borderId="6881"/>
    <xf numFmtId="0" fontId="101" fillId="0" borderId="6881" applyBorder="0"/>
    <xf numFmtId="192" fontId="9" fillId="3" borderId="6821">
      <alignment horizontal="right" vertical="center"/>
    </xf>
    <xf numFmtId="0" fontId="25" fillId="10" borderId="6828" applyNumberFormat="0" applyProtection="0">
      <alignment horizontal="left" vertical="top"/>
    </xf>
    <xf numFmtId="312" fontId="25" fillId="10" borderId="6866" applyNumberFormat="0" applyProtection="0">
      <alignment horizontal="left" vertical="top"/>
    </xf>
    <xf numFmtId="312" fontId="75" fillId="0" borderId="6858" applyNumberFormat="0" applyFont="0" applyFill="0" applyAlignment="0" applyProtection="0"/>
    <xf numFmtId="312" fontId="101" fillId="0" borderId="6833" applyBorder="0"/>
    <xf numFmtId="0" fontId="241" fillId="94" borderId="6881" applyBorder="0" applyProtection="0">
      <alignment horizontal="centerContinuous" vertical="center"/>
    </xf>
    <xf numFmtId="0" fontId="25" fillId="10" borderId="6865" applyNumberFormat="0" applyProtection="0">
      <alignment horizontal="left" vertical="top"/>
    </xf>
    <xf numFmtId="0" fontId="165" fillId="0" borderId="6881" applyFill="0" applyProtection="0">
      <alignment horizontal="center"/>
    </xf>
    <xf numFmtId="180" fontId="9" fillId="3" borderId="6881">
      <alignment horizontal="right" vertical="center"/>
    </xf>
    <xf numFmtId="312" fontId="113" fillId="0" borderId="6833" applyNumberFormat="0" applyFill="0" applyAlignment="0" applyProtection="0"/>
    <xf numFmtId="312" fontId="75" fillId="0" borderId="6810" applyNumberFormat="0" applyFont="0" applyFill="0" applyAlignment="0" applyProtection="0"/>
    <xf numFmtId="190" fontId="25" fillId="10" borderId="6864" applyNumberFormat="0" applyProtection="0">
      <alignment horizontal="left" vertical="top"/>
    </xf>
    <xf numFmtId="312" fontId="12" fillId="0" borderId="6833" applyNumberFormat="0" applyFill="0" applyBorder="0" applyAlignment="0" applyProtection="0">
      <alignment horizontal="center"/>
    </xf>
    <xf numFmtId="246" fontId="250" fillId="0" borderId="6881" applyFill="0" applyProtection="0">
      <alignment horizontal="center"/>
    </xf>
    <xf numFmtId="0" fontId="241" fillId="94" borderId="6881" applyBorder="0" applyProtection="0">
      <alignment horizontal="centerContinuous" vertical="center"/>
    </xf>
    <xf numFmtId="0" fontId="75" fillId="0" borderId="6882" applyNumberFormat="0" applyFont="0" applyFill="0" applyAlignment="0" applyProtection="0"/>
    <xf numFmtId="186" fontId="146" fillId="3" borderId="6869" applyBorder="0">
      <alignment horizontal="left" vertical="center"/>
    </xf>
    <xf numFmtId="0" fontId="12" fillId="0" borderId="6869" applyNumberFormat="0" applyFill="0" applyBorder="0" applyAlignment="0" applyProtection="0">
      <alignment horizontal="center"/>
    </xf>
    <xf numFmtId="0" fontId="75" fillId="0" borderId="6858" applyNumberFormat="0" applyFont="0" applyFill="0" applyAlignment="0" applyProtection="0"/>
    <xf numFmtId="0" fontId="2" fillId="0" borderId="6862" applyNumberFormat="0" applyAlignment="0" applyProtection="0"/>
    <xf numFmtId="0" fontId="25" fillId="10" borderId="6865" applyNumberFormat="0" applyProtection="0">
      <alignment horizontal="left" vertical="top"/>
    </xf>
    <xf numFmtId="0" fontId="78" fillId="14" borderId="6859" applyFont="0" applyFill="0" applyBorder="0" applyAlignment="0" applyProtection="0"/>
    <xf numFmtId="246" fontId="249" fillId="0" borderId="6845" applyFill="0" applyProtection="0">
      <alignment horizontal="center"/>
    </xf>
    <xf numFmtId="0" fontId="210" fillId="0" borderId="6845" applyNumberFormat="0" applyFill="0" applyBorder="0" applyAlignment="0">
      <protection locked="0"/>
    </xf>
    <xf numFmtId="0" fontId="165" fillId="0" borderId="6845" applyFill="0" applyProtection="0">
      <alignment horizontal="center"/>
    </xf>
    <xf numFmtId="192" fontId="9" fillId="3" borderId="6845">
      <alignment horizontal="right" vertical="center"/>
    </xf>
    <xf numFmtId="0" fontId="113" fillId="0" borderId="6845" applyNumberFormat="0" applyFill="0" applyAlignment="0" applyProtection="0"/>
    <xf numFmtId="222" fontId="79" fillId="0" borderId="6844" applyBorder="0"/>
    <xf numFmtId="186" fontId="140" fillId="3" borderId="6837">
      <alignment horizontal="center" vertical="center"/>
    </xf>
    <xf numFmtId="0" fontId="25" fillId="10" borderId="6842" applyNumberFormat="0" applyProtection="0">
      <alignment horizontal="left" vertical="top"/>
    </xf>
    <xf numFmtId="0" fontId="241" fillId="94" borderId="6821" applyBorder="0" applyProtection="0">
      <alignment horizontal="centerContinuous" vertical="center"/>
    </xf>
    <xf numFmtId="186" fontId="146" fillId="3" borderId="6821" applyBorder="0">
      <alignment horizontal="left" vertical="center"/>
    </xf>
    <xf numFmtId="0" fontId="25" fillId="10" borderId="6829" applyNumberFormat="0" applyProtection="0">
      <alignment horizontal="left" vertical="top"/>
    </xf>
    <xf numFmtId="0" fontId="2" fillId="0" borderId="6826" applyNumberFormat="0" applyAlignment="0" applyProtection="0"/>
    <xf numFmtId="186" fontId="140" fillId="3" borderId="6825">
      <alignment horizontal="center" vertical="center"/>
    </xf>
    <xf numFmtId="222" fontId="79" fillId="0" borderId="6832" applyBorder="0"/>
    <xf numFmtId="248" fontId="46" fillId="0" borderId="6821"/>
    <xf numFmtId="0" fontId="165" fillId="0" borderId="6821" applyFill="0" applyProtection="0">
      <alignment horizontal="center"/>
    </xf>
    <xf numFmtId="312" fontId="165" fillId="0" borderId="6833" applyFill="0" applyProtection="0">
      <alignment horizontal="center"/>
    </xf>
    <xf numFmtId="312" fontId="242" fillId="0" borderId="6833">
      <alignment horizontal="center"/>
    </xf>
    <xf numFmtId="222" fontId="79" fillId="0" borderId="6832" applyBorder="0"/>
    <xf numFmtId="0" fontId="25" fillId="10" borderId="6829" applyNumberFormat="0" applyProtection="0">
      <alignment horizontal="left" vertical="top"/>
    </xf>
    <xf numFmtId="0" fontId="78" fillId="14" borderId="6823" applyFont="0" applyFill="0" applyBorder="0" applyAlignment="0" applyProtection="0"/>
    <xf numFmtId="222" fontId="79" fillId="0" borderId="6832" applyBorder="0"/>
    <xf numFmtId="248" fontId="46" fillId="0" borderId="6821"/>
    <xf numFmtId="0" fontId="166" fillId="0" borderId="6821">
      <alignment horizontal="center"/>
    </xf>
    <xf numFmtId="186" fontId="140" fillId="3" borderId="6873">
      <alignment horizontal="center" vertical="center"/>
    </xf>
    <xf numFmtId="0" fontId="25" fillId="10" borderId="6831" applyNumberFormat="0" applyProtection="0">
      <alignment horizontal="left" vertical="top"/>
    </xf>
    <xf numFmtId="0" fontId="241" fillId="94" borderId="6833" applyBorder="0" applyProtection="0">
      <alignment horizontal="centerContinuous" vertical="center"/>
    </xf>
    <xf numFmtId="0" fontId="25" fillId="10" borderId="6831" applyNumberFormat="0" applyProtection="0">
      <alignment horizontal="left" vertical="top"/>
    </xf>
    <xf numFmtId="246" fontId="250" fillId="0" borderId="6821" applyFill="0" applyProtection="0">
      <alignment horizontal="center"/>
    </xf>
    <xf numFmtId="254" fontId="240" fillId="0" borderId="6821" applyBorder="0" applyProtection="0">
      <alignment horizontal="right" vertical="center"/>
    </xf>
    <xf numFmtId="192" fontId="9" fillId="3" borderId="6857">
      <alignment horizontal="right" vertical="center"/>
    </xf>
    <xf numFmtId="0" fontId="210" fillId="0" borderId="6821" applyNumberFormat="0" applyFill="0" applyBorder="0" applyAlignment="0">
      <protection locked="0"/>
    </xf>
    <xf numFmtId="186" fontId="146" fillId="3" borderId="6821" applyBorder="0">
      <alignment horizontal="left" vertical="center"/>
    </xf>
    <xf numFmtId="0" fontId="25" fillId="10" borderId="6830" applyNumberFormat="0" applyProtection="0">
      <alignment horizontal="left" vertical="top"/>
    </xf>
    <xf numFmtId="0" fontId="25" fillId="10" borderId="6829" applyNumberFormat="0" applyProtection="0">
      <alignment horizontal="left" vertical="top"/>
    </xf>
    <xf numFmtId="186" fontId="140" fillId="3" borderId="6825">
      <alignment horizontal="center" vertical="center"/>
    </xf>
    <xf numFmtId="312" fontId="210" fillId="0" borderId="6833" applyNumberFormat="0" applyFill="0" applyBorder="0" applyAlignment="0">
      <protection locked="0"/>
    </xf>
    <xf numFmtId="312" fontId="2" fillId="0" borderId="6814" applyNumberFormat="0" applyAlignment="0" applyProtection="0"/>
    <xf numFmtId="312" fontId="214" fillId="0" borderId="6815" applyNumberFormat="0" applyFont="0" applyFill="0" applyAlignment="0" applyProtection="0"/>
    <xf numFmtId="312" fontId="25" fillId="10" borderId="6816" applyNumberFormat="0" applyProtection="0">
      <alignment horizontal="left" vertical="top"/>
    </xf>
    <xf numFmtId="312" fontId="25" fillId="10" borderId="6817" applyNumberFormat="0" applyProtection="0">
      <alignment horizontal="left" vertical="top"/>
    </xf>
    <xf numFmtId="312" fontId="25" fillId="10" borderId="6818" applyNumberFormat="0" applyProtection="0">
      <alignment horizontal="left" vertical="top"/>
    </xf>
    <xf numFmtId="312" fontId="25" fillId="10" borderId="6819" applyNumberFormat="0" applyProtection="0">
      <alignment horizontal="left" vertical="top"/>
    </xf>
    <xf numFmtId="312" fontId="241" fillId="94" borderId="6833" applyBorder="0" applyProtection="0">
      <alignment horizontal="centerContinuous" vertical="center"/>
    </xf>
    <xf numFmtId="246" fontId="296" fillId="0" borderId="6833" applyFill="0" applyProtection="0">
      <alignment horizontal="center"/>
    </xf>
    <xf numFmtId="248" fontId="46" fillId="0" borderId="7239"/>
    <xf numFmtId="0" fontId="25" fillId="10" borderId="6828" applyNumberFormat="0" applyProtection="0">
      <alignment horizontal="left" vertical="top"/>
    </xf>
    <xf numFmtId="0" fontId="25" fillId="10" borderId="6828" applyNumberFormat="0" applyProtection="0">
      <alignment horizontal="left" vertical="top"/>
    </xf>
    <xf numFmtId="254" fontId="240" fillId="0" borderId="6881" applyBorder="0" applyProtection="0">
      <alignment horizontal="right" vertical="center"/>
    </xf>
    <xf numFmtId="312" fontId="241" fillId="94" borderId="6881" applyBorder="0" applyProtection="0">
      <alignment horizontal="centerContinuous" vertical="center"/>
    </xf>
    <xf numFmtId="312" fontId="101" fillId="0" borderId="6833" applyBorder="0"/>
    <xf numFmtId="312" fontId="113" fillId="0" borderId="6833" applyNumberFormat="0" applyFill="0" applyAlignment="0" applyProtection="0"/>
    <xf numFmtId="312" fontId="75" fillId="0" borderId="6810" applyNumberFormat="0" applyFont="0" applyFill="0" applyAlignment="0" applyProtection="0"/>
    <xf numFmtId="312" fontId="12" fillId="0" borderId="6833" applyNumberFormat="0" applyFill="0" applyBorder="0" applyAlignment="0" applyProtection="0">
      <alignment horizontal="center"/>
    </xf>
    <xf numFmtId="222" fontId="79" fillId="0" borderId="6880" applyBorder="0"/>
    <xf numFmtId="0" fontId="113" fillId="0" borderId="6821" applyNumberFormat="0" applyFill="0" applyAlignment="0" applyProtection="0"/>
    <xf numFmtId="312" fontId="165" fillId="0" borderId="6833" applyFill="0" applyProtection="0">
      <alignment horizontal="center"/>
    </xf>
    <xf numFmtId="312" fontId="242" fillId="0" borderId="6833">
      <alignment horizontal="center"/>
    </xf>
    <xf numFmtId="312" fontId="210" fillId="0" borderId="6833" applyNumberFormat="0" applyFill="0" applyBorder="0" applyAlignment="0">
      <protection locked="0"/>
    </xf>
    <xf numFmtId="312" fontId="2" fillId="0" borderId="6814" applyNumberFormat="0" applyAlignment="0" applyProtection="0"/>
    <xf numFmtId="312" fontId="214" fillId="0" borderId="6815" applyNumberFormat="0" applyFont="0" applyFill="0" applyAlignment="0" applyProtection="0"/>
    <xf numFmtId="312" fontId="25" fillId="10" borderId="6816" applyNumberFormat="0" applyProtection="0">
      <alignment horizontal="left" vertical="top"/>
    </xf>
    <xf numFmtId="312" fontId="25" fillId="10" borderId="6817" applyNumberFormat="0" applyProtection="0">
      <alignment horizontal="left" vertical="top"/>
    </xf>
    <xf numFmtId="312" fontId="25" fillId="10" borderId="6818" applyNumberFormat="0" applyProtection="0">
      <alignment horizontal="left" vertical="top"/>
    </xf>
    <xf numFmtId="312" fontId="25" fillId="10" borderId="6819" applyNumberFormat="0" applyProtection="0">
      <alignment horizontal="left" vertical="top"/>
    </xf>
    <xf numFmtId="312" fontId="25" fillId="10" borderId="6816" applyNumberFormat="0" applyProtection="0">
      <alignment horizontal="left" vertical="top"/>
    </xf>
    <xf numFmtId="312" fontId="25" fillId="10" borderId="6817" applyNumberFormat="0" applyProtection="0">
      <alignment horizontal="left" vertical="top"/>
    </xf>
    <xf numFmtId="312" fontId="25" fillId="10" borderId="6818" applyNumberFormat="0" applyProtection="0">
      <alignment horizontal="left" vertical="top"/>
    </xf>
    <xf numFmtId="312" fontId="25" fillId="10" borderId="6819" applyNumberFormat="0" applyProtection="0">
      <alignment horizontal="left" vertical="top"/>
    </xf>
    <xf numFmtId="312" fontId="241" fillId="94" borderId="6833" applyBorder="0" applyProtection="0">
      <alignment horizontal="centerContinuous" vertical="center"/>
    </xf>
    <xf numFmtId="246" fontId="296" fillId="0" borderId="6833" applyFill="0" applyProtection="0">
      <alignment horizontal="center"/>
    </xf>
    <xf numFmtId="0" fontId="113" fillId="0" borderId="6821" applyNumberFormat="0" applyFill="0" applyAlignment="0" applyProtection="0"/>
    <xf numFmtId="0" fontId="25" fillId="10" borderId="6830" applyNumberFormat="0" applyProtection="0">
      <alignment horizontal="left" vertical="top"/>
    </xf>
    <xf numFmtId="192" fontId="9" fillId="3" borderId="6881">
      <alignment horizontal="right" vertical="center"/>
    </xf>
    <xf numFmtId="0" fontId="25" fillId="10" borderId="6829" applyNumberFormat="0" applyProtection="0">
      <alignment horizontal="left" vertical="top"/>
    </xf>
    <xf numFmtId="246" fontId="250" fillId="0" borderId="6881" applyFill="0" applyProtection="0">
      <alignment horizontal="center"/>
    </xf>
    <xf numFmtId="0" fontId="101" fillId="0" borderId="6881" applyBorder="0"/>
    <xf numFmtId="0" fontId="78" fillId="14" borderId="6871" applyFont="0" applyFill="0" applyBorder="0" applyAlignment="0" applyProtection="0"/>
    <xf numFmtId="264" fontId="12" fillId="14" borderId="6881" applyFont="0" applyFill="0" applyBorder="0" applyAlignment="0" applyProtection="0">
      <alignment horizontal="right"/>
    </xf>
    <xf numFmtId="246" fontId="250" fillId="0" borderId="6833" applyFill="0" applyProtection="0">
      <alignment horizontal="center"/>
    </xf>
    <xf numFmtId="222" fontId="79" fillId="0" borderId="6856" applyBorder="0"/>
    <xf numFmtId="0" fontId="2" fillId="0" borderId="6826" applyNumberFormat="0" applyAlignment="0" applyProtection="0"/>
    <xf numFmtId="0" fontId="25" fillId="10" borderId="6829" applyNumberFormat="0" applyProtection="0">
      <alignment horizontal="left" vertical="top"/>
    </xf>
    <xf numFmtId="0" fontId="25" fillId="10" borderId="6831" applyNumberFormat="0" applyProtection="0">
      <alignment horizontal="left" vertical="top"/>
    </xf>
    <xf numFmtId="246" fontId="249" fillId="0" borderId="6881" applyFill="0" applyProtection="0">
      <alignment horizontal="center"/>
    </xf>
    <xf numFmtId="186" fontId="146" fillId="3" borderId="6881" applyBorder="0">
      <alignment horizontal="left" vertical="center"/>
    </xf>
    <xf numFmtId="0" fontId="25" fillId="10" borderId="6830" applyNumberFormat="0" applyProtection="0">
      <alignment horizontal="left" vertical="top"/>
    </xf>
    <xf numFmtId="0" fontId="25" fillId="10" borderId="6829" applyNumberFormat="0" applyProtection="0">
      <alignment horizontal="left" vertical="top"/>
    </xf>
    <xf numFmtId="248" fontId="46" fillId="0" borderId="6881"/>
    <xf numFmtId="0" fontId="101" fillId="0" borderId="6821" applyBorder="0"/>
    <xf numFmtId="190" fontId="78" fillId="14" borderId="6871" applyFont="0" applyFill="0" applyBorder="0" applyAlignment="0" applyProtection="0"/>
    <xf numFmtId="0" fontId="25" fillId="10" borderId="6831" applyNumberFormat="0" applyProtection="0">
      <alignment horizontal="left" vertical="top"/>
    </xf>
    <xf numFmtId="0" fontId="12" fillId="0" borderId="6881" applyNumberFormat="0" applyFill="0" applyBorder="0" applyAlignment="0" applyProtection="0">
      <alignment horizontal="center"/>
    </xf>
    <xf numFmtId="222" fontId="79" fillId="0" borderId="6868" applyBorder="0"/>
    <xf numFmtId="186" fontId="140" fillId="3" borderId="6825">
      <alignment horizontal="center" vertical="center"/>
    </xf>
    <xf numFmtId="0" fontId="25" fillId="10" borderId="6830" applyNumberFormat="0" applyProtection="0">
      <alignment horizontal="left" vertical="top"/>
    </xf>
    <xf numFmtId="0" fontId="210" fillId="0" borderId="6869" applyNumberFormat="0" applyFill="0" applyBorder="0" applyAlignment="0">
      <protection locked="0"/>
    </xf>
    <xf numFmtId="246" fontId="250" fillId="0" borderId="6833" applyFill="0" applyProtection="0">
      <alignment horizontal="center"/>
    </xf>
    <xf numFmtId="246" fontId="249" fillId="0" borderId="6833" applyFill="0" applyProtection="0">
      <alignment horizontal="center"/>
    </xf>
    <xf numFmtId="0" fontId="241" fillId="94" borderId="6833" applyBorder="0" applyProtection="0">
      <alignment horizontal="centerContinuous" vertical="center"/>
    </xf>
    <xf numFmtId="254" fontId="240" fillId="0" borderId="6833" applyBorder="0" applyProtection="0">
      <alignment horizontal="right" vertical="center"/>
    </xf>
    <xf numFmtId="0" fontId="25" fillId="10" borderId="6831" applyNumberFormat="0" applyProtection="0">
      <alignment horizontal="left" vertical="top"/>
    </xf>
    <xf numFmtId="0" fontId="25" fillId="10" borderId="6830" applyNumberFormat="0" applyProtection="0">
      <alignment horizontal="left" vertical="top"/>
    </xf>
    <xf numFmtId="0" fontId="25" fillId="10" borderId="6829" applyNumberFormat="0" applyProtection="0">
      <alignment horizontal="left" vertical="top"/>
    </xf>
    <xf numFmtId="0" fontId="25" fillId="10" borderId="6828" applyNumberFormat="0" applyProtection="0">
      <alignment horizontal="left" vertical="top"/>
    </xf>
    <xf numFmtId="0" fontId="25" fillId="10" borderId="6867" applyNumberFormat="0" applyProtection="0">
      <alignment horizontal="left" vertical="top"/>
    </xf>
    <xf numFmtId="0" fontId="214" fillId="0" borderId="6863" applyNumberFormat="0" applyFont="0" applyFill="0" applyAlignment="0" applyProtection="0"/>
    <xf numFmtId="0" fontId="214" fillId="0" borderId="6827" applyNumberFormat="0" applyFont="0" applyFill="0" applyAlignment="0" applyProtection="0"/>
    <xf numFmtId="0" fontId="2" fillId="0" borderId="6826" applyNumberFormat="0" applyAlignment="0" applyProtection="0"/>
    <xf numFmtId="0" fontId="210" fillId="0" borderId="6833" applyNumberFormat="0" applyFill="0" applyBorder="0" applyAlignment="0">
      <protection locked="0"/>
    </xf>
    <xf numFmtId="0" fontId="25" fillId="10" borderId="6828" applyNumberFormat="0" applyProtection="0">
      <alignment horizontal="left" vertical="top"/>
    </xf>
    <xf numFmtId="264" fontId="12" fillId="14" borderId="6833" applyFont="0" applyFill="0" applyBorder="0" applyAlignment="0" applyProtection="0">
      <alignment horizontal="right"/>
    </xf>
    <xf numFmtId="0" fontId="78" fillId="14" borderId="6835" applyFont="0" applyFill="0" applyBorder="0" applyAlignment="0" applyProtection="0"/>
    <xf numFmtId="0" fontId="210" fillId="0" borderId="6821" applyNumberFormat="0" applyFill="0" applyBorder="0" applyAlignment="0">
      <protection locked="0"/>
    </xf>
    <xf numFmtId="0" fontId="75" fillId="0" borderId="6822" applyNumberFormat="0" applyFont="0" applyFill="0" applyAlignment="0" applyProtection="0"/>
    <xf numFmtId="0" fontId="166" fillId="0" borderId="6833">
      <alignment horizontal="center"/>
    </xf>
    <xf numFmtId="0" fontId="165" fillId="0" borderId="6833" applyFill="0" applyProtection="0">
      <alignment horizontal="center"/>
    </xf>
    <xf numFmtId="0" fontId="78" fillId="14" borderId="6823" applyFont="0" applyFill="0" applyBorder="0" applyAlignment="0" applyProtection="0"/>
    <xf numFmtId="186" fontId="146" fillId="3" borderId="6824">
      <alignment horizontal="left"/>
    </xf>
    <xf numFmtId="254" fontId="240" fillId="0" borderId="6821" applyBorder="0" applyProtection="0">
      <alignment horizontal="right" vertical="center"/>
    </xf>
    <xf numFmtId="0" fontId="25" fillId="10" borderId="6843" applyNumberFormat="0" applyProtection="0">
      <alignment horizontal="left" vertical="top"/>
    </xf>
    <xf numFmtId="186" fontId="140" fillId="3" borderId="6825">
      <alignment horizontal="center" vertical="center"/>
    </xf>
    <xf numFmtId="186" fontId="146" fillId="3" borderId="6824">
      <alignment horizontal="left"/>
    </xf>
    <xf numFmtId="186" fontId="146" fillId="3" borderId="6833" applyBorder="0">
      <alignment horizontal="left" vertical="center"/>
    </xf>
    <xf numFmtId="180" fontId="9" fillId="3" borderId="6833">
      <alignment horizontal="right" vertical="center"/>
    </xf>
    <xf numFmtId="192" fontId="9" fillId="3" borderId="6833">
      <alignment horizontal="right" vertical="center"/>
    </xf>
    <xf numFmtId="192" fontId="9" fillId="3" borderId="6881">
      <alignment horizontal="right" vertical="center"/>
    </xf>
    <xf numFmtId="248" fontId="46" fillId="0" borderId="6833"/>
    <xf numFmtId="0" fontId="78" fillId="14" borderId="6823" applyFont="0" applyFill="0" applyBorder="0" applyAlignment="0" applyProtection="0"/>
    <xf numFmtId="0" fontId="12" fillId="0" borderId="6833" applyNumberFormat="0" applyFill="0" applyBorder="0" applyAlignment="0" applyProtection="0">
      <alignment horizontal="center"/>
    </xf>
    <xf numFmtId="0" fontId="75" fillId="0" borderId="6822" applyNumberFormat="0" applyFont="0" applyFill="0" applyAlignment="0" applyProtection="0"/>
    <xf numFmtId="0" fontId="113" fillId="0" borderId="6833" applyNumberFormat="0" applyFill="0" applyAlignment="0" applyProtection="0"/>
    <xf numFmtId="0" fontId="25" fillId="10" borderId="6864" applyNumberFormat="0" applyProtection="0">
      <alignment horizontal="left" vertical="top"/>
    </xf>
    <xf numFmtId="254" fontId="240" fillId="0" borderId="6881" applyBorder="0" applyProtection="0">
      <alignment horizontal="right" vertical="center"/>
    </xf>
    <xf numFmtId="222" fontId="79" fillId="0" borderId="6832" applyBorder="0"/>
    <xf numFmtId="0" fontId="101" fillId="0" borderId="6833" applyBorder="0"/>
    <xf numFmtId="0" fontId="25" fillId="10" borderId="6840" applyNumberFormat="0" applyProtection="0">
      <alignment horizontal="left" vertical="top"/>
    </xf>
    <xf numFmtId="0" fontId="25" fillId="10" borderId="6841" applyNumberFormat="0" applyProtection="0">
      <alignment horizontal="left" vertical="top"/>
    </xf>
    <xf numFmtId="0" fontId="25" fillId="10" borderId="6842" applyNumberFormat="0" applyProtection="0">
      <alignment horizontal="left" vertical="top"/>
    </xf>
    <xf numFmtId="0" fontId="25" fillId="10" borderId="6843" applyNumberFormat="0" applyProtection="0">
      <alignment horizontal="left" vertical="top"/>
    </xf>
    <xf numFmtId="190" fontId="12" fillId="0" borderId="6881" applyNumberFormat="0" applyFill="0" applyBorder="0" applyAlignment="0" applyProtection="0">
      <alignment horizontal="center"/>
    </xf>
    <xf numFmtId="0" fontId="165" fillId="0" borderId="6857" applyFill="0" applyProtection="0">
      <alignment horizontal="center"/>
    </xf>
    <xf numFmtId="190" fontId="214" fillId="0" borderId="6863" applyNumberFormat="0" applyFont="0" applyFill="0" applyAlignment="0" applyProtection="0"/>
    <xf numFmtId="312" fontId="242" fillId="0" borderId="6881">
      <alignment horizontal="center"/>
    </xf>
    <xf numFmtId="190" fontId="165" fillId="0" borderId="6881" applyFill="0" applyProtection="0">
      <alignment horizontal="center"/>
    </xf>
    <xf numFmtId="0" fontId="25" fillId="10" borderId="6829" applyNumberFormat="0" applyProtection="0">
      <alignment horizontal="left" vertical="top"/>
    </xf>
    <xf numFmtId="0" fontId="25" fillId="10" borderId="6852" applyNumberFormat="0" applyProtection="0">
      <alignment horizontal="left" vertical="top"/>
    </xf>
    <xf numFmtId="264" fontId="12" fillId="14" borderId="6857" applyFont="0" applyFill="0" applyBorder="0" applyAlignment="0" applyProtection="0">
      <alignment horizontal="right"/>
    </xf>
    <xf numFmtId="246" fontId="250" fillId="0" borderId="6857" applyFill="0" applyProtection="0">
      <alignment horizontal="center"/>
    </xf>
    <xf numFmtId="180" fontId="9" fillId="3" borderId="6881">
      <alignment horizontal="right" vertical="center"/>
    </xf>
    <xf numFmtId="0" fontId="214" fillId="0" borderId="6827" applyNumberFormat="0" applyFont="0" applyFill="0" applyAlignment="0" applyProtection="0"/>
    <xf numFmtId="246" fontId="249" fillId="0" borderId="6833" applyFill="0" applyProtection="0">
      <alignment horizontal="center"/>
    </xf>
    <xf numFmtId="246" fontId="250" fillId="0" borderId="6821" applyFill="0" applyProtection="0">
      <alignment horizontal="center"/>
    </xf>
    <xf numFmtId="246" fontId="249" fillId="0" borderId="6821" applyFill="0" applyProtection="0">
      <alignment horizontal="center"/>
    </xf>
    <xf numFmtId="0" fontId="241" fillId="94" borderId="6821" applyBorder="0" applyProtection="0">
      <alignment horizontal="centerContinuous" vertical="center"/>
    </xf>
    <xf numFmtId="254" fontId="240" fillId="0" borderId="6821" applyBorder="0" applyProtection="0">
      <alignment horizontal="right" vertical="center"/>
    </xf>
    <xf numFmtId="0" fontId="210" fillId="0" borderId="6821" applyNumberFormat="0" applyFill="0" applyBorder="0" applyAlignment="0">
      <protection locked="0"/>
    </xf>
    <xf numFmtId="0" fontId="2" fillId="0" borderId="6874" applyNumberFormat="0" applyAlignment="0" applyProtection="0"/>
    <xf numFmtId="264" fontId="12" fillId="14" borderId="6821" applyFont="0" applyFill="0" applyBorder="0" applyAlignment="0" applyProtection="0">
      <alignment horizontal="right"/>
    </xf>
    <xf numFmtId="0" fontId="166" fillId="0" borderId="6821">
      <alignment horizontal="center"/>
    </xf>
    <xf numFmtId="0" fontId="165" fillId="0" borderId="6821" applyFill="0" applyProtection="0">
      <alignment horizontal="center"/>
    </xf>
    <xf numFmtId="186" fontId="146" fillId="3" borderId="6821" applyBorder="0">
      <alignment horizontal="left" vertical="center"/>
    </xf>
    <xf numFmtId="180" fontId="9" fillId="3" borderId="6821">
      <alignment horizontal="right" vertical="center"/>
    </xf>
    <xf numFmtId="192" fontId="9" fillId="3" borderId="6821">
      <alignment horizontal="right" vertical="center"/>
    </xf>
    <xf numFmtId="248" fontId="46" fillId="0" borderId="6821"/>
    <xf numFmtId="0" fontId="12" fillId="0" borderId="6821" applyNumberFormat="0" applyFill="0" applyBorder="0" applyAlignment="0" applyProtection="0">
      <alignment horizontal="center"/>
    </xf>
    <xf numFmtId="0" fontId="113" fillId="0" borderId="6821" applyNumberFormat="0" applyFill="0" applyAlignment="0" applyProtection="0"/>
    <xf numFmtId="222" fontId="79" fillId="0" borderId="6820" applyBorder="0"/>
    <xf numFmtId="0" fontId="101" fillId="0" borderId="6821" applyBorder="0"/>
    <xf numFmtId="264" fontId="12" fillId="14" borderId="6869" applyFont="0" applyFill="0" applyBorder="0" applyAlignment="0" applyProtection="0">
      <alignment horizontal="right"/>
    </xf>
    <xf numFmtId="246" fontId="250" fillId="0" borderId="6821" applyFill="0" applyProtection="0">
      <alignment horizontal="center"/>
    </xf>
    <xf numFmtId="246" fontId="249" fillId="0" borderId="6821" applyFill="0" applyProtection="0">
      <alignment horizontal="center"/>
    </xf>
    <xf numFmtId="0" fontId="241" fillId="94" borderId="6821" applyBorder="0" applyProtection="0">
      <alignment horizontal="centerContinuous" vertical="center"/>
    </xf>
    <xf numFmtId="254" fontId="240" fillId="0" borderId="6821" applyBorder="0" applyProtection="0">
      <alignment horizontal="right" vertical="center"/>
    </xf>
    <xf numFmtId="0" fontId="210" fillId="0" borderId="6821" applyNumberFormat="0" applyFill="0" applyBorder="0" applyAlignment="0">
      <protection locked="0"/>
    </xf>
    <xf numFmtId="264" fontId="12" fillId="14" borderId="6821" applyFont="0" applyFill="0" applyBorder="0" applyAlignment="0" applyProtection="0">
      <alignment horizontal="right"/>
    </xf>
    <xf numFmtId="0" fontId="166" fillId="0" borderId="6821">
      <alignment horizontal="center"/>
    </xf>
    <xf numFmtId="0" fontId="165" fillId="0" borderId="6821" applyFill="0" applyProtection="0">
      <alignment horizontal="center"/>
    </xf>
    <xf numFmtId="0" fontId="25" fillId="10" borderId="6831" applyNumberFormat="0" applyProtection="0">
      <alignment horizontal="left" vertical="top"/>
    </xf>
    <xf numFmtId="0" fontId="78" fillId="14" borderId="6823" applyFont="0" applyFill="0" applyBorder="0" applyAlignment="0" applyProtection="0"/>
    <xf numFmtId="264" fontId="12" fillId="14" borderId="6821" applyFont="0" applyFill="0" applyBorder="0" applyAlignment="0" applyProtection="0">
      <alignment horizontal="right"/>
    </xf>
    <xf numFmtId="222" fontId="79" fillId="0" borderId="6832" applyBorder="0"/>
    <xf numFmtId="186" fontId="146" fillId="3" borderId="6821" applyBorder="0">
      <alignment horizontal="left" vertical="center"/>
    </xf>
    <xf numFmtId="180" fontId="9" fillId="3" borderId="6821">
      <alignment horizontal="right" vertical="center"/>
    </xf>
    <xf numFmtId="192" fontId="9" fillId="3" borderId="6821">
      <alignment horizontal="right" vertical="center"/>
    </xf>
    <xf numFmtId="0" fontId="12" fillId="0" borderId="6821" applyNumberFormat="0" applyFill="0" applyBorder="0" applyAlignment="0" applyProtection="0">
      <alignment horizontal="center"/>
    </xf>
    <xf numFmtId="0" fontId="113" fillId="0" borderId="6821" applyNumberFormat="0" applyFill="0" applyAlignment="0" applyProtection="0"/>
    <xf numFmtId="0" fontId="2" fillId="0" borderId="6862" applyNumberFormat="0" applyAlignment="0" applyProtection="0"/>
    <xf numFmtId="0" fontId="25" fillId="10" borderId="6866" applyNumberFormat="0" applyProtection="0">
      <alignment horizontal="left" vertical="top"/>
    </xf>
    <xf numFmtId="222" fontId="79" fillId="0" borderId="6820" applyBorder="0"/>
    <xf numFmtId="0" fontId="101" fillId="0" borderId="6821" applyBorder="0"/>
    <xf numFmtId="248" fontId="46" fillId="0" borderId="6821"/>
    <xf numFmtId="246" fontId="250" fillId="0" borderId="6821" applyFill="0" applyProtection="0">
      <alignment horizontal="center"/>
    </xf>
    <xf numFmtId="246" fontId="249" fillId="0" borderId="6821" applyFill="0" applyProtection="0">
      <alignment horizontal="center"/>
    </xf>
    <xf numFmtId="0" fontId="241" fillId="94" borderId="6821" applyBorder="0" applyProtection="0">
      <alignment horizontal="centerContinuous" vertical="center"/>
    </xf>
    <xf numFmtId="254" fontId="240" fillId="0" borderId="6821" applyBorder="0" applyProtection="0">
      <alignment horizontal="right" vertical="center"/>
    </xf>
    <xf numFmtId="0" fontId="210" fillId="0" borderId="6821" applyNumberFormat="0" applyFill="0" applyBorder="0" applyAlignment="0">
      <protection locked="0"/>
    </xf>
    <xf numFmtId="264" fontId="12" fillId="14" borderId="6821" applyFont="0" applyFill="0" applyBorder="0" applyAlignment="0" applyProtection="0">
      <alignment horizontal="right"/>
    </xf>
    <xf numFmtId="0" fontId="166" fillId="0" borderId="6821">
      <alignment horizontal="center"/>
    </xf>
    <xf numFmtId="0" fontId="165" fillId="0" borderId="6821" applyFill="0" applyProtection="0">
      <alignment horizontal="center"/>
    </xf>
    <xf numFmtId="186" fontId="146" fillId="3" borderId="6821" applyBorder="0">
      <alignment horizontal="left" vertical="center"/>
    </xf>
    <xf numFmtId="180" fontId="9" fillId="3" borderId="6821">
      <alignment horizontal="right" vertical="center"/>
    </xf>
    <xf numFmtId="192" fontId="9" fillId="3" borderId="6821">
      <alignment horizontal="right" vertical="center"/>
    </xf>
    <xf numFmtId="248" fontId="46" fillId="0" borderId="6821"/>
    <xf numFmtId="0" fontId="12" fillId="0" borderId="6821" applyNumberFormat="0" applyFill="0" applyBorder="0" applyAlignment="0" applyProtection="0">
      <alignment horizontal="center"/>
    </xf>
    <xf numFmtId="0" fontId="113" fillId="0" borderId="6821" applyNumberFormat="0" applyFill="0" applyAlignment="0" applyProtection="0"/>
    <xf numFmtId="222" fontId="79" fillId="0" borderId="6820" applyBorder="0"/>
    <xf numFmtId="0" fontId="101" fillId="0" borderId="6821" applyBorder="0"/>
    <xf numFmtId="246" fontId="296" fillId="0" borderId="6881" applyFill="0" applyProtection="0">
      <alignment horizontal="center"/>
    </xf>
    <xf numFmtId="312" fontId="101" fillId="0" borderId="6881" applyBorder="0"/>
    <xf numFmtId="312" fontId="113" fillId="0" borderId="6881" applyNumberFormat="0" applyFill="0" applyAlignment="0" applyProtection="0"/>
    <xf numFmtId="312" fontId="75" fillId="0" borderId="6858" applyNumberFormat="0" applyFont="0" applyFill="0" applyAlignment="0" applyProtection="0"/>
    <xf numFmtId="312" fontId="12" fillId="0" borderId="6881" applyNumberFormat="0" applyFill="0" applyBorder="0" applyAlignment="0" applyProtection="0">
      <alignment horizontal="center"/>
    </xf>
    <xf numFmtId="312" fontId="165" fillId="0" borderId="6881" applyFill="0" applyProtection="0">
      <alignment horizontal="center"/>
    </xf>
    <xf numFmtId="312" fontId="242" fillId="0" borderId="6881">
      <alignment horizontal="center"/>
    </xf>
    <xf numFmtId="312" fontId="210" fillId="0" borderId="6881" applyNumberFormat="0" applyFill="0" applyBorder="0" applyAlignment="0">
      <protection locked="0"/>
    </xf>
    <xf numFmtId="312" fontId="2" fillId="0" borderId="6862" applyNumberFormat="0" applyAlignment="0" applyProtection="0"/>
    <xf numFmtId="312" fontId="214" fillId="0" borderId="6863" applyNumberFormat="0" applyFont="0" applyFill="0" applyAlignment="0" applyProtection="0"/>
    <xf numFmtId="312" fontId="25" fillId="10" borderId="6864" applyNumberFormat="0" applyProtection="0">
      <alignment horizontal="left" vertical="top"/>
    </xf>
    <xf numFmtId="312" fontId="25" fillId="10" borderId="6865" applyNumberFormat="0" applyProtection="0">
      <alignment horizontal="left" vertical="top"/>
    </xf>
    <xf numFmtId="312" fontId="25" fillId="10" borderId="6866" applyNumberFormat="0" applyProtection="0">
      <alignment horizontal="left" vertical="top"/>
    </xf>
    <xf numFmtId="312" fontId="25" fillId="10" borderId="6867" applyNumberFormat="0" applyProtection="0">
      <alignment horizontal="left" vertical="top"/>
    </xf>
    <xf numFmtId="312" fontId="25" fillId="10" borderId="6864" applyNumberFormat="0" applyProtection="0">
      <alignment horizontal="left" vertical="top"/>
    </xf>
    <xf numFmtId="312" fontId="25" fillId="10" borderId="6865" applyNumberFormat="0" applyProtection="0">
      <alignment horizontal="left" vertical="top"/>
    </xf>
    <xf numFmtId="312" fontId="25" fillId="10" borderId="6866" applyNumberFormat="0" applyProtection="0">
      <alignment horizontal="left" vertical="top"/>
    </xf>
    <xf numFmtId="312" fontId="25" fillId="10" borderId="6867" applyNumberFormat="0" applyProtection="0">
      <alignment horizontal="left" vertical="top"/>
    </xf>
    <xf numFmtId="312" fontId="241" fillId="94" borderId="6881" applyBorder="0" applyProtection="0">
      <alignment horizontal="centerContinuous" vertical="center"/>
    </xf>
    <xf numFmtId="246" fontId="296" fillId="0" borderId="6881" applyFill="0" applyProtection="0">
      <alignment horizontal="center"/>
    </xf>
    <xf numFmtId="246" fontId="250" fillId="0" borderId="6881" applyFill="0" applyProtection="0">
      <alignment horizontal="center"/>
    </xf>
    <xf numFmtId="246" fontId="249" fillId="0" borderId="6881" applyFill="0" applyProtection="0">
      <alignment horizontal="center"/>
    </xf>
    <xf numFmtId="0" fontId="241" fillId="94" borderId="6881" applyBorder="0" applyProtection="0">
      <alignment horizontal="centerContinuous" vertical="center"/>
    </xf>
    <xf numFmtId="254" fontId="240" fillId="0" borderId="6881" applyBorder="0" applyProtection="0">
      <alignment horizontal="right" vertical="center"/>
    </xf>
    <xf numFmtId="0" fontId="210" fillId="0" borderId="6881" applyNumberFormat="0" applyFill="0" applyBorder="0" applyAlignment="0">
      <protection locked="0"/>
    </xf>
    <xf numFmtId="264" fontId="12" fillId="14" borderId="6881" applyFont="0" applyFill="0" applyBorder="0" applyAlignment="0" applyProtection="0">
      <alignment horizontal="right"/>
    </xf>
    <xf numFmtId="0" fontId="166" fillId="0" borderId="6881">
      <alignment horizontal="center"/>
    </xf>
    <xf numFmtId="0" fontId="165" fillId="0" borderId="6881" applyFill="0" applyProtection="0">
      <alignment horizontal="center"/>
    </xf>
    <xf numFmtId="186" fontId="146" fillId="3" borderId="6881" applyBorder="0">
      <alignment horizontal="left" vertical="center"/>
    </xf>
    <xf numFmtId="180" fontId="9" fillId="3" borderId="6881">
      <alignment horizontal="right" vertical="center"/>
    </xf>
    <xf numFmtId="192" fontId="9" fillId="3" borderId="6881">
      <alignment horizontal="right" vertical="center"/>
    </xf>
    <xf numFmtId="248" fontId="46" fillId="0" borderId="6881"/>
    <xf numFmtId="0" fontId="12" fillId="0" borderId="6881" applyNumberFormat="0" applyFill="0" applyBorder="0" applyAlignment="0" applyProtection="0">
      <alignment horizontal="center"/>
    </xf>
    <xf numFmtId="0" fontId="113" fillId="0" borderId="6881" applyNumberFormat="0" applyFill="0" applyAlignment="0" applyProtection="0"/>
    <xf numFmtId="222" fontId="79" fillId="0" borderId="6880" applyBorder="0"/>
    <xf numFmtId="0" fontId="101" fillId="0" borderId="6881" applyBorder="0"/>
    <xf numFmtId="0" fontId="25" fillId="10" borderId="6888" applyNumberFormat="0" applyProtection="0">
      <alignment horizontal="left" vertical="top"/>
    </xf>
    <xf numFmtId="0" fontId="25" fillId="10" borderId="6889" applyNumberFormat="0" applyProtection="0">
      <alignment horizontal="left" vertical="top"/>
    </xf>
    <xf numFmtId="0" fontId="25" fillId="10" borderId="6890" applyNumberFormat="0" applyProtection="0">
      <alignment horizontal="left" vertical="top"/>
    </xf>
    <xf numFmtId="0" fontId="25" fillId="10" borderId="6891" applyNumberFormat="0" applyProtection="0">
      <alignment horizontal="left" vertical="top"/>
    </xf>
    <xf numFmtId="222" fontId="79" fillId="0" borderId="6892" applyBorder="0"/>
    <xf numFmtId="0" fontId="101" fillId="0" borderId="6893" applyBorder="0"/>
    <xf numFmtId="222" fontId="79" fillId="0" borderId="6892" applyBorder="0"/>
    <xf numFmtId="0" fontId="113" fillId="0" borderId="6893" applyNumberFormat="0" applyFill="0" applyAlignment="0" applyProtection="0"/>
    <xf numFmtId="0" fontId="12" fillId="0" borderId="6893" applyNumberFormat="0" applyFill="0" applyBorder="0" applyAlignment="0" applyProtection="0">
      <alignment horizontal="center"/>
    </xf>
    <xf numFmtId="248" fontId="46" fillId="0" borderId="6893"/>
    <xf numFmtId="192" fontId="9" fillId="3" borderId="6893">
      <alignment horizontal="right" vertical="center"/>
    </xf>
    <xf numFmtId="180" fontId="9" fillId="3" borderId="6893">
      <alignment horizontal="right" vertical="center"/>
    </xf>
    <xf numFmtId="186" fontId="146" fillId="3" borderId="6893" applyBorder="0">
      <alignment horizontal="left" vertical="center"/>
    </xf>
    <xf numFmtId="0" fontId="165" fillId="0" borderId="6893" applyFill="0" applyProtection="0">
      <alignment horizontal="center"/>
    </xf>
    <xf numFmtId="0" fontId="166" fillId="0" borderId="6893">
      <alignment horizontal="center"/>
    </xf>
    <xf numFmtId="264" fontId="12" fillId="14" borderId="6893" applyFont="0" applyFill="0" applyBorder="0" applyAlignment="0" applyProtection="0">
      <alignment horizontal="right"/>
    </xf>
    <xf numFmtId="0" fontId="210" fillId="0" borderId="6893" applyNumberFormat="0" applyFill="0" applyBorder="0" applyAlignment="0">
      <protection locked="0"/>
    </xf>
    <xf numFmtId="254" fontId="240" fillId="0" borderId="6893" applyBorder="0" applyProtection="0">
      <alignment horizontal="right" vertical="center"/>
    </xf>
    <xf numFmtId="0" fontId="241" fillId="94" borderId="6893" applyBorder="0" applyProtection="0">
      <alignment horizontal="centerContinuous" vertical="center"/>
    </xf>
    <xf numFmtId="246" fontId="249" fillId="0" borderId="6893" applyFill="0" applyProtection="0">
      <alignment horizontal="center"/>
    </xf>
    <xf numFmtId="246" fontId="250" fillId="0" borderId="6893" applyFill="0" applyProtection="0">
      <alignment horizontal="center"/>
    </xf>
    <xf numFmtId="0" fontId="78" fillId="14" borderId="6895" applyFont="0" applyFill="0" applyBorder="0" applyAlignment="0" applyProtection="0"/>
    <xf numFmtId="0" fontId="25" fillId="10" borderId="6903" applyNumberFormat="0" applyProtection="0">
      <alignment horizontal="left" vertical="top"/>
    </xf>
    <xf numFmtId="0" fontId="25" fillId="10" borderId="6902" applyNumberFormat="0" applyProtection="0">
      <alignment horizontal="left" vertical="top"/>
    </xf>
    <xf numFmtId="0" fontId="25" fillId="10" borderId="6901" applyNumberFormat="0" applyProtection="0">
      <alignment horizontal="left" vertical="top"/>
    </xf>
    <xf numFmtId="0" fontId="25" fillId="10" borderId="6900" applyNumberFormat="0" applyProtection="0">
      <alignment horizontal="left" vertical="top"/>
    </xf>
    <xf numFmtId="0" fontId="214" fillId="0" borderId="6899" applyNumberFormat="0" applyFont="0" applyFill="0" applyAlignment="0" applyProtection="0"/>
    <xf numFmtId="0" fontId="2" fillId="0" borderId="6898" applyNumberFormat="0" applyAlignment="0" applyProtection="0"/>
    <xf numFmtId="186" fontId="140" fillId="3" borderId="6897">
      <alignment horizontal="center" vertical="center"/>
    </xf>
    <xf numFmtId="186" fontId="146" fillId="3" borderId="6896">
      <alignment horizontal="left"/>
    </xf>
    <xf numFmtId="0" fontId="75" fillId="0" borderId="6894" applyNumberFormat="0" applyFont="0" applyFill="0" applyAlignment="0" applyProtection="0"/>
    <xf numFmtId="222" fontId="79" fillId="0" borderId="6904" applyBorder="0"/>
    <xf numFmtId="0" fontId="101" fillId="0" borderId="6905" applyBorder="0"/>
    <xf numFmtId="222" fontId="79" fillId="0" borderId="6904" applyBorder="0"/>
    <xf numFmtId="0" fontId="113" fillId="0" borderId="6905" applyNumberFormat="0" applyFill="0" applyAlignment="0" applyProtection="0"/>
    <xf numFmtId="0" fontId="12" fillId="0" borderId="6905" applyNumberFormat="0" applyFill="0" applyBorder="0" applyAlignment="0" applyProtection="0">
      <alignment horizontal="center"/>
    </xf>
    <xf numFmtId="248" fontId="46" fillId="0" borderId="6905"/>
    <xf numFmtId="192" fontId="9" fillId="3" borderId="6905">
      <alignment horizontal="right" vertical="center"/>
    </xf>
    <xf numFmtId="180" fontId="9" fillId="3" borderId="6905">
      <alignment horizontal="right" vertical="center"/>
    </xf>
    <xf numFmtId="186" fontId="146" fillId="3" borderId="6905" applyBorder="0">
      <alignment horizontal="left" vertical="center"/>
    </xf>
    <xf numFmtId="0" fontId="165" fillId="0" borderId="6905" applyFill="0" applyProtection="0">
      <alignment horizontal="center"/>
    </xf>
    <xf numFmtId="0" fontId="166" fillId="0" borderId="6905">
      <alignment horizontal="center"/>
    </xf>
    <xf numFmtId="264" fontId="12" fillId="14" borderId="6905" applyFont="0" applyFill="0" applyBorder="0" applyAlignment="0" applyProtection="0">
      <alignment horizontal="right"/>
    </xf>
    <xf numFmtId="0" fontId="210" fillId="0" borderId="6905" applyNumberFormat="0" applyFill="0" applyBorder="0" applyAlignment="0">
      <protection locked="0"/>
    </xf>
    <xf numFmtId="254" fontId="240" fillId="0" borderId="6905" applyBorder="0" applyProtection="0">
      <alignment horizontal="right" vertical="center"/>
    </xf>
    <xf numFmtId="0" fontId="241" fillId="94" borderId="6905" applyBorder="0" applyProtection="0">
      <alignment horizontal="centerContinuous" vertical="center"/>
    </xf>
    <xf numFmtId="246" fontId="249" fillId="0" borderId="6905" applyFill="0" applyProtection="0">
      <alignment horizontal="center"/>
    </xf>
    <xf numFmtId="246" fontId="250" fillId="0" borderId="6905" applyFill="0" applyProtection="0">
      <alignment horizontal="center"/>
    </xf>
    <xf numFmtId="186" fontId="146" fillId="3" borderId="6908">
      <alignment horizontal="left"/>
    </xf>
    <xf numFmtId="0" fontId="75" fillId="0" borderId="6906" applyNumberFormat="0" applyFont="0" applyFill="0" applyAlignment="0" applyProtection="0"/>
    <xf numFmtId="0" fontId="113" fillId="0" borderId="6989" applyNumberFormat="0" applyFill="0" applyAlignment="0" applyProtection="0"/>
    <xf numFmtId="264" fontId="12" fillId="14" borderId="6989" applyFont="0" applyFill="0" applyBorder="0" applyAlignment="0" applyProtection="0">
      <alignment horizontal="right"/>
    </xf>
    <xf numFmtId="246" fontId="249" fillId="0" borderId="6989" applyFill="0" applyProtection="0">
      <alignment horizontal="center"/>
    </xf>
    <xf numFmtId="0" fontId="25" fillId="10" borderId="6915" applyNumberFormat="0" applyProtection="0">
      <alignment horizontal="left" vertical="top"/>
    </xf>
    <xf numFmtId="0" fontId="25" fillId="10" borderId="6913" applyNumberFormat="0" applyProtection="0">
      <alignment horizontal="left" vertical="top"/>
    </xf>
    <xf numFmtId="0" fontId="25" fillId="10" borderId="6914" applyNumberFormat="0" applyProtection="0">
      <alignment horizontal="left" vertical="top"/>
    </xf>
    <xf numFmtId="0" fontId="25" fillId="10" borderId="6912" applyNumberFormat="0" applyProtection="0">
      <alignment horizontal="left" vertical="top"/>
    </xf>
    <xf numFmtId="0" fontId="25" fillId="10" borderId="6915" applyNumberFormat="0" applyProtection="0">
      <alignment horizontal="left" vertical="top"/>
    </xf>
    <xf numFmtId="0" fontId="25" fillId="10" borderId="6914" applyNumberFormat="0" applyProtection="0">
      <alignment horizontal="left" vertical="top"/>
    </xf>
    <xf numFmtId="0" fontId="25" fillId="10" borderId="6913" applyNumberFormat="0" applyProtection="0">
      <alignment horizontal="left" vertical="top"/>
    </xf>
    <xf numFmtId="0" fontId="25" fillId="10" borderId="6912" applyNumberFormat="0" applyProtection="0">
      <alignment horizontal="left" vertical="top"/>
    </xf>
    <xf numFmtId="0" fontId="214" fillId="0" borderId="6911" applyNumberFormat="0" applyFont="0" applyFill="0" applyAlignment="0" applyProtection="0"/>
    <xf numFmtId="0" fontId="2" fillId="0" borderId="6910" applyNumberFormat="0" applyAlignment="0" applyProtection="0"/>
    <xf numFmtId="186" fontId="140" fillId="3" borderId="6909">
      <alignment horizontal="center" vertical="center"/>
    </xf>
    <xf numFmtId="186" fontId="140" fillId="3" borderId="6921">
      <alignment horizontal="center" vertical="center"/>
    </xf>
    <xf numFmtId="0" fontId="25" fillId="10" borderId="6924" applyNumberFormat="0" applyProtection="0">
      <alignment horizontal="left" vertical="top"/>
    </xf>
    <xf numFmtId="0" fontId="12" fillId="0" borderId="6989" applyNumberFormat="0" applyFill="0" applyBorder="0" applyAlignment="0" applyProtection="0">
      <alignment horizontal="center"/>
    </xf>
    <xf numFmtId="0" fontId="25" fillId="10" borderId="6986" applyNumberFormat="0" applyProtection="0">
      <alignment horizontal="left" vertical="top"/>
    </xf>
    <xf numFmtId="222" fontId="79" fillId="0" borderId="6976" applyBorder="0"/>
    <xf numFmtId="0" fontId="78" fillId="14" borderId="6979" applyFont="0" applyFill="0" applyBorder="0" applyAlignment="0" applyProtection="0"/>
    <xf numFmtId="222" fontId="79" fillId="0" borderId="6988" applyBorder="0"/>
    <xf numFmtId="0" fontId="101" fillId="0" borderId="6989" applyBorder="0"/>
    <xf numFmtId="222" fontId="79" fillId="0" borderId="6988" applyBorder="0"/>
    <xf numFmtId="248" fontId="46" fillId="0" borderId="6989"/>
    <xf numFmtId="192" fontId="9" fillId="3" borderId="6989">
      <alignment horizontal="right" vertical="center"/>
    </xf>
    <xf numFmtId="180" fontId="9" fillId="3" borderId="6989">
      <alignment horizontal="right" vertical="center"/>
    </xf>
    <xf numFmtId="186" fontId="146" fillId="3" borderId="6989" applyBorder="0">
      <alignment horizontal="left" vertical="center"/>
    </xf>
    <xf numFmtId="0" fontId="165" fillId="0" borderId="6989" applyFill="0" applyProtection="0">
      <alignment horizontal="center"/>
    </xf>
    <xf numFmtId="0" fontId="210" fillId="0" borderId="6989" applyNumberFormat="0" applyFill="0" applyBorder="0" applyAlignment="0">
      <protection locked="0"/>
    </xf>
    <xf numFmtId="254" fontId="240" fillId="0" borderId="6989" applyBorder="0" applyProtection="0">
      <alignment horizontal="right" vertical="center"/>
    </xf>
    <xf numFmtId="246" fontId="250" fillId="0" borderId="6989" applyFill="0" applyProtection="0">
      <alignment horizontal="center"/>
    </xf>
    <xf numFmtId="222" fontId="79" fillId="0" borderId="6928" applyBorder="0"/>
    <xf numFmtId="0" fontId="25" fillId="10" borderId="6925" applyNumberFormat="0" applyProtection="0">
      <alignment horizontal="left" vertical="top"/>
    </xf>
    <xf numFmtId="0" fontId="25" fillId="10" borderId="6927" applyNumberFormat="0" applyProtection="0">
      <alignment horizontal="left" vertical="top"/>
    </xf>
    <xf numFmtId="0" fontId="25" fillId="10" borderId="6924" applyNumberFormat="0" applyProtection="0">
      <alignment horizontal="left" vertical="top"/>
    </xf>
    <xf numFmtId="0" fontId="25" fillId="10" borderId="6925" applyNumberFormat="0" applyProtection="0">
      <alignment horizontal="left" vertical="top"/>
    </xf>
    <xf numFmtId="0" fontId="25" fillId="10" borderId="6926" applyNumberFormat="0" applyProtection="0">
      <alignment horizontal="left" vertical="top"/>
    </xf>
    <xf numFmtId="0" fontId="75" fillId="0" borderId="6930" applyNumberFormat="0" applyFont="0" applyFill="0" applyAlignment="0" applyProtection="0"/>
    <xf numFmtId="0" fontId="101" fillId="0" borderId="6941" applyBorder="0"/>
    <xf numFmtId="222" fontId="79" fillId="0" borderId="6940" applyBorder="0"/>
    <xf numFmtId="0" fontId="113" fillId="0" borderId="6941" applyNumberFormat="0" applyFill="0" applyAlignment="0" applyProtection="0"/>
    <xf numFmtId="0" fontId="12" fillId="0" borderId="6941" applyNumberFormat="0" applyFill="0" applyBorder="0" applyAlignment="0" applyProtection="0">
      <alignment horizontal="center"/>
    </xf>
    <xf numFmtId="248" fontId="46" fillId="0" borderId="6941"/>
    <xf numFmtId="192" fontId="9" fillId="3" borderId="6941">
      <alignment horizontal="right" vertical="center"/>
    </xf>
    <xf numFmtId="180" fontId="9" fillId="3" borderId="6941">
      <alignment horizontal="right" vertical="center"/>
    </xf>
    <xf numFmtId="186" fontId="146" fillId="3" borderId="6941" applyBorder="0">
      <alignment horizontal="left" vertical="center"/>
    </xf>
    <xf numFmtId="0" fontId="166" fillId="0" borderId="6941">
      <alignment horizontal="center"/>
    </xf>
    <xf numFmtId="0" fontId="210" fillId="0" borderId="6941" applyNumberFormat="0" applyFill="0" applyBorder="0" applyAlignment="0">
      <protection locked="0"/>
    </xf>
    <xf numFmtId="264" fontId="12" fillId="14" borderId="6941" applyFont="0" applyFill="0" applyBorder="0" applyAlignment="0" applyProtection="0">
      <alignment horizontal="right"/>
    </xf>
    <xf numFmtId="246" fontId="249" fillId="0" borderId="6941" applyFill="0" applyProtection="0">
      <alignment horizontal="center"/>
    </xf>
    <xf numFmtId="246" fontId="250" fillId="0" borderId="6941" applyFill="0" applyProtection="0">
      <alignment horizontal="center"/>
    </xf>
    <xf numFmtId="246" fontId="250" fillId="0" borderId="6965" applyFill="0" applyProtection="0">
      <alignment horizontal="center"/>
    </xf>
    <xf numFmtId="246" fontId="249" fillId="0" borderId="6965" applyFill="0" applyProtection="0">
      <alignment horizontal="center"/>
    </xf>
    <xf numFmtId="254" fontId="240" fillId="0" borderId="6965" applyBorder="0" applyProtection="0">
      <alignment horizontal="right" vertical="center"/>
    </xf>
    <xf numFmtId="264" fontId="12" fillId="14" borderId="6965" applyFont="0" applyFill="0" applyBorder="0" applyAlignment="0" applyProtection="0">
      <alignment horizontal="right"/>
    </xf>
    <xf numFmtId="0" fontId="165" fillId="0" borderId="6965" applyFill="0" applyProtection="0">
      <alignment horizontal="center"/>
    </xf>
    <xf numFmtId="180" fontId="9" fillId="3" borderId="6965">
      <alignment horizontal="right" vertical="center"/>
    </xf>
    <xf numFmtId="0" fontId="12" fillId="0" borderId="6965" applyNumberFormat="0" applyFill="0" applyBorder="0" applyAlignment="0" applyProtection="0">
      <alignment horizontal="center"/>
    </xf>
    <xf numFmtId="0" fontId="101" fillId="0" borderId="6965" applyBorder="0"/>
    <xf numFmtId="222" fontId="79" fillId="0" borderId="6964" applyBorder="0"/>
    <xf numFmtId="0" fontId="75" fillId="0" borderId="6954" applyNumberFormat="0" applyFont="0" applyFill="0" applyAlignment="0" applyProtection="0"/>
    <xf numFmtId="0" fontId="2" fillId="0" borderId="6958" applyNumberFormat="0" applyAlignment="0" applyProtection="0"/>
    <xf numFmtId="0" fontId="25" fillId="10" borderId="6960" applyNumberFormat="0" applyProtection="0">
      <alignment horizontal="left" vertical="top"/>
    </xf>
    <xf numFmtId="0" fontId="25" fillId="10" borderId="6963" applyNumberFormat="0" applyProtection="0">
      <alignment horizontal="left" vertical="top"/>
    </xf>
    <xf numFmtId="222" fontId="79" fillId="0" borderId="6952" applyBorder="0"/>
    <xf numFmtId="0" fontId="25" fillId="10" borderId="6938" applyNumberFormat="0" applyProtection="0">
      <alignment horizontal="left" vertical="top"/>
    </xf>
    <xf numFmtId="0" fontId="25" fillId="10" borderId="6936" applyNumberFormat="0" applyProtection="0">
      <alignment horizontal="left" vertical="top"/>
    </xf>
    <xf numFmtId="0" fontId="214" fillId="0" borderId="6935" applyNumberFormat="0" applyFont="0" applyFill="0" applyAlignment="0" applyProtection="0"/>
    <xf numFmtId="186" fontId="146" fillId="3" borderId="6932">
      <alignment horizontal="left"/>
    </xf>
    <xf numFmtId="222" fontId="79" fillId="0" borderId="6940" applyBorder="0"/>
    <xf numFmtId="0" fontId="101" fillId="0" borderId="6821" applyBorder="0"/>
    <xf numFmtId="0" fontId="113" fillId="0" borderId="6821" applyNumberFormat="0" applyFill="0" applyAlignment="0" applyProtection="0"/>
    <xf numFmtId="0" fontId="12" fillId="0" borderId="6821" applyNumberFormat="0" applyFill="0" applyBorder="0" applyAlignment="0" applyProtection="0">
      <alignment horizontal="center"/>
    </xf>
    <xf numFmtId="248" fontId="46" fillId="0" borderId="6821"/>
    <xf numFmtId="192" fontId="9" fillId="3" borderId="6821">
      <alignment horizontal="right" vertical="center"/>
    </xf>
    <xf numFmtId="180" fontId="9" fillId="3" borderId="6821">
      <alignment horizontal="right" vertical="center"/>
    </xf>
    <xf numFmtId="186" fontId="146" fillId="3" borderId="6821" applyBorder="0">
      <alignment horizontal="left" vertical="center"/>
    </xf>
    <xf numFmtId="0" fontId="165" fillId="0" borderId="6821" applyFill="0" applyProtection="0">
      <alignment horizontal="center"/>
    </xf>
    <xf numFmtId="0" fontId="166" fillId="0" borderId="6821">
      <alignment horizontal="center"/>
    </xf>
    <xf numFmtId="264" fontId="12" fillId="14" borderId="6821" applyFont="0" applyFill="0" applyBorder="0" applyAlignment="0" applyProtection="0">
      <alignment horizontal="right"/>
    </xf>
    <xf numFmtId="0" fontId="210" fillId="0" borderId="6821" applyNumberFormat="0" applyFill="0" applyBorder="0" applyAlignment="0">
      <protection locked="0"/>
    </xf>
    <xf numFmtId="248" fontId="46" fillId="0" borderId="6965"/>
    <xf numFmtId="222" fontId="79" fillId="0" borderId="6964" applyBorder="0"/>
    <xf numFmtId="186" fontId="140" fillId="3" borderId="6957">
      <alignment horizontal="center" vertical="center"/>
    </xf>
    <xf numFmtId="0" fontId="25" fillId="10" borderId="6962" applyNumberFormat="0" applyProtection="0">
      <alignment horizontal="left" vertical="top"/>
    </xf>
    <xf numFmtId="0" fontId="210" fillId="0" borderId="6965" applyNumberFormat="0" applyFill="0" applyBorder="0" applyAlignment="0">
      <protection locked="0"/>
    </xf>
    <xf numFmtId="192" fontId="9" fillId="3" borderId="6965">
      <alignment horizontal="right" vertical="center"/>
    </xf>
    <xf numFmtId="0" fontId="113" fillId="0" borderId="6965" applyNumberFormat="0" applyFill="0" applyAlignment="0" applyProtection="0"/>
    <xf numFmtId="186" fontId="146" fillId="3" borderId="6956">
      <alignment horizontal="left"/>
    </xf>
    <xf numFmtId="0" fontId="25" fillId="10" borderId="6961" applyNumberFormat="0" applyProtection="0">
      <alignment horizontal="left" vertical="top"/>
    </xf>
    <xf numFmtId="254" fontId="240" fillId="0" borderId="6821" applyBorder="0" applyProtection="0">
      <alignment horizontal="right" vertical="center"/>
    </xf>
    <xf numFmtId="0" fontId="241" fillId="94" borderId="6821" applyBorder="0" applyProtection="0">
      <alignment horizontal="centerContinuous" vertical="center"/>
    </xf>
    <xf numFmtId="246" fontId="249" fillId="0" borderId="6821" applyFill="0" applyProtection="0">
      <alignment horizontal="center"/>
    </xf>
    <xf numFmtId="246" fontId="250" fillId="0" borderId="6821" applyFill="0" applyProtection="0">
      <alignment horizontal="center"/>
    </xf>
    <xf numFmtId="0" fontId="25" fillId="10" borderId="6985" applyNumberFormat="0" applyProtection="0">
      <alignment horizontal="left" vertical="top"/>
    </xf>
    <xf numFmtId="0" fontId="25" fillId="10" borderId="6987" applyNumberFormat="0" applyProtection="0">
      <alignment horizontal="left" vertical="top"/>
    </xf>
    <xf numFmtId="222" fontId="79" fillId="0" borderId="6916" applyBorder="0"/>
    <xf numFmtId="0" fontId="214" fillId="0" borderId="6983" applyNumberFormat="0" applyFont="0" applyFill="0" applyAlignment="0" applyProtection="0"/>
    <xf numFmtId="0" fontId="75" fillId="0" borderId="6918" applyNumberFormat="0" applyFont="0" applyFill="0" applyAlignment="0" applyProtection="0"/>
    <xf numFmtId="0" fontId="25" fillId="10" borderId="6926" applyNumberFormat="0" applyProtection="0">
      <alignment horizontal="left" vertical="top"/>
    </xf>
    <xf numFmtId="0" fontId="25" fillId="10" borderId="6927" applyNumberFormat="0" applyProtection="0">
      <alignment horizontal="left" vertical="top"/>
    </xf>
    <xf numFmtId="0" fontId="165" fillId="0" borderId="6941" applyFill="0" applyProtection="0">
      <alignment horizontal="center"/>
    </xf>
    <xf numFmtId="254" fontId="240" fillId="0" borderId="6941" applyBorder="0" applyProtection="0">
      <alignment horizontal="right" vertical="center"/>
    </xf>
    <xf numFmtId="0" fontId="241" fillId="94" borderId="6941" applyBorder="0" applyProtection="0">
      <alignment horizontal="centerContinuous" vertical="center"/>
    </xf>
    <xf numFmtId="0" fontId="241" fillId="94" borderId="6965" applyBorder="0" applyProtection="0">
      <alignment horizontal="centerContinuous" vertical="center"/>
    </xf>
    <xf numFmtId="0" fontId="166" fillId="0" borderId="6965">
      <alignment horizontal="center"/>
    </xf>
    <xf numFmtId="186" fontId="146" fillId="3" borderId="6965" applyBorder="0">
      <alignment horizontal="left" vertical="center"/>
    </xf>
    <xf numFmtId="0" fontId="214" fillId="0" borderId="6959" applyNumberFormat="0" applyFont="0" applyFill="0" applyAlignment="0" applyProtection="0"/>
    <xf numFmtId="0" fontId="78" fillId="14" borderId="6955" applyFont="0" applyFill="0" applyBorder="0" applyAlignment="0" applyProtection="0"/>
    <xf numFmtId="0" fontId="78" fillId="14" borderId="6883" applyFont="0" applyFill="0" applyBorder="0" applyAlignment="0" applyProtection="0"/>
    <xf numFmtId="0" fontId="25" fillId="10" borderId="6831" applyNumberFormat="0" applyProtection="0">
      <alignment horizontal="left" vertical="top"/>
    </xf>
    <xf numFmtId="0" fontId="25" fillId="10" borderId="6830" applyNumberFormat="0" applyProtection="0">
      <alignment horizontal="left" vertical="top"/>
    </xf>
    <xf numFmtId="0" fontId="25" fillId="10" borderId="6829" applyNumberFormat="0" applyProtection="0">
      <alignment horizontal="left" vertical="top"/>
    </xf>
    <xf numFmtId="0" fontId="25" fillId="10" borderId="6828" applyNumberFormat="0" applyProtection="0">
      <alignment horizontal="left" vertical="top"/>
    </xf>
    <xf numFmtId="186" fontId="140" fillId="3" borderId="6981">
      <alignment horizontal="center" vertical="center"/>
    </xf>
    <xf numFmtId="0" fontId="214" fillId="0" borderId="6827" applyNumberFormat="0" applyFont="0" applyFill="0" applyAlignment="0" applyProtection="0"/>
    <xf numFmtId="0" fontId="2" fillId="0" borderId="6826" applyNumberFormat="0" applyAlignment="0" applyProtection="0"/>
    <xf numFmtId="186" fontId="140" fillId="3" borderId="6825">
      <alignment horizontal="center" vertical="center"/>
    </xf>
    <xf numFmtId="186" fontId="146" fillId="3" borderId="6824">
      <alignment horizontal="left"/>
    </xf>
    <xf numFmtId="186" fontId="146" fillId="3" borderId="6980">
      <alignment horizontal="left"/>
    </xf>
    <xf numFmtId="0" fontId="75" fillId="0" borderId="6822" applyNumberFormat="0" applyFont="0" applyFill="0" applyAlignment="0" applyProtection="0"/>
    <xf numFmtId="0" fontId="75" fillId="0" borderId="6978" applyNumberFormat="0" applyFont="0" applyFill="0" applyAlignment="0" applyProtection="0"/>
    <xf numFmtId="222" fontId="79" fillId="0" borderId="6892" applyBorder="0"/>
    <xf numFmtId="222" fontId="79" fillId="0" borderId="6892" applyBorder="0"/>
    <xf numFmtId="0" fontId="25" fillId="10" borderId="6984" applyNumberFormat="0" applyProtection="0">
      <alignment horizontal="left" vertical="top"/>
    </xf>
    <xf numFmtId="0" fontId="2" fillId="0" borderId="6982" applyNumberFormat="0" applyAlignment="0" applyProtection="0"/>
    <xf numFmtId="246" fontId="250" fillId="0" borderId="6917" applyFill="0" applyProtection="0">
      <alignment horizontal="center"/>
    </xf>
    <xf numFmtId="246" fontId="249" fillId="0" borderId="6917" applyFill="0" applyProtection="0">
      <alignment horizontal="center"/>
    </xf>
    <xf numFmtId="0" fontId="241" fillId="94" borderId="6917" applyBorder="0" applyProtection="0">
      <alignment horizontal="centerContinuous" vertical="center"/>
    </xf>
    <xf numFmtId="254" fontId="240" fillId="0" borderId="6917" applyBorder="0" applyProtection="0">
      <alignment horizontal="right" vertical="center"/>
    </xf>
    <xf numFmtId="0" fontId="210" fillId="0" borderId="6917" applyNumberFormat="0" applyFill="0" applyBorder="0" applyAlignment="0">
      <protection locked="0"/>
    </xf>
    <xf numFmtId="264" fontId="12" fillId="14" borderId="6917" applyFont="0" applyFill="0" applyBorder="0" applyAlignment="0" applyProtection="0">
      <alignment horizontal="right"/>
    </xf>
    <xf numFmtId="0" fontId="166" fillId="0" borderId="6917">
      <alignment horizontal="center"/>
    </xf>
    <xf numFmtId="0" fontId="165" fillId="0" borderId="6917" applyFill="0" applyProtection="0">
      <alignment horizontal="center"/>
    </xf>
    <xf numFmtId="186" fontId="146" fillId="3" borderId="6917" applyBorder="0">
      <alignment horizontal="left" vertical="center"/>
    </xf>
    <xf numFmtId="180" fontId="9" fillId="3" borderId="6917">
      <alignment horizontal="right" vertical="center"/>
    </xf>
    <xf numFmtId="192" fontId="9" fillId="3" borderId="6917">
      <alignment horizontal="right" vertical="center"/>
    </xf>
    <xf numFmtId="248" fontId="46" fillId="0" borderId="6917"/>
    <xf numFmtId="0" fontId="12" fillId="0" borderId="6917" applyNumberFormat="0" applyFill="0" applyBorder="0" applyAlignment="0" applyProtection="0">
      <alignment horizontal="center"/>
    </xf>
    <xf numFmtId="0" fontId="113" fillId="0" borderId="6917" applyNumberFormat="0" applyFill="0" applyAlignment="0" applyProtection="0"/>
    <xf numFmtId="222" fontId="79" fillId="0" borderId="6916" applyBorder="0"/>
    <xf numFmtId="0" fontId="101" fillId="0" borderId="6917" applyBorder="0"/>
    <xf numFmtId="222" fontId="79" fillId="0" borderId="6916" applyBorder="0"/>
    <xf numFmtId="0" fontId="75" fillId="0" borderId="6906" applyNumberFormat="0" applyFont="0" applyFill="0" applyAlignment="0" applyProtection="0"/>
    <xf numFmtId="186" fontId="146" fillId="3" borderId="6908">
      <alignment horizontal="left"/>
    </xf>
    <xf numFmtId="186" fontId="140" fillId="3" borderId="6909">
      <alignment horizontal="center" vertical="center"/>
    </xf>
    <xf numFmtId="0" fontId="2" fillId="0" borderId="6910" applyNumberFormat="0" applyAlignment="0" applyProtection="0"/>
    <xf numFmtId="0" fontId="214" fillId="0" borderId="6911" applyNumberFormat="0" applyFont="0" applyFill="0" applyAlignment="0" applyProtection="0"/>
    <xf numFmtId="0" fontId="25" fillId="10" borderId="6912" applyNumberFormat="0" applyProtection="0">
      <alignment horizontal="left" vertical="top"/>
    </xf>
    <xf numFmtId="0" fontId="25" fillId="10" borderId="6913" applyNumberFormat="0" applyProtection="0">
      <alignment horizontal="left" vertical="top"/>
    </xf>
    <xf numFmtId="0" fontId="25" fillId="10" borderId="6914" applyNumberFormat="0" applyProtection="0">
      <alignment horizontal="left" vertical="top"/>
    </xf>
    <xf numFmtId="0" fontId="25" fillId="10" borderId="6915" applyNumberFormat="0" applyProtection="0">
      <alignment horizontal="left" vertical="top"/>
    </xf>
    <xf numFmtId="0" fontId="78" fillId="14" borderId="6907" applyFont="0" applyFill="0" applyBorder="0" applyAlignment="0" applyProtection="0"/>
    <xf numFmtId="222" fontId="79" fillId="0" borderId="6904" applyBorder="0"/>
    <xf numFmtId="0" fontId="78" fillId="14" borderId="6883" applyFont="0" applyFill="0" applyBorder="0" applyAlignment="0" applyProtection="0"/>
    <xf numFmtId="222" fontId="79" fillId="0" borderId="6892" applyBorder="0"/>
    <xf numFmtId="0" fontId="78" fillId="14" borderId="6895" applyFont="0" applyFill="0" applyBorder="0" applyAlignment="0" applyProtection="0"/>
    <xf numFmtId="0" fontId="25" fillId="10" borderId="6903" applyNumberFormat="0" applyProtection="0">
      <alignment horizontal="left" vertical="top"/>
    </xf>
    <xf numFmtId="0" fontId="25" fillId="10" borderId="6902" applyNumberFormat="0" applyProtection="0">
      <alignment horizontal="left" vertical="top"/>
    </xf>
    <xf numFmtId="0" fontId="25" fillId="10" borderId="6901" applyNumberFormat="0" applyProtection="0">
      <alignment horizontal="left" vertical="top"/>
    </xf>
    <xf numFmtId="0" fontId="25" fillId="10" borderId="6900" applyNumberFormat="0" applyProtection="0">
      <alignment horizontal="left" vertical="top"/>
    </xf>
    <xf numFmtId="0" fontId="214" fillId="0" borderId="6899" applyNumberFormat="0" applyFont="0" applyFill="0" applyAlignment="0" applyProtection="0"/>
    <xf numFmtId="0" fontId="2" fillId="0" borderId="6826" applyNumberFormat="0" applyAlignment="0" applyProtection="0"/>
    <xf numFmtId="186" fontId="140" fillId="3" borderId="6897">
      <alignment horizontal="center" vertical="center"/>
    </xf>
    <xf numFmtId="186" fontId="146" fillId="3" borderId="6896">
      <alignment horizontal="left"/>
    </xf>
    <xf numFmtId="0" fontId="75" fillId="0" borderId="6894" applyNumberFormat="0" applyFont="0" applyFill="0" applyAlignment="0" applyProtection="0"/>
    <xf numFmtId="222" fontId="79" fillId="0" borderId="6904" applyBorder="0"/>
    <xf numFmtId="0" fontId="101" fillId="0" borderId="6905" applyBorder="0"/>
    <xf numFmtId="222" fontId="79" fillId="0" borderId="6904" applyBorder="0"/>
    <xf numFmtId="0" fontId="113" fillId="0" borderId="6905" applyNumberFormat="0" applyFill="0" applyAlignment="0" applyProtection="0"/>
    <xf numFmtId="0" fontId="12" fillId="0" borderId="6905" applyNumberFormat="0" applyFill="0" applyBorder="0" applyAlignment="0" applyProtection="0">
      <alignment horizontal="center"/>
    </xf>
    <xf numFmtId="248" fontId="46" fillId="0" borderId="6905"/>
    <xf numFmtId="192" fontId="9" fillId="3" borderId="6905">
      <alignment horizontal="right" vertical="center"/>
    </xf>
    <xf numFmtId="180" fontId="9" fillId="3" borderId="6905">
      <alignment horizontal="right" vertical="center"/>
    </xf>
    <xf numFmtId="186" fontId="146" fillId="3" borderId="6905" applyBorder="0">
      <alignment horizontal="left" vertical="center"/>
    </xf>
    <xf numFmtId="0" fontId="165" fillId="0" borderId="6905" applyFill="0" applyProtection="0">
      <alignment horizontal="center"/>
    </xf>
    <xf numFmtId="0" fontId="166" fillId="0" borderId="6905">
      <alignment horizontal="center"/>
    </xf>
    <xf numFmtId="264" fontId="12" fillId="14" borderId="6905" applyFont="0" applyFill="0" applyBorder="0" applyAlignment="0" applyProtection="0">
      <alignment horizontal="right"/>
    </xf>
    <xf numFmtId="0" fontId="210" fillId="0" borderId="6905" applyNumberFormat="0" applyFill="0" applyBorder="0" applyAlignment="0">
      <protection locked="0"/>
    </xf>
    <xf numFmtId="254" fontId="240" fillId="0" borderId="6905" applyBorder="0" applyProtection="0">
      <alignment horizontal="right" vertical="center"/>
    </xf>
    <xf numFmtId="0" fontId="241" fillId="94" borderId="6905" applyBorder="0" applyProtection="0">
      <alignment horizontal="centerContinuous" vertical="center"/>
    </xf>
    <xf numFmtId="246" fontId="249" fillId="0" borderId="6905" applyFill="0" applyProtection="0">
      <alignment horizontal="center"/>
    </xf>
    <xf numFmtId="246" fontId="250" fillId="0" borderId="6905" applyFill="0" applyProtection="0">
      <alignment horizontal="center"/>
    </xf>
    <xf numFmtId="0" fontId="241" fillId="94" borderId="6989" applyBorder="0" applyProtection="0">
      <alignment horizontal="centerContinuous" vertical="center"/>
    </xf>
    <xf numFmtId="0" fontId="166" fillId="0" borderId="6989">
      <alignment horizontal="center"/>
    </xf>
    <xf numFmtId="0" fontId="2" fillId="0" borderId="6922" applyNumberFormat="0" applyAlignment="0" applyProtection="0"/>
    <xf numFmtId="0" fontId="214" fillId="0" borderId="6923" applyNumberFormat="0" applyFont="0" applyFill="0" applyAlignment="0" applyProtection="0"/>
    <xf numFmtId="246" fontId="250" fillId="0" borderId="6929" applyFill="0" applyProtection="0">
      <alignment horizontal="center"/>
    </xf>
    <xf numFmtId="246" fontId="249" fillId="0" borderId="6929" applyFill="0" applyProtection="0">
      <alignment horizontal="center"/>
    </xf>
    <xf numFmtId="0" fontId="241" fillId="94" borderId="6929" applyBorder="0" applyProtection="0">
      <alignment horizontal="centerContinuous" vertical="center"/>
    </xf>
    <xf numFmtId="254" fontId="240" fillId="0" borderId="6929" applyBorder="0" applyProtection="0">
      <alignment horizontal="right" vertical="center"/>
    </xf>
    <xf numFmtId="0" fontId="210" fillId="0" borderId="6929" applyNumberFormat="0" applyFill="0" applyBorder="0" applyAlignment="0">
      <protection locked="0"/>
    </xf>
    <xf numFmtId="264" fontId="12" fillId="14" borderId="6929" applyFont="0" applyFill="0" applyBorder="0" applyAlignment="0" applyProtection="0">
      <alignment horizontal="right"/>
    </xf>
    <xf numFmtId="0" fontId="166" fillId="0" borderId="6929">
      <alignment horizontal="center"/>
    </xf>
    <xf numFmtId="0" fontId="165" fillId="0" borderId="6929" applyFill="0" applyProtection="0">
      <alignment horizontal="center"/>
    </xf>
    <xf numFmtId="186" fontId="146" fillId="3" borderId="6929" applyBorder="0">
      <alignment horizontal="left" vertical="center"/>
    </xf>
    <xf numFmtId="180" fontId="9" fillId="3" borderId="6929">
      <alignment horizontal="right" vertical="center"/>
    </xf>
    <xf numFmtId="192" fontId="9" fillId="3" borderId="6929">
      <alignment horizontal="right" vertical="center"/>
    </xf>
    <xf numFmtId="248" fontId="46" fillId="0" borderId="6929"/>
    <xf numFmtId="0" fontId="12" fillId="0" borderId="6929" applyNumberFormat="0" applyFill="0" applyBorder="0" applyAlignment="0" applyProtection="0">
      <alignment horizontal="center"/>
    </xf>
    <xf numFmtId="0" fontId="113" fillId="0" borderId="6929" applyNumberFormat="0" applyFill="0" applyAlignment="0" applyProtection="0"/>
    <xf numFmtId="222" fontId="79" fillId="0" borderId="6928" applyBorder="0"/>
    <xf numFmtId="0" fontId="101" fillId="0" borderId="6929" applyBorder="0"/>
    <xf numFmtId="222" fontId="79" fillId="0" borderId="6928" applyBorder="0"/>
    <xf numFmtId="0" fontId="75" fillId="0" borderId="6918" applyNumberFormat="0" applyFont="0" applyFill="0" applyAlignment="0" applyProtection="0"/>
    <xf numFmtId="186" fontId="146" fillId="3" borderId="6920">
      <alignment horizontal="left"/>
    </xf>
    <xf numFmtId="186" fontId="140" fillId="3" borderId="6921">
      <alignment horizontal="center" vertical="center"/>
    </xf>
    <xf numFmtId="0" fontId="2" fillId="0" borderId="6922" applyNumberFormat="0" applyAlignment="0" applyProtection="0"/>
    <xf numFmtId="0" fontId="214" fillId="0" borderId="6923" applyNumberFormat="0" applyFont="0" applyFill="0" applyAlignment="0" applyProtection="0"/>
    <xf numFmtId="0" fontId="25" fillId="10" borderId="6924" applyNumberFormat="0" applyProtection="0">
      <alignment horizontal="left" vertical="top"/>
    </xf>
    <xf numFmtId="0" fontId="25" fillId="10" borderId="6925" applyNumberFormat="0" applyProtection="0">
      <alignment horizontal="left" vertical="top"/>
    </xf>
    <xf numFmtId="0" fontId="25" fillId="10" borderId="6926" applyNumberFormat="0" applyProtection="0">
      <alignment horizontal="left" vertical="top"/>
    </xf>
    <xf numFmtId="0" fontId="25" fillId="10" borderId="6927" applyNumberFormat="0" applyProtection="0">
      <alignment horizontal="left" vertical="top"/>
    </xf>
    <xf numFmtId="0" fontId="78" fillId="14" borderId="6919" applyFont="0" applyFill="0" applyBorder="0" applyAlignment="0" applyProtection="0"/>
    <xf numFmtId="222" fontId="79" fillId="0" borderId="6916" applyBorder="0"/>
    <xf numFmtId="0" fontId="78" fillId="14" borderId="6931" applyFont="0" applyFill="0" applyBorder="0" applyAlignment="0" applyProtection="0"/>
    <xf numFmtId="186" fontId="146" fillId="3" borderId="6920">
      <alignment horizontal="left"/>
    </xf>
    <xf numFmtId="0" fontId="78" fillId="14" borderId="6907" applyFont="0" applyFill="0" applyBorder="0" applyAlignment="0" applyProtection="0"/>
    <xf numFmtId="222" fontId="79" fillId="0" borderId="6916" applyBorder="0"/>
    <xf numFmtId="0" fontId="2" fillId="0" borderId="6934" applyNumberFormat="0" applyAlignment="0" applyProtection="0"/>
    <xf numFmtId="0" fontId="78" fillId="14" borderId="6907" applyFont="0" applyFill="0" applyBorder="0" applyAlignment="0" applyProtection="0"/>
    <xf numFmtId="0" fontId="25" fillId="10" borderId="6915" applyNumberFormat="0" applyProtection="0">
      <alignment horizontal="left" vertical="top"/>
    </xf>
    <xf numFmtId="0" fontId="25" fillId="10" borderId="6914" applyNumberFormat="0" applyProtection="0">
      <alignment horizontal="left" vertical="top"/>
    </xf>
    <xf numFmtId="0" fontId="25" fillId="10" borderId="6913" applyNumberFormat="0" applyProtection="0">
      <alignment horizontal="left" vertical="top"/>
    </xf>
    <xf numFmtId="0" fontId="25" fillId="10" borderId="6912" applyNumberFormat="0" applyProtection="0">
      <alignment horizontal="left" vertical="top"/>
    </xf>
    <xf numFmtId="0" fontId="25" fillId="10" borderId="6937" applyNumberFormat="0" applyProtection="0">
      <alignment horizontal="left" vertical="top"/>
    </xf>
    <xf numFmtId="0" fontId="214" fillId="0" borderId="6911" applyNumberFormat="0" applyFont="0" applyFill="0" applyAlignment="0" applyProtection="0"/>
    <xf numFmtId="0" fontId="2" fillId="0" borderId="6910" applyNumberFormat="0" applyAlignment="0" applyProtection="0"/>
    <xf numFmtId="186" fontId="140" fillId="3" borderId="6909">
      <alignment horizontal="center" vertical="center"/>
    </xf>
    <xf numFmtId="186" fontId="146" fillId="3" borderId="6908">
      <alignment horizontal="left"/>
    </xf>
    <xf numFmtId="0" fontId="25" fillId="10" borderId="6939" applyNumberFormat="0" applyProtection="0">
      <alignment horizontal="left" vertical="top"/>
    </xf>
    <xf numFmtId="0" fontId="75" fillId="0" borderId="6906" applyNumberFormat="0" applyFont="0" applyFill="0" applyAlignment="0" applyProtection="0"/>
    <xf numFmtId="222" fontId="79" fillId="0" borderId="6916" applyBorder="0"/>
    <xf numFmtId="0" fontId="101" fillId="0" borderId="6917" applyBorder="0"/>
    <xf numFmtId="222" fontId="79" fillId="0" borderId="6916" applyBorder="0"/>
    <xf numFmtId="0" fontId="113" fillId="0" borderId="6917" applyNumberFormat="0" applyFill="0" applyAlignment="0" applyProtection="0"/>
    <xf numFmtId="0" fontId="12" fillId="0" borderId="6917" applyNumberFormat="0" applyFill="0" applyBorder="0" applyAlignment="0" applyProtection="0">
      <alignment horizontal="center"/>
    </xf>
    <xf numFmtId="248" fontId="46" fillId="0" borderId="6917"/>
    <xf numFmtId="192" fontId="9" fillId="3" borderId="6917">
      <alignment horizontal="right" vertical="center"/>
    </xf>
    <xf numFmtId="180" fontId="9" fillId="3" borderId="6917">
      <alignment horizontal="right" vertical="center"/>
    </xf>
    <xf numFmtId="186" fontId="146" fillId="3" borderId="6917" applyBorder="0">
      <alignment horizontal="left" vertical="center"/>
    </xf>
    <xf numFmtId="0" fontId="165" fillId="0" borderId="6917" applyFill="0" applyProtection="0">
      <alignment horizontal="center"/>
    </xf>
    <xf numFmtId="0" fontId="166" fillId="0" borderId="6917">
      <alignment horizontal="center"/>
    </xf>
    <xf numFmtId="264" fontId="12" fillId="14" borderId="6917" applyFont="0" applyFill="0" applyBorder="0" applyAlignment="0" applyProtection="0">
      <alignment horizontal="right"/>
    </xf>
    <xf numFmtId="0" fontId="210" fillId="0" borderId="6917" applyNumberFormat="0" applyFill="0" applyBorder="0" applyAlignment="0">
      <protection locked="0"/>
    </xf>
    <xf numFmtId="254" fontId="240" fillId="0" borderId="6917" applyBorder="0" applyProtection="0">
      <alignment horizontal="right" vertical="center"/>
    </xf>
    <xf numFmtId="0" fontId="241" fillId="94" borderId="6917" applyBorder="0" applyProtection="0">
      <alignment horizontal="centerContinuous" vertical="center"/>
    </xf>
    <xf numFmtId="246" fontId="249" fillId="0" borderId="6917" applyFill="0" applyProtection="0">
      <alignment horizontal="center"/>
    </xf>
    <xf numFmtId="246" fontId="250" fillId="0" borderId="6917" applyFill="0" applyProtection="0">
      <alignment horizontal="center"/>
    </xf>
    <xf numFmtId="186" fontId="140" fillId="3" borderId="6933">
      <alignment horizontal="center" vertical="center"/>
    </xf>
    <xf numFmtId="0" fontId="78" fillId="14" borderId="6919" applyFont="0" applyFill="0" applyBorder="0" applyAlignment="0" applyProtection="0"/>
    <xf numFmtId="222" fontId="79" fillId="0" borderId="6940" applyBorder="0"/>
    <xf numFmtId="0" fontId="78" fillId="14" borderId="6943" applyFont="0" applyFill="0" applyBorder="0" applyAlignment="0" applyProtection="0"/>
    <xf numFmtId="0" fontId="25" fillId="10" borderId="6951" applyNumberFormat="0" applyProtection="0">
      <alignment horizontal="left" vertical="top"/>
    </xf>
    <xf numFmtId="0" fontId="25" fillId="10" borderId="6950" applyNumberFormat="0" applyProtection="0">
      <alignment horizontal="left" vertical="top"/>
    </xf>
    <xf numFmtId="0" fontId="25" fillId="10" borderId="6949" applyNumberFormat="0" applyProtection="0">
      <alignment horizontal="left" vertical="top"/>
    </xf>
    <xf numFmtId="0" fontId="25" fillId="10" borderId="6948" applyNumberFormat="0" applyProtection="0">
      <alignment horizontal="left" vertical="top"/>
    </xf>
    <xf numFmtId="0" fontId="214" fillId="0" borderId="6947" applyNumberFormat="0" applyFont="0" applyFill="0" applyAlignment="0" applyProtection="0"/>
    <xf numFmtId="0" fontId="2" fillId="0" borderId="6946" applyNumberFormat="0" applyAlignment="0" applyProtection="0"/>
    <xf numFmtId="186" fontId="140" fillId="3" borderId="6945">
      <alignment horizontal="center" vertical="center"/>
    </xf>
    <xf numFmtId="186" fontId="146" fillId="3" borderId="6944">
      <alignment horizontal="left"/>
    </xf>
    <xf numFmtId="0" fontId="75" fillId="0" borderId="6942" applyNumberFormat="0" applyFont="0" applyFill="0" applyAlignment="0" applyProtection="0"/>
    <xf numFmtId="222" fontId="79" fillId="0" borderId="6952" applyBorder="0"/>
    <xf numFmtId="0" fontId="101" fillId="0" borderId="6953" applyBorder="0"/>
    <xf numFmtId="222" fontId="79" fillId="0" borderId="6952" applyBorder="0"/>
    <xf numFmtId="0" fontId="113" fillId="0" borderId="6953" applyNumberFormat="0" applyFill="0" applyAlignment="0" applyProtection="0"/>
    <xf numFmtId="0" fontId="12" fillId="0" borderId="6953" applyNumberFormat="0" applyFill="0" applyBorder="0" applyAlignment="0" applyProtection="0">
      <alignment horizontal="center"/>
    </xf>
    <xf numFmtId="248" fontId="46" fillId="0" borderId="6953"/>
    <xf numFmtId="192" fontId="9" fillId="3" borderId="6953">
      <alignment horizontal="right" vertical="center"/>
    </xf>
    <xf numFmtId="180" fontId="9" fillId="3" borderId="6953">
      <alignment horizontal="right" vertical="center"/>
    </xf>
    <xf numFmtId="186" fontId="146" fillId="3" borderId="6953" applyBorder="0">
      <alignment horizontal="left" vertical="center"/>
    </xf>
    <xf numFmtId="0" fontId="165" fillId="0" borderId="6953" applyFill="0" applyProtection="0">
      <alignment horizontal="center"/>
    </xf>
    <xf numFmtId="0" fontId="166" fillId="0" borderId="6953">
      <alignment horizontal="center"/>
    </xf>
    <xf numFmtId="264" fontId="12" fillId="14" borderId="6953" applyFont="0" applyFill="0" applyBorder="0" applyAlignment="0" applyProtection="0">
      <alignment horizontal="right"/>
    </xf>
    <xf numFmtId="0" fontId="210" fillId="0" borderId="6953" applyNumberFormat="0" applyFill="0" applyBorder="0" applyAlignment="0">
      <protection locked="0"/>
    </xf>
    <xf numFmtId="254" fontId="240" fillId="0" borderId="6953" applyBorder="0" applyProtection="0">
      <alignment horizontal="right" vertical="center"/>
    </xf>
    <xf numFmtId="0" fontId="241" fillId="94" borderId="6953" applyBorder="0" applyProtection="0">
      <alignment horizontal="centerContinuous" vertical="center"/>
    </xf>
    <xf numFmtId="246" fontId="249" fillId="0" borderId="6953" applyFill="0" applyProtection="0">
      <alignment horizontal="center"/>
    </xf>
    <xf numFmtId="246" fontId="250" fillId="0" borderId="6953" applyFill="0" applyProtection="0">
      <alignment horizontal="center"/>
    </xf>
    <xf numFmtId="222" fontId="79" fillId="0" borderId="6964" applyBorder="0"/>
    <xf numFmtId="0" fontId="78" fillId="14" borderId="6967" applyFont="0" applyFill="0" applyBorder="0" applyAlignment="0" applyProtection="0"/>
    <xf numFmtId="0" fontId="25" fillId="10" borderId="6975" applyNumberFormat="0" applyProtection="0">
      <alignment horizontal="left" vertical="top"/>
    </xf>
    <xf numFmtId="0" fontId="25" fillId="10" borderId="6974" applyNumberFormat="0" applyProtection="0">
      <alignment horizontal="left" vertical="top"/>
    </xf>
    <xf numFmtId="0" fontId="25" fillId="10" borderId="6973" applyNumberFormat="0" applyProtection="0">
      <alignment horizontal="left" vertical="top"/>
    </xf>
    <xf numFmtId="0" fontId="25" fillId="10" borderId="6972" applyNumberFormat="0" applyProtection="0">
      <alignment horizontal="left" vertical="top"/>
    </xf>
    <xf numFmtId="0" fontId="214" fillId="0" borderId="6971" applyNumberFormat="0" applyFont="0" applyFill="0" applyAlignment="0" applyProtection="0"/>
    <xf numFmtId="0" fontId="2" fillId="0" borderId="6970" applyNumberFormat="0" applyAlignment="0" applyProtection="0"/>
    <xf numFmtId="186" fontId="140" fillId="3" borderId="6969">
      <alignment horizontal="center" vertical="center"/>
    </xf>
    <xf numFmtId="186" fontId="146" fillId="3" borderId="6968">
      <alignment horizontal="left"/>
    </xf>
    <xf numFmtId="0" fontId="75" fillId="0" borderId="6966" applyNumberFormat="0" applyFont="0" applyFill="0" applyAlignment="0" applyProtection="0"/>
    <xf numFmtId="222" fontId="79" fillId="0" borderId="6976" applyBorder="0"/>
    <xf numFmtId="0" fontId="101" fillId="0" borderId="6977" applyBorder="0"/>
    <xf numFmtId="222" fontId="79" fillId="0" borderId="6976" applyBorder="0"/>
    <xf numFmtId="0" fontId="113" fillId="0" borderId="6977" applyNumberFormat="0" applyFill="0" applyAlignment="0" applyProtection="0"/>
    <xf numFmtId="0" fontId="12" fillId="0" borderId="6977" applyNumberFormat="0" applyFill="0" applyBorder="0" applyAlignment="0" applyProtection="0">
      <alignment horizontal="center"/>
    </xf>
    <xf numFmtId="248" fontId="46" fillId="0" borderId="6977"/>
    <xf numFmtId="192" fontId="9" fillId="3" borderId="6977">
      <alignment horizontal="right" vertical="center"/>
    </xf>
    <xf numFmtId="180" fontId="9" fillId="3" borderId="6977">
      <alignment horizontal="right" vertical="center"/>
    </xf>
    <xf numFmtId="186" fontId="146" fillId="3" borderId="6977" applyBorder="0">
      <alignment horizontal="left" vertical="center"/>
    </xf>
    <xf numFmtId="0" fontId="165" fillId="0" borderId="6977" applyFill="0" applyProtection="0">
      <alignment horizontal="center"/>
    </xf>
    <xf numFmtId="0" fontId="166" fillId="0" borderId="6977">
      <alignment horizontal="center"/>
    </xf>
    <xf numFmtId="264" fontId="12" fillId="14" borderId="6977" applyFont="0" applyFill="0" applyBorder="0" applyAlignment="0" applyProtection="0">
      <alignment horizontal="right"/>
    </xf>
    <xf numFmtId="0" fontId="210" fillId="0" borderId="6977" applyNumberFormat="0" applyFill="0" applyBorder="0" applyAlignment="0">
      <protection locked="0"/>
    </xf>
    <xf numFmtId="254" fontId="240" fillId="0" borderId="6977" applyBorder="0" applyProtection="0">
      <alignment horizontal="right" vertical="center"/>
    </xf>
    <xf numFmtId="0" fontId="241" fillId="94" borderId="6977" applyBorder="0" applyProtection="0">
      <alignment horizontal="centerContinuous" vertical="center"/>
    </xf>
    <xf numFmtId="246" fontId="249" fillId="0" borderId="6977" applyFill="0" applyProtection="0">
      <alignment horizontal="center"/>
    </xf>
    <xf numFmtId="246" fontId="250" fillId="0" borderId="6977" applyFill="0" applyProtection="0">
      <alignment horizontal="center"/>
    </xf>
    <xf numFmtId="0" fontId="75" fillId="0" borderId="6990" applyNumberFormat="0" applyFont="0" applyFill="0" applyAlignment="0" applyProtection="0"/>
    <xf numFmtId="0" fontId="78" fillId="14" borderId="6991" applyFont="0" applyFill="0" applyBorder="0" applyAlignment="0" applyProtection="0"/>
    <xf numFmtId="186" fontId="146" fillId="3" borderId="6992">
      <alignment horizontal="left"/>
    </xf>
    <xf numFmtId="186" fontId="140" fillId="3" borderId="6993">
      <alignment horizontal="center" vertical="center"/>
    </xf>
    <xf numFmtId="0" fontId="2" fillId="0" borderId="6994" applyNumberFormat="0" applyAlignment="0" applyProtection="0"/>
    <xf numFmtId="0" fontId="214" fillId="0" borderId="6995" applyNumberFormat="0" applyFont="0" applyFill="0" applyAlignment="0" applyProtection="0"/>
    <xf numFmtId="0" fontId="25" fillId="10" borderId="6996" applyNumberFormat="0" applyProtection="0">
      <alignment horizontal="left" vertical="top"/>
    </xf>
    <xf numFmtId="0" fontId="25" fillId="10" borderId="6997" applyNumberFormat="0" applyProtection="0">
      <alignment horizontal="left" vertical="top"/>
    </xf>
    <xf numFmtId="0" fontId="25" fillId="10" borderId="6998" applyNumberFormat="0" applyProtection="0">
      <alignment horizontal="left" vertical="top"/>
    </xf>
    <xf numFmtId="0" fontId="25" fillId="10" borderId="6999" applyNumberFormat="0" applyProtection="0">
      <alignment horizontal="left" vertical="top"/>
    </xf>
    <xf numFmtId="246" fontId="250" fillId="0" borderId="6989" applyFill="0" applyProtection="0">
      <alignment horizontal="center"/>
    </xf>
    <xf numFmtId="246" fontId="249" fillId="0" borderId="6989" applyFill="0" applyProtection="0">
      <alignment horizontal="center"/>
    </xf>
    <xf numFmtId="0" fontId="241" fillId="94" borderId="6989" applyBorder="0" applyProtection="0">
      <alignment horizontal="centerContinuous" vertical="center"/>
    </xf>
    <xf numFmtId="254" fontId="240" fillId="0" borderId="6989" applyBorder="0" applyProtection="0">
      <alignment horizontal="right" vertical="center"/>
    </xf>
    <xf numFmtId="0" fontId="210" fillId="0" borderId="6989" applyNumberFormat="0" applyFill="0" applyBorder="0" applyAlignment="0">
      <protection locked="0"/>
    </xf>
    <xf numFmtId="264" fontId="12" fillId="14" borderId="6989" applyFont="0" applyFill="0" applyBorder="0" applyAlignment="0" applyProtection="0">
      <alignment horizontal="right"/>
    </xf>
    <xf numFmtId="0" fontId="166" fillId="0" borderId="6989">
      <alignment horizontal="center"/>
    </xf>
    <xf numFmtId="0" fontId="165" fillId="0" borderId="6989" applyFill="0" applyProtection="0">
      <alignment horizontal="center"/>
    </xf>
    <xf numFmtId="186" fontId="146" fillId="3" borderId="6989" applyBorder="0">
      <alignment horizontal="left" vertical="center"/>
    </xf>
    <xf numFmtId="180" fontId="9" fillId="3" borderId="6989">
      <alignment horizontal="right" vertical="center"/>
    </xf>
    <xf numFmtId="192" fontId="9" fillId="3" borderId="6989">
      <alignment horizontal="right" vertical="center"/>
    </xf>
    <xf numFmtId="0" fontId="12" fillId="0" borderId="6989" applyNumberFormat="0" applyFill="0" applyBorder="0" applyAlignment="0" applyProtection="0">
      <alignment horizontal="center"/>
    </xf>
    <xf numFmtId="0" fontId="113" fillId="0" borderId="6989" applyNumberFormat="0" applyFill="0" applyAlignment="0" applyProtection="0"/>
    <xf numFmtId="222" fontId="79" fillId="0" borderId="6988" applyBorder="0"/>
    <xf numFmtId="0" fontId="101" fillId="0" borderId="6989" applyBorder="0"/>
    <xf numFmtId="248" fontId="46" fillId="0" borderId="6989"/>
    <xf numFmtId="0" fontId="101" fillId="0" borderId="6989" applyBorder="0"/>
    <xf numFmtId="222" fontId="79" fillId="0" borderId="6988" applyBorder="0"/>
    <xf numFmtId="0" fontId="113" fillId="0" borderId="6989" applyNumberFormat="0" applyFill="0" applyAlignment="0" applyProtection="0"/>
    <xf numFmtId="0" fontId="75" fillId="0" borderId="6990" applyNumberFormat="0" applyFont="0" applyFill="0" applyAlignment="0" applyProtection="0"/>
    <xf numFmtId="0" fontId="12" fillId="0" borderId="6989" applyNumberFormat="0" applyFill="0" applyBorder="0" applyAlignment="0" applyProtection="0">
      <alignment horizontal="center"/>
    </xf>
    <xf numFmtId="248" fontId="46" fillId="0" borderId="6989"/>
    <xf numFmtId="192" fontId="9" fillId="3" borderId="6989">
      <alignment horizontal="right" vertical="center"/>
    </xf>
    <xf numFmtId="180" fontId="9" fillId="3" borderId="6989">
      <alignment horizontal="right" vertical="center"/>
    </xf>
    <xf numFmtId="186" fontId="146" fillId="3" borderId="6989" applyBorder="0">
      <alignment horizontal="left" vertical="center"/>
    </xf>
    <xf numFmtId="186" fontId="146" fillId="3" borderId="6992">
      <alignment horizontal="left"/>
    </xf>
    <xf numFmtId="186" fontId="140" fillId="3" borderId="6993">
      <alignment horizontal="center" vertical="center"/>
    </xf>
    <xf numFmtId="0" fontId="165" fillId="0" borderId="6989" applyFill="0" applyProtection="0">
      <alignment horizontal="center"/>
    </xf>
    <xf numFmtId="0" fontId="166" fillId="0" borderId="6989">
      <alignment horizontal="center"/>
    </xf>
    <xf numFmtId="264" fontId="12" fillId="14" borderId="6989" applyFont="0" applyFill="0" applyBorder="0" applyAlignment="0" applyProtection="0">
      <alignment horizontal="right"/>
    </xf>
    <xf numFmtId="0" fontId="210" fillId="0" borderId="6989" applyNumberFormat="0" applyFill="0" applyBorder="0" applyAlignment="0">
      <protection locked="0"/>
    </xf>
    <xf numFmtId="0" fontId="2" fillId="0" borderId="6994" applyNumberFormat="0" applyAlignment="0" applyProtection="0"/>
    <xf numFmtId="0" fontId="214" fillId="0" borderId="6995" applyNumberFormat="0" applyFont="0" applyFill="0" applyAlignment="0" applyProtection="0"/>
    <xf numFmtId="0" fontId="25" fillId="10" borderId="6996" applyNumberFormat="0" applyProtection="0">
      <alignment horizontal="left" vertical="top"/>
    </xf>
    <xf numFmtId="0" fontId="25" fillId="10" borderId="6997" applyNumberFormat="0" applyProtection="0">
      <alignment horizontal="left" vertical="top"/>
    </xf>
    <xf numFmtId="0" fontId="25" fillId="10" borderId="6998" applyNumberFormat="0" applyProtection="0">
      <alignment horizontal="left" vertical="top"/>
    </xf>
    <xf numFmtId="0" fontId="25" fillId="10" borderId="6999" applyNumberFormat="0" applyProtection="0">
      <alignment horizontal="left" vertical="top"/>
    </xf>
    <xf numFmtId="0" fontId="25" fillId="10" borderId="6996" applyNumberFormat="0" applyProtection="0">
      <alignment horizontal="left" vertical="top"/>
    </xf>
    <xf numFmtId="0" fontId="25" fillId="10" borderId="6997" applyNumberFormat="0" applyProtection="0">
      <alignment horizontal="left" vertical="top"/>
    </xf>
    <xf numFmtId="0" fontId="25" fillId="10" borderId="6998" applyNumberFormat="0" applyProtection="0">
      <alignment horizontal="left" vertical="top"/>
    </xf>
    <xf numFmtId="0" fontId="25" fillId="10" borderId="6999" applyNumberFormat="0" applyProtection="0">
      <alignment horizontal="left" vertical="top"/>
    </xf>
    <xf numFmtId="254" fontId="240" fillId="0" borderId="6989" applyBorder="0" applyProtection="0">
      <alignment horizontal="right" vertical="center"/>
    </xf>
    <xf numFmtId="0" fontId="241" fillId="94" borderId="6989" applyBorder="0" applyProtection="0">
      <alignment horizontal="centerContinuous" vertical="center"/>
    </xf>
    <xf numFmtId="246" fontId="249" fillId="0" borderId="6989" applyFill="0" applyProtection="0">
      <alignment horizontal="center"/>
    </xf>
    <xf numFmtId="246" fontId="250" fillId="0" borderId="6989" applyFill="0" applyProtection="0">
      <alignment horizontal="center"/>
    </xf>
    <xf numFmtId="190" fontId="101" fillId="0" borderId="6989" applyBorder="0"/>
    <xf numFmtId="190" fontId="113" fillId="0" borderId="6989" applyNumberFormat="0" applyFill="0" applyAlignment="0" applyProtection="0"/>
    <xf numFmtId="190" fontId="75" fillId="0" borderId="6966" applyNumberFormat="0" applyFont="0" applyFill="0" applyAlignment="0" applyProtection="0"/>
    <xf numFmtId="190" fontId="12" fillId="0" borderId="6989" applyNumberFormat="0" applyFill="0" applyBorder="0" applyAlignment="0" applyProtection="0">
      <alignment horizontal="center"/>
    </xf>
    <xf numFmtId="190" fontId="78" fillId="14" borderId="6979" applyFont="0" applyFill="0" applyBorder="0" applyAlignment="0" applyProtection="0"/>
    <xf numFmtId="190" fontId="165" fillId="0" borderId="6989" applyFill="0" applyProtection="0">
      <alignment horizontal="center"/>
    </xf>
    <xf numFmtId="190" fontId="166" fillId="0" borderId="6989">
      <alignment horizontal="center"/>
    </xf>
    <xf numFmtId="190" fontId="210" fillId="0" borderId="6989" applyNumberFormat="0" applyFill="0" applyBorder="0" applyAlignment="0">
      <protection locked="0"/>
    </xf>
    <xf numFmtId="190" fontId="2" fillId="0" borderId="6970" applyNumberFormat="0" applyAlignment="0" applyProtection="0"/>
    <xf numFmtId="190" fontId="214" fillId="0" borderId="6971" applyNumberFormat="0" applyFont="0" applyFill="0" applyAlignment="0" applyProtection="0"/>
    <xf numFmtId="190" fontId="25" fillId="10" borderId="6972" applyNumberFormat="0" applyProtection="0">
      <alignment horizontal="left" vertical="top"/>
    </xf>
    <xf numFmtId="190" fontId="25" fillId="10" borderId="6973" applyNumberFormat="0" applyProtection="0">
      <alignment horizontal="left" vertical="top"/>
    </xf>
    <xf numFmtId="190" fontId="25" fillId="10" borderId="6974" applyNumberFormat="0" applyProtection="0">
      <alignment horizontal="left" vertical="top"/>
    </xf>
    <xf numFmtId="190" fontId="25" fillId="10" borderId="6975" applyNumberFormat="0" applyProtection="0">
      <alignment horizontal="left" vertical="top"/>
    </xf>
    <xf numFmtId="190" fontId="241" fillId="94" borderId="6989" applyBorder="0" applyProtection="0">
      <alignment horizontal="centerContinuous" vertical="center"/>
    </xf>
    <xf numFmtId="222" fontId="79" fillId="0" borderId="6988" applyBorder="0"/>
    <xf numFmtId="0" fontId="101" fillId="0" borderId="6989" applyBorder="0"/>
    <xf numFmtId="222" fontId="79" fillId="0" borderId="6988" applyBorder="0"/>
    <xf numFmtId="0" fontId="113" fillId="0" borderId="6989" applyNumberFormat="0" applyFill="0" applyAlignment="0" applyProtection="0"/>
    <xf numFmtId="0" fontId="75" fillId="0" borderId="6966" applyNumberFormat="0" applyFont="0" applyFill="0" applyAlignment="0" applyProtection="0"/>
    <xf numFmtId="0" fontId="12" fillId="0" borderId="6989" applyNumberFormat="0" applyFill="0" applyBorder="0" applyAlignment="0" applyProtection="0">
      <alignment horizontal="center"/>
    </xf>
    <xf numFmtId="248" fontId="46" fillId="0" borderId="6989"/>
    <xf numFmtId="192" fontId="9" fillId="3" borderId="6989">
      <alignment horizontal="right" vertical="center"/>
    </xf>
    <xf numFmtId="180" fontId="9" fillId="3" borderId="6989">
      <alignment horizontal="right" vertical="center"/>
    </xf>
    <xf numFmtId="186" fontId="146" fillId="3" borderId="6989" applyBorder="0">
      <alignment horizontal="left" vertical="center"/>
    </xf>
    <xf numFmtId="186" fontId="146" fillId="3" borderId="6968">
      <alignment horizontal="left"/>
    </xf>
    <xf numFmtId="186" fontId="140" fillId="3" borderId="6969">
      <alignment horizontal="center" vertical="center"/>
    </xf>
    <xf numFmtId="0" fontId="165" fillId="0" borderId="6989" applyFill="0" applyProtection="0">
      <alignment horizontal="center"/>
    </xf>
    <xf numFmtId="0" fontId="166" fillId="0" borderId="6989">
      <alignment horizontal="center"/>
    </xf>
    <xf numFmtId="264" fontId="12" fillId="14" borderId="6989" applyFont="0" applyFill="0" applyBorder="0" applyAlignment="0" applyProtection="0">
      <alignment horizontal="right"/>
    </xf>
    <xf numFmtId="0" fontId="210" fillId="0" borderId="6989" applyNumberFormat="0" applyFill="0" applyBorder="0" applyAlignment="0">
      <protection locked="0"/>
    </xf>
    <xf numFmtId="0" fontId="2" fillId="0" borderId="6970" applyNumberFormat="0" applyAlignment="0" applyProtection="0"/>
    <xf numFmtId="0" fontId="214" fillId="0" borderId="6971" applyNumberFormat="0" applyFont="0" applyFill="0" applyAlignment="0" applyProtection="0"/>
    <xf numFmtId="0" fontId="25" fillId="10" borderId="6972" applyNumberFormat="0" applyProtection="0">
      <alignment horizontal="left" vertical="top"/>
    </xf>
    <xf numFmtId="0" fontId="25" fillId="10" borderId="6973" applyNumberFormat="0" applyProtection="0">
      <alignment horizontal="left" vertical="top"/>
    </xf>
    <xf numFmtId="0" fontId="25" fillId="10" borderId="6974" applyNumberFormat="0" applyProtection="0">
      <alignment horizontal="left" vertical="top"/>
    </xf>
    <xf numFmtId="0" fontId="25" fillId="10" borderId="6975" applyNumberFormat="0" applyProtection="0">
      <alignment horizontal="left" vertical="top"/>
    </xf>
    <xf numFmtId="0" fontId="25" fillId="10" borderId="6972" applyNumberFormat="0" applyProtection="0">
      <alignment horizontal="left" vertical="top"/>
    </xf>
    <xf numFmtId="0" fontId="25" fillId="10" borderId="6973" applyNumberFormat="0" applyProtection="0">
      <alignment horizontal="left" vertical="top"/>
    </xf>
    <xf numFmtId="0" fontId="25" fillId="10" borderId="6974" applyNumberFormat="0" applyProtection="0">
      <alignment horizontal="left" vertical="top"/>
    </xf>
    <xf numFmtId="0" fontId="25" fillId="10" borderId="6975" applyNumberFormat="0" applyProtection="0">
      <alignment horizontal="left" vertical="top"/>
    </xf>
    <xf numFmtId="254" fontId="240" fillId="0" borderId="6989" applyBorder="0" applyProtection="0">
      <alignment horizontal="right" vertical="center"/>
    </xf>
    <xf numFmtId="0" fontId="241" fillId="94" borderId="6989" applyBorder="0" applyProtection="0">
      <alignment horizontal="centerContinuous" vertical="center"/>
    </xf>
    <xf numFmtId="246" fontId="249" fillId="0" borderId="6989" applyFill="0" applyProtection="0">
      <alignment horizontal="center"/>
    </xf>
    <xf numFmtId="246" fontId="250" fillId="0" borderId="6989" applyFill="0" applyProtection="0">
      <alignment horizontal="center"/>
    </xf>
    <xf numFmtId="312" fontId="101" fillId="0" borderId="6989" applyBorder="0"/>
    <xf numFmtId="312" fontId="113" fillId="0" borderId="6989" applyNumberFormat="0" applyFill="0" applyAlignment="0" applyProtection="0"/>
    <xf numFmtId="312" fontId="75" fillId="0" borderId="6966" applyNumberFormat="0" applyFont="0" applyFill="0" applyAlignment="0" applyProtection="0"/>
    <xf numFmtId="312" fontId="12" fillId="0" borderId="6989" applyNumberFormat="0" applyFill="0" applyBorder="0" applyAlignment="0" applyProtection="0">
      <alignment horizontal="center"/>
    </xf>
    <xf numFmtId="312" fontId="165" fillId="0" borderId="6989" applyFill="0" applyProtection="0">
      <alignment horizontal="center"/>
    </xf>
    <xf numFmtId="312" fontId="242" fillId="0" borderId="6989">
      <alignment horizontal="center"/>
    </xf>
    <xf numFmtId="312" fontId="210" fillId="0" borderId="6989" applyNumberFormat="0" applyFill="0" applyBorder="0" applyAlignment="0">
      <protection locked="0"/>
    </xf>
    <xf numFmtId="312" fontId="2" fillId="0" borderId="6970" applyNumberFormat="0" applyAlignment="0" applyProtection="0"/>
    <xf numFmtId="312" fontId="214" fillId="0" borderId="6971" applyNumberFormat="0" applyFont="0" applyFill="0" applyAlignment="0" applyProtection="0"/>
    <xf numFmtId="312" fontId="25" fillId="10" borderId="6972" applyNumberFormat="0" applyProtection="0">
      <alignment horizontal="left" vertical="top"/>
    </xf>
    <xf numFmtId="312" fontId="25" fillId="10" borderId="6973" applyNumberFormat="0" applyProtection="0">
      <alignment horizontal="left" vertical="top"/>
    </xf>
    <xf numFmtId="312" fontId="25" fillId="10" borderId="6974" applyNumberFormat="0" applyProtection="0">
      <alignment horizontal="left" vertical="top"/>
    </xf>
    <xf numFmtId="312" fontId="25" fillId="10" borderId="6975" applyNumberFormat="0" applyProtection="0">
      <alignment horizontal="left" vertical="top"/>
    </xf>
    <xf numFmtId="312" fontId="241" fillId="94" borderId="6989" applyBorder="0" applyProtection="0">
      <alignment horizontal="centerContinuous" vertical="center"/>
    </xf>
    <xf numFmtId="246" fontId="296" fillId="0" borderId="6989" applyFill="0" applyProtection="0">
      <alignment horizontal="center"/>
    </xf>
    <xf numFmtId="312" fontId="101" fillId="0" borderId="6989" applyBorder="0"/>
    <xf numFmtId="312" fontId="113" fillId="0" borderId="6989" applyNumberFormat="0" applyFill="0" applyAlignment="0" applyProtection="0"/>
    <xf numFmtId="312" fontId="75" fillId="0" borderId="6966" applyNumberFormat="0" applyFont="0" applyFill="0" applyAlignment="0" applyProtection="0"/>
    <xf numFmtId="312" fontId="12" fillId="0" borderId="6989" applyNumberFormat="0" applyFill="0" applyBorder="0" applyAlignment="0" applyProtection="0">
      <alignment horizontal="center"/>
    </xf>
    <xf numFmtId="312" fontId="165" fillId="0" borderId="6989" applyFill="0" applyProtection="0">
      <alignment horizontal="center"/>
    </xf>
    <xf numFmtId="312" fontId="242" fillId="0" borderId="6989">
      <alignment horizontal="center"/>
    </xf>
    <xf numFmtId="312" fontId="210" fillId="0" borderId="6989" applyNumberFormat="0" applyFill="0" applyBorder="0" applyAlignment="0">
      <protection locked="0"/>
    </xf>
    <xf numFmtId="312" fontId="2" fillId="0" borderId="6970" applyNumberFormat="0" applyAlignment="0" applyProtection="0"/>
    <xf numFmtId="312" fontId="214" fillId="0" borderId="6971" applyNumberFormat="0" applyFont="0" applyFill="0" applyAlignment="0" applyProtection="0"/>
    <xf numFmtId="312" fontId="25" fillId="10" borderId="6972" applyNumberFormat="0" applyProtection="0">
      <alignment horizontal="left" vertical="top"/>
    </xf>
    <xf numFmtId="312" fontId="25" fillId="10" borderId="6973" applyNumberFormat="0" applyProtection="0">
      <alignment horizontal="left" vertical="top"/>
    </xf>
    <xf numFmtId="312" fontId="25" fillId="10" borderId="6974" applyNumberFormat="0" applyProtection="0">
      <alignment horizontal="left" vertical="top"/>
    </xf>
    <xf numFmtId="312" fontId="25" fillId="10" borderId="6975" applyNumberFormat="0" applyProtection="0">
      <alignment horizontal="left" vertical="top"/>
    </xf>
    <xf numFmtId="312" fontId="25" fillId="10" borderId="6972" applyNumberFormat="0" applyProtection="0">
      <alignment horizontal="left" vertical="top"/>
    </xf>
    <xf numFmtId="312" fontId="25" fillId="10" borderId="6973" applyNumberFormat="0" applyProtection="0">
      <alignment horizontal="left" vertical="top"/>
    </xf>
    <xf numFmtId="312" fontId="25" fillId="10" borderId="6974" applyNumberFormat="0" applyProtection="0">
      <alignment horizontal="left" vertical="top"/>
    </xf>
    <xf numFmtId="312" fontId="25" fillId="10" borderId="6975" applyNumberFormat="0" applyProtection="0">
      <alignment horizontal="left" vertical="top"/>
    </xf>
    <xf numFmtId="312" fontId="241" fillId="94" borderId="6989" applyBorder="0" applyProtection="0">
      <alignment horizontal="centerContinuous" vertical="center"/>
    </xf>
    <xf numFmtId="246" fontId="296" fillId="0" borderId="6989" applyFill="0" applyProtection="0">
      <alignment horizontal="center"/>
    </xf>
    <xf numFmtId="246" fontId="250" fillId="0" borderId="6989" applyFill="0" applyProtection="0">
      <alignment horizontal="center"/>
    </xf>
    <xf numFmtId="246" fontId="249" fillId="0" borderId="6989" applyFill="0" applyProtection="0">
      <alignment horizontal="center"/>
    </xf>
    <xf numFmtId="0" fontId="241" fillId="94" borderId="6989" applyBorder="0" applyProtection="0">
      <alignment horizontal="centerContinuous" vertical="center"/>
    </xf>
    <xf numFmtId="254" fontId="240" fillId="0" borderId="6989" applyBorder="0" applyProtection="0">
      <alignment horizontal="right" vertical="center"/>
    </xf>
    <xf numFmtId="0" fontId="25" fillId="10" borderId="6987" applyNumberFormat="0" applyProtection="0">
      <alignment horizontal="left" vertical="top"/>
    </xf>
    <xf numFmtId="0" fontId="25" fillId="10" borderId="6986" applyNumberFormat="0" applyProtection="0">
      <alignment horizontal="left" vertical="top"/>
    </xf>
    <xf numFmtId="0" fontId="25" fillId="10" borderId="6985" applyNumberFormat="0" applyProtection="0">
      <alignment horizontal="left" vertical="top"/>
    </xf>
    <xf numFmtId="0" fontId="25" fillId="10" borderId="6984" applyNumberFormat="0" applyProtection="0">
      <alignment horizontal="left" vertical="top"/>
    </xf>
    <xf numFmtId="0" fontId="214" fillId="0" borderId="6983" applyNumberFormat="0" applyFont="0" applyFill="0" applyAlignment="0" applyProtection="0"/>
    <xf numFmtId="0" fontId="2" fillId="0" borderId="6982" applyNumberFormat="0" applyAlignment="0" applyProtection="0"/>
    <xf numFmtId="0" fontId="210" fillId="0" borderId="6989" applyNumberFormat="0" applyFill="0" applyBorder="0" applyAlignment="0">
      <protection locked="0"/>
    </xf>
    <xf numFmtId="264" fontId="12" fillId="14" borderId="6989" applyFont="0" applyFill="0" applyBorder="0" applyAlignment="0" applyProtection="0">
      <alignment horizontal="right"/>
    </xf>
    <xf numFmtId="0" fontId="166" fillId="0" borderId="6989">
      <alignment horizontal="center"/>
    </xf>
    <xf numFmtId="0" fontId="165" fillId="0" borderId="6989" applyFill="0" applyProtection="0">
      <alignment horizontal="center"/>
    </xf>
    <xf numFmtId="186" fontId="140" fillId="3" borderId="6981">
      <alignment horizontal="center" vertical="center"/>
    </xf>
    <xf numFmtId="186" fontId="146" fillId="3" borderId="6980">
      <alignment horizontal="left"/>
    </xf>
    <xf numFmtId="186" fontId="146" fillId="3" borderId="6989" applyBorder="0">
      <alignment horizontal="left" vertical="center"/>
    </xf>
    <xf numFmtId="180" fontId="9" fillId="3" borderId="6989">
      <alignment horizontal="right" vertical="center"/>
    </xf>
    <xf numFmtId="192" fontId="9" fillId="3" borderId="6989">
      <alignment horizontal="right" vertical="center"/>
    </xf>
    <xf numFmtId="248" fontId="46" fillId="0" borderId="6989"/>
    <xf numFmtId="0" fontId="78" fillId="14" borderId="6979" applyFont="0" applyFill="0" applyBorder="0" applyAlignment="0" applyProtection="0"/>
    <xf numFmtId="0" fontId="12" fillId="0" borderId="6989" applyNumberFormat="0" applyFill="0" applyBorder="0" applyAlignment="0" applyProtection="0">
      <alignment horizontal="center"/>
    </xf>
    <xf numFmtId="0" fontId="75" fillId="0" borderId="6978" applyNumberFormat="0" applyFont="0" applyFill="0" applyAlignment="0" applyProtection="0"/>
    <xf numFmtId="0" fontId="113" fillId="0" borderId="6989" applyNumberFormat="0" applyFill="0" applyAlignment="0" applyProtection="0"/>
    <xf numFmtId="222" fontId="79" fillId="0" borderId="6988" applyBorder="0"/>
    <xf numFmtId="0" fontId="101" fillId="0" borderId="6989" applyBorder="0"/>
    <xf numFmtId="0" fontId="25" fillId="10" borderId="6996" applyNumberFormat="0" applyProtection="0">
      <alignment horizontal="left" vertical="top"/>
    </xf>
    <xf numFmtId="0" fontId="25" fillId="10" borderId="6997" applyNumberFormat="0" applyProtection="0">
      <alignment horizontal="left" vertical="top"/>
    </xf>
    <xf numFmtId="0" fontId="25" fillId="10" borderId="6998" applyNumberFormat="0" applyProtection="0">
      <alignment horizontal="left" vertical="top"/>
    </xf>
    <xf numFmtId="0" fontId="25" fillId="10" borderId="6999" applyNumberFormat="0" applyProtection="0">
      <alignment horizontal="left" vertical="top"/>
    </xf>
    <xf numFmtId="246" fontId="250" fillId="0" borderId="6977" applyFill="0" applyProtection="0">
      <alignment horizontal="center"/>
    </xf>
    <xf numFmtId="246" fontId="249" fillId="0" borderId="6977" applyFill="0" applyProtection="0">
      <alignment horizontal="center"/>
    </xf>
    <xf numFmtId="0" fontId="241" fillId="94" borderId="6977" applyBorder="0" applyProtection="0">
      <alignment horizontal="centerContinuous" vertical="center"/>
    </xf>
    <xf numFmtId="254" fontId="240" fillId="0" borderId="6977" applyBorder="0" applyProtection="0">
      <alignment horizontal="right" vertical="center"/>
    </xf>
    <xf numFmtId="0" fontId="210" fillId="0" borderId="6977" applyNumberFormat="0" applyFill="0" applyBorder="0" applyAlignment="0">
      <protection locked="0"/>
    </xf>
    <xf numFmtId="264" fontId="12" fillId="14" borderId="6977" applyFont="0" applyFill="0" applyBorder="0" applyAlignment="0" applyProtection="0">
      <alignment horizontal="right"/>
    </xf>
    <xf numFmtId="0" fontId="166" fillId="0" borderId="6977">
      <alignment horizontal="center"/>
    </xf>
    <xf numFmtId="0" fontId="165" fillId="0" borderId="6977" applyFill="0" applyProtection="0">
      <alignment horizontal="center"/>
    </xf>
    <xf numFmtId="186" fontId="146" fillId="3" borderId="6977" applyBorder="0">
      <alignment horizontal="left" vertical="center"/>
    </xf>
    <xf numFmtId="180" fontId="9" fillId="3" borderId="6977">
      <alignment horizontal="right" vertical="center"/>
    </xf>
    <xf numFmtId="192" fontId="9" fillId="3" borderId="6977">
      <alignment horizontal="right" vertical="center"/>
    </xf>
    <xf numFmtId="248" fontId="46" fillId="0" borderId="6977"/>
    <xf numFmtId="0" fontId="12" fillId="0" borderId="6977" applyNumberFormat="0" applyFill="0" applyBorder="0" applyAlignment="0" applyProtection="0">
      <alignment horizontal="center"/>
    </xf>
    <xf numFmtId="0" fontId="113" fillId="0" borderId="6977" applyNumberFormat="0" applyFill="0" applyAlignment="0" applyProtection="0"/>
    <xf numFmtId="222" fontId="79" fillId="0" borderId="6976" applyBorder="0"/>
    <xf numFmtId="0" fontId="101" fillId="0" borderId="6977" applyBorder="0"/>
    <xf numFmtId="246" fontId="250" fillId="0" borderId="6977" applyFill="0" applyProtection="0">
      <alignment horizontal="center"/>
    </xf>
    <xf numFmtId="246" fontId="249" fillId="0" borderId="6977" applyFill="0" applyProtection="0">
      <alignment horizontal="center"/>
    </xf>
    <xf numFmtId="0" fontId="241" fillId="94" borderId="6977" applyBorder="0" applyProtection="0">
      <alignment horizontal="centerContinuous" vertical="center"/>
    </xf>
    <xf numFmtId="254" fontId="240" fillId="0" borderId="6977" applyBorder="0" applyProtection="0">
      <alignment horizontal="right" vertical="center"/>
    </xf>
    <xf numFmtId="0" fontId="210" fillId="0" borderId="6977" applyNumberFormat="0" applyFill="0" applyBorder="0" applyAlignment="0">
      <protection locked="0"/>
    </xf>
    <xf numFmtId="264" fontId="12" fillId="14" borderId="6977" applyFont="0" applyFill="0" applyBorder="0" applyAlignment="0" applyProtection="0">
      <alignment horizontal="right"/>
    </xf>
    <xf numFmtId="0" fontId="166" fillId="0" borderId="6977">
      <alignment horizontal="center"/>
    </xf>
    <xf numFmtId="0" fontId="165" fillId="0" borderId="6977" applyFill="0" applyProtection="0">
      <alignment horizontal="center"/>
    </xf>
    <xf numFmtId="186" fontId="146" fillId="3" borderId="6977" applyBorder="0">
      <alignment horizontal="left" vertical="center"/>
    </xf>
    <xf numFmtId="180" fontId="9" fillId="3" borderId="6977">
      <alignment horizontal="right" vertical="center"/>
    </xf>
    <xf numFmtId="192" fontId="9" fillId="3" borderId="6977">
      <alignment horizontal="right" vertical="center"/>
    </xf>
    <xf numFmtId="0" fontId="12" fillId="0" borderId="6977" applyNumberFormat="0" applyFill="0" applyBorder="0" applyAlignment="0" applyProtection="0">
      <alignment horizontal="center"/>
    </xf>
    <xf numFmtId="0" fontId="113" fillId="0" borderId="6977" applyNumberFormat="0" applyFill="0" applyAlignment="0" applyProtection="0"/>
    <xf numFmtId="222" fontId="79" fillId="0" borderId="6976" applyBorder="0"/>
    <xf numFmtId="0" fontId="101" fillId="0" borderId="6977" applyBorder="0"/>
    <xf numFmtId="248" fontId="46" fillId="0" borderId="6977"/>
    <xf numFmtId="246" fontId="250" fillId="0" borderId="6977" applyFill="0" applyProtection="0">
      <alignment horizontal="center"/>
    </xf>
    <xf numFmtId="246" fontId="249" fillId="0" borderId="6977" applyFill="0" applyProtection="0">
      <alignment horizontal="center"/>
    </xf>
    <xf numFmtId="0" fontId="241" fillId="94" borderId="6977" applyBorder="0" applyProtection="0">
      <alignment horizontal="centerContinuous" vertical="center"/>
    </xf>
    <xf numFmtId="254" fontId="240" fillId="0" borderId="6977" applyBorder="0" applyProtection="0">
      <alignment horizontal="right" vertical="center"/>
    </xf>
    <xf numFmtId="0" fontId="210" fillId="0" borderId="6977" applyNumberFormat="0" applyFill="0" applyBorder="0" applyAlignment="0">
      <protection locked="0"/>
    </xf>
    <xf numFmtId="264" fontId="12" fillId="14" borderId="6977" applyFont="0" applyFill="0" applyBorder="0" applyAlignment="0" applyProtection="0">
      <alignment horizontal="right"/>
    </xf>
    <xf numFmtId="0" fontId="166" fillId="0" borderId="6977">
      <alignment horizontal="center"/>
    </xf>
    <xf numFmtId="0" fontId="165" fillId="0" borderId="6977" applyFill="0" applyProtection="0">
      <alignment horizontal="center"/>
    </xf>
    <xf numFmtId="186" fontId="146" fillId="3" borderId="6977" applyBorder="0">
      <alignment horizontal="left" vertical="center"/>
    </xf>
    <xf numFmtId="180" fontId="9" fillId="3" borderId="6977">
      <alignment horizontal="right" vertical="center"/>
    </xf>
    <xf numFmtId="192" fontId="9" fillId="3" borderId="6977">
      <alignment horizontal="right" vertical="center"/>
    </xf>
    <xf numFmtId="248" fontId="46" fillId="0" borderId="6977"/>
    <xf numFmtId="0" fontId="12" fillId="0" borderId="6977" applyNumberFormat="0" applyFill="0" applyBorder="0" applyAlignment="0" applyProtection="0">
      <alignment horizontal="center"/>
    </xf>
    <xf numFmtId="0" fontId="113" fillId="0" borderId="6977" applyNumberFormat="0" applyFill="0" applyAlignment="0" applyProtection="0"/>
    <xf numFmtId="222" fontId="79" fillId="0" borderId="6976" applyBorder="0"/>
    <xf numFmtId="0" fontId="101" fillId="0" borderId="6977" applyBorder="0"/>
    <xf numFmtId="222" fontId="79" fillId="0" borderId="7057" applyBorder="0"/>
    <xf numFmtId="0" fontId="113" fillId="0" borderId="7179" applyNumberFormat="0" applyFill="0" applyAlignment="0" applyProtection="0"/>
    <xf numFmtId="0" fontId="210" fillId="0" borderId="7167" applyNumberFormat="0" applyFill="0" applyBorder="0" applyAlignment="0">
      <protection locked="0"/>
    </xf>
    <xf numFmtId="0" fontId="241" fillId="94" borderId="7179" applyBorder="0" applyProtection="0">
      <alignment horizontal="centerContinuous" vertical="center"/>
    </xf>
    <xf numFmtId="190" fontId="2" fillId="0" borderId="7220" applyNumberFormat="0" applyAlignment="0" applyProtection="0"/>
    <xf numFmtId="190" fontId="210" fillId="0" borderId="7239" applyNumberFormat="0" applyFill="0" applyBorder="0" applyAlignment="0">
      <protection locked="0"/>
    </xf>
    <xf numFmtId="190" fontId="166" fillId="0" borderId="7239">
      <alignment horizontal="center"/>
    </xf>
    <xf numFmtId="190" fontId="165" fillId="0" borderId="7239" applyFill="0" applyProtection="0">
      <alignment horizontal="center"/>
    </xf>
    <xf numFmtId="190" fontId="12" fillId="0" borderId="7239" applyNumberFormat="0" applyFill="0" applyBorder="0" applyAlignment="0" applyProtection="0">
      <alignment horizontal="center"/>
    </xf>
    <xf numFmtId="190" fontId="75" fillId="0" borderId="7216" applyNumberFormat="0" applyFont="0" applyFill="0" applyAlignment="0" applyProtection="0"/>
    <xf numFmtId="246" fontId="249" fillId="0" borderId="7239" applyFill="0" applyProtection="0">
      <alignment horizontal="center"/>
    </xf>
    <xf numFmtId="0" fontId="25" fillId="10" borderId="7249" applyNumberFormat="0" applyProtection="0">
      <alignment horizontal="left" vertical="top"/>
    </xf>
    <xf numFmtId="0" fontId="101" fillId="0" borderId="7239" applyBorder="0"/>
    <xf numFmtId="222" fontId="79" fillId="0" borderId="7238" applyBorder="0"/>
    <xf numFmtId="0" fontId="12" fillId="0" borderId="7239" applyNumberFormat="0" applyFill="0" applyBorder="0" applyAlignment="0" applyProtection="0">
      <alignment horizontal="center"/>
    </xf>
    <xf numFmtId="0" fontId="12" fillId="0" borderId="7001" applyNumberFormat="0" applyFill="0" applyBorder="0" applyAlignment="0" applyProtection="0"/>
    <xf numFmtId="0" fontId="46" fillId="0" borderId="7001" applyNumberFormat="0" applyFill="0" applyBorder="0" applyAlignment="0" applyProtection="0"/>
    <xf numFmtId="0" fontId="105" fillId="0" borderId="7001" applyNumberFormat="0" applyFill="0" applyBorder="0" applyAlignment="0" applyProtection="0"/>
    <xf numFmtId="0" fontId="48" fillId="0" borderId="7001" applyNumberFormat="0" applyFill="0" applyAlignment="0" applyProtection="0"/>
    <xf numFmtId="0" fontId="241" fillId="94" borderId="7239" applyBorder="0" applyProtection="0">
      <alignment horizontal="centerContinuous" vertical="center"/>
    </xf>
    <xf numFmtId="5" fontId="114" fillId="0" borderId="7000" applyAlignment="0" applyProtection="0"/>
    <xf numFmtId="0" fontId="25" fillId="10" borderId="7249" applyNumberFormat="0" applyProtection="0">
      <alignment horizontal="left" vertical="top"/>
    </xf>
    <xf numFmtId="0" fontId="25" fillId="10" borderId="7248" applyNumberFormat="0" applyProtection="0">
      <alignment horizontal="left" vertical="top"/>
    </xf>
    <xf numFmtId="0" fontId="25" fillId="10" borderId="7247" applyNumberFormat="0" applyProtection="0">
      <alignment horizontal="left" vertical="top"/>
    </xf>
    <xf numFmtId="0" fontId="25" fillId="10" borderId="7246" applyNumberFormat="0" applyProtection="0">
      <alignment horizontal="left" vertical="top"/>
    </xf>
    <xf numFmtId="186" fontId="140" fillId="3" borderId="7243">
      <alignment horizontal="center" vertical="center"/>
    </xf>
    <xf numFmtId="246" fontId="249" fillId="0" borderId="7227" applyFill="0" applyProtection="0">
      <alignment horizontal="center"/>
    </xf>
    <xf numFmtId="0" fontId="210" fillId="0" borderId="7227" applyNumberFormat="0" applyFill="0" applyBorder="0" applyAlignment="0">
      <protection locked="0"/>
    </xf>
    <xf numFmtId="264" fontId="12" fillId="14" borderId="7227" applyFont="0" applyFill="0" applyBorder="0" applyAlignment="0" applyProtection="0">
      <alignment horizontal="right"/>
    </xf>
    <xf numFmtId="192" fontId="9" fillId="3" borderId="7227">
      <alignment horizontal="right" vertical="center"/>
    </xf>
    <xf numFmtId="0" fontId="113" fillId="0" borderId="7227" applyNumberFormat="0" applyFill="0" applyAlignment="0" applyProtection="0"/>
    <xf numFmtId="222" fontId="79" fillId="0" borderId="7226" applyBorder="0"/>
    <xf numFmtId="0" fontId="75" fillId="0" borderId="7216" applyNumberFormat="0" applyFont="0" applyFill="0" applyAlignment="0" applyProtection="0"/>
    <xf numFmtId="186" fontId="146" fillId="3" borderId="7218">
      <alignment horizontal="left"/>
    </xf>
    <xf numFmtId="0" fontId="25" fillId="10" borderId="7223" applyNumberFormat="0" applyProtection="0">
      <alignment horizontal="left" vertical="top"/>
    </xf>
    <xf numFmtId="0" fontId="25" fillId="10" borderId="7224" applyNumberFormat="0" applyProtection="0">
      <alignment horizontal="left" vertical="top"/>
    </xf>
    <xf numFmtId="0" fontId="25" fillId="10" borderId="7225" applyNumberFormat="0" applyProtection="0">
      <alignment horizontal="left" vertical="top"/>
    </xf>
    <xf numFmtId="246" fontId="250" fillId="0" borderId="7203" applyFill="0" applyProtection="0">
      <alignment horizontal="center"/>
    </xf>
    <xf numFmtId="246" fontId="249" fillId="0" borderId="7203" applyFill="0" applyProtection="0">
      <alignment horizontal="center"/>
    </xf>
    <xf numFmtId="0" fontId="241" fillId="94" borderId="7203" applyBorder="0" applyProtection="0">
      <alignment horizontal="centerContinuous" vertical="center"/>
    </xf>
    <xf numFmtId="0" fontId="210" fillId="0" borderId="7203" applyNumberFormat="0" applyFill="0" applyBorder="0" applyAlignment="0">
      <protection locked="0"/>
    </xf>
    <xf numFmtId="0" fontId="165" fillId="0" borderId="7203" applyFill="0" applyProtection="0">
      <alignment horizontal="center"/>
    </xf>
    <xf numFmtId="192" fontId="9" fillId="3" borderId="7203">
      <alignment horizontal="right" vertical="center"/>
    </xf>
    <xf numFmtId="0" fontId="113" fillId="0" borderId="7203" applyNumberFormat="0" applyFill="0" applyAlignment="0" applyProtection="0"/>
    <xf numFmtId="222" fontId="79" fillId="0" borderId="7202" applyBorder="0"/>
    <xf numFmtId="186" fontId="140" fillId="3" borderId="7195">
      <alignment horizontal="center" vertical="center"/>
    </xf>
    <xf numFmtId="0" fontId="25" fillId="10" borderId="7198" applyNumberFormat="0" applyProtection="0">
      <alignment horizontal="left" vertical="top"/>
    </xf>
    <xf numFmtId="0" fontId="25" fillId="10" borderId="7201" applyNumberFormat="0" applyProtection="0">
      <alignment horizontal="left" vertical="top"/>
    </xf>
    <xf numFmtId="0" fontId="78" fillId="14" borderId="7169" applyFont="0" applyFill="0" applyBorder="0" applyAlignment="0" applyProtection="0"/>
    <xf numFmtId="186" fontId="140" fillId="3" borderId="7183">
      <alignment horizontal="center" vertical="center"/>
    </xf>
    <xf numFmtId="0" fontId="241" fillId="94" borderId="7179" applyBorder="0" applyProtection="0">
      <alignment horizontal="centerContinuous" vertical="center"/>
    </xf>
    <xf numFmtId="254" fontId="240" fillId="0" borderId="7179" applyBorder="0" applyProtection="0">
      <alignment horizontal="right" vertical="center"/>
    </xf>
    <xf numFmtId="0" fontId="210" fillId="0" borderId="7179" applyNumberFormat="0" applyFill="0" applyBorder="0" applyAlignment="0">
      <protection locked="0"/>
    </xf>
    <xf numFmtId="264" fontId="12" fillId="14" borderId="7179" applyFont="0" applyFill="0" applyBorder="0" applyAlignment="0" applyProtection="0">
      <alignment horizontal="right"/>
    </xf>
    <xf numFmtId="186" fontId="140" fillId="3" borderId="7171">
      <alignment horizontal="center" vertical="center"/>
    </xf>
    <xf numFmtId="186" fontId="146" fillId="3" borderId="7170">
      <alignment horizontal="left"/>
    </xf>
    <xf numFmtId="222" fontId="79" fillId="0" borderId="7178" applyBorder="0"/>
    <xf numFmtId="180" fontId="9" fillId="3" borderId="7167">
      <alignment horizontal="right" vertical="center"/>
    </xf>
    <xf numFmtId="192" fontId="9" fillId="3" borderId="7167">
      <alignment horizontal="right" vertical="center"/>
    </xf>
    <xf numFmtId="248" fontId="46" fillId="0" borderId="7167"/>
    <xf numFmtId="0" fontId="12" fillId="0" borderId="7167" applyNumberFormat="0" applyFill="0" applyBorder="0" applyAlignment="0" applyProtection="0">
      <alignment horizontal="center"/>
    </xf>
    <xf numFmtId="0" fontId="101" fillId="0" borderId="7167" applyBorder="0"/>
    <xf numFmtId="222" fontId="79" fillId="0" borderId="7057" applyBorder="0"/>
    <xf numFmtId="0" fontId="78" fillId="14" borderId="7048" applyFont="0" applyFill="0" applyBorder="0" applyAlignment="0" applyProtection="0"/>
    <xf numFmtId="222" fontId="79" fillId="0" borderId="7057" applyBorder="0"/>
    <xf numFmtId="0" fontId="25" fillId="10" borderId="7176" applyNumberFormat="0" applyProtection="0">
      <alignment horizontal="left" vertical="top"/>
    </xf>
    <xf numFmtId="0" fontId="214" fillId="0" borderId="7173" applyNumberFormat="0" applyFont="0" applyFill="0" applyAlignment="0" applyProtection="0"/>
    <xf numFmtId="186" fontId="146" fillId="3" borderId="7170">
      <alignment horizontal="left"/>
    </xf>
    <xf numFmtId="0" fontId="75" fillId="0" borderId="7168" applyNumberFormat="0" applyFont="0" applyFill="0" applyAlignment="0" applyProtection="0"/>
    <xf numFmtId="222" fontId="79" fillId="0" borderId="7178" applyBorder="0"/>
    <xf numFmtId="248" fontId="46" fillId="0" borderId="7179"/>
    <xf numFmtId="192" fontId="9" fillId="3" borderId="7179">
      <alignment horizontal="right" vertical="center"/>
    </xf>
    <xf numFmtId="180" fontId="9" fillId="3" borderId="7179">
      <alignment horizontal="right" vertical="center"/>
    </xf>
    <xf numFmtId="186" fontId="146" fillId="3" borderId="7179" applyBorder="0">
      <alignment horizontal="left" vertical="center"/>
    </xf>
    <xf numFmtId="0" fontId="165" fillId="0" borderId="7179" applyFill="0" applyProtection="0">
      <alignment horizontal="center"/>
    </xf>
    <xf numFmtId="0" fontId="166" fillId="0" borderId="7179">
      <alignment horizontal="center"/>
    </xf>
    <xf numFmtId="264" fontId="12" fillId="14" borderId="7179" applyFont="0" applyFill="0" applyBorder="0" applyAlignment="0" applyProtection="0">
      <alignment horizontal="right"/>
    </xf>
    <xf numFmtId="0" fontId="210" fillId="0" borderId="7179" applyNumberFormat="0" applyFill="0" applyBorder="0" applyAlignment="0">
      <protection locked="0"/>
    </xf>
    <xf numFmtId="254" fontId="240" fillId="0" borderId="7179" applyBorder="0" applyProtection="0">
      <alignment horizontal="right" vertical="center"/>
    </xf>
    <xf numFmtId="0" fontId="241" fillId="94" borderId="7179" applyBorder="0" applyProtection="0">
      <alignment horizontal="centerContinuous" vertical="center"/>
    </xf>
    <xf numFmtId="0" fontId="2" fillId="0" borderId="7232" applyNumberFormat="0" applyAlignment="0" applyProtection="0"/>
    <xf numFmtId="0" fontId="74" fillId="0" borderId="7000" applyFont="0" applyFill="0" applyBorder="0" applyAlignment="0" applyProtection="0">
      <alignment horizontal="center"/>
    </xf>
    <xf numFmtId="0" fontId="48" fillId="0" borderId="7000" applyFont="0" applyFill="0" applyBorder="0" applyAlignment="0" applyProtection="0">
      <alignment horizontal="center"/>
    </xf>
    <xf numFmtId="0" fontId="25" fillId="10" borderId="7234" applyNumberFormat="0" applyProtection="0">
      <alignment horizontal="left" vertical="top"/>
    </xf>
    <xf numFmtId="222" fontId="79" fillId="0" borderId="7057" applyBorder="0"/>
    <xf numFmtId="186" fontId="146" fillId="3" borderId="7230">
      <alignment horizontal="left"/>
    </xf>
    <xf numFmtId="186" fontId="140" fillId="3" borderId="7231">
      <alignment horizontal="center" vertical="center"/>
    </xf>
    <xf numFmtId="0" fontId="25" fillId="10" borderId="6996" applyNumberFormat="0" applyProtection="0">
      <alignment horizontal="left" vertical="top"/>
    </xf>
    <xf numFmtId="0" fontId="25" fillId="10" borderId="6999" applyNumberFormat="0" applyProtection="0">
      <alignment horizontal="left" vertical="top"/>
    </xf>
    <xf numFmtId="0" fontId="78" fillId="14" borderId="7048" applyFont="0" applyFill="0" applyBorder="0" applyAlignment="0" applyProtection="0"/>
    <xf numFmtId="0" fontId="78" fillId="14" borderId="7205" applyFont="0" applyFill="0" applyBorder="0" applyAlignment="0" applyProtection="0"/>
    <xf numFmtId="0" fontId="214" fillId="0" borderId="7209" applyNumberFormat="0" applyFont="0" applyFill="0" applyAlignment="0" applyProtection="0"/>
    <xf numFmtId="186" fontId="146" fillId="3" borderId="7215" applyBorder="0">
      <alignment horizontal="left" vertical="center"/>
    </xf>
    <xf numFmtId="0" fontId="166" fillId="0" borderId="7215">
      <alignment horizontal="center"/>
    </xf>
    <xf numFmtId="0" fontId="241" fillId="94" borderId="7215" applyBorder="0" applyProtection="0">
      <alignment horizontal="centerContinuous" vertical="center"/>
    </xf>
    <xf numFmtId="0" fontId="241" fillId="94" borderId="7191" applyBorder="0" applyProtection="0">
      <alignment horizontal="centerContinuous" vertical="center"/>
    </xf>
    <xf numFmtId="254" fontId="240" fillId="0" borderId="7191" applyBorder="0" applyProtection="0">
      <alignment horizontal="right" vertical="center"/>
    </xf>
    <xf numFmtId="0" fontId="165" fillId="0" borderId="7191" applyFill="0" applyProtection="0">
      <alignment horizontal="center"/>
    </xf>
    <xf numFmtId="0" fontId="25" fillId="10" borderId="7177" applyNumberFormat="0" applyProtection="0">
      <alignment horizontal="left" vertical="top"/>
    </xf>
    <xf numFmtId="0" fontId="25" fillId="10" borderId="7176" applyNumberFormat="0" applyProtection="0">
      <alignment horizontal="left" vertical="top"/>
    </xf>
    <xf numFmtId="0" fontId="75" fillId="0" borderId="7168" applyNumberFormat="0" applyFont="0" applyFill="0" applyAlignment="0" applyProtection="0"/>
    <xf numFmtId="0" fontId="214" fillId="0" borderId="7233" applyNumberFormat="0" applyFont="0" applyFill="0" applyAlignment="0" applyProtection="0"/>
    <xf numFmtId="222" fontId="79" fillId="0" borderId="7178" applyBorder="0"/>
    <xf numFmtId="0" fontId="25" fillId="10" borderId="7237" applyNumberFormat="0" applyProtection="0">
      <alignment horizontal="left" vertical="top"/>
    </xf>
    <xf numFmtId="254" fontId="240" fillId="0" borderId="7058" applyBorder="0" applyProtection="0">
      <alignment horizontal="right" vertical="center"/>
    </xf>
    <xf numFmtId="0" fontId="210" fillId="0" borderId="7058" applyNumberFormat="0" applyFill="0" applyBorder="0" applyAlignment="0">
      <protection locked="0"/>
    </xf>
    <xf numFmtId="264" fontId="12" fillId="14" borderId="7058" applyFont="0" applyFill="0" applyBorder="0" applyAlignment="0" applyProtection="0">
      <alignment horizontal="right"/>
    </xf>
    <xf numFmtId="0" fontId="166" fillId="0" borderId="7058">
      <alignment horizontal="center"/>
    </xf>
    <xf numFmtId="0" fontId="165" fillId="0" borderId="7058" applyFill="0" applyProtection="0">
      <alignment horizontal="center"/>
    </xf>
    <xf numFmtId="186" fontId="146" fillId="3" borderId="7058" applyBorder="0">
      <alignment horizontal="left" vertical="center"/>
    </xf>
    <xf numFmtId="182" fontId="145" fillId="3" borderId="7000">
      <alignment horizontal="right" vertical="center"/>
    </xf>
    <xf numFmtId="180" fontId="9" fillId="3" borderId="7058">
      <alignment horizontal="right" vertical="center"/>
    </xf>
    <xf numFmtId="186" fontId="146" fillId="3" borderId="7182">
      <alignment horizontal="left"/>
    </xf>
    <xf numFmtId="0" fontId="214" fillId="0" borderId="7185" applyNumberFormat="0" applyFont="0" applyFill="0" applyAlignment="0" applyProtection="0"/>
    <xf numFmtId="186" fontId="48" fillId="3" borderId="7000">
      <alignment vertical="center"/>
    </xf>
    <xf numFmtId="0" fontId="25" fillId="10" borderId="7186" applyNumberFormat="0" applyProtection="0">
      <alignment horizontal="left" vertical="top"/>
    </xf>
    <xf numFmtId="0" fontId="25" fillId="10" borderId="7188" applyNumberFormat="0" applyProtection="0">
      <alignment horizontal="left" vertical="top"/>
    </xf>
    <xf numFmtId="222" fontId="79" fillId="0" borderId="7202" applyBorder="0"/>
    <xf numFmtId="0" fontId="135" fillId="0" borderId="7002"/>
    <xf numFmtId="0" fontId="135" fillId="0" borderId="7002"/>
    <xf numFmtId="0" fontId="25" fillId="10" borderId="7213" applyNumberFormat="0" applyProtection="0">
      <alignment horizontal="left" vertical="top"/>
    </xf>
    <xf numFmtId="0" fontId="25" fillId="10" borderId="7210" applyNumberFormat="0" applyProtection="0">
      <alignment horizontal="left" vertical="top"/>
    </xf>
    <xf numFmtId="222" fontId="79" fillId="0" borderId="7214" applyBorder="0"/>
    <xf numFmtId="180" fontId="9" fillId="3" borderId="7215">
      <alignment horizontal="right" vertical="center"/>
    </xf>
    <xf numFmtId="254" fontId="240" fillId="0" borderId="7215" applyBorder="0" applyProtection="0">
      <alignment horizontal="right" vertical="center"/>
    </xf>
    <xf numFmtId="246" fontId="249" fillId="0" borderId="7215" applyFill="0" applyProtection="0">
      <alignment horizontal="center"/>
    </xf>
    <xf numFmtId="246" fontId="250" fillId="0" borderId="7215" applyFill="0" applyProtection="0">
      <alignment horizontal="center"/>
    </xf>
    <xf numFmtId="264" fontId="12" fillId="14" borderId="7191" applyFont="0" applyFill="0" applyBorder="0" applyAlignment="0" applyProtection="0">
      <alignment horizontal="right"/>
    </xf>
    <xf numFmtId="186" fontId="146" fillId="3" borderId="7191" applyBorder="0">
      <alignment horizontal="left" vertical="center"/>
    </xf>
    <xf numFmtId="180" fontId="9" fillId="3" borderId="7191">
      <alignment horizontal="right" vertical="center"/>
    </xf>
    <xf numFmtId="192" fontId="9" fillId="3" borderId="7191">
      <alignment horizontal="right" vertical="center"/>
    </xf>
    <xf numFmtId="248" fontId="46" fillId="0" borderId="7191"/>
    <xf numFmtId="0" fontId="12" fillId="0" borderId="7191" applyNumberFormat="0" applyFill="0" applyBorder="0" applyAlignment="0" applyProtection="0">
      <alignment horizontal="center"/>
    </xf>
    <xf numFmtId="0" fontId="113" fillId="0" borderId="7191" applyNumberFormat="0" applyFill="0" applyAlignment="0" applyProtection="0"/>
    <xf numFmtId="0" fontId="210" fillId="0" borderId="7239" applyNumberFormat="0" applyFill="0" applyBorder="0" applyAlignment="0">
      <protection locked="0"/>
    </xf>
    <xf numFmtId="0" fontId="165" fillId="0" borderId="7239" applyFill="0" applyProtection="0">
      <alignment horizontal="center"/>
    </xf>
    <xf numFmtId="192" fontId="9" fillId="3" borderId="7239">
      <alignment horizontal="right" vertical="center"/>
    </xf>
    <xf numFmtId="248" fontId="46" fillId="0" borderId="7239"/>
    <xf numFmtId="222" fontId="79" fillId="0" borderId="7238" applyBorder="0"/>
    <xf numFmtId="0" fontId="78" fillId="14" borderId="7229" applyFont="0" applyFill="0" applyBorder="0" applyAlignment="0" applyProtection="0"/>
    <xf numFmtId="0" fontId="25" fillId="10" borderId="7236" applyNumberFormat="0" applyProtection="0">
      <alignment horizontal="left" vertical="top"/>
    </xf>
    <xf numFmtId="186" fontId="140" fillId="3" borderId="7171">
      <alignment horizontal="center" vertical="center"/>
    </xf>
    <xf numFmtId="0" fontId="2" fillId="0" borderId="7172" applyNumberFormat="0" applyAlignment="0" applyProtection="0"/>
    <xf numFmtId="0" fontId="25" fillId="10" borderId="7175" applyNumberFormat="0" applyProtection="0">
      <alignment horizontal="left" vertical="top"/>
    </xf>
    <xf numFmtId="0" fontId="25" fillId="10" borderId="7174" applyNumberFormat="0" applyProtection="0">
      <alignment horizontal="left" vertical="top"/>
    </xf>
    <xf numFmtId="0" fontId="25" fillId="10" borderId="7177" applyNumberFormat="0" applyProtection="0">
      <alignment horizontal="left" vertical="top"/>
    </xf>
    <xf numFmtId="0" fontId="159" fillId="0" borderId="7002"/>
    <xf numFmtId="0" fontId="159" fillId="67" borderId="7002"/>
    <xf numFmtId="0" fontId="75" fillId="0" borderId="7168" applyNumberFormat="0" applyFont="0" applyFill="0" applyAlignment="0" applyProtection="0"/>
    <xf numFmtId="186" fontId="146" fillId="3" borderId="7170">
      <alignment horizontal="left"/>
    </xf>
    <xf numFmtId="246" fontId="250" fillId="0" borderId="7167" applyFill="0" applyProtection="0">
      <alignment horizontal="center"/>
    </xf>
    <xf numFmtId="0" fontId="210" fillId="0" borderId="7167" applyNumberFormat="0" applyFill="0" applyBorder="0" applyAlignment="0">
      <protection locked="0"/>
    </xf>
    <xf numFmtId="264" fontId="12" fillId="14" borderId="7167" applyFont="0" applyFill="0" applyBorder="0" applyAlignment="0" applyProtection="0">
      <alignment horizontal="right"/>
    </xf>
    <xf numFmtId="180" fontId="9" fillId="3" borderId="7167">
      <alignment horizontal="right" vertical="center"/>
    </xf>
    <xf numFmtId="248" fontId="46" fillId="0" borderId="7167"/>
    <xf numFmtId="0" fontId="25" fillId="69" borderId="7002">
      <alignment horizontal="left" vertical="center" wrapText="1"/>
    </xf>
    <xf numFmtId="0" fontId="184" fillId="0" borderId="7003" applyAlignment="0">
      <alignment horizontal="left" wrapText="1"/>
    </xf>
    <xf numFmtId="246" fontId="249" fillId="0" borderId="7167" applyFill="0" applyProtection="0">
      <alignment horizontal="center"/>
    </xf>
    <xf numFmtId="0" fontId="241" fillId="94" borderId="7167" applyBorder="0" applyProtection="0">
      <alignment horizontal="centerContinuous" vertical="center"/>
    </xf>
    <xf numFmtId="254" fontId="240" fillId="0" borderId="7167" applyBorder="0" applyProtection="0">
      <alignment horizontal="right" vertical="center"/>
    </xf>
    <xf numFmtId="4" fontId="223" fillId="53" borderId="7004" applyNumberFormat="0" applyProtection="0">
      <alignment vertical="center"/>
    </xf>
    <xf numFmtId="4" fontId="224" fillId="53" borderId="7004" applyNumberFormat="0" applyProtection="0">
      <alignment vertical="center"/>
    </xf>
    <xf numFmtId="4" fontId="184" fillId="53" borderId="7004" applyNumberFormat="0" applyProtection="0">
      <alignment horizontal="left" vertical="center" indent="1"/>
    </xf>
    <xf numFmtId="0" fontId="225" fillId="53" borderId="7004" applyNumberFormat="0" applyProtection="0">
      <alignment horizontal="left" vertical="top" indent="1"/>
    </xf>
    <xf numFmtId="4" fontId="226" fillId="76" borderId="7004" applyNumberFormat="0" applyProtection="0">
      <alignment horizontal="right" vertical="center"/>
    </xf>
    <xf numFmtId="4" fontId="226" fillId="77" borderId="7004" applyNumberFormat="0" applyProtection="0">
      <alignment horizontal="right" vertical="center"/>
    </xf>
    <xf numFmtId="4" fontId="226" fillId="78" borderId="7004" applyNumberFormat="0" applyProtection="0">
      <alignment horizontal="right" vertical="center"/>
    </xf>
    <xf numFmtId="4" fontId="226" fillId="10" borderId="7004" applyNumberFormat="0" applyProtection="0">
      <alignment horizontal="right" vertical="center"/>
    </xf>
    <xf numFmtId="4" fontId="226" fillId="79" borderId="7004" applyNumberFormat="0" applyProtection="0">
      <alignment horizontal="right" vertical="center"/>
    </xf>
    <xf numFmtId="4" fontId="226" fillId="71" borderId="7004" applyNumberFormat="0" applyProtection="0">
      <alignment horizontal="right" vertical="center"/>
    </xf>
    <xf numFmtId="4" fontId="226" fillId="80" borderId="7004" applyNumberFormat="0" applyProtection="0">
      <alignment horizontal="right" vertical="center"/>
    </xf>
    <xf numFmtId="4" fontId="226" fillId="81" borderId="7004" applyNumberFormat="0" applyProtection="0">
      <alignment horizontal="right" vertical="center"/>
    </xf>
    <xf numFmtId="4" fontId="226" fillId="82" borderId="7004" applyNumberFormat="0" applyProtection="0">
      <alignment horizontal="right" vertical="center"/>
    </xf>
    <xf numFmtId="4" fontId="184" fillId="52" borderId="7004" applyNumberFormat="0" applyProtection="0">
      <alignment horizontal="right" vertical="center"/>
    </xf>
    <xf numFmtId="0" fontId="12" fillId="75" borderId="7004" applyNumberFormat="0" applyProtection="0">
      <alignment horizontal="left" vertical="center" indent="1"/>
    </xf>
    <xf numFmtId="0" fontId="12" fillId="75" borderId="7004" applyNumberFormat="0" applyProtection="0">
      <alignment horizontal="left" vertical="top" indent="1"/>
    </xf>
    <xf numFmtId="0" fontId="12" fillId="84" borderId="7004" applyNumberFormat="0" applyProtection="0">
      <alignment horizontal="left" vertical="center" indent="1"/>
    </xf>
    <xf numFmtId="0" fontId="12" fillId="84" borderId="7004" applyNumberFormat="0" applyProtection="0">
      <alignment horizontal="left" vertical="top" indent="1"/>
    </xf>
    <xf numFmtId="0" fontId="12" fillId="52" borderId="7004" applyNumberFormat="0" applyProtection="0">
      <alignment horizontal="left" vertical="center" indent="1"/>
    </xf>
    <xf numFmtId="0" fontId="12" fillId="52" borderId="7004" applyNumberFormat="0" applyProtection="0">
      <alignment horizontal="left" vertical="top" indent="1"/>
    </xf>
    <xf numFmtId="0" fontId="12" fillId="11" borderId="7004" applyNumberFormat="0" applyProtection="0">
      <alignment horizontal="left" vertical="center" indent="1"/>
    </xf>
    <xf numFmtId="0" fontId="12" fillId="11" borderId="7004" applyNumberFormat="0" applyProtection="0">
      <alignment horizontal="left" vertical="top" indent="1"/>
    </xf>
    <xf numFmtId="4" fontId="226" fillId="11" borderId="7004" applyNumberFormat="0" applyProtection="0">
      <alignment vertical="center"/>
    </xf>
    <xf numFmtId="4" fontId="228" fillId="11" borderId="7004" applyNumberFormat="0" applyProtection="0">
      <alignment vertical="center"/>
    </xf>
    <xf numFmtId="4" fontId="227" fillId="52" borderId="7005" applyNumberFormat="0" applyProtection="0">
      <alignment horizontal="left" vertical="center" indent="1"/>
    </xf>
    <xf numFmtId="0" fontId="136" fillId="14" borderId="7004" applyNumberFormat="0" applyProtection="0">
      <alignment horizontal="left" vertical="top" indent="1"/>
    </xf>
    <xf numFmtId="4" fontId="184" fillId="11" borderId="7004" applyNumberFormat="0" applyProtection="0">
      <alignment horizontal="right" vertical="center"/>
    </xf>
    <xf numFmtId="4" fontId="228" fillId="11" borderId="7004" applyNumberFormat="0" applyProtection="0">
      <alignment horizontal="right" vertical="center"/>
    </xf>
    <xf numFmtId="4" fontId="223" fillId="52" borderId="7004" applyNumberFormat="0" applyProtection="0">
      <alignment horizontal="left" vertical="center" indent="1"/>
    </xf>
    <xf numFmtId="0" fontId="136" fillId="84" borderId="7004" applyNumberFormat="0" applyProtection="0">
      <alignment horizontal="left" vertical="top" indent="1"/>
    </xf>
    <xf numFmtId="4" fontId="229" fillId="84" borderId="7005" applyNumberFormat="0" applyProtection="0">
      <alignment horizontal="left" vertical="center" indent="1"/>
    </xf>
    <xf numFmtId="4" fontId="230" fillId="11" borderId="7004" applyNumberFormat="0" applyProtection="0">
      <alignment horizontal="right" vertical="center"/>
    </xf>
    <xf numFmtId="3" fontId="12" fillId="60" borderId="7006" applyFont="0" applyFill="0" applyBorder="0" applyAlignment="0" applyProtection="0"/>
    <xf numFmtId="4" fontId="12" fillId="60" borderId="7006" applyFont="0" applyFill="0" applyBorder="0" applyAlignment="0" applyProtection="0"/>
    <xf numFmtId="183" fontId="12" fillId="60" borderId="7006" applyFont="0" applyFill="0" applyBorder="0" applyAlignment="0" applyProtection="0"/>
    <xf numFmtId="10" fontId="12" fillId="60" borderId="7006" applyFont="0" applyFill="0" applyBorder="0" applyAlignment="0" applyProtection="0"/>
    <xf numFmtId="9" fontId="12" fillId="60" borderId="7006" applyFont="0" applyFill="0" applyBorder="0" applyAlignment="0" applyProtection="0"/>
    <xf numFmtId="2" fontId="12" fillId="60" borderId="7006" applyFont="0" applyFill="0" applyBorder="0" applyAlignment="0" applyProtection="0"/>
    <xf numFmtId="0" fontId="25" fillId="10" borderId="7002" applyNumberFormat="0" applyProtection="0">
      <alignment horizontal="center" vertical="top"/>
    </xf>
    <xf numFmtId="0" fontId="25" fillId="10" borderId="7002" applyNumberFormat="0" applyProtection="0">
      <alignment horizontal="center" vertical="top"/>
    </xf>
    <xf numFmtId="169" fontId="234" fillId="3" borderId="7002" applyFont="0" applyProtection="0"/>
    <xf numFmtId="169" fontId="234" fillId="10" borderId="7002" applyFont="0" applyProtection="0"/>
    <xf numFmtId="293" fontId="234" fillId="3" borderId="7002" applyFont="0" applyProtection="0"/>
    <xf numFmtId="293" fontId="234" fillId="10" borderId="7002" applyFont="0" applyProtection="0"/>
    <xf numFmtId="293" fontId="234" fillId="10" borderId="7002" applyFont="0" applyProtection="0"/>
    <xf numFmtId="0" fontId="12" fillId="3" borderId="7002" applyNumberFormat="0" applyFont="0" applyAlignment="0" applyProtection="0"/>
    <xf numFmtId="0" fontId="12" fillId="10" borderId="7002" applyNumberFormat="0" applyFont="0" applyAlignment="0" applyProtection="0"/>
    <xf numFmtId="0" fontId="12" fillId="10" borderId="7002" applyNumberFormat="0" applyFont="0" applyProtection="0"/>
    <xf numFmtId="0" fontId="25" fillId="10" borderId="7007" applyNumberFormat="0" applyProtection="0">
      <alignment horizontal="left"/>
    </xf>
    <xf numFmtId="0" fontId="25" fillId="10" borderId="7008" applyNumberFormat="0" applyProtection="0">
      <alignment horizontal="left" vertical="top"/>
    </xf>
    <xf numFmtId="0" fontId="25" fillId="10" borderId="7009" applyNumberFormat="0" applyProtection="0">
      <alignment horizontal="left" vertical="top"/>
    </xf>
    <xf numFmtId="0" fontId="25" fillId="10" borderId="7010" applyNumberFormat="0" applyProtection="0">
      <alignment horizontal="left" vertical="top"/>
    </xf>
    <xf numFmtId="0" fontId="25" fillId="10" borderId="7011" applyNumberFormat="0" applyProtection="0">
      <alignment horizontal="left" vertical="top"/>
    </xf>
    <xf numFmtId="0" fontId="25" fillId="10" borderId="7012" applyNumberFormat="0" applyProtection="0">
      <alignment horizontal="left" vertical="top"/>
    </xf>
    <xf numFmtId="0" fontId="25" fillId="10" borderId="7013" applyNumberFormat="0" applyProtection="0">
      <alignment horizontal="left" vertical="top"/>
    </xf>
    <xf numFmtId="0" fontId="12" fillId="0" borderId="7001" applyNumberFormat="0" applyFill="0" applyBorder="0" applyAlignment="0" applyProtection="0"/>
    <xf numFmtId="10" fontId="12" fillId="3" borderId="7014" applyNumberFormat="0" applyFont="0" applyFill="0" applyBorder="0" applyAlignment="0">
      <protection locked="0"/>
    </xf>
    <xf numFmtId="0" fontId="12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0" fontId="12" fillId="0" borderId="7167" applyNumberFormat="0" applyFill="0" applyBorder="0" applyAlignment="0" applyProtection="0">
      <alignment horizontal="center"/>
    </xf>
    <xf numFmtId="254" fontId="240" fillId="0" borderId="7179" applyBorder="0" applyProtection="0">
      <alignment horizontal="right" vertical="center"/>
    </xf>
    <xf numFmtId="264" fontId="12" fillId="14" borderId="7239" applyFont="0" applyFill="0" applyBorder="0" applyAlignment="0" applyProtection="0">
      <alignment horizontal="right"/>
    </xf>
    <xf numFmtId="0" fontId="25" fillId="10" borderId="6998" applyNumberFormat="0" applyProtection="0">
      <alignment horizontal="left" vertical="top"/>
    </xf>
    <xf numFmtId="254" fontId="240" fillId="0" borderId="7239" applyBorder="0" applyProtection="0">
      <alignment horizontal="right" vertical="center"/>
    </xf>
    <xf numFmtId="0" fontId="166" fillId="0" borderId="7179">
      <alignment horizontal="center"/>
    </xf>
    <xf numFmtId="186" fontId="146" fillId="3" borderId="7170">
      <alignment horizontal="left"/>
    </xf>
    <xf numFmtId="0" fontId="78" fillId="14" borderId="7048" applyFont="0" applyFill="0" applyBorder="0" applyAlignment="0" applyProtection="0"/>
    <xf numFmtId="246" fontId="249" fillId="0" borderId="7167" applyFill="0" applyProtection="0">
      <alignment horizontal="center"/>
    </xf>
    <xf numFmtId="0" fontId="78" fillId="14" borderId="6979" applyFont="0" applyFill="0" applyBorder="0" applyAlignment="0" applyProtection="0"/>
    <xf numFmtId="192" fontId="9" fillId="3" borderId="7167">
      <alignment horizontal="right" vertical="center"/>
    </xf>
    <xf numFmtId="222" fontId="79" fillId="0" borderId="7015" applyBorder="0"/>
    <xf numFmtId="0" fontId="101" fillId="0" borderId="7018" applyBorder="0"/>
    <xf numFmtId="222" fontId="79" fillId="0" borderId="7015" applyBorder="0"/>
    <xf numFmtId="0" fontId="113" fillId="0" borderId="7018" applyNumberFormat="0" applyFill="0" applyAlignment="0" applyProtection="0"/>
    <xf numFmtId="0" fontId="12" fillId="0" borderId="7018" applyNumberFormat="0" applyFill="0" applyBorder="0" applyAlignment="0" applyProtection="0">
      <alignment horizontal="center"/>
    </xf>
    <xf numFmtId="0" fontId="75" fillId="0" borderId="7168" applyNumberFormat="0" applyFont="0" applyFill="0" applyAlignment="0" applyProtection="0"/>
    <xf numFmtId="248" fontId="46" fillId="0" borderId="7018"/>
    <xf numFmtId="0" fontId="25" fillId="10" borderId="7211" applyNumberFormat="0" applyProtection="0">
      <alignment horizontal="left" vertical="top"/>
    </xf>
    <xf numFmtId="192" fontId="9" fillId="3" borderId="7058">
      <alignment horizontal="right" vertical="center"/>
    </xf>
    <xf numFmtId="192" fontId="9" fillId="3" borderId="7018">
      <alignment horizontal="right" vertical="center"/>
    </xf>
    <xf numFmtId="180" fontId="9" fillId="3" borderId="7018">
      <alignment horizontal="right" vertical="center"/>
    </xf>
    <xf numFmtId="186" fontId="146" fillId="3" borderId="7018" applyBorder="0">
      <alignment horizontal="left" vertical="center"/>
    </xf>
    <xf numFmtId="222" fontId="79" fillId="0" borderId="7190" applyBorder="0"/>
    <xf numFmtId="186" fontId="140" fillId="3" borderId="6957">
      <alignment horizontal="center" vertical="center"/>
    </xf>
    <xf numFmtId="188" fontId="25" fillId="0" borderId="7017" applyFont="0" applyFill="0" applyBorder="0" applyAlignment="0" applyProtection="0">
      <alignment horizontal="center"/>
    </xf>
    <xf numFmtId="2" fontId="12" fillId="14" borderId="7016" applyFill="0" applyBorder="0" applyProtection="0">
      <alignment horizontal="center"/>
    </xf>
    <xf numFmtId="0" fontId="5" fillId="0" borderId="7017">
      <alignment horizontal="left" vertical="center"/>
    </xf>
    <xf numFmtId="0" fontId="165" fillId="0" borderId="7018" applyFill="0" applyProtection="0">
      <alignment horizontal="center"/>
    </xf>
    <xf numFmtId="0" fontId="166" fillId="0" borderId="7018">
      <alignment horizontal="center"/>
    </xf>
    <xf numFmtId="188" fontId="25" fillId="0" borderId="7017" applyFont="0" applyFill="0" applyBorder="0" applyAlignment="0" applyProtection="0">
      <alignment horizontal="center"/>
    </xf>
    <xf numFmtId="264" fontId="12" fillId="14" borderId="7018" applyFont="0" applyFill="0" applyBorder="0" applyAlignment="0" applyProtection="0">
      <alignment horizontal="right"/>
    </xf>
    <xf numFmtId="188" fontId="25" fillId="0" borderId="7017" applyFont="0" applyFill="0" applyBorder="0" applyAlignment="0" applyProtection="0">
      <alignment horizontal="center"/>
    </xf>
    <xf numFmtId="0" fontId="12" fillId="0" borderId="7058" applyNumberFormat="0" applyFill="0" applyBorder="0" applyAlignment="0" applyProtection="0">
      <alignment horizontal="center"/>
    </xf>
    <xf numFmtId="192" fontId="9" fillId="3" borderId="7215">
      <alignment horizontal="right" vertical="center"/>
    </xf>
    <xf numFmtId="0" fontId="210" fillId="0" borderId="7018" applyNumberFormat="0" applyFill="0" applyBorder="0" applyAlignment="0">
      <protection locked="0"/>
    </xf>
    <xf numFmtId="0" fontId="214" fillId="0" borderId="6983" applyNumberFormat="0" applyFont="0" applyFill="0" applyAlignment="0" applyProtection="0"/>
    <xf numFmtId="0" fontId="25" fillId="10" borderId="6984" applyNumberFormat="0" applyProtection="0">
      <alignment horizontal="left" vertical="top"/>
    </xf>
    <xf numFmtId="0" fontId="25" fillId="10" borderId="6985" applyNumberFormat="0" applyProtection="0">
      <alignment horizontal="left" vertical="top"/>
    </xf>
    <xf numFmtId="0" fontId="25" fillId="10" borderId="6986" applyNumberFormat="0" applyProtection="0">
      <alignment horizontal="left" vertical="top"/>
    </xf>
    <xf numFmtId="0" fontId="25" fillId="10" borderId="6987" applyNumberFormat="0" applyProtection="0">
      <alignment horizontal="left" vertical="top"/>
    </xf>
    <xf numFmtId="0" fontId="25" fillId="10" borderId="6984" applyNumberFormat="0" applyProtection="0">
      <alignment horizontal="left" vertical="top"/>
    </xf>
    <xf numFmtId="0" fontId="25" fillId="10" borderId="6985" applyNumberFormat="0" applyProtection="0">
      <alignment horizontal="left" vertical="top"/>
    </xf>
    <xf numFmtId="0" fontId="25" fillId="10" borderId="6986" applyNumberFormat="0" applyProtection="0">
      <alignment horizontal="left" vertical="top"/>
    </xf>
    <xf numFmtId="0" fontId="25" fillId="10" borderId="6987" applyNumberFormat="0" applyProtection="0">
      <alignment horizontal="left" vertical="top"/>
    </xf>
    <xf numFmtId="254" fontId="240" fillId="0" borderId="7018" applyBorder="0" applyProtection="0">
      <alignment horizontal="right" vertical="center"/>
    </xf>
    <xf numFmtId="0" fontId="241" fillId="94" borderId="7018" applyBorder="0" applyProtection="0">
      <alignment horizontal="centerContinuous" vertical="center"/>
    </xf>
    <xf numFmtId="1" fontId="74" fillId="0" borderId="7017" applyFill="0" applyBorder="0" applyProtection="0">
      <alignment horizontal="right"/>
    </xf>
    <xf numFmtId="246" fontId="249" fillId="0" borderId="7018" applyFill="0" applyProtection="0">
      <alignment horizontal="center"/>
    </xf>
    <xf numFmtId="246" fontId="250" fillId="0" borderId="7018" applyFill="0" applyProtection="0">
      <alignment horizontal="center"/>
    </xf>
    <xf numFmtId="264" fontId="12" fillId="14" borderId="7167" applyFont="0" applyFill="0" applyBorder="0" applyAlignment="0" applyProtection="0">
      <alignment horizontal="right"/>
    </xf>
    <xf numFmtId="248" fontId="46" fillId="0" borderId="7167"/>
    <xf numFmtId="188" fontId="25" fillId="0" borderId="7017" applyFont="0" applyFill="0" applyBorder="0" applyAlignment="0" applyProtection="0">
      <alignment horizontal="center"/>
    </xf>
    <xf numFmtId="264" fontId="12" fillId="14" borderId="7167" applyFont="0" applyFill="0" applyBorder="0" applyAlignment="0" applyProtection="0">
      <alignment horizontal="right"/>
    </xf>
    <xf numFmtId="246" fontId="250" fillId="0" borderId="7179" applyFill="0" applyProtection="0">
      <alignment horizontal="center"/>
    </xf>
    <xf numFmtId="0" fontId="101" fillId="0" borderId="7167" applyBorder="0"/>
    <xf numFmtId="0" fontId="166" fillId="0" borderId="7167">
      <alignment horizontal="center"/>
    </xf>
    <xf numFmtId="0" fontId="12" fillId="0" borderId="7001" applyNumberFormat="0" applyFill="0" applyBorder="0" applyAlignment="0" applyProtection="0"/>
    <xf numFmtId="0" fontId="46" fillId="0" borderId="7001" applyNumberFormat="0" applyFill="0" applyBorder="0" applyAlignment="0" applyProtection="0"/>
    <xf numFmtId="0" fontId="105" fillId="0" borderId="7001" applyNumberFormat="0" applyFill="0" applyBorder="0" applyAlignment="0" applyProtection="0"/>
    <xf numFmtId="0" fontId="48" fillId="0" borderId="7001" applyNumberFormat="0" applyFill="0" applyAlignment="0" applyProtection="0"/>
    <xf numFmtId="5" fontId="114" fillId="0" borderId="7000" applyAlignment="0" applyProtection="0"/>
    <xf numFmtId="0" fontId="74" fillId="0" borderId="7000" applyFont="0" applyFill="0" applyBorder="0" applyAlignment="0" applyProtection="0">
      <alignment horizontal="center"/>
    </xf>
    <xf numFmtId="0" fontId="48" fillId="0" borderId="7000" applyFont="0" applyFill="0" applyBorder="0" applyAlignment="0" applyProtection="0">
      <alignment horizontal="center"/>
    </xf>
    <xf numFmtId="182" fontId="145" fillId="3" borderId="7000">
      <alignment horizontal="right" vertical="center"/>
    </xf>
    <xf numFmtId="186" fontId="48" fillId="3" borderId="7000">
      <alignment vertical="center"/>
    </xf>
    <xf numFmtId="0" fontId="135" fillId="0" borderId="7002"/>
    <xf numFmtId="0" fontId="135" fillId="0" borderId="7002"/>
    <xf numFmtId="1" fontId="154" fillId="65" borderId="5715" applyNumberFormat="0" applyBorder="0" applyAlignment="0">
      <alignment horizontal="centerContinuous" vertical="center"/>
      <protection locked="0"/>
    </xf>
    <xf numFmtId="0" fontId="159" fillId="0" borderId="7002"/>
    <xf numFmtId="0" fontId="159" fillId="67" borderId="7002"/>
    <xf numFmtId="0" fontId="25" fillId="69" borderId="7002">
      <alignment horizontal="left" vertical="center" wrapText="1"/>
    </xf>
    <xf numFmtId="0" fontId="184" fillId="0" borderId="7003" applyAlignment="0">
      <alignment horizontal="left" wrapText="1"/>
    </xf>
    <xf numFmtId="188" fontId="25" fillId="0" borderId="7017" applyFont="0" applyFill="0" applyBorder="0" applyAlignment="0" applyProtection="0">
      <alignment horizontal="center"/>
    </xf>
    <xf numFmtId="4" fontId="223" fillId="53" borderId="7004" applyNumberFormat="0" applyProtection="0">
      <alignment vertical="center"/>
    </xf>
    <xf numFmtId="4" fontId="224" fillId="53" borderId="7004" applyNumberFormat="0" applyProtection="0">
      <alignment vertical="center"/>
    </xf>
    <xf numFmtId="4" fontId="184" fillId="53" borderId="7004" applyNumberFormat="0" applyProtection="0">
      <alignment horizontal="left" vertical="center" indent="1"/>
    </xf>
    <xf numFmtId="0" fontId="225" fillId="53" borderId="7004" applyNumberFormat="0" applyProtection="0">
      <alignment horizontal="left" vertical="top" indent="1"/>
    </xf>
    <xf numFmtId="4" fontId="226" fillId="76" borderId="7004" applyNumberFormat="0" applyProtection="0">
      <alignment horizontal="right" vertical="center"/>
    </xf>
    <xf numFmtId="4" fontId="226" fillId="77" borderId="7004" applyNumberFormat="0" applyProtection="0">
      <alignment horizontal="right" vertical="center"/>
    </xf>
    <xf numFmtId="4" fontId="226" fillId="78" borderId="7004" applyNumberFormat="0" applyProtection="0">
      <alignment horizontal="right" vertical="center"/>
    </xf>
    <xf numFmtId="4" fontId="226" fillId="10" borderId="7004" applyNumberFormat="0" applyProtection="0">
      <alignment horizontal="right" vertical="center"/>
    </xf>
    <xf numFmtId="4" fontId="226" fillId="79" borderId="7004" applyNumberFormat="0" applyProtection="0">
      <alignment horizontal="right" vertical="center"/>
    </xf>
    <xf numFmtId="4" fontId="226" fillId="71" borderId="7004" applyNumberFormat="0" applyProtection="0">
      <alignment horizontal="right" vertical="center"/>
    </xf>
    <xf numFmtId="4" fontId="226" fillId="80" borderId="7004" applyNumberFormat="0" applyProtection="0">
      <alignment horizontal="right" vertical="center"/>
    </xf>
    <xf numFmtId="4" fontId="226" fillId="81" borderId="7004" applyNumberFormat="0" applyProtection="0">
      <alignment horizontal="right" vertical="center"/>
    </xf>
    <xf numFmtId="4" fontId="226" fillId="82" borderId="7004" applyNumberFormat="0" applyProtection="0">
      <alignment horizontal="right" vertical="center"/>
    </xf>
    <xf numFmtId="4" fontId="184" fillId="52" borderId="7004" applyNumberFormat="0" applyProtection="0">
      <alignment horizontal="right" vertical="center"/>
    </xf>
    <xf numFmtId="0" fontId="12" fillId="75" borderId="7004" applyNumberFormat="0" applyProtection="0">
      <alignment horizontal="left" vertical="center" indent="1"/>
    </xf>
    <xf numFmtId="0" fontId="12" fillId="75" borderId="7004" applyNumberFormat="0" applyProtection="0">
      <alignment horizontal="left" vertical="top" indent="1"/>
    </xf>
    <xf numFmtId="0" fontId="12" fillId="84" borderId="7004" applyNumberFormat="0" applyProtection="0">
      <alignment horizontal="left" vertical="center" indent="1"/>
    </xf>
    <xf numFmtId="0" fontId="12" fillId="84" borderId="7004" applyNumberFormat="0" applyProtection="0">
      <alignment horizontal="left" vertical="top" indent="1"/>
    </xf>
    <xf numFmtId="0" fontId="12" fillId="52" borderId="7004" applyNumberFormat="0" applyProtection="0">
      <alignment horizontal="left" vertical="center" indent="1"/>
    </xf>
    <xf numFmtId="0" fontId="12" fillId="52" borderId="7004" applyNumberFormat="0" applyProtection="0">
      <alignment horizontal="left" vertical="top" indent="1"/>
    </xf>
    <xf numFmtId="0" fontId="12" fillId="11" borderId="7004" applyNumberFormat="0" applyProtection="0">
      <alignment horizontal="left" vertical="center" indent="1"/>
    </xf>
    <xf numFmtId="0" fontId="12" fillId="11" borderId="7004" applyNumberFormat="0" applyProtection="0">
      <alignment horizontal="left" vertical="top" indent="1"/>
    </xf>
    <xf numFmtId="4" fontId="226" fillId="11" borderId="7004" applyNumberFormat="0" applyProtection="0">
      <alignment vertical="center"/>
    </xf>
    <xf numFmtId="4" fontId="228" fillId="11" borderId="7004" applyNumberFormat="0" applyProtection="0">
      <alignment vertical="center"/>
    </xf>
    <xf numFmtId="4" fontId="227" fillId="52" borderId="7005" applyNumberFormat="0" applyProtection="0">
      <alignment horizontal="left" vertical="center" indent="1"/>
    </xf>
    <xf numFmtId="0" fontId="136" fillId="14" borderId="7004" applyNumberFormat="0" applyProtection="0">
      <alignment horizontal="left" vertical="top" indent="1"/>
    </xf>
    <xf numFmtId="4" fontId="184" fillId="11" borderId="7004" applyNumberFormat="0" applyProtection="0">
      <alignment horizontal="right" vertical="center"/>
    </xf>
    <xf numFmtId="4" fontId="228" fillId="11" borderId="7004" applyNumberFormat="0" applyProtection="0">
      <alignment horizontal="right" vertical="center"/>
    </xf>
    <xf numFmtId="4" fontId="223" fillId="52" borderId="7004" applyNumberFormat="0" applyProtection="0">
      <alignment horizontal="left" vertical="center" indent="1"/>
    </xf>
    <xf numFmtId="0" fontId="136" fillId="84" borderId="7004" applyNumberFormat="0" applyProtection="0">
      <alignment horizontal="left" vertical="top" indent="1"/>
    </xf>
    <xf numFmtId="4" fontId="229" fillId="84" borderId="7005" applyNumberFormat="0" applyProtection="0">
      <alignment horizontal="left" vertical="center" indent="1"/>
    </xf>
    <xf numFmtId="4" fontId="230" fillId="11" borderId="7004" applyNumberFormat="0" applyProtection="0">
      <alignment horizontal="right" vertical="center"/>
    </xf>
    <xf numFmtId="3" fontId="12" fillId="60" borderId="7006" applyFont="0" applyFill="0" applyBorder="0" applyAlignment="0" applyProtection="0"/>
    <xf numFmtId="4" fontId="12" fillId="60" borderId="7006" applyFont="0" applyFill="0" applyBorder="0" applyAlignment="0" applyProtection="0"/>
    <xf numFmtId="183" fontId="12" fillId="60" borderId="7006" applyFont="0" applyFill="0" applyBorder="0" applyAlignment="0" applyProtection="0"/>
    <xf numFmtId="10" fontId="12" fillId="60" borderId="7006" applyFont="0" applyFill="0" applyBorder="0" applyAlignment="0" applyProtection="0"/>
    <xf numFmtId="9" fontId="12" fillId="60" borderId="7006" applyFont="0" applyFill="0" applyBorder="0" applyAlignment="0" applyProtection="0"/>
    <xf numFmtId="2" fontId="12" fillId="60" borderId="7006" applyFont="0" applyFill="0" applyBorder="0" applyAlignment="0" applyProtection="0"/>
    <xf numFmtId="0" fontId="25" fillId="10" borderId="7002" applyNumberFormat="0" applyProtection="0">
      <alignment horizontal="center" vertical="top"/>
    </xf>
    <xf numFmtId="0" fontId="25" fillId="10" borderId="7002" applyNumberFormat="0" applyProtection="0">
      <alignment horizontal="center" vertical="top"/>
    </xf>
    <xf numFmtId="169" fontId="234" fillId="3" borderId="7002" applyFont="0" applyProtection="0"/>
    <xf numFmtId="169" fontId="234" fillId="10" borderId="7002" applyFont="0" applyProtection="0"/>
    <xf numFmtId="293" fontId="234" fillId="3" borderId="7002" applyFont="0" applyProtection="0"/>
    <xf numFmtId="293" fontId="234" fillId="10" borderId="7002" applyFont="0" applyProtection="0"/>
    <xf numFmtId="293" fontId="234" fillId="10" borderId="7002" applyFont="0" applyProtection="0"/>
    <xf numFmtId="0" fontId="12" fillId="3" borderId="7002" applyNumberFormat="0" applyFont="0" applyAlignment="0" applyProtection="0"/>
    <xf numFmtId="0" fontId="12" fillId="10" borderId="7002" applyNumberFormat="0" applyFont="0" applyAlignment="0" applyProtection="0"/>
    <xf numFmtId="0" fontId="12" fillId="10" borderId="7002" applyNumberFormat="0" applyFont="0" applyProtection="0"/>
    <xf numFmtId="0" fontId="25" fillId="10" borderId="7007" applyNumberFormat="0" applyProtection="0">
      <alignment horizontal="left"/>
    </xf>
    <xf numFmtId="0" fontId="25" fillId="10" borderId="7008" applyNumberFormat="0" applyProtection="0">
      <alignment horizontal="left" vertical="top"/>
    </xf>
    <xf numFmtId="0" fontId="25" fillId="10" borderId="7009" applyNumberFormat="0" applyProtection="0">
      <alignment horizontal="left" vertical="top"/>
    </xf>
    <xf numFmtId="0" fontId="25" fillId="10" borderId="7010" applyNumberFormat="0" applyProtection="0">
      <alignment horizontal="left" vertical="top"/>
    </xf>
    <xf numFmtId="0" fontId="25" fillId="10" borderId="7011" applyNumberFormat="0" applyProtection="0">
      <alignment horizontal="left" vertical="top"/>
    </xf>
    <xf numFmtId="0" fontId="25" fillId="10" borderId="7012" applyNumberFormat="0" applyProtection="0">
      <alignment horizontal="left" vertical="top"/>
    </xf>
    <xf numFmtId="0" fontId="25" fillId="10" borderId="7013" applyNumberFormat="0" applyProtection="0">
      <alignment horizontal="left" vertical="top"/>
    </xf>
    <xf numFmtId="0" fontId="12" fillId="0" borderId="7001" applyNumberFormat="0" applyFill="0" applyBorder="0" applyAlignment="0" applyProtection="0"/>
    <xf numFmtId="10" fontId="12" fillId="3" borderId="7014" applyNumberFormat="0" applyFont="0" applyFill="0" applyBorder="0" applyAlignment="0">
      <protection locked="0"/>
    </xf>
    <xf numFmtId="0" fontId="12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186" fontId="146" fillId="3" borderId="7167" applyBorder="0">
      <alignment horizontal="left" vertical="center"/>
    </xf>
    <xf numFmtId="0" fontId="101" fillId="0" borderId="7179" applyBorder="0"/>
    <xf numFmtId="10" fontId="12" fillId="3" borderId="7014" applyNumberFormat="0" applyFont="0" applyFill="0" applyBorder="0" applyAlignment="0">
      <protection locked="0"/>
    </xf>
    <xf numFmtId="188" fontId="25" fillId="0" borderId="7017" applyFont="0" applyFill="0" applyBorder="0" applyAlignment="0" applyProtection="0">
      <alignment horizontal="center"/>
    </xf>
    <xf numFmtId="186" fontId="146" fillId="3" borderId="6884">
      <alignment horizontal="left"/>
    </xf>
    <xf numFmtId="0" fontId="113" fillId="0" borderId="7058" applyNumberFormat="0" applyFill="0" applyAlignment="0" applyProtection="0"/>
    <xf numFmtId="0" fontId="25" fillId="10" borderId="7212" applyNumberFormat="0" applyProtection="0">
      <alignment horizontal="left" vertical="top"/>
    </xf>
    <xf numFmtId="246" fontId="250" fillId="0" borderId="7058" applyFill="0" applyProtection="0">
      <alignment horizontal="center"/>
    </xf>
    <xf numFmtId="0" fontId="75" fillId="0" borderId="6882" applyNumberFormat="0" applyFont="0" applyFill="0" applyAlignment="0" applyProtection="0"/>
    <xf numFmtId="10" fontId="12" fillId="3" borderId="7014" applyNumberFormat="0" applyFont="0" applyFill="0" applyBorder="0" applyAlignment="0">
      <protection locked="0"/>
    </xf>
    <xf numFmtId="186" fontId="146" fillId="3" borderId="7179" applyBorder="0">
      <alignment horizontal="left" vertical="center"/>
    </xf>
    <xf numFmtId="180" fontId="9" fillId="3" borderId="7179">
      <alignment horizontal="right" vertical="center"/>
    </xf>
    <xf numFmtId="10" fontId="12" fillId="3" borderId="7014" applyNumberFormat="0" applyFont="0" applyFill="0" applyBorder="0" applyAlignment="0">
      <protection locked="0"/>
    </xf>
    <xf numFmtId="222" fontId="79" fillId="0" borderId="7015" applyBorder="0"/>
    <xf numFmtId="10" fontId="12" fillId="3" borderId="7014" applyNumberFormat="0" applyFont="0" applyFill="0" applyBorder="0" applyAlignment="0">
      <protection locked="0"/>
    </xf>
    <xf numFmtId="190" fontId="113" fillId="0" borderId="7239" applyNumberFormat="0" applyFill="0" applyAlignment="0" applyProtection="0"/>
    <xf numFmtId="0" fontId="101" fillId="0" borderId="7018" applyBorder="0"/>
    <xf numFmtId="222" fontId="79" fillId="0" borderId="7015" applyBorder="0"/>
    <xf numFmtId="0" fontId="113" fillId="0" borderId="7018" applyNumberFormat="0" applyFill="0" applyAlignment="0" applyProtection="0"/>
    <xf numFmtId="0" fontId="12" fillId="0" borderId="7018" applyNumberFormat="0" applyFill="0" applyBorder="0" applyAlignment="0" applyProtection="0">
      <alignment horizontal="center"/>
    </xf>
    <xf numFmtId="248" fontId="46" fillId="0" borderId="7018"/>
    <xf numFmtId="0" fontId="25" fillId="10" borderId="7235" applyNumberFormat="0" applyProtection="0">
      <alignment horizontal="left" vertical="top"/>
    </xf>
    <xf numFmtId="186" fontId="146" fillId="3" borderId="7206">
      <alignment horizontal="left"/>
    </xf>
    <xf numFmtId="248" fontId="46" fillId="0" borderId="7058"/>
    <xf numFmtId="192" fontId="9" fillId="3" borderId="7018">
      <alignment horizontal="right" vertical="center"/>
    </xf>
    <xf numFmtId="180" fontId="9" fillId="3" borderId="7018">
      <alignment horizontal="right" vertical="center"/>
    </xf>
    <xf numFmtId="186" fontId="146" fillId="3" borderId="7018" applyBorder="0">
      <alignment horizontal="left" vertical="center"/>
    </xf>
    <xf numFmtId="0" fontId="165" fillId="0" borderId="7018" applyFill="0" applyProtection="0">
      <alignment horizontal="center"/>
    </xf>
    <xf numFmtId="0" fontId="166" fillId="0" borderId="7018">
      <alignment horizontal="center"/>
    </xf>
    <xf numFmtId="264" fontId="12" fillId="14" borderId="7018" applyFont="0" applyFill="0" applyBorder="0" applyAlignment="0" applyProtection="0">
      <alignment horizontal="right"/>
    </xf>
    <xf numFmtId="0" fontId="210" fillId="0" borderId="7018" applyNumberFormat="0" applyFill="0" applyBorder="0" applyAlignment="0">
      <protection locked="0"/>
    </xf>
    <xf numFmtId="254" fontId="240" fillId="0" borderId="7018" applyBorder="0" applyProtection="0">
      <alignment horizontal="right" vertical="center"/>
    </xf>
    <xf numFmtId="0" fontId="241" fillId="94" borderId="7018" applyBorder="0" applyProtection="0">
      <alignment horizontal="centerContinuous" vertical="center"/>
    </xf>
    <xf numFmtId="246" fontId="249" fillId="0" borderId="7018" applyFill="0" applyProtection="0">
      <alignment horizontal="center"/>
    </xf>
    <xf numFmtId="246" fontId="250" fillId="0" borderId="7018" applyFill="0" applyProtection="0">
      <alignment horizontal="center"/>
    </xf>
    <xf numFmtId="248" fontId="46" fillId="0" borderId="7179"/>
    <xf numFmtId="0" fontId="12" fillId="0" borderId="7179" applyNumberFormat="0" applyFill="0" applyBorder="0" applyAlignment="0" applyProtection="0">
      <alignment horizontal="center"/>
    </xf>
    <xf numFmtId="192" fontId="9" fillId="3" borderId="7179">
      <alignment horizontal="right" vertical="center"/>
    </xf>
    <xf numFmtId="0" fontId="78" fillId="14" borderId="7048" applyFont="0" applyFill="0" applyBorder="0" applyAlignment="0" applyProtection="0"/>
    <xf numFmtId="0" fontId="2" fillId="0" borderId="7172" applyNumberFormat="0" applyAlignment="0" applyProtection="0"/>
    <xf numFmtId="222" fontId="79" fillId="0" borderId="7178" applyBorder="0"/>
    <xf numFmtId="10" fontId="12" fillId="3" borderId="7014" applyNumberFormat="0" applyFont="0" applyFill="0" applyBorder="0" applyAlignment="0">
      <protection locked="0"/>
    </xf>
    <xf numFmtId="0" fontId="101" fillId="0" borderId="7179" applyBorder="0"/>
    <xf numFmtId="10" fontId="12" fillId="3" borderId="7014" applyNumberFormat="0" applyFont="0" applyFill="0" applyBorder="0" applyAlignment="0">
      <protection locked="0"/>
    </xf>
    <xf numFmtId="222" fontId="79" fillId="0" borderId="7178" applyBorder="0"/>
    <xf numFmtId="0" fontId="25" fillId="10" borderId="7175" applyNumberFormat="0" applyProtection="0">
      <alignment horizontal="left" vertical="top"/>
    </xf>
    <xf numFmtId="0" fontId="25" fillId="10" borderId="7176" applyNumberFormat="0" applyProtection="0">
      <alignment horizontal="left" vertical="top"/>
    </xf>
    <xf numFmtId="0" fontId="25" fillId="10" borderId="7177" applyNumberFormat="0" applyProtection="0">
      <alignment horizontal="left" vertical="top"/>
    </xf>
    <xf numFmtId="0" fontId="75" fillId="0" borderId="7180" applyNumberFormat="0" applyFont="0" applyFill="0" applyAlignment="0" applyProtection="0"/>
    <xf numFmtId="222" fontId="79" fillId="0" borderId="7178" applyBorder="0"/>
    <xf numFmtId="310" fontId="267" fillId="0" borderId="7019">
      <alignment horizontal="left"/>
    </xf>
    <xf numFmtId="0" fontId="25" fillId="10" borderId="7175" applyNumberFormat="0" applyProtection="0">
      <alignment horizontal="left" vertical="top"/>
    </xf>
    <xf numFmtId="307" fontId="268" fillId="0" borderId="7019">
      <alignment horizontal="right" wrapText="1"/>
    </xf>
    <xf numFmtId="0" fontId="25" fillId="10" borderId="7174" applyNumberFormat="0" applyProtection="0">
      <alignment horizontal="left" vertical="top"/>
    </xf>
    <xf numFmtId="0" fontId="25" fillId="10" borderId="7175" applyNumberFormat="0" applyProtection="0">
      <alignment horizontal="left" vertical="top"/>
    </xf>
    <xf numFmtId="186" fontId="146" fillId="3" borderId="6992">
      <alignment horizontal="left"/>
    </xf>
    <xf numFmtId="0" fontId="75" fillId="0" borderId="6990" applyNumberFormat="0" applyFont="0" applyFill="0" applyAlignment="0" applyProtection="0"/>
    <xf numFmtId="0" fontId="214" fillId="0" borderId="7173" applyNumberFormat="0" applyFont="0" applyFill="0" applyAlignment="0" applyProtection="0"/>
    <xf numFmtId="0" fontId="78" fillId="14" borderId="7169" applyFont="0" applyFill="0" applyBorder="0" applyAlignment="0" applyProtection="0"/>
    <xf numFmtId="186" fontId="140" fillId="3" borderId="7243">
      <alignment horizontal="center" vertical="center"/>
    </xf>
    <xf numFmtId="180" fontId="9" fillId="3" borderId="7239">
      <alignment horizontal="right" vertical="center"/>
    </xf>
    <xf numFmtId="0" fontId="12" fillId="0" borderId="7239" applyNumberFormat="0" applyFill="0" applyBorder="0" applyAlignment="0" applyProtection="0">
      <alignment horizontal="center"/>
    </xf>
    <xf numFmtId="222" fontId="79" fillId="0" borderId="7238" applyBorder="0"/>
    <xf numFmtId="0" fontId="113" fillId="0" borderId="7058" applyNumberFormat="0" applyFill="0" applyAlignment="0" applyProtection="0"/>
    <xf numFmtId="264" fontId="12" fillId="14" borderId="7058" applyFont="0" applyFill="0" applyBorder="0" applyAlignment="0" applyProtection="0">
      <alignment horizontal="right"/>
    </xf>
    <xf numFmtId="246" fontId="249" fillId="0" borderId="7058" applyFill="0" applyProtection="0">
      <alignment horizontal="center"/>
    </xf>
    <xf numFmtId="0" fontId="25" fillId="10" borderId="6999" applyNumberFormat="0" applyProtection="0">
      <alignment horizontal="left" vertical="top"/>
    </xf>
    <xf numFmtId="0" fontId="25" fillId="10" borderId="6997" applyNumberFormat="0" applyProtection="0">
      <alignment horizontal="left" vertical="top"/>
    </xf>
    <xf numFmtId="0" fontId="25" fillId="10" borderId="6998" applyNumberFormat="0" applyProtection="0">
      <alignment horizontal="left" vertical="top"/>
    </xf>
    <xf numFmtId="0" fontId="25" fillId="10" borderId="6996" applyNumberFormat="0" applyProtection="0">
      <alignment horizontal="left" vertical="top"/>
    </xf>
    <xf numFmtId="0" fontId="25" fillId="10" borderId="6999" applyNumberFormat="0" applyProtection="0">
      <alignment horizontal="left" vertical="top"/>
    </xf>
    <xf numFmtId="0" fontId="25" fillId="10" borderId="6998" applyNumberFormat="0" applyProtection="0">
      <alignment horizontal="left" vertical="top"/>
    </xf>
    <xf numFmtId="0" fontId="25" fillId="10" borderId="6997" applyNumberFormat="0" applyProtection="0">
      <alignment horizontal="left" vertical="top"/>
    </xf>
    <xf numFmtId="0" fontId="25" fillId="10" borderId="6996" applyNumberFormat="0" applyProtection="0">
      <alignment horizontal="left" vertical="top"/>
    </xf>
    <xf numFmtId="0" fontId="214" fillId="0" borderId="6995" applyNumberFormat="0" applyFont="0" applyFill="0" applyAlignment="0" applyProtection="0"/>
    <xf numFmtId="0" fontId="2" fillId="0" borderId="6994" applyNumberFormat="0" applyAlignment="0" applyProtection="0"/>
    <xf numFmtId="186" fontId="140" fillId="3" borderId="6993">
      <alignment horizontal="center" vertical="center"/>
    </xf>
    <xf numFmtId="186" fontId="140" fillId="3" borderId="6957">
      <alignment horizontal="center" vertical="center"/>
    </xf>
    <xf numFmtId="0" fontId="25" fillId="10" borderId="6984" applyNumberFormat="0" applyProtection="0">
      <alignment horizontal="left" vertical="top"/>
    </xf>
    <xf numFmtId="0" fontId="12" fillId="0" borderId="7058" applyNumberFormat="0" applyFill="0" applyBorder="0" applyAlignment="0" applyProtection="0">
      <alignment horizontal="center"/>
    </xf>
    <xf numFmtId="0" fontId="25" fillId="10" borderId="7055" applyNumberFormat="0" applyProtection="0">
      <alignment horizontal="left" vertical="top"/>
    </xf>
    <xf numFmtId="0" fontId="78" fillId="14" borderId="7169" applyFont="0" applyFill="0" applyBorder="0" applyAlignment="0" applyProtection="0"/>
    <xf numFmtId="222" fontId="79" fillId="0" borderId="7045" applyBorder="0"/>
    <xf numFmtId="0" fontId="78" fillId="14" borderId="7048" applyFont="0" applyFill="0" applyBorder="0" applyAlignment="0" applyProtection="0"/>
    <xf numFmtId="222" fontId="79" fillId="0" borderId="7057" applyBorder="0"/>
    <xf numFmtId="0" fontId="101" fillId="0" borderId="7058" applyBorder="0"/>
    <xf numFmtId="222" fontId="79" fillId="0" borderId="7057" applyBorder="0"/>
    <xf numFmtId="248" fontId="46" fillId="0" borderId="7058"/>
    <xf numFmtId="192" fontId="9" fillId="3" borderId="7058">
      <alignment horizontal="right" vertical="center"/>
    </xf>
    <xf numFmtId="180" fontId="9" fillId="3" borderId="7058">
      <alignment horizontal="right" vertical="center"/>
    </xf>
    <xf numFmtId="186" fontId="146" fillId="3" borderId="7058" applyBorder="0">
      <alignment horizontal="left" vertical="center"/>
    </xf>
    <xf numFmtId="0" fontId="165" fillId="0" borderId="7058" applyFill="0" applyProtection="0">
      <alignment horizontal="center"/>
    </xf>
    <xf numFmtId="0" fontId="210" fillId="0" borderId="7058" applyNumberFormat="0" applyFill="0" applyBorder="0" applyAlignment="0">
      <protection locked="0"/>
    </xf>
    <xf numFmtId="254" fontId="240" fillId="0" borderId="7058" applyBorder="0" applyProtection="0">
      <alignment horizontal="right" vertical="center"/>
    </xf>
    <xf numFmtId="246" fontId="250" fillId="0" borderId="7058" applyFill="0" applyProtection="0">
      <alignment horizontal="center"/>
    </xf>
    <xf numFmtId="10" fontId="12" fillId="3" borderId="7014" applyNumberFormat="0" applyFont="0" applyFill="0" applyBorder="0" applyAlignment="0">
      <protection locked="0"/>
    </xf>
    <xf numFmtId="222" fontId="79" fillId="0" borderId="7015" applyBorder="0"/>
    <xf numFmtId="0" fontId="25" fillId="10" borderId="6985" applyNumberFormat="0" applyProtection="0">
      <alignment horizontal="left" vertical="top"/>
    </xf>
    <xf numFmtId="0" fontId="25" fillId="10" borderId="6987" applyNumberFormat="0" applyProtection="0">
      <alignment horizontal="left" vertical="top"/>
    </xf>
    <xf numFmtId="0" fontId="25" fillId="10" borderId="6984" applyNumberFormat="0" applyProtection="0">
      <alignment horizontal="left" vertical="top"/>
    </xf>
    <xf numFmtId="0" fontId="25" fillId="10" borderId="6985" applyNumberFormat="0" applyProtection="0">
      <alignment horizontal="left" vertical="top"/>
    </xf>
    <xf numFmtId="0" fontId="25" fillId="10" borderId="6986" applyNumberFormat="0" applyProtection="0">
      <alignment horizontal="left" vertical="top"/>
    </xf>
    <xf numFmtId="0" fontId="75" fillId="0" borderId="6990" applyNumberFormat="0" applyFont="0" applyFill="0" applyAlignment="0" applyProtection="0"/>
    <xf numFmtId="0" fontId="101" fillId="0" borderId="7018" applyBorder="0"/>
    <xf numFmtId="222" fontId="79" fillId="0" borderId="7015" applyBorder="0"/>
    <xf numFmtId="0" fontId="113" fillId="0" borderId="7018" applyNumberFormat="0" applyFill="0" applyAlignment="0" applyProtection="0"/>
    <xf numFmtId="0" fontId="12" fillId="0" borderId="7018" applyNumberFormat="0" applyFill="0" applyBorder="0" applyAlignment="0" applyProtection="0">
      <alignment horizontal="center"/>
    </xf>
    <xf numFmtId="248" fontId="46" fillId="0" borderId="7018"/>
    <xf numFmtId="192" fontId="9" fillId="3" borderId="7018">
      <alignment horizontal="right" vertical="center"/>
    </xf>
    <xf numFmtId="180" fontId="9" fillId="3" borderId="7018">
      <alignment horizontal="right" vertical="center"/>
    </xf>
    <xf numFmtId="186" fontId="146" fillId="3" borderId="7018" applyBorder="0">
      <alignment horizontal="left" vertical="center"/>
    </xf>
    <xf numFmtId="0" fontId="166" fillId="0" borderId="7018">
      <alignment horizontal="center"/>
    </xf>
    <xf numFmtId="0" fontId="210" fillId="0" borderId="7018" applyNumberFormat="0" applyFill="0" applyBorder="0" applyAlignment="0">
      <protection locked="0"/>
    </xf>
    <xf numFmtId="264" fontId="12" fillId="14" borderId="7018" applyFont="0" applyFill="0" applyBorder="0" applyAlignment="0" applyProtection="0">
      <alignment horizontal="right"/>
    </xf>
    <xf numFmtId="246" fontId="249" fillId="0" borderId="7018" applyFill="0" applyProtection="0">
      <alignment horizontal="center"/>
    </xf>
    <xf numFmtId="246" fontId="250" fillId="0" borderId="7018" applyFill="0" applyProtection="0">
      <alignment horizontal="center"/>
    </xf>
    <xf numFmtId="246" fontId="250" fillId="0" borderId="7034" applyFill="0" applyProtection="0">
      <alignment horizontal="center"/>
    </xf>
    <xf numFmtId="246" fontId="249" fillId="0" borderId="7034" applyFill="0" applyProtection="0">
      <alignment horizontal="center"/>
    </xf>
    <xf numFmtId="254" fontId="240" fillId="0" borderId="7034" applyBorder="0" applyProtection="0">
      <alignment horizontal="right" vertical="center"/>
    </xf>
    <xf numFmtId="264" fontId="12" fillId="14" borderId="7034" applyFont="0" applyFill="0" applyBorder="0" applyAlignment="0" applyProtection="0">
      <alignment horizontal="right"/>
    </xf>
    <xf numFmtId="0" fontId="165" fillId="0" borderId="7034" applyFill="0" applyProtection="0">
      <alignment horizontal="center"/>
    </xf>
    <xf numFmtId="180" fontId="9" fillId="3" borderId="7034">
      <alignment horizontal="right" vertical="center"/>
    </xf>
    <xf numFmtId="0" fontId="12" fillId="0" borderId="7034" applyNumberFormat="0" applyFill="0" applyBorder="0" applyAlignment="0" applyProtection="0">
      <alignment horizontal="center"/>
    </xf>
    <xf numFmtId="0" fontId="101" fillId="0" borderId="7034" applyBorder="0"/>
    <xf numFmtId="222" fontId="79" fillId="0" borderId="7033" applyBorder="0"/>
    <xf numFmtId="0" fontId="75" fillId="0" borderId="7023" applyNumberFormat="0" applyFont="0" applyFill="0" applyAlignment="0" applyProtection="0"/>
    <xf numFmtId="0" fontId="2" fillId="0" borderId="7027" applyNumberFormat="0" applyAlignment="0" applyProtection="0"/>
    <xf numFmtId="0" fontId="25" fillId="10" borderId="7029" applyNumberFormat="0" applyProtection="0">
      <alignment horizontal="left" vertical="top"/>
    </xf>
    <xf numFmtId="0" fontId="25" fillId="10" borderId="7032" applyNumberFormat="0" applyProtection="0">
      <alignment horizontal="left" vertical="top"/>
    </xf>
    <xf numFmtId="222" fontId="79" fillId="0" borderId="7015" applyBorder="0"/>
    <xf numFmtId="0" fontId="25" fillId="10" borderId="6998" applyNumberFormat="0" applyProtection="0">
      <alignment horizontal="left" vertical="top"/>
    </xf>
    <xf numFmtId="10" fontId="12" fillId="3" borderId="7014" applyNumberFormat="0" applyFont="0" applyFill="0" applyBorder="0" applyAlignment="0">
      <protection locked="0"/>
    </xf>
    <xf numFmtId="0" fontId="25" fillId="10" borderId="6996" applyNumberFormat="0" applyProtection="0">
      <alignment horizontal="left" vertical="top"/>
    </xf>
    <xf numFmtId="0" fontId="214" fillId="0" borderId="6995" applyNumberFormat="0" applyFont="0" applyFill="0" applyAlignment="0" applyProtection="0"/>
    <xf numFmtId="186" fontId="146" fillId="3" borderId="6992">
      <alignment horizontal="left"/>
    </xf>
    <xf numFmtId="222" fontId="79" fillId="0" borderId="7015" applyBorder="0"/>
    <xf numFmtId="186" fontId="146" fillId="3" borderId="7167" applyBorder="0">
      <alignment horizontal="left" vertical="center"/>
    </xf>
    <xf numFmtId="10" fontId="12" fillId="3" borderId="7014" applyNumberFormat="0" applyFont="0" applyFill="0" applyBorder="0" applyAlignment="0">
      <protection locked="0"/>
    </xf>
    <xf numFmtId="0" fontId="101" fillId="0" borderId="6989" applyBorder="0"/>
    <xf numFmtId="0" fontId="113" fillId="0" borderId="6989" applyNumberFormat="0" applyFill="0" applyAlignment="0" applyProtection="0"/>
    <xf numFmtId="0" fontId="12" fillId="0" borderId="6989" applyNumberFormat="0" applyFill="0" applyBorder="0" applyAlignment="0" applyProtection="0">
      <alignment horizontal="center"/>
    </xf>
    <xf numFmtId="248" fontId="46" fillId="0" borderId="6989"/>
    <xf numFmtId="192" fontId="9" fillId="3" borderId="6989">
      <alignment horizontal="right" vertical="center"/>
    </xf>
    <xf numFmtId="180" fontId="9" fillId="3" borderId="6989">
      <alignment horizontal="right" vertical="center"/>
    </xf>
    <xf numFmtId="186" fontId="146" fillId="3" borderId="6989" applyBorder="0">
      <alignment horizontal="left" vertical="center"/>
    </xf>
    <xf numFmtId="0" fontId="165" fillId="0" borderId="6989" applyFill="0" applyProtection="0">
      <alignment horizontal="center"/>
    </xf>
    <xf numFmtId="0" fontId="166" fillId="0" borderId="6989">
      <alignment horizontal="center"/>
    </xf>
    <xf numFmtId="264" fontId="12" fillId="14" borderId="6989" applyFont="0" applyFill="0" applyBorder="0" applyAlignment="0" applyProtection="0">
      <alignment horizontal="right"/>
    </xf>
    <xf numFmtId="0" fontId="210" fillId="0" borderId="6989" applyNumberFormat="0" applyFill="0" applyBorder="0" applyAlignment="0">
      <protection locked="0"/>
    </xf>
    <xf numFmtId="248" fontId="46" fillId="0" borderId="7034"/>
    <xf numFmtId="222" fontId="79" fillId="0" borderId="7033" applyBorder="0"/>
    <xf numFmtId="186" fontId="140" fillId="3" borderId="7026">
      <alignment horizontal="center" vertical="center"/>
    </xf>
    <xf numFmtId="0" fontId="25" fillId="10" borderId="7031" applyNumberFormat="0" applyProtection="0">
      <alignment horizontal="left" vertical="top"/>
    </xf>
    <xf numFmtId="0" fontId="210" fillId="0" borderId="7034" applyNumberFormat="0" applyFill="0" applyBorder="0" applyAlignment="0">
      <protection locked="0"/>
    </xf>
    <xf numFmtId="192" fontId="9" fillId="3" borderId="7034">
      <alignment horizontal="right" vertical="center"/>
    </xf>
    <xf numFmtId="0" fontId="113" fillId="0" borderId="7034" applyNumberFormat="0" applyFill="0" applyAlignment="0" applyProtection="0"/>
    <xf numFmtId="186" fontId="146" fillId="3" borderId="7025">
      <alignment horizontal="left"/>
    </xf>
    <xf numFmtId="0" fontId="25" fillId="10" borderId="7030" applyNumberFormat="0" applyProtection="0">
      <alignment horizontal="left" vertical="top"/>
    </xf>
    <xf numFmtId="254" fontId="240" fillId="0" borderId="6989" applyBorder="0" applyProtection="0">
      <alignment horizontal="right" vertical="center"/>
    </xf>
    <xf numFmtId="0" fontId="241" fillId="94" borderId="6989" applyBorder="0" applyProtection="0">
      <alignment horizontal="centerContinuous" vertical="center"/>
    </xf>
    <xf numFmtId="246" fontId="249" fillId="0" borderId="6989" applyFill="0" applyProtection="0">
      <alignment horizontal="center"/>
    </xf>
    <xf numFmtId="246" fontId="250" fillId="0" borderId="6989" applyFill="0" applyProtection="0">
      <alignment horizontal="center"/>
    </xf>
    <xf numFmtId="0" fontId="25" fillId="10" borderId="7054" applyNumberFormat="0" applyProtection="0">
      <alignment horizontal="left" vertical="top"/>
    </xf>
    <xf numFmtId="10" fontId="12" fillId="3" borderId="7014" applyNumberFormat="0" applyFont="0" applyFill="0" applyBorder="0" applyAlignment="0">
      <protection locked="0"/>
    </xf>
    <xf numFmtId="0" fontId="25" fillId="10" borderId="7056" applyNumberFormat="0" applyProtection="0">
      <alignment horizontal="left" vertical="top"/>
    </xf>
    <xf numFmtId="222" fontId="79" fillId="0" borderId="7015" applyBorder="0"/>
    <xf numFmtId="0" fontId="214" fillId="0" borderId="7052" applyNumberFormat="0" applyFont="0" applyFill="0" applyAlignment="0" applyProtection="0"/>
    <xf numFmtId="0" fontId="75" fillId="0" borderId="6882" applyNumberFormat="0" applyFont="0" applyFill="0" applyAlignment="0" applyProtection="0"/>
    <xf numFmtId="0" fontId="25" fillId="10" borderId="6986" applyNumberFormat="0" applyProtection="0">
      <alignment horizontal="left" vertical="top"/>
    </xf>
    <xf numFmtId="0" fontId="25" fillId="10" borderId="6987" applyNumberFormat="0" applyProtection="0">
      <alignment horizontal="left" vertical="top"/>
    </xf>
    <xf numFmtId="0" fontId="165" fillId="0" borderId="7018" applyFill="0" applyProtection="0">
      <alignment horizontal="center"/>
    </xf>
    <xf numFmtId="254" fontId="240" fillId="0" borderId="7018" applyBorder="0" applyProtection="0">
      <alignment horizontal="right" vertical="center"/>
    </xf>
    <xf numFmtId="0" fontId="241" fillId="94" borderId="7018" applyBorder="0" applyProtection="0">
      <alignment horizontal="centerContinuous" vertical="center"/>
    </xf>
    <xf numFmtId="0" fontId="241" fillId="94" borderId="7034" applyBorder="0" applyProtection="0">
      <alignment horizontal="centerContinuous" vertical="center"/>
    </xf>
    <xf numFmtId="0" fontId="166" fillId="0" borderId="7034">
      <alignment horizontal="center"/>
    </xf>
    <xf numFmtId="186" fontId="146" fillId="3" borderId="7034" applyBorder="0">
      <alignment horizontal="left" vertical="center"/>
    </xf>
    <xf numFmtId="0" fontId="214" fillId="0" borderId="7028" applyNumberFormat="0" applyFont="0" applyFill="0" applyAlignment="0" applyProtection="0"/>
    <xf numFmtId="0" fontId="78" fillId="14" borderId="7024" applyFont="0" applyFill="0" applyBorder="0" applyAlignment="0" applyProtection="0"/>
    <xf numFmtId="0" fontId="78" fillId="14" borderId="6979" applyFont="0" applyFill="0" applyBorder="0" applyAlignment="0" applyProtection="0"/>
    <xf numFmtId="0" fontId="25" fillId="10" borderId="6987" applyNumberFormat="0" applyProtection="0">
      <alignment horizontal="left" vertical="top"/>
    </xf>
    <xf numFmtId="0" fontId="25" fillId="10" borderId="6986" applyNumberFormat="0" applyProtection="0">
      <alignment horizontal="left" vertical="top"/>
    </xf>
    <xf numFmtId="0" fontId="25" fillId="10" borderId="6985" applyNumberFormat="0" applyProtection="0">
      <alignment horizontal="left" vertical="top"/>
    </xf>
    <xf numFmtId="0" fontId="25" fillId="10" borderId="6984" applyNumberFormat="0" applyProtection="0">
      <alignment horizontal="left" vertical="top"/>
    </xf>
    <xf numFmtId="186" fontId="140" fillId="3" borderId="7050">
      <alignment horizontal="center" vertical="center"/>
    </xf>
    <xf numFmtId="0" fontId="214" fillId="0" borderId="6983" applyNumberFormat="0" applyFont="0" applyFill="0" applyAlignment="0" applyProtection="0"/>
    <xf numFmtId="186" fontId="140" fillId="3" borderId="6957">
      <alignment horizontal="center" vertical="center"/>
    </xf>
    <xf numFmtId="186" fontId="146" fillId="3" borderId="6884">
      <alignment horizontal="left"/>
    </xf>
    <xf numFmtId="186" fontId="146" fillId="3" borderId="7049">
      <alignment horizontal="left"/>
    </xf>
    <xf numFmtId="0" fontId="75" fillId="0" borderId="6882" applyNumberFormat="0" applyFont="0" applyFill="0" applyAlignment="0" applyProtection="0"/>
    <xf numFmtId="0" fontId="75" fillId="0" borderId="7047" applyNumberFormat="0" applyFont="0" applyFill="0" applyAlignment="0" applyProtection="0"/>
    <xf numFmtId="222" fontId="79" fillId="0" borderId="7015" applyBorder="0"/>
    <xf numFmtId="222" fontId="79" fillId="0" borderId="7015" applyBorder="0"/>
    <xf numFmtId="0" fontId="25" fillId="10" borderId="7053" applyNumberFormat="0" applyProtection="0">
      <alignment horizontal="left" vertical="top"/>
    </xf>
    <xf numFmtId="0" fontId="2" fillId="0" borderId="7051" applyNumberFormat="0" applyAlignment="0" applyProtection="0"/>
    <xf numFmtId="246" fontId="250" fillId="0" borderId="7018" applyFill="0" applyProtection="0">
      <alignment horizontal="center"/>
    </xf>
    <xf numFmtId="246" fontId="249" fillId="0" borderId="7018" applyFill="0" applyProtection="0">
      <alignment horizontal="center"/>
    </xf>
    <xf numFmtId="0" fontId="241" fillId="94" borderId="7018" applyBorder="0" applyProtection="0">
      <alignment horizontal="centerContinuous" vertical="center"/>
    </xf>
    <xf numFmtId="254" fontId="240" fillId="0" borderId="7018" applyBorder="0" applyProtection="0">
      <alignment horizontal="right" vertical="center"/>
    </xf>
    <xf numFmtId="0" fontId="210" fillId="0" borderId="7018" applyNumberFormat="0" applyFill="0" applyBorder="0" applyAlignment="0">
      <protection locked="0"/>
    </xf>
    <xf numFmtId="264" fontId="12" fillId="14" borderId="7018" applyFont="0" applyFill="0" applyBorder="0" applyAlignment="0" applyProtection="0">
      <alignment horizontal="right"/>
    </xf>
    <xf numFmtId="0" fontId="166" fillId="0" borderId="7018">
      <alignment horizontal="center"/>
    </xf>
    <xf numFmtId="0" fontId="165" fillId="0" borderId="7018" applyFill="0" applyProtection="0">
      <alignment horizontal="center"/>
    </xf>
    <xf numFmtId="186" fontId="146" fillId="3" borderId="7018" applyBorder="0">
      <alignment horizontal="left" vertical="center"/>
    </xf>
    <xf numFmtId="180" fontId="9" fillId="3" borderId="7018">
      <alignment horizontal="right" vertical="center"/>
    </xf>
    <xf numFmtId="192" fontId="9" fillId="3" borderId="7018">
      <alignment horizontal="right" vertical="center"/>
    </xf>
    <xf numFmtId="248" fontId="46" fillId="0" borderId="7018"/>
    <xf numFmtId="0" fontId="12" fillId="0" borderId="7018" applyNumberFormat="0" applyFill="0" applyBorder="0" applyAlignment="0" applyProtection="0">
      <alignment horizontal="center"/>
    </xf>
    <xf numFmtId="0" fontId="113" fillId="0" borderId="7018" applyNumberFormat="0" applyFill="0" applyAlignment="0" applyProtection="0"/>
    <xf numFmtId="222" fontId="79" fillId="0" borderId="7015" applyBorder="0"/>
    <xf numFmtId="0" fontId="101" fillId="0" borderId="7018" applyBorder="0"/>
    <xf numFmtId="222" fontId="79" fillId="0" borderId="7015" applyBorder="0"/>
    <xf numFmtId="0" fontId="75" fillId="0" borderId="6990" applyNumberFormat="0" applyFont="0" applyFill="0" applyAlignment="0" applyProtection="0"/>
    <xf numFmtId="186" fontId="146" fillId="3" borderId="6992">
      <alignment horizontal="left"/>
    </xf>
    <xf numFmtId="186" fontId="140" fillId="3" borderId="6993">
      <alignment horizontal="center" vertical="center"/>
    </xf>
    <xf numFmtId="0" fontId="2" fillId="0" borderId="6994" applyNumberFormat="0" applyAlignment="0" applyProtection="0"/>
    <xf numFmtId="0" fontId="214" fillId="0" borderId="6995" applyNumberFormat="0" applyFont="0" applyFill="0" applyAlignment="0" applyProtection="0"/>
    <xf numFmtId="0" fontId="25" fillId="10" borderId="6996" applyNumberFormat="0" applyProtection="0">
      <alignment horizontal="left" vertical="top"/>
    </xf>
    <xf numFmtId="0" fontId="25" fillId="10" borderId="6997" applyNumberFormat="0" applyProtection="0">
      <alignment horizontal="left" vertical="top"/>
    </xf>
    <xf numFmtId="0" fontId="25" fillId="10" borderId="6998" applyNumberFormat="0" applyProtection="0">
      <alignment horizontal="left" vertical="top"/>
    </xf>
    <xf numFmtId="0" fontId="25" fillId="10" borderId="6999" applyNumberFormat="0" applyProtection="0">
      <alignment horizontal="left" vertical="top"/>
    </xf>
    <xf numFmtId="0" fontId="78" fillId="14" borderId="6991" applyFont="0" applyFill="0" applyBorder="0" applyAlignment="0" applyProtection="0"/>
    <xf numFmtId="246" fontId="250" fillId="0" borderId="7239" applyFill="0" applyProtection="0">
      <alignment horizontal="center"/>
    </xf>
    <xf numFmtId="0" fontId="25" fillId="10" borderId="7249" applyNumberFormat="0" applyProtection="0">
      <alignment horizontal="left" vertical="top"/>
    </xf>
    <xf numFmtId="222" fontId="79" fillId="0" borderId="7015" applyBorder="0"/>
    <xf numFmtId="0" fontId="75" fillId="0" borderId="7240" applyNumberFormat="0" applyFont="0" applyFill="0" applyAlignment="0" applyProtection="0"/>
    <xf numFmtId="0" fontId="276" fillId="54" borderId="7020" applyNumberFormat="0" applyAlignment="0" applyProtection="0"/>
    <xf numFmtId="222" fontId="79" fillId="0" borderId="7226" applyBorder="0"/>
    <xf numFmtId="0" fontId="101" fillId="0" borderId="7191" applyBorder="0"/>
    <xf numFmtId="0" fontId="283" fillId="103" borderId="7020" applyNumberFormat="0" applyAlignment="0" applyProtection="0"/>
    <xf numFmtId="0" fontId="50" fillId="117" borderId="7003" applyNumberFormat="0" applyFont="0" applyAlignment="0" applyProtection="0"/>
    <xf numFmtId="0" fontId="78" fillId="14" borderId="7181" applyFont="0" applyFill="0" applyBorder="0" applyAlignment="0" applyProtection="0"/>
    <xf numFmtId="0" fontId="286" fillId="54" borderId="7021" applyNumberFormat="0" applyAlignment="0" applyProtection="0"/>
    <xf numFmtId="0" fontId="283" fillId="103" borderId="7020" applyNumberFormat="0" applyAlignment="0" applyProtection="0"/>
    <xf numFmtId="222" fontId="79" fillId="0" borderId="7178" applyBorder="0"/>
    <xf numFmtId="0" fontId="288" fillId="0" borderId="7022" applyNumberFormat="0" applyFill="0" applyAlignment="0" applyProtection="0"/>
    <xf numFmtId="0" fontId="276" fillId="54" borderId="7020" applyNumberFormat="0" applyAlignment="0" applyProtection="0"/>
    <xf numFmtId="0" fontId="2" fillId="0" borderId="7172" applyNumberFormat="0" applyAlignment="0" applyProtection="0"/>
    <xf numFmtId="0" fontId="214" fillId="0" borderId="7173" applyNumberFormat="0" applyFont="0" applyFill="0" applyAlignment="0" applyProtection="0"/>
    <xf numFmtId="0" fontId="78" fillId="14" borderId="7169" applyFont="0" applyFill="0" applyBorder="0" applyAlignment="0" applyProtection="0"/>
    <xf numFmtId="0" fontId="101" fillId="0" borderId="7239" applyBorder="0"/>
    <xf numFmtId="0" fontId="78" fillId="14" borderId="6979" applyFont="0" applyFill="0" applyBorder="0" applyAlignment="0" applyProtection="0"/>
    <xf numFmtId="222" fontId="79" fillId="0" borderId="7015" applyBorder="0"/>
    <xf numFmtId="186" fontId="146" fillId="3" borderId="7170">
      <alignment horizontal="left"/>
    </xf>
    <xf numFmtId="0" fontId="25" fillId="10" borderId="7247" applyNumberFormat="0" applyProtection="0">
      <alignment horizontal="left" vertical="top"/>
    </xf>
    <xf numFmtId="0" fontId="214" fillId="0" borderId="7245" applyNumberFormat="0" applyFont="0" applyFill="0" applyAlignment="0" applyProtection="0"/>
    <xf numFmtId="0" fontId="25" fillId="10" borderId="7189" applyNumberFormat="0" applyProtection="0">
      <alignment horizontal="left" vertical="top"/>
    </xf>
    <xf numFmtId="0" fontId="78" fillId="14" borderId="6979" applyFont="0" applyFill="0" applyBorder="0" applyAlignment="0" applyProtection="0"/>
    <xf numFmtId="0" fontId="25" fillId="10" borderId="6987" applyNumberFormat="0" applyProtection="0">
      <alignment horizontal="left" vertical="top"/>
    </xf>
    <xf numFmtId="0" fontId="25" fillId="10" borderId="6986" applyNumberFormat="0" applyProtection="0">
      <alignment horizontal="left" vertical="top"/>
    </xf>
    <xf numFmtId="0" fontId="25" fillId="10" borderId="6985" applyNumberFormat="0" applyProtection="0">
      <alignment horizontal="left" vertical="top"/>
    </xf>
    <xf numFmtId="0" fontId="25" fillId="10" borderId="6984" applyNumberFormat="0" applyProtection="0">
      <alignment horizontal="left" vertical="top"/>
    </xf>
    <xf numFmtId="0" fontId="166" fillId="0" borderId="7239">
      <alignment horizontal="center"/>
    </xf>
    <xf numFmtId="0" fontId="214" fillId="0" borderId="6983" applyNumberFormat="0" applyFont="0" applyFill="0" applyAlignment="0" applyProtection="0"/>
    <xf numFmtId="186" fontId="140" fillId="3" borderId="6957">
      <alignment horizontal="center" vertical="center"/>
    </xf>
    <xf numFmtId="186" fontId="146" fillId="3" borderId="6884">
      <alignment horizontal="left"/>
    </xf>
    <xf numFmtId="186" fontId="146" fillId="3" borderId="7242">
      <alignment horizontal="left"/>
    </xf>
    <xf numFmtId="0" fontId="75" fillId="0" borderId="6882" applyNumberFormat="0" applyFont="0" applyFill="0" applyAlignment="0" applyProtection="0"/>
    <xf numFmtId="192" fontId="9" fillId="3" borderId="7239">
      <alignment horizontal="right" vertical="center"/>
    </xf>
    <xf numFmtId="222" fontId="79" fillId="0" borderId="7015" applyBorder="0"/>
    <xf numFmtId="0" fontId="101" fillId="0" borderId="7018" applyBorder="0"/>
    <xf numFmtId="222" fontId="79" fillId="0" borderId="7015" applyBorder="0"/>
    <xf numFmtId="0" fontId="113" fillId="0" borderId="7018" applyNumberFormat="0" applyFill="0" applyAlignment="0" applyProtection="0"/>
    <xf numFmtId="0" fontId="12" fillId="0" borderId="7018" applyNumberFormat="0" applyFill="0" applyBorder="0" applyAlignment="0" applyProtection="0">
      <alignment horizontal="center"/>
    </xf>
    <xf numFmtId="248" fontId="46" fillId="0" borderId="7018"/>
    <xf numFmtId="192" fontId="9" fillId="3" borderId="7018">
      <alignment horizontal="right" vertical="center"/>
    </xf>
    <xf numFmtId="180" fontId="9" fillId="3" borderId="7018">
      <alignment horizontal="right" vertical="center"/>
    </xf>
    <xf numFmtId="186" fontId="146" fillId="3" borderId="7018" applyBorder="0">
      <alignment horizontal="left" vertical="center"/>
    </xf>
    <xf numFmtId="0" fontId="165" fillId="0" borderId="7018" applyFill="0" applyProtection="0">
      <alignment horizontal="center"/>
    </xf>
    <xf numFmtId="0" fontId="166" fillId="0" borderId="7018">
      <alignment horizontal="center"/>
    </xf>
    <xf numFmtId="264" fontId="12" fillId="14" borderId="7018" applyFont="0" applyFill="0" applyBorder="0" applyAlignment="0" applyProtection="0">
      <alignment horizontal="right"/>
    </xf>
    <xf numFmtId="0" fontId="210" fillId="0" borderId="7018" applyNumberFormat="0" applyFill="0" applyBorder="0" applyAlignment="0">
      <protection locked="0"/>
    </xf>
    <xf numFmtId="254" fontId="240" fillId="0" borderId="7018" applyBorder="0" applyProtection="0">
      <alignment horizontal="right" vertical="center"/>
    </xf>
    <xf numFmtId="0" fontId="241" fillId="94" borderId="7018" applyBorder="0" applyProtection="0">
      <alignment horizontal="centerContinuous" vertical="center"/>
    </xf>
    <xf numFmtId="246" fontId="249" fillId="0" borderId="7018" applyFill="0" applyProtection="0">
      <alignment horizontal="center"/>
    </xf>
    <xf numFmtId="246" fontId="250" fillId="0" borderId="7018" applyFill="0" applyProtection="0">
      <alignment horizontal="center"/>
    </xf>
    <xf numFmtId="0" fontId="25" fillId="10" borderId="7247" applyNumberFormat="0" applyProtection="0">
      <alignment horizontal="left" vertical="top"/>
    </xf>
    <xf numFmtId="0" fontId="286" fillId="54" borderId="7021" applyNumberFormat="0" applyAlignment="0" applyProtection="0"/>
    <xf numFmtId="0" fontId="75" fillId="0" borderId="7168" applyNumberFormat="0" applyFont="0" applyFill="0" applyAlignment="0" applyProtection="0"/>
    <xf numFmtId="0" fontId="210" fillId="0" borderId="7239" applyNumberFormat="0" applyFill="0" applyBorder="0" applyAlignment="0">
      <protection locked="0"/>
    </xf>
    <xf numFmtId="0" fontId="288" fillId="0" borderId="7022" applyNumberFormat="0" applyFill="0" applyAlignment="0" applyProtection="0"/>
    <xf numFmtId="0" fontId="25" fillId="10" borderId="7177" applyNumberFormat="0" applyProtection="0">
      <alignment horizontal="left" vertical="top"/>
    </xf>
    <xf numFmtId="0" fontId="25" fillId="10" borderId="7175" applyNumberFormat="0" applyProtection="0">
      <alignment horizontal="left" vertical="top"/>
    </xf>
    <xf numFmtId="0" fontId="25" fillId="10" borderId="7176" applyNumberFormat="0" applyProtection="0">
      <alignment horizontal="left" vertical="top"/>
    </xf>
    <xf numFmtId="0" fontId="25" fillId="10" borderId="7174" applyNumberFormat="0" applyProtection="0">
      <alignment horizontal="left" vertical="top"/>
    </xf>
    <xf numFmtId="186" fontId="140" fillId="3" borderId="7171">
      <alignment horizontal="center" vertical="center"/>
    </xf>
    <xf numFmtId="0" fontId="241" fillId="94" borderId="7058" applyBorder="0" applyProtection="0">
      <alignment horizontal="centerContinuous" vertical="center"/>
    </xf>
    <xf numFmtId="0" fontId="166" fillId="0" borderId="7058">
      <alignment horizontal="center"/>
    </xf>
    <xf numFmtId="0" fontId="214" fillId="0" borderId="6983" applyNumberFormat="0" applyFont="0" applyFill="0" applyAlignment="0" applyProtection="0"/>
    <xf numFmtId="246" fontId="250" fillId="0" borderId="7018" applyFill="0" applyProtection="0">
      <alignment horizontal="center"/>
    </xf>
    <xf numFmtId="246" fontId="249" fillId="0" borderId="7018" applyFill="0" applyProtection="0">
      <alignment horizontal="center"/>
    </xf>
    <xf numFmtId="0" fontId="241" fillId="94" borderId="7018" applyBorder="0" applyProtection="0">
      <alignment horizontal="centerContinuous" vertical="center"/>
    </xf>
    <xf numFmtId="254" fontId="240" fillId="0" borderId="7018" applyBorder="0" applyProtection="0">
      <alignment horizontal="right" vertical="center"/>
    </xf>
    <xf numFmtId="0" fontId="210" fillId="0" borderId="7018" applyNumberFormat="0" applyFill="0" applyBorder="0" applyAlignment="0">
      <protection locked="0"/>
    </xf>
    <xf numFmtId="264" fontId="12" fillId="14" borderId="7018" applyFont="0" applyFill="0" applyBorder="0" applyAlignment="0" applyProtection="0">
      <alignment horizontal="right"/>
    </xf>
    <xf numFmtId="0" fontId="166" fillId="0" borderId="7018">
      <alignment horizontal="center"/>
    </xf>
    <xf numFmtId="0" fontId="165" fillId="0" borderId="7018" applyFill="0" applyProtection="0">
      <alignment horizontal="center"/>
    </xf>
    <xf numFmtId="186" fontId="146" fillId="3" borderId="7018" applyBorder="0">
      <alignment horizontal="left" vertical="center"/>
    </xf>
    <xf numFmtId="180" fontId="9" fillId="3" borderId="7018">
      <alignment horizontal="right" vertical="center"/>
    </xf>
    <xf numFmtId="192" fontId="9" fillId="3" borderId="7018">
      <alignment horizontal="right" vertical="center"/>
    </xf>
    <xf numFmtId="248" fontId="46" fillId="0" borderId="7018"/>
    <xf numFmtId="0" fontId="12" fillId="0" borderId="7018" applyNumberFormat="0" applyFill="0" applyBorder="0" applyAlignment="0" applyProtection="0">
      <alignment horizontal="center"/>
    </xf>
    <xf numFmtId="0" fontId="113" fillId="0" borderId="7018" applyNumberFormat="0" applyFill="0" applyAlignment="0" applyProtection="0"/>
    <xf numFmtId="222" fontId="79" fillId="0" borderId="7015" applyBorder="0"/>
    <xf numFmtId="0" fontId="101" fillId="0" borderId="7018" applyBorder="0"/>
    <xf numFmtId="222" fontId="79" fillId="0" borderId="7015" applyBorder="0"/>
    <xf numFmtId="0" fontId="75" fillId="0" borderId="6882" applyNumberFormat="0" applyFont="0" applyFill="0" applyAlignment="0" applyProtection="0"/>
    <xf numFmtId="186" fontId="146" fillId="3" borderId="6884">
      <alignment horizontal="left"/>
    </xf>
    <xf numFmtId="186" fontId="140" fillId="3" borderId="6957">
      <alignment horizontal="center" vertical="center"/>
    </xf>
    <xf numFmtId="0" fontId="214" fillId="0" borderId="6983" applyNumberFormat="0" applyFont="0" applyFill="0" applyAlignment="0" applyProtection="0"/>
    <xf numFmtId="0" fontId="25" fillId="10" borderId="6984" applyNumberFormat="0" applyProtection="0">
      <alignment horizontal="left" vertical="top"/>
    </xf>
    <xf numFmtId="0" fontId="25" fillId="10" borderId="6985" applyNumberFormat="0" applyProtection="0">
      <alignment horizontal="left" vertical="top"/>
    </xf>
    <xf numFmtId="0" fontId="25" fillId="10" borderId="6986" applyNumberFormat="0" applyProtection="0">
      <alignment horizontal="left" vertical="top"/>
    </xf>
    <xf numFmtId="0" fontId="25" fillId="10" borderId="6987" applyNumberFormat="0" applyProtection="0">
      <alignment horizontal="left" vertical="top"/>
    </xf>
    <xf numFmtId="0" fontId="78" fillId="14" borderId="6991" applyFont="0" applyFill="0" applyBorder="0" applyAlignment="0" applyProtection="0"/>
    <xf numFmtId="222" fontId="79" fillId="0" borderId="7015" applyBorder="0"/>
    <xf numFmtId="0" fontId="78" fillId="14" borderId="6991" applyFont="0" applyFill="0" applyBorder="0" applyAlignment="0" applyProtection="0"/>
    <xf numFmtId="186" fontId="146" fillId="3" borderId="6884">
      <alignment horizontal="left"/>
    </xf>
    <xf numFmtId="0" fontId="78" fillId="14" borderId="6991" applyFont="0" applyFill="0" applyBorder="0" applyAlignment="0" applyProtection="0"/>
    <xf numFmtId="222" fontId="79" fillId="0" borderId="7015" applyBorder="0"/>
    <xf numFmtId="0" fontId="2" fillId="0" borderId="6994" applyNumberFormat="0" applyAlignment="0" applyProtection="0"/>
    <xf numFmtId="0" fontId="78" fillId="14" borderId="6991" applyFont="0" applyFill="0" applyBorder="0" applyAlignment="0" applyProtection="0"/>
    <xf numFmtId="0" fontId="25" fillId="10" borderId="6999" applyNumberFormat="0" applyProtection="0">
      <alignment horizontal="left" vertical="top"/>
    </xf>
    <xf numFmtId="0" fontId="25" fillId="10" borderId="6998" applyNumberFormat="0" applyProtection="0">
      <alignment horizontal="left" vertical="top"/>
    </xf>
    <xf numFmtId="0" fontId="25" fillId="10" borderId="6997" applyNumberFormat="0" applyProtection="0">
      <alignment horizontal="left" vertical="top"/>
    </xf>
    <xf numFmtId="0" fontId="25" fillId="10" borderId="6996" applyNumberFormat="0" applyProtection="0">
      <alignment horizontal="left" vertical="top"/>
    </xf>
    <xf numFmtId="0" fontId="25" fillId="10" borderId="6997" applyNumberFormat="0" applyProtection="0">
      <alignment horizontal="left" vertical="top"/>
    </xf>
    <xf numFmtId="0" fontId="214" fillId="0" borderId="6995" applyNumberFormat="0" applyFont="0" applyFill="0" applyAlignment="0" applyProtection="0"/>
    <xf numFmtId="0" fontId="2" fillId="0" borderId="6994" applyNumberFormat="0" applyAlignment="0" applyProtection="0"/>
    <xf numFmtId="186" fontId="140" fillId="3" borderId="6993">
      <alignment horizontal="center" vertical="center"/>
    </xf>
    <xf numFmtId="186" fontId="146" fillId="3" borderId="6992">
      <alignment horizontal="left"/>
    </xf>
    <xf numFmtId="0" fontId="25" fillId="10" borderId="6999" applyNumberFormat="0" applyProtection="0">
      <alignment horizontal="left" vertical="top"/>
    </xf>
    <xf numFmtId="0" fontId="75" fillId="0" borderId="6990" applyNumberFormat="0" applyFont="0" applyFill="0" applyAlignment="0" applyProtection="0"/>
    <xf numFmtId="222" fontId="79" fillId="0" borderId="7015" applyBorder="0"/>
    <xf numFmtId="0" fontId="101" fillId="0" borderId="7018" applyBorder="0"/>
    <xf numFmtId="222" fontId="79" fillId="0" borderId="7015" applyBorder="0"/>
    <xf numFmtId="0" fontId="113" fillId="0" borderId="7018" applyNumberFormat="0" applyFill="0" applyAlignment="0" applyProtection="0"/>
    <xf numFmtId="0" fontId="12" fillId="0" borderId="7018" applyNumberFormat="0" applyFill="0" applyBorder="0" applyAlignment="0" applyProtection="0">
      <alignment horizontal="center"/>
    </xf>
    <xf numFmtId="248" fontId="46" fillId="0" borderId="7018"/>
    <xf numFmtId="192" fontId="9" fillId="3" borderId="7018">
      <alignment horizontal="right" vertical="center"/>
    </xf>
    <xf numFmtId="180" fontId="9" fillId="3" borderId="7018">
      <alignment horizontal="right" vertical="center"/>
    </xf>
    <xf numFmtId="186" fontId="146" fillId="3" borderId="7018" applyBorder="0">
      <alignment horizontal="left" vertical="center"/>
    </xf>
    <xf numFmtId="0" fontId="165" fillId="0" borderId="7018" applyFill="0" applyProtection="0">
      <alignment horizontal="center"/>
    </xf>
    <xf numFmtId="0" fontId="166" fillId="0" borderId="7018">
      <alignment horizontal="center"/>
    </xf>
    <xf numFmtId="264" fontId="12" fillId="14" borderId="7018" applyFont="0" applyFill="0" applyBorder="0" applyAlignment="0" applyProtection="0">
      <alignment horizontal="right"/>
    </xf>
    <xf numFmtId="0" fontId="210" fillId="0" borderId="7018" applyNumberFormat="0" applyFill="0" applyBorder="0" applyAlignment="0">
      <protection locked="0"/>
    </xf>
    <xf numFmtId="254" fontId="240" fillId="0" borderId="7018" applyBorder="0" applyProtection="0">
      <alignment horizontal="right" vertical="center"/>
    </xf>
    <xf numFmtId="0" fontId="241" fillId="94" borderId="7018" applyBorder="0" applyProtection="0">
      <alignment horizontal="centerContinuous" vertical="center"/>
    </xf>
    <xf numFmtId="246" fontId="249" fillId="0" borderId="7018" applyFill="0" applyProtection="0">
      <alignment horizontal="center"/>
    </xf>
    <xf numFmtId="246" fontId="250" fillId="0" borderId="7018" applyFill="0" applyProtection="0">
      <alignment horizontal="center"/>
    </xf>
    <xf numFmtId="186" fontId="140" fillId="3" borderId="6993">
      <alignment horizontal="center" vertical="center"/>
    </xf>
    <xf numFmtId="0" fontId="78" fillId="14" borderId="6991" applyFont="0" applyFill="0" applyBorder="0" applyAlignment="0" applyProtection="0"/>
    <xf numFmtId="222" fontId="79" fillId="0" borderId="7015" applyBorder="0"/>
    <xf numFmtId="0" fontId="78" fillId="14" borderId="6991" applyFont="0" applyFill="0" applyBorder="0" applyAlignment="0" applyProtection="0"/>
    <xf numFmtId="0" fontId="25" fillId="10" borderId="6999" applyNumberFormat="0" applyProtection="0">
      <alignment horizontal="left" vertical="top"/>
    </xf>
    <xf numFmtId="0" fontId="25" fillId="10" borderId="6998" applyNumberFormat="0" applyProtection="0">
      <alignment horizontal="left" vertical="top"/>
    </xf>
    <xf numFmtId="0" fontId="25" fillId="10" borderId="6997" applyNumberFormat="0" applyProtection="0">
      <alignment horizontal="left" vertical="top"/>
    </xf>
    <xf numFmtId="0" fontId="25" fillId="10" borderId="6996" applyNumberFormat="0" applyProtection="0">
      <alignment horizontal="left" vertical="top"/>
    </xf>
    <xf numFmtId="0" fontId="214" fillId="0" borderId="6995" applyNumberFormat="0" applyFont="0" applyFill="0" applyAlignment="0" applyProtection="0"/>
    <xf numFmtId="0" fontId="2" fillId="0" borderId="6994" applyNumberFormat="0" applyAlignment="0" applyProtection="0"/>
    <xf numFmtId="186" fontId="140" fillId="3" borderId="6993">
      <alignment horizontal="center" vertical="center"/>
    </xf>
    <xf numFmtId="186" fontId="146" fillId="3" borderId="6992">
      <alignment horizontal="left"/>
    </xf>
    <xf numFmtId="0" fontId="75" fillId="0" borderId="6990" applyNumberFormat="0" applyFont="0" applyFill="0" applyAlignment="0" applyProtection="0"/>
    <xf numFmtId="222" fontId="79" fillId="0" borderId="7015" applyBorder="0"/>
    <xf numFmtId="0" fontId="101" fillId="0" borderId="7018" applyBorder="0"/>
    <xf numFmtId="222" fontId="79" fillId="0" borderId="7015" applyBorder="0"/>
    <xf numFmtId="0" fontId="113" fillId="0" borderId="7018" applyNumberFormat="0" applyFill="0" applyAlignment="0" applyProtection="0"/>
    <xf numFmtId="0" fontId="12" fillId="0" borderId="7018" applyNumberFormat="0" applyFill="0" applyBorder="0" applyAlignment="0" applyProtection="0">
      <alignment horizontal="center"/>
    </xf>
    <xf numFmtId="248" fontId="46" fillId="0" borderId="7018"/>
    <xf numFmtId="192" fontId="9" fillId="3" borderId="7018">
      <alignment horizontal="right" vertical="center"/>
    </xf>
    <xf numFmtId="180" fontId="9" fillId="3" borderId="7018">
      <alignment horizontal="right" vertical="center"/>
    </xf>
    <xf numFmtId="186" fontId="146" fillId="3" borderId="7018" applyBorder="0">
      <alignment horizontal="left" vertical="center"/>
    </xf>
    <xf numFmtId="0" fontId="165" fillId="0" borderId="7018" applyFill="0" applyProtection="0">
      <alignment horizontal="center"/>
    </xf>
    <xf numFmtId="0" fontId="166" fillId="0" borderId="7018">
      <alignment horizontal="center"/>
    </xf>
    <xf numFmtId="264" fontId="12" fillId="14" borderId="7018" applyFont="0" applyFill="0" applyBorder="0" applyAlignment="0" applyProtection="0">
      <alignment horizontal="right"/>
    </xf>
    <xf numFmtId="0" fontId="210" fillId="0" borderId="7018" applyNumberFormat="0" applyFill="0" applyBorder="0" applyAlignment="0">
      <protection locked="0"/>
    </xf>
    <xf numFmtId="254" fontId="240" fillId="0" borderId="7018" applyBorder="0" applyProtection="0">
      <alignment horizontal="right" vertical="center"/>
    </xf>
    <xf numFmtId="0" fontId="241" fillId="94" borderId="7018" applyBorder="0" applyProtection="0">
      <alignment horizontal="centerContinuous" vertical="center"/>
    </xf>
    <xf numFmtId="246" fontId="249" fillId="0" borderId="7018" applyFill="0" applyProtection="0">
      <alignment horizontal="center"/>
    </xf>
    <xf numFmtId="246" fontId="250" fillId="0" borderId="7018" applyFill="0" applyProtection="0">
      <alignment horizontal="center"/>
    </xf>
    <xf numFmtId="222" fontId="79" fillId="0" borderId="7033" applyBorder="0"/>
    <xf numFmtId="0" fontId="78" fillId="14" borderId="7036" applyFont="0" applyFill="0" applyBorder="0" applyAlignment="0" applyProtection="0"/>
    <xf numFmtId="0" fontId="25" fillId="10" borderId="7044" applyNumberFormat="0" applyProtection="0">
      <alignment horizontal="left" vertical="top"/>
    </xf>
    <xf numFmtId="0" fontId="25" fillId="10" borderId="7043" applyNumberFormat="0" applyProtection="0">
      <alignment horizontal="left" vertical="top"/>
    </xf>
    <xf numFmtId="0" fontId="25" fillId="10" borderId="7042" applyNumberFormat="0" applyProtection="0">
      <alignment horizontal="left" vertical="top"/>
    </xf>
    <xf numFmtId="0" fontId="25" fillId="10" borderId="7041" applyNumberFormat="0" applyProtection="0">
      <alignment horizontal="left" vertical="top"/>
    </xf>
    <xf numFmtId="0" fontId="214" fillId="0" borderId="7040" applyNumberFormat="0" applyFont="0" applyFill="0" applyAlignment="0" applyProtection="0"/>
    <xf numFmtId="0" fontId="2" fillId="0" borderId="7039" applyNumberFormat="0" applyAlignment="0" applyProtection="0"/>
    <xf numFmtId="186" fontId="140" fillId="3" borderId="7038">
      <alignment horizontal="center" vertical="center"/>
    </xf>
    <xf numFmtId="186" fontId="146" fillId="3" borderId="7037">
      <alignment horizontal="left"/>
    </xf>
    <xf numFmtId="0" fontId="75" fillId="0" borderId="7035" applyNumberFormat="0" applyFont="0" applyFill="0" applyAlignment="0" applyProtection="0"/>
    <xf numFmtId="222" fontId="79" fillId="0" borderId="7045" applyBorder="0"/>
    <xf numFmtId="0" fontId="101" fillId="0" borderId="7046" applyBorder="0"/>
    <xf numFmtId="222" fontId="79" fillId="0" borderId="7045" applyBorder="0"/>
    <xf numFmtId="0" fontId="113" fillId="0" borderId="7046" applyNumberFormat="0" applyFill="0" applyAlignment="0" applyProtection="0"/>
    <xf numFmtId="0" fontId="12" fillId="0" borderId="7046" applyNumberFormat="0" applyFill="0" applyBorder="0" applyAlignment="0" applyProtection="0">
      <alignment horizontal="center"/>
    </xf>
    <xf numFmtId="248" fontId="46" fillId="0" borderId="7046"/>
    <xf numFmtId="192" fontId="9" fillId="3" borderId="7046">
      <alignment horizontal="right" vertical="center"/>
    </xf>
    <xf numFmtId="180" fontId="9" fillId="3" borderId="7046">
      <alignment horizontal="right" vertical="center"/>
    </xf>
    <xf numFmtId="186" fontId="146" fillId="3" borderId="7046" applyBorder="0">
      <alignment horizontal="left" vertical="center"/>
    </xf>
    <xf numFmtId="0" fontId="165" fillId="0" borderId="7046" applyFill="0" applyProtection="0">
      <alignment horizontal="center"/>
    </xf>
    <xf numFmtId="0" fontId="166" fillId="0" borderId="7046">
      <alignment horizontal="center"/>
    </xf>
    <xf numFmtId="264" fontId="12" fillId="14" borderId="7046" applyFont="0" applyFill="0" applyBorder="0" applyAlignment="0" applyProtection="0">
      <alignment horizontal="right"/>
    </xf>
    <xf numFmtId="0" fontId="210" fillId="0" borderId="7046" applyNumberFormat="0" applyFill="0" applyBorder="0" applyAlignment="0">
      <protection locked="0"/>
    </xf>
    <xf numFmtId="254" fontId="240" fillId="0" borderId="7046" applyBorder="0" applyProtection="0">
      <alignment horizontal="right" vertical="center"/>
    </xf>
    <xf numFmtId="0" fontId="241" fillId="94" borderId="7046" applyBorder="0" applyProtection="0">
      <alignment horizontal="centerContinuous" vertical="center"/>
    </xf>
    <xf numFmtId="246" fontId="249" fillId="0" borderId="7046" applyFill="0" applyProtection="0">
      <alignment horizontal="center"/>
    </xf>
    <xf numFmtId="246" fontId="250" fillId="0" borderId="7046" applyFill="0" applyProtection="0">
      <alignment horizontal="center"/>
    </xf>
    <xf numFmtId="0" fontId="113" fillId="0" borderId="7179" applyNumberFormat="0" applyFill="0" applyAlignment="0" applyProtection="0"/>
    <xf numFmtId="0" fontId="75" fillId="0" borderId="7059" applyNumberFormat="0" applyFont="0" applyFill="0" applyAlignment="0" applyProtection="0"/>
    <xf numFmtId="0" fontId="78" fillId="14" borderId="7060" applyFont="0" applyFill="0" applyBorder="0" applyAlignment="0" applyProtection="0"/>
    <xf numFmtId="186" fontId="146" fillId="3" borderId="7061">
      <alignment horizontal="left"/>
    </xf>
    <xf numFmtId="186" fontId="140" fillId="3" borderId="7062">
      <alignment horizontal="center" vertical="center"/>
    </xf>
    <xf numFmtId="0" fontId="2" fillId="0" borderId="7063" applyNumberFormat="0" applyAlignment="0" applyProtection="0"/>
    <xf numFmtId="0" fontId="214" fillId="0" borderId="7064" applyNumberFormat="0" applyFont="0" applyFill="0" applyAlignment="0" applyProtection="0"/>
    <xf numFmtId="0" fontId="25" fillId="10" borderId="7065" applyNumberFormat="0" applyProtection="0">
      <alignment horizontal="left" vertical="top"/>
    </xf>
    <xf numFmtId="0" fontId="25" fillId="10" borderId="7066" applyNumberFormat="0" applyProtection="0">
      <alignment horizontal="left" vertical="top"/>
    </xf>
    <xf numFmtId="0" fontId="25" fillId="10" borderId="7067" applyNumberFormat="0" applyProtection="0">
      <alignment horizontal="left" vertical="top"/>
    </xf>
    <xf numFmtId="0" fontId="25" fillId="10" borderId="7068" applyNumberFormat="0" applyProtection="0">
      <alignment horizontal="left" vertical="top"/>
    </xf>
    <xf numFmtId="10" fontId="12" fillId="3" borderId="7014" applyNumberFormat="0" applyFont="0" applyFill="0" applyBorder="0" applyAlignment="0">
      <protection locked="0"/>
    </xf>
    <xf numFmtId="0" fontId="12" fillId="0" borderId="7179" applyNumberFormat="0" applyFill="0" applyBorder="0" applyAlignment="0" applyProtection="0">
      <alignment horizontal="center"/>
    </xf>
    <xf numFmtId="10" fontId="12" fillId="3" borderId="7014" applyNumberFormat="0" applyFont="0" applyFill="0" applyBorder="0" applyAlignment="0">
      <protection locked="0"/>
    </xf>
    <xf numFmtId="0" fontId="101" fillId="0" borderId="7179" applyBorder="0"/>
    <xf numFmtId="248" fontId="46" fillId="0" borderId="7179"/>
    <xf numFmtId="1" fontId="154" fillId="65" borderId="7069" applyNumberFormat="0" applyBorder="0" applyAlignment="0">
      <alignment horizontal="centerContinuous" vertical="center"/>
      <protection locked="0"/>
    </xf>
    <xf numFmtId="0" fontId="12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10" fontId="12" fillId="3" borderId="7014" applyNumberFormat="0" applyFont="0" applyFill="0" applyBorder="0" applyAlignment="0">
      <protection locked="0"/>
    </xf>
    <xf numFmtId="246" fontId="250" fillId="0" borderId="7058" applyFill="0" applyProtection="0">
      <alignment horizontal="center"/>
    </xf>
    <xf numFmtId="246" fontId="249" fillId="0" borderId="7058" applyFill="0" applyProtection="0">
      <alignment horizontal="center"/>
    </xf>
    <xf numFmtId="0" fontId="241" fillId="94" borderId="7058" applyBorder="0" applyProtection="0">
      <alignment horizontal="centerContinuous" vertical="center"/>
    </xf>
    <xf numFmtId="254" fontId="240" fillId="0" borderId="7058" applyBorder="0" applyProtection="0">
      <alignment horizontal="right" vertical="center"/>
    </xf>
    <xf numFmtId="0" fontId="12" fillId="0" borderId="7001" applyNumberFormat="0" applyFill="0" applyBorder="0" applyAlignment="0" applyProtection="0"/>
    <xf numFmtId="0" fontId="25" fillId="10" borderId="7013" applyNumberFormat="0" applyProtection="0">
      <alignment horizontal="left" vertical="top"/>
    </xf>
    <xf numFmtId="0" fontId="25" fillId="10" borderId="7012" applyNumberFormat="0" applyProtection="0">
      <alignment horizontal="left" vertical="top"/>
    </xf>
    <xf numFmtId="0" fontId="25" fillId="10" borderId="7011" applyNumberFormat="0" applyProtection="0">
      <alignment horizontal="left" vertical="top"/>
    </xf>
    <xf numFmtId="0" fontId="25" fillId="10" borderId="7010" applyNumberFormat="0" applyProtection="0">
      <alignment horizontal="left" vertical="top"/>
    </xf>
    <xf numFmtId="0" fontId="25" fillId="10" borderId="7009" applyNumberFormat="0" applyProtection="0">
      <alignment horizontal="left" vertical="top"/>
    </xf>
    <xf numFmtId="0" fontId="25" fillId="10" borderId="7008" applyNumberFormat="0" applyProtection="0">
      <alignment horizontal="left" vertical="top"/>
    </xf>
    <xf numFmtId="0" fontId="25" fillId="10" borderId="7007" applyNumberFormat="0" applyProtection="0">
      <alignment horizontal="left"/>
    </xf>
    <xf numFmtId="0" fontId="12" fillId="10" borderId="7002" applyNumberFormat="0" applyFont="0" applyProtection="0"/>
    <xf numFmtId="0" fontId="12" fillId="10" borderId="7002" applyNumberFormat="0" applyFont="0" applyAlignment="0" applyProtection="0"/>
    <xf numFmtId="0" fontId="12" fillId="3" borderId="7002" applyNumberFormat="0" applyFont="0" applyAlignment="0" applyProtection="0"/>
    <xf numFmtId="293" fontId="234" fillId="10" borderId="7002" applyFont="0" applyProtection="0"/>
    <xf numFmtId="169" fontId="234" fillId="10" borderId="7002" applyFont="0" applyProtection="0"/>
    <xf numFmtId="293" fontId="234" fillId="10" borderId="7002" applyFont="0" applyProtection="0"/>
    <xf numFmtId="293" fontId="234" fillId="3" borderId="7002" applyFont="0" applyProtection="0"/>
    <xf numFmtId="169" fontId="234" fillId="3" borderId="7002" applyFont="0" applyProtection="0"/>
    <xf numFmtId="0" fontId="25" fillId="10" borderId="7002" applyNumberFormat="0" applyProtection="0">
      <alignment horizontal="center" vertical="top"/>
    </xf>
    <xf numFmtId="0" fontId="25" fillId="10" borderId="7002" applyNumberFormat="0" applyProtection="0">
      <alignment horizontal="center" vertical="top"/>
    </xf>
    <xf numFmtId="0" fontId="210" fillId="0" borderId="7058" applyNumberFormat="0" applyFill="0" applyBorder="0" applyAlignment="0">
      <protection locked="0"/>
    </xf>
    <xf numFmtId="188" fontId="25" fillId="0" borderId="7017" applyFont="0" applyFill="0" applyBorder="0" applyAlignment="0" applyProtection="0">
      <alignment horizontal="center"/>
    </xf>
    <xf numFmtId="264" fontId="12" fillId="14" borderId="7058" applyFont="0" applyFill="0" applyBorder="0" applyAlignment="0" applyProtection="0">
      <alignment horizontal="right"/>
    </xf>
    <xf numFmtId="0" fontId="25" fillId="69" borderId="7002">
      <alignment horizontal="left" vertical="center" wrapText="1"/>
    </xf>
    <xf numFmtId="0" fontId="166" fillId="0" borderId="7058">
      <alignment horizontal="center"/>
    </xf>
    <xf numFmtId="0" fontId="165" fillId="0" borderId="7058" applyFill="0" applyProtection="0">
      <alignment horizontal="center"/>
    </xf>
    <xf numFmtId="0" fontId="159" fillId="67" borderId="7002"/>
    <xf numFmtId="0" fontId="159" fillId="0" borderId="7002"/>
    <xf numFmtId="0" fontId="135" fillId="0" borderId="7002"/>
    <xf numFmtId="0" fontId="135" fillId="0" borderId="7002"/>
    <xf numFmtId="186" fontId="48" fillId="3" borderId="7000">
      <alignment vertical="center"/>
    </xf>
    <xf numFmtId="186" fontId="146" fillId="3" borderId="7058" applyBorder="0">
      <alignment horizontal="left" vertical="center"/>
    </xf>
    <xf numFmtId="180" fontId="9" fillId="3" borderId="7058">
      <alignment horizontal="right" vertical="center"/>
    </xf>
    <xf numFmtId="192" fontId="9" fillId="3" borderId="7058">
      <alignment horizontal="right" vertical="center"/>
    </xf>
    <xf numFmtId="182" fontId="145" fillId="3" borderId="7000">
      <alignment horizontal="right" vertical="center"/>
    </xf>
    <xf numFmtId="0" fontId="48" fillId="0" borderId="7000" applyFont="0" applyFill="0" applyBorder="0" applyAlignment="0" applyProtection="0">
      <alignment horizontal="center"/>
    </xf>
    <xf numFmtId="0" fontId="74" fillId="0" borderId="7000" applyFont="0" applyFill="0" applyBorder="0" applyAlignment="0" applyProtection="0">
      <alignment horizontal="center"/>
    </xf>
    <xf numFmtId="0" fontId="12" fillId="0" borderId="7058" applyNumberFormat="0" applyFill="0" applyBorder="0" applyAlignment="0" applyProtection="0">
      <alignment horizontal="center"/>
    </xf>
    <xf numFmtId="5" fontId="114" fillId="0" borderId="7000" applyAlignment="0" applyProtection="0"/>
    <xf numFmtId="0" fontId="113" fillId="0" borderId="7058" applyNumberFormat="0" applyFill="0" applyAlignment="0" applyProtection="0"/>
    <xf numFmtId="0" fontId="48" fillId="0" borderId="7001" applyNumberFormat="0" applyFill="0" applyAlignment="0" applyProtection="0"/>
    <xf numFmtId="0" fontId="105" fillId="0" borderId="7001" applyNumberFormat="0" applyFill="0" applyBorder="0" applyAlignment="0" applyProtection="0"/>
    <xf numFmtId="0" fontId="46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222" fontId="79" fillId="0" borderId="7057" applyBorder="0"/>
    <xf numFmtId="0" fontId="101" fillId="0" borderId="7058" applyBorder="0"/>
    <xf numFmtId="10" fontId="12" fillId="3" borderId="7014" applyNumberFormat="0" applyFont="0" applyFill="0" applyBorder="0" applyAlignment="0">
      <protection locked="0"/>
    </xf>
    <xf numFmtId="192" fontId="9" fillId="3" borderId="7179">
      <alignment horizontal="right" vertical="center"/>
    </xf>
    <xf numFmtId="248" fontId="46" fillId="0" borderId="7058"/>
    <xf numFmtId="180" fontId="9" fillId="3" borderId="7179">
      <alignment horizontal="right" vertical="center"/>
    </xf>
    <xf numFmtId="10" fontId="12" fillId="3" borderId="7014" applyNumberFormat="0" applyFont="0" applyFill="0" applyBorder="0" applyAlignment="0">
      <protection locked="0"/>
    </xf>
    <xf numFmtId="0" fontId="166" fillId="0" borderId="7167">
      <alignment horizontal="center"/>
    </xf>
    <xf numFmtId="186" fontId="146" fillId="3" borderId="7179" applyBorder="0">
      <alignment horizontal="left" vertical="center"/>
    </xf>
    <xf numFmtId="10" fontId="12" fillId="3" borderId="7014" applyNumberFormat="0" applyFont="0" applyFill="0" applyBorder="0" applyAlignment="0">
      <protection locked="0"/>
    </xf>
    <xf numFmtId="254" fontId="240" fillId="0" borderId="7167" applyBorder="0" applyProtection="0">
      <alignment horizontal="right" vertical="center"/>
    </xf>
    <xf numFmtId="10" fontId="12" fillId="3" borderId="7014" applyNumberFormat="0" applyFont="0" applyFill="0" applyBorder="0" applyAlignment="0">
      <protection locked="0"/>
    </xf>
    <xf numFmtId="0" fontId="101" fillId="0" borderId="7058" applyBorder="0"/>
    <xf numFmtId="222" fontId="79" fillId="0" borderId="7057" applyBorder="0"/>
    <xf numFmtId="0" fontId="113" fillId="0" borderId="7058" applyNumberFormat="0" applyFill="0" applyAlignment="0" applyProtection="0"/>
    <xf numFmtId="0" fontId="75" fillId="0" borderId="7059" applyNumberFormat="0" applyFont="0" applyFill="0" applyAlignment="0" applyProtection="0"/>
    <xf numFmtId="0" fontId="12" fillId="0" borderId="7058" applyNumberFormat="0" applyFill="0" applyBorder="0" applyAlignment="0" applyProtection="0">
      <alignment horizontal="center"/>
    </xf>
    <xf numFmtId="248" fontId="46" fillId="0" borderId="7058"/>
    <xf numFmtId="192" fontId="9" fillId="3" borderId="7058">
      <alignment horizontal="right" vertical="center"/>
    </xf>
    <xf numFmtId="180" fontId="9" fillId="3" borderId="7058">
      <alignment horizontal="right" vertical="center"/>
    </xf>
    <xf numFmtId="186" fontId="146" fillId="3" borderId="7058" applyBorder="0">
      <alignment horizontal="left" vertical="center"/>
    </xf>
    <xf numFmtId="186" fontId="146" fillId="3" borderId="7061">
      <alignment horizontal="left"/>
    </xf>
    <xf numFmtId="186" fontId="140" fillId="3" borderId="7062">
      <alignment horizontal="center" vertical="center"/>
    </xf>
    <xf numFmtId="0" fontId="165" fillId="0" borderId="7058" applyFill="0" applyProtection="0">
      <alignment horizontal="center"/>
    </xf>
    <xf numFmtId="0" fontId="166" fillId="0" borderId="7058">
      <alignment horizontal="center"/>
    </xf>
    <xf numFmtId="264" fontId="12" fillId="14" borderId="7058" applyFont="0" applyFill="0" applyBorder="0" applyAlignment="0" applyProtection="0">
      <alignment horizontal="right"/>
    </xf>
    <xf numFmtId="0" fontId="210" fillId="0" borderId="7058" applyNumberFormat="0" applyFill="0" applyBorder="0" applyAlignment="0">
      <protection locked="0"/>
    </xf>
    <xf numFmtId="0" fontId="2" fillId="0" borderId="7063" applyNumberFormat="0" applyAlignment="0" applyProtection="0"/>
    <xf numFmtId="0" fontId="214" fillId="0" borderId="7064" applyNumberFormat="0" applyFont="0" applyFill="0" applyAlignment="0" applyProtection="0"/>
    <xf numFmtId="0" fontId="25" fillId="10" borderId="7065" applyNumberFormat="0" applyProtection="0">
      <alignment horizontal="left" vertical="top"/>
    </xf>
    <xf numFmtId="0" fontId="25" fillId="10" borderId="7066" applyNumberFormat="0" applyProtection="0">
      <alignment horizontal="left" vertical="top"/>
    </xf>
    <xf numFmtId="0" fontId="25" fillId="10" borderId="7067" applyNumberFormat="0" applyProtection="0">
      <alignment horizontal="left" vertical="top"/>
    </xf>
    <xf numFmtId="0" fontId="25" fillId="10" borderId="7068" applyNumberFormat="0" applyProtection="0">
      <alignment horizontal="left" vertical="top"/>
    </xf>
    <xf numFmtId="0" fontId="25" fillId="10" borderId="7065" applyNumberFormat="0" applyProtection="0">
      <alignment horizontal="left" vertical="top"/>
    </xf>
    <xf numFmtId="0" fontId="25" fillId="10" borderId="7066" applyNumberFormat="0" applyProtection="0">
      <alignment horizontal="left" vertical="top"/>
    </xf>
    <xf numFmtId="0" fontId="25" fillId="10" borderId="7067" applyNumberFormat="0" applyProtection="0">
      <alignment horizontal="left" vertical="top"/>
    </xf>
    <xf numFmtId="0" fontId="25" fillId="10" borderId="7068" applyNumberFormat="0" applyProtection="0">
      <alignment horizontal="left" vertical="top"/>
    </xf>
    <xf numFmtId="254" fontId="240" fillId="0" borderId="7058" applyBorder="0" applyProtection="0">
      <alignment horizontal="right" vertical="center"/>
    </xf>
    <xf numFmtId="0" fontId="241" fillId="94" borderId="7058" applyBorder="0" applyProtection="0">
      <alignment horizontal="centerContinuous" vertical="center"/>
    </xf>
    <xf numFmtId="246" fontId="249" fillId="0" borderId="7058" applyFill="0" applyProtection="0">
      <alignment horizontal="center"/>
    </xf>
    <xf numFmtId="246" fontId="250" fillId="0" borderId="7058" applyFill="0" applyProtection="0">
      <alignment horizontal="center"/>
    </xf>
    <xf numFmtId="0" fontId="165" fillId="0" borderId="7179" applyFill="0" applyProtection="0">
      <alignment horizontal="center"/>
    </xf>
    <xf numFmtId="10" fontId="12" fillId="3" borderId="7014" applyNumberFormat="0" applyFont="0" applyFill="0" applyBorder="0" applyAlignment="0">
      <protection locked="0"/>
    </xf>
    <xf numFmtId="0" fontId="166" fillId="0" borderId="7179">
      <alignment horizontal="center"/>
    </xf>
    <xf numFmtId="0" fontId="241" fillId="94" borderId="7239" applyBorder="0" applyProtection="0">
      <alignment horizontal="centerContinuous" vertical="center"/>
    </xf>
    <xf numFmtId="190" fontId="101" fillId="0" borderId="7058" applyBorder="0"/>
    <xf numFmtId="186" fontId="146" fillId="3" borderId="7239" applyBorder="0">
      <alignment horizontal="left" vertical="center"/>
    </xf>
    <xf numFmtId="192" fontId="9" fillId="3" borderId="7239">
      <alignment horizontal="right" vertical="center"/>
    </xf>
    <xf numFmtId="190" fontId="12" fillId="0" borderId="7001" applyNumberFormat="0" applyFill="0" applyBorder="0" applyAlignment="0" applyProtection="0"/>
    <xf numFmtId="190" fontId="46" fillId="0" borderId="7001" applyNumberFormat="0" applyFill="0" applyBorder="0" applyAlignment="0" applyProtection="0"/>
    <xf numFmtId="190" fontId="105" fillId="0" borderId="7001" applyNumberFormat="0" applyFill="0" applyBorder="0" applyAlignment="0" applyProtection="0"/>
    <xf numFmtId="190" fontId="48" fillId="0" borderId="7001" applyNumberFormat="0" applyFill="0" applyAlignment="0" applyProtection="0"/>
    <xf numFmtId="0" fontId="210" fillId="0" borderId="7239" applyNumberFormat="0" applyFill="0" applyBorder="0" applyAlignment="0">
      <protection locked="0"/>
    </xf>
    <xf numFmtId="246" fontId="249" fillId="0" borderId="7239" applyFill="0" applyProtection="0">
      <alignment horizontal="center"/>
    </xf>
    <xf numFmtId="190" fontId="113" fillId="0" borderId="7058" applyNumberFormat="0" applyFill="0" applyAlignment="0" applyProtection="0"/>
    <xf numFmtId="190" fontId="75" fillId="0" borderId="7035" applyNumberFormat="0" applyFont="0" applyFill="0" applyAlignment="0" applyProtection="0"/>
    <xf numFmtId="0" fontId="214" fillId="0" borderId="7245" applyNumberFormat="0" applyFont="0" applyFill="0" applyAlignment="0" applyProtection="0"/>
    <xf numFmtId="186" fontId="146" fillId="3" borderId="7242">
      <alignment horizontal="left"/>
    </xf>
    <xf numFmtId="0" fontId="241" fillId="94" borderId="7227" applyBorder="0" applyProtection="0">
      <alignment horizontal="centerContinuous" vertical="center"/>
    </xf>
    <xf numFmtId="0" fontId="166" fillId="0" borderId="7227">
      <alignment horizontal="center"/>
    </xf>
    <xf numFmtId="248" fontId="46" fillId="0" borderId="7227"/>
    <xf numFmtId="0" fontId="214" fillId="0" borderId="7221" applyNumberFormat="0" applyFont="0" applyFill="0" applyAlignment="0" applyProtection="0"/>
    <xf numFmtId="186" fontId="140" fillId="3" borderId="7219">
      <alignment horizontal="center" vertical="center"/>
    </xf>
    <xf numFmtId="190" fontId="12" fillId="0" borderId="7058" applyNumberFormat="0" applyFill="0" applyBorder="0" applyAlignment="0" applyProtection="0">
      <alignment horizontal="center"/>
    </xf>
    <xf numFmtId="0" fontId="78" fillId="14" borderId="7217" applyFont="0" applyFill="0" applyBorder="0" applyAlignment="0" applyProtection="0"/>
    <xf numFmtId="264" fontId="12" fillId="14" borderId="7203" applyFont="0" applyFill="0" applyBorder="0" applyAlignment="0" applyProtection="0">
      <alignment horizontal="right"/>
    </xf>
    <xf numFmtId="186" fontId="146" fillId="3" borderId="7203" applyBorder="0">
      <alignment horizontal="left" vertical="center"/>
    </xf>
    <xf numFmtId="248" fontId="46" fillId="0" borderId="7203"/>
    <xf numFmtId="222" fontId="79" fillId="0" borderId="7202" applyBorder="0"/>
    <xf numFmtId="0" fontId="75" fillId="0" borderId="7192" applyNumberFormat="0" applyFont="0" applyFill="0" applyAlignment="0" applyProtection="0"/>
    <xf numFmtId="0" fontId="2" fillId="0" borderId="7196" applyNumberFormat="0" applyAlignment="0" applyProtection="0"/>
    <xf numFmtId="0" fontId="25" fillId="10" borderId="7199" applyNumberFormat="0" applyProtection="0">
      <alignment horizontal="left" vertical="top"/>
    </xf>
    <xf numFmtId="0" fontId="78" fillId="14" borderId="7193" applyFont="0" applyFill="0" applyBorder="0" applyAlignment="0" applyProtection="0"/>
    <xf numFmtId="246" fontId="250" fillId="0" borderId="7179" applyFill="0" applyProtection="0">
      <alignment horizontal="center"/>
    </xf>
    <xf numFmtId="0" fontId="113" fillId="0" borderId="7167" applyNumberFormat="0" applyFill="0" applyAlignment="0" applyProtection="0"/>
    <xf numFmtId="0" fontId="25" fillId="10" borderId="7175" applyNumberFormat="0" applyProtection="0">
      <alignment horizontal="left" vertical="top"/>
    </xf>
    <xf numFmtId="0" fontId="2" fillId="0" borderId="7172" applyNumberFormat="0" applyAlignment="0" applyProtection="0"/>
    <xf numFmtId="190" fontId="78" fillId="14" borderId="7048" applyFont="0" applyFill="0" applyBorder="0" applyAlignment="0" applyProtection="0"/>
    <xf numFmtId="0" fontId="113" fillId="0" borderId="7179" applyNumberFormat="0" applyFill="0" applyAlignment="0" applyProtection="0"/>
    <xf numFmtId="246" fontId="249" fillId="0" borderId="7179" applyFill="0" applyProtection="0">
      <alignment horizontal="center"/>
    </xf>
    <xf numFmtId="190" fontId="74" fillId="0" borderId="7000" applyFont="0" applyFill="0" applyBorder="0" applyAlignment="0" applyProtection="0">
      <alignment horizontal="center"/>
    </xf>
    <xf numFmtId="190" fontId="48" fillId="0" borderId="7000" applyFont="0" applyFill="0" applyBorder="0" applyAlignment="0" applyProtection="0">
      <alignment horizontal="center"/>
    </xf>
    <xf numFmtId="0" fontId="25" fillId="10" borderId="6997" applyNumberFormat="0" applyProtection="0">
      <alignment horizontal="left" vertical="top"/>
    </xf>
    <xf numFmtId="186" fontId="140" fillId="3" borderId="7207">
      <alignment horizontal="center" vertical="center"/>
    </xf>
    <xf numFmtId="190" fontId="135" fillId="0" borderId="7002"/>
    <xf numFmtId="190" fontId="135" fillId="0" borderId="7002"/>
    <xf numFmtId="0" fontId="2" fillId="0" borderId="7208" applyNumberFormat="0" applyAlignment="0" applyProtection="0"/>
    <xf numFmtId="0" fontId="101" fillId="0" borderId="7215" applyBorder="0"/>
    <xf numFmtId="0" fontId="165" fillId="0" borderId="7215" applyFill="0" applyProtection="0">
      <alignment horizontal="center"/>
    </xf>
    <xf numFmtId="246" fontId="250" fillId="0" borderId="7191" applyFill="0" applyProtection="0">
      <alignment horizontal="center"/>
    </xf>
    <xf numFmtId="0" fontId="210" fillId="0" borderId="7191" applyNumberFormat="0" applyFill="0" applyBorder="0" applyAlignment="0">
      <protection locked="0"/>
    </xf>
    <xf numFmtId="246" fontId="250" fillId="0" borderId="7239" applyFill="0" applyProtection="0">
      <alignment horizontal="center"/>
    </xf>
    <xf numFmtId="186" fontId="146" fillId="3" borderId="7239" applyBorder="0">
      <alignment horizontal="left" vertical="center"/>
    </xf>
    <xf numFmtId="0" fontId="101" fillId="0" borderId="7239" applyBorder="0"/>
    <xf numFmtId="222" fontId="79" fillId="0" borderId="7226" applyBorder="0"/>
    <xf numFmtId="0" fontId="12" fillId="0" borderId="7239" applyNumberFormat="0" applyFill="0" applyBorder="0" applyAlignment="0" applyProtection="0">
      <alignment horizontal="center"/>
    </xf>
    <xf numFmtId="0" fontId="214" fillId="0" borderId="7173" applyNumberFormat="0" applyFont="0" applyFill="0" applyAlignment="0" applyProtection="0"/>
    <xf numFmtId="0" fontId="25" fillId="10" borderId="7176" applyNumberFormat="0" applyProtection="0">
      <alignment horizontal="left" vertical="top"/>
    </xf>
    <xf numFmtId="0" fontId="25" fillId="10" borderId="7176" applyNumberFormat="0" applyProtection="0">
      <alignment horizontal="left" vertical="top"/>
    </xf>
    <xf numFmtId="246" fontId="249" fillId="0" borderId="7239" applyFill="0" applyProtection="0">
      <alignment horizontal="center"/>
    </xf>
    <xf numFmtId="0" fontId="113" fillId="0" borderId="7239" applyNumberFormat="0" applyFill="0" applyAlignment="0" applyProtection="0"/>
    <xf numFmtId="190" fontId="159" fillId="0" borderId="7002"/>
    <xf numFmtId="190" fontId="159" fillId="67" borderId="7002"/>
    <xf numFmtId="190" fontId="165" fillId="0" borderId="7058" applyFill="0" applyProtection="0">
      <alignment horizontal="center"/>
    </xf>
    <xf numFmtId="190" fontId="166" fillId="0" borderId="7058">
      <alignment horizontal="center"/>
    </xf>
    <xf numFmtId="246" fontId="249" fillId="0" borderId="7167" applyFill="0" applyProtection="0">
      <alignment horizontal="center"/>
    </xf>
    <xf numFmtId="0" fontId="166" fillId="0" borderId="7167">
      <alignment horizontal="center"/>
    </xf>
    <xf numFmtId="0" fontId="12" fillId="0" borderId="7167" applyNumberFormat="0" applyFill="0" applyBorder="0" applyAlignment="0" applyProtection="0">
      <alignment horizontal="center"/>
    </xf>
    <xf numFmtId="0" fontId="101" fillId="0" borderId="7167" applyBorder="0"/>
    <xf numFmtId="190" fontId="25" fillId="69" borderId="7002">
      <alignment horizontal="left" vertical="center" wrapText="1"/>
    </xf>
    <xf numFmtId="190" fontId="184" fillId="0" borderId="7003" applyAlignment="0">
      <alignment horizontal="left" wrapText="1"/>
    </xf>
    <xf numFmtId="190" fontId="210" fillId="0" borderId="7058" applyNumberFormat="0" applyFill="0" applyBorder="0" applyAlignment="0">
      <protection locked="0"/>
    </xf>
    <xf numFmtId="190" fontId="2" fillId="0" borderId="7039" applyNumberFormat="0" applyAlignment="0" applyProtection="0"/>
    <xf numFmtId="190" fontId="214" fillId="0" borderId="7040" applyNumberFormat="0" applyFont="0" applyFill="0" applyAlignment="0" applyProtection="0"/>
    <xf numFmtId="190" fontId="225" fillId="53" borderId="7004" applyNumberFormat="0" applyProtection="0">
      <alignment horizontal="left" vertical="top" indent="1"/>
    </xf>
    <xf numFmtId="190" fontId="12" fillId="75" borderId="7004" applyNumberFormat="0" applyProtection="0">
      <alignment horizontal="left" vertical="center" indent="1"/>
    </xf>
    <xf numFmtId="190" fontId="12" fillId="75" borderId="7004" applyNumberFormat="0" applyProtection="0">
      <alignment horizontal="left" vertical="top" indent="1"/>
    </xf>
    <xf numFmtId="190" fontId="12" fillId="84" borderId="7004" applyNumberFormat="0" applyProtection="0">
      <alignment horizontal="left" vertical="center" indent="1"/>
    </xf>
    <xf numFmtId="190" fontId="12" fillId="84" borderId="7004" applyNumberFormat="0" applyProtection="0">
      <alignment horizontal="left" vertical="top" indent="1"/>
    </xf>
    <xf numFmtId="190" fontId="12" fillId="52" borderId="7004" applyNumberFormat="0" applyProtection="0">
      <alignment horizontal="left" vertical="center" indent="1"/>
    </xf>
    <xf numFmtId="190" fontId="12" fillId="52" borderId="7004" applyNumberFormat="0" applyProtection="0">
      <alignment horizontal="left" vertical="top" indent="1"/>
    </xf>
    <xf numFmtId="190" fontId="12" fillId="11" borderId="7004" applyNumberFormat="0" applyProtection="0">
      <alignment horizontal="left" vertical="center" indent="1"/>
    </xf>
    <xf numFmtId="190" fontId="12" fillId="11" borderId="7004" applyNumberFormat="0" applyProtection="0">
      <alignment horizontal="left" vertical="top" indent="1"/>
    </xf>
    <xf numFmtId="190" fontId="136" fillId="14" borderId="7004" applyNumberFormat="0" applyProtection="0">
      <alignment horizontal="left" vertical="top" indent="1"/>
    </xf>
    <xf numFmtId="190" fontId="136" fillId="84" borderId="7004" applyNumberFormat="0" applyProtection="0">
      <alignment horizontal="left" vertical="top" indent="1"/>
    </xf>
    <xf numFmtId="190" fontId="25" fillId="10" borderId="7002" applyNumberFormat="0" applyProtection="0">
      <alignment horizontal="center" vertical="top"/>
    </xf>
    <xf numFmtId="190" fontId="25" fillId="10" borderId="7002" applyNumberFormat="0" applyProtection="0">
      <alignment horizontal="center" vertical="top"/>
    </xf>
    <xf numFmtId="190" fontId="12" fillId="3" borderId="7002" applyNumberFormat="0" applyFont="0" applyAlignment="0" applyProtection="0"/>
    <xf numFmtId="190" fontId="12" fillId="10" borderId="7002" applyNumberFormat="0" applyFont="0" applyAlignment="0" applyProtection="0"/>
    <xf numFmtId="190" fontId="12" fillId="10" borderId="7002" applyNumberFormat="0" applyFont="0" applyProtection="0"/>
    <xf numFmtId="190" fontId="25" fillId="10" borderId="7007" applyNumberFormat="0" applyProtection="0">
      <alignment horizontal="left"/>
    </xf>
    <xf numFmtId="190" fontId="25" fillId="10" borderId="7008" applyNumberFormat="0" applyProtection="0">
      <alignment horizontal="left" vertical="top"/>
    </xf>
    <xf numFmtId="190" fontId="25" fillId="10" borderId="7009" applyNumberFormat="0" applyProtection="0">
      <alignment horizontal="left" vertical="top"/>
    </xf>
    <xf numFmtId="190" fontId="25" fillId="10" borderId="7041" applyNumberFormat="0" applyProtection="0">
      <alignment horizontal="left" vertical="top"/>
    </xf>
    <xf numFmtId="190" fontId="25" fillId="10" borderId="7042" applyNumberFormat="0" applyProtection="0">
      <alignment horizontal="left" vertical="top"/>
    </xf>
    <xf numFmtId="190" fontId="25" fillId="10" borderId="7010" applyNumberFormat="0" applyProtection="0">
      <alignment horizontal="left" vertical="top"/>
    </xf>
    <xf numFmtId="190" fontId="25" fillId="10" borderId="7043" applyNumberFormat="0" applyProtection="0">
      <alignment horizontal="left" vertical="top"/>
    </xf>
    <xf numFmtId="190" fontId="25" fillId="10" borderId="7011" applyNumberFormat="0" applyProtection="0">
      <alignment horizontal="left" vertical="top"/>
    </xf>
    <xf numFmtId="190" fontId="25" fillId="10" borderId="7044" applyNumberFormat="0" applyProtection="0">
      <alignment horizontal="left" vertical="top"/>
    </xf>
    <xf numFmtId="190" fontId="25" fillId="10" borderId="7012" applyNumberFormat="0" applyProtection="0">
      <alignment horizontal="left" vertical="top"/>
    </xf>
    <xf numFmtId="190" fontId="25" fillId="10" borderId="7013" applyNumberFormat="0" applyProtection="0">
      <alignment horizontal="left" vertical="top"/>
    </xf>
    <xf numFmtId="190" fontId="12" fillId="0" borderId="7001" applyNumberFormat="0" applyFill="0" applyBorder="0" applyAlignment="0" applyProtection="0"/>
    <xf numFmtId="190" fontId="241" fillId="94" borderId="7058" applyBorder="0" applyProtection="0">
      <alignment horizontal="centerContinuous" vertical="center"/>
    </xf>
    <xf numFmtId="10" fontId="12" fillId="3" borderId="7014" applyNumberFormat="0" applyFont="0" applyFill="0" applyBorder="0" applyAlignment="0">
      <protection locked="0"/>
    </xf>
    <xf numFmtId="190" fontId="12" fillId="0" borderId="7001" applyNumberFormat="0" applyFill="0" applyBorder="0" applyAlignment="0" applyProtection="0"/>
    <xf numFmtId="190" fontId="12" fillId="0" borderId="7001" applyNumberFormat="0" applyFill="0" applyBorder="0" applyAlignment="0" applyProtection="0"/>
    <xf numFmtId="190" fontId="12" fillId="0" borderId="7001" applyNumberFormat="0" applyFill="0" applyBorder="0" applyAlignment="0" applyProtection="0"/>
    <xf numFmtId="0" fontId="165" fillId="0" borderId="7167" applyFill="0" applyProtection="0">
      <alignment horizontal="center"/>
    </xf>
    <xf numFmtId="222" fontId="79" fillId="0" borderId="7057" applyBorder="0"/>
    <xf numFmtId="10" fontId="12" fillId="3" borderId="7014" applyNumberFormat="0" applyFont="0" applyFill="0" applyBorder="0" applyAlignment="0">
      <protection locked="0"/>
    </xf>
    <xf numFmtId="0" fontId="101" fillId="0" borderId="7058" applyBorder="0"/>
    <xf numFmtId="222" fontId="79" fillId="0" borderId="7057" applyBorder="0"/>
    <xf numFmtId="0" fontId="113" fillId="0" borderId="7058" applyNumberFormat="0" applyFill="0" applyAlignment="0" applyProtection="0"/>
    <xf numFmtId="0" fontId="75" fillId="0" borderId="7035" applyNumberFormat="0" applyFont="0" applyFill="0" applyAlignment="0" applyProtection="0"/>
    <xf numFmtId="0" fontId="12" fillId="0" borderId="7058" applyNumberFormat="0" applyFill="0" applyBorder="0" applyAlignment="0" applyProtection="0">
      <alignment horizontal="center"/>
    </xf>
    <xf numFmtId="248" fontId="46" fillId="0" borderId="7058"/>
    <xf numFmtId="192" fontId="9" fillId="3" borderId="7058">
      <alignment horizontal="right" vertical="center"/>
    </xf>
    <xf numFmtId="180" fontId="9" fillId="3" borderId="7058">
      <alignment horizontal="right" vertical="center"/>
    </xf>
    <xf numFmtId="186" fontId="146" fillId="3" borderId="7058" applyBorder="0">
      <alignment horizontal="left" vertical="center"/>
    </xf>
    <xf numFmtId="186" fontId="146" fillId="3" borderId="7037">
      <alignment horizontal="left"/>
    </xf>
    <xf numFmtId="186" fontId="140" fillId="3" borderId="7038">
      <alignment horizontal="center" vertical="center"/>
    </xf>
    <xf numFmtId="0" fontId="165" fillId="0" borderId="7058" applyFill="0" applyProtection="0">
      <alignment horizontal="center"/>
    </xf>
    <xf numFmtId="0" fontId="166" fillId="0" borderId="7058">
      <alignment horizontal="center"/>
    </xf>
    <xf numFmtId="264" fontId="12" fillId="14" borderId="7058" applyFont="0" applyFill="0" applyBorder="0" applyAlignment="0" applyProtection="0">
      <alignment horizontal="right"/>
    </xf>
    <xf numFmtId="0" fontId="210" fillId="0" borderId="7058" applyNumberFormat="0" applyFill="0" applyBorder="0" applyAlignment="0">
      <protection locked="0"/>
    </xf>
    <xf numFmtId="0" fontId="2" fillId="0" borderId="7039" applyNumberFormat="0" applyAlignment="0" applyProtection="0"/>
    <xf numFmtId="0" fontId="214" fillId="0" borderId="7040" applyNumberFormat="0" applyFont="0" applyFill="0" applyAlignment="0" applyProtection="0"/>
    <xf numFmtId="0" fontId="25" fillId="10" borderId="7041" applyNumberFormat="0" applyProtection="0">
      <alignment horizontal="left" vertical="top"/>
    </xf>
    <xf numFmtId="0" fontId="25" fillId="10" borderId="7042" applyNumberFormat="0" applyProtection="0">
      <alignment horizontal="left" vertical="top"/>
    </xf>
    <xf numFmtId="0" fontId="25" fillId="10" borderId="7043" applyNumberFormat="0" applyProtection="0">
      <alignment horizontal="left" vertical="top"/>
    </xf>
    <xf numFmtId="0" fontId="25" fillId="10" borderId="7044" applyNumberFormat="0" applyProtection="0">
      <alignment horizontal="left" vertical="top"/>
    </xf>
    <xf numFmtId="0" fontId="25" fillId="10" borderId="7041" applyNumberFormat="0" applyProtection="0">
      <alignment horizontal="left" vertical="top"/>
    </xf>
    <xf numFmtId="0" fontId="25" fillId="10" borderId="7042" applyNumberFormat="0" applyProtection="0">
      <alignment horizontal="left" vertical="top"/>
    </xf>
    <xf numFmtId="0" fontId="25" fillId="10" borderId="7043" applyNumberFormat="0" applyProtection="0">
      <alignment horizontal="left" vertical="top"/>
    </xf>
    <xf numFmtId="0" fontId="25" fillId="10" borderId="7044" applyNumberFormat="0" applyProtection="0">
      <alignment horizontal="left" vertical="top"/>
    </xf>
    <xf numFmtId="254" fontId="240" fillId="0" borderId="7058" applyBorder="0" applyProtection="0">
      <alignment horizontal="right" vertical="center"/>
    </xf>
    <xf numFmtId="0" fontId="241" fillId="94" borderId="7058" applyBorder="0" applyProtection="0">
      <alignment horizontal="centerContinuous" vertical="center"/>
    </xf>
    <xf numFmtId="246" fontId="249" fillId="0" borderId="7058" applyFill="0" applyProtection="0">
      <alignment horizontal="center"/>
    </xf>
    <xf numFmtId="246" fontId="250" fillId="0" borderId="7058" applyFill="0" applyProtection="0">
      <alignment horizontal="center"/>
    </xf>
    <xf numFmtId="264" fontId="12" fillId="14" borderId="7179" applyFont="0" applyFill="0" applyBorder="0" applyAlignment="0" applyProtection="0">
      <alignment horizontal="right"/>
    </xf>
    <xf numFmtId="0" fontId="241" fillId="94" borderId="7058" applyBorder="0" applyProtection="0">
      <alignment horizontal="centerContinuous" vertical="center"/>
    </xf>
    <xf numFmtId="0" fontId="210" fillId="0" borderId="7179" applyNumberFormat="0" applyFill="0" applyBorder="0" applyAlignment="0">
      <protection locked="0"/>
    </xf>
    <xf numFmtId="10" fontId="12" fillId="3" borderId="7014" applyNumberFormat="0" applyFont="0" applyFill="0" applyBorder="0" applyAlignment="0">
      <protection locked="0"/>
    </xf>
    <xf numFmtId="0" fontId="166" fillId="0" borderId="7239">
      <alignment horizontal="center"/>
    </xf>
    <xf numFmtId="10" fontId="12" fillId="3" borderId="7014" applyNumberFormat="0" applyFont="0" applyFill="0" applyBorder="0" applyAlignment="0">
      <protection locked="0"/>
    </xf>
    <xf numFmtId="190" fontId="214" fillId="0" borderId="7221" applyNumberFormat="0" applyFont="0" applyFill="0" applyAlignment="0" applyProtection="0"/>
    <xf numFmtId="190" fontId="78" fillId="14" borderId="7229" applyFont="0" applyFill="0" applyBorder="0" applyAlignment="0" applyProtection="0"/>
    <xf numFmtId="190" fontId="101" fillId="0" borderId="7239" applyBorder="0"/>
    <xf numFmtId="254" fontId="240" fillId="0" borderId="7239" applyBorder="0" applyProtection="0">
      <alignment horizontal="right" vertical="center"/>
    </xf>
    <xf numFmtId="312" fontId="101" fillId="0" borderId="7058" applyBorder="0"/>
    <xf numFmtId="0" fontId="113" fillId="0" borderId="7239" applyNumberFormat="0" applyFill="0" applyAlignment="0" applyProtection="0"/>
    <xf numFmtId="180" fontId="9" fillId="3" borderId="7239">
      <alignment horizontal="right" vertical="center"/>
    </xf>
    <xf numFmtId="312" fontId="12" fillId="0" borderId="7001" applyNumberFormat="0" applyFill="0" applyBorder="0" applyAlignment="0" applyProtection="0"/>
    <xf numFmtId="312" fontId="46" fillId="0" borderId="7001" applyNumberFormat="0" applyFill="0" applyBorder="0" applyAlignment="0" applyProtection="0"/>
    <xf numFmtId="312" fontId="105" fillId="0" borderId="7001" applyNumberFormat="0" applyFill="0" applyBorder="0" applyAlignment="0" applyProtection="0"/>
    <xf numFmtId="312" fontId="48" fillId="0" borderId="7001" applyNumberFormat="0" applyFill="0" applyAlignment="0" applyProtection="0"/>
    <xf numFmtId="0" fontId="165" fillId="0" borderId="7239" applyFill="0" applyProtection="0">
      <alignment horizontal="center"/>
    </xf>
    <xf numFmtId="246" fontId="250" fillId="0" borderId="7239" applyFill="0" applyProtection="0">
      <alignment horizontal="center"/>
    </xf>
    <xf numFmtId="312" fontId="113" fillId="0" borderId="7058" applyNumberFormat="0" applyFill="0" applyAlignment="0" applyProtection="0"/>
    <xf numFmtId="312" fontId="75" fillId="0" borderId="7035" applyNumberFormat="0" applyFont="0" applyFill="0" applyAlignment="0" applyProtection="0"/>
    <xf numFmtId="0" fontId="2" fillId="0" borderId="7244" applyNumberFormat="0" applyAlignment="0" applyProtection="0"/>
    <xf numFmtId="0" fontId="78" fillId="14" borderId="7241" applyFont="0" applyFill="0" applyBorder="0" applyAlignment="0" applyProtection="0"/>
    <xf numFmtId="246" fontId="250" fillId="0" borderId="7227" applyFill="0" applyProtection="0">
      <alignment horizontal="center"/>
    </xf>
    <xf numFmtId="254" fontId="240" fillId="0" borderId="7227" applyBorder="0" applyProtection="0">
      <alignment horizontal="right" vertical="center"/>
    </xf>
    <xf numFmtId="0" fontId="165" fillId="0" borderId="7227" applyFill="0" applyProtection="0">
      <alignment horizontal="center"/>
    </xf>
    <xf numFmtId="0" fontId="12" fillId="0" borderId="7227" applyNumberFormat="0" applyFill="0" applyBorder="0" applyAlignment="0" applyProtection="0">
      <alignment horizontal="center"/>
    </xf>
    <xf numFmtId="0" fontId="25" fillId="10" borderId="7222" applyNumberFormat="0" applyProtection="0">
      <alignment horizontal="left" vertical="top"/>
    </xf>
    <xf numFmtId="0" fontId="2" fillId="0" borderId="7220" applyNumberFormat="0" applyAlignment="0" applyProtection="0"/>
    <xf numFmtId="312" fontId="12" fillId="0" borderId="7058" applyNumberFormat="0" applyFill="0" applyBorder="0" applyAlignment="0" applyProtection="0">
      <alignment horizontal="center"/>
    </xf>
    <xf numFmtId="222" fontId="79" fillId="0" borderId="7214" applyBorder="0"/>
    <xf numFmtId="0" fontId="166" fillId="0" borderId="7203">
      <alignment horizontal="center"/>
    </xf>
    <xf numFmtId="180" fontId="9" fillId="3" borderId="7203">
      <alignment horizontal="right" vertical="center"/>
    </xf>
    <xf numFmtId="0" fontId="12" fillId="0" borderId="7203" applyNumberFormat="0" applyFill="0" applyBorder="0" applyAlignment="0" applyProtection="0">
      <alignment horizontal="center"/>
    </xf>
    <xf numFmtId="0" fontId="101" fillId="0" borderId="7203" applyBorder="0"/>
    <xf numFmtId="186" fontId="146" fillId="3" borderId="7194">
      <alignment horizontal="left"/>
    </xf>
    <xf numFmtId="0" fontId="214" fillId="0" borderId="7197" applyNumberFormat="0" applyFont="0" applyFill="0" applyAlignment="0" applyProtection="0"/>
    <xf numFmtId="0" fontId="25" fillId="10" borderId="7200" applyNumberFormat="0" applyProtection="0">
      <alignment horizontal="left" vertical="top"/>
    </xf>
    <xf numFmtId="222" fontId="79" fillId="0" borderId="7190" applyBorder="0"/>
    <xf numFmtId="246" fontId="249" fillId="0" borderId="7179" applyFill="0" applyProtection="0">
      <alignment horizontal="center"/>
    </xf>
    <xf numFmtId="222" fontId="79" fillId="0" borderId="7057" applyBorder="0"/>
    <xf numFmtId="0" fontId="78" fillId="14" borderId="7169" applyFont="0" applyFill="0" applyBorder="0" applyAlignment="0" applyProtection="0"/>
    <xf numFmtId="0" fontId="25" fillId="10" borderId="7177" applyNumberFormat="0" applyProtection="0">
      <alignment horizontal="left" vertical="top"/>
    </xf>
    <xf numFmtId="0" fontId="25" fillId="10" borderId="7174" applyNumberFormat="0" applyProtection="0">
      <alignment horizontal="left" vertical="top"/>
    </xf>
    <xf numFmtId="186" fontId="140" fillId="3" borderId="7171">
      <alignment horizontal="center" vertical="center"/>
    </xf>
    <xf numFmtId="222" fontId="79" fillId="0" borderId="7178" applyBorder="0"/>
    <xf numFmtId="312" fontId="78" fillId="14" borderId="6979" applyFont="0" applyFill="0" applyBorder="0" applyAlignment="0" applyProtection="0"/>
    <xf numFmtId="0" fontId="12" fillId="0" borderId="7179" applyNumberFormat="0" applyFill="0" applyBorder="0" applyAlignment="0" applyProtection="0">
      <alignment horizontal="center"/>
    </xf>
    <xf numFmtId="246" fontId="250" fillId="0" borderId="7179" applyFill="0" applyProtection="0">
      <alignment horizontal="center"/>
    </xf>
    <xf numFmtId="312" fontId="74" fillId="0" borderId="7000" applyFont="0" applyFill="0" applyBorder="0" applyAlignment="0" applyProtection="0">
      <alignment horizontal="center"/>
    </xf>
    <xf numFmtId="312" fontId="48" fillId="0" borderId="7000" applyFont="0" applyFill="0" applyBorder="0" applyAlignment="0" applyProtection="0">
      <alignment horizontal="center"/>
    </xf>
    <xf numFmtId="222" fontId="79" fillId="0" borderId="7057" applyBorder="0"/>
    <xf numFmtId="0" fontId="75" fillId="0" borderId="7228" applyNumberFormat="0" applyFont="0" applyFill="0" applyAlignment="0" applyProtection="0"/>
    <xf numFmtId="0" fontId="25" fillId="10" borderId="6998" applyNumberFormat="0" applyProtection="0">
      <alignment horizontal="left" vertical="top"/>
    </xf>
    <xf numFmtId="222" fontId="79" fillId="0" borderId="7214" applyBorder="0"/>
    <xf numFmtId="312" fontId="135" fillId="0" borderId="7002"/>
    <xf numFmtId="312" fontId="135" fillId="0" borderId="7002"/>
    <xf numFmtId="0" fontId="75" fillId="0" borderId="7204" applyNumberFormat="0" applyFont="0" applyFill="0" applyAlignment="0" applyProtection="0"/>
    <xf numFmtId="0" fontId="12" fillId="0" borderId="7215" applyNumberFormat="0" applyFill="0" applyBorder="0" applyAlignment="0" applyProtection="0">
      <alignment horizontal="center"/>
    </xf>
    <xf numFmtId="264" fontId="12" fillId="14" borderId="7215" applyFont="0" applyFill="0" applyBorder="0" applyAlignment="0" applyProtection="0">
      <alignment horizontal="right"/>
    </xf>
    <xf numFmtId="246" fontId="249" fillId="0" borderId="7191" applyFill="0" applyProtection="0">
      <alignment horizontal="center"/>
    </xf>
    <xf numFmtId="0" fontId="166" fillId="0" borderId="7191">
      <alignment horizontal="center"/>
    </xf>
    <xf numFmtId="254" fontId="240" fillId="0" borderId="7239" applyBorder="0" applyProtection="0">
      <alignment horizontal="right" vertical="center"/>
    </xf>
    <xf numFmtId="180" fontId="9" fillId="3" borderId="7239">
      <alignment horizontal="right" vertical="center"/>
    </xf>
    <xf numFmtId="222" fontId="79" fillId="0" borderId="7238" applyBorder="0"/>
    <xf numFmtId="0" fontId="25" fillId="10" borderId="7174" applyNumberFormat="0" applyProtection="0">
      <alignment horizontal="left" vertical="top"/>
    </xf>
    <xf numFmtId="186" fontId="140" fillId="3" borderId="7171">
      <alignment horizontal="center" vertical="center"/>
    </xf>
    <xf numFmtId="0" fontId="25" fillId="10" borderId="7174" applyNumberFormat="0" applyProtection="0">
      <alignment horizontal="left" vertical="top"/>
    </xf>
    <xf numFmtId="0" fontId="25" fillId="10" borderId="7177" applyNumberFormat="0" applyProtection="0">
      <alignment horizontal="left" vertical="top"/>
    </xf>
    <xf numFmtId="0" fontId="25" fillId="10" borderId="7175" applyNumberFormat="0" applyProtection="0">
      <alignment horizontal="left" vertical="top"/>
    </xf>
    <xf numFmtId="264" fontId="12" fillId="14" borderId="7239" applyFont="0" applyFill="0" applyBorder="0" applyAlignment="0" applyProtection="0">
      <alignment horizontal="right"/>
    </xf>
    <xf numFmtId="312" fontId="159" fillId="0" borderId="7002"/>
    <xf numFmtId="312" fontId="159" fillId="67" borderId="7002"/>
    <xf numFmtId="312" fontId="165" fillId="0" borderId="7058" applyFill="0" applyProtection="0">
      <alignment horizontal="center"/>
    </xf>
    <xf numFmtId="312" fontId="242" fillId="0" borderId="7058">
      <alignment horizontal="center"/>
    </xf>
    <xf numFmtId="0" fontId="241" fillId="94" borderId="7167" applyBorder="0" applyProtection="0">
      <alignment horizontal="centerContinuous" vertical="center"/>
    </xf>
    <xf numFmtId="0" fontId="165" fillId="0" borderId="7167" applyFill="0" applyProtection="0">
      <alignment horizontal="center"/>
    </xf>
    <xf numFmtId="0" fontId="113" fillId="0" borderId="7167" applyNumberFormat="0" applyFill="0" applyAlignment="0" applyProtection="0"/>
    <xf numFmtId="312" fontId="25" fillId="69" borderId="7002">
      <alignment horizontal="left" vertical="center" wrapText="1"/>
    </xf>
    <xf numFmtId="312" fontId="184" fillId="0" borderId="7003" applyAlignment="0">
      <alignment horizontal="left" wrapText="1"/>
    </xf>
    <xf numFmtId="0" fontId="25" fillId="10" borderId="6998" applyNumberFormat="0" applyProtection="0">
      <alignment horizontal="left" vertical="top"/>
    </xf>
    <xf numFmtId="312" fontId="210" fillId="0" borderId="7058" applyNumberFormat="0" applyFill="0" applyBorder="0" applyAlignment="0">
      <protection locked="0"/>
    </xf>
    <xf numFmtId="312" fontId="2" fillId="0" borderId="7039" applyNumberFormat="0" applyAlignment="0" applyProtection="0"/>
    <xf numFmtId="312" fontId="214" fillId="0" borderId="7040" applyNumberFormat="0" applyFont="0" applyFill="0" applyAlignment="0" applyProtection="0"/>
    <xf numFmtId="312" fontId="225" fillId="53" borderId="7004" applyNumberFormat="0" applyProtection="0">
      <alignment horizontal="left" vertical="top" indent="1"/>
    </xf>
    <xf numFmtId="312" fontId="12" fillId="75" borderId="7004" applyNumberFormat="0" applyProtection="0">
      <alignment horizontal="left" vertical="center" indent="1"/>
    </xf>
    <xf numFmtId="312" fontId="12" fillId="75" borderId="7004" applyNumberFormat="0" applyProtection="0">
      <alignment horizontal="left" vertical="top" indent="1"/>
    </xf>
    <xf numFmtId="312" fontId="12" fillId="84" borderId="7004" applyNumberFormat="0" applyProtection="0">
      <alignment horizontal="left" vertical="center" indent="1"/>
    </xf>
    <xf numFmtId="312" fontId="12" fillId="84" borderId="7004" applyNumberFormat="0" applyProtection="0">
      <alignment horizontal="left" vertical="top" indent="1"/>
    </xf>
    <xf numFmtId="312" fontId="12" fillId="52" borderId="7004" applyNumberFormat="0" applyProtection="0">
      <alignment horizontal="left" vertical="center" indent="1"/>
    </xf>
    <xf numFmtId="312" fontId="12" fillId="52" borderId="7004" applyNumberFormat="0" applyProtection="0">
      <alignment horizontal="left" vertical="top" indent="1"/>
    </xf>
    <xf numFmtId="312" fontId="12" fillId="11" borderId="7004" applyNumberFormat="0" applyProtection="0">
      <alignment horizontal="left" vertical="center" indent="1"/>
    </xf>
    <xf numFmtId="312" fontId="12" fillId="11" borderId="7004" applyNumberFormat="0" applyProtection="0">
      <alignment horizontal="left" vertical="top" indent="1"/>
    </xf>
    <xf numFmtId="312" fontId="136" fillId="14" borderId="7004" applyNumberFormat="0" applyProtection="0">
      <alignment horizontal="left" vertical="top" indent="1"/>
    </xf>
    <xf numFmtId="312" fontId="136" fillId="84" borderId="7004" applyNumberFormat="0" applyProtection="0">
      <alignment horizontal="left" vertical="top" indent="1"/>
    </xf>
    <xf numFmtId="312" fontId="25" fillId="10" borderId="7002" applyNumberFormat="0" applyProtection="0">
      <alignment horizontal="center" vertical="top"/>
    </xf>
    <xf numFmtId="312" fontId="25" fillId="10" borderId="7002" applyNumberFormat="0" applyProtection="0">
      <alignment horizontal="center" vertical="top"/>
    </xf>
    <xf numFmtId="312" fontId="12" fillId="3" borderId="7002" applyNumberFormat="0" applyFont="0" applyAlignment="0" applyProtection="0"/>
    <xf numFmtId="312" fontId="12" fillId="10" borderId="7002" applyNumberFormat="0" applyFont="0" applyAlignment="0" applyProtection="0"/>
    <xf numFmtId="312" fontId="12" fillId="10" borderId="7002" applyNumberFormat="0" applyFont="0" applyProtection="0"/>
    <xf numFmtId="312" fontId="25" fillId="10" borderId="7007" applyNumberFormat="0" applyProtection="0">
      <alignment horizontal="left"/>
    </xf>
    <xf numFmtId="312" fontId="25" fillId="10" borderId="7008" applyNumberFormat="0" applyProtection="0">
      <alignment horizontal="left" vertical="top"/>
    </xf>
    <xf numFmtId="312" fontId="25" fillId="10" borderId="7009" applyNumberFormat="0" applyProtection="0">
      <alignment horizontal="left" vertical="top"/>
    </xf>
    <xf numFmtId="312" fontId="25" fillId="10" borderId="7041" applyNumberFormat="0" applyProtection="0">
      <alignment horizontal="left" vertical="top"/>
    </xf>
    <xf numFmtId="312" fontId="25" fillId="10" borderId="7042" applyNumberFormat="0" applyProtection="0">
      <alignment horizontal="left" vertical="top"/>
    </xf>
    <xf numFmtId="312" fontId="25" fillId="10" borderId="7010" applyNumberFormat="0" applyProtection="0">
      <alignment horizontal="left" vertical="top"/>
    </xf>
    <xf numFmtId="312" fontId="25" fillId="10" borderId="7043" applyNumberFormat="0" applyProtection="0">
      <alignment horizontal="left" vertical="top"/>
    </xf>
    <xf numFmtId="312" fontId="25" fillId="10" borderId="7011" applyNumberFormat="0" applyProtection="0">
      <alignment horizontal="left" vertical="top"/>
    </xf>
    <xf numFmtId="312" fontId="25" fillId="10" borderId="7044" applyNumberFormat="0" applyProtection="0">
      <alignment horizontal="left" vertical="top"/>
    </xf>
    <xf numFmtId="312" fontId="25" fillId="10" borderId="7012" applyNumberFormat="0" applyProtection="0">
      <alignment horizontal="left" vertical="top"/>
    </xf>
    <xf numFmtId="312" fontId="25" fillId="10" borderId="7013" applyNumberFormat="0" applyProtection="0">
      <alignment horizontal="left" vertical="top"/>
    </xf>
    <xf numFmtId="312" fontId="12" fillId="0" borderId="7001" applyNumberFormat="0" applyFill="0" applyBorder="0" applyAlignment="0" applyProtection="0"/>
    <xf numFmtId="312" fontId="241" fillId="94" borderId="7058" applyBorder="0" applyProtection="0">
      <alignment horizontal="centerContinuous" vertical="center"/>
    </xf>
    <xf numFmtId="246" fontId="296" fillId="0" borderId="7058" applyFill="0" applyProtection="0">
      <alignment horizontal="center"/>
    </xf>
    <xf numFmtId="10" fontId="12" fillId="3" borderId="7014" applyNumberFormat="0" applyFont="0" applyFill="0" applyBorder="0" applyAlignment="0">
      <protection locked="0"/>
    </xf>
    <xf numFmtId="312" fontId="12" fillId="0" borderId="7001" applyNumberFormat="0" applyFill="0" applyBorder="0" applyAlignment="0" applyProtection="0"/>
    <xf numFmtId="312" fontId="12" fillId="0" borderId="7001" applyNumberFormat="0" applyFill="0" applyBorder="0" applyAlignment="0" applyProtection="0"/>
    <xf numFmtId="312" fontId="12" fillId="0" borderId="7001" applyNumberFormat="0" applyFill="0" applyBorder="0" applyAlignment="0" applyProtection="0"/>
    <xf numFmtId="312" fontId="101" fillId="0" borderId="7058" applyBorder="0"/>
    <xf numFmtId="312" fontId="113" fillId="0" borderId="7058" applyNumberFormat="0" applyFill="0" applyAlignment="0" applyProtection="0"/>
    <xf numFmtId="312" fontId="75" fillId="0" borderId="7035" applyNumberFormat="0" applyFont="0" applyFill="0" applyAlignment="0" applyProtection="0"/>
    <xf numFmtId="312" fontId="12" fillId="0" borderId="7058" applyNumberFormat="0" applyFill="0" applyBorder="0" applyAlignment="0" applyProtection="0">
      <alignment horizontal="center"/>
    </xf>
    <xf numFmtId="312" fontId="78" fillId="14" borderId="6979" applyFont="0" applyFill="0" applyBorder="0" applyAlignment="0" applyProtection="0"/>
    <xf numFmtId="0" fontId="113" fillId="0" borderId="7215" applyNumberFormat="0" applyFill="0" applyAlignment="0" applyProtection="0"/>
    <xf numFmtId="312" fontId="5" fillId="0" borderId="7017">
      <alignment horizontal="left" vertical="center"/>
    </xf>
    <xf numFmtId="312" fontId="165" fillId="0" borderId="7058" applyFill="0" applyProtection="0">
      <alignment horizontal="center"/>
    </xf>
    <xf numFmtId="312" fontId="242" fillId="0" borderId="7058">
      <alignment horizontal="center"/>
    </xf>
    <xf numFmtId="0" fontId="210" fillId="0" borderId="7215" applyNumberFormat="0" applyFill="0" applyBorder="0" applyAlignment="0">
      <protection locked="0"/>
    </xf>
    <xf numFmtId="312" fontId="210" fillId="0" borderId="7058" applyNumberFormat="0" applyFill="0" applyBorder="0" applyAlignment="0">
      <protection locked="0"/>
    </xf>
    <xf numFmtId="312" fontId="2" fillId="0" borderId="7039" applyNumberFormat="0" applyAlignment="0" applyProtection="0"/>
    <xf numFmtId="312" fontId="214" fillId="0" borderId="7040" applyNumberFormat="0" applyFont="0" applyFill="0" applyAlignment="0" applyProtection="0"/>
    <xf numFmtId="312" fontId="25" fillId="10" borderId="7041" applyNumberFormat="0" applyProtection="0">
      <alignment horizontal="left" vertical="top"/>
    </xf>
    <xf numFmtId="312" fontId="25" fillId="10" borderId="7042" applyNumberFormat="0" applyProtection="0">
      <alignment horizontal="left" vertical="top"/>
    </xf>
    <xf numFmtId="312" fontId="25" fillId="10" borderId="7043" applyNumberFormat="0" applyProtection="0">
      <alignment horizontal="left" vertical="top"/>
    </xf>
    <xf numFmtId="312" fontId="25" fillId="10" borderId="7044" applyNumberFormat="0" applyProtection="0">
      <alignment horizontal="left" vertical="top"/>
    </xf>
    <xf numFmtId="312" fontId="25" fillId="10" borderId="7041" applyNumberFormat="0" applyProtection="0">
      <alignment horizontal="left" vertical="top"/>
    </xf>
    <xf numFmtId="312" fontId="25" fillId="10" borderId="7042" applyNumberFormat="0" applyProtection="0">
      <alignment horizontal="left" vertical="top"/>
    </xf>
    <xf numFmtId="312" fontId="25" fillId="10" borderId="7043" applyNumberFormat="0" applyProtection="0">
      <alignment horizontal="left" vertical="top"/>
    </xf>
    <xf numFmtId="312" fontId="25" fillId="10" borderId="7044" applyNumberFormat="0" applyProtection="0">
      <alignment horizontal="left" vertical="top"/>
    </xf>
    <xf numFmtId="312" fontId="241" fillId="94" borderId="7058" applyBorder="0" applyProtection="0">
      <alignment horizontal="centerContinuous" vertical="center"/>
    </xf>
    <xf numFmtId="246" fontId="296" fillId="0" borderId="7058" applyFill="0" applyProtection="0">
      <alignment horizontal="center"/>
    </xf>
    <xf numFmtId="0" fontId="241" fillId="94" borderId="7239" applyBorder="0" applyProtection="0">
      <alignment horizontal="centerContinuous" vertical="center"/>
    </xf>
    <xf numFmtId="10" fontId="12" fillId="3" borderId="7014" applyNumberFormat="0" applyFont="0" applyFill="0" applyBorder="0" applyAlignment="0">
      <protection locked="0"/>
    </xf>
    <xf numFmtId="0" fontId="241" fillId="94" borderId="7167" applyBorder="0" applyProtection="0">
      <alignment horizontal="centerContinuous" vertical="center"/>
    </xf>
    <xf numFmtId="0" fontId="210" fillId="0" borderId="7167" applyNumberFormat="0" applyFill="0" applyBorder="0" applyAlignment="0">
      <protection locked="0"/>
    </xf>
    <xf numFmtId="246" fontId="249" fillId="0" borderId="7179" applyFill="0" applyProtection="0">
      <alignment horizontal="center"/>
    </xf>
    <xf numFmtId="0" fontId="2" fillId="0" borderId="7184" applyNumberFormat="0" applyAlignment="0" applyProtection="0"/>
    <xf numFmtId="0" fontId="214" fillId="0" borderId="7173" applyNumberFormat="0" applyFont="0" applyFill="0" applyAlignment="0" applyProtection="0"/>
    <xf numFmtId="0" fontId="25" fillId="10" borderId="7176" applyNumberFormat="0" applyProtection="0">
      <alignment horizontal="left" vertical="top"/>
    </xf>
    <xf numFmtId="180" fontId="9" fillId="3" borderId="7167">
      <alignment horizontal="right" vertical="center"/>
    </xf>
    <xf numFmtId="0" fontId="165" fillId="0" borderId="7167" applyFill="0" applyProtection="0">
      <alignment horizontal="center"/>
    </xf>
    <xf numFmtId="1" fontId="154" fillId="65" borderId="5715" applyNumberFormat="0" applyBorder="0" applyAlignment="0">
      <alignment horizontal="centerContinuous" vertical="center"/>
      <protection locked="0"/>
    </xf>
    <xf numFmtId="0" fontId="12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10" fontId="12" fillId="3" borderId="7014" applyNumberFormat="0" applyFont="0" applyFill="0" applyBorder="0" applyAlignment="0">
      <protection locked="0"/>
    </xf>
    <xf numFmtId="246" fontId="250" fillId="0" borderId="7058" applyFill="0" applyProtection="0">
      <alignment horizontal="center"/>
    </xf>
    <xf numFmtId="246" fontId="249" fillId="0" borderId="7058" applyFill="0" applyProtection="0">
      <alignment horizontal="center"/>
    </xf>
    <xf numFmtId="0" fontId="241" fillId="94" borderId="7058" applyBorder="0" applyProtection="0">
      <alignment horizontal="centerContinuous" vertical="center"/>
    </xf>
    <xf numFmtId="254" fontId="240" fillId="0" borderId="7058" applyBorder="0" applyProtection="0">
      <alignment horizontal="right" vertical="center"/>
    </xf>
    <xf numFmtId="0" fontId="12" fillId="0" borderId="7001" applyNumberFormat="0" applyFill="0" applyBorder="0" applyAlignment="0" applyProtection="0"/>
    <xf numFmtId="0" fontId="25" fillId="10" borderId="7013" applyNumberFormat="0" applyProtection="0">
      <alignment horizontal="left" vertical="top"/>
    </xf>
    <xf numFmtId="0" fontId="25" fillId="10" borderId="7012" applyNumberFormat="0" applyProtection="0">
      <alignment horizontal="left" vertical="top"/>
    </xf>
    <xf numFmtId="0" fontId="25" fillId="10" borderId="7011" applyNumberFormat="0" applyProtection="0">
      <alignment horizontal="left" vertical="top"/>
    </xf>
    <xf numFmtId="0" fontId="25" fillId="10" borderId="7010" applyNumberFormat="0" applyProtection="0">
      <alignment horizontal="left" vertical="top"/>
    </xf>
    <xf numFmtId="0" fontId="25" fillId="10" borderId="7009" applyNumberFormat="0" applyProtection="0">
      <alignment horizontal="left" vertical="top"/>
    </xf>
    <xf numFmtId="0" fontId="25" fillId="10" borderId="7008" applyNumberFormat="0" applyProtection="0">
      <alignment horizontal="left" vertical="top"/>
    </xf>
    <xf numFmtId="0" fontId="25" fillId="10" borderId="7007" applyNumberFormat="0" applyProtection="0">
      <alignment horizontal="left"/>
    </xf>
    <xf numFmtId="0" fontId="12" fillId="10" borderId="7002" applyNumberFormat="0" applyFont="0" applyProtection="0"/>
    <xf numFmtId="0" fontId="12" fillId="10" borderId="7002" applyNumberFormat="0" applyFont="0" applyAlignment="0" applyProtection="0"/>
    <xf numFmtId="0" fontId="12" fillId="3" borderId="7002" applyNumberFormat="0" applyFont="0" applyAlignment="0" applyProtection="0"/>
    <xf numFmtId="293" fontId="234" fillId="10" borderId="7002" applyFont="0" applyProtection="0"/>
    <xf numFmtId="293" fontId="234" fillId="10" borderId="7002" applyFont="0" applyProtection="0"/>
    <xf numFmtId="169" fontId="234" fillId="3" borderId="7002" applyFont="0" applyProtection="0"/>
    <xf numFmtId="293" fontId="234" fillId="3" borderId="7002" applyFont="0" applyProtection="0"/>
    <xf numFmtId="169" fontId="234" fillId="10" borderId="7002" applyFont="0" applyProtection="0"/>
    <xf numFmtId="0" fontId="25" fillId="10" borderId="7002" applyNumberFormat="0" applyProtection="0">
      <alignment horizontal="center" vertical="top"/>
    </xf>
    <xf numFmtId="0" fontId="25" fillId="10" borderId="7002" applyNumberFormat="0" applyProtection="0">
      <alignment horizontal="center" vertical="top"/>
    </xf>
    <xf numFmtId="2" fontId="12" fillId="60" borderId="7006" applyFont="0" applyFill="0" applyBorder="0" applyAlignment="0" applyProtection="0"/>
    <xf numFmtId="9" fontId="12" fillId="60" borderId="7006" applyFont="0" applyFill="0" applyBorder="0" applyAlignment="0" applyProtection="0"/>
    <xf numFmtId="10" fontId="12" fillId="60" borderId="7006" applyFont="0" applyFill="0" applyBorder="0" applyAlignment="0" applyProtection="0"/>
    <xf numFmtId="183" fontId="12" fillId="60" borderId="7006" applyFont="0" applyFill="0" applyBorder="0" applyAlignment="0" applyProtection="0"/>
    <xf numFmtId="4" fontId="12" fillId="60" borderId="7006" applyFont="0" applyFill="0" applyBorder="0" applyAlignment="0" applyProtection="0"/>
    <xf numFmtId="3" fontId="12" fillId="60" borderId="7006" applyFont="0" applyFill="0" applyBorder="0" applyAlignment="0" applyProtection="0"/>
    <xf numFmtId="4" fontId="230" fillId="11" borderId="7004" applyNumberFormat="0" applyProtection="0">
      <alignment horizontal="right" vertical="center"/>
    </xf>
    <xf numFmtId="4" fontId="229" fillId="84" borderId="7005" applyNumberFormat="0" applyProtection="0">
      <alignment horizontal="left" vertical="center" indent="1"/>
    </xf>
    <xf numFmtId="0" fontId="136" fillId="84" borderId="7004" applyNumberFormat="0" applyProtection="0">
      <alignment horizontal="left" vertical="top" indent="1"/>
    </xf>
    <xf numFmtId="4" fontId="223" fillId="52" borderId="7004" applyNumberFormat="0" applyProtection="0">
      <alignment horizontal="left" vertical="center" indent="1"/>
    </xf>
    <xf numFmtId="4" fontId="228" fillId="11" borderId="7004" applyNumberFormat="0" applyProtection="0">
      <alignment horizontal="right" vertical="center"/>
    </xf>
    <xf numFmtId="4" fontId="184" fillId="11" borderId="7004" applyNumberFormat="0" applyProtection="0">
      <alignment horizontal="right" vertical="center"/>
    </xf>
    <xf numFmtId="0" fontId="136" fillId="14" borderId="7004" applyNumberFormat="0" applyProtection="0">
      <alignment horizontal="left" vertical="top" indent="1"/>
    </xf>
    <xf numFmtId="4" fontId="227" fillId="52" borderId="7005" applyNumberFormat="0" applyProtection="0">
      <alignment horizontal="left" vertical="center" indent="1"/>
    </xf>
    <xf numFmtId="4" fontId="228" fillId="11" borderId="7004" applyNumberFormat="0" applyProtection="0">
      <alignment vertical="center"/>
    </xf>
    <xf numFmtId="4" fontId="226" fillId="11" borderId="7004" applyNumberFormat="0" applyProtection="0">
      <alignment vertical="center"/>
    </xf>
    <xf numFmtId="0" fontId="12" fillId="11" borderId="7004" applyNumberFormat="0" applyProtection="0">
      <alignment horizontal="left" vertical="top" indent="1"/>
    </xf>
    <xf numFmtId="0" fontId="12" fillId="11" borderId="7004" applyNumberFormat="0" applyProtection="0">
      <alignment horizontal="left" vertical="center" indent="1"/>
    </xf>
    <xf numFmtId="0" fontId="12" fillId="52" borderId="7004" applyNumberFormat="0" applyProtection="0">
      <alignment horizontal="left" vertical="top" indent="1"/>
    </xf>
    <xf numFmtId="0" fontId="12" fillId="52" borderId="7004" applyNumberFormat="0" applyProtection="0">
      <alignment horizontal="left" vertical="center" indent="1"/>
    </xf>
    <xf numFmtId="0" fontId="12" fillId="84" borderId="7004" applyNumberFormat="0" applyProtection="0">
      <alignment horizontal="left" vertical="top" indent="1"/>
    </xf>
    <xf numFmtId="0" fontId="12" fillId="84" borderId="7004" applyNumberFormat="0" applyProtection="0">
      <alignment horizontal="left" vertical="center" indent="1"/>
    </xf>
    <xf numFmtId="0" fontId="12" fillId="75" borderId="7004" applyNumberFormat="0" applyProtection="0">
      <alignment horizontal="left" vertical="top" indent="1"/>
    </xf>
    <xf numFmtId="0" fontId="12" fillId="75" borderId="7004" applyNumberFormat="0" applyProtection="0">
      <alignment horizontal="left" vertical="center" indent="1"/>
    </xf>
    <xf numFmtId="4" fontId="184" fillId="52" borderId="7004" applyNumberFormat="0" applyProtection="0">
      <alignment horizontal="right" vertical="center"/>
    </xf>
    <xf numFmtId="4" fontId="226" fillId="82" borderId="7004" applyNumberFormat="0" applyProtection="0">
      <alignment horizontal="right" vertical="center"/>
    </xf>
    <xf numFmtId="4" fontId="226" fillId="81" borderId="7004" applyNumberFormat="0" applyProtection="0">
      <alignment horizontal="right" vertical="center"/>
    </xf>
    <xf numFmtId="4" fontId="226" fillId="80" borderId="7004" applyNumberFormat="0" applyProtection="0">
      <alignment horizontal="right" vertical="center"/>
    </xf>
    <xf numFmtId="4" fontId="226" fillId="71" borderId="7004" applyNumberFormat="0" applyProtection="0">
      <alignment horizontal="right" vertical="center"/>
    </xf>
    <xf numFmtId="4" fontId="226" fillId="79" borderId="7004" applyNumberFormat="0" applyProtection="0">
      <alignment horizontal="right" vertical="center"/>
    </xf>
    <xf numFmtId="4" fontId="226" fillId="10" borderId="7004" applyNumberFormat="0" applyProtection="0">
      <alignment horizontal="right" vertical="center"/>
    </xf>
    <xf numFmtId="4" fontId="226" fillId="78" borderId="7004" applyNumberFormat="0" applyProtection="0">
      <alignment horizontal="right" vertical="center"/>
    </xf>
    <xf numFmtId="4" fontId="226" fillId="77" borderId="7004" applyNumberFormat="0" applyProtection="0">
      <alignment horizontal="right" vertical="center"/>
    </xf>
    <xf numFmtId="4" fontId="226" fillId="76" borderId="7004" applyNumberFormat="0" applyProtection="0">
      <alignment horizontal="right" vertical="center"/>
    </xf>
    <xf numFmtId="0" fontId="225" fillId="53" borderId="7004" applyNumberFormat="0" applyProtection="0">
      <alignment horizontal="left" vertical="top" indent="1"/>
    </xf>
    <xf numFmtId="4" fontId="184" fillId="53" borderId="7004" applyNumberFormat="0" applyProtection="0">
      <alignment horizontal="left" vertical="center" indent="1"/>
    </xf>
    <xf numFmtId="4" fontId="224" fillId="53" borderId="7004" applyNumberFormat="0" applyProtection="0">
      <alignment vertical="center"/>
    </xf>
    <xf numFmtId="4" fontId="223" fillId="53" borderId="7004" applyNumberFormat="0" applyProtection="0">
      <alignment vertical="center"/>
    </xf>
    <xf numFmtId="0" fontId="12" fillId="0" borderId="7001" applyNumberFormat="0" applyFill="0" applyBorder="0" applyAlignment="0" applyProtection="0"/>
    <xf numFmtId="0" fontId="46" fillId="0" borderId="7001" applyNumberFormat="0" applyFill="0" applyBorder="0" applyAlignment="0" applyProtection="0"/>
    <xf numFmtId="0" fontId="105" fillId="0" borderId="7001" applyNumberFormat="0" applyFill="0" applyBorder="0" applyAlignment="0" applyProtection="0"/>
    <xf numFmtId="0" fontId="48" fillId="0" borderId="7001" applyNumberFormat="0" applyFill="0" applyAlignment="0" applyProtection="0"/>
    <xf numFmtId="5" fontId="114" fillId="0" borderId="7000" applyAlignment="0" applyProtection="0"/>
    <xf numFmtId="0" fontId="210" fillId="0" borderId="7058" applyNumberFormat="0" applyFill="0" applyBorder="0" applyAlignment="0">
      <protection locked="0"/>
    </xf>
    <xf numFmtId="182" fontId="145" fillId="3" borderId="7000">
      <alignment horizontal="right" vertical="center"/>
    </xf>
    <xf numFmtId="186" fontId="48" fillId="3" borderId="7000">
      <alignment vertical="center"/>
    </xf>
    <xf numFmtId="0" fontId="135" fillId="0" borderId="7002"/>
    <xf numFmtId="0" fontId="135" fillId="0" borderId="7002"/>
    <xf numFmtId="188" fontId="25" fillId="0" borderId="7017" applyFont="0" applyFill="0" applyBorder="0" applyAlignment="0" applyProtection="0">
      <alignment horizontal="center"/>
    </xf>
    <xf numFmtId="0" fontId="184" fillId="0" borderId="7003" applyAlignment="0">
      <alignment horizontal="left" wrapText="1"/>
    </xf>
    <xf numFmtId="264" fontId="12" fillId="14" borderId="7058" applyFont="0" applyFill="0" applyBorder="0" applyAlignment="0" applyProtection="0">
      <alignment horizontal="right"/>
    </xf>
    <xf numFmtId="0" fontId="25" fillId="69" borderId="7002">
      <alignment horizontal="left" vertical="center" wrapText="1"/>
    </xf>
    <xf numFmtId="0" fontId="159" fillId="0" borderId="7002"/>
    <xf numFmtId="0" fontId="159" fillId="67" borderId="7002"/>
    <xf numFmtId="192" fontId="9" fillId="3" borderId="7167">
      <alignment horizontal="right" vertical="center"/>
    </xf>
    <xf numFmtId="0" fontId="166" fillId="0" borderId="7058">
      <alignment horizontal="center"/>
    </xf>
    <xf numFmtId="0" fontId="165" fillId="0" borderId="7058" applyFill="0" applyProtection="0">
      <alignment horizontal="center"/>
    </xf>
    <xf numFmtId="0" fontId="159" fillId="67" borderId="7002"/>
    <xf numFmtId="0" fontId="159" fillId="0" borderId="7002"/>
    <xf numFmtId="0" fontId="25" fillId="69" borderId="7002">
      <alignment horizontal="left" vertical="center" wrapText="1"/>
    </xf>
    <xf numFmtId="0" fontId="184" fillId="0" borderId="7003" applyAlignment="0">
      <alignment horizontal="left" wrapText="1"/>
    </xf>
    <xf numFmtId="0" fontId="135" fillId="0" borderId="7002"/>
    <xf numFmtId="0" fontId="135" fillId="0" borderId="7002"/>
    <xf numFmtId="186" fontId="140" fillId="3" borderId="6957">
      <alignment horizontal="center" vertical="center"/>
    </xf>
    <xf numFmtId="186" fontId="48" fillId="3" borderId="7000">
      <alignment vertical="center"/>
    </xf>
    <xf numFmtId="186" fontId="146" fillId="3" borderId="6884">
      <alignment horizontal="left"/>
    </xf>
    <xf numFmtId="186" fontId="146" fillId="3" borderId="7058" applyBorder="0">
      <alignment horizontal="left" vertical="center"/>
    </xf>
    <xf numFmtId="180" fontId="9" fillId="3" borderId="7058">
      <alignment horizontal="right" vertical="center"/>
    </xf>
    <xf numFmtId="192" fontId="9" fillId="3" borderId="7058">
      <alignment horizontal="right" vertical="center"/>
    </xf>
    <xf numFmtId="0" fontId="101" fillId="0" borderId="7058" applyBorder="0"/>
    <xf numFmtId="182" fontId="145" fillId="3" borderId="7000">
      <alignment horizontal="right" vertical="center"/>
    </xf>
    <xf numFmtId="188" fontId="25" fillId="0" borderId="7017" applyFont="0" applyFill="0" applyBorder="0" applyAlignment="0" applyProtection="0">
      <alignment horizontal="center"/>
    </xf>
    <xf numFmtId="248" fontId="46" fillId="0" borderId="7215"/>
    <xf numFmtId="246" fontId="249" fillId="0" borderId="7058" applyFill="0" applyProtection="0">
      <alignment horizontal="center"/>
    </xf>
    <xf numFmtId="0" fontId="48" fillId="0" borderId="7000" applyFont="0" applyFill="0" applyBorder="0" applyAlignment="0" applyProtection="0">
      <alignment horizontal="center"/>
    </xf>
    <xf numFmtId="0" fontId="74" fillId="0" borderId="7000" applyFont="0" applyFill="0" applyBorder="0" applyAlignment="0" applyProtection="0">
      <alignment horizontal="center"/>
    </xf>
    <xf numFmtId="248" fontId="46" fillId="0" borderId="7058"/>
    <xf numFmtId="0" fontId="78" fillId="14" borderId="6991" applyFont="0" applyFill="0" applyBorder="0" applyAlignment="0" applyProtection="0"/>
    <xf numFmtId="0" fontId="12" fillId="0" borderId="7058" applyNumberFormat="0" applyFill="0" applyBorder="0" applyAlignment="0" applyProtection="0">
      <alignment horizontal="center"/>
    </xf>
    <xf numFmtId="186" fontId="146" fillId="3" borderId="7227" applyBorder="0">
      <alignment horizontal="left" vertical="center"/>
    </xf>
    <xf numFmtId="0" fontId="75" fillId="0" borderId="6882" applyNumberFormat="0" applyFont="0" applyFill="0" applyAlignment="0" applyProtection="0"/>
    <xf numFmtId="5" fontId="114" fillId="0" borderId="7000" applyAlignment="0" applyProtection="0"/>
    <xf numFmtId="0" fontId="113" fillId="0" borderId="7058" applyNumberFormat="0" applyFill="0" applyAlignment="0" applyProtection="0"/>
    <xf numFmtId="0" fontId="48" fillId="0" borderId="7001" applyNumberFormat="0" applyFill="0" applyAlignment="0" applyProtection="0"/>
    <xf numFmtId="0" fontId="105" fillId="0" borderId="7001" applyNumberFormat="0" applyFill="0" applyBorder="0" applyAlignment="0" applyProtection="0"/>
    <xf numFmtId="0" fontId="46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222" fontId="79" fillId="0" borderId="7057" applyBorder="0"/>
    <xf numFmtId="0" fontId="101" fillId="0" borderId="7058" applyBorder="0"/>
    <xf numFmtId="4" fontId="223" fillId="53" borderId="7004" applyNumberFormat="0" applyProtection="0">
      <alignment vertical="center"/>
    </xf>
    <xf numFmtId="4" fontId="224" fillId="53" borderId="7004" applyNumberFormat="0" applyProtection="0">
      <alignment vertical="center"/>
    </xf>
    <xf numFmtId="4" fontId="184" fillId="53" borderId="7004" applyNumberFormat="0" applyProtection="0">
      <alignment horizontal="left" vertical="center" indent="1"/>
    </xf>
    <xf numFmtId="0" fontId="225" fillId="53" borderId="7004" applyNumberFormat="0" applyProtection="0">
      <alignment horizontal="left" vertical="top" indent="1"/>
    </xf>
    <xf numFmtId="4" fontId="226" fillId="76" borderId="7004" applyNumberFormat="0" applyProtection="0">
      <alignment horizontal="right" vertical="center"/>
    </xf>
    <xf numFmtId="4" fontId="226" fillId="77" borderId="7004" applyNumberFormat="0" applyProtection="0">
      <alignment horizontal="right" vertical="center"/>
    </xf>
    <xf numFmtId="4" fontId="226" fillId="78" borderId="7004" applyNumberFormat="0" applyProtection="0">
      <alignment horizontal="right" vertical="center"/>
    </xf>
    <xf numFmtId="4" fontId="226" fillId="10" borderId="7004" applyNumberFormat="0" applyProtection="0">
      <alignment horizontal="right" vertical="center"/>
    </xf>
    <xf numFmtId="4" fontId="226" fillId="79" borderId="7004" applyNumberFormat="0" applyProtection="0">
      <alignment horizontal="right" vertical="center"/>
    </xf>
    <xf numFmtId="4" fontId="226" fillId="71" borderId="7004" applyNumberFormat="0" applyProtection="0">
      <alignment horizontal="right" vertical="center"/>
    </xf>
    <xf numFmtId="4" fontId="226" fillId="81" borderId="7004" applyNumberFormat="0" applyProtection="0">
      <alignment horizontal="right" vertical="center"/>
    </xf>
    <xf numFmtId="4" fontId="226" fillId="80" borderId="7004" applyNumberFormat="0" applyProtection="0">
      <alignment horizontal="right" vertical="center"/>
    </xf>
    <xf numFmtId="4" fontId="226" fillId="82" borderId="7004" applyNumberFormat="0" applyProtection="0">
      <alignment horizontal="right" vertical="center"/>
    </xf>
    <xf numFmtId="4" fontId="184" fillId="52" borderId="7004" applyNumberFormat="0" applyProtection="0">
      <alignment horizontal="right" vertical="center"/>
    </xf>
    <xf numFmtId="0" fontId="12" fillId="75" borderId="7004" applyNumberFormat="0" applyProtection="0">
      <alignment horizontal="left" vertical="center" indent="1"/>
    </xf>
    <xf numFmtId="0" fontId="12" fillId="75" borderId="7004" applyNumberFormat="0" applyProtection="0">
      <alignment horizontal="left" vertical="top" indent="1"/>
    </xf>
    <xf numFmtId="0" fontId="12" fillId="84" borderId="7004" applyNumberFormat="0" applyProtection="0">
      <alignment horizontal="left" vertical="center" indent="1"/>
    </xf>
    <xf numFmtId="0" fontId="12" fillId="84" borderId="7004" applyNumberFormat="0" applyProtection="0">
      <alignment horizontal="left" vertical="top" indent="1"/>
    </xf>
    <xf numFmtId="0" fontId="12" fillId="52" borderId="7004" applyNumberFormat="0" applyProtection="0">
      <alignment horizontal="left" vertical="center" indent="1"/>
    </xf>
    <xf numFmtId="0" fontId="12" fillId="52" borderId="7004" applyNumberFormat="0" applyProtection="0">
      <alignment horizontal="left" vertical="top" indent="1"/>
    </xf>
    <xf numFmtId="0" fontId="12" fillId="11" borderId="7004" applyNumberFormat="0" applyProtection="0">
      <alignment horizontal="left" vertical="center" indent="1"/>
    </xf>
    <xf numFmtId="0" fontId="12" fillId="11" borderId="7004" applyNumberFormat="0" applyProtection="0">
      <alignment horizontal="left" vertical="top" indent="1"/>
    </xf>
    <xf numFmtId="4" fontId="226" fillId="11" borderId="7004" applyNumberFormat="0" applyProtection="0">
      <alignment vertical="center"/>
    </xf>
    <xf numFmtId="4" fontId="228" fillId="11" borderId="7004" applyNumberFormat="0" applyProtection="0">
      <alignment vertical="center"/>
    </xf>
    <xf numFmtId="4" fontId="227" fillId="52" borderId="7005" applyNumberFormat="0" applyProtection="0">
      <alignment horizontal="left" vertical="center" indent="1"/>
    </xf>
    <xf numFmtId="0" fontId="136" fillId="14" borderId="7004" applyNumberFormat="0" applyProtection="0">
      <alignment horizontal="left" vertical="top" indent="1"/>
    </xf>
    <xf numFmtId="4" fontId="184" fillId="11" borderId="7004" applyNumberFormat="0" applyProtection="0">
      <alignment horizontal="right" vertical="center"/>
    </xf>
    <xf numFmtId="4" fontId="228" fillId="11" borderId="7004" applyNumberFormat="0" applyProtection="0">
      <alignment horizontal="right" vertical="center"/>
    </xf>
    <xf numFmtId="4" fontId="223" fillId="52" borderId="7004" applyNumberFormat="0" applyProtection="0">
      <alignment horizontal="left" vertical="center" indent="1"/>
    </xf>
    <xf numFmtId="0" fontId="136" fillId="84" borderId="7004" applyNumberFormat="0" applyProtection="0">
      <alignment horizontal="left" vertical="top" indent="1"/>
    </xf>
    <xf numFmtId="4" fontId="229" fillId="84" borderId="7005" applyNumberFormat="0" applyProtection="0">
      <alignment horizontal="left" vertical="center" indent="1"/>
    </xf>
    <xf numFmtId="4" fontId="230" fillId="11" borderId="7004" applyNumberFormat="0" applyProtection="0">
      <alignment horizontal="right" vertical="center"/>
    </xf>
    <xf numFmtId="0" fontId="25" fillId="10" borderId="7065" applyNumberFormat="0" applyProtection="0">
      <alignment horizontal="left" vertical="top"/>
    </xf>
    <xf numFmtId="0" fontId="25" fillId="10" borderId="7066" applyNumberFormat="0" applyProtection="0">
      <alignment horizontal="left" vertical="top"/>
    </xf>
    <xf numFmtId="0" fontId="25" fillId="10" borderId="7067" applyNumberFormat="0" applyProtection="0">
      <alignment horizontal="left" vertical="top"/>
    </xf>
    <xf numFmtId="0" fontId="25" fillId="10" borderId="7068" applyNumberFormat="0" applyProtection="0">
      <alignment horizontal="left" vertical="top"/>
    </xf>
    <xf numFmtId="3" fontId="12" fillId="60" borderId="7006" applyFont="0" applyFill="0" applyBorder="0" applyAlignment="0" applyProtection="0"/>
    <xf numFmtId="4" fontId="12" fillId="60" borderId="7006" applyFont="0" applyFill="0" applyBorder="0" applyAlignment="0" applyProtection="0"/>
    <xf numFmtId="183" fontId="12" fillId="60" borderId="7006" applyFont="0" applyFill="0" applyBorder="0" applyAlignment="0" applyProtection="0"/>
    <xf numFmtId="10" fontId="12" fillId="60" borderId="7006" applyFont="0" applyFill="0" applyBorder="0" applyAlignment="0" applyProtection="0"/>
    <xf numFmtId="9" fontId="12" fillId="60" borderId="7006" applyFont="0" applyFill="0" applyBorder="0" applyAlignment="0" applyProtection="0"/>
    <xf numFmtId="2" fontId="12" fillId="60" borderId="7006" applyFont="0" applyFill="0" applyBorder="0" applyAlignment="0" applyProtection="0"/>
    <xf numFmtId="0" fontId="25" fillId="10" borderId="7002" applyNumberFormat="0" applyProtection="0">
      <alignment horizontal="center" vertical="top"/>
    </xf>
    <xf numFmtId="169" fontId="234" fillId="3" borderId="7002" applyFont="0" applyProtection="0"/>
    <xf numFmtId="169" fontId="234" fillId="10" borderId="7002" applyFont="0" applyProtection="0"/>
    <xf numFmtId="293" fontId="234" fillId="3" borderId="7002" applyFont="0" applyProtection="0"/>
    <xf numFmtId="293" fontId="234" fillId="10" borderId="7002" applyFont="0" applyProtection="0"/>
    <xf numFmtId="293" fontId="234" fillId="10" borderId="7002" applyFont="0" applyProtection="0"/>
    <xf numFmtId="0" fontId="12" fillId="3" borderId="7002" applyNumberFormat="0" applyFont="0" applyAlignment="0" applyProtection="0"/>
    <xf numFmtId="0" fontId="12" fillId="10" borderId="7002" applyNumberFormat="0" applyFont="0" applyAlignment="0" applyProtection="0"/>
    <xf numFmtId="0" fontId="12" fillId="10" borderId="7002" applyNumberFormat="0" applyFont="0" applyProtection="0"/>
    <xf numFmtId="0" fontId="25" fillId="10" borderId="7007" applyNumberFormat="0" applyProtection="0">
      <alignment horizontal="left"/>
    </xf>
    <xf numFmtId="0" fontId="25" fillId="10" borderId="7008" applyNumberFormat="0" applyProtection="0">
      <alignment horizontal="left" vertical="top"/>
    </xf>
    <xf numFmtId="0" fontId="25" fillId="10" borderId="7009" applyNumberFormat="0" applyProtection="0">
      <alignment horizontal="left" vertical="top"/>
    </xf>
    <xf numFmtId="0" fontId="25" fillId="10" borderId="7010" applyNumberFormat="0" applyProtection="0">
      <alignment horizontal="left" vertical="top"/>
    </xf>
    <xf numFmtId="0" fontId="25" fillId="10" borderId="7011" applyNumberFormat="0" applyProtection="0">
      <alignment horizontal="left" vertical="top"/>
    </xf>
    <xf numFmtId="0" fontId="25" fillId="10" borderId="7012" applyNumberFormat="0" applyProtection="0">
      <alignment horizontal="left" vertical="top"/>
    </xf>
    <xf numFmtId="0" fontId="25" fillId="10" borderId="7013" applyNumberFormat="0" applyProtection="0">
      <alignment horizontal="left" vertical="top"/>
    </xf>
    <xf numFmtId="10" fontId="12" fillId="3" borderId="7014" applyNumberFormat="0" applyFont="0" applyFill="0" applyBorder="0" applyAlignment="0">
      <protection locked="0"/>
    </xf>
    <xf numFmtId="0" fontId="12" fillId="0" borderId="7001" applyNumberFormat="0" applyFill="0" applyBorder="0" applyAlignment="0" applyProtection="0"/>
    <xf numFmtId="0" fontId="25" fillId="10" borderId="7002" applyNumberFormat="0" applyProtection="0">
      <alignment horizontal="center" vertical="top"/>
    </xf>
    <xf numFmtId="0" fontId="113" fillId="0" borderId="7167" applyNumberFormat="0" applyFill="0" applyAlignment="0" applyProtection="0"/>
    <xf numFmtId="222" fontId="79" fillId="0" borderId="7178" applyBorder="0"/>
    <xf numFmtId="0" fontId="25" fillId="10" borderId="7174" applyNumberFormat="0" applyProtection="0">
      <alignment horizontal="left" vertical="top"/>
    </xf>
    <xf numFmtId="0" fontId="165" fillId="0" borderId="7179" applyFill="0" applyProtection="0">
      <alignment horizontal="center"/>
    </xf>
    <xf numFmtId="0" fontId="25" fillId="10" borderId="7187" applyNumberFormat="0" applyProtection="0">
      <alignment horizontal="left" vertical="top"/>
    </xf>
    <xf numFmtId="222" fontId="79" fillId="0" borderId="7178" applyBorder="0"/>
    <xf numFmtId="0" fontId="2" fillId="0" borderId="7172" applyNumberFormat="0" applyAlignment="0" applyProtection="0"/>
    <xf numFmtId="0" fontId="25" fillId="10" borderId="7177" applyNumberFormat="0" applyProtection="0">
      <alignment horizontal="left" vertical="top"/>
    </xf>
    <xf numFmtId="0" fontId="48" fillId="0" borderId="7000" applyFont="0" applyFill="0" applyBorder="0" applyAlignment="0" applyProtection="0">
      <alignment horizontal="center"/>
    </xf>
    <xf numFmtId="0" fontId="74" fillId="0" borderId="7000" applyFont="0" applyFill="0" applyBorder="0" applyAlignment="0" applyProtection="0">
      <alignment horizontal="center"/>
    </xf>
    <xf numFmtId="10" fontId="12" fillId="3" borderId="7014" applyNumberFormat="0" applyFont="0" applyFill="0" applyBorder="0" applyAlignment="0">
      <protection locked="0"/>
    </xf>
    <xf numFmtId="0" fontId="12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10" fontId="12" fillId="3" borderId="7014" applyNumberFormat="0" applyFont="0" applyFill="0" applyBorder="0" applyAlignment="0">
      <protection locked="0"/>
    </xf>
    <xf numFmtId="246" fontId="250" fillId="0" borderId="7018" applyFill="0" applyProtection="0">
      <alignment horizontal="center"/>
    </xf>
    <xf numFmtId="246" fontId="249" fillId="0" borderId="7018" applyFill="0" applyProtection="0">
      <alignment horizontal="center"/>
    </xf>
    <xf numFmtId="0" fontId="241" fillId="94" borderId="7018" applyBorder="0" applyProtection="0">
      <alignment horizontal="centerContinuous" vertical="center"/>
    </xf>
    <xf numFmtId="254" fontId="240" fillId="0" borderId="7018" applyBorder="0" applyProtection="0">
      <alignment horizontal="right" vertical="center"/>
    </xf>
    <xf numFmtId="0" fontId="210" fillId="0" borderId="7018" applyNumberFormat="0" applyFill="0" applyBorder="0" applyAlignment="0">
      <protection locked="0"/>
    </xf>
    <xf numFmtId="188" fontId="25" fillId="0" borderId="7017" applyFont="0" applyFill="0" applyBorder="0" applyAlignment="0" applyProtection="0">
      <alignment horizontal="center"/>
    </xf>
    <xf numFmtId="264" fontId="12" fillId="14" borderId="7018" applyFont="0" applyFill="0" applyBorder="0" applyAlignment="0" applyProtection="0">
      <alignment horizontal="right"/>
    </xf>
    <xf numFmtId="0" fontId="166" fillId="0" borderId="7018">
      <alignment horizontal="center"/>
    </xf>
    <xf numFmtId="0" fontId="165" fillId="0" borderId="7018" applyFill="0" applyProtection="0">
      <alignment horizontal="center"/>
    </xf>
    <xf numFmtId="186" fontId="146" fillId="3" borderId="7018" applyBorder="0">
      <alignment horizontal="left" vertical="center"/>
    </xf>
    <xf numFmtId="180" fontId="9" fillId="3" borderId="7018">
      <alignment horizontal="right" vertical="center"/>
    </xf>
    <xf numFmtId="192" fontId="9" fillId="3" borderId="7018">
      <alignment horizontal="right" vertical="center"/>
    </xf>
    <xf numFmtId="248" fontId="46" fillId="0" borderId="7018"/>
    <xf numFmtId="0" fontId="12" fillId="0" borderId="7018" applyNumberFormat="0" applyFill="0" applyBorder="0" applyAlignment="0" applyProtection="0">
      <alignment horizontal="center"/>
    </xf>
    <xf numFmtId="0" fontId="113" fillId="0" borderId="7018" applyNumberFormat="0" applyFill="0" applyAlignment="0" applyProtection="0"/>
    <xf numFmtId="222" fontId="79" fillId="0" borderId="6988" applyBorder="0"/>
    <xf numFmtId="0" fontId="101" fillId="0" borderId="7018" applyBorder="0"/>
    <xf numFmtId="10" fontId="12" fillId="3" borderId="7014" applyNumberFormat="0" applyFont="0" applyFill="0" applyBorder="0" applyAlignment="0">
      <protection locked="0"/>
    </xf>
    <xf numFmtId="1" fontId="154" fillId="65" borderId="5715" applyNumberFormat="0" applyBorder="0" applyAlignment="0">
      <alignment horizontal="centerContinuous" vertical="center"/>
      <protection locked="0"/>
    </xf>
    <xf numFmtId="0" fontId="12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10" fontId="12" fillId="3" borderId="7014" applyNumberFormat="0" applyFont="0" applyFill="0" applyBorder="0" applyAlignment="0">
      <protection locked="0"/>
    </xf>
    <xf numFmtId="246" fontId="250" fillId="0" borderId="7018" applyFill="0" applyProtection="0">
      <alignment horizontal="center"/>
    </xf>
    <xf numFmtId="246" fontId="249" fillId="0" borderId="7018" applyFill="0" applyProtection="0">
      <alignment horizontal="center"/>
    </xf>
    <xf numFmtId="0" fontId="241" fillId="94" borderId="7018" applyBorder="0" applyProtection="0">
      <alignment horizontal="centerContinuous" vertical="center"/>
    </xf>
    <xf numFmtId="254" fontId="240" fillId="0" borderId="7018" applyBorder="0" applyProtection="0">
      <alignment horizontal="right" vertical="center"/>
    </xf>
    <xf numFmtId="0" fontId="12" fillId="0" borderId="7001" applyNumberFormat="0" applyFill="0" applyBorder="0" applyAlignment="0" applyProtection="0"/>
    <xf numFmtId="0" fontId="25" fillId="10" borderId="7013" applyNumberFormat="0" applyProtection="0">
      <alignment horizontal="left" vertical="top"/>
    </xf>
    <xf numFmtId="0" fontId="25" fillId="10" borderId="7012" applyNumberFormat="0" applyProtection="0">
      <alignment horizontal="left" vertical="top"/>
    </xf>
    <xf numFmtId="0" fontId="25" fillId="10" borderId="7011" applyNumberFormat="0" applyProtection="0">
      <alignment horizontal="left" vertical="top"/>
    </xf>
    <xf numFmtId="0" fontId="25" fillId="10" borderId="7010" applyNumberFormat="0" applyProtection="0">
      <alignment horizontal="left" vertical="top"/>
    </xf>
    <xf numFmtId="0" fontId="25" fillId="10" borderId="7009" applyNumberFormat="0" applyProtection="0">
      <alignment horizontal="left" vertical="top"/>
    </xf>
    <xf numFmtId="0" fontId="25" fillId="10" borderId="7008" applyNumberFormat="0" applyProtection="0">
      <alignment horizontal="left" vertical="top"/>
    </xf>
    <xf numFmtId="0" fontId="25" fillId="10" borderId="7007" applyNumberFormat="0" applyProtection="0">
      <alignment horizontal="left"/>
    </xf>
    <xf numFmtId="0" fontId="12" fillId="10" borderId="7002" applyNumberFormat="0" applyFont="0" applyProtection="0"/>
    <xf numFmtId="0" fontId="12" fillId="10" borderId="7002" applyNumberFormat="0" applyFont="0" applyAlignment="0" applyProtection="0"/>
    <xf numFmtId="0" fontId="12" fillId="3" borderId="7002" applyNumberFormat="0" applyFont="0" applyAlignment="0" applyProtection="0"/>
    <xf numFmtId="293" fontId="234" fillId="10" borderId="7002" applyFont="0" applyProtection="0"/>
    <xf numFmtId="293" fontId="234" fillId="3" borderId="7002" applyFont="0" applyProtection="0"/>
    <xf numFmtId="293" fontId="234" fillId="10" borderId="7002" applyFont="0" applyProtection="0"/>
    <xf numFmtId="169" fontId="234" fillId="10" borderId="7002" applyFont="0" applyProtection="0"/>
    <xf numFmtId="169" fontId="234" fillId="3" borderId="7002" applyFont="0" applyProtection="0"/>
    <xf numFmtId="0" fontId="25" fillId="10" borderId="7002" applyNumberFormat="0" applyProtection="0">
      <alignment horizontal="center" vertical="top"/>
    </xf>
    <xf numFmtId="0" fontId="25" fillId="10" borderId="7002" applyNumberFormat="0" applyProtection="0">
      <alignment horizontal="center" vertical="top"/>
    </xf>
    <xf numFmtId="2" fontId="12" fillId="60" borderId="7006" applyFont="0" applyFill="0" applyBorder="0" applyAlignment="0" applyProtection="0"/>
    <xf numFmtId="9" fontId="12" fillId="60" borderId="7006" applyFont="0" applyFill="0" applyBorder="0" applyAlignment="0" applyProtection="0"/>
    <xf numFmtId="10" fontId="12" fillId="60" borderId="7006" applyFont="0" applyFill="0" applyBorder="0" applyAlignment="0" applyProtection="0"/>
    <xf numFmtId="183" fontId="12" fillId="60" borderId="7006" applyFont="0" applyFill="0" applyBorder="0" applyAlignment="0" applyProtection="0"/>
    <xf numFmtId="4" fontId="12" fillId="60" borderId="7006" applyFont="0" applyFill="0" applyBorder="0" applyAlignment="0" applyProtection="0"/>
    <xf numFmtId="3" fontId="12" fillId="60" borderId="7006" applyFont="0" applyFill="0" applyBorder="0" applyAlignment="0" applyProtection="0"/>
    <xf numFmtId="4" fontId="230" fillId="11" borderId="7004" applyNumberFormat="0" applyProtection="0">
      <alignment horizontal="right" vertical="center"/>
    </xf>
    <xf numFmtId="4" fontId="229" fillId="84" borderId="7005" applyNumberFormat="0" applyProtection="0">
      <alignment horizontal="left" vertical="center" indent="1"/>
    </xf>
    <xf numFmtId="0" fontId="136" fillId="84" borderId="7004" applyNumberFormat="0" applyProtection="0">
      <alignment horizontal="left" vertical="top" indent="1"/>
    </xf>
    <xf numFmtId="4" fontId="223" fillId="52" borderId="7004" applyNumberFormat="0" applyProtection="0">
      <alignment horizontal="left" vertical="center" indent="1"/>
    </xf>
    <xf numFmtId="4" fontId="228" fillId="11" borderId="7004" applyNumberFormat="0" applyProtection="0">
      <alignment horizontal="right" vertical="center"/>
    </xf>
    <xf numFmtId="4" fontId="184" fillId="11" borderId="7004" applyNumberFormat="0" applyProtection="0">
      <alignment horizontal="right" vertical="center"/>
    </xf>
    <xf numFmtId="0" fontId="136" fillId="14" borderId="7004" applyNumberFormat="0" applyProtection="0">
      <alignment horizontal="left" vertical="top" indent="1"/>
    </xf>
    <xf numFmtId="4" fontId="227" fillId="52" borderId="7005" applyNumberFormat="0" applyProtection="0">
      <alignment horizontal="left" vertical="center" indent="1"/>
    </xf>
    <xf numFmtId="4" fontId="228" fillId="11" borderId="7004" applyNumberFormat="0" applyProtection="0">
      <alignment vertical="center"/>
    </xf>
    <xf numFmtId="4" fontId="226" fillId="11" borderId="7004" applyNumberFormat="0" applyProtection="0">
      <alignment vertical="center"/>
    </xf>
    <xf numFmtId="0" fontId="12" fillId="11" borderId="7004" applyNumberFormat="0" applyProtection="0">
      <alignment horizontal="left" vertical="top" indent="1"/>
    </xf>
    <xf numFmtId="0" fontId="12" fillId="11" borderId="7004" applyNumberFormat="0" applyProtection="0">
      <alignment horizontal="left" vertical="center" indent="1"/>
    </xf>
    <xf numFmtId="0" fontId="12" fillId="52" borderId="7004" applyNumberFormat="0" applyProtection="0">
      <alignment horizontal="left" vertical="top" indent="1"/>
    </xf>
    <xf numFmtId="0" fontId="12" fillId="52" borderId="7004" applyNumberFormat="0" applyProtection="0">
      <alignment horizontal="left" vertical="center" indent="1"/>
    </xf>
    <xf numFmtId="0" fontId="12" fillId="84" borderId="7004" applyNumberFormat="0" applyProtection="0">
      <alignment horizontal="left" vertical="top" indent="1"/>
    </xf>
    <xf numFmtId="0" fontId="12" fillId="84" borderId="7004" applyNumberFormat="0" applyProtection="0">
      <alignment horizontal="left" vertical="center" indent="1"/>
    </xf>
    <xf numFmtId="0" fontId="12" fillId="75" borderId="7004" applyNumberFormat="0" applyProtection="0">
      <alignment horizontal="left" vertical="top" indent="1"/>
    </xf>
    <xf numFmtId="0" fontId="12" fillId="75" borderId="7004" applyNumberFormat="0" applyProtection="0">
      <alignment horizontal="left" vertical="center" indent="1"/>
    </xf>
    <xf numFmtId="4" fontId="184" fillId="52" borderId="7004" applyNumberFormat="0" applyProtection="0">
      <alignment horizontal="right" vertical="center"/>
    </xf>
    <xf numFmtId="4" fontId="226" fillId="82" borderId="7004" applyNumberFormat="0" applyProtection="0">
      <alignment horizontal="right" vertical="center"/>
    </xf>
    <xf numFmtId="4" fontId="226" fillId="81" borderId="7004" applyNumberFormat="0" applyProtection="0">
      <alignment horizontal="right" vertical="center"/>
    </xf>
    <xf numFmtId="4" fontId="226" fillId="80" borderId="7004" applyNumberFormat="0" applyProtection="0">
      <alignment horizontal="right" vertical="center"/>
    </xf>
    <xf numFmtId="4" fontId="226" fillId="71" borderId="7004" applyNumberFormat="0" applyProtection="0">
      <alignment horizontal="right" vertical="center"/>
    </xf>
    <xf numFmtId="4" fontId="226" fillId="79" borderId="7004" applyNumberFormat="0" applyProtection="0">
      <alignment horizontal="right" vertical="center"/>
    </xf>
    <xf numFmtId="4" fontId="226" fillId="10" borderId="7004" applyNumberFormat="0" applyProtection="0">
      <alignment horizontal="right" vertical="center"/>
    </xf>
    <xf numFmtId="4" fontId="226" fillId="78" borderId="7004" applyNumberFormat="0" applyProtection="0">
      <alignment horizontal="right" vertical="center"/>
    </xf>
    <xf numFmtId="4" fontId="226" fillId="77" borderId="7004" applyNumberFormat="0" applyProtection="0">
      <alignment horizontal="right" vertical="center"/>
    </xf>
    <xf numFmtId="4" fontId="226" fillId="76" borderId="7004" applyNumberFormat="0" applyProtection="0">
      <alignment horizontal="right" vertical="center"/>
    </xf>
    <xf numFmtId="0" fontId="225" fillId="53" borderId="7004" applyNumberFormat="0" applyProtection="0">
      <alignment horizontal="left" vertical="top" indent="1"/>
    </xf>
    <xf numFmtId="4" fontId="184" fillId="53" borderId="7004" applyNumberFormat="0" applyProtection="0">
      <alignment horizontal="left" vertical="center" indent="1"/>
    </xf>
    <xf numFmtId="4" fontId="224" fillId="53" borderId="7004" applyNumberFormat="0" applyProtection="0">
      <alignment vertical="center"/>
    </xf>
    <xf numFmtId="4" fontId="223" fillId="53" borderId="7004" applyNumberFormat="0" applyProtection="0">
      <alignment vertical="center"/>
    </xf>
    <xf numFmtId="0" fontId="210" fillId="0" borderId="7018" applyNumberFormat="0" applyFill="0" applyBorder="0" applyAlignment="0">
      <protection locked="0"/>
    </xf>
    <xf numFmtId="188" fontId="25" fillId="0" borderId="7017" applyFont="0" applyFill="0" applyBorder="0" applyAlignment="0" applyProtection="0">
      <alignment horizontal="center"/>
    </xf>
    <xf numFmtId="0" fontId="184" fillId="0" borderId="7003" applyAlignment="0">
      <alignment horizontal="left" wrapText="1"/>
    </xf>
    <xf numFmtId="264" fontId="12" fillId="14" borderId="7018" applyFont="0" applyFill="0" applyBorder="0" applyAlignment="0" applyProtection="0">
      <alignment horizontal="right"/>
    </xf>
    <xf numFmtId="0" fontId="25" fillId="69" borderId="7002">
      <alignment horizontal="left" vertical="center" wrapText="1"/>
    </xf>
    <xf numFmtId="0" fontId="166" fillId="0" borderId="7018">
      <alignment horizontal="center"/>
    </xf>
    <xf numFmtId="0" fontId="165" fillId="0" borderId="7018" applyFill="0" applyProtection="0">
      <alignment horizontal="center"/>
    </xf>
    <xf numFmtId="0" fontId="159" fillId="67" borderId="7002"/>
    <xf numFmtId="0" fontId="159" fillId="0" borderId="7002"/>
    <xf numFmtId="0" fontId="135" fillId="0" borderId="7002"/>
    <xf numFmtId="0" fontId="135" fillId="0" borderId="7002"/>
    <xf numFmtId="186" fontId="48" fillId="3" borderId="7000">
      <alignment vertical="center"/>
    </xf>
    <xf numFmtId="186" fontId="146" fillId="3" borderId="7018" applyBorder="0">
      <alignment horizontal="left" vertical="center"/>
    </xf>
    <xf numFmtId="180" fontId="9" fillId="3" borderId="7018">
      <alignment horizontal="right" vertical="center"/>
    </xf>
    <xf numFmtId="192" fontId="9" fillId="3" borderId="7018">
      <alignment horizontal="right" vertical="center"/>
    </xf>
    <xf numFmtId="182" fontId="145" fillId="3" borderId="7000">
      <alignment horizontal="right" vertical="center"/>
    </xf>
    <xf numFmtId="0" fontId="48" fillId="0" borderId="7000" applyFont="0" applyFill="0" applyBorder="0" applyAlignment="0" applyProtection="0">
      <alignment horizontal="center"/>
    </xf>
    <xf numFmtId="0" fontId="74" fillId="0" borderId="7000" applyFont="0" applyFill="0" applyBorder="0" applyAlignment="0" applyProtection="0">
      <alignment horizontal="center"/>
    </xf>
    <xf numFmtId="0" fontId="12" fillId="0" borderId="7018" applyNumberFormat="0" applyFill="0" applyBorder="0" applyAlignment="0" applyProtection="0">
      <alignment horizontal="center"/>
    </xf>
    <xf numFmtId="180" fontId="9" fillId="3" borderId="7227">
      <alignment horizontal="right" vertical="center"/>
    </xf>
    <xf numFmtId="5" fontId="114" fillId="0" borderId="7000" applyAlignment="0" applyProtection="0"/>
    <xf numFmtId="0" fontId="113" fillId="0" borderId="7018" applyNumberFormat="0" applyFill="0" applyAlignment="0" applyProtection="0"/>
    <xf numFmtId="0" fontId="48" fillId="0" borderId="7001" applyNumberFormat="0" applyFill="0" applyAlignment="0" applyProtection="0"/>
    <xf numFmtId="0" fontId="105" fillId="0" borderId="7001" applyNumberFormat="0" applyFill="0" applyBorder="0" applyAlignment="0" applyProtection="0"/>
    <xf numFmtId="0" fontId="46" fillId="0" borderId="7001" applyNumberFormat="0" applyFill="0" applyBorder="0" applyAlignment="0" applyProtection="0"/>
    <xf numFmtId="0" fontId="12" fillId="0" borderId="7001" applyNumberFormat="0" applyFill="0" applyBorder="0" applyAlignment="0" applyProtection="0"/>
    <xf numFmtId="222" fontId="79" fillId="0" borderId="6988" applyBorder="0"/>
    <xf numFmtId="0" fontId="101" fillId="0" borderId="7018" applyBorder="0"/>
    <xf numFmtId="10" fontId="12" fillId="3" borderId="7014" applyNumberFormat="0" applyFont="0" applyFill="0" applyBorder="0" applyAlignment="0">
      <protection locked="0"/>
    </xf>
    <xf numFmtId="248" fontId="46" fillId="0" borderId="7018"/>
    <xf numFmtId="10" fontId="12" fillId="3" borderId="7014" applyNumberFormat="0" applyFont="0" applyFill="0" applyBorder="0" applyAlignment="0">
      <protection locked="0"/>
    </xf>
    <xf numFmtId="10" fontId="12" fillId="3" borderId="7014" applyNumberFormat="0" applyFont="0" applyFill="0" applyBorder="0" applyAlignment="0">
      <protection locked="0"/>
    </xf>
    <xf numFmtId="246" fontId="250" fillId="0" borderId="7018" applyFill="0" applyProtection="0">
      <alignment horizontal="center"/>
    </xf>
    <xf numFmtId="246" fontId="249" fillId="0" borderId="7018" applyFill="0" applyProtection="0">
      <alignment horizontal="center"/>
    </xf>
    <xf numFmtId="0" fontId="241" fillId="94" borderId="7018" applyBorder="0" applyProtection="0">
      <alignment horizontal="centerContinuous" vertical="center"/>
    </xf>
    <xf numFmtId="254" fontId="240" fillId="0" borderId="7018" applyBorder="0" applyProtection="0">
      <alignment horizontal="right" vertical="center"/>
    </xf>
    <xf numFmtId="0" fontId="210" fillId="0" borderId="7018" applyNumberFormat="0" applyFill="0" applyBorder="0" applyAlignment="0">
      <protection locked="0"/>
    </xf>
    <xf numFmtId="188" fontId="25" fillId="0" borderId="7017" applyFont="0" applyFill="0" applyBorder="0" applyAlignment="0" applyProtection="0">
      <alignment horizontal="center"/>
    </xf>
    <xf numFmtId="264" fontId="12" fillId="14" borderId="7018" applyFont="0" applyFill="0" applyBorder="0" applyAlignment="0" applyProtection="0">
      <alignment horizontal="right"/>
    </xf>
    <xf numFmtId="0" fontId="166" fillId="0" borderId="7018">
      <alignment horizontal="center"/>
    </xf>
    <xf numFmtId="0" fontId="165" fillId="0" borderId="7018" applyFill="0" applyProtection="0">
      <alignment horizontal="center"/>
    </xf>
    <xf numFmtId="186" fontId="146" fillId="3" borderId="7018" applyBorder="0">
      <alignment horizontal="left" vertical="center"/>
    </xf>
    <xf numFmtId="180" fontId="9" fillId="3" borderId="7018">
      <alignment horizontal="right" vertical="center"/>
    </xf>
    <xf numFmtId="192" fontId="9" fillId="3" borderId="7018">
      <alignment horizontal="right" vertical="center"/>
    </xf>
    <xf numFmtId="248" fontId="46" fillId="0" borderId="7018"/>
    <xf numFmtId="0" fontId="12" fillId="0" borderId="7018" applyNumberFormat="0" applyFill="0" applyBorder="0" applyAlignment="0" applyProtection="0">
      <alignment horizontal="center"/>
    </xf>
    <xf numFmtId="0" fontId="113" fillId="0" borderId="7018" applyNumberFormat="0" applyFill="0" applyAlignment="0" applyProtection="0"/>
    <xf numFmtId="222" fontId="79" fillId="0" borderId="6988" applyBorder="0"/>
    <xf numFmtId="0" fontId="101" fillId="0" borderId="7018" applyBorder="0"/>
    <xf numFmtId="10" fontId="12" fillId="3" borderId="7014" applyNumberFormat="0" applyFont="0" applyFill="0" applyBorder="0" applyAlignment="0">
      <protection locked="0"/>
    </xf>
    <xf numFmtId="246" fontId="250" fillId="0" borderId="7167" applyFill="0" applyProtection="0">
      <alignment horizontal="center"/>
    </xf>
    <xf numFmtId="0" fontId="166" fillId="0" borderId="7239">
      <alignment horizontal="center"/>
    </xf>
    <xf numFmtId="222" fontId="79" fillId="0" borderId="7057" applyBorder="0"/>
    <xf numFmtId="222" fontId="79" fillId="0" borderId="7070" applyBorder="0"/>
    <xf numFmtId="0" fontId="101" fillId="0" borderId="7071" applyBorder="0"/>
    <xf numFmtId="222" fontId="79" fillId="0" borderId="7070" applyBorder="0"/>
    <xf numFmtId="0" fontId="113" fillId="0" borderId="7071" applyNumberFormat="0" applyFill="0" applyAlignment="0" applyProtection="0"/>
    <xf numFmtId="0" fontId="12" fillId="0" borderId="7071" applyNumberFormat="0" applyFill="0" applyBorder="0" applyAlignment="0" applyProtection="0">
      <alignment horizontal="center"/>
    </xf>
    <xf numFmtId="248" fontId="46" fillId="0" borderId="7071"/>
    <xf numFmtId="192" fontId="9" fillId="3" borderId="7071">
      <alignment horizontal="right" vertical="center"/>
    </xf>
    <xf numFmtId="180" fontId="9" fillId="3" borderId="7071">
      <alignment horizontal="right" vertical="center"/>
    </xf>
    <xf numFmtId="186" fontId="146" fillId="3" borderId="7071" applyBorder="0">
      <alignment horizontal="left" vertical="center"/>
    </xf>
    <xf numFmtId="0" fontId="165" fillId="0" borderId="7071" applyFill="0" applyProtection="0">
      <alignment horizontal="center"/>
    </xf>
    <xf numFmtId="0" fontId="166" fillId="0" borderId="7071">
      <alignment horizontal="center"/>
    </xf>
    <xf numFmtId="264" fontId="12" fillId="14" borderId="7071" applyFont="0" applyFill="0" applyBorder="0" applyAlignment="0" applyProtection="0">
      <alignment horizontal="right"/>
    </xf>
    <xf numFmtId="0" fontId="210" fillId="0" borderId="7071" applyNumberFormat="0" applyFill="0" applyBorder="0" applyAlignment="0">
      <protection locked="0"/>
    </xf>
    <xf numFmtId="254" fontId="240" fillId="0" borderId="7071" applyBorder="0" applyProtection="0">
      <alignment horizontal="right" vertical="center"/>
    </xf>
    <xf numFmtId="0" fontId="241" fillId="94" borderId="7071" applyBorder="0" applyProtection="0">
      <alignment horizontal="centerContinuous" vertical="center"/>
    </xf>
    <xf numFmtId="246" fontId="249" fillId="0" borderId="7071" applyFill="0" applyProtection="0">
      <alignment horizontal="center"/>
    </xf>
    <xf numFmtId="246" fontId="250" fillId="0" borderId="7071" applyFill="0" applyProtection="0">
      <alignment horizontal="center"/>
    </xf>
    <xf numFmtId="0" fontId="78" fillId="14" borderId="7073" applyFont="0" applyFill="0" applyBorder="0" applyAlignment="0" applyProtection="0"/>
    <xf numFmtId="0" fontId="25" fillId="10" borderId="7081" applyNumberFormat="0" applyProtection="0">
      <alignment horizontal="left" vertical="top"/>
    </xf>
    <xf numFmtId="0" fontId="25" fillId="10" borderId="7080" applyNumberFormat="0" applyProtection="0">
      <alignment horizontal="left" vertical="top"/>
    </xf>
    <xf numFmtId="0" fontId="25" fillId="10" borderId="7079" applyNumberFormat="0" applyProtection="0">
      <alignment horizontal="left" vertical="top"/>
    </xf>
    <xf numFmtId="0" fontId="25" fillId="10" borderId="7078" applyNumberFormat="0" applyProtection="0">
      <alignment horizontal="left" vertical="top"/>
    </xf>
    <xf numFmtId="0" fontId="214" fillId="0" borderId="7077" applyNumberFormat="0" applyFont="0" applyFill="0" applyAlignment="0" applyProtection="0"/>
    <xf numFmtId="0" fontId="2" fillId="0" borderId="7076" applyNumberFormat="0" applyAlignment="0" applyProtection="0"/>
    <xf numFmtId="186" fontId="140" fillId="3" borderId="7075">
      <alignment horizontal="center" vertical="center"/>
    </xf>
    <xf numFmtId="186" fontId="146" fillId="3" borderId="7074">
      <alignment horizontal="left"/>
    </xf>
    <xf numFmtId="0" fontId="75" fillId="0" borderId="7072" applyNumberFormat="0" applyFont="0" applyFill="0" applyAlignment="0" applyProtection="0"/>
    <xf numFmtId="222" fontId="79" fillId="0" borderId="7082" applyBorder="0"/>
    <xf numFmtId="0" fontId="101" fillId="0" borderId="7083" applyBorder="0"/>
    <xf numFmtId="222" fontId="79" fillId="0" borderId="7082" applyBorder="0"/>
    <xf numFmtId="0" fontId="113" fillId="0" borderId="7083" applyNumberFormat="0" applyFill="0" applyAlignment="0" applyProtection="0"/>
    <xf numFmtId="0" fontId="12" fillId="0" borderId="7083" applyNumberFormat="0" applyFill="0" applyBorder="0" applyAlignment="0" applyProtection="0">
      <alignment horizontal="center"/>
    </xf>
    <xf numFmtId="248" fontId="46" fillId="0" borderId="7083"/>
    <xf numFmtId="192" fontId="9" fillId="3" borderId="7083">
      <alignment horizontal="right" vertical="center"/>
    </xf>
    <xf numFmtId="180" fontId="9" fillId="3" borderId="7083">
      <alignment horizontal="right" vertical="center"/>
    </xf>
    <xf numFmtId="186" fontId="146" fillId="3" borderId="7083" applyBorder="0">
      <alignment horizontal="left" vertical="center"/>
    </xf>
    <xf numFmtId="0" fontId="165" fillId="0" borderId="7083" applyFill="0" applyProtection="0">
      <alignment horizontal="center"/>
    </xf>
    <xf numFmtId="0" fontId="166" fillId="0" borderId="7083">
      <alignment horizontal="center"/>
    </xf>
    <xf numFmtId="264" fontId="12" fillId="14" borderId="7083" applyFont="0" applyFill="0" applyBorder="0" applyAlignment="0" applyProtection="0">
      <alignment horizontal="right"/>
    </xf>
    <xf numFmtId="0" fontId="210" fillId="0" borderId="7083" applyNumberFormat="0" applyFill="0" applyBorder="0" applyAlignment="0">
      <protection locked="0"/>
    </xf>
    <xf numFmtId="254" fontId="240" fillId="0" borderId="7083" applyBorder="0" applyProtection="0">
      <alignment horizontal="right" vertical="center"/>
    </xf>
    <xf numFmtId="0" fontId="241" fillId="94" borderId="7083" applyBorder="0" applyProtection="0">
      <alignment horizontal="centerContinuous" vertical="center"/>
    </xf>
    <xf numFmtId="246" fontId="249" fillId="0" borderId="7083" applyFill="0" applyProtection="0">
      <alignment horizontal="center"/>
    </xf>
    <xf numFmtId="246" fontId="250" fillId="0" borderId="7083" applyFill="0" applyProtection="0">
      <alignment horizontal="center"/>
    </xf>
    <xf numFmtId="186" fontId="146" fillId="3" borderId="7086">
      <alignment horizontal="left"/>
    </xf>
    <xf numFmtId="0" fontId="75" fillId="0" borderId="7084" applyNumberFormat="0" applyFont="0" applyFill="0" applyAlignment="0" applyProtection="0"/>
    <xf numFmtId="0" fontId="113" fillId="0" borderId="7167" applyNumberFormat="0" applyFill="0" applyAlignment="0" applyProtection="0"/>
    <xf numFmtId="264" fontId="12" fillId="14" borderId="7167" applyFont="0" applyFill="0" applyBorder="0" applyAlignment="0" applyProtection="0">
      <alignment horizontal="right"/>
    </xf>
    <xf numFmtId="246" fontId="249" fillId="0" borderId="7167" applyFill="0" applyProtection="0">
      <alignment horizontal="center"/>
    </xf>
    <xf numFmtId="0" fontId="25" fillId="10" borderId="7093" applyNumberFormat="0" applyProtection="0">
      <alignment horizontal="left" vertical="top"/>
    </xf>
    <xf numFmtId="0" fontId="25" fillId="10" borderId="7091" applyNumberFormat="0" applyProtection="0">
      <alignment horizontal="left" vertical="top"/>
    </xf>
    <xf numFmtId="0" fontId="25" fillId="10" borderId="7092" applyNumberFormat="0" applyProtection="0">
      <alignment horizontal="left" vertical="top"/>
    </xf>
    <xf numFmtId="0" fontId="25" fillId="10" borderId="7090" applyNumberFormat="0" applyProtection="0">
      <alignment horizontal="left" vertical="top"/>
    </xf>
    <xf numFmtId="0" fontId="25" fillId="10" borderId="7093" applyNumberFormat="0" applyProtection="0">
      <alignment horizontal="left" vertical="top"/>
    </xf>
    <xf numFmtId="0" fontId="25" fillId="10" borderId="7092" applyNumberFormat="0" applyProtection="0">
      <alignment horizontal="left" vertical="top"/>
    </xf>
    <xf numFmtId="0" fontId="25" fillId="10" borderId="7091" applyNumberFormat="0" applyProtection="0">
      <alignment horizontal="left" vertical="top"/>
    </xf>
    <xf numFmtId="0" fontId="25" fillId="10" borderId="7090" applyNumberFormat="0" applyProtection="0">
      <alignment horizontal="left" vertical="top"/>
    </xf>
    <xf numFmtId="0" fontId="214" fillId="0" borderId="7089" applyNumberFormat="0" applyFont="0" applyFill="0" applyAlignment="0" applyProtection="0"/>
    <xf numFmtId="0" fontId="2" fillId="0" borderId="7088" applyNumberFormat="0" applyAlignment="0" applyProtection="0"/>
    <xf numFmtId="186" fontId="140" fillId="3" borderId="7087">
      <alignment horizontal="center" vertical="center"/>
    </xf>
    <xf numFmtId="186" fontId="140" fillId="3" borderId="7099">
      <alignment horizontal="center" vertical="center"/>
    </xf>
    <xf numFmtId="0" fontId="25" fillId="10" borderId="7102" applyNumberFormat="0" applyProtection="0">
      <alignment horizontal="left" vertical="top"/>
    </xf>
    <xf numFmtId="0" fontId="12" fillId="0" borderId="7167" applyNumberFormat="0" applyFill="0" applyBorder="0" applyAlignment="0" applyProtection="0">
      <alignment horizontal="center"/>
    </xf>
    <xf numFmtId="0" fontId="25" fillId="10" borderId="7164" applyNumberFormat="0" applyProtection="0">
      <alignment horizontal="left" vertical="top"/>
    </xf>
    <xf numFmtId="222" fontId="79" fillId="0" borderId="7154" applyBorder="0"/>
    <xf numFmtId="0" fontId="78" fillId="14" borderId="7157" applyFont="0" applyFill="0" applyBorder="0" applyAlignment="0" applyProtection="0"/>
    <xf numFmtId="222" fontId="79" fillId="0" borderId="7166" applyBorder="0"/>
    <xf numFmtId="0" fontId="101" fillId="0" borderId="7167" applyBorder="0"/>
    <xf numFmtId="222" fontId="79" fillId="0" borderId="7166" applyBorder="0"/>
    <xf numFmtId="248" fontId="46" fillId="0" borderId="7167"/>
    <xf numFmtId="192" fontId="9" fillId="3" borderId="7167">
      <alignment horizontal="right" vertical="center"/>
    </xf>
    <xf numFmtId="180" fontId="9" fillId="3" borderId="7167">
      <alignment horizontal="right" vertical="center"/>
    </xf>
    <xf numFmtId="186" fontId="146" fillId="3" borderId="7167" applyBorder="0">
      <alignment horizontal="left" vertical="center"/>
    </xf>
    <xf numFmtId="0" fontId="165" fillId="0" borderId="7167" applyFill="0" applyProtection="0">
      <alignment horizontal="center"/>
    </xf>
    <xf numFmtId="0" fontId="210" fillId="0" borderId="7167" applyNumberFormat="0" applyFill="0" applyBorder="0" applyAlignment="0">
      <protection locked="0"/>
    </xf>
    <xf numFmtId="254" fontId="240" fillId="0" borderId="7167" applyBorder="0" applyProtection="0">
      <alignment horizontal="right" vertical="center"/>
    </xf>
    <xf numFmtId="246" fontId="250" fillId="0" borderId="7167" applyFill="0" applyProtection="0">
      <alignment horizontal="center"/>
    </xf>
    <xf numFmtId="222" fontId="79" fillId="0" borderId="7106" applyBorder="0"/>
    <xf numFmtId="0" fontId="25" fillId="10" borderId="7103" applyNumberFormat="0" applyProtection="0">
      <alignment horizontal="left" vertical="top"/>
    </xf>
    <xf numFmtId="0" fontId="25" fillId="10" borderId="7105" applyNumberFormat="0" applyProtection="0">
      <alignment horizontal="left" vertical="top"/>
    </xf>
    <xf numFmtId="0" fontId="25" fillId="10" borderId="7102" applyNumberFormat="0" applyProtection="0">
      <alignment horizontal="left" vertical="top"/>
    </xf>
    <xf numFmtId="0" fontId="25" fillId="10" borderId="7103" applyNumberFormat="0" applyProtection="0">
      <alignment horizontal="left" vertical="top"/>
    </xf>
    <xf numFmtId="0" fontId="25" fillId="10" borderId="7104" applyNumberFormat="0" applyProtection="0">
      <alignment horizontal="left" vertical="top"/>
    </xf>
    <xf numFmtId="0" fontId="75" fillId="0" borderId="7108" applyNumberFormat="0" applyFont="0" applyFill="0" applyAlignment="0" applyProtection="0"/>
    <xf numFmtId="0" fontId="101" fillId="0" borderId="7119" applyBorder="0"/>
    <xf numFmtId="222" fontId="79" fillId="0" borderId="7118" applyBorder="0"/>
    <xf numFmtId="0" fontId="113" fillId="0" borderId="7119" applyNumberFormat="0" applyFill="0" applyAlignment="0" applyProtection="0"/>
    <xf numFmtId="0" fontId="12" fillId="0" borderId="7119" applyNumberFormat="0" applyFill="0" applyBorder="0" applyAlignment="0" applyProtection="0">
      <alignment horizontal="center"/>
    </xf>
    <xf numFmtId="248" fontId="46" fillId="0" borderId="7119"/>
    <xf numFmtId="192" fontId="9" fillId="3" borderId="7119">
      <alignment horizontal="right" vertical="center"/>
    </xf>
    <xf numFmtId="180" fontId="9" fillId="3" borderId="7119">
      <alignment horizontal="right" vertical="center"/>
    </xf>
    <xf numFmtId="186" fontId="146" fillId="3" borderId="7119" applyBorder="0">
      <alignment horizontal="left" vertical="center"/>
    </xf>
    <xf numFmtId="0" fontId="166" fillId="0" borderId="7119">
      <alignment horizontal="center"/>
    </xf>
    <xf numFmtId="0" fontId="210" fillId="0" borderId="7119" applyNumberFormat="0" applyFill="0" applyBorder="0" applyAlignment="0">
      <protection locked="0"/>
    </xf>
    <xf numFmtId="264" fontId="12" fillId="14" borderId="7119" applyFont="0" applyFill="0" applyBorder="0" applyAlignment="0" applyProtection="0">
      <alignment horizontal="right"/>
    </xf>
    <xf numFmtId="246" fontId="249" fillId="0" borderId="7119" applyFill="0" applyProtection="0">
      <alignment horizontal="center"/>
    </xf>
    <xf numFmtId="246" fontId="250" fillId="0" borderId="7119" applyFill="0" applyProtection="0">
      <alignment horizontal="center"/>
    </xf>
    <xf numFmtId="246" fontId="250" fillId="0" borderId="7143" applyFill="0" applyProtection="0">
      <alignment horizontal="center"/>
    </xf>
    <xf numFmtId="246" fontId="249" fillId="0" borderId="7143" applyFill="0" applyProtection="0">
      <alignment horizontal="center"/>
    </xf>
    <xf numFmtId="254" fontId="240" fillId="0" borderId="7143" applyBorder="0" applyProtection="0">
      <alignment horizontal="right" vertical="center"/>
    </xf>
    <xf numFmtId="264" fontId="12" fillId="14" borderId="7143" applyFont="0" applyFill="0" applyBorder="0" applyAlignment="0" applyProtection="0">
      <alignment horizontal="right"/>
    </xf>
    <xf numFmtId="0" fontId="165" fillId="0" borderId="7143" applyFill="0" applyProtection="0">
      <alignment horizontal="center"/>
    </xf>
    <xf numFmtId="180" fontId="9" fillId="3" borderId="7143">
      <alignment horizontal="right" vertical="center"/>
    </xf>
    <xf numFmtId="0" fontId="12" fillId="0" borderId="7143" applyNumberFormat="0" applyFill="0" applyBorder="0" applyAlignment="0" applyProtection="0">
      <alignment horizontal="center"/>
    </xf>
    <xf numFmtId="0" fontId="101" fillId="0" borderId="7143" applyBorder="0"/>
    <xf numFmtId="222" fontId="79" fillId="0" borderId="7142" applyBorder="0"/>
    <xf numFmtId="0" fontId="75" fillId="0" borderId="7132" applyNumberFormat="0" applyFont="0" applyFill="0" applyAlignment="0" applyProtection="0"/>
    <xf numFmtId="0" fontId="2" fillId="0" borderId="7136" applyNumberFormat="0" applyAlignment="0" applyProtection="0"/>
    <xf numFmtId="0" fontId="25" fillId="10" borderId="7138" applyNumberFormat="0" applyProtection="0">
      <alignment horizontal="left" vertical="top"/>
    </xf>
    <xf numFmtId="0" fontId="25" fillId="10" borderId="7141" applyNumberFormat="0" applyProtection="0">
      <alignment horizontal="left" vertical="top"/>
    </xf>
    <xf numFmtId="222" fontId="79" fillId="0" borderId="7130" applyBorder="0"/>
    <xf numFmtId="0" fontId="25" fillId="10" borderId="7116" applyNumberFormat="0" applyProtection="0">
      <alignment horizontal="left" vertical="top"/>
    </xf>
    <xf numFmtId="0" fontId="25" fillId="10" borderId="7114" applyNumberFormat="0" applyProtection="0">
      <alignment horizontal="left" vertical="top"/>
    </xf>
    <xf numFmtId="0" fontId="214" fillId="0" borderId="7113" applyNumberFormat="0" applyFont="0" applyFill="0" applyAlignment="0" applyProtection="0"/>
    <xf numFmtId="186" fontId="146" fillId="3" borderId="7110">
      <alignment horizontal="left"/>
    </xf>
    <xf numFmtId="222" fontId="79" fillId="0" borderId="7118" applyBorder="0"/>
    <xf numFmtId="0" fontId="101" fillId="0" borderId="7018" applyBorder="0"/>
    <xf numFmtId="0" fontId="113" fillId="0" borderId="7018" applyNumberFormat="0" applyFill="0" applyAlignment="0" applyProtection="0"/>
    <xf numFmtId="0" fontId="12" fillId="0" borderId="7018" applyNumberFormat="0" applyFill="0" applyBorder="0" applyAlignment="0" applyProtection="0">
      <alignment horizontal="center"/>
    </xf>
    <xf numFmtId="248" fontId="46" fillId="0" borderId="7018"/>
    <xf numFmtId="192" fontId="9" fillId="3" borderId="7018">
      <alignment horizontal="right" vertical="center"/>
    </xf>
    <xf numFmtId="180" fontId="9" fillId="3" borderId="7018">
      <alignment horizontal="right" vertical="center"/>
    </xf>
    <xf numFmtId="186" fontId="146" fillId="3" borderId="7018" applyBorder="0">
      <alignment horizontal="left" vertical="center"/>
    </xf>
    <xf numFmtId="0" fontId="165" fillId="0" borderId="7018" applyFill="0" applyProtection="0">
      <alignment horizontal="center"/>
    </xf>
    <xf numFmtId="0" fontId="166" fillId="0" borderId="7018">
      <alignment horizontal="center"/>
    </xf>
    <xf numFmtId="264" fontId="12" fillId="14" borderId="7018" applyFont="0" applyFill="0" applyBorder="0" applyAlignment="0" applyProtection="0">
      <alignment horizontal="right"/>
    </xf>
    <xf numFmtId="0" fontId="210" fillId="0" borderId="7018" applyNumberFormat="0" applyFill="0" applyBorder="0" applyAlignment="0">
      <protection locked="0"/>
    </xf>
    <xf numFmtId="248" fontId="46" fillId="0" borderId="7143"/>
    <xf numFmtId="222" fontId="79" fillId="0" borderId="7142" applyBorder="0"/>
    <xf numFmtId="186" fontId="140" fillId="3" borderId="7135">
      <alignment horizontal="center" vertical="center"/>
    </xf>
    <xf numFmtId="0" fontId="25" fillId="10" borderId="7140" applyNumberFormat="0" applyProtection="0">
      <alignment horizontal="left" vertical="top"/>
    </xf>
    <xf numFmtId="0" fontId="210" fillId="0" borderId="7143" applyNumberFormat="0" applyFill="0" applyBorder="0" applyAlignment="0">
      <protection locked="0"/>
    </xf>
    <xf numFmtId="192" fontId="9" fillId="3" borderId="7143">
      <alignment horizontal="right" vertical="center"/>
    </xf>
    <xf numFmtId="0" fontId="113" fillId="0" borderId="7143" applyNumberFormat="0" applyFill="0" applyAlignment="0" applyProtection="0"/>
    <xf numFmtId="186" fontId="146" fillId="3" borderId="7134">
      <alignment horizontal="left"/>
    </xf>
    <xf numFmtId="0" fontId="25" fillId="10" borderId="7139" applyNumberFormat="0" applyProtection="0">
      <alignment horizontal="left" vertical="top"/>
    </xf>
    <xf numFmtId="254" fontId="240" fillId="0" borderId="7018" applyBorder="0" applyProtection="0">
      <alignment horizontal="right" vertical="center"/>
    </xf>
    <xf numFmtId="0" fontId="241" fillId="94" borderId="7018" applyBorder="0" applyProtection="0">
      <alignment horizontal="centerContinuous" vertical="center"/>
    </xf>
    <xf numFmtId="246" fontId="249" fillId="0" borderId="7018" applyFill="0" applyProtection="0">
      <alignment horizontal="center"/>
    </xf>
    <xf numFmtId="246" fontId="250" fillId="0" borderId="7018" applyFill="0" applyProtection="0">
      <alignment horizontal="center"/>
    </xf>
    <xf numFmtId="0" fontId="25" fillId="10" borderId="7163" applyNumberFormat="0" applyProtection="0">
      <alignment horizontal="left" vertical="top"/>
    </xf>
    <xf numFmtId="0" fontId="25" fillId="10" borderId="7165" applyNumberFormat="0" applyProtection="0">
      <alignment horizontal="left" vertical="top"/>
    </xf>
    <xf numFmtId="222" fontId="79" fillId="0" borderId="7094" applyBorder="0"/>
    <xf numFmtId="0" fontId="214" fillId="0" borderId="7161" applyNumberFormat="0" applyFont="0" applyFill="0" applyAlignment="0" applyProtection="0"/>
    <xf numFmtId="0" fontId="75" fillId="0" borderId="7096" applyNumberFormat="0" applyFont="0" applyFill="0" applyAlignment="0" applyProtection="0"/>
    <xf numFmtId="0" fontId="25" fillId="10" borderId="7104" applyNumberFormat="0" applyProtection="0">
      <alignment horizontal="left" vertical="top"/>
    </xf>
    <xf numFmtId="0" fontId="25" fillId="10" borderId="7105" applyNumberFormat="0" applyProtection="0">
      <alignment horizontal="left" vertical="top"/>
    </xf>
    <xf numFmtId="0" fontId="165" fillId="0" borderId="7119" applyFill="0" applyProtection="0">
      <alignment horizontal="center"/>
    </xf>
    <xf numFmtId="254" fontId="240" fillId="0" borderId="7119" applyBorder="0" applyProtection="0">
      <alignment horizontal="right" vertical="center"/>
    </xf>
    <xf numFmtId="0" fontId="241" fillId="94" borderId="7119" applyBorder="0" applyProtection="0">
      <alignment horizontal="centerContinuous" vertical="center"/>
    </xf>
    <xf numFmtId="0" fontId="241" fillId="94" borderId="7143" applyBorder="0" applyProtection="0">
      <alignment horizontal="centerContinuous" vertical="center"/>
    </xf>
    <xf numFmtId="0" fontId="166" fillId="0" borderId="7143">
      <alignment horizontal="center"/>
    </xf>
    <xf numFmtId="186" fontId="146" fillId="3" borderId="7143" applyBorder="0">
      <alignment horizontal="left" vertical="center"/>
    </xf>
    <xf numFmtId="0" fontId="214" fillId="0" borderId="7137" applyNumberFormat="0" applyFont="0" applyFill="0" applyAlignment="0" applyProtection="0"/>
    <xf numFmtId="0" fontId="78" fillId="14" borderId="7133" applyFont="0" applyFill="0" applyBorder="0" applyAlignment="0" applyProtection="0"/>
    <xf numFmtId="0" fontId="78" fillId="14" borderId="7060" applyFont="0" applyFill="0" applyBorder="0" applyAlignment="0" applyProtection="0"/>
    <xf numFmtId="0" fontId="25" fillId="10" borderId="6987" applyNumberFormat="0" applyProtection="0">
      <alignment horizontal="left" vertical="top"/>
    </xf>
    <xf numFmtId="0" fontId="25" fillId="10" borderId="6986" applyNumberFormat="0" applyProtection="0">
      <alignment horizontal="left" vertical="top"/>
    </xf>
    <xf numFmtId="0" fontId="25" fillId="10" borderId="6985" applyNumberFormat="0" applyProtection="0">
      <alignment horizontal="left" vertical="top"/>
    </xf>
    <xf numFmtId="0" fontId="25" fillId="10" borderId="6984" applyNumberFormat="0" applyProtection="0">
      <alignment horizontal="left" vertical="top"/>
    </xf>
    <xf numFmtId="186" fontId="140" fillId="3" borderId="7159">
      <alignment horizontal="center" vertical="center"/>
    </xf>
    <xf numFmtId="0" fontId="214" fillId="0" borderId="6983" applyNumberFormat="0" applyFont="0" applyFill="0" applyAlignment="0" applyProtection="0"/>
    <xf numFmtId="186" fontId="140" fillId="3" borderId="6957">
      <alignment horizontal="center" vertical="center"/>
    </xf>
    <xf numFmtId="186" fontId="146" fillId="3" borderId="6884">
      <alignment horizontal="left"/>
    </xf>
    <xf numFmtId="186" fontId="146" fillId="3" borderId="7158">
      <alignment horizontal="left"/>
    </xf>
    <xf numFmtId="0" fontId="75" fillId="0" borderId="6882" applyNumberFormat="0" applyFont="0" applyFill="0" applyAlignment="0" applyProtection="0"/>
    <xf numFmtId="0" fontId="75" fillId="0" borderId="7156" applyNumberFormat="0" applyFont="0" applyFill="0" applyAlignment="0" applyProtection="0"/>
    <xf numFmtId="222" fontId="79" fillId="0" borderId="7070" applyBorder="0"/>
    <xf numFmtId="222" fontId="79" fillId="0" borderId="7070" applyBorder="0"/>
    <xf numFmtId="0" fontId="25" fillId="10" borderId="7162" applyNumberFormat="0" applyProtection="0">
      <alignment horizontal="left" vertical="top"/>
    </xf>
    <xf numFmtId="0" fontId="2" fillId="0" borderId="7160" applyNumberFormat="0" applyAlignment="0" applyProtection="0"/>
    <xf numFmtId="246" fontId="250" fillId="0" borderId="7095" applyFill="0" applyProtection="0">
      <alignment horizontal="center"/>
    </xf>
    <xf numFmtId="246" fontId="249" fillId="0" borderId="7095" applyFill="0" applyProtection="0">
      <alignment horizontal="center"/>
    </xf>
    <xf numFmtId="0" fontId="241" fillId="94" borderId="7095" applyBorder="0" applyProtection="0">
      <alignment horizontal="centerContinuous" vertical="center"/>
    </xf>
    <xf numFmtId="254" fontId="240" fillId="0" borderId="7095" applyBorder="0" applyProtection="0">
      <alignment horizontal="right" vertical="center"/>
    </xf>
    <xf numFmtId="0" fontId="210" fillId="0" borderId="7095" applyNumberFormat="0" applyFill="0" applyBorder="0" applyAlignment="0">
      <protection locked="0"/>
    </xf>
    <xf numFmtId="264" fontId="12" fillId="14" borderId="7095" applyFont="0" applyFill="0" applyBorder="0" applyAlignment="0" applyProtection="0">
      <alignment horizontal="right"/>
    </xf>
    <xf numFmtId="0" fontId="166" fillId="0" borderId="7095">
      <alignment horizontal="center"/>
    </xf>
    <xf numFmtId="0" fontId="165" fillId="0" borderId="7095" applyFill="0" applyProtection="0">
      <alignment horizontal="center"/>
    </xf>
    <xf numFmtId="186" fontId="146" fillId="3" borderId="7095" applyBorder="0">
      <alignment horizontal="left" vertical="center"/>
    </xf>
    <xf numFmtId="180" fontId="9" fillId="3" borderId="7095">
      <alignment horizontal="right" vertical="center"/>
    </xf>
    <xf numFmtId="192" fontId="9" fillId="3" borderId="7095">
      <alignment horizontal="right" vertical="center"/>
    </xf>
    <xf numFmtId="248" fontId="46" fillId="0" borderId="7095"/>
    <xf numFmtId="0" fontId="12" fillId="0" borderId="7095" applyNumberFormat="0" applyFill="0" applyBorder="0" applyAlignment="0" applyProtection="0">
      <alignment horizontal="center"/>
    </xf>
    <xf numFmtId="0" fontId="113" fillId="0" borderId="7095" applyNumberFormat="0" applyFill="0" applyAlignment="0" applyProtection="0"/>
    <xf numFmtId="222" fontId="79" fillId="0" borderId="7094" applyBorder="0"/>
    <xf numFmtId="0" fontId="101" fillId="0" borderId="7095" applyBorder="0"/>
    <xf numFmtId="222" fontId="79" fillId="0" borderId="7094" applyBorder="0"/>
    <xf numFmtId="0" fontId="75" fillId="0" borderId="7084" applyNumberFormat="0" applyFont="0" applyFill="0" applyAlignment="0" applyProtection="0"/>
    <xf numFmtId="186" fontId="146" fillId="3" borderId="7086">
      <alignment horizontal="left"/>
    </xf>
    <xf numFmtId="186" fontId="140" fillId="3" borderId="7087">
      <alignment horizontal="center" vertical="center"/>
    </xf>
    <xf numFmtId="0" fontId="2" fillId="0" borderId="7088" applyNumberFormat="0" applyAlignment="0" applyProtection="0"/>
    <xf numFmtId="0" fontId="214" fillId="0" borderId="7089" applyNumberFormat="0" applyFont="0" applyFill="0" applyAlignment="0" applyProtection="0"/>
    <xf numFmtId="0" fontId="25" fillId="10" borderId="7090" applyNumberFormat="0" applyProtection="0">
      <alignment horizontal="left" vertical="top"/>
    </xf>
    <xf numFmtId="0" fontId="25" fillId="10" borderId="7091" applyNumberFormat="0" applyProtection="0">
      <alignment horizontal="left" vertical="top"/>
    </xf>
    <xf numFmtId="0" fontId="25" fillId="10" borderId="7092" applyNumberFormat="0" applyProtection="0">
      <alignment horizontal="left" vertical="top"/>
    </xf>
    <xf numFmtId="0" fontId="25" fillId="10" borderId="7093" applyNumberFormat="0" applyProtection="0">
      <alignment horizontal="left" vertical="top"/>
    </xf>
    <xf numFmtId="0" fontId="78" fillId="14" borderId="7085" applyFont="0" applyFill="0" applyBorder="0" applyAlignment="0" applyProtection="0"/>
    <xf numFmtId="222" fontId="79" fillId="0" borderId="7082" applyBorder="0"/>
    <xf numFmtId="0" fontId="78" fillId="14" borderId="7060" applyFont="0" applyFill="0" applyBorder="0" applyAlignment="0" applyProtection="0"/>
    <xf numFmtId="222" fontId="79" fillId="0" borderId="7070" applyBorder="0"/>
    <xf numFmtId="0" fontId="78" fillId="14" borderId="7073" applyFont="0" applyFill="0" applyBorder="0" applyAlignment="0" applyProtection="0"/>
    <xf numFmtId="0" fontId="25" fillId="10" borderId="7081" applyNumberFormat="0" applyProtection="0">
      <alignment horizontal="left" vertical="top"/>
    </xf>
    <xf numFmtId="0" fontId="25" fillId="10" borderId="7080" applyNumberFormat="0" applyProtection="0">
      <alignment horizontal="left" vertical="top"/>
    </xf>
    <xf numFmtId="0" fontId="25" fillId="10" borderId="7079" applyNumberFormat="0" applyProtection="0">
      <alignment horizontal="left" vertical="top"/>
    </xf>
    <xf numFmtId="0" fontId="25" fillId="10" borderId="7078" applyNumberFormat="0" applyProtection="0">
      <alignment horizontal="left" vertical="top"/>
    </xf>
    <xf numFmtId="0" fontId="214" fillId="0" borderId="7077" applyNumberFormat="0" applyFont="0" applyFill="0" applyAlignment="0" applyProtection="0"/>
    <xf numFmtId="186" fontId="140" fillId="3" borderId="7075">
      <alignment horizontal="center" vertical="center"/>
    </xf>
    <xf numFmtId="186" fontId="146" fillId="3" borderId="7074">
      <alignment horizontal="left"/>
    </xf>
    <xf numFmtId="0" fontId="75" fillId="0" borderId="7072" applyNumberFormat="0" applyFont="0" applyFill="0" applyAlignment="0" applyProtection="0"/>
    <xf numFmtId="222" fontId="79" fillId="0" borderId="7082" applyBorder="0"/>
    <xf numFmtId="0" fontId="101" fillId="0" borderId="7083" applyBorder="0"/>
    <xf numFmtId="222" fontId="79" fillId="0" borderId="7082" applyBorder="0"/>
    <xf numFmtId="0" fontId="113" fillId="0" borderId="7083" applyNumberFormat="0" applyFill="0" applyAlignment="0" applyProtection="0"/>
    <xf numFmtId="0" fontId="12" fillId="0" borderId="7083" applyNumberFormat="0" applyFill="0" applyBorder="0" applyAlignment="0" applyProtection="0">
      <alignment horizontal="center"/>
    </xf>
    <xf numFmtId="248" fontId="46" fillId="0" borderId="7083"/>
    <xf numFmtId="192" fontId="9" fillId="3" borderId="7083">
      <alignment horizontal="right" vertical="center"/>
    </xf>
    <xf numFmtId="180" fontId="9" fillId="3" borderId="7083">
      <alignment horizontal="right" vertical="center"/>
    </xf>
    <xf numFmtId="186" fontId="146" fillId="3" borderId="7083" applyBorder="0">
      <alignment horizontal="left" vertical="center"/>
    </xf>
    <xf numFmtId="0" fontId="165" fillId="0" borderId="7083" applyFill="0" applyProtection="0">
      <alignment horizontal="center"/>
    </xf>
    <xf numFmtId="0" fontId="166" fillId="0" borderId="7083">
      <alignment horizontal="center"/>
    </xf>
    <xf numFmtId="264" fontId="12" fillId="14" borderId="7083" applyFont="0" applyFill="0" applyBorder="0" applyAlignment="0" applyProtection="0">
      <alignment horizontal="right"/>
    </xf>
    <xf numFmtId="0" fontId="210" fillId="0" borderId="7083" applyNumberFormat="0" applyFill="0" applyBorder="0" applyAlignment="0">
      <protection locked="0"/>
    </xf>
    <xf numFmtId="254" fontId="240" fillId="0" borderId="7083" applyBorder="0" applyProtection="0">
      <alignment horizontal="right" vertical="center"/>
    </xf>
    <xf numFmtId="0" fontId="241" fillId="94" borderId="7083" applyBorder="0" applyProtection="0">
      <alignment horizontal="centerContinuous" vertical="center"/>
    </xf>
    <xf numFmtId="246" fontId="249" fillId="0" borderId="7083" applyFill="0" applyProtection="0">
      <alignment horizontal="center"/>
    </xf>
    <xf numFmtId="246" fontId="250" fillId="0" borderId="7083" applyFill="0" applyProtection="0">
      <alignment horizontal="center"/>
    </xf>
    <xf numFmtId="0" fontId="241" fillId="94" borderId="7167" applyBorder="0" applyProtection="0">
      <alignment horizontal="centerContinuous" vertical="center"/>
    </xf>
    <xf numFmtId="0" fontId="166" fillId="0" borderId="7167">
      <alignment horizontal="center"/>
    </xf>
    <xf numFmtId="0" fontId="2" fillId="0" borderId="7100" applyNumberFormat="0" applyAlignment="0" applyProtection="0"/>
    <xf numFmtId="0" fontId="214" fillId="0" borderId="7101" applyNumberFormat="0" applyFont="0" applyFill="0" applyAlignment="0" applyProtection="0"/>
    <xf numFmtId="246" fontId="250" fillId="0" borderId="7107" applyFill="0" applyProtection="0">
      <alignment horizontal="center"/>
    </xf>
    <xf numFmtId="246" fontId="249" fillId="0" borderId="7107" applyFill="0" applyProtection="0">
      <alignment horizontal="center"/>
    </xf>
    <xf numFmtId="0" fontId="241" fillId="94" borderId="7107" applyBorder="0" applyProtection="0">
      <alignment horizontal="centerContinuous" vertical="center"/>
    </xf>
    <xf numFmtId="254" fontId="240" fillId="0" borderId="7107" applyBorder="0" applyProtection="0">
      <alignment horizontal="right" vertical="center"/>
    </xf>
    <xf numFmtId="0" fontId="210" fillId="0" borderId="7107" applyNumberFormat="0" applyFill="0" applyBorder="0" applyAlignment="0">
      <protection locked="0"/>
    </xf>
    <xf numFmtId="264" fontId="12" fillId="14" borderId="7107" applyFont="0" applyFill="0" applyBorder="0" applyAlignment="0" applyProtection="0">
      <alignment horizontal="right"/>
    </xf>
    <xf numFmtId="0" fontId="166" fillId="0" borderId="7107">
      <alignment horizontal="center"/>
    </xf>
    <xf numFmtId="0" fontId="165" fillId="0" borderId="7107" applyFill="0" applyProtection="0">
      <alignment horizontal="center"/>
    </xf>
    <xf numFmtId="186" fontId="146" fillId="3" borderId="7107" applyBorder="0">
      <alignment horizontal="left" vertical="center"/>
    </xf>
    <xf numFmtId="180" fontId="9" fillId="3" borderId="7107">
      <alignment horizontal="right" vertical="center"/>
    </xf>
    <xf numFmtId="192" fontId="9" fillId="3" borderId="7107">
      <alignment horizontal="right" vertical="center"/>
    </xf>
    <xf numFmtId="248" fontId="46" fillId="0" borderId="7107"/>
    <xf numFmtId="0" fontId="12" fillId="0" borderId="7107" applyNumberFormat="0" applyFill="0" applyBorder="0" applyAlignment="0" applyProtection="0">
      <alignment horizontal="center"/>
    </xf>
    <xf numFmtId="0" fontId="113" fillId="0" borderId="7107" applyNumberFormat="0" applyFill="0" applyAlignment="0" applyProtection="0"/>
    <xf numFmtId="222" fontId="79" fillId="0" borderId="7106" applyBorder="0"/>
    <xf numFmtId="0" fontId="101" fillId="0" borderId="7107" applyBorder="0"/>
    <xf numFmtId="222" fontId="79" fillId="0" borderId="7106" applyBorder="0"/>
    <xf numFmtId="0" fontId="75" fillId="0" borderId="7096" applyNumberFormat="0" applyFont="0" applyFill="0" applyAlignment="0" applyProtection="0"/>
    <xf numFmtId="186" fontId="146" fillId="3" borderId="7098">
      <alignment horizontal="left"/>
    </xf>
    <xf numFmtId="186" fontId="140" fillId="3" borderId="7099">
      <alignment horizontal="center" vertical="center"/>
    </xf>
    <xf numFmtId="0" fontId="2" fillId="0" borderId="7100" applyNumberFormat="0" applyAlignment="0" applyProtection="0"/>
    <xf numFmtId="0" fontId="214" fillId="0" borderId="7101" applyNumberFormat="0" applyFont="0" applyFill="0" applyAlignment="0" applyProtection="0"/>
    <xf numFmtId="0" fontId="25" fillId="10" borderId="7102" applyNumberFormat="0" applyProtection="0">
      <alignment horizontal="left" vertical="top"/>
    </xf>
    <xf numFmtId="0" fontId="25" fillId="10" borderId="7103" applyNumberFormat="0" applyProtection="0">
      <alignment horizontal="left" vertical="top"/>
    </xf>
    <xf numFmtId="0" fontId="25" fillId="10" borderId="7104" applyNumberFormat="0" applyProtection="0">
      <alignment horizontal="left" vertical="top"/>
    </xf>
    <xf numFmtId="0" fontId="25" fillId="10" borderId="7105" applyNumberFormat="0" applyProtection="0">
      <alignment horizontal="left" vertical="top"/>
    </xf>
    <xf numFmtId="0" fontId="78" fillId="14" borderId="7097" applyFont="0" applyFill="0" applyBorder="0" applyAlignment="0" applyProtection="0"/>
    <xf numFmtId="222" fontId="79" fillId="0" borderId="7094" applyBorder="0"/>
    <xf numFmtId="0" fontId="78" fillId="14" borderId="7109" applyFont="0" applyFill="0" applyBorder="0" applyAlignment="0" applyProtection="0"/>
    <xf numFmtId="186" fontId="146" fillId="3" borderId="7098">
      <alignment horizontal="left"/>
    </xf>
    <xf numFmtId="0" fontId="78" fillId="14" borderId="7085" applyFont="0" applyFill="0" applyBorder="0" applyAlignment="0" applyProtection="0"/>
    <xf numFmtId="222" fontId="79" fillId="0" borderId="7094" applyBorder="0"/>
    <xf numFmtId="0" fontId="2" fillId="0" borderId="7112" applyNumberFormat="0" applyAlignment="0" applyProtection="0"/>
    <xf numFmtId="0" fontId="78" fillId="14" borderId="7085" applyFont="0" applyFill="0" applyBorder="0" applyAlignment="0" applyProtection="0"/>
    <xf numFmtId="0" fontId="25" fillId="10" borderId="7093" applyNumberFormat="0" applyProtection="0">
      <alignment horizontal="left" vertical="top"/>
    </xf>
    <xf numFmtId="0" fontId="25" fillId="10" borderId="7092" applyNumberFormat="0" applyProtection="0">
      <alignment horizontal="left" vertical="top"/>
    </xf>
    <xf numFmtId="0" fontId="25" fillId="10" borderId="7091" applyNumberFormat="0" applyProtection="0">
      <alignment horizontal="left" vertical="top"/>
    </xf>
    <xf numFmtId="0" fontId="25" fillId="10" borderId="7090" applyNumberFormat="0" applyProtection="0">
      <alignment horizontal="left" vertical="top"/>
    </xf>
    <xf numFmtId="0" fontId="25" fillId="10" borderId="7115" applyNumberFormat="0" applyProtection="0">
      <alignment horizontal="left" vertical="top"/>
    </xf>
    <xf numFmtId="0" fontId="214" fillId="0" borderId="7089" applyNumberFormat="0" applyFont="0" applyFill="0" applyAlignment="0" applyProtection="0"/>
    <xf numFmtId="0" fontId="2" fillId="0" borderId="7088" applyNumberFormat="0" applyAlignment="0" applyProtection="0"/>
    <xf numFmtId="186" fontId="140" fillId="3" borderId="7087">
      <alignment horizontal="center" vertical="center"/>
    </xf>
    <xf numFmtId="186" fontId="146" fillId="3" borderId="7086">
      <alignment horizontal="left"/>
    </xf>
    <xf numFmtId="0" fontId="25" fillId="10" borderId="7117" applyNumberFormat="0" applyProtection="0">
      <alignment horizontal="left" vertical="top"/>
    </xf>
    <xf numFmtId="0" fontId="75" fillId="0" borderId="7084" applyNumberFormat="0" applyFont="0" applyFill="0" applyAlignment="0" applyProtection="0"/>
    <xf numFmtId="222" fontId="79" fillId="0" borderId="7094" applyBorder="0"/>
    <xf numFmtId="0" fontId="101" fillId="0" borderId="7095" applyBorder="0"/>
    <xf numFmtId="222" fontId="79" fillId="0" borderId="7094" applyBorder="0"/>
    <xf numFmtId="0" fontId="113" fillId="0" borderId="7095" applyNumberFormat="0" applyFill="0" applyAlignment="0" applyProtection="0"/>
    <xf numFmtId="0" fontId="12" fillId="0" borderId="7095" applyNumberFormat="0" applyFill="0" applyBorder="0" applyAlignment="0" applyProtection="0">
      <alignment horizontal="center"/>
    </xf>
    <xf numFmtId="248" fontId="46" fillId="0" borderId="7095"/>
    <xf numFmtId="192" fontId="9" fillId="3" borderId="7095">
      <alignment horizontal="right" vertical="center"/>
    </xf>
    <xf numFmtId="180" fontId="9" fillId="3" borderId="7095">
      <alignment horizontal="right" vertical="center"/>
    </xf>
    <xf numFmtId="186" fontId="146" fillId="3" borderId="7095" applyBorder="0">
      <alignment horizontal="left" vertical="center"/>
    </xf>
    <xf numFmtId="0" fontId="165" fillId="0" borderId="7095" applyFill="0" applyProtection="0">
      <alignment horizontal="center"/>
    </xf>
    <xf numFmtId="0" fontId="166" fillId="0" borderId="7095">
      <alignment horizontal="center"/>
    </xf>
    <xf numFmtId="264" fontId="12" fillId="14" borderId="7095" applyFont="0" applyFill="0" applyBorder="0" applyAlignment="0" applyProtection="0">
      <alignment horizontal="right"/>
    </xf>
    <xf numFmtId="0" fontId="210" fillId="0" borderId="7095" applyNumberFormat="0" applyFill="0" applyBorder="0" applyAlignment="0">
      <protection locked="0"/>
    </xf>
    <xf numFmtId="254" fontId="240" fillId="0" borderId="7095" applyBorder="0" applyProtection="0">
      <alignment horizontal="right" vertical="center"/>
    </xf>
    <xf numFmtId="0" fontId="241" fillId="94" borderId="7095" applyBorder="0" applyProtection="0">
      <alignment horizontal="centerContinuous" vertical="center"/>
    </xf>
    <xf numFmtId="246" fontId="249" fillId="0" borderId="7095" applyFill="0" applyProtection="0">
      <alignment horizontal="center"/>
    </xf>
    <xf numFmtId="246" fontId="250" fillId="0" borderId="7095" applyFill="0" applyProtection="0">
      <alignment horizontal="center"/>
    </xf>
    <xf numFmtId="186" fontId="140" fillId="3" borderId="7111">
      <alignment horizontal="center" vertical="center"/>
    </xf>
    <xf numFmtId="0" fontId="78" fillId="14" borderId="7097" applyFont="0" applyFill="0" applyBorder="0" applyAlignment="0" applyProtection="0"/>
    <xf numFmtId="222" fontId="79" fillId="0" borderId="7118" applyBorder="0"/>
    <xf numFmtId="0" fontId="78" fillId="14" borderId="7121" applyFont="0" applyFill="0" applyBorder="0" applyAlignment="0" applyProtection="0"/>
    <xf numFmtId="0" fontId="25" fillId="10" borderId="7129" applyNumberFormat="0" applyProtection="0">
      <alignment horizontal="left" vertical="top"/>
    </xf>
    <xf numFmtId="0" fontId="25" fillId="10" borderId="7128" applyNumberFormat="0" applyProtection="0">
      <alignment horizontal="left" vertical="top"/>
    </xf>
    <xf numFmtId="0" fontId="25" fillId="10" borderId="7127" applyNumberFormat="0" applyProtection="0">
      <alignment horizontal="left" vertical="top"/>
    </xf>
    <xf numFmtId="0" fontId="25" fillId="10" borderId="7126" applyNumberFormat="0" applyProtection="0">
      <alignment horizontal="left" vertical="top"/>
    </xf>
    <xf numFmtId="0" fontId="214" fillId="0" borderId="7125" applyNumberFormat="0" applyFont="0" applyFill="0" applyAlignment="0" applyProtection="0"/>
    <xf numFmtId="0" fontId="2" fillId="0" borderId="7124" applyNumberFormat="0" applyAlignment="0" applyProtection="0"/>
    <xf numFmtId="186" fontId="140" fillId="3" borderId="7123">
      <alignment horizontal="center" vertical="center"/>
    </xf>
    <xf numFmtId="186" fontId="146" fillId="3" borderId="7122">
      <alignment horizontal="left"/>
    </xf>
    <xf numFmtId="0" fontId="75" fillId="0" borderId="7120" applyNumberFormat="0" applyFont="0" applyFill="0" applyAlignment="0" applyProtection="0"/>
    <xf numFmtId="222" fontId="79" fillId="0" borderId="7130" applyBorder="0"/>
    <xf numFmtId="0" fontId="101" fillId="0" borderId="7131" applyBorder="0"/>
    <xf numFmtId="222" fontId="79" fillId="0" borderId="7130" applyBorder="0"/>
    <xf numFmtId="0" fontId="113" fillId="0" borderId="7131" applyNumberFormat="0" applyFill="0" applyAlignment="0" applyProtection="0"/>
    <xf numFmtId="0" fontId="12" fillId="0" borderId="7131" applyNumberFormat="0" applyFill="0" applyBorder="0" applyAlignment="0" applyProtection="0">
      <alignment horizontal="center"/>
    </xf>
    <xf numFmtId="248" fontId="46" fillId="0" borderId="7131"/>
    <xf numFmtId="192" fontId="9" fillId="3" borderId="7131">
      <alignment horizontal="right" vertical="center"/>
    </xf>
    <xf numFmtId="180" fontId="9" fillId="3" borderId="7131">
      <alignment horizontal="right" vertical="center"/>
    </xf>
    <xf numFmtId="186" fontId="146" fillId="3" borderId="7131" applyBorder="0">
      <alignment horizontal="left" vertical="center"/>
    </xf>
    <xf numFmtId="0" fontId="165" fillId="0" borderId="7131" applyFill="0" applyProtection="0">
      <alignment horizontal="center"/>
    </xf>
    <xf numFmtId="0" fontId="166" fillId="0" borderId="7131">
      <alignment horizontal="center"/>
    </xf>
    <xf numFmtId="264" fontId="12" fillId="14" borderId="7131" applyFont="0" applyFill="0" applyBorder="0" applyAlignment="0" applyProtection="0">
      <alignment horizontal="right"/>
    </xf>
    <xf numFmtId="0" fontId="210" fillId="0" borderId="7131" applyNumberFormat="0" applyFill="0" applyBorder="0" applyAlignment="0">
      <protection locked="0"/>
    </xf>
    <xf numFmtId="254" fontId="240" fillId="0" borderId="7131" applyBorder="0" applyProtection="0">
      <alignment horizontal="right" vertical="center"/>
    </xf>
    <xf numFmtId="0" fontId="241" fillId="94" borderId="7131" applyBorder="0" applyProtection="0">
      <alignment horizontal="centerContinuous" vertical="center"/>
    </xf>
    <xf numFmtId="246" fontId="249" fillId="0" borderId="7131" applyFill="0" applyProtection="0">
      <alignment horizontal="center"/>
    </xf>
    <xf numFmtId="246" fontId="250" fillId="0" borderId="7131" applyFill="0" applyProtection="0">
      <alignment horizontal="center"/>
    </xf>
    <xf numFmtId="222" fontId="79" fillId="0" borderId="7142" applyBorder="0"/>
    <xf numFmtId="0" fontId="78" fillId="14" borderId="7145" applyFont="0" applyFill="0" applyBorder="0" applyAlignment="0" applyProtection="0"/>
    <xf numFmtId="0" fontId="25" fillId="10" borderId="7153" applyNumberFormat="0" applyProtection="0">
      <alignment horizontal="left" vertical="top"/>
    </xf>
    <xf numFmtId="0" fontId="25" fillId="10" borderId="7152" applyNumberFormat="0" applyProtection="0">
      <alignment horizontal="left" vertical="top"/>
    </xf>
    <xf numFmtId="0" fontId="25" fillId="10" borderId="7151" applyNumberFormat="0" applyProtection="0">
      <alignment horizontal="left" vertical="top"/>
    </xf>
    <xf numFmtId="0" fontId="25" fillId="10" borderId="7150" applyNumberFormat="0" applyProtection="0">
      <alignment horizontal="left" vertical="top"/>
    </xf>
    <xf numFmtId="0" fontId="214" fillId="0" borderId="7149" applyNumberFormat="0" applyFont="0" applyFill="0" applyAlignment="0" applyProtection="0"/>
    <xf numFmtId="0" fontId="2" fillId="0" borderId="7148" applyNumberFormat="0" applyAlignment="0" applyProtection="0"/>
    <xf numFmtId="186" fontId="140" fillId="3" borderId="7147">
      <alignment horizontal="center" vertical="center"/>
    </xf>
    <xf numFmtId="186" fontId="146" fillId="3" borderId="7146">
      <alignment horizontal="left"/>
    </xf>
    <xf numFmtId="0" fontId="75" fillId="0" borderId="7144" applyNumberFormat="0" applyFont="0" applyFill="0" applyAlignment="0" applyProtection="0"/>
    <xf numFmtId="222" fontId="79" fillId="0" borderId="7154" applyBorder="0"/>
    <xf numFmtId="0" fontId="101" fillId="0" borderId="7155" applyBorder="0"/>
    <xf numFmtId="222" fontId="79" fillId="0" borderId="7154" applyBorder="0"/>
    <xf numFmtId="0" fontId="113" fillId="0" borderId="7155" applyNumberFormat="0" applyFill="0" applyAlignment="0" applyProtection="0"/>
    <xf numFmtId="0" fontId="12" fillId="0" borderId="7155" applyNumberFormat="0" applyFill="0" applyBorder="0" applyAlignment="0" applyProtection="0">
      <alignment horizontal="center"/>
    </xf>
    <xf numFmtId="248" fontId="46" fillId="0" borderId="7155"/>
    <xf numFmtId="192" fontId="9" fillId="3" borderId="7155">
      <alignment horizontal="right" vertical="center"/>
    </xf>
    <xf numFmtId="180" fontId="9" fillId="3" borderId="7155">
      <alignment horizontal="right" vertical="center"/>
    </xf>
    <xf numFmtId="186" fontId="146" fillId="3" borderId="7155" applyBorder="0">
      <alignment horizontal="left" vertical="center"/>
    </xf>
    <xf numFmtId="0" fontId="165" fillId="0" borderId="7155" applyFill="0" applyProtection="0">
      <alignment horizontal="center"/>
    </xf>
    <xf numFmtId="0" fontId="166" fillId="0" borderId="7155">
      <alignment horizontal="center"/>
    </xf>
    <xf numFmtId="264" fontId="12" fillId="14" borderId="7155" applyFont="0" applyFill="0" applyBorder="0" applyAlignment="0" applyProtection="0">
      <alignment horizontal="right"/>
    </xf>
    <xf numFmtId="0" fontId="210" fillId="0" borderId="7155" applyNumberFormat="0" applyFill="0" applyBorder="0" applyAlignment="0">
      <protection locked="0"/>
    </xf>
    <xf numFmtId="254" fontId="240" fillId="0" borderId="7155" applyBorder="0" applyProtection="0">
      <alignment horizontal="right" vertical="center"/>
    </xf>
    <xf numFmtId="0" fontId="241" fillId="94" borderId="7155" applyBorder="0" applyProtection="0">
      <alignment horizontal="centerContinuous" vertical="center"/>
    </xf>
    <xf numFmtId="246" fontId="249" fillId="0" borderId="7155" applyFill="0" applyProtection="0">
      <alignment horizontal="center"/>
    </xf>
    <xf numFmtId="246" fontId="250" fillId="0" borderId="7155" applyFill="0" applyProtection="0">
      <alignment horizontal="center"/>
    </xf>
    <xf numFmtId="0" fontId="75" fillId="0" borderId="7168" applyNumberFormat="0" applyFont="0" applyFill="0" applyAlignment="0" applyProtection="0"/>
    <xf numFmtId="0" fontId="78" fillId="14" borderId="7169" applyFont="0" applyFill="0" applyBorder="0" applyAlignment="0" applyProtection="0"/>
    <xf numFmtId="186" fontId="146" fillId="3" borderId="7170">
      <alignment horizontal="left"/>
    </xf>
    <xf numFmtId="186" fontId="140" fillId="3" borderId="7171">
      <alignment horizontal="center" vertical="center"/>
    </xf>
    <xf numFmtId="0" fontId="2" fillId="0" borderId="7172" applyNumberFormat="0" applyAlignment="0" applyProtection="0"/>
    <xf numFmtId="0" fontId="214" fillId="0" borderId="7173" applyNumberFormat="0" applyFont="0" applyFill="0" applyAlignment="0" applyProtection="0"/>
    <xf numFmtId="0" fontId="25" fillId="10" borderId="7174" applyNumberFormat="0" applyProtection="0">
      <alignment horizontal="left" vertical="top"/>
    </xf>
    <xf numFmtId="0" fontId="25" fillId="10" borderId="7175" applyNumberFormat="0" applyProtection="0">
      <alignment horizontal="left" vertical="top"/>
    </xf>
    <xf numFmtId="0" fontId="25" fillId="10" borderId="7176" applyNumberFormat="0" applyProtection="0">
      <alignment horizontal="left" vertical="top"/>
    </xf>
    <xf numFmtId="0" fontId="25" fillId="10" borderId="7177" applyNumberFormat="0" applyProtection="0">
      <alignment horizontal="left" vertical="top"/>
    </xf>
    <xf numFmtId="246" fontId="250" fillId="0" borderId="7167" applyFill="0" applyProtection="0">
      <alignment horizontal="center"/>
    </xf>
    <xf numFmtId="246" fontId="249" fillId="0" borderId="7167" applyFill="0" applyProtection="0">
      <alignment horizontal="center"/>
    </xf>
    <xf numFmtId="0" fontId="241" fillId="94" borderId="7167" applyBorder="0" applyProtection="0">
      <alignment horizontal="centerContinuous" vertical="center"/>
    </xf>
    <xf numFmtId="254" fontId="240" fillId="0" borderId="7167" applyBorder="0" applyProtection="0">
      <alignment horizontal="right" vertical="center"/>
    </xf>
    <xf numFmtId="0" fontId="210" fillId="0" borderId="7167" applyNumberFormat="0" applyFill="0" applyBorder="0" applyAlignment="0">
      <protection locked="0"/>
    </xf>
    <xf numFmtId="264" fontId="12" fillId="14" borderId="7167" applyFont="0" applyFill="0" applyBorder="0" applyAlignment="0" applyProtection="0">
      <alignment horizontal="right"/>
    </xf>
    <xf numFmtId="0" fontId="166" fillId="0" borderId="7167">
      <alignment horizontal="center"/>
    </xf>
    <xf numFmtId="0" fontId="165" fillId="0" borderId="7167" applyFill="0" applyProtection="0">
      <alignment horizontal="center"/>
    </xf>
    <xf numFmtId="186" fontId="146" fillId="3" borderId="7167" applyBorder="0">
      <alignment horizontal="left" vertical="center"/>
    </xf>
    <xf numFmtId="180" fontId="9" fillId="3" borderId="7167">
      <alignment horizontal="right" vertical="center"/>
    </xf>
    <xf numFmtId="192" fontId="9" fillId="3" borderId="7167">
      <alignment horizontal="right" vertical="center"/>
    </xf>
    <xf numFmtId="0" fontId="12" fillId="0" borderId="7167" applyNumberFormat="0" applyFill="0" applyBorder="0" applyAlignment="0" applyProtection="0">
      <alignment horizontal="center"/>
    </xf>
    <xf numFmtId="0" fontId="113" fillId="0" borderId="7167" applyNumberFormat="0" applyFill="0" applyAlignment="0" applyProtection="0"/>
    <xf numFmtId="222" fontId="79" fillId="0" borderId="7166" applyBorder="0"/>
    <xf numFmtId="0" fontId="101" fillId="0" borderId="7167" applyBorder="0"/>
    <xf numFmtId="248" fontId="46" fillId="0" borderId="7167"/>
    <xf numFmtId="0" fontId="101" fillId="0" borderId="7167" applyBorder="0"/>
    <xf numFmtId="222" fontId="79" fillId="0" borderId="7166" applyBorder="0"/>
    <xf numFmtId="0" fontId="113" fillId="0" borderId="7167" applyNumberFormat="0" applyFill="0" applyAlignment="0" applyProtection="0"/>
    <xf numFmtId="0" fontId="75" fillId="0" borderId="7168" applyNumberFormat="0" applyFont="0" applyFill="0" applyAlignment="0" applyProtection="0"/>
    <xf numFmtId="0" fontId="12" fillId="0" borderId="7167" applyNumberFormat="0" applyFill="0" applyBorder="0" applyAlignment="0" applyProtection="0">
      <alignment horizontal="center"/>
    </xf>
    <xf numFmtId="248" fontId="46" fillId="0" borderId="7167"/>
    <xf numFmtId="192" fontId="9" fillId="3" borderId="7167">
      <alignment horizontal="right" vertical="center"/>
    </xf>
    <xf numFmtId="180" fontId="9" fillId="3" borderId="7167">
      <alignment horizontal="right" vertical="center"/>
    </xf>
    <xf numFmtId="186" fontId="146" fillId="3" borderId="7167" applyBorder="0">
      <alignment horizontal="left" vertical="center"/>
    </xf>
    <xf numFmtId="186" fontId="146" fillId="3" borderId="7170">
      <alignment horizontal="left"/>
    </xf>
    <xf numFmtId="186" fontId="140" fillId="3" borderId="7171">
      <alignment horizontal="center" vertical="center"/>
    </xf>
    <xf numFmtId="0" fontId="165" fillId="0" borderId="7167" applyFill="0" applyProtection="0">
      <alignment horizontal="center"/>
    </xf>
    <xf numFmtId="0" fontId="166" fillId="0" borderId="7167">
      <alignment horizontal="center"/>
    </xf>
    <xf numFmtId="264" fontId="12" fillId="14" borderId="7167" applyFont="0" applyFill="0" applyBorder="0" applyAlignment="0" applyProtection="0">
      <alignment horizontal="right"/>
    </xf>
    <xf numFmtId="0" fontId="210" fillId="0" borderId="7167" applyNumberFormat="0" applyFill="0" applyBorder="0" applyAlignment="0">
      <protection locked="0"/>
    </xf>
    <xf numFmtId="0" fontId="2" fillId="0" borderId="7172" applyNumberFormat="0" applyAlignment="0" applyProtection="0"/>
    <xf numFmtId="0" fontId="214" fillId="0" borderId="7173" applyNumberFormat="0" applyFont="0" applyFill="0" applyAlignment="0" applyProtection="0"/>
    <xf numFmtId="0" fontId="25" fillId="10" borderId="7174" applyNumberFormat="0" applyProtection="0">
      <alignment horizontal="left" vertical="top"/>
    </xf>
    <xf numFmtId="0" fontId="25" fillId="10" borderId="7175" applyNumberFormat="0" applyProtection="0">
      <alignment horizontal="left" vertical="top"/>
    </xf>
    <xf numFmtId="0" fontId="25" fillId="10" borderId="7176" applyNumberFormat="0" applyProtection="0">
      <alignment horizontal="left" vertical="top"/>
    </xf>
    <xf numFmtId="0" fontId="25" fillId="10" borderId="7177" applyNumberFormat="0" applyProtection="0">
      <alignment horizontal="left" vertical="top"/>
    </xf>
    <xf numFmtId="0" fontId="25" fillId="10" borderId="7174" applyNumberFormat="0" applyProtection="0">
      <alignment horizontal="left" vertical="top"/>
    </xf>
    <xf numFmtId="0" fontId="25" fillId="10" borderId="7175" applyNumberFormat="0" applyProtection="0">
      <alignment horizontal="left" vertical="top"/>
    </xf>
    <xf numFmtId="0" fontId="25" fillId="10" borderId="7176" applyNumberFormat="0" applyProtection="0">
      <alignment horizontal="left" vertical="top"/>
    </xf>
    <xf numFmtId="0" fontId="25" fillId="10" borderId="7177" applyNumberFormat="0" applyProtection="0">
      <alignment horizontal="left" vertical="top"/>
    </xf>
    <xf numFmtId="254" fontId="240" fillId="0" borderId="7167" applyBorder="0" applyProtection="0">
      <alignment horizontal="right" vertical="center"/>
    </xf>
    <xf numFmtId="0" fontId="241" fillId="94" borderId="7167" applyBorder="0" applyProtection="0">
      <alignment horizontal="centerContinuous" vertical="center"/>
    </xf>
    <xf numFmtId="246" fontId="249" fillId="0" borderId="7167" applyFill="0" applyProtection="0">
      <alignment horizontal="center"/>
    </xf>
    <xf numFmtId="246" fontId="250" fillId="0" borderId="7167" applyFill="0" applyProtection="0">
      <alignment horizontal="center"/>
    </xf>
    <xf numFmtId="190" fontId="101" fillId="0" borderId="7167" applyBorder="0"/>
    <xf numFmtId="190" fontId="113" fillId="0" borderId="7167" applyNumberFormat="0" applyFill="0" applyAlignment="0" applyProtection="0"/>
    <xf numFmtId="190" fontId="75" fillId="0" borderId="7144" applyNumberFormat="0" applyFont="0" applyFill="0" applyAlignment="0" applyProtection="0"/>
    <xf numFmtId="190" fontId="12" fillId="0" borderId="7167" applyNumberFormat="0" applyFill="0" applyBorder="0" applyAlignment="0" applyProtection="0">
      <alignment horizontal="center"/>
    </xf>
    <xf numFmtId="190" fontId="78" fillId="14" borderId="7157" applyFont="0" applyFill="0" applyBorder="0" applyAlignment="0" applyProtection="0"/>
    <xf numFmtId="190" fontId="165" fillId="0" borderId="7167" applyFill="0" applyProtection="0">
      <alignment horizontal="center"/>
    </xf>
    <xf numFmtId="190" fontId="166" fillId="0" borderId="7167">
      <alignment horizontal="center"/>
    </xf>
    <xf numFmtId="190" fontId="210" fillId="0" borderId="7167" applyNumberFormat="0" applyFill="0" applyBorder="0" applyAlignment="0">
      <protection locked="0"/>
    </xf>
    <xf numFmtId="190" fontId="2" fillId="0" borderId="7148" applyNumberFormat="0" applyAlignment="0" applyProtection="0"/>
    <xf numFmtId="190" fontId="214" fillId="0" borderId="7149" applyNumberFormat="0" applyFont="0" applyFill="0" applyAlignment="0" applyProtection="0"/>
    <xf numFmtId="190" fontId="25" fillId="10" borderId="7150" applyNumberFormat="0" applyProtection="0">
      <alignment horizontal="left" vertical="top"/>
    </xf>
    <xf numFmtId="190" fontId="25" fillId="10" borderId="7151" applyNumberFormat="0" applyProtection="0">
      <alignment horizontal="left" vertical="top"/>
    </xf>
    <xf numFmtId="190" fontId="25" fillId="10" borderId="7152" applyNumberFormat="0" applyProtection="0">
      <alignment horizontal="left" vertical="top"/>
    </xf>
    <xf numFmtId="190" fontId="25" fillId="10" borderId="7153" applyNumberFormat="0" applyProtection="0">
      <alignment horizontal="left" vertical="top"/>
    </xf>
    <xf numFmtId="190" fontId="241" fillId="94" borderId="7167" applyBorder="0" applyProtection="0">
      <alignment horizontal="centerContinuous" vertical="center"/>
    </xf>
    <xf numFmtId="222" fontId="79" fillId="0" borderId="7166" applyBorder="0"/>
    <xf numFmtId="0" fontId="101" fillId="0" borderId="7167" applyBorder="0"/>
    <xf numFmtId="222" fontId="79" fillId="0" borderId="7166" applyBorder="0"/>
    <xf numFmtId="0" fontId="113" fillId="0" borderId="7167" applyNumberFormat="0" applyFill="0" applyAlignment="0" applyProtection="0"/>
    <xf numFmtId="0" fontId="75" fillId="0" borderId="7144" applyNumberFormat="0" applyFont="0" applyFill="0" applyAlignment="0" applyProtection="0"/>
    <xf numFmtId="0" fontId="12" fillId="0" borderId="7167" applyNumberFormat="0" applyFill="0" applyBorder="0" applyAlignment="0" applyProtection="0">
      <alignment horizontal="center"/>
    </xf>
    <xf numFmtId="248" fontId="46" fillId="0" borderId="7167"/>
    <xf numFmtId="192" fontId="9" fillId="3" borderId="7167">
      <alignment horizontal="right" vertical="center"/>
    </xf>
    <xf numFmtId="180" fontId="9" fillId="3" borderId="7167">
      <alignment horizontal="right" vertical="center"/>
    </xf>
    <xf numFmtId="186" fontId="146" fillId="3" borderId="7167" applyBorder="0">
      <alignment horizontal="left" vertical="center"/>
    </xf>
    <xf numFmtId="186" fontId="146" fillId="3" borderId="7146">
      <alignment horizontal="left"/>
    </xf>
    <xf numFmtId="186" fontId="140" fillId="3" borderId="7147">
      <alignment horizontal="center" vertical="center"/>
    </xf>
    <xf numFmtId="0" fontId="165" fillId="0" borderId="7167" applyFill="0" applyProtection="0">
      <alignment horizontal="center"/>
    </xf>
    <xf numFmtId="0" fontId="166" fillId="0" borderId="7167">
      <alignment horizontal="center"/>
    </xf>
    <xf numFmtId="264" fontId="12" fillId="14" borderId="7167" applyFont="0" applyFill="0" applyBorder="0" applyAlignment="0" applyProtection="0">
      <alignment horizontal="right"/>
    </xf>
    <xf numFmtId="0" fontId="210" fillId="0" borderId="7167" applyNumberFormat="0" applyFill="0" applyBorder="0" applyAlignment="0">
      <protection locked="0"/>
    </xf>
    <xf numFmtId="0" fontId="2" fillId="0" borderId="7148" applyNumberFormat="0" applyAlignment="0" applyProtection="0"/>
    <xf numFmtId="0" fontId="214" fillId="0" borderId="7149" applyNumberFormat="0" applyFont="0" applyFill="0" applyAlignment="0" applyProtection="0"/>
    <xf numFmtId="0" fontId="25" fillId="10" borderId="7150" applyNumberFormat="0" applyProtection="0">
      <alignment horizontal="left" vertical="top"/>
    </xf>
    <xf numFmtId="0" fontId="25" fillId="10" borderId="7151" applyNumberFormat="0" applyProtection="0">
      <alignment horizontal="left" vertical="top"/>
    </xf>
    <xf numFmtId="0" fontId="25" fillId="10" borderId="7152" applyNumberFormat="0" applyProtection="0">
      <alignment horizontal="left" vertical="top"/>
    </xf>
    <xf numFmtId="0" fontId="25" fillId="10" borderId="7153" applyNumberFormat="0" applyProtection="0">
      <alignment horizontal="left" vertical="top"/>
    </xf>
    <xf numFmtId="0" fontId="25" fillId="10" borderId="7150" applyNumberFormat="0" applyProtection="0">
      <alignment horizontal="left" vertical="top"/>
    </xf>
    <xf numFmtId="0" fontId="25" fillId="10" borderId="7151" applyNumberFormat="0" applyProtection="0">
      <alignment horizontal="left" vertical="top"/>
    </xf>
    <xf numFmtId="0" fontId="25" fillId="10" borderId="7152" applyNumberFormat="0" applyProtection="0">
      <alignment horizontal="left" vertical="top"/>
    </xf>
    <xf numFmtId="0" fontId="25" fillId="10" borderId="7153" applyNumberFormat="0" applyProtection="0">
      <alignment horizontal="left" vertical="top"/>
    </xf>
    <xf numFmtId="254" fontId="240" fillId="0" borderId="7167" applyBorder="0" applyProtection="0">
      <alignment horizontal="right" vertical="center"/>
    </xf>
    <xf numFmtId="0" fontId="241" fillId="94" borderId="7167" applyBorder="0" applyProtection="0">
      <alignment horizontal="centerContinuous" vertical="center"/>
    </xf>
    <xf numFmtId="246" fontId="249" fillId="0" borderId="7167" applyFill="0" applyProtection="0">
      <alignment horizontal="center"/>
    </xf>
    <xf numFmtId="246" fontId="250" fillId="0" borderId="7167" applyFill="0" applyProtection="0">
      <alignment horizontal="center"/>
    </xf>
    <xf numFmtId="312" fontId="101" fillId="0" borderId="7167" applyBorder="0"/>
    <xf numFmtId="312" fontId="113" fillId="0" borderId="7167" applyNumberFormat="0" applyFill="0" applyAlignment="0" applyProtection="0"/>
    <xf numFmtId="312" fontId="75" fillId="0" borderId="7144" applyNumberFormat="0" applyFont="0" applyFill="0" applyAlignment="0" applyProtection="0"/>
    <xf numFmtId="312" fontId="12" fillId="0" borderId="7167" applyNumberFormat="0" applyFill="0" applyBorder="0" applyAlignment="0" applyProtection="0">
      <alignment horizontal="center"/>
    </xf>
    <xf numFmtId="312" fontId="165" fillId="0" borderId="7167" applyFill="0" applyProtection="0">
      <alignment horizontal="center"/>
    </xf>
    <xf numFmtId="312" fontId="242" fillId="0" borderId="7167">
      <alignment horizontal="center"/>
    </xf>
    <xf numFmtId="312" fontId="210" fillId="0" borderId="7167" applyNumberFormat="0" applyFill="0" applyBorder="0" applyAlignment="0">
      <protection locked="0"/>
    </xf>
    <xf numFmtId="312" fontId="2" fillId="0" borderId="7148" applyNumberFormat="0" applyAlignment="0" applyProtection="0"/>
    <xf numFmtId="312" fontId="214" fillId="0" borderId="7149" applyNumberFormat="0" applyFont="0" applyFill="0" applyAlignment="0" applyProtection="0"/>
    <xf numFmtId="312" fontId="25" fillId="10" borderId="7150" applyNumberFormat="0" applyProtection="0">
      <alignment horizontal="left" vertical="top"/>
    </xf>
    <xf numFmtId="312" fontId="25" fillId="10" borderId="7151" applyNumberFormat="0" applyProtection="0">
      <alignment horizontal="left" vertical="top"/>
    </xf>
    <xf numFmtId="312" fontId="25" fillId="10" borderId="7152" applyNumberFormat="0" applyProtection="0">
      <alignment horizontal="left" vertical="top"/>
    </xf>
    <xf numFmtId="312" fontId="25" fillId="10" borderId="7153" applyNumberFormat="0" applyProtection="0">
      <alignment horizontal="left" vertical="top"/>
    </xf>
    <xf numFmtId="312" fontId="241" fillId="94" borderId="7167" applyBorder="0" applyProtection="0">
      <alignment horizontal="centerContinuous" vertical="center"/>
    </xf>
    <xf numFmtId="246" fontId="296" fillId="0" borderId="7167" applyFill="0" applyProtection="0">
      <alignment horizontal="center"/>
    </xf>
    <xf numFmtId="312" fontId="101" fillId="0" borderId="7167" applyBorder="0"/>
    <xf numFmtId="312" fontId="113" fillId="0" borderId="7167" applyNumberFormat="0" applyFill="0" applyAlignment="0" applyProtection="0"/>
    <xf numFmtId="312" fontId="75" fillId="0" borderId="7144" applyNumberFormat="0" applyFont="0" applyFill="0" applyAlignment="0" applyProtection="0"/>
    <xf numFmtId="312" fontId="12" fillId="0" borderId="7167" applyNumberFormat="0" applyFill="0" applyBorder="0" applyAlignment="0" applyProtection="0">
      <alignment horizontal="center"/>
    </xf>
    <xf numFmtId="312" fontId="165" fillId="0" borderId="7167" applyFill="0" applyProtection="0">
      <alignment horizontal="center"/>
    </xf>
    <xf numFmtId="312" fontId="242" fillId="0" borderId="7167">
      <alignment horizontal="center"/>
    </xf>
    <xf numFmtId="312" fontId="210" fillId="0" borderId="7167" applyNumberFormat="0" applyFill="0" applyBorder="0" applyAlignment="0">
      <protection locked="0"/>
    </xf>
    <xf numFmtId="312" fontId="2" fillId="0" borderId="7148" applyNumberFormat="0" applyAlignment="0" applyProtection="0"/>
    <xf numFmtId="312" fontId="214" fillId="0" borderId="7149" applyNumberFormat="0" applyFont="0" applyFill="0" applyAlignment="0" applyProtection="0"/>
    <xf numFmtId="312" fontId="25" fillId="10" borderId="7150" applyNumberFormat="0" applyProtection="0">
      <alignment horizontal="left" vertical="top"/>
    </xf>
    <xf numFmtId="312" fontId="25" fillId="10" borderId="7151" applyNumberFormat="0" applyProtection="0">
      <alignment horizontal="left" vertical="top"/>
    </xf>
    <xf numFmtId="312" fontId="25" fillId="10" borderId="7152" applyNumberFormat="0" applyProtection="0">
      <alignment horizontal="left" vertical="top"/>
    </xf>
    <xf numFmtId="312" fontId="25" fillId="10" borderId="7153" applyNumberFormat="0" applyProtection="0">
      <alignment horizontal="left" vertical="top"/>
    </xf>
    <xf numFmtId="312" fontId="25" fillId="10" borderId="7150" applyNumberFormat="0" applyProtection="0">
      <alignment horizontal="left" vertical="top"/>
    </xf>
    <xf numFmtId="312" fontId="25" fillId="10" borderId="7151" applyNumberFormat="0" applyProtection="0">
      <alignment horizontal="left" vertical="top"/>
    </xf>
    <xf numFmtId="312" fontId="25" fillId="10" borderId="7152" applyNumberFormat="0" applyProtection="0">
      <alignment horizontal="left" vertical="top"/>
    </xf>
    <xf numFmtId="312" fontId="25" fillId="10" borderId="7153" applyNumberFormat="0" applyProtection="0">
      <alignment horizontal="left" vertical="top"/>
    </xf>
    <xf numFmtId="312" fontId="241" fillId="94" borderId="7167" applyBorder="0" applyProtection="0">
      <alignment horizontal="centerContinuous" vertical="center"/>
    </xf>
    <xf numFmtId="246" fontId="296" fillId="0" borderId="7167" applyFill="0" applyProtection="0">
      <alignment horizontal="center"/>
    </xf>
    <xf numFmtId="246" fontId="250" fillId="0" borderId="7167" applyFill="0" applyProtection="0">
      <alignment horizontal="center"/>
    </xf>
    <xf numFmtId="246" fontId="249" fillId="0" borderId="7167" applyFill="0" applyProtection="0">
      <alignment horizontal="center"/>
    </xf>
    <xf numFmtId="0" fontId="241" fillId="94" borderId="7167" applyBorder="0" applyProtection="0">
      <alignment horizontal="centerContinuous" vertical="center"/>
    </xf>
    <xf numFmtId="254" fontId="240" fillId="0" borderId="7167" applyBorder="0" applyProtection="0">
      <alignment horizontal="right" vertical="center"/>
    </xf>
    <xf numFmtId="0" fontId="25" fillId="10" borderId="7165" applyNumberFormat="0" applyProtection="0">
      <alignment horizontal="left" vertical="top"/>
    </xf>
    <xf numFmtId="0" fontId="25" fillId="10" borderId="7164" applyNumberFormat="0" applyProtection="0">
      <alignment horizontal="left" vertical="top"/>
    </xf>
    <xf numFmtId="0" fontId="25" fillId="10" borderId="7163" applyNumberFormat="0" applyProtection="0">
      <alignment horizontal="left" vertical="top"/>
    </xf>
    <xf numFmtId="0" fontId="25" fillId="10" borderId="7162" applyNumberFormat="0" applyProtection="0">
      <alignment horizontal="left" vertical="top"/>
    </xf>
    <xf numFmtId="0" fontId="214" fillId="0" borderId="7161" applyNumberFormat="0" applyFont="0" applyFill="0" applyAlignment="0" applyProtection="0"/>
    <xf numFmtId="0" fontId="2" fillId="0" borderId="7160" applyNumberFormat="0" applyAlignment="0" applyProtection="0"/>
    <xf numFmtId="0" fontId="210" fillId="0" borderId="7167" applyNumberFormat="0" applyFill="0" applyBorder="0" applyAlignment="0">
      <protection locked="0"/>
    </xf>
    <xf numFmtId="264" fontId="12" fillId="14" borderId="7167" applyFont="0" applyFill="0" applyBorder="0" applyAlignment="0" applyProtection="0">
      <alignment horizontal="right"/>
    </xf>
    <xf numFmtId="0" fontId="166" fillId="0" borderId="7167">
      <alignment horizontal="center"/>
    </xf>
    <xf numFmtId="0" fontId="165" fillId="0" borderId="7167" applyFill="0" applyProtection="0">
      <alignment horizontal="center"/>
    </xf>
    <xf numFmtId="186" fontId="140" fillId="3" borderId="7159">
      <alignment horizontal="center" vertical="center"/>
    </xf>
    <xf numFmtId="186" fontId="146" fillId="3" borderId="7158">
      <alignment horizontal="left"/>
    </xf>
    <xf numFmtId="186" fontId="146" fillId="3" borderId="7167" applyBorder="0">
      <alignment horizontal="left" vertical="center"/>
    </xf>
    <xf numFmtId="180" fontId="9" fillId="3" borderId="7167">
      <alignment horizontal="right" vertical="center"/>
    </xf>
    <xf numFmtId="192" fontId="9" fillId="3" borderId="7167">
      <alignment horizontal="right" vertical="center"/>
    </xf>
    <xf numFmtId="248" fontId="46" fillId="0" borderId="7167"/>
    <xf numFmtId="0" fontId="78" fillId="14" borderId="7157" applyFont="0" applyFill="0" applyBorder="0" applyAlignment="0" applyProtection="0"/>
    <xf numFmtId="0" fontId="12" fillId="0" borderId="7167" applyNumberFormat="0" applyFill="0" applyBorder="0" applyAlignment="0" applyProtection="0">
      <alignment horizontal="center"/>
    </xf>
    <xf numFmtId="0" fontId="75" fillId="0" borderId="7156" applyNumberFormat="0" applyFont="0" applyFill="0" applyAlignment="0" applyProtection="0"/>
    <xf numFmtId="0" fontId="113" fillId="0" borderId="7167" applyNumberFormat="0" applyFill="0" applyAlignment="0" applyProtection="0"/>
    <xf numFmtId="222" fontId="79" fillId="0" borderId="7166" applyBorder="0"/>
    <xf numFmtId="0" fontId="101" fillId="0" borderId="7167" applyBorder="0"/>
    <xf numFmtId="0" fontId="25" fillId="10" borderId="7174" applyNumberFormat="0" applyProtection="0">
      <alignment horizontal="left" vertical="top"/>
    </xf>
    <xf numFmtId="0" fontId="25" fillId="10" borderId="7175" applyNumberFormat="0" applyProtection="0">
      <alignment horizontal="left" vertical="top"/>
    </xf>
    <xf numFmtId="0" fontId="25" fillId="10" borderId="7176" applyNumberFormat="0" applyProtection="0">
      <alignment horizontal="left" vertical="top"/>
    </xf>
    <xf numFmtId="0" fontId="25" fillId="10" borderId="7177" applyNumberFormat="0" applyProtection="0">
      <alignment horizontal="left" vertical="top"/>
    </xf>
    <xf numFmtId="246" fontId="250" fillId="0" borderId="7155" applyFill="0" applyProtection="0">
      <alignment horizontal="center"/>
    </xf>
    <xf numFmtId="246" fontId="249" fillId="0" borderId="7155" applyFill="0" applyProtection="0">
      <alignment horizontal="center"/>
    </xf>
    <xf numFmtId="0" fontId="241" fillId="94" borderId="7155" applyBorder="0" applyProtection="0">
      <alignment horizontal="centerContinuous" vertical="center"/>
    </xf>
    <xf numFmtId="254" fontId="240" fillId="0" borderId="7155" applyBorder="0" applyProtection="0">
      <alignment horizontal="right" vertical="center"/>
    </xf>
    <xf numFmtId="0" fontId="210" fillId="0" borderId="7155" applyNumberFormat="0" applyFill="0" applyBorder="0" applyAlignment="0">
      <protection locked="0"/>
    </xf>
    <xf numFmtId="264" fontId="12" fillId="14" borderId="7155" applyFont="0" applyFill="0" applyBorder="0" applyAlignment="0" applyProtection="0">
      <alignment horizontal="right"/>
    </xf>
    <xf numFmtId="0" fontId="166" fillId="0" borderId="7155">
      <alignment horizontal="center"/>
    </xf>
    <xf numFmtId="0" fontId="165" fillId="0" borderId="7155" applyFill="0" applyProtection="0">
      <alignment horizontal="center"/>
    </xf>
    <xf numFmtId="186" fontId="146" fillId="3" borderId="7155" applyBorder="0">
      <alignment horizontal="left" vertical="center"/>
    </xf>
    <xf numFmtId="180" fontId="9" fillId="3" borderId="7155">
      <alignment horizontal="right" vertical="center"/>
    </xf>
    <xf numFmtId="192" fontId="9" fillId="3" borderId="7155">
      <alignment horizontal="right" vertical="center"/>
    </xf>
    <xf numFmtId="248" fontId="46" fillId="0" borderId="7155"/>
    <xf numFmtId="0" fontId="12" fillId="0" borderId="7155" applyNumberFormat="0" applyFill="0" applyBorder="0" applyAlignment="0" applyProtection="0">
      <alignment horizontal="center"/>
    </xf>
    <xf numFmtId="0" fontId="113" fillId="0" borderId="7155" applyNumberFormat="0" applyFill="0" applyAlignment="0" applyProtection="0"/>
    <xf numFmtId="222" fontId="79" fillId="0" borderId="7154" applyBorder="0"/>
    <xf numFmtId="0" fontId="101" fillId="0" borderId="7155" applyBorder="0"/>
    <xf numFmtId="246" fontId="250" fillId="0" borderId="7155" applyFill="0" applyProtection="0">
      <alignment horizontal="center"/>
    </xf>
    <xf numFmtId="246" fontId="249" fillId="0" borderId="7155" applyFill="0" applyProtection="0">
      <alignment horizontal="center"/>
    </xf>
    <xf numFmtId="0" fontId="241" fillId="94" borderId="7155" applyBorder="0" applyProtection="0">
      <alignment horizontal="centerContinuous" vertical="center"/>
    </xf>
    <xf numFmtId="254" fontId="240" fillId="0" borderId="7155" applyBorder="0" applyProtection="0">
      <alignment horizontal="right" vertical="center"/>
    </xf>
    <xf numFmtId="0" fontId="210" fillId="0" borderId="7155" applyNumberFormat="0" applyFill="0" applyBorder="0" applyAlignment="0">
      <protection locked="0"/>
    </xf>
    <xf numFmtId="264" fontId="12" fillId="14" borderId="7155" applyFont="0" applyFill="0" applyBorder="0" applyAlignment="0" applyProtection="0">
      <alignment horizontal="right"/>
    </xf>
    <xf numFmtId="0" fontId="166" fillId="0" borderId="7155">
      <alignment horizontal="center"/>
    </xf>
    <xf numFmtId="0" fontId="165" fillId="0" borderId="7155" applyFill="0" applyProtection="0">
      <alignment horizontal="center"/>
    </xf>
    <xf numFmtId="186" fontId="146" fillId="3" borderId="7155" applyBorder="0">
      <alignment horizontal="left" vertical="center"/>
    </xf>
    <xf numFmtId="180" fontId="9" fillId="3" borderId="7155">
      <alignment horizontal="right" vertical="center"/>
    </xf>
    <xf numFmtId="192" fontId="9" fillId="3" borderId="7155">
      <alignment horizontal="right" vertical="center"/>
    </xf>
    <xf numFmtId="0" fontId="12" fillId="0" borderId="7155" applyNumberFormat="0" applyFill="0" applyBorder="0" applyAlignment="0" applyProtection="0">
      <alignment horizontal="center"/>
    </xf>
    <xf numFmtId="0" fontId="113" fillId="0" borderId="7155" applyNumberFormat="0" applyFill="0" applyAlignment="0" applyProtection="0"/>
    <xf numFmtId="222" fontId="79" fillId="0" borderId="7154" applyBorder="0"/>
    <xf numFmtId="0" fontId="101" fillId="0" borderId="7155" applyBorder="0"/>
    <xf numFmtId="248" fontId="46" fillId="0" borderId="7155"/>
    <xf numFmtId="246" fontId="250" fillId="0" borderId="7155" applyFill="0" applyProtection="0">
      <alignment horizontal="center"/>
    </xf>
    <xf numFmtId="246" fontId="249" fillId="0" borderId="7155" applyFill="0" applyProtection="0">
      <alignment horizontal="center"/>
    </xf>
    <xf numFmtId="0" fontId="241" fillId="94" borderId="7155" applyBorder="0" applyProtection="0">
      <alignment horizontal="centerContinuous" vertical="center"/>
    </xf>
    <xf numFmtId="254" fontId="240" fillId="0" borderId="7155" applyBorder="0" applyProtection="0">
      <alignment horizontal="right" vertical="center"/>
    </xf>
    <xf numFmtId="0" fontId="210" fillId="0" borderId="7155" applyNumberFormat="0" applyFill="0" applyBorder="0" applyAlignment="0">
      <protection locked="0"/>
    </xf>
    <xf numFmtId="264" fontId="12" fillId="14" borderId="7155" applyFont="0" applyFill="0" applyBorder="0" applyAlignment="0" applyProtection="0">
      <alignment horizontal="right"/>
    </xf>
    <xf numFmtId="0" fontId="166" fillId="0" borderId="7155">
      <alignment horizontal="center"/>
    </xf>
    <xf numFmtId="0" fontId="165" fillId="0" borderId="7155" applyFill="0" applyProtection="0">
      <alignment horizontal="center"/>
    </xf>
    <xf numFmtId="186" fontId="146" fillId="3" borderId="7155" applyBorder="0">
      <alignment horizontal="left" vertical="center"/>
    </xf>
    <xf numFmtId="180" fontId="9" fillId="3" borderId="7155">
      <alignment horizontal="right" vertical="center"/>
    </xf>
    <xf numFmtId="192" fontId="9" fillId="3" borderId="7155">
      <alignment horizontal="right" vertical="center"/>
    </xf>
    <xf numFmtId="248" fontId="46" fillId="0" borderId="7155"/>
    <xf numFmtId="0" fontId="12" fillId="0" borderId="7155" applyNumberFormat="0" applyFill="0" applyBorder="0" applyAlignment="0" applyProtection="0">
      <alignment horizontal="center"/>
    </xf>
    <xf numFmtId="0" fontId="113" fillId="0" borderId="7155" applyNumberFormat="0" applyFill="0" applyAlignment="0" applyProtection="0"/>
    <xf numFmtId="222" fontId="79" fillId="0" borderId="7154" applyBorder="0"/>
    <xf numFmtId="0" fontId="101" fillId="0" borderId="7155" applyBorder="0"/>
    <xf numFmtId="190" fontId="25" fillId="10" borderId="7222" applyNumberFormat="0" applyProtection="0">
      <alignment horizontal="left" vertical="top"/>
    </xf>
    <xf numFmtId="190" fontId="25" fillId="10" borderId="7223" applyNumberFormat="0" applyProtection="0">
      <alignment horizontal="left" vertical="top"/>
    </xf>
    <xf numFmtId="190" fontId="25" fillId="10" borderId="7224" applyNumberFormat="0" applyProtection="0">
      <alignment horizontal="left" vertical="top"/>
    </xf>
    <xf numFmtId="190" fontId="25" fillId="10" borderId="7225" applyNumberFormat="0" applyProtection="0">
      <alignment horizontal="left" vertical="top"/>
    </xf>
    <xf numFmtId="190" fontId="241" fillId="94" borderId="7239" applyBorder="0" applyProtection="0">
      <alignment horizontal="centerContinuous" vertical="center"/>
    </xf>
    <xf numFmtId="222" fontId="79" fillId="0" borderId="7238" applyBorder="0"/>
    <xf numFmtId="0" fontId="101" fillId="0" borderId="7239" applyBorder="0"/>
    <xf numFmtId="222" fontId="79" fillId="0" borderId="7238" applyBorder="0"/>
    <xf numFmtId="0" fontId="113" fillId="0" borderId="7239" applyNumberFormat="0" applyFill="0" applyAlignment="0" applyProtection="0"/>
    <xf numFmtId="0" fontId="75" fillId="0" borderId="7216" applyNumberFormat="0" applyFont="0" applyFill="0" applyAlignment="0" applyProtection="0"/>
    <xf numFmtId="0" fontId="12" fillId="0" borderId="7239" applyNumberFormat="0" applyFill="0" applyBorder="0" applyAlignment="0" applyProtection="0">
      <alignment horizontal="center"/>
    </xf>
    <xf numFmtId="248" fontId="46" fillId="0" borderId="7239"/>
    <xf numFmtId="192" fontId="9" fillId="3" borderId="7239">
      <alignment horizontal="right" vertical="center"/>
    </xf>
    <xf numFmtId="180" fontId="9" fillId="3" borderId="7239">
      <alignment horizontal="right" vertical="center"/>
    </xf>
    <xf numFmtId="186" fontId="146" fillId="3" borderId="7239" applyBorder="0">
      <alignment horizontal="left" vertical="center"/>
    </xf>
    <xf numFmtId="186" fontId="146" fillId="3" borderId="7218">
      <alignment horizontal="left"/>
    </xf>
    <xf numFmtId="186" fontId="140" fillId="3" borderId="7219">
      <alignment horizontal="center" vertical="center"/>
    </xf>
    <xf numFmtId="0" fontId="165" fillId="0" borderId="7239" applyFill="0" applyProtection="0">
      <alignment horizontal="center"/>
    </xf>
    <xf numFmtId="0" fontId="166" fillId="0" borderId="7239">
      <alignment horizontal="center"/>
    </xf>
    <xf numFmtId="264" fontId="12" fillId="14" borderId="7239" applyFont="0" applyFill="0" applyBorder="0" applyAlignment="0" applyProtection="0">
      <alignment horizontal="right"/>
    </xf>
    <xf numFmtId="0" fontId="210" fillId="0" borderId="7239" applyNumberFormat="0" applyFill="0" applyBorder="0" applyAlignment="0">
      <protection locked="0"/>
    </xf>
    <xf numFmtId="0" fontId="2" fillId="0" borderId="7220" applyNumberFormat="0" applyAlignment="0" applyProtection="0"/>
    <xf numFmtId="0" fontId="214" fillId="0" borderId="7221" applyNumberFormat="0" applyFont="0" applyFill="0" applyAlignment="0" applyProtection="0"/>
    <xf numFmtId="0" fontId="25" fillId="10" borderId="7222" applyNumberFormat="0" applyProtection="0">
      <alignment horizontal="left" vertical="top"/>
    </xf>
    <xf numFmtId="0" fontId="25" fillId="10" borderId="7223" applyNumberFormat="0" applyProtection="0">
      <alignment horizontal="left" vertical="top"/>
    </xf>
    <xf numFmtId="0" fontId="25" fillId="10" borderId="7224" applyNumberFormat="0" applyProtection="0">
      <alignment horizontal="left" vertical="top"/>
    </xf>
    <xf numFmtId="0" fontId="25" fillId="10" borderId="7225" applyNumberFormat="0" applyProtection="0">
      <alignment horizontal="left" vertical="top"/>
    </xf>
    <xf numFmtId="0" fontId="25" fillId="10" borderId="7222" applyNumberFormat="0" applyProtection="0">
      <alignment horizontal="left" vertical="top"/>
    </xf>
    <xf numFmtId="0" fontId="25" fillId="10" borderId="7223" applyNumberFormat="0" applyProtection="0">
      <alignment horizontal="left" vertical="top"/>
    </xf>
    <xf numFmtId="0" fontId="25" fillId="10" borderId="7224" applyNumberFormat="0" applyProtection="0">
      <alignment horizontal="left" vertical="top"/>
    </xf>
    <xf numFmtId="0" fontId="25" fillId="10" borderId="7225" applyNumberFormat="0" applyProtection="0">
      <alignment horizontal="left" vertical="top"/>
    </xf>
    <xf numFmtId="254" fontId="240" fillId="0" borderId="7239" applyBorder="0" applyProtection="0">
      <alignment horizontal="right" vertical="center"/>
    </xf>
    <xf numFmtId="0" fontId="241" fillId="94" borderId="7239" applyBorder="0" applyProtection="0">
      <alignment horizontal="centerContinuous" vertical="center"/>
    </xf>
    <xf numFmtId="246" fontId="249" fillId="0" borderId="7239" applyFill="0" applyProtection="0">
      <alignment horizontal="center"/>
    </xf>
    <xf numFmtId="246" fontId="250" fillId="0" borderId="7239" applyFill="0" applyProtection="0">
      <alignment horizontal="center"/>
    </xf>
    <xf numFmtId="312" fontId="101" fillId="0" borderId="7239" applyBorder="0"/>
    <xf numFmtId="312" fontId="113" fillId="0" borderId="7239" applyNumberFormat="0" applyFill="0" applyAlignment="0" applyProtection="0"/>
    <xf numFmtId="312" fontId="75" fillId="0" borderId="7216" applyNumberFormat="0" applyFont="0" applyFill="0" applyAlignment="0" applyProtection="0"/>
    <xf numFmtId="312" fontId="12" fillId="0" borderId="7239" applyNumberFormat="0" applyFill="0" applyBorder="0" applyAlignment="0" applyProtection="0">
      <alignment horizontal="center"/>
    </xf>
    <xf numFmtId="312" fontId="78" fillId="14" borderId="7048" applyFont="0" applyFill="0" applyBorder="0" applyAlignment="0" applyProtection="0"/>
    <xf numFmtId="312" fontId="165" fillId="0" borderId="7239" applyFill="0" applyProtection="0">
      <alignment horizontal="center"/>
    </xf>
    <xf numFmtId="312" fontId="242" fillId="0" borderId="7239">
      <alignment horizontal="center"/>
    </xf>
    <xf numFmtId="312" fontId="210" fillId="0" borderId="7239" applyNumberFormat="0" applyFill="0" applyBorder="0" applyAlignment="0">
      <protection locked="0"/>
    </xf>
    <xf numFmtId="312" fontId="2" fillId="0" borderId="7220" applyNumberFormat="0" applyAlignment="0" applyProtection="0"/>
    <xf numFmtId="312" fontId="214" fillId="0" borderId="7221" applyNumberFormat="0" applyFont="0" applyFill="0" applyAlignment="0" applyProtection="0"/>
    <xf numFmtId="312" fontId="25" fillId="10" borderId="7222" applyNumberFormat="0" applyProtection="0">
      <alignment horizontal="left" vertical="top"/>
    </xf>
    <xf numFmtId="312" fontId="25" fillId="10" borderId="7223" applyNumberFormat="0" applyProtection="0">
      <alignment horizontal="left" vertical="top"/>
    </xf>
    <xf numFmtId="312" fontId="25" fillId="10" borderId="7224" applyNumberFormat="0" applyProtection="0">
      <alignment horizontal="left" vertical="top"/>
    </xf>
    <xf numFmtId="312" fontId="25" fillId="10" borderId="7225" applyNumberFormat="0" applyProtection="0">
      <alignment horizontal="left" vertical="top"/>
    </xf>
    <xf numFmtId="312" fontId="241" fillId="94" borderId="7239" applyBorder="0" applyProtection="0">
      <alignment horizontal="centerContinuous" vertical="center"/>
    </xf>
    <xf numFmtId="246" fontId="296" fillId="0" borderId="7239" applyFill="0" applyProtection="0">
      <alignment horizontal="center"/>
    </xf>
    <xf numFmtId="312" fontId="101" fillId="0" borderId="7239" applyBorder="0"/>
    <xf numFmtId="312" fontId="113" fillId="0" borderId="7239" applyNumberFormat="0" applyFill="0" applyAlignment="0" applyProtection="0"/>
    <xf numFmtId="312" fontId="75" fillId="0" borderId="7216" applyNumberFormat="0" applyFont="0" applyFill="0" applyAlignment="0" applyProtection="0"/>
    <xf numFmtId="312" fontId="12" fillId="0" borderId="7239" applyNumberFormat="0" applyFill="0" applyBorder="0" applyAlignment="0" applyProtection="0">
      <alignment horizontal="center"/>
    </xf>
    <xf numFmtId="312" fontId="78" fillId="14" borderId="7048" applyFont="0" applyFill="0" applyBorder="0" applyAlignment="0" applyProtection="0"/>
    <xf numFmtId="312" fontId="165" fillId="0" borderId="7239" applyFill="0" applyProtection="0">
      <alignment horizontal="center"/>
    </xf>
    <xf numFmtId="312" fontId="242" fillId="0" borderId="7239">
      <alignment horizontal="center"/>
    </xf>
    <xf numFmtId="312" fontId="210" fillId="0" borderId="7239" applyNumberFormat="0" applyFill="0" applyBorder="0" applyAlignment="0">
      <protection locked="0"/>
    </xf>
    <xf numFmtId="312" fontId="2" fillId="0" borderId="7220" applyNumberFormat="0" applyAlignment="0" applyProtection="0"/>
    <xf numFmtId="312" fontId="214" fillId="0" borderId="7221" applyNumberFormat="0" applyFont="0" applyFill="0" applyAlignment="0" applyProtection="0"/>
    <xf numFmtId="312" fontId="25" fillId="10" borderId="7222" applyNumberFormat="0" applyProtection="0">
      <alignment horizontal="left" vertical="top"/>
    </xf>
    <xf numFmtId="312" fontId="25" fillId="10" borderId="7223" applyNumberFormat="0" applyProtection="0">
      <alignment horizontal="left" vertical="top"/>
    </xf>
    <xf numFmtId="312" fontId="25" fillId="10" borderId="7224" applyNumberFormat="0" applyProtection="0">
      <alignment horizontal="left" vertical="top"/>
    </xf>
    <xf numFmtId="312" fontId="25" fillId="10" borderId="7225" applyNumberFormat="0" applyProtection="0">
      <alignment horizontal="left" vertical="top"/>
    </xf>
    <xf numFmtId="312" fontId="25" fillId="10" borderId="7222" applyNumberFormat="0" applyProtection="0">
      <alignment horizontal="left" vertical="top"/>
    </xf>
    <xf numFmtId="312" fontId="25" fillId="10" borderId="7223" applyNumberFormat="0" applyProtection="0">
      <alignment horizontal="left" vertical="top"/>
    </xf>
    <xf numFmtId="312" fontId="25" fillId="10" borderId="7224" applyNumberFormat="0" applyProtection="0">
      <alignment horizontal="left" vertical="top"/>
    </xf>
    <xf numFmtId="312" fontId="25" fillId="10" borderId="7225" applyNumberFormat="0" applyProtection="0">
      <alignment horizontal="left" vertical="top"/>
    </xf>
    <xf numFmtId="312" fontId="241" fillId="94" borderId="7239" applyBorder="0" applyProtection="0">
      <alignment horizontal="centerContinuous" vertical="center"/>
    </xf>
    <xf numFmtId="246" fontId="296" fillId="0" borderId="7239" applyFill="0" applyProtection="0">
      <alignment horizontal="center"/>
    </xf>
    <xf numFmtId="246" fontId="250" fillId="0" borderId="7239" applyFill="0" applyProtection="0">
      <alignment horizontal="center"/>
    </xf>
    <xf numFmtId="246" fontId="249" fillId="0" borderId="7239" applyFill="0" applyProtection="0">
      <alignment horizontal="center"/>
    </xf>
    <xf numFmtId="0" fontId="241" fillId="94" borderId="7239" applyBorder="0" applyProtection="0">
      <alignment horizontal="centerContinuous" vertical="center"/>
    </xf>
    <xf numFmtId="254" fontId="240" fillId="0" borderId="7239" applyBorder="0" applyProtection="0">
      <alignment horizontal="right" vertical="center"/>
    </xf>
    <xf numFmtId="0" fontId="25" fillId="10" borderId="7177" applyNumberFormat="0" applyProtection="0">
      <alignment horizontal="left" vertical="top"/>
    </xf>
    <xf numFmtId="0" fontId="25" fillId="10" borderId="7176" applyNumberFormat="0" applyProtection="0">
      <alignment horizontal="left" vertical="top"/>
    </xf>
    <xf numFmtId="0" fontId="25" fillId="10" borderId="7175" applyNumberFormat="0" applyProtection="0">
      <alignment horizontal="left" vertical="top"/>
    </xf>
    <xf numFmtId="0" fontId="25" fillId="10" borderId="7174" applyNumberFormat="0" applyProtection="0">
      <alignment horizontal="left" vertical="top"/>
    </xf>
    <xf numFmtId="0" fontId="214" fillId="0" borderId="7173" applyNumberFormat="0" applyFont="0" applyFill="0" applyAlignment="0" applyProtection="0"/>
    <xf numFmtId="0" fontId="2" fillId="0" borderId="7172" applyNumberFormat="0" applyAlignment="0" applyProtection="0"/>
    <xf numFmtId="0" fontId="210" fillId="0" borderId="7239" applyNumberFormat="0" applyFill="0" applyBorder="0" applyAlignment="0">
      <protection locked="0"/>
    </xf>
    <xf numFmtId="264" fontId="12" fillId="14" borderId="7239" applyFont="0" applyFill="0" applyBorder="0" applyAlignment="0" applyProtection="0">
      <alignment horizontal="right"/>
    </xf>
    <xf numFmtId="0" fontId="166" fillId="0" borderId="7239">
      <alignment horizontal="center"/>
    </xf>
    <xf numFmtId="0" fontId="165" fillId="0" borderId="7239" applyFill="0" applyProtection="0">
      <alignment horizontal="center"/>
    </xf>
    <xf numFmtId="186" fontId="140" fillId="3" borderId="7171">
      <alignment horizontal="center" vertical="center"/>
    </xf>
    <xf numFmtId="186" fontId="146" fillId="3" borderId="7170">
      <alignment horizontal="left"/>
    </xf>
    <xf numFmtId="186" fontId="146" fillId="3" borderId="7239" applyBorder="0">
      <alignment horizontal="left" vertical="center"/>
    </xf>
    <xf numFmtId="180" fontId="9" fillId="3" borderId="7239">
      <alignment horizontal="right" vertical="center"/>
    </xf>
    <xf numFmtId="192" fontId="9" fillId="3" borderId="7239">
      <alignment horizontal="right" vertical="center"/>
    </xf>
    <xf numFmtId="248" fontId="46" fillId="0" borderId="7239"/>
    <xf numFmtId="0" fontId="78" fillId="14" borderId="7169" applyFont="0" applyFill="0" applyBorder="0" applyAlignment="0" applyProtection="0"/>
    <xf numFmtId="0" fontId="12" fillId="0" borderId="7239" applyNumberFormat="0" applyFill="0" applyBorder="0" applyAlignment="0" applyProtection="0">
      <alignment horizontal="center"/>
    </xf>
    <xf numFmtId="0" fontId="75" fillId="0" borderId="7168" applyNumberFormat="0" applyFont="0" applyFill="0" applyAlignment="0" applyProtection="0"/>
    <xf numFmtId="0" fontId="113" fillId="0" borderId="7239" applyNumberFormat="0" applyFill="0" applyAlignment="0" applyProtection="0"/>
    <xf numFmtId="222" fontId="79" fillId="0" borderId="7238" applyBorder="0"/>
    <xf numFmtId="0" fontId="101" fillId="0" borderId="7239" applyBorder="0"/>
    <xf numFmtId="0" fontId="25" fillId="10" borderId="7246" applyNumberFormat="0" applyProtection="0">
      <alignment horizontal="left" vertical="top"/>
    </xf>
    <xf numFmtId="0" fontId="25" fillId="10" borderId="7247" applyNumberFormat="0" applyProtection="0">
      <alignment horizontal="left" vertical="top"/>
    </xf>
    <xf numFmtId="0" fontId="25" fillId="10" borderId="7248" applyNumberFormat="0" applyProtection="0">
      <alignment horizontal="left" vertical="top"/>
    </xf>
    <xf numFmtId="0" fontId="25" fillId="10" borderId="7249" applyNumberFormat="0" applyProtection="0">
      <alignment horizontal="left" vertical="top"/>
    </xf>
    <xf numFmtId="246" fontId="250" fillId="0" borderId="7179" applyFill="0" applyProtection="0">
      <alignment horizontal="center"/>
    </xf>
    <xf numFmtId="246" fontId="249" fillId="0" borderId="7179" applyFill="0" applyProtection="0">
      <alignment horizontal="center"/>
    </xf>
    <xf numFmtId="0" fontId="241" fillId="94" borderId="7179" applyBorder="0" applyProtection="0">
      <alignment horizontal="centerContinuous" vertical="center"/>
    </xf>
    <xf numFmtId="254" fontId="240" fillId="0" borderId="7179" applyBorder="0" applyProtection="0">
      <alignment horizontal="right" vertical="center"/>
    </xf>
    <xf numFmtId="0" fontId="210" fillId="0" borderId="7179" applyNumberFormat="0" applyFill="0" applyBorder="0" applyAlignment="0">
      <protection locked="0"/>
    </xf>
    <xf numFmtId="264" fontId="12" fillId="14" borderId="7179" applyFont="0" applyFill="0" applyBorder="0" applyAlignment="0" applyProtection="0">
      <alignment horizontal="right"/>
    </xf>
    <xf numFmtId="0" fontId="166" fillId="0" borderId="7179">
      <alignment horizontal="center"/>
    </xf>
    <xf numFmtId="0" fontId="165" fillId="0" borderId="7179" applyFill="0" applyProtection="0">
      <alignment horizontal="center"/>
    </xf>
    <xf numFmtId="186" fontId="146" fillId="3" borderId="7179" applyBorder="0">
      <alignment horizontal="left" vertical="center"/>
    </xf>
    <xf numFmtId="180" fontId="9" fillId="3" borderId="7179">
      <alignment horizontal="right" vertical="center"/>
    </xf>
    <xf numFmtId="192" fontId="9" fillId="3" borderId="7179">
      <alignment horizontal="right" vertical="center"/>
    </xf>
    <xf numFmtId="248" fontId="46" fillId="0" borderId="7179"/>
    <xf numFmtId="0" fontId="12" fillId="0" borderId="7179" applyNumberFormat="0" applyFill="0" applyBorder="0" applyAlignment="0" applyProtection="0">
      <alignment horizontal="center"/>
    </xf>
    <xf numFmtId="0" fontId="113" fillId="0" borderId="7179" applyNumberFormat="0" applyFill="0" applyAlignment="0" applyProtection="0"/>
    <xf numFmtId="222" fontId="79" fillId="0" borderId="7057" applyBorder="0"/>
    <xf numFmtId="0" fontId="101" fillId="0" borderId="7179" applyBorder="0"/>
    <xf numFmtId="246" fontId="250" fillId="0" borderId="7179" applyFill="0" applyProtection="0">
      <alignment horizontal="center"/>
    </xf>
    <xf numFmtId="246" fontId="249" fillId="0" borderId="7179" applyFill="0" applyProtection="0">
      <alignment horizontal="center"/>
    </xf>
    <xf numFmtId="0" fontId="241" fillId="94" borderId="7179" applyBorder="0" applyProtection="0">
      <alignment horizontal="centerContinuous" vertical="center"/>
    </xf>
    <xf numFmtId="254" fontId="240" fillId="0" borderId="7179" applyBorder="0" applyProtection="0">
      <alignment horizontal="right" vertical="center"/>
    </xf>
    <xf numFmtId="0" fontId="210" fillId="0" borderId="7179" applyNumberFormat="0" applyFill="0" applyBorder="0" applyAlignment="0">
      <protection locked="0"/>
    </xf>
    <xf numFmtId="264" fontId="12" fillId="14" borderId="7179" applyFont="0" applyFill="0" applyBorder="0" applyAlignment="0" applyProtection="0">
      <alignment horizontal="right"/>
    </xf>
    <xf numFmtId="0" fontId="166" fillId="0" borderId="7179">
      <alignment horizontal="center"/>
    </xf>
    <xf numFmtId="0" fontId="165" fillId="0" borderId="7179" applyFill="0" applyProtection="0">
      <alignment horizontal="center"/>
    </xf>
    <xf numFmtId="186" fontId="146" fillId="3" borderId="7179" applyBorder="0">
      <alignment horizontal="left" vertical="center"/>
    </xf>
    <xf numFmtId="180" fontId="9" fillId="3" borderId="7179">
      <alignment horizontal="right" vertical="center"/>
    </xf>
    <xf numFmtId="192" fontId="9" fillId="3" borderId="7179">
      <alignment horizontal="right" vertical="center"/>
    </xf>
    <xf numFmtId="0" fontId="12" fillId="0" borderId="7179" applyNumberFormat="0" applyFill="0" applyBorder="0" applyAlignment="0" applyProtection="0">
      <alignment horizontal="center"/>
    </xf>
    <xf numFmtId="0" fontId="113" fillId="0" borderId="7179" applyNumberFormat="0" applyFill="0" applyAlignment="0" applyProtection="0"/>
    <xf numFmtId="222" fontId="79" fillId="0" borderId="7057" applyBorder="0"/>
    <xf numFmtId="0" fontId="101" fillId="0" borderId="7179" applyBorder="0"/>
    <xf numFmtId="248" fontId="46" fillId="0" borderId="7179"/>
    <xf numFmtId="246" fontId="250" fillId="0" borderId="7179" applyFill="0" applyProtection="0">
      <alignment horizontal="center"/>
    </xf>
    <xf numFmtId="246" fontId="249" fillId="0" borderId="7179" applyFill="0" applyProtection="0">
      <alignment horizontal="center"/>
    </xf>
    <xf numFmtId="0" fontId="241" fillId="94" borderId="7179" applyBorder="0" applyProtection="0">
      <alignment horizontal="centerContinuous" vertical="center"/>
    </xf>
    <xf numFmtId="254" fontId="240" fillId="0" borderId="7179" applyBorder="0" applyProtection="0">
      <alignment horizontal="right" vertical="center"/>
    </xf>
    <xf numFmtId="0" fontId="210" fillId="0" borderId="7179" applyNumberFormat="0" applyFill="0" applyBorder="0" applyAlignment="0">
      <protection locked="0"/>
    </xf>
    <xf numFmtId="264" fontId="12" fillId="14" borderId="7179" applyFont="0" applyFill="0" applyBorder="0" applyAlignment="0" applyProtection="0">
      <alignment horizontal="right"/>
    </xf>
    <xf numFmtId="0" fontId="166" fillId="0" borderId="7179">
      <alignment horizontal="center"/>
    </xf>
    <xf numFmtId="0" fontId="165" fillId="0" borderId="7179" applyFill="0" applyProtection="0">
      <alignment horizontal="center"/>
    </xf>
    <xf numFmtId="186" fontId="146" fillId="3" borderId="7179" applyBorder="0">
      <alignment horizontal="left" vertical="center"/>
    </xf>
    <xf numFmtId="180" fontId="9" fillId="3" borderId="7179">
      <alignment horizontal="right" vertical="center"/>
    </xf>
    <xf numFmtId="192" fontId="9" fillId="3" borderId="7179">
      <alignment horizontal="right" vertical="center"/>
    </xf>
    <xf numFmtId="248" fontId="46" fillId="0" borderId="7179"/>
    <xf numFmtId="0" fontId="12" fillId="0" borderId="7179" applyNumberFormat="0" applyFill="0" applyBorder="0" applyAlignment="0" applyProtection="0">
      <alignment horizontal="center"/>
    </xf>
    <xf numFmtId="0" fontId="113" fillId="0" borderId="7179" applyNumberFormat="0" applyFill="0" applyAlignment="0" applyProtection="0"/>
    <xf numFmtId="222" fontId="79" fillId="0" borderId="7057" applyBorder="0"/>
    <xf numFmtId="0" fontId="101" fillId="0" borderId="7179" applyBorder="0"/>
    <xf numFmtId="222" fontId="79" fillId="0" borderId="7250" applyBorder="0"/>
    <xf numFmtId="0" fontId="101" fillId="0" borderId="7251" applyBorder="0"/>
    <xf numFmtId="222" fontId="79" fillId="0" borderId="7250" applyBorder="0"/>
    <xf numFmtId="0" fontId="113" fillId="0" borderId="7251" applyNumberFormat="0" applyFill="0" applyAlignment="0" applyProtection="0"/>
    <xf numFmtId="0" fontId="12" fillId="0" borderId="7251" applyNumberFormat="0" applyFill="0" applyBorder="0" applyAlignment="0" applyProtection="0">
      <alignment horizontal="center"/>
    </xf>
    <xf numFmtId="248" fontId="46" fillId="0" borderId="7251"/>
    <xf numFmtId="192" fontId="9" fillId="3" borderId="7251">
      <alignment horizontal="right" vertical="center"/>
    </xf>
    <xf numFmtId="180" fontId="9" fillId="3" borderId="7251">
      <alignment horizontal="right" vertical="center"/>
    </xf>
    <xf numFmtId="186" fontId="146" fillId="3" borderId="7251" applyBorder="0">
      <alignment horizontal="left" vertical="center"/>
    </xf>
    <xf numFmtId="0" fontId="165" fillId="0" borderId="7251" applyFill="0" applyProtection="0">
      <alignment horizontal="center"/>
    </xf>
    <xf numFmtId="0" fontId="166" fillId="0" borderId="7251">
      <alignment horizontal="center"/>
    </xf>
    <xf numFmtId="264" fontId="12" fillId="14" borderId="7251" applyFont="0" applyFill="0" applyBorder="0" applyAlignment="0" applyProtection="0">
      <alignment horizontal="right"/>
    </xf>
    <xf numFmtId="0" fontId="210" fillId="0" borderId="7251" applyNumberFormat="0" applyFill="0" applyBorder="0" applyAlignment="0">
      <protection locked="0"/>
    </xf>
    <xf numFmtId="254" fontId="240" fillId="0" borderId="7251" applyBorder="0" applyProtection="0">
      <alignment horizontal="right" vertical="center"/>
    </xf>
    <xf numFmtId="0" fontId="241" fillId="94" borderId="7251" applyBorder="0" applyProtection="0">
      <alignment horizontal="centerContinuous" vertical="center"/>
    </xf>
    <xf numFmtId="246" fontId="249" fillId="0" borderId="7251" applyFill="0" applyProtection="0">
      <alignment horizontal="center"/>
    </xf>
    <xf numFmtId="246" fontId="250" fillId="0" borderId="7251" applyFill="0" applyProtection="0">
      <alignment horizontal="center"/>
    </xf>
    <xf numFmtId="0" fontId="78" fillId="14" borderId="7253" applyFont="0" applyFill="0" applyBorder="0" applyAlignment="0" applyProtection="0"/>
    <xf numFmtId="0" fontId="25" fillId="10" borderId="7261" applyNumberFormat="0" applyProtection="0">
      <alignment horizontal="left" vertical="top"/>
    </xf>
    <xf numFmtId="0" fontId="25" fillId="10" borderId="7260" applyNumberFormat="0" applyProtection="0">
      <alignment horizontal="left" vertical="top"/>
    </xf>
    <xf numFmtId="0" fontId="25" fillId="10" borderId="7259" applyNumberFormat="0" applyProtection="0">
      <alignment horizontal="left" vertical="top"/>
    </xf>
    <xf numFmtId="0" fontId="25" fillId="10" borderId="7258" applyNumberFormat="0" applyProtection="0">
      <alignment horizontal="left" vertical="top"/>
    </xf>
    <xf numFmtId="0" fontId="214" fillId="0" borderId="7257" applyNumberFormat="0" applyFont="0" applyFill="0" applyAlignment="0" applyProtection="0"/>
    <xf numFmtId="0" fontId="2" fillId="0" borderId="7256" applyNumberFormat="0" applyAlignment="0" applyProtection="0"/>
    <xf numFmtId="186" fontId="140" fillId="3" borderId="7255">
      <alignment horizontal="center" vertical="center"/>
    </xf>
    <xf numFmtId="186" fontId="146" fillId="3" borderId="7254">
      <alignment horizontal="left"/>
    </xf>
    <xf numFmtId="0" fontId="75" fillId="0" borderId="7252" applyNumberFormat="0" applyFont="0" applyFill="0" applyAlignment="0" applyProtection="0"/>
    <xf numFmtId="222" fontId="79" fillId="0" borderId="7262" applyBorder="0"/>
    <xf numFmtId="0" fontId="101" fillId="0" borderId="7263" applyBorder="0"/>
    <xf numFmtId="222" fontId="79" fillId="0" borderId="7262" applyBorder="0"/>
    <xf numFmtId="0" fontId="113" fillId="0" borderId="7263" applyNumberFormat="0" applyFill="0" applyAlignment="0" applyProtection="0"/>
    <xf numFmtId="0" fontId="12" fillId="0" borderId="7263" applyNumberFormat="0" applyFill="0" applyBorder="0" applyAlignment="0" applyProtection="0">
      <alignment horizontal="center"/>
    </xf>
    <xf numFmtId="248" fontId="46" fillId="0" borderId="7263"/>
    <xf numFmtId="192" fontId="9" fillId="3" borderId="7263">
      <alignment horizontal="right" vertical="center"/>
    </xf>
    <xf numFmtId="180" fontId="9" fillId="3" borderId="7263">
      <alignment horizontal="right" vertical="center"/>
    </xf>
    <xf numFmtId="186" fontId="146" fillId="3" borderId="7263" applyBorder="0">
      <alignment horizontal="left" vertical="center"/>
    </xf>
    <xf numFmtId="0" fontId="165" fillId="0" borderId="7263" applyFill="0" applyProtection="0">
      <alignment horizontal="center"/>
    </xf>
    <xf numFmtId="0" fontId="166" fillId="0" borderId="7263">
      <alignment horizontal="center"/>
    </xf>
    <xf numFmtId="264" fontId="12" fillId="14" borderId="7263" applyFont="0" applyFill="0" applyBorder="0" applyAlignment="0" applyProtection="0">
      <alignment horizontal="right"/>
    </xf>
    <xf numFmtId="0" fontId="210" fillId="0" borderId="7263" applyNumberFormat="0" applyFill="0" applyBorder="0" applyAlignment="0">
      <protection locked="0"/>
    </xf>
    <xf numFmtId="254" fontId="240" fillId="0" borderId="7263" applyBorder="0" applyProtection="0">
      <alignment horizontal="right" vertical="center"/>
    </xf>
    <xf numFmtId="0" fontId="241" fillId="94" borderId="7263" applyBorder="0" applyProtection="0">
      <alignment horizontal="centerContinuous" vertical="center"/>
    </xf>
    <xf numFmtId="246" fontId="249" fillId="0" borderId="7263" applyFill="0" applyProtection="0">
      <alignment horizontal="center"/>
    </xf>
    <xf numFmtId="246" fontId="250" fillId="0" borderId="7263" applyFill="0" applyProtection="0">
      <alignment horizontal="center"/>
    </xf>
    <xf numFmtId="186" fontId="146" fillId="3" borderId="7266">
      <alignment horizontal="left"/>
    </xf>
    <xf numFmtId="0" fontId="75" fillId="0" borderId="7264" applyNumberFormat="0" applyFont="0" applyFill="0" applyAlignment="0" applyProtection="0"/>
    <xf numFmtId="0" fontId="113" fillId="0" borderId="7347" applyNumberFormat="0" applyFill="0" applyAlignment="0" applyProtection="0"/>
    <xf numFmtId="264" fontId="12" fillId="14" borderId="7347" applyFont="0" applyFill="0" applyBorder="0" applyAlignment="0" applyProtection="0">
      <alignment horizontal="right"/>
    </xf>
    <xf numFmtId="246" fontId="249" fillId="0" borderId="7347" applyFill="0" applyProtection="0">
      <alignment horizontal="center"/>
    </xf>
    <xf numFmtId="0" fontId="25" fillId="10" borderId="7273" applyNumberFormat="0" applyProtection="0">
      <alignment horizontal="left" vertical="top"/>
    </xf>
    <xf numFmtId="0" fontId="25" fillId="10" borderId="7271" applyNumberFormat="0" applyProtection="0">
      <alignment horizontal="left" vertical="top"/>
    </xf>
    <xf numFmtId="0" fontId="25" fillId="10" borderId="7272" applyNumberFormat="0" applyProtection="0">
      <alignment horizontal="left" vertical="top"/>
    </xf>
    <xf numFmtId="0" fontId="25" fillId="10" borderId="7270" applyNumberFormat="0" applyProtection="0">
      <alignment horizontal="left" vertical="top"/>
    </xf>
    <xf numFmtId="0" fontId="25" fillId="10" borderId="7273" applyNumberFormat="0" applyProtection="0">
      <alignment horizontal="left" vertical="top"/>
    </xf>
    <xf numFmtId="0" fontId="25" fillId="10" borderId="7272" applyNumberFormat="0" applyProtection="0">
      <alignment horizontal="left" vertical="top"/>
    </xf>
    <xf numFmtId="0" fontId="25" fillId="10" borderId="7271" applyNumberFormat="0" applyProtection="0">
      <alignment horizontal="left" vertical="top"/>
    </xf>
    <xf numFmtId="0" fontId="25" fillId="10" borderId="7270" applyNumberFormat="0" applyProtection="0">
      <alignment horizontal="left" vertical="top"/>
    </xf>
    <xf numFmtId="0" fontId="214" fillId="0" borderId="7269" applyNumberFormat="0" applyFont="0" applyFill="0" applyAlignment="0" applyProtection="0"/>
    <xf numFmtId="0" fontId="2" fillId="0" borderId="7268" applyNumberFormat="0" applyAlignment="0" applyProtection="0"/>
    <xf numFmtId="186" fontId="140" fillId="3" borderId="7267">
      <alignment horizontal="center" vertical="center"/>
    </xf>
    <xf numFmtId="186" fontId="140" fillId="3" borderId="7279">
      <alignment horizontal="center" vertical="center"/>
    </xf>
    <xf numFmtId="0" fontId="25" fillId="10" borderId="7282" applyNumberFormat="0" applyProtection="0">
      <alignment horizontal="left" vertical="top"/>
    </xf>
    <xf numFmtId="0" fontId="12" fillId="0" borderId="7347" applyNumberFormat="0" applyFill="0" applyBorder="0" applyAlignment="0" applyProtection="0">
      <alignment horizontal="center"/>
    </xf>
    <xf numFmtId="0" fontId="25" fillId="10" borderId="7344" applyNumberFormat="0" applyProtection="0">
      <alignment horizontal="left" vertical="top"/>
    </xf>
    <xf numFmtId="222" fontId="79" fillId="0" borderId="7334" applyBorder="0"/>
    <xf numFmtId="0" fontId="78" fillId="14" borderId="7337" applyFont="0" applyFill="0" applyBorder="0" applyAlignment="0" applyProtection="0"/>
    <xf numFmtId="222" fontId="79" fillId="0" borderId="7346" applyBorder="0"/>
    <xf numFmtId="0" fontId="101" fillId="0" borderId="7347" applyBorder="0"/>
    <xf numFmtId="222" fontId="79" fillId="0" borderId="7346" applyBorder="0"/>
    <xf numFmtId="248" fontId="46" fillId="0" borderId="7347"/>
    <xf numFmtId="192" fontId="9" fillId="3" borderId="7347">
      <alignment horizontal="right" vertical="center"/>
    </xf>
    <xf numFmtId="180" fontId="9" fillId="3" borderId="7347">
      <alignment horizontal="right" vertical="center"/>
    </xf>
    <xf numFmtId="186" fontId="146" fillId="3" borderId="7347" applyBorder="0">
      <alignment horizontal="left" vertical="center"/>
    </xf>
    <xf numFmtId="0" fontId="165" fillId="0" borderId="7347" applyFill="0" applyProtection="0">
      <alignment horizontal="center"/>
    </xf>
    <xf numFmtId="0" fontId="210" fillId="0" borderId="7347" applyNumberFormat="0" applyFill="0" applyBorder="0" applyAlignment="0">
      <protection locked="0"/>
    </xf>
    <xf numFmtId="254" fontId="240" fillId="0" borderId="7347" applyBorder="0" applyProtection="0">
      <alignment horizontal="right" vertical="center"/>
    </xf>
    <xf numFmtId="246" fontId="250" fillId="0" borderId="7347" applyFill="0" applyProtection="0">
      <alignment horizontal="center"/>
    </xf>
    <xf numFmtId="222" fontId="79" fillId="0" borderId="7286" applyBorder="0"/>
    <xf numFmtId="0" fontId="25" fillId="10" borderId="7283" applyNumberFormat="0" applyProtection="0">
      <alignment horizontal="left" vertical="top"/>
    </xf>
    <xf numFmtId="0" fontId="25" fillId="10" borderId="7285" applyNumberFormat="0" applyProtection="0">
      <alignment horizontal="left" vertical="top"/>
    </xf>
    <xf numFmtId="0" fontId="25" fillId="10" borderId="7282" applyNumberFormat="0" applyProtection="0">
      <alignment horizontal="left" vertical="top"/>
    </xf>
    <xf numFmtId="0" fontId="25" fillId="10" borderId="7283" applyNumberFormat="0" applyProtection="0">
      <alignment horizontal="left" vertical="top"/>
    </xf>
    <xf numFmtId="0" fontId="25" fillId="10" borderId="7284" applyNumberFormat="0" applyProtection="0">
      <alignment horizontal="left" vertical="top"/>
    </xf>
    <xf numFmtId="0" fontId="75" fillId="0" borderId="7288" applyNumberFormat="0" applyFont="0" applyFill="0" applyAlignment="0" applyProtection="0"/>
    <xf numFmtId="0" fontId="101" fillId="0" borderId="7299" applyBorder="0"/>
    <xf numFmtId="222" fontId="79" fillId="0" borderId="7298" applyBorder="0"/>
    <xf numFmtId="0" fontId="113" fillId="0" borderId="7299" applyNumberFormat="0" applyFill="0" applyAlignment="0" applyProtection="0"/>
    <xf numFmtId="0" fontId="12" fillId="0" borderId="7299" applyNumberFormat="0" applyFill="0" applyBorder="0" applyAlignment="0" applyProtection="0">
      <alignment horizontal="center"/>
    </xf>
    <xf numFmtId="248" fontId="46" fillId="0" borderId="7299"/>
    <xf numFmtId="192" fontId="9" fillId="3" borderId="7299">
      <alignment horizontal="right" vertical="center"/>
    </xf>
    <xf numFmtId="180" fontId="9" fillId="3" borderId="7299">
      <alignment horizontal="right" vertical="center"/>
    </xf>
    <xf numFmtId="186" fontId="146" fillId="3" borderId="7299" applyBorder="0">
      <alignment horizontal="left" vertical="center"/>
    </xf>
    <xf numFmtId="0" fontId="166" fillId="0" borderId="7299">
      <alignment horizontal="center"/>
    </xf>
    <xf numFmtId="0" fontId="210" fillId="0" borderId="7299" applyNumberFormat="0" applyFill="0" applyBorder="0" applyAlignment="0">
      <protection locked="0"/>
    </xf>
    <xf numFmtId="264" fontId="12" fillId="14" borderId="7299" applyFont="0" applyFill="0" applyBorder="0" applyAlignment="0" applyProtection="0">
      <alignment horizontal="right"/>
    </xf>
    <xf numFmtId="246" fontId="249" fillId="0" borderId="7299" applyFill="0" applyProtection="0">
      <alignment horizontal="center"/>
    </xf>
    <xf numFmtId="246" fontId="250" fillId="0" borderId="7299" applyFill="0" applyProtection="0">
      <alignment horizontal="center"/>
    </xf>
    <xf numFmtId="246" fontId="250" fillId="0" borderId="7323" applyFill="0" applyProtection="0">
      <alignment horizontal="center"/>
    </xf>
    <xf numFmtId="246" fontId="249" fillId="0" borderId="7323" applyFill="0" applyProtection="0">
      <alignment horizontal="center"/>
    </xf>
    <xf numFmtId="254" fontId="240" fillId="0" borderId="7323" applyBorder="0" applyProtection="0">
      <alignment horizontal="right" vertical="center"/>
    </xf>
    <xf numFmtId="264" fontId="12" fillId="14" borderId="7323" applyFont="0" applyFill="0" applyBorder="0" applyAlignment="0" applyProtection="0">
      <alignment horizontal="right"/>
    </xf>
    <xf numFmtId="0" fontId="165" fillId="0" borderId="7323" applyFill="0" applyProtection="0">
      <alignment horizontal="center"/>
    </xf>
    <xf numFmtId="180" fontId="9" fillId="3" borderId="7323">
      <alignment horizontal="right" vertical="center"/>
    </xf>
    <xf numFmtId="0" fontId="12" fillId="0" borderId="7323" applyNumberFormat="0" applyFill="0" applyBorder="0" applyAlignment="0" applyProtection="0">
      <alignment horizontal="center"/>
    </xf>
    <xf numFmtId="0" fontId="101" fillId="0" borderId="7323" applyBorder="0"/>
    <xf numFmtId="222" fontId="79" fillId="0" borderId="7322" applyBorder="0"/>
    <xf numFmtId="0" fontId="75" fillId="0" borderId="7312" applyNumberFormat="0" applyFont="0" applyFill="0" applyAlignment="0" applyProtection="0"/>
    <xf numFmtId="0" fontId="2" fillId="0" borderId="7316" applyNumberFormat="0" applyAlignment="0" applyProtection="0"/>
    <xf numFmtId="0" fontId="25" fillId="10" borderId="7318" applyNumberFormat="0" applyProtection="0">
      <alignment horizontal="left" vertical="top"/>
    </xf>
    <xf numFmtId="0" fontId="25" fillId="10" borderId="7321" applyNumberFormat="0" applyProtection="0">
      <alignment horizontal="left" vertical="top"/>
    </xf>
    <xf numFmtId="222" fontId="79" fillId="0" borderId="7310" applyBorder="0"/>
    <xf numFmtId="0" fontId="25" fillId="10" borderId="7296" applyNumberFormat="0" applyProtection="0">
      <alignment horizontal="left" vertical="top"/>
    </xf>
    <xf numFmtId="0" fontId="25" fillId="10" borderId="7294" applyNumberFormat="0" applyProtection="0">
      <alignment horizontal="left" vertical="top"/>
    </xf>
    <xf numFmtId="0" fontId="214" fillId="0" borderId="7293" applyNumberFormat="0" applyFont="0" applyFill="0" applyAlignment="0" applyProtection="0"/>
    <xf numFmtId="186" fontId="146" fillId="3" borderId="7290">
      <alignment horizontal="left"/>
    </xf>
    <xf numFmtId="222" fontId="79" fillId="0" borderId="7298" applyBorder="0"/>
    <xf numFmtId="0" fontId="101" fillId="0" borderId="7179" applyBorder="0"/>
    <xf numFmtId="0" fontId="113" fillId="0" borderId="7179" applyNumberFormat="0" applyFill="0" applyAlignment="0" applyProtection="0"/>
    <xf numFmtId="0" fontId="12" fillId="0" borderId="7179" applyNumberFormat="0" applyFill="0" applyBorder="0" applyAlignment="0" applyProtection="0">
      <alignment horizontal="center"/>
    </xf>
    <xf numFmtId="248" fontId="46" fillId="0" borderId="7179"/>
    <xf numFmtId="192" fontId="9" fillId="3" borderId="7179">
      <alignment horizontal="right" vertical="center"/>
    </xf>
    <xf numFmtId="180" fontId="9" fillId="3" borderId="7179">
      <alignment horizontal="right" vertical="center"/>
    </xf>
    <xf numFmtId="186" fontId="146" fillId="3" borderId="7179" applyBorder="0">
      <alignment horizontal="left" vertical="center"/>
    </xf>
    <xf numFmtId="0" fontId="165" fillId="0" borderId="7179" applyFill="0" applyProtection="0">
      <alignment horizontal="center"/>
    </xf>
    <xf numFmtId="0" fontId="166" fillId="0" borderId="7179">
      <alignment horizontal="center"/>
    </xf>
    <xf numFmtId="264" fontId="12" fillId="14" borderId="7179" applyFont="0" applyFill="0" applyBorder="0" applyAlignment="0" applyProtection="0">
      <alignment horizontal="right"/>
    </xf>
    <xf numFmtId="0" fontId="210" fillId="0" borderId="7179" applyNumberFormat="0" applyFill="0" applyBorder="0" applyAlignment="0">
      <protection locked="0"/>
    </xf>
    <xf numFmtId="248" fontId="46" fillId="0" borderId="7323"/>
    <xf numFmtId="222" fontId="79" fillId="0" borderId="7322" applyBorder="0"/>
    <xf numFmtId="186" fontId="140" fillId="3" borderId="7315">
      <alignment horizontal="center" vertical="center"/>
    </xf>
    <xf numFmtId="0" fontId="25" fillId="10" borderId="7320" applyNumberFormat="0" applyProtection="0">
      <alignment horizontal="left" vertical="top"/>
    </xf>
    <xf numFmtId="0" fontId="210" fillId="0" borderId="7323" applyNumberFormat="0" applyFill="0" applyBorder="0" applyAlignment="0">
      <protection locked="0"/>
    </xf>
    <xf numFmtId="192" fontId="9" fillId="3" borderId="7323">
      <alignment horizontal="right" vertical="center"/>
    </xf>
    <xf numFmtId="0" fontId="113" fillId="0" borderId="7323" applyNumberFormat="0" applyFill="0" applyAlignment="0" applyProtection="0"/>
    <xf numFmtId="186" fontId="146" fillId="3" borderId="7314">
      <alignment horizontal="left"/>
    </xf>
    <xf numFmtId="0" fontId="25" fillId="10" borderId="7319" applyNumberFormat="0" applyProtection="0">
      <alignment horizontal="left" vertical="top"/>
    </xf>
    <xf numFmtId="254" fontId="240" fillId="0" borderId="7179" applyBorder="0" applyProtection="0">
      <alignment horizontal="right" vertical="center"/>
    </xf>
    <xf numFmtId="0" fontId="241" fillId="94" borderId="7179" applyBorder="0" applyProtection="0">
      <alignment horizontal="centerContinuous" vertical="center"/>
    </xf>
    <xf numFmtId="246" fontId="249" fillId="0" borderId="7179" applyFill="0" applyProtection="0">
      <alignment horizontal="center"/>
    </xf>
    <xf numFmtId="246" fontId="250" fillId="0" borderId="7179" applyFill="0" applyProtection="0">
      <alignment horizontal="center"/>
    </xf>
    <xf numFmtId="0" fontId="25" fillId="10" borderId="7343" applyNumberFormat="0" applyProtection="0">
      <alignment horizontal="left" vertical="top"/>
    </xf>
    <xf numFmtId="0" fontId="25" fillId="10" borderId="7345" applyNumberFormat="0" applyProtection="0">
      <alignment horizontal="left" vertical="top"/>
    </xf>
    <xf numFmtId="222" fontId="79" fillId="0" borderId="7274" applyBorder="0"/>
    <xf numFmtId="0" fontId="214" fillId="0" borderId="7341" applyNumberFormat="0" applyFont="0" applyFill="0" applyAlignment="0" applyProtection="0"/>
    <xf numFmtId="0" fontId="75" fillId="0" borderId="7276" applyNumberFormat="0" applyFont="0" applyFill="0" applyAlignment="0" applyProtection="0"/>
    <xf numFmtId="0" fontId="25" fillId="10" borderId="7284" applyNumberFormat="0" applyProtection="0">
      <alignment horizontal="left" vertical="top"/>
    </xf>
    <xf numFmtId="0" fontId="25" fillId="10" borderId="7285" applyNumberFormat="0" applyProtection="0">
      <alignment horizontal="left" vertical="top"/>
    </xf>
    <xf numFmtId="0" fontId="165" fillId="0" borderId="7299" applyFill="0" applyProtection="0">
      <alignment horizontal="center"/>
    </xf>
    <xf numFmtId="254" fontId="240" fillId="0" borderId="7299" applyBorder="0" applyProtection="0">
      <alignment horizontal="right" vertical="center"/>
    </xf>
    <xf numFmtId="0" fontId="241" fillId="94" borderId="7299" applyBorder="0" applyProtection="0">
      <alignment horizontal="centerContinuous" vertical="center"/>
    </xf>
    <xf numFmtId="0" fontId="241" fillId="94" borderId="7323" applyBorder="0" applyProtection="0">
      <alignment horizontal="centerContinuous" vertical="center"/>
    </xf>
    <xf numFmtId="0" fontId="166" fillId="0" borderId="7323">
      <alignment horizontal="center"/>
    </xf>
    <xf numFmtId="186" fontId="146" fillId="3" borderId="7323" applyBorder="0">
      <alignment horizontal="left" vertical="center"/>
    </xf>
    <xf numFmtId="0" fontId="214" fillId="0" borderId="7317" applyNumberFormat="0" applyFont="0" applyFill="0" applyAlignment="0" applyProtection="0"/>
    <xf numFmtId="0" fontId="78" fillId="14" borderId="7313" applyFont="0" applyFill="0" applyBorder="0" applyAlignment="0" applyProtection="0"/>
    <xf numFmtId="0" fontId="78" fillId="14" borderId="7241" applyFont="0" applyFill="0" applyBorder="0" applyAlignment="0" applyProtection="0"/>
    <xf numFmtId="0" fontId="25" fillId="10" borderId="7177" applyNumberFormat="0" applyProtection="0">
      <alignment horizontal="left" vertical="top"/>
    </xf>
    <xf numFmtId="0" fontId="25" fillId="10" borderId="7176" applyNumberFormat="0" applyProtection="0">
      <alignment horizontal="left" vertical="top"/>
    </xf>
    <xf numFmtId="0" fontId="25" fillId="10" borderId="7175" applyNumberFormat="0" applyProtection="0">
      <alignment horizontal="left" vertical="top"/>
    </xf>
    <xf numFmtId="0" fontId="25" fillId="10" borderId="7174" applyNumberFormat="0" applyProtection="0">
      <alignment horizontal="left" vertical="top"/>
    </xf>
    <xf numFmtId="186" fontId="140" fillId="3" borderId="7339">
      <alignment horizontal="center" vertical="center"/>
    </xf>
    <xf numFmtId="0" fontId="214" fillId="0" borderId="7173" applyNumberFormat="0" applyFont="0" applyFill="0" applyAlignment="0" applyProtection="0"/>
    <xf numFmtId="0" fontId="2" fillId="0" borderId="7172" applyNumberFormat="0" applyAlignment="0" applyProtection="0"/>
    <xf numFmtId="186" fontId="140" fillId="3" borderId="7171">
      <alignment horizontal="center" vertical="center"/>
    </xf>
    <xf numFmtId="186" fontId="146" fillId="3" borderId="7170">
      <alignment horizontal="left"/>
    </xf>
    <xf numFmtId="186" fontId="146" fillId="3" borderId="7338">
      <alignment horizontal="left"/>
    </xf>
    <xf numFmtId="0" fontId="75" fillId="0" borderId="7168" applyNumberFormat="0" applyFont="0" applyFill="0" applyAlignment="0" applyProtection="0"/>
    <xf numFmtId="0" fontId="75" fillId="0" borderId="7336" applyNumberFormat="0" applyFont="0" applyFill="0" applyAlignment="0" applyProtection="0"/>
    <xf numFmtId="222" fontId="79" fillId="0" borderId="7250" applyBorder="0"/>
    <xf numFmtId="222" fontId="79" fillId="0" borderId="7250" applyBorder="0"/>
    <xf numFmtId="0" fontId="25" fillId="10" borderId="7342" applyNumberFormat="0" applyProtection="0">
      <alignment horizontal="left" vertical="top"/>
    </xf>
    <xf numFmtId="0" fontId="2" fillId="0" borderId="7340" applyNumberFormat="0" applyAlignment="0" applyProtection="0"/>
    <xf numFmtId="246" fontId="250" fillId="0" borderId="7275" applyFill="0" applyProtection="0">
      <alignment horizontal="center"/>
    </xf>
    <xf numFmtId="246" fontId="249" fillId="0" borderId="7275" applyFill="0" applyProtection="0">
      <alignment horizontal="center"/>
    </xf>
    <xf numFmtId="0" fontId="241" fillId="94" borderId="7275" applyBorder="0" applyProtection="0">
      <alignment horizontal="centerContinuous" vertical="center"/>
    </xf>
    <xf numFmtId="254" fontId="240" fillId="0" borderId="7275" applyBorder="0" applyProtection="0">
      <alignment horizontal="right" vertical="center"/>
    </xf>
    <xf numFmtId="0" fontId="210" fillId="0" borderId="7275" applyNumberFormat="0" applyFill="0" applyBorder="0" applyAlignment="0">
      <protection locked="0"/>
    </xf>
    <xf numFmtId="264" fontId="12" fillId="14" borderId="7275" applyFont="0" applyFill="0" applyBorder="0" applyAlignment="0" applyProtection="0">
      <alignment horizontal="right"/>
    </xf>
    <xf numFmtId="0" fontId="166" fillId="0" borderId="7275">
      <alignment horizontal="center"/>
    </xf>
    <xf numFmtId="0" fontId="165" fillId="0" borderId="7275" applyFill="0" applyProtection="0">
      <alignment horizontal="center"/>
    </xf>
    <xf numFmtId="186" fontId="146" fillId="3" borderId="7275" applyBorder="0">
      <alignment horizontal="left" vertical="center"/>
    </xf>
    <xf numFmtId="180" fontId="9" fillId="3" borderId="7275">
      <alignment horizontal="right" vertical="center"/>
    </xf>
    <xf numFmtId="192" fontId="9" fillId="3" borderId="7275">
      <alignment horizontal="right" vertical="center"/>
    </xf>
    <xf numFmtId="248" fontId="46" fillId="0" borderId="7275"/>
    <xf numFmtId="0" fontId="12" fillId="0" borderId="7275" applyNumberFormat="0" applyFill="0" applyBorder="0" applyAlignment="0" applyProtection="0">
      <alignment horizontal="center"/>
    </xf>
    <xf numFmtId="0" fontId="113" fillId="0" borderId="7275" applyNumberFormat="0" applyFill="0" applyAlignment="0" applyProtection="0"/>
    <xf numFmtId="222" fontId="79" fillId="0" borderId="7274" applyBorder="0"/>
    <xf numFmtId="0" fontId="101" fillId="0" borderId="7275" applyBorder="0"/>
    <xf numFmtId="222" fontId="79" fillId="0" borderId="7274" applyBorder="0"/>
    <xf numFmtId="0" fontId="75" fillId="0" borderId="7264" applyNumberFormat="0" applyFont="0" applyFill="0" applyAlignment="0" applyProtection="0"/>
    <xf numFmtId="186" fontId="146" fillId="3" borderId="7266">
      <alignment horizontal="left"/>
    </xf>
    <xf numFmtId="186" fontId="140" fillId="3" borderId="7267">
      <alignment horizontal="center" vertical="center"/>
    </xf>
    <xf numFmtId="0" fontId="2" fillId="0" borderId="7268" applyNumberFormat="0" applyAlignment="0" applyProtection="0"/>
    <xf numFmtId="0" fontId="214" fillId="0" borderId="7269" applyNumberFormat="0" applyFont="0" applyFill="0" applyAlignment="0" applyProtection="0"/>
    <xf numFmtId="0" fontId="25" fillId="10" borderId="7270" applyNumberFormat="0" applyProtection="0">
      <alignment horizontal="left" vertical="top"/>
    </xf>
    <xf numFmtId="0" fontId="25" fillId="10" borderId="7271" applyNumberFormat="0" applyProtection="0">
      <alignment horizontal="left" vertical="top"/>
    </xf>
    <xf numFmtId="0" fontId="25" fillId="10" borderId="7272" applyNumberFormat="0" applyProtection="0">
      <alignment horizontal="left" vertical="top"/>
    </xf>
    <xf numFmtId="0" fontId="25" fillId="10" borderId="7273" applyNumberFormat="0" applyProtection="0">
      <alignment horizontal="left" vertical="top"/>
    </xf>
    <xf numFmtId="0" fontId="78" fillId="14" borderId="7265" applyFont="0" applyFill="0" applyBorder="0" applyAlignment="0" applyProtection="0"/>
    <xf numFmtId="222" fontId="79" fillId="0" borderId="7262" applyBorder="0"/>
    <xf numFmtId="0" fontId="78" fillId="14" borderId="7241" applyFont="0" applyFill="0" applyBorder="0" applyAlignment="0" applyProtection="0"/>
    <xf numFmtId="222" fontId="79" fillId="0" borderId="7250" applyBorder="0"/>
    <xf numFmtId="0" fontId="78" fillId="14" borderId="7253" applyFont="0" applyFill="0" applyBorder="0" applyAlignment="0" applyProtection="0"/>
    <xf numFmtId="0" fontId="25" fillId="10" borderId="7261" applyNumberFormat="0" applyProtection="0">
      <alignment horizontal="left" vertical="top"/>
    </xf>
    <xf numFmtId="0" fontId="25" fillId="10" borderId="7260" applyNumberFormat="0" applyProtection="0">
      <alignment horizontal="left" vertical="top"/>
    </xf>
    <xf numFmtId="0" fontId="25" fillId="10" borderId="7259" applyNumberFormat="0" applyProtection="0">
      <alignment horizontal="left" vertical="top"/>
    </xf>
    <xf numFmtId="0" fontId="25" fillId="10" borderId="7258" applyNumberFormat="0" applyProtection="0">
      <alignment horizontal="left" vertical="top"/>
    </xf>
    <xf numFmtId="0" fontId="214" fillId="0" borderId="7257" applyNumberFormat="0" applyFont="0" applyFill="0" applyAlignment="0" applyProtection="0"/>
    <xf numFmtId="0" fontId="2" fillId="0" borderId="7172" applyNumberFormat="0" applyAlignment="0" applyProtection="0"/>
    <xf numFmtId="186" fontId="140" fillId="3" borderId="7255">
      <alignment horizontal="center" vertical="center"/>
    </xf>
    <xf numFmtId="186" fontId="146" fillId="3" borderId="7254">
      <alignment horizontal="left"/>
    </xf>
    <xf numFmtId="0" fontId="75" fillId="0" borderId="7252" applyNumberFormat="0" applyFont="0" applyFill="0" applyAlignment="0" applyProtection="0"/>
    <xf numFmtId="222" fontId="79" fillId="0" borderId="7262" applyBorder="0"/>
    <xf numFmtId="0" fontId="101" fillId="0" borderId="7263" applyBorder="0"/>
    <xf numFmtId="222" fontId="79" fillId="0" borderId="7262" applyBorder="0"/>
    <xf numFmtId="0" fontId="113" fillId="0" borderId="7263" applyNumberFormat="0" applyFill="0" applyAlignment="0" applyProtection="0"/>
    <xf numFmtId="0" fontId="12" fillId="0" borderId="7263" applyNumberFormat="0" applyFill="0" applyBorder="0" applyAlignment="0" applyProtection="0">
      <alignment horizontal="center"/>
    </xf>
    <xf numFmtId="248" fontId="46" fillId="0" borderId="7263"/>
    <xf numFmtId="192" fontId="9" fillId="3" borderId="7263">
      <alignment horizontal="right" vertical="center"/>
    </xf>
    <xf numFmtId="180" fontId="9" fillId="3" borderId="7263">
      <alignment horizontal="right" vertical="center"/>
    </xf>
    <xf numFmtId="186" fontId="146" fillId="3" borderId="7263" applyBorder="0">
      <alignment horizontal="left" vertical="center"/>
    </xf>
    <xf numFmtId="0" fontId="165" fillId="0" borderId="7263" applyFill="0" applyProtection="0">
      <alignment horizontal="center"/>
    </xf>
    <xf numFmtId="0" fontId="166" fillId="0" borderId="7263">
      <alignment horizontal="center"/>
    </xf>
    <xf numFmtId="264" fontId="12" fillId="14" borderId="7263" applyFont="0" applyFill="0" applyBorder="0" applyAlignment="0" applyProtection="0">
      <alignment horizontal="right"/>
    </xf>
    <xf numFmtId="0" fontId="210" fillId="0" borderId="7263" applyNumberFormat="0" applyFill="0" applyBorder="0" applyAlignment="0">
      <protection locked="0"/>
    </xf>
    <xf numFmtId="254" fontId="240" fillId="0" borderId="7263" applyBorder="0" applyProtection="0">
      <alignment horizontal="right" vertical="center"/>
    </xf>
    <xf numFmtId="0" fontId="241" fillId="94" borderId="7263" applyBorder="0" applyProtection="0">
      <alignment horizontal="centerContinuous" vertical="center"/>
    </xf>
    <xf numFmtId="246" fontId="249" fillId="0" borderId="7263" applyFill="0" applyProtection="0">
      <alignment horizontal="center"/>
    </xf>
    <xf numFmtId="246" fontId="250" fillId="0" borderId="7263" applyFill="0" applyProtection="0">
      <alignment horizontal="center"/>
    </xf>
    <xf numFmtId="0" fontId="241" fillId="94" borderId="7347" applyBorder="0" applyProtection="0">
      <alignment horizontal="centerContinuous" vertical="center"/>
    </xf>
    <xf numFmtId="0" fontId="166" fillId="0" borderId="7347">
      <alignment horizontal="center"/>
    </xf>
    <xf numFmtId="0" fontId="2" fillId="0" borderId="7280" applyNumberFormat="0" applyAlignment="0" applyProtection="0"/>
    <xf numFmtId="0" fontId="214" fillId="0" borderId="7281" applyNumberFormat="0" applyFont="0" applyFill="0" applyAlignment="0" applyProtection="0"/>
    <xf numFmtId="246" fontId="250" fillId="0" borderId="7287" applyFill="0" applyProtection="0">
      <alignment horizontal="center"/>
    </xf>
    <xf numFmtId="246" fontId="249" fillId="0" borderId="7287" applyFill="0" applyProtection="0">
      <alignment horizontal="center"/>
    </xf>
    <xf numFmtId="0" fontId="241" fillId="94" borderId="7287" applyBorder="0" applyProtection="0">
      <alignment horizontal="centerContinuous" vertical="center"/>
    </xf>
    <xf numFmtId="254" fontId="240" fillId="0" borderId="7287" applyBorder="0" applyProtection="0">
      <alignment horizontal="right" vertical="center"/>
    </xf>
    <xf numFmtId="0" fontId="210" fillId="0" borderId="7287" applyNumberFormat="0" applyFill="0" applyBorder="0" applyAlignment="0">
      <protection locked="0"/>
    </xf>
    <xf numFmtId="264" fontId="12" fillId="14" borderId="7287" applyFont="0" applyFill="0" applyBorder="0" applyAlignment="0" applyProtection="0">
      <alignment horizontal="right"/>
    </xf>
    <xf numFmtId="0" fontId="166" fillId="0" borderId="7287">
      <alignment horizontal="center"/>
    </xf>
    <xf numFmtId="0" fontId="165" fillId="0" borderId="7287" applyFill="0" applyProtection="0">
      <alignment horizontal="center"/>
    </xf>
    <xf numFmtId="186" fontId="146" fillId="3" borderId="7287" applyBorder="0">
      <alignment horizontal="left" vertical="center"/>
    </xf>
    <xf numFmtId="180" fontId="9" fillId="3" borderId="7287">
      <alignment horizontal="right" vertical="center"/>
    </xf>
    <xf numFmtId="192" fontId="9" fillId="3" borderId="7287">
      <alignment horizontal="right" vertical="center"/>
    </xf>
    <xf numFmtId="248" fontId="46" fillId="0" borderId="7287"/>
    <xf numFmtId="0" fontId="12" fillId="0" borderId="7287" applyNumberFormat="0" applyFill="0" applyBorder="0" applyAlignment="0" applyProtection="0">
      <alignment horizontal="center"/>
    </xf>
    <xf numFmtId="0" fontId="113" fillId="0" borderId="7287" applyNumberFormat="0" applyFill="0" applyAlignment="0" applyProtection="0"/>
    <xf numFmtId="222" fontId="79" fillId="0" borderId="7286" applyBorder="0"/>
    <xf numFmtId="0" fontId="101" fillId="0" borderId="7287" applyBorder="0"/>
    <xf numFmtId="222" fontId="79" fillId="0" borderId="7286" applyBorder="0"/>
    <xf numFmtId="0" fontId="75" fillId="0" borderId="7276" applyNumberFormat="0" applyFont="0" applyFill="0" applyAlignment="0" applyProtection="0"/>
    <xf numFmtId="186" fontId="146" fillId="3" borderId="7278">
      <alignment horizontal="left"/>
    </xf>
    <xf numFmtId="186" fontId="140" fillId="3" borderId="7279">
      <alignment horizontal="center" vertical="center"/>
    </xf>
    <xf numFmtId="0" fontId="2" fillId="0" borderId="7280" applyNumberFormat="0" applyAlignment="0" applyProtection="0"/>
    <xf numFmtId="0" fontId="214" fillId="0" borderId="7281" applyNumberFormat="0" applyFont="0" applyFill="0" applyAlignment="0" applyProtection="0"/>
    <xf numFmtId="0" fontId="25" fillId="10" borderId="7282" applyNumberFormat="0" applyProtection="0">
      <alignment horizontal="left" vertical="top"/>
    </xf>
    <xf numFmtId="0" fontId="25" fillId="10" borderId="7283" applyNumberFormat="0" applyProtection="0">
      <alignment horizontal="left" vertical="top"/>
    </xf>
    <xf numFmtId="0" fontId="25" fillId="10" borderId="7284" applyNumberFormat="0" applyProtection="0">
      <alignment horizontal="left" vertical="top"/>
    </xf>
    <xf numFmtId="0" fontId="25" fillId="10" borderId="7285" applyNumberFormat="0" applyProtection="0">
      <alignment horizontal="left" vertical="top"/>
    </xf>
    <xf numFmtId="0" fontId="78" fillId="14" borderId="7277" applyFont="0" applyFill="0" applyBorder="0" applyAlignment="0" applyProtection="0"/>
    <xf numFmtId="222" fontId="79" fillId="0" borderId="7274" applyBorder="0"/>
    <xf numFmtId="0" fontId="78" fillId="14" borderId="7289" applyFont="0" applyFill="0" applyBorder="0" applyAlignment="0" applyProtection="0"/>
    <xf numFmtId="186" fontId="146" fillId="3" borderId="7278">
      <alignment horizontal="left"/>
    </xf>
    <xf numFmtId="0" fontId="78" fillId="14" borderId="7265" applyFont="0" applyFill="0" applyBorder="0" applyAlignment="0" applyProtection="0"/>
    <xf numFmtId="222" fontId="79" fillId="0" borderId="7274" applyBorder="0"/>
    <xf numFmtId="0" fontId="2" fillId="0" borderId="7292" applyNumberFormat="0" applyAlignment="0" applyProtection="0"/>
    <xf numFmtId="0" fontId="78" fillId="14" borderId="7265" applyFont="0" applyFill="0" applyBorder="0" applyAlignment="0" applyProtection="0"/>
    <xf numFmtId="0" fontId="25" fillId="10" borderId="7273" applyNumberFormat="0" applyProtection="0">
      <alignment horizontal="left" vertical="top"/>
    </xf>
    <xf numFmtId="0" fontId="25" fillId="10" borderId="7272" applyNumberFormat="0" applyProtection="0">
      <alignment horizontal="left" vertical="top"/>
    </xf>
    <xf numFmtId="0" fontId="25" fillId="10" borderId="7271" applyNumberFormat="0" applyProtection="0">
      <alignment horizontal="left" vertical="top"/>
    </xf>
    <xf numFmtId="0" fontId="25" fillId="10" borderId="7270" applyNumberFormat="0" applyProtection="0">
      <alignment horizontal="left" vertical="top"/>
    </xf>
    <xf numFmtId="0" fontId="25" fillId="10" borderId="7295" applyNumberFormat="0" applyProtection="0">
      <alignment horizontal="left" vertical="top"/>
    </xf>
    <xf numFmtId="0" fontId="214" fillId="0" borderId="7269" applyNumberFormat="0" applyFont="0" applyFill="0" applyAlignment="0" applyProtection="0"/>
    <xf numFmtId="0" fontId="2" fillId="0" borderId="7268" applyNumberFormat="0" applyAlignment="0" applyProtection="0"/>
    <xf numFmtId="186" fontId="140" fillId="3" borderId="7267">
      <alignment horizontal="center" vertical="center"/>
    </xf>
    <xf numFmtId="186" fontId="146" fillId="3" borderId="7266">
      <alignment horizontal="left"/>
    </xf>
    <xf numFmtId="0" fontId="25" fillId="10" borderId="7297" applyNumberFormat="0" applyProtection="0">
      <alignment horizontal="left" vertical="top"/>
    </xf>
    <xf numFmtId="0" fontId="75" fillId="0" borderId="7264" applyNumberFormat="0" applyFont="0" applyFill="0" applyAlignment="0" applyProtection="0"/>
    <xf numFmtId="222" fontId="79" fillId="0" borderId="7274" applyBorder="0"/>
    <xf numFmtId="0" fontId="101" fillId="0" borderId="7275" applyBorder="0"/>
    <xf numFmtId="222" fontId="79" fillId="0" borderId="7274" applyBorder="0"/>
    <xf numFmtId="0" fontId="113" fillId="0" borderId="7275" applyNumberFormat="0" applyFill="0" applyAlignment="0" applyProtection="0"/>
    <xf numFmtId="0" fontId="12" fillId="0" borderId="7275" applyNumberFormat="0" applyFill="0" applyBorder="0" applyAlignment="0" applyProtection="0">
      <alignment horizontal="center"/>
    </xf>
    <xf numFmtId="248" fontId="46" fillId="0" borderId="7275"/>
    <xf numFmtId="192" fontId="9" fillId="3" borderId="7275">
      <alignment horizontal="right" vertical="center"/>
    </xf>
    <xf numFmtId="180" fontId="9" fillId="3" borderId="7275">
      <alignment horizontal="right" vertical="center"/>
    </xf>
    <xf numFmtId="186" fontId="146" fillId="3" borderId="7275" applyBorder="0">
      <alignment horizontal="left" vertical="center"/>
    </xf>
    <xf numFmtId="0" fontId="165" fillId="0" borderId="7275" applyFill="0" applyProtection="0">
      <alignment horizontal="center"/>
    </xf>
    <xf numFmtId="0" fontId="166" fillId="0" borderId="7275">
      <alignment horizontal="center"/>
    </xf>
    <xf numFmtId="264" fontId="12" fillId="14" borderId="7275" applyFont="0" applyFill="0" applyBorder="0" applyAlignment="0" applyProtection="0">
      <alignment horizontal="right"/>
    </xf>
    <xf numFmtId="0" fontId="210" fillId="0" borderId="7275" applyNumberFormat="0" applyFill="0" applyBorder="0" applyAlignment="0">
      <protection locked="0"/>
    </xf>
    <xf numFmtId="254" fontId="240" fillId="0" borderId="7275" applyBorder="0" applyProtection="0">
      <alignment horizontal="right" vertical="center"/>
    </xf>
    <xf numFmtId="0" fontId="241" fillId="94" borderId="7275" applyBorder="0" applyProtection="0">
      <alignment horizontal="centerContinuous" vertical="center"/>
    </xf>
    <xf numFmtId="246" fontId="249" fillId="0" borderId="7275" applyFill="0" applyProtection="0">
      <alignment horizontal="center"/>
    </xf>
    <xf numFmtId="246" fontId="250" fillId="0" borderId="7275" applyFill="0" applyProtection="0">
      <alignment horizontal="center"/>
    </xf>
    <xf numFmtId="186" fontId="140" fillId="3" borderId="7291">
      <alignment horizontal="center" vertical="center"/>
    </xf>
    <xf numFmtId="0" fontId="78" fillId="14" borderId="7277" applyFont="0" applyFill="0" applyBorder="0" applyAlignment="0" applyProtection="0"/>
    <xf numFmtId="222" fontId="79" fillId="0" borderId="7298" applyBorder="0"/>
    <xf numFmtId="0" fontId="78" fillId="14" borderId="7301" applyFont="0" applyFill="0" applyBorder="0" applyAlignment="0" applyProtection="0"/>
    <xf numFmtId="0" fontId="25" fillId="10" borderId="7309" applyNumberFormat="0" applyProtection="0">
      <alignment horizontal="left" vertical="top"/>
    </xf>
    <xf numFmtId="0" fontId="25" fillId="10" borderId="7308" applyNumberFormat="0" applyProtection="0">
      <alignment horizontal="left" vertical="top"/>
    </xf>
    <xf numFmtId="0" fontId="25" fillId="10" borderId="7307" applyNumberFormat="0" applyProtection="0">
      <alignment horizontal="left" vertical="top"/>
    </xf>
    <xf numFmtId="0" fontId="25" fillId="10" borderId="7306" applyNumberFormat="0" applyProtection="0">
      <alignment horizontal="left" vertical="top"/>
    </xf>
    <xf numFmtId="0" fontId="214" fillId="0" borderId="7305" applyNumberFormat="0" applyFont="0" applyFill="0" applyAlignment="0" applyProtection="0"/>
    <xf numFmtId="0" fontId="2" fillId="0" borderId="7304" applyNumberFormat="0" applyAlignment="0" applyProtection="0"/>
    <xf numFmtId="186" fontId="140" fillId="3" borderId="7303">
      <alignment horizontal="center" vertical="center"/>
    </xf>
    <xf numFmtId="186" fontId="146" fillId="3" borderId="7302">
      <alignment horizontal="left"/>
    </xf>
    <xf numFmtId="0" fontId="75" fillId="0" borderId="7300" applyNumberFormat="0" applyFont="0" applyFill="0" applyAlignment="0" applyProtection="0"/>
    <xf numFmtId="222" fontId="79" fillId="0" borderId="7310" applyBorder="0"/>
    <xf numFmtId="0" fontId="101" fillId="0" borderId="7311" applyBorder="0"/>
    <xf numFmtId="222" fontId="79" fillId="0" borderId="7310" applyBorder="0"/>
    <xf numFmtId="0" fontId="113" fillId="0" borderId="7311" applyNumberFormat="0" applyFill="0" applyAlignment="0" applyProtection="0"/>
    <xf numFmtId="0" fontId="12" fillId="0" borderId="7311" applyNumberFormat="0" applyFill="0" applyBorder="0" applyAlignment="0" applyProtection="0">
      <alignment horizontal="center"/>
    </xf>
    <xf numFmtId="248" fontId="46" fillId="0" borderId="7311"/>
    <xf numFmtId="192" fontId="9" fillId="3" borderId="7311">
      <alignment horizontal="right" vertical="center"/>
    </xf>
    <xf numFmtId="180" fontId="9" fillId="3" borderId="7311">
      <alignment horizontal="right" vertical="center"/>
    </xf>
    <xf numFmtId="186" fontId="146" fillId="3" borderId="7311" applyBorder="0">
      <alignment horizontal="left" vertical="center"/>
    </xf>
    <xf numFmtId="0" fontId="165" fillId="0" borderId="7311" applyFill="0" applyProtection="0">
      <alignment horizontal="center"/>
    </xf>
    <xf numFmtId="0" fontId="166" fillId="0" borderId="7311">
      <alignment horizontal="center"/>
    </xf>
    <xf numFmtId="264" fontId="12" fillId="14" borderId="7311" applyFont="0" applyFill="0" applyBorder="0" applyAlignment="0" applyProtection="0">
      <alignment horizontal="right"/>
    </xf>
    <xf numFmtId="0" fontId="210" fillId="0" borderId="7311" applyNumberFormat="0" applyFill="0" applyBorder="0" applyAlignment="0">
      <protection locked="0"/>
    </xf>
    <xf numFmtId="254" fontId="240" fillId="0" borderId="7311" applyBorder="0" applyProtection="0">
      <alignment horizontal="right" vertical="center"/>
    </xf>
    <xf numFmtId="0" fontId="241" fillId="94" borderId="7311" applyBorder="0" applyProtection="0">
      <alignment horizontal="centerContinuous" vertical="center"/>
    </xf>
    <xf numFmtId="246" fontId="249" fillId="0" borderId="7311" applyFill="0" applyProtection="0">
      <alignment horizontal="center"/>
    </xf>
    <xf numFmtId="246" fontId="250" fillId="0" borderId="7311" applyFill="0" applyProtection="0">
      <alignment horizontal="center"/>
    </xf>
    <xf numFmtId="222" fontId="79" fillId="0" borderId="7322" applyBorder="0"/>
    <xf numFmtId="0" fontId="78" fillId="14" borderId="7325" applyFont="0" applyFill="0" applyBorder="0" applyAlignment="0" applyProtection="0"/>
    <xf numFmtId="0" fontId="25" fillId="10" borderId="7333" applyNumberFormat="0" applyProtection="0">
      <alignment horizontal="left" vertical="top"/>
    </xf>
    <xf numFmtId="0" fontId="25" fillId="10" borderId="7332" applyNumberFormat="0" applyProtection="0">
      <alignment horizontal="left" vertical="top"/>
    </xf>
    <xf numFmtId="0" fontId="25" fillId="10" borderId="7331" applyNumberFormat="0" applyProtection="0">
      <alignment horizontal="left" vertical="top"/>
    </xf>
    <xf numFmtId="0" fontId="25" fillId="10" borderId="7330" applyNumberFormat="0" applyProtection="0">
      <alignment horizontal="left" vertical="top"/>
    </xf>
    <xf numFmtId="0" fontId="214" fillId="0" borderId="7329" applyNumberFormat="0" applyFont="0" applyFill="0" applyAlignment="0" applyProtection="0"/>
    <xf numFmtId="0" fontId="2" fillId="0" borderId="7328" applyNumberFormat="0" applyAlignment="0" applyProtection="0"/>
    <xf numFmtId="186" fontId="140" fillId="3" borderId="7327">
      <alignment horizontal="center" vertical="center"/>
    </xf>
    <xf numFmtId="186" fontId="146" fillId="3" borderId="7326">
      <alignment horizontal="left"/>
    </xf>
    <xf numFmtId="0" fontId="75" fillId="0" borderId="7324" applyNumberFormat="0" applyFont="0" applyFill="0" applyAlignment="0" applyProtection="0"/>
    <xf numFmtId="222" fontId="79" fillId="0" borderId="7334" applyBorder="0"/>
    <xf numFmtId="0" fontId="101" fillId="0" borderId="7335" applyBorder="0"/>
    <xf numFmtId="222" fontId="79" fillId="0" borderId="7334" applyBorder="0"/>
    <xf numFmtId="0" fontId="113" fillId="0" borderId="7335" applyNumberFormat="0" applyFill="0" applyAlignment="0" applyProtection="0"/>
    <xf numFmtId="0" fontId="12" fillId="0" borderId="7335" applyNumberFormat="0" applyFill="0" applyBorder="0" applyAlignment="0" applyProtection="0">
      <alignment horizontal="center"/>
    </xf>
    <xf numFmtId="248" fontId="46" fillId="0" borderId="7335"/>
    <xf numFmtId="192" fontId="9" fillId="3" borderId="7335">
      <alignment horizontal="right" vertical="center"/>
    </xf>
    <xf numFmtId="180" fontId="9" fillId="3" borderId="7335">
      <alignment horizontal="right" vertical="center"/>
    </xf>
    <xf numFmtId="186" fontId="146" fillId="3" borderId="7335" applyBorder="0">
      <alignment horizontal="left" vertical="center"/>
    </xf>
    <xf numFmtId="0" fontId="165" fillId="0" borderId="7335" applyFill="0" applyProtection="0">
      <alignment horizontal="center"/>
    </xf>
    <xf numFmtId="0" fontId="166" fillId="0" borderId="7335">
      <alignment horizontal="center"/>
    </xf>
    <xf numFmtId="264" fontId="12" fillId="14" borderId="7335" applyFont="0" applyFill="0" applyBorder="0" applyAlignment="0" applyProtection="0">
      <alignment horizontal="right"/>
    </xf>
    <xf numFmtId="0" fontId="210" fillId="0" borderId="7335" applyNumberFormat="0" applyFill="0" applyBorder="0" applyAlignment="0">
      <protection locked="0"/>
    </xf>
    <xf numFmtId="254" fontId="240" fillId="0" borderId="7335" applyBorder="0" applyProtection="0">
      <alignment horizontal="right" vertical="center"/>
    </xf>
    <xf numFmtId="0" fontId="241" fillId="94" borderId="7335" applyBorder="0" applyProtection="0">
      <alignment horizontal="centerContinuous" vertical="center"/>
    </xf>
    <xf numFmtId="246" fontId="249" fillId="0" borderId="7335" applyFill="0" applyProtection="0">
      <alignment horizontal="center"/>
    </xf>
    <xf numFmtId="246" fontId="250" fillId="0" borderId="7335" applyFill="0" applyProtection="0">
      <alignment horizontal="center"/>
    </xf>
    <xf numFmtId="0" fontId="75" fillId="0" borderId="7348" applyNumberFormat="0" applyFont="0" applyFill="0" applyAlignment="0" applyProtection="0"/>
    <xf numFmtId="0" fontId="78" fillId="14" borderId="7349" applyFont="0" applyFill="0" applyBorder="0" applyAlignment="0" applyProtection="0"/>
    <xf numFmtId="186" fontId="146" fillId="3" borderId="7350">
      <alignment horizontal="left"/>
    </xf>
    <xf numFmtId="186" fontId="140" fillId="3" borderId="7351">
      <alignment horizontal="center" vertical="center"/>
    </xf>
    <xf numFmtId="0" fontId="2" fillId="0" borderId="7352" applyNumberFormat="0" applyAlignment="0" applyProtection="0"/>
    <xf numFmtId="0" fontId="214" fillId="0" borderId="7353" applyNumberFormat="0" applyFont="0" applyFill="0" applyAlignment="0" applyProtection="0"/>
    <xf numFmtId="0" fontId="25" fillId="10" borderId="7354" applyNumberFormat="0" applyProtection="0">
      <alignment horizontal="left" vertical="top"/>
    </xf>
    <xf numFmtId="0" fontId="25" fillId="10" borderId="7355" applyNumberFormat="0" applyProtection="0">
      <alignment horizontal="left" vertical="top"/>
    </xf>
    <xf numFmtId="0" fontId="25" fillId="10" borderId="7356" applyNumberFormat="0" applyProtection="0">
      <alignment horizontal="left" vertical="top"/>
    </xf>
    <xf numFmtId="0" fontId="25" fillId="10" borderId="7357" applyNumberFormat="0" applyProtection="0">
      <alignment horizontal="left" vertical="top"/>
    </xf>
    <xf numFmtId="246" fontId="250" fillId="0" borderId="7347" applyFill="0" applyProtection="0">
      <alignment horizontal="center"/>
    </xf>
    <xf numFmtId="246" fontId="249" fillId="0" borderId="7347" applyFill="0" applyProtection="0">
      <alignment horizontal="center"/>
    </xf>
    <xf numFmtId="0" fontId="241" fillId="94" borderId="7347" applyBorder="0" applyProtection="0">
      <alignment horizontal="centerContinuous" vertical="center"/>
    </xf>
    <xf numFmtId="254" fontId="240" fillId="0" borderId="7347" applyBorder="0" applyProtection="0">
      <alignment horizontal="right" vertical="center"/>
    </xf>
    <xf numFmtId="0" fontId="210" fillId="0" borderId="7347" applyNumberFormat="0" applyFill="0" applyBorder="0" applyAlignment="0">
      <protection locked="0"/>
    </xf>
    <xf numFmtId="264" fontId="12" fillId="14" borderId="7347" applyFont="0" applyFill="0" applyBorder="0" applyAlignment="0" applyProtection="0">
      <alignment horizontal="right"/>
    </xf>
    <xf numFmtId="0" fontId="166" fillId="0" borderId="7347">
      <alignment horizontal="center"/>
    </xf>
    <xf numFmtId="0" fontId="165" fillId="0" borderId="7347" applyFill="0" applyProtection="0">
      <alignment horizontal="center"/>
    </xf>
    <xf numFmtId="186" fontId="146" fillId="3" borderId="7347" applyBorder="0">
      <alignment horizontal="left" vertical="center"/>
    </xf>
    <xf numFmtId="180" fontId="9" fillId="3" borderId="7347">
      <alignment horizontal="right" vertical="center"/>
    </xf>
    <xf numFmtId="192" fontId="9" fillId="3" borderId="7347">
      <alignment horizontal="right" vertical="center"/>
    </xf>
    <xf numFmtId="0" fontId="12" fillId="0" borderId="7347" applyNumberFormat="0" applyFill="0" applyBorder="0" applyAlignment="0" applyProtection="0">
      <alignment horizontal="center"/>
    </xf>
    <xf numFmtId="0" fontId="113" fillId="0" borderId="7347" applyNumberFormat="0" applyFill="0" applyAlignment="0" applyProtection="0"/>
    <xf numFmtId="222" fontId="79" fillId="0" borderId="7346" applyBorder="0"/>
    <xf numFmtId="0" fontId="101" fillId="0" borderId="7347" applyBorder="0"/>
    <xf numFmtId="248" fontId="46" fillId="0" borderId="7347"/>
    <xf numFmtId="0" fontId="101" fillId="0" borderId="7347" applyBorder="0"/>
    <xf numFmtId="222" fontId="79" fillId="0" borderId="7346" applyBorder="0"/>
    <xf numFmtId="0" fontId="113" fillId="0" borderId="7347" applyNumberFormat="0" applyFill="0" applyAlignment="0" applyProtection="0"/>
    <xf numFmtId="0" fontId="75" fillId="0" borderId="7348" applyNumberFormat="0" applyFont="0" applyFill="0" applyAlignment="0" applyProtection="0"/>
    <xf numFmtId="0" fontId="12" fillId="0" borderId="7347" applyNumberFormat="0" applyFill="0" applyBorder="0" applyAlignment="0" applyProtection="0">
      <alignment horizontal="center"/>
    </xf>
    <xf numFmtId="248" fontId="46" fillId="0" borderId="7347"/>
    <xf numFmtId="192" fontId="9" fillId="3" borderId="7347">
      <alignment horizontal="right" vertical="center"/>
    </xf>
    <xf numFmtId="180" fontId="9" fillId="3" borderId="7347">
      <alignment horizontal="right" vertical="center"/>
    </xf>
    <xf numFmtId="186" fontId="146" fillId="3" borderId="7347" applyBorder="0">
      <alignment horizontal="left" vertical="center"/>
    </xf>
    <xf numFmtId="186" fontId="146" fillId="3" borderId="7350">
      <alignment horizontal="left"/>
    </xf>
    <xf numFmtId="186" fontId="140" fillId="3" borderId="7351">
      <alignment horizontal="center" vertical="center"/>
    </xf>
    <xf numFmtId="0" fontId="165" fillId="0" borderId="7347" applyFill="0" applyProtection="0">
      <alignment horizontal="center"/>
    </xf>
    <xf numFmtId="0" fontId="166" fillId="0" borderId="7347">
      <alignment horizontal="center"/>
    </xf>
    <xf numFmtId="264" fontId="12" fillId="14" borderId="7347" applyFont="0" applyFill="0" applyBorder="0" applyAlignment="0" applyProtection="0">
      <alignment horizontal="right"/>
    </xf>
    <xf numFmtId="0" fontId="210" fillId="0" borderId="7347" applyNumberFormat="0" applyFill="0" applyBorder="0" applyAlignment="0">
      <protection locked="0"/>
    </xf>
    <xf numFmtId="0" fontId="2" fillId="0" borderId="7352" applyNumberFormat="0" applyAlignment="0" applyProtection="0"/>
    <xf numFmtId="0" fontId="214" fillId="0" borderId="7353" applyNumberFormat="0" applyFont="0" applyFill="0" applyAlignment="0" applyProtection="0"/>
    <xf numFmtId="0" fontId="25" fillId="10" borderId="7354" applyNumberFormat="0" applyProtection="0">
      <alignment horizontal="left" vertical="top"/>
    </xf>
    <xf numFmtId="0" fontId="25" fillId="10" borderId="7355" applyNumberFormat="0" applyProtection="0">
      <alignment horizontal="left" vertical="top"/>
    </xf>
    <xf numFmtId="0" fontId="25" fillId="10" borderId="7356" applyNumberFormat="0" applyProtection="0">
      <alignment horizontal="left" vertical="top"/>
    </xf>
    <xf numFmtId="0" fontId="25" fillId="10" borderId="7357" applyNumberFormat="0" applyProtection="0">
      <alignment horizontal="left" vertical="top"/>
    </xf>
    <xf numFmtId="0" fontId="25" fillId="10" borderId="7354" applyNumberFormat="0" applyProtection="0">
      <alignment horizontal="left" vertical="top"/>
    </xf>
    <xf numFmtId="0" fontId="25" fillId="10" borderId="7355" applyNumberFormat="0" applyProtection="0">
      <alignment horizontal="left" vertical="top"/>
    </xf>
    <xf numFmtId="0" fontId="25" fillId="10" borderId="7356" applyNumberFormat="0" applyProtection="0">
      <alignment horizontal="left" vertical="top"/>
    </xf>
    <xf numFmtId="0" fontId="25" fillId="10" borderId="7357" applyNumberFormat="0" applyProtection="0">
      <alignment horizontal="left" vertical="top"/>
    </xf>
    <xf numFmtId="254" fontId="240" fillId="0" borderId="7347" applyBorder="0" applyProtection="0">
      <alignment horizontal="right" vertical="center"/>
    </xf>
    <xf numFmtId="0" fontId="241" fillId="94" borderId="7347" applyBorder="0" applyProtection="0">
      <alignment horizontal="centerContinuous" vertical="center"/>
    </xf>
    <xf numFmtId="246" fontId="249" fillId="0" borderId="7347" applyFill="0" applyProtection="0">
      <alignment horizontal="center"/>
    </xf>
    <xf numFmtId="246" fontId="250" fillId="0" borderId="7347" applyFill="0" applyProtection="0">
      <alignment horizontal="center"/>
    </xf>
    <xf numFmtId="190" fontId="101" fillId="0" borderId="7347" applyBorder="0"/>
    <xf numFmtId="190" fontId="113" fillId="0" borderId="7347" applyNumberFormat="0" applyFill="0" applyAlignment="0" applyProtection="0"/>
    <xf numFmtId="190" fontId="75" fillId="0" borderId="7324" applyNumberFormat="0" applyFont="0" applyFill="0" applyAlignment="0" applyProtection="0"/>
    <xf numFmtId="190" fontId="12" fillId="0" borderId="7347" applyNumberFormat="0" applyFill="0" applyBorder="0" applyAlignment="0" applyProtection="0">
      <alignment horizontal="center"/>
    </xf>
    <xf numFmtId="190" fontId="78" fillId="14" borderId="7337" applyFont="0" applyFill="0" applyBorder="0" applyAlignment="0" applyProtection="0"/>
    <xf numFmtId="190" fontId="165" fillId="0" borderId="7347" applyFill="0" applyProtection="0">
      <alignment horizontal="center"/>
    </xf>
    <xf numFmtId="190" fontId="166" fillId="0" borderId="7347">
      <alignment horizontal="center"/>
    </xf>
    <xf numFmtId="190" fontId="210" fillId="0" borderId="7347" applyNumberFormat="0" applyFill="0" applyBorder="0" applyAlignment="0">
      <protection locked="0"/>
    </xf>
    <xf numFmtId="190" fontId="2" fillId="0" borderId="7328" applyNumberFormat="0" applyAlignment="0" applyProtection="0"/>
    <xf numFmtId="190" fontId="214" fillId="0" borderId="7329" applyNumberFormat="0" applyFont="0" applyFill="0" applyAlignment="0" applyProtection="0"/>
    <xf numFmtId="190" fontId="25" fillId="10" borderId="7330" applyNumberFormat="0" applyProtection="0">
      <alignment horizontal="left" vertical="top"/>
    </xf>
    <xf numFmtId="190" fontId="25" fillId="10" borderId="7331" applyNumberFormat="0" applyProtection="0">
      <alignment horizontal="left" vertical="top"/>
    </xf>
    <xf numFmtId="190" fontId="25" fillId="10" borderId="7332" applyNumberFormat="0" applyProtection="0">
      <alignment horizontal="left" vertical="top"/>
    </xf>
    <xf numFmtId="190" fontId="25" fillId="10" borderId="7333" applyNumberFormat="0" applyProtection="0">
      <alignment horizontal="left" vertical="top"/>
    </xf>
    <xf numFmtId="190" fontId="241" fillId="94" borderId="7347" applyBorder="0" applyProtection="0">
      <alignment horizontal="centerContinuous" vertical="center"/>
    </xf>
    <xf numFmtId="222" fontId="79" fillId="0" borderId="7346" applyBorder="0"/>
    <xf numFmtId="0" fontId="101" fillId="0" borderId="7347" applyBorder="0"/>
    <xf numFmtId="222" fontId="79" fillId="0" borderId="7346" applyBorder="0"/>
    <xf numFmtId="0" fontId="113" fillId="0" borderId="7347" applyNumberFormat="0" applyFill="0" applyAlignment="0" applyProtection="0"/>
    <xf numFmtId="0" fontId="75" fillId="0" borderId="7324" applyNumberFormat="0" applyFont="0" applyFill="0" applyAlignment="0" applyProtection="0"/>
    <xf numFmtId="0" fontId="12" fillId="0" borderId="7347" applyNumberFormat="0" applyFill="0" applyBorder="0" applyAlignment="0" applyProtection="0">
      <alignment horizontal="center"/>
    </xf>
    <xf numFmtId="248" fontId="46" fillId="0" borderId="7347"/>
    <xf numFmtId="192" fontId="9" fillId="3" borderId="7347">
      <alignment horizontal="right" vertical="center"/>
    </xf>
    <xf numFmtId="180" fontId="9" fillId="3" borderId="7347">
      <alignment horizontal="right" vertical="center"/>
    </xf>
    <xf numFmtId="186" fontId="146" fillId="3" borderId="7347" applyBorder="0">
      <alignment horizontal="left" vertical="center"/>
    </xf>
    <xf numFmtId="186" fontId="146" fillId="3" borderId="7326">
      <alignment horizontal="left"/>
    </xf>
    <xf numFmtId="186" fontId="140" fillId="3" borderId="7327">
      <alignment horizontal="center" vertical="center"/>
    </xf>
    <xf numFmtId="0" fontId="165" fillId="0" borderId="7347" applyFill="0" applyProtection="0">
      <alignment horizontal="center"/>
    </xf>
    <xf numFmtId="0" fontId="166" fillId="0" borderId="7347">
      <alignment horizontal="center"/>
    </xf>
    <xf numFmtId="264" fontId="12" fillId="14" borderId="7347" applyFont="0" applyFill="0" applyBorder="0" applyAlignment="0" applyProtection="0">
      <alignment horizontal="right"/>
    </xf>
    <xf numFmtId="0" fontId="210" fillId="0" borderId="7347" applyNumberFormat="0" applyFill="0" applyBorder="0" applyAlignment="0">
      <protection locked="0"/>
    </xf>
    <xf numFmtId="0" fontId="2" fillId="0" borderId="7328" applyNumberFormat="0" applyAlignment="0" applyProtection="0"/>
    <xf numFmtId="0" fontId="214" fillId="0" borderId="7329" applyNumberFormat="0" applyFont="0" applyFill="0" applyAlignment="0" applyProtection="0"/>
    <xf numFmtId="0" fontId="25" fillId="10" borderId="7330" applyNumberFormat="0" applyProtection="0">
      <alignment horizontal="left" vertical="top"/>
    </xf>
    <xf numFmtId="0" fontId="25" fillId="10" borderId="7331" applyNumberFormat="0" applyProtection="0">
      <alignment horizontal="left" vertical="top"/>
    </xf>
    <xf numFmtId="0" fontId="25" fillId="10" borderId="7332" applyNumberFormat="0" applyProtection="0">
      <alignment horizontal="left" vertical="top"/>
    </xf>
    <xf numFmtId="0" fontId="25" fillId="10" borderId="7333" applyNumberFormat="0" applyProtection="0">
      <alignment horizontal="left" vertical="top"/>
    </xf>
    <xf numFmtId="0" fontId="25" fillId="10" borderId="7330" applyNumberFormat="0" applyProtection="0">
      <alignment horizontal="left" vertical="top"/>
    </xf>
    <xf numFmtId="0" fontId="25" fillId="10" borderId="7331" applyNumberFormat="0" applyProtection="0">
      <alignment horizontal="left" vertical="top"/>
    </xf>
    <xf numFmtId="0" fontId="25" fillId="10" borderId="7332" applyNumberFormat="0" applyProtection="0">
      <alignment horizontal="left" vertical="top"/>
    </xf>
    <xf numFmtId="0" fontId="25" fillId="10" borderId="7333" applyNumberFormat="0" applyProtection="0">
      <alignment horizontal="left" vertical="top"/>
    </xf>
    <xf numFmtId="254" fontId="240" fillId="0" borderId="7347" applyBorder="0" applyProtection="0">
      <alignment horizontal="right" vertical="center"/>
    </xf>
    <xf numFmtId="0" fontId="241" fillId="94" borderId="7347" applyBorder="0" applyProtection="0">
      <alignment horizontal="centerContinuous" vertical="center"/>
    </xf>
    <xf numFmtId="246" fontId="249" fillId="0" borderId="7347" applyFill="0" applyProtection="0">
      <alignment horizontal="center"/>
    </xf>
    <xf numFmtId="246" fontId="250" fillId="0" borderId="7347" applyFill="0" applyProtection="0">
      <alignment horizontal="center"/>
    </xf>
    <xf numFmtId="312" fontId="101" fillId="0" borderId="7347" applyBorder="0"/>
    <xf numFmtId="312" fontId="113" fillId="0" borderId="7347" applyNumberFormat="0" applyFill="0" applyAlignment="0" applyProtection="0"/>
    <xf numFmtId="312" fontId="75" fillId="0" borderId="7324" applyNumberFormat="0" applyFont="0" applyFill="0" applyAlignment="0" applyProtection="0"/>
    <xf numFmtId="312" fontId="12" fillId="0" borderId="7347" applyNumberFormat="0" applyFill="0" applyBorder="0" applyAlignment="0" applyProtection="0">
      <alignment horizontal="center"/>
    </xf>
    <xf numFmtId="312" fontId="165" fillId="0" borderId="7347" applyFill="0" applyProtection="0">
      <alignment horizontal="center"/>
    </xf>
    <xf numFmtId="312" fontId="242" fillId="0" borderId="7347">
      <alignment horizontal="center"/>
    </xf>
    <xf numFmtId="312" fontId="210" fillId="0" borderId="7347" applyNumberFormat="0" applyFill="0" applyBorder="0" applyAlignment="0">
      <protection locked="0"/>
    </xf>
    <xf numFmtId="312" fontId="2" fillId="0" borderId="7328" applyNumberFormat="0" applyAlignment="0" applyProtection="0"/>
    <xf numFmtId="312" fontId="214" fillId="0" borderId="7329" applyNumberFormat="0" applyFont="0" applyFill="0" applyAlignment="0" applyProtection="0"/>
    <xf numFmtId="312" fontId="25" fillId="10" borderId="7330" applyNumberFormat="0" applyProtection="0">
      <alignment horizontal="left" vertical="top"/>
    </xf>
    <xf numFmtId="312" fontId="25" fillId="10" borderId="7331" applyNumberFormat="0" applyProtection="0">
      <alignment horizontal="left" vertical="top"/>
    </xf>
    <xf numFmtId="312" fontId="25" fillId="10" borderId="7332" applyNumberFormat="0" applyProtection="0">
      <alignment horizontal="left" vertical="top"/>
    </xf>
    <xf numFmtId="312" fontId="25" fillId="10" borderId="7333" applyNumberFormat="0" applyProtection="0">
      <alignment horizontal="left" vertical="top"/>
    </xf>
    <xf numFmtId="312" fontId="241" fillId="94" borderId="7347" applyBorder="0" applyProtection="0">
      <alignment horizontal="centerContinuous" vertical="center"/>
    </xf>
    <xf numFmtId="246" fontId="296" fillId="0" borderId="7347" applyFill="0" applyProtection="0">
      <alignment horizontal="center"/>
    </xf>
    <xf numFmtId="312" fontId="101" fillId="0" borderId="7347" applyBorder="0"/>
    <xf numFmtId="312" fontId="113" fillId="0" borderId="7347" applyNumberFormat="0" applyFill="0" applyAlignment="0" applyProtection="0"/>
    <xf numFmtId="312" fontId="75" fillId="0" borderId="7324" applyNumberFormat="0" applyFont="0" applyFill="0" applyAlignment="0" applyProtection="0"/>
    <xf numFmtId="312" fontId="12" fillId="0" borderId="7347" applyNumberFormat="0" applyFill="0" applyBorder="0" applyAlignment="0" applyProtection="0">
      <alignment horizontal="center"/>
    </xf>
    <xf numFmtId="312" fontId="165" fillId="0" borderId="7347" applyFill="0" applyProtection="0">
      <alignment horizontal="center"/>
    </xf>
    <xf numFmtId="312" fontId="242" fillId="0" borderId="7347">
      <alignment horizontal="center"/>
    </xf>
    <xf numFmtId="312" fontId="210" fillId="0" borderId="7347" applyNumberFormat="0" applyFill="0" applyBorder="0" applyAlignment="0">
      <protection locked="0"/>
    </xf>
    <xf numFmtId="312" fontId="2" fillId="0" borderId="7328" applyNumberFormat="0" applyAlignment="0" applyProtection="0"/>
    <xf numFmtId="312" fontId="214" fillId="0" borderId="7329" applyNumberFormat="0" applyFont="0" applyFill="0" applyAlignment="0" applyProtection="0"/>
    <xf numFmtId="312" fontId="25" fillId="10" borderId="7330" applyNumberFormat="0" applyProtection="0">
      <alignment horizontal="left" vertical="top"/>
    </xf>
    <xf numFmtId="312" fontId="25" fillId="10" borderId="7331" applyNumberFormat="0" applyProtection="0">
      <alignment horizontal="left" vertical="top"/>
    </xf>
    <xf numFmtId="312" fontId="25" fillId="10" borderId="7332" applyNumberFormat="0" applyProtection="0">
      <alignment horizontal="left" vertical="top"/>
    </xf>
    <xf numFmtId="312" fontId="25" fillId="10" borderId="7333" applyNumberFormat="0" applyProtection="0">
      <alignment horizontal="left" vertical="top"/>
    </xf>
    <xf numFmtId="312" fontId="25" fillId="10" borderId="7330" applyNumberFormat="0" applyProtection="0">
      <alignment horizontal="left" vertical="top"/>
    </xf>
    <xf numFmtId="312" fontId="25" fillId="10" borderId="7331" applyNumberFormat="0" applyProtection="0">
      <alignment horizontal="left" vertical="top"/>
    </xf>
    <xf numFmtId="312" fontId="25" fillId="10" borderId="7332" applyNumberFormat="0" applyProtection="0">
      <alignment horizontal="left" vertical="top"/>
    </xf>
    <xf numFmtId="312" fontId="25" fillId="10" borderId="7333" applyNumberFormat="0" applyProtection="0">
      <alignment horizontal="left" vertical="top"/>
    </xf>
    <xf numFmtId="312" fontId="241" fillId="94" borderId="7347" applyBorder="0" applyProtection="0">
      <alignment horizontal="centerContinuous" vertical="center"/>
    </xf>
    <xf numFmtId="246" fontId="296" fillId="0" borderId="7347" applyFill="0" applyProtection="0">
      <alignment horizontal="center"/>
    </xf>
    <xf numFmtId="246" fontId="250" fillId="0" borderId="7347" applyFill="0" applyProtection="0">
      <alignment horizontal="center"/>
    </xf>
    <xf numFmtId="246" fontId="249" fillId="0" borderId="7347" applyFill="0" applyProtection="0">
      <alignment horizontal="center"/>
    </xf>
    <xf numFmtId="0" fontId="241" fillId="94" borderId="7347" applyBorder="0" applyProtection="0">
      <alignment horizontal="centerContinuous" vertical="center"/>
    </xf>
    <xf numFmtId="254" fontId="240" fillId="0" borderId="7347" applyBorder="0" applyProtection="0">
      <alignment horizontal="right" vertical="center"/>
    </xf>
    <xf numFmtId="0" fontId="25" fillId="10" borderId="7345" applyNumberFormat="0" applyProtection="0">
      <alignment horizontal="left" vertical="top"/>
    </xf>
    <xf numFmtId="0" fontId="25" fillId="10" borderId="7344" applyNumberFormat="0" applyProtection="0">
      <alignment horizontal="left" vertical="top"/>
    </xf>
    <xf numFmtId="0" fontId="25" fillId="10" borderId="7343" applyNumberFormat="0" applyProtection="0">
      <alignment horizontal="left" vertical="top"/>
    </xf>
    <xf numFmtId="0" fontId="25" fillId="10" borderId="7342" applyNumberFormat="0" applyProtection="0">
      <alignment horizontal="left" vertical="top"/>
    </xf>
    <xf numFmtId="0" fontId="214" fillId="0" borderId="7341" applyNumberFormat="0" applyFont="0" applyFill="0" applyAlignment="0" applyProtection="0"/>
    <xf numFmtId="0" fontId="2" fillId="0" borderId="7340" applyNumberFormat="0" applyAlignment="0" applyProtection="0"/>
    <xf numFmtId="0" fontId="210" fillId="0" borderId="7347" applyNumberFormat="0" applyFill="0" applyBorder="0" applyAlignment="0">
      <protection locked="0"/>
    </xf>
    <xf numFmtId="264" fontId="12" fillId="14" borderId="7347" applyFont="0" applyFill="0" applyBorder="0" applyAlignment="0" applyProtection="0">
      <alignment horizontal="right"/>
    </xf>
    <xf numFmtId="0" fontId="166" fillId="0" borderId="7347">
      <alignment horizontal="center"/>
    </xf>
    <xf numFmtId="0" fontId="165" fillId="0" borderId="7347" applyFill="0" applyProtection="0">
      <alignment horizontal="center"/>
    </xf>
    <xf numFmtId="186" fontId="140" fillId="3" borderId="7339">
      <alignment horizontal="center" vertical="center"/>
    </xf>
    <xf numFmtId="186" fontId="146" fillId="3" borderId="7338">
      <alignment horizontal="left"/>
    </xf>
    <xf numFmtId="186" fontId="146" fillId="3" borderId="7347" applyBorder="0">
      <alignment horizontal="left" vertical="center"/>
    </xf>
    <xf numFmtId="180" fontId="9" fillId="3" borderId="7347">
      <alignment horizontal="right" vertical="center"/>
    </xf>
    <xf numFmtId="192" fontId="9" fillId="3" borderId="7347">
      <alignment horizontal="right" vertical="center"/>
    </xf>
    <xf numFmtId="248" fontId="46" fillId="0" borderId="7347"/>
    <xf numFmtId="0" fontId="78" fillId="14" borderId="7337" applyFont="0" applyFill="0" applyBorder="0" applyAlignment="0" applyProtection="0"/>
    <xf numFmtId="0" fontId="12" fillId="0" borderId="7347" applyNumberFormat="0" applyFill="0" applyBorder="0" applyAlignment="0" applyProtection="0">
      <alignment horizontal="center"/>
    </xf>
    <xf numFmtId="0" fontId="75" fillId="0" borderId="7336" applyNumberFormat="0" applyFont="0" applyFill="0" applyAlignment="0" applyProtection="0"/>
    <xf numFmtId="0" fontId="113" fillId="0" borderId="7347" applyNumberFormat="0" applyFill="0" applyAlignment="0" applyProtection="0"/>
    <xf numFmtId="222" fontId="79" fillId="0" borderId="7346" applyBorder="0"/>
    <xf numFmtId="0" fontId="101" fillId="0" borderId="7347" applyBorder="0"/>
    <xf numFmtId="0" fontId="25" fillId="10" borderId="7354" applyNumberFormat="0" applyProtection="0">
      <alignment horizontal="left" vertical="top"/>
    </xf>
    <xf numFmtId="0" fontId="25" fillId="10" borderId="7355" applyNumberFormat="0" applyProtection="0">
      <alignment horizontal="left" vertical="top"/>
    </xf>
    <xf numFmtId="0" fontId="25" fillId="10" borderId="7356" applyNumberFormat="0" applyProtection="0">
      <alignment horizontal="left" vertical="top"/>
    </xf>
    <xf numFmtId="0" fontId="25" fillId="10" borderId="7357" applyNumberFormat="0" applyProtection="0">
      <alignment horizontal="left" vertical="top"/>
    </xf>
    <xf numFmtId="246" fontId="250" fillId="0" borderId="7335" applyFill="0" applyProtection="0">
      <alignment horizontal="center"/>
    </xf>
    <xf numFmtId="246" fontId="249" fillId="0" borderId="7335" applyFill="0" applyProtection="0">
      <alignment horizontal="center"/>
    </xf>
    <xf numFmtId="0" fontId="241" fillId="94" borderId="7335" applyBorder="0" applyProtection="0">
      <alignment horizontal="centerContinuous" vertical="center"/>
    </xf>
    <xf numFmtId="254" fontId="240" fillId="0" borderId="7335" applyBorder="0" applyProtection="0">
      <alignment horizontal="right" vertical="center"/>
    </xf>
    <xf numFmtId="0" fontId="210" fillId="0" borderId="7335" applyNumberFormat="0" applyFill="0" applyBorder="0" applyAlignment="0">
      <protection locked="0"/>
    </xf>
    <xf numFmtId="264" fontId="12" fillId="14" borderId="7335" applyFont="0" applyFill="0" applyBorder="0" applyAlignment="0" applyProtection="0">
      <alignment horizontal="right"/>
    </xf>
    <xf numFmtId="0" fontId="166" fillId="0" borderId="7335">
      <alignment horizontal="center"/>
    </xf>
    <xf numFmtId="0" fontId="165" fillId="0" borderId="7335" applyFill="0" applyProtection="0">
      <alignment horizontal="center"/>
    </xf>
    <xf numFmtId="186" fontId="146" fillId="3" borderId="7335" applyBorder="0">
      <alignment horizontal="left" vertical="center"/>
    </xf>
    <xf numFmtId="180" fontId="9" fillId="3" borderId="7335">
      <alignment horizontal="right" vertical="center"/>
    </xf>
    <xf numFmtId="192" fontId="9" fillId="3" borderId="7335">
      <alignment horizontal="right" vertical="center"/>
    </xf>
    <xf numFmtId="248" fontId="46" fillId="0" borderId="7335"/>
    <xf numFmtId="0" fontId="12" fillId="0" borderId="7335" applyNumberFormat="0" applyFill="0" applyBorder="0" applyAlignment="0" applyProtection="0">
      <alignment horizontal="center"/>
    </xf>
    <xf numFmtId="0" fontId="113" fillId="0" borderId="7335" applyNumberFormat="0" applyFill="0" applyAlignment="0" applyProtection="0"/>
    <xf numFmtId="222" fontId="79" fillId="0" borderId="7334" applyBorder="0"/>
    <xf numFmtId="0" fontId="101" fillId="0" borderId="7335" applyBorder="0"/>
    <xf numFmtId="246" fontId="250" fillId="0" borderId="7335" applyFill="0" applyProtection="0">
      <alignment horizontal="center"/>
    </xf>
    <xf numFmtId="246" fontId="249" fillId="0" borderId="7335" applyFill="0" applyProtection="0">
      <alignment horizontal="center"/>
    </xf>
    <xf numFmtId="0" fontId="241" fillId="94" borderId="7335" applyBorder="0" applyProtection="0">
      <alignment horizontal="centerContinuous" vertical="center"/>
    </xf>
    <xf numFmtId="254" fontId="240" fillId="0" borderId="7335" applyBorder="0" applyProtection="0">
      <alignment horizontal="right" vertical="center"/>
    </xf>
    <xf numFmtId="0" fontId="210" fillId="0" borderId="7335" applyNumberFormat="0" applyFill="0" applyBorder="0" applyAlignment="0">
      <protection locked="0"/>
    </xf>
    <xf numFmtId="264" fontId="12" fillId="14" borderId="7335" applyFont="0" applyFill="0" applyBorder="0" applyAlignment="0" applyProtection="0">
      <alignment horizontal="right"/>
    </xf>
    <xf numFmtId="0" fontId="166" fillId="0" borderId="7335">
      <alignment horizontal="center"/>
    </xf>
    <xf numFmtId="0" fontId="165" fillId="0" borderId="7335" applyFill="0" applyProtection="0">
      <alignment horizontal="center"/>
    </xf>
    <xf numFmtId="186" fontId="146" fillId="3" borderId="7335" applyBorder="0">
      <alignment horizontal="left" vertical="center"/>
    </xf>
    <xf numFmtId="180" fontId="9" fillId="3" borderId="7335">
      <alignment horizontal="right" vertical="center"/>
    </xf>
    <xf numFmtId="192" fontId="9" fillId="3" borderId="7335">
      <alignment horizontal="right" vertical="center"/>
    </xf>
    <xf numFmtId="0" fontId="12" fillId="0" borderId="7335" applyNumberFormat="0" applyFill="0" applyBorder="0" applyAlignment="0" applyProtection="0">
      <alignment horizontal="center"/>
    </xf>
    <xf numFmtId="0" fontId="113" fillId="0" borderId="7335" applyNumberFormat="0" applyFill="0" applyAlignment="0" applyProtection="0"/>
    <xf numFmtId="222" fontId="79" fillId="0" borderId="7334" applyBorder="0"/>
    <xf numFmtId="0" fontId="101" fillId="0" borderId="7335" applyBorder="0"/>
    <xf numFmtId="248" fontId="46" fillId="0" borderId="7335"/>
    <xf numFmtId="246" fontId="250" fillId="0" borderId="7335" applyFill="0" applyProtection="0">
      <alignment horizontal="center"/>
    </xf>
    <xf numFmtId="246" fontId="249" fillId="0" borderId="7335" applyFill="0" applyProtection="0">
      <alignment horizontal="center"/>
    </xf>
    <xf numFmtId="0" fontId="241" fillId="94" borderId="7335" applyBorder="0" applyProtection="0">
      <alignment horizontal="centerContinuous" vertical="center"/>
    </xf>
    <xf numFmtId="254" fontId="240" fillId="0" borderId="7335" applyBorder="0" applyProtection="0">
      <alignment horizontal="right" vertical="center"/>
    </xf>
    <xf numFmtId="0" fontId="210" fillId="0" borderId="7335" applyNumberFormat="0" applyFill="0" applyBorder="0" applyAlignment="0">
      <protection locked="0"/>
    </xf>
    <xf numFmtId="264" fontId="12" fillId="14" borderId="7335" applyFont="0" applyFill="0" applyBorder="0" applyAlignment="0" applyProtection="0">
      <alignment horizontal="right"/>
    </xf>
    <xf numFmtId="0" fontId="166" fillId="0" borderId="7335">
      <alignment horizontal="center"/>
    </xf>
    <xf numFmtId="0" fontId="165" fillId="0" borderId="7335" applyFill="0" applyProtection="0">
      <alignment horizontal="center"/>
    </xf>
    <xf numFmtId="186" fontId="146" fillId="3" borderId="7335" applyBorder="0">
      <alignment horizontal="left" vertical="center"/>
    </xf>
    <xf numFmtId="180" fontId="9" fillId="3" borderId="7335">
      <alignment horizontal="right" vertical="center"/>
    </xf>
    <xf numFmtId="192" fontId="9" fillId="3" borderId="7335">
      <alignment horizontal="right" vertical="center"/>
    </xf>
    <xf numFmtId="248" fontId="46" fillId="0" borderId="7335"/>
    <xf numFmtId="0" fontId="12" fillId="0" borderId="7335" applyNumberFormat="0" applyFill="0" applyBorder="0" applyAlignment="0" applyProtection="0">
      <alignment horizontal="center"/>
    </xf>
    <xf numFmtId="0" fontId="113" fillId="0" borderId="7335" applyNumberFormat="0" applyFill="0" applyAlignment="0" applyProtection="0"/>
    <xf numFmtId="222" fontId="79" fillId="0" borderId="7334" applyBorder="0"/>
    <xf numFmtId="0" fontId="101" fillId="0" borderId="7335" applyBorder="0"/>
    <xf numFmtId="0" fontId="2" fillId="0" borderId="0">
      <alignment horizontal="left" wrapText="1"/>
    </xf>
    <xf numFmtId="0" fontId="14" fillId="0" borderId="0"/>
    <xf numFmtId="43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272" fillId="0" borderId="0" applyNumberFormat="0" applyFill="0" applyBorder="0" applyAlignment="0" applyProtection="0"/>
    <xf numFmtId="44" fontId="50" fillId="0" borderId="0" applyFont="0" applyFill="0" applyBorder="0" applyAlignment="0" applyProtection="0"/>
    <xf numFmtId="0" fontId="265" fillId="0" borderId="0"/>
    <xf numFmtId="0" fontId="265" fillId="0" borderId="0"/>
    <xf numFmtId="0" fontId="265" fillId="0" borderId="0"/>
    <xf numFmtId="0" fontId="265" fillId="0" borderId="0"/>
    <xf numFmtId="0" fontId="265" fillId="0" borderId="0"/>
    <xf numFmtId="9" fontId="12" fillId="0" borderId="0" applyFont="0" applyFill="0" applyBorder="0" applyAlignment="0" applyProtection="0"/>
    <xf numFmtId="315" fontId="1" fillId="0" borderId="0"/>
    <xf numFmtId="0" fontId="59" fillId="0" borderId="0" applyNumberFormat="0" applyFill="0" applyBorder="0" applyAlignment="0" applyProtection="0"/>
    <xf numFmtId="0" fontId="265" fillId="0" borderId="0"/>
    <xf numFmtId="44" fontId="265" fillId="0" borderId="0" applyFont="0" applyFill="0" applyBorder="0" applyAlignment="0" applyProtection="0"/>
    <xf numFmtId="0" fontId="12" fillId="0" borderId="0"/>
    <xf numFmtId="0" fontId="59" fillId="0" borderId="0" applyNumberFormat="0" applyFill="0" applyBorder="0" applyAlignment="0" applyProtection="0"/>
    <xf numFmtId="43" fontId="265" fillId="0" borderId="0" applyFont="0" applyFill="0" applyBorder="0" applyAlignment="0" applyProtection="0"/>
    <xf numFmtId="0" fontId="12" fillId="0" borderId="0"/>
    <xf numFmtId="0" fontId="1" fillId="0" borderId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43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0" fontId="273" fillId="21" borderId="0" applyNumberFormat="0" applyBorder="0" applyAlignment="0" applyProtection="0"/>
    <xf numFmtId="0" fontId="72" fillId="29" borderId="0" applyNumberFormat="0" applyBorder="0" applyAlignment="0" applyProtection="0"/>
    <xf numFmtId="0" fontId="72" fillId="33" borderId="0" applyNumberFormat="0" applyBorder="0" applyAlignment="0" applyProtection="0"/>
    <xf numFmtId="0" fontId="72" fillId="37" borderId="0" applyNumberFormat="0" applyBorder="0" applyAlignment="0" applyProtection="0"/>
    <xf numFmtId="0" fontId="72" fillId="41" borderId="0" applyNumberFormat="0" applyBorder="0" applyAlignment="0" applyProtection="0"/>
    <xf numFmtId="0" fontId="72" fillId="45" borderId="0" applyNumberFormat="0" applyBorder="0" applyAlignment="0" applyProtection="0"/>
    <xf numFmtId="0" fontId="72" fillId="49" borderId="0" applyNumberFormat="0" applyBorder="0" applyAlignment="0" applyProtection="0"/>
    <xf numFmtId="0" fontId="12" fillId="0" borderId="0"/>
  </cellStyleXfs>
  <cellXfs count="466">
    <xf numFmtId="0" fontId="0" fillId="0" borderId="0" xfId="0"/>
    <xf numFmtId="0" fontId="3" fillId="2" borderId="0" xfId="4" applyFont="1" applyFill="1" applyAlignment="1">
      <alignment horizontal="centerContinuous"/>
    </xf>
    <xf numFmtId="0" fontId="4" fillId="2" borderId="0" xfId="0" applyFont="1" applyFill="1" applyAlignment="1">
      <alignment horizontal="centerContinuous"/>
    </xf>
    <xf numFmtId="0" fontId="4" fillId="2" borderId="0" xfId="0" applyFont="1" applyFill="1"/>
    <xf numFmtId="0" fontId="5" fillId="3" borderId="0" xfId="0" applyFont="1" applyFill="1" applyAlignment="1">
      <alignment horizontal="centerContinuous"/>
    </xf>
    <xf numFmtId="0" fontId="6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8" fillId="2" borderId="0" xfId="0" applyFont="1" applyFill="1"/>
    <xf numFmtId="0" fontId="9" fillId="2" borderId="0" xfId="4" applyFont="1" applyFill="1"/>
    <xf numFmtId="164" fontId="10" fillId="4" borderId="1" xfId="2" applyNumberFormat="1" applyFont="1" applyFill="1" applyBorder="1" applyAlignment="1" applyProtection="1">
      <alignment horizontal="center"/>
      <protection locked="0"/>
    </xf>
    <xf numFmtId="0" fontId="0" fillId="2" borderId="0" xfId="0" applyFill="1"/>
    <xf numFmtId="165" fontId="9" fillId="2" borderId="1" xfId="2" applyNumberFormat="1" applyFont="1" applyFill="1" applyBorder="1" applyAlignment="1" applyProtection="1">
      <alignment horizontal="center"/>
    </xf>
    <xf numFmtId="166" fontId="10" fillId="4" borderId="1" xfId="2" applyNumberFormat="1" applyFont="1" applyFill="1" applyBorder="1" applyAlignment="1" applyProtection="1">
      <alignment horizontal="center"/>
      <protection locked="0"/>
    </xf>
    <xf numFmtId="10" fontId="4" fillId="2" borderId="0" xfId="3" applyNumberFormat="1" applyFont="1" applyFill="1" applyProtection="1"/>
    <xf numFmtId="10" fontId="4" fillId="2" borderId="0" xfId="0" applyNumberFormat="1" applyFont="1" applyFill="1"/>
    <xf numFmtId="0" fontId="11" fillId="3" borderId="0" xfId="0" applyFont="1" applyFill="1" applyAlignment="1">
      <alignment horizontal="centerContinuous"/>
    </xf>
    <xf numFmtId="0" fontId="9" fillId="3" borderId="0" xfId="5" applyFont="1" applyFill="1" applyAlignment="1">
      <alignment horizontal="centerContinuous"/>
    </xf>
    <xf numFmtId="0" fontId="9" fillId="3" borderId="0" xfId="0" applyFont="1" applyFill="1" applyAlignment="1">
      <alignment horizontal="centerContinuous"/>
    </xf>
    <xf numFmtId="0" fontId="9" fillId="2" borderId="0" xfId="5" applyFont="1" applyFill="1"/>
    <xf numFmtId="0" fontId="13" fillId="2" borderId="0" xfId="5" applyFont="1" applyFill="1"/>
    <xf numFmtId="0" fontId="14" fillId="2" borderId="0" xfId="0" applyFont="1" applyFill="1"/>
    <xf numFmtId="0" fontId="15" fillId="2" borderId="0" xfId="5" applyFont="1" applyFill="1"/>
    <xf numFmtId="0" fontId="11" fillId="2" borderId="0" xfId="0" applyFont="1" applyFill="1" applyAlignment="1">
      <alignment vertical="center"/>
    </xf>
    <xf numFmtId="0" fontId="9" fillId="2" borderId="0" xfId="0" applyFont="1" applyFill="1"/>
    <xf numFmtId="164" fontId="9" fillId="0" borderId="1" xfId="2" applyNumberFormat="1" applyFont="1" applyFill="1" applyBorder="1" applyAlignment="1" applyProtection="1">
      <alignment horizontal="center" vertical="center"/>
    </xf>
    <xf numFmtId="0" fontId="14" fillId="2" borderId="2" xfId="0" applyFont="1" applyFill="1" applyBorder="1"/>
    <xf numFmtId="5" fontId="9" fillId="2" borderId="1" xfId="2" applyNumberFormat="1" applyFont="1" applyFill="1" applyBorder="1" applyAlignment="1" applyProtection="1">
      <alignment horizontal="center" vertical="center"/>
    </xf>
    <xf numFmtId="7" fontId="17" fillId="0" borderId="0" xfId="5" applyNumberFormat="1" applyFont="1"/>
    <xf numFmtId="0" fontId="9" fillId="0" borderId="0" xfId="5" applyFont="1"/>
    <xf numFmtId="0" fontId="9" fillId="2" borderId="3" xfId="5" applyFont="1" applyFill="1" applyBorder="1"/>
    <xf numFmtId="0" fontId="11" fillId="2" borderId="0" xfId="5" applyFont="1" applyFill="1"/>
    <xf numFmtId="165" fontId="11" fillId="2" borderId="4" xfId="5" applyNumberFormat="1" applyFont="1" applyFill="1" applyBorder="1"/>
    <xf numFmtId="167" fontId="19" fillId="2" borderId="0" xfId="1" applyNumberFormat="1" applyFont="1" applyFill="1" applyAlignment="1" applyProtection="1">
      <alignment horizontal="right"/>
    </xf>
    <xf numFmtId="37" fontId="20" fillId="2" borderId="0" xfId="5" applyNumberFormat="1" applyFont="1" applyFill="1"/>
    <xf numFmtId="0" fontId="21" fillId="0" borderId="5" xfId="0" applyFont="1" applyBorder="1" applyAlignment="1">
      <alignment horizontal="left"/>
    </xf>
    <xf numFmtId="43" fontId="14" fillId="0" borderId="6" xfId="1" applyFont="1" applyBorder="1"/>
    <xf numFmtId="4" fontId="9" fillId="2" borderId="0" xfId="5" applyNumberFormat="1" applyFont="1" applyFill="1"/>
    <xf numFmtId="44" fontId="14" fillId="0" borderId="7" xfId="2" applyFont="1" applyFill="1" applyBorder="1" applyAlignment="1">
      <alignment horizontal="center"/>
    </xf>
    <xf numFmtId="43" fontId="14" fillId="0" borderId="8" xfId="1" applyFont="1" applyBorder="1"/>
    <xf numFmtId="0" fontId="9" fillId="2" borderId="0" xfId="5" applyFont="1" applyFill="1" applyAlignment="1">
      <alignment horizontal="center"/>
    </xf>
    <xf numFmtId="165" fontId="9" fillId="2" borderId="4" xfId="1" applyNumberFormat="1" applyFont="1" applyFill="1" applyBorder="1" applyAlignment="1" applyProtection="1"/>
    <xf numFmtId="167" fontId="19" fillId="0" borderId="0" xfId="1" applyNumberFormat="1" applyFont="1" applyFill="1" applyAlignment="1" applyProtection="1">
      <alignment horizontal="right"/>
    </xf>
    <xf numFmtId="43" fontId="14" fillId="0" borderId="9" xfId="1" applyFont="1" applyFill="1" applyBorder="1"/>
    <xf numFmtId="165" fontId="9" fillId="2" borderId="0" xfId="1" applyNumberFormat="1" applyFont="1" applyFill="1" applyAlignment="1" applyProtection="1"/>
    <xf numFmtId="44" fontId="22" fillId="4" borderId="9" xfId="2" applyFont="1" applyFill="1" applyBorder="1"/>
    <xf numFmtId="43" fontId="22" fillId="0" borderId="10" xfId="1" applyFont="1" applyBorder="1"/>
    <xf numFmtId="44" fontId="14" fillId="0" borderId="7" xfId="2" applyFont="1" applyBorder="1" applyAlignment="1">
      <alignment horizontal="center"/>
    </xf>
    <xf numFmtId="165" fontId="11" fillId="2" borderId="0" xfId="1" applyNumberFormat="1" applyFont="1" applyFill="1" applyAlignment="1" applyProtection="1"/>
    <xf numFmtId="37" fontId="23" fillId="2" borderId="0" xfId="5" applyNumberFormat="1" applyFont="1" applyFill="1" applyAlignment="1">
      <alignment horizontal="center"/>
    </xf>
    <xf numFmtId="168" fontId="10" fillId="2" borderId="0" xfId="3" applyNumberFormat="1" applyFont="1" applyFill="1" applyAlignment="1" applyProtection="1">
      <alignment horizontal="right"/>
    </xf>
    <xf numFmtId="9" fontId="23" fillId="2" borderId="0" xfId="5" applyNumberFormat="1" applyFont="1" applyFill="1" applyAlignment="1">
      <alignment horizontal="center"/>
    </xf>
    <xf numFmtId="165" fontId="9" fillId="0" borderId="0" xfId="1" applyNumberFormat="1" applyFont="1" applyFill="1" applyAlignment="1" applyProtection="1"/>
    <xf numFmtId="167" fontId="17" fillId="2" borderId="0" xfId="1" applyNumberFormat="1" applyFont="1" applyFill="1" applyAlignment="1" applyProtection="1">
      <alignment horizontal="left"/>
    </xf>
    <xf numFmtId="0" fontId="14" fillId="0" borderId="0" xfId="0" applyFont="1"/>
    <xf numFmtId="43" fontId="14" fillId="0" borderId="0" xfId="1" applyFont="1" applyBorder="1"/>
    <xf numFmtId="165" fontId="22" fillId="4" borderId="1" xfId="0" applyNumberFormat="1" applyFont="1" applyFill="1" applyBorder="1"/>
    <xf numFmtId="167" fontId="10" fillId="4" borderId="1" xfId="1" applyNumberFormat="1" applyFont="1" applyFill="1" applyBorder="1" applyAlignment="1" applyProtection="1">
      <alignment horizontal="right"/>
      <protection locked="0"/>
    </xf>
    <xf numFmtId="165" fontId="14" fillId="0" borderId="0" xfId="1" applyNumberFormat="1" applyFont="1" applyFill="1" applyBorder="1"/>
    <xf numFmtId="0" fontId="4" fillId="2" borderId="2" xfId="0" applyFont="1" applyFill="1" applyBorder="1"/>
    <xf numFmtId="0" fontId="11" fillId="2" borderId="2" xfId="5" applyFont="1" applyFill="1" applyBorder="1"/>
    <xf numFmtId="0" fontId="9" fillId="2" borderId="2" xfId="5" applyFont="1" applyFill="1" applyBorder="1"/>
    <xf numFmtId="165" fontId="24" fillId="0" borderId="4" xfId="1" applyNumberFormat="1" applyFont="1" applyFill="1" applyBorder="1" applyAlignment="1" applyProtection="1"/>
    <xf numFmtId="43" fontId="14" fillId="0" borderId="0" xfId="1" applyFont="1" applyFill="1" applyBorder="1"/>
    <xf numFmtId="169" fontId="22" fillId="4" borderId="1" xfId="0" applyNumberFormat="1" applyFont="1" applyFill="1" applyBorder="1"/>
    <xf numFmtId="43" fontId="19" fillId="2" borderId="0" xfId="1" applyFont="1" applyFill="1" applyAlignment="1" applyProtection="1">
      <alignment horizontal="right"/>
    </xf>
    <xf numFmtId="169" fontId="22" fillId="4" borderId="11" xfId="0" applyNumberFormat="1" applyFont="1" applyFill="1" applyBorder="1"/>
    <xf numFmtId="10" fontId="9" fillId="2" borderId="0" xfId="1" applyNumberFormat="1" applyFont="1" applyFill="1" applyAlignment="1" applyProtection="1"/>
    <xf numFmtId="167" fontId="19" fillId="0" borderId="0" xfId="1" applyNumberFormat="1" applyFont="1" applyFill="1" applyBorder="1" applyAlignment="1" applyProtection="1">
      <alignment horizontal="right"/>
    </xf>
    <xf numFmtId="0" fontId="22" fillId="0" borderId="12" xfId="0" applyFont="1" applyBorder="1"/>
    <xf numFmtId="43" fontId="14" fillId="0" borderId="13" xfId="1" applyFont="1" applyBorder="1"/>
    <xf numFmtId="43" fontId="25" fillId="4" borderId="7" xfId="1" applyFont="1" applyFill="1" applyBorder="1"/>
    <xf numFmtId="43" fontId="22" fillId="4" borderId="8" xfId="1" applyFont="1" applyFill="1" applyBorder="1"/>
    <xf numFmtId="167" fontId="26" fillId="0" borderId="0" xfId="1" applyNumberFormat="1" applyFont="1" applyFill="1" applyAlignment="1" applyProtection="1">
      <alignment horizontal="left"/>
    </xf>
    <xf numFmtId="43" fontId="27" fillId="0" borderId="7" xfId="1" applyFont="1" applyFill="1" applyBorder="1"/>
    <xf numFmtId="43" fontId="14" fillId="0" borderId="8" xfId="1" applyFont="1" applyFill="1" applyBorder="1" applyAlignment="1"/>
    <xf numFmtId="165" fontId="9" fillId="2" borderId="0" xfId="1" applyNumberFormat="1" applyFont="1" applyFill="1" applyBorder="1" applyAlignment="1" applyProtection="1"/>
    <xf numFmtId="43" fontId="22" fillId="4" borderId="6" xfId="1" applyFont="1" applyFill="1" applyBorder="1"/>
    <xf numFmtId="165" fontId="24" fillId="0" borderId="2" xfId="1" applyNumberFormat="1" applyFont="1" applyFill="1" applyBorder="1" applyAlignment="1" applyProtection="1"/>
    <xf numFmtId="43" fontId="14" fillId="0" borderId="7" xfId="1" applyFont="1" applyFill="1" applyBorder="1"/>
    <xf numFmtId="0" fontId="14" fillId="0" borderId="8" xfId="0" applyFont="1" applyBorder="1" applyAlignment="1">
      <alignment horizontal="left"/>
    </xf>
    <xf numFmtId="0" fontId="9" fillId="2" borderId="0" xfId="5" quotePrefix="1" applyFont="1" applyFill="1"/>
    <xf numFmtId="165" fontId="24" fillId="0" borderId="0" xfId="1" applyNumberFormat="1" applyFont="1" applyFill="1" applyBorder="1" applyAlignment="1" applyProtection="1"/>
    <xf numFmtId="0" fontId="11" fillId="2" borderId="0" xfId="1" applyNumberFormat="1" applyFont="1" applyFill="1" applyProtection="1"/>
    <xf numFmtId="43" fontId="11" fillId="2" borderId="0" xfId="1" quotePrefix="1" applyFont="1" applyFill="1" applyAlignment="1" applyProtection="1">
      <alignment horizontal="left"/>
    </xf>
    <xf numFmtId="43" fontId="11" fillId="2" borderId="0" xfId="1" applyFont="1" applyFill="1" applyProtection="1"/>
    <xf numFmtId="10" fontId="11" fillId="2" borderId="0" xfId="3" applyNumberFormat="1" applyFont="1" applyFill="1" applyBorder="1" applyProtection="1"/>
    <xf numFmtId="43" fontId="11" fillId="2" borderId="0" xfId="1" applyFont="1" applyFill="1" applyAlignment="1" applyProtection="1">
      <alignment horizontal="right"/>
    </xf>
    <xf numFmtId="0" fontId="9" fillId="2" borderId="0" xfId="5" quotePrefix="1" applyFont="1" applyFill="1" applyAlignment="1">
      <alignment horizontal="left"/>
    </xf>
    <xf numFmtId="165" fontId="10" fillId="4" borderId="1" xfId="2" applyNumberFormat="1" applyFont="1" applyFill="1" applyBorder="1" applyAlignment="1" applyProtection="1">
      <alignment horizontal="right"/>
      <protection locked="0"/>
    </xf>
    <xf numFmtId="10" fontId="19" fillId="2" borderId="0" xfId="3" applyNumberFormat="1" applyFont="1" applyFill="1" applyAlignment="1" applyProtection="1">
      <alignment horizontal="right"/>
    </xf>
    <xf numFmtId="0" fontId="11" fillId="2" borderId="0" xfId="5" quotePrefix="1" applyFont="1" applyFill="1" applyAlignment="1">
      <alignment horizontal="left"/>
    </xf>
    <xf numFmtId="165" fontId="11" fillId="2" borderId="14" xfId="1" applyNumberFormat="1" applyFont="1" applyFill="1" applyBorder="1" applyAlignment="1" applyProtection="1">
      <alignment horizontal="right"/>
    </xf>
    <xf numFmtId="170" fontId="19" fillId="2" borderId="0" xfId="3" applyNumberFormat="1" applyFont="1" applyFill="1" applyAlignment="1" applyProtection="1">
      <alignment horizontal="right"/>
    </xf>
    <xf numFmtId="43" fontId="11" fillId="2" borderId="0" xfId="5" applyNumberFormat="1" applyFont="1" applyFill="1"/>
    <xf numFmtId="165" fontId="11" fillId="2" borderId="0" xfId="1" applyNumberFormat="1" applyFont="1" applyFill="1" applyBorder="1" applyAlignment="1" applyProtection="1">
      <alignment horizontal="right"/>
    </xf>
    <xf numFmtId="165" fontId="20" fillId="2" borderId="0" xfId="5" applyNumberFormat="1" applyFont="1" applyFill="1"/>
    <xf numFmtId="43" fontId="22" fillId="4" borderId="9" xfId="1" applyFont="1" applyFill="1" applyBorder="1"/>
    <xf numFmtId="43" fontId="22" fillId="4" borderId="10" xfId="1" applyFont="1" applyFill="1" applyBorder="1"/>
    <xf numFmtId="165" fontId="11" fillId="2" borderId="0" xfId="1" applyNumberFormat="1" applyFont="1" applyFill="1" applyAlignment="1" applyProtection="1">
      <alignment horizontal="right"/>
    </xf>
    <xf numFmtId="39" fontId="9" fillId="2" borderId="0" xfId="5" applyNumberFormat="1" applyFont="1" applyFill="1" applyAlignment="1">
      <alignment horizontal="left"/>
    </xf>
    <xf numFmtId="0" fontId="9" fillId="2" borderId="3" xfId="0" applyFont="1" applyFill="1" applyBorder="1"/>
    <xf numFmtId="43" fontId="15" fillId="2" borderId="0" xfId="5" applyNumberFormat="1" applyFont="1" applyFill="1"/>
    <xf numFmtId="43" fontId="22" fillId="4" borderId="7" xfId="1" applyFont="1" applyFill="1" applyBorder="1"/>
    <xf numFmtId="165" fontId="11" fillId="2" borderId="1" xfId="1" applyNumberFormat="1" applyFont="1" applyFill="1" applyBorder="1" applyAlignment="1" applyProtection="1">
      <alignment horizontal="center"/>
    </xf>
    <xf numFmtId="43" fontId="14" fillId="0" borderId="8" xfId="1" applyFont="1" applyFill="1" applyBorder="1"/>
    <xf numFmtId="43" fontId="14" fillId="0" borderId="10" xfId="1" applyFont="1" applyFill="1" applyBorder="1"/>
    <xf numFmtId="165" fontId="10" fillId="4" borderId="1" xfId="2" applyNumberFormat="1" applyFont="1" applyFill="1" applyBorder="1" applyAlignment="1" applyProtection="1">
      <alignment horizontal="center"/>
      <protection locked="0"/>
    </xf>
    <xf numFmtId="43" fontId="14" fillId="0" borderId="7" xfId="1" applyFont="1" applyBorder="1"/>
    <xf numFmtId="165" fontId="4" fillId="2" borderId="0" xfId="0" applyNumberFormat="1" applyFont="1" applyFill="1"/>
    <xf numFmtId="0" fontId="4" fillId="3" borderId="0" xfId="0" applyFont="1" applyFill="1"/>
    <xf numFmtId="0" fontId="22" fillId="0" borderId="0" xfId="0" quotePrefix="1" applyFont="1" applyAlignment="1">
      <alignment horizontal="left" vertical="top"/>
    </xf>
    <xf numFmtId="0" fontId="28" fillId="0" borderId="0" xfId="0" quotePrefix="1" applyFont="1" applyAlignment="1">
      <alignment horizontal="centerContinuous" vertical="top"/>
    </xf>
    <xf numFmtId="0" fontId="25" fillId="0" borderId="0" xfId="6" applyFont="1"/>
    <xf numFmtId="0" fontId="12" fillId="0" borderId="0" xfId="6"/>
    <xf numFmtId="0" fontId="12" fillId="0" borderId="15" xfId="6" applyBorder="1"/>
    <xf numFmtId="0" fontId="25" fillId="0" borderId="15" xfId="6" applyFont="1" applyBorder="1"/>
    <xf numFmtId="0" fontId="4" fillId="5" borderId="0" xfId="0" applyFont="1" applyFill="1"/>
    <xf numFmtId="43" fontId="12" fillId="0" borderId="8" xfId="1" applyFont="1" applyFill="1" applyBorder="1"/>
    <xf numFmtId="14" fontId="25" fillId="0" borderId="15" xfId="6" applyNumberFormat="1" applyFont="1" applyBorder="1"/>
    <xf numFmtId="43" fontId="12" fillId="0" borderId="7" xfId="1" applyFont="1" applyFill="1" applyBorder="1"/>
    <xf numFmtId="0" fontId="3" fillId="2" borderId="0" xfId="4" applyFont="1" applyFill="1" applyAlignment="1">
      <alignment horizontal="left"/>
    </xf>
    <xf numFmtId="0" fontId="12" fillId="2" borderId="0" xfId="0" applyFont="1" applyFill="1"/>
    <xf numFmtId="43" fontId="12" fillId="2" borderId="0" xfId="1" applyFont="1" applyFill="1" applyProtection="1"/>
    <xf numFmtId="7" fontId="12" fillId="2" borderId="0" xfId="0" applyNumberFormat="1" applyFont="1" applyFill="1"/>
    <xf numFmtId="49" fontId="12" fillId="2" borderId="0" xfId="0" applyNumberFormat="1" applyFont="1" applyFill="1" applyAlignment="1">
      <alignment horizontal="center"/>
    </xf>
    <xf numFmtId="42" fontId="12" fillId="2" borderId="0" xfId="2" applyNumberFormat="1" applyFont="1" applyFill="1" applyBorder="1" applyAlignment="1" applyProtection="1">
      <alignment horizontal="right"/>
    </xf>
    <xf numFmtId="10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25" fillId="2" borderId="16" xfId="0" applyFont="1" applyFill="1" applyBorder="1" applyAlignment="1">
      <alignment horizontal="centerContinuous"/>
    </xf>
    <xf numFmtId="0" fontId="25" fillId="2" borderId="17" xfId="0" applyFont="1" applyFill="1" applyBorder="1" applyAlignment="1">
      <alignment horizontal="centerContinuous"/>
    </xf>
    <xf numFmtId="0" fontId="25" fillId="2" borderId="18" xfId="0" applyFont="1" applyFill="1" applyBorder="1" applyAlignment="1">
      <alignment horizontal="centerContinuous"/>
    </xf>
    <xf numFmtId="10" fontId="12" fillId="0" borderId="0" xfId="0" applyNumberFormat="1" applyFont="1" applyAlignment="1">
      <alignment horizontal="center"/>
    </xf>
    <xf numFmtId="0" fontId="11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43" fontId="11" fillId="0" borderId="0" xfId="1" applyFont="1" applyFill="1" applyBorder="1" applyAlignment="1" applyProtection="1">
      <alignment horizontal="center"/>
    </xf>
    <xf numFmtId="10" fontId="9" fillId="0" borderId="2" xfId="3" applyNumberFormat="1" applyFont="1" applyFill="1" applyBorder="1" applyAlignment="1" applyProtection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10" fontId="9" fillId="0" borderId="0" xfId="3" applyNumberFormat="1" applyFont="1" applyFill="1" applyBorder="1" applyAlignment="1" applyProtection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5" fillId="2" borderId="0" xfId="0" applyFont="1" applyFill="1"/>
    <xf numFmtId="169" fontId="12" fillId="2" borderId="0" xfId="0" applyNumberFormat="1" applyFont="1" applyFill="1"/>
    <xf numFmtId="0" fontId="29" fillId="2" borderId="0" xfId="0" applyFont="1" applyFill="1"/>
    <xf numFmtId="0" fontId="12" fillId="2" borderId="19" xfId="0" applyFont="1" applyFill="1" applyBorder="1" applyAlignment="1">
      <alignment horizontal="center"/>
    </xf>
    <xf numFmtId="0" fontId="12" fillId="2" borderId="20" xfId="0" applyFont="1" applyFill="1" applyBorder="1" applyAlignment="1">
      <alignment horizontal="center"/>
    </xf>
    <xf numFmtId="10" fontId="11" fillId="2" borderId="0" xfId="3" applyNumberFormat="1" applyFont="1" applyFill="1" applyAlignment="1" applyProtection="1">
      <alignment horizontal="right"/>
    </xf>
    <xf numFmtId="10" fontId="30" fillId="2" borderId="0" xfId="3" applyNumberFormat="1" applyFont="1" applyFill="1" applyAlignment="1" applyProtection="1">
      <alignment horizontal="center"/>
    </xf>
    <xf numFmtId="10" fontId="11" fillId="0" borderId="0" xfId="3" applyNumberFormat="1" applyFont="1" applyFill="1" applyBorder="1" applyAlignment="1" applyProtection="1">
      <alignment horizontal="center"/>
    </xf>
    <xf numFmtId="10" fontId="9" fillId="0" borderId="1" xfId="3" applyNumberFormat="1" applyFont="1" applyFill="1" applyBorder="1" applyAlignment="1" applyProtection="1">
      <alignment horizontal="center"/>
    </xf>
    <xf numFmtId="167" fontId="9" fillId="0" borderId="0" xfId="0" applyNumberFormat="1" applyFont="1" applyAlignment="1">
      <alignment horizontal="center"/>
    </xf>
    <xf numFmtId="0" fontId="9" fillId="0" borderId="1" xfId="3" applyNumberFormat="1" applyFont="1" applyFill="1" applyBorder="1" applyAlignment="1" applyProtection="1">
      <alignment horizontal="center"/>
    </xf>
    <xf numFmtId="167" fontId="9" fillId="0" borderId="1" xfId="1" applyNumberFormat="1" applyFont="1" applyFill="1" applyBorder="1" applyProtection="1"/>
    <xf numFmtId="10" fontId="12" fillId="2" borderId="0" xfId="3" applyNumberFormat="1" applyFont="1" applyFill="1" applyProtection="1"/>
    <xf numFmtId="168" fontId="29" fillId="2" borderId="0" xfId="0" applyNumberFormat="1" applyFont="1" applyFill="1"/>
    <xf numFmtId="171" fontId="9" fillId="0" borderId="19" xfId="2" applyNumberFormat="1" applyFont="1" applyFill="1" applyBorder="1" applyAlignment="1" applyProtection="1">
      <alignment horizontal="center"/>
      <protection locked="0"/>
    </xf>
    <xf numFmtId="171" fontId="9" fillId="0" borderId="0" xfId="2" applyNumberFormat="1" applyFont="1" applyFill="1" applyBorder="1" applyAlignment="1" applyProtection="1">
      <alignment horizontal="center"/>
      <protection locked="0"/>
    </xf>
    <xf numFmtId="171" fontId="9" fillId="0" borderId="20" xfId="2" applyNumberFormat="1" applyFont="1" applyFill="1" applyBorder="1" applyAlignment="1" applyProtection="1">
      <alignment horizontal="center"/>
      <protection locked="0"/>
    </xf>
    <xf numFmtId="10" fontId="29" fillId="2" borderId="0" xfId="0" applyNumberFormat="1" applyFont="1" applyFill="1"/>
    <xf numFmtId="10" fontId="11" fillId="2" borderId="0" xfId="3" applyNumberFormat="1" applyFont="1" applyFill="1" applyAlignment="1" applyProtection="1">
      <alignment horizontal="center"/>
    </xf>
    <xf numFmtId="172" fontId="11" fillId="0" borderId="0" xfId="1" applyNumberFormat="1" applyFont="1" applyFill="1" applyBorder="1" applyAlignment="1" applyProtection="1">
      <alignment horizontal="center"/>
    </xf>
    <xf numFmtId="167" fontId="11" fillId="0" borderId="0" xfId="0" quotePrefix="1" applyNumberFormat="1" applyFont="1" applyAlignment="1">
      <alignment horizontal="center"/>
    </xf>
    <xf numFmtId="43" fontId="11" fillId="0" borderId="0" xfId="0" quotePrefix="1" applyNumberFormat="1" applyFont="1" applyAlignment="1">
      <alignment horizontal="center"/>
    </xf>
    <xf numFmtId="167" fontId="9" fillId="0" borderId="0" xfId="0" applyNumberFormat="1" applyFont="1"/>
    <xf numFmtId="0" fontId="9" fillId="0" borderId="1" xfId="0" applyFont="1" applyBorder="1" applyAlignment="1">
      <alignment horizontal="center"/>
    </xf>
    <xf numFmtId="173" fontId="25" fillId="2" borderId="0" xfId="0" applyNumberFormat="1" applyFont="1" applyFill="1" applyAlignment="1">
      <alignment horizontal="right"/>
    </xf>
    <xf numFmtId="0" fontId="31" fillId="2" borderId="0" xfId="0" applyFont="1" applyFill="1"/>
    <xf numFmtId="43" fontId="12" fillId="2" borderId="0" xfId="1" applyFont="1" applyFill="1" applyAlignment="1" applyProtection="1">
      <alignment horizontal="center"/>
    </xf>
    <xf numFmtId="43" fontId="12" fillId="2" borderId="0" xfId="0" applyNumberFormat="1" applyFont="1" applyFill="1" applyAlignment="1">
      <alignment horizontal="center"/>
    </xf>
    <xf numFmtId="44" fontId="12" fillId="2" borderId="0" xfId="2" applyFont="1" applyFill="1" applyProtection="1"/>
    <xf numFmtId="14" fontId="12" fillId="2" borderId="0" xfId="0" applyNumberFormat="1" applyFont="1" applyFill="1"/>
    <xf numFmtId="167" fontId="29" fillId="0" borderId="0" xfId="1" applyNumberFormat="1" applyFont="1" applyFill="1" applyBorder="1" applyProtection="1"/>
    <xf numFmtId="43" fontId="11" fillId="2" borderId="0" xfId="0" applyNumberFormat="1" applyFont="1" applyFill="1" applyAlignment="1">
      <alignment horizontal="center"/>
    </xf>
    <xf numFmtId="172" fontId="32" fillId="2" borderId="0" xfId="3" applyNumberFormat="1" applyFont="1" applyFill="1" applyAlignment="1" applyProtection="1">
      <alignment horizontal="center"/>
    </xf>
    <xf numFmtId="10" fontId="32" fillId="2" borderId="0" xfId="3" applyNumberFormat="1" applyFont="1" applyFill="1" applyAlignment="1" applyProtection="1">
      <alignment horizontal="center"/>
    </xf>
    <xf numFmtId="173" fontId="31" fillId="2" borderId="0" xfId="0" applyNumberFormat="1" applyFont="1" applyFill="1" applyAlignment="1">
      <alignment horizontal="right"/>
    </xf>
    <xf numFmtId="173" fontId="25" fillId="2" borderId="0" xfId="0" applyNumberFormat="1" applyFont="1" applyFill="1" applyAlignment="1">
      <alignment horizontal="left"/>
    </xf>
    <xf numFmtId="0" fontId="33" fillId="2" borderId="0" xfId="0" applyFont="1" applyFill="1"/>
    <xf numFmtId="167" fontId="29" fillId="2" borderId="0" xfId="1" applyNumberFormat="1" applyFont="1" applyFill="1" applyBorder="1" applyProtection="1"/>
    <xf numFmtId="171" fontId="9" fillId="0" borderId="21" xfId="2" applyNumberFormat="1" applyFont="1" applyFill="1" applyBorder="1" applyAlignment="1" applyProtection="1">
      <alignment horizontal="center"/>
      <protection locked="0"/>
    </xf>
    <xf numFmtId="171" fontId="9" fillId="0" borderId="15" xfId="2" applyNumberFormat="1" applyFont="1" applyFill="1" applyBorder="1" applyAlignment="1" applyProtection="1">
      <alignment horizontal="center"/>
      <protection locked="0"/>
    </xf>
    <xf numFmtId="171" fontId="9" fillId="0" borderId="22" xfId="2" applyNumberFormat="1" applyFont="1" applyFill="1" applyBorder="1" applyAlignment="1" applyProtection="1">
      <alignment horizontal="center"/>
      <protection locked="0"/>
    </xf>
    <xf numFmtId="167" fontId="11" fillId="0" borderId="0" xfId="1" applyNumberFormat="1" applyFont="1" applyFill="1" applyBorder="1" applyAlignment="1" applyProtection="1">
      <alignment horizontal="right"/>
    </xf>
    <xf numFmtId="167" fontId="11" fillId="0" borderId="0" xfId="0" applyNumberFormat="1" applyFont="1" applyAlignment="1">
      <alignment horizontal="center"/>
    </xf>
    <xf numFmtId="172" fontId="11" fillId="0" borderId="0" xfId="0" applyNumberFormat="1" applyFont="1" applyAlignment="1">
      <alignment horizontal="right"/>
    </xf>
    <xf numFmtId="167" fontId="11" fillId="0" borderId="0" xfId="0" applyNumberFormat="1" applyFont="1"/>
    <xf numFmtId="43" fontId="11" fillId="0" borderId="0" xfId="0" applyNumberFormat="1" applyFont="1"/>
    <xf numFmtId="0" fontId="9" fillId="6" borderId="1" xfId="0" applyFont="1" applyFill="1" applyBorder="1" applyAlignment="1">
      <alignment horizontal="center"/>
    </xf>
    <xf numFmtId="173" fontId="31" fillId="2" borderId="0" xfId="0" applyNumberFormat="1" applyFont="1" applyFill="1" applyAlignment="1">
      <alignment horizontal="left"/>
    </xf>
    <xf numFmtId="167" fontId="34" fillId="0" borderId="0" xfId="1" applyNumberFormat="1" applyFont="1" applyFill="1" applyAlignment="1" applyProtection="1">
      <alignment horizontal="center"/>
    </xf>
    <xf numFmtId="44" fontId="9" fillId="2" borderId="0" xfId="0" applyNumberFormat="1" applyFont="1" applyFill="1"/>
    <xf numFmtId="43" fontId="11" fillId="0" borderId="0" xfId="0" applyNumberFormat="1" applyFont="1" applyAlignment="1">
      <alignment horizontal="center"/>
    </xf>
    <xf numFmtId="10" fontId="11" fillId="0" borderId="0" xfId="3" applyNumberFormat="1" applyFont="1" applyFill="1" applyProtection="1"/>
    <xf numFmtId="167" fontId="12" fillId="0" borderId="0" xfId="0" applyNumberFormat="1" applyFont="1"/>
    <xf numFmtId="5" fontId="11" fillId="2" borderId="0" xfId="0" applyNumberFormat="1" applyFont="1" applyFill="1" applyAlignment="1">
      <alignment horizontal="center"/>
    </xf>
    <xf numFmtId="174" fontId="11" fillId="2" borderId="0" xfId="0" applyNumberFormat="1" applyFont="1" applyFill="1" applyAlignment="1">
      <alignment horizontal="center"/>
    </xf>
    <xf numFmtId="43" fontId="26" fillId="2" borderId="0" xfId="0" applyNumberFormat="1" applyFont="1" applyFill="1" applyAlignment="1">
      <alignment horizontal="center"/>
    </xf>
    <xf numFmtId="9" fontId="11" fillId="0" borderId="0" xfId="3" applyFont="1" applyFill="1" applyAlignment="1" applyProtection="1">
      <alignment horizontal="center"/>
    </xf>
    <xf numFmtId="167" fontId="0" fillId="0" borderId="0" xfId="0" applyNumberFormat="1"/>
    <xf numFmtId="169" fontId="12" fillId="0" borderId="0" xfId="0" applyNumberFormat="1" applyFont="1"/>
    <xf numFmtId="169" fontId="14" fillId="0" borderId="0" xfId="0" applyNumberFormat="1" applyFont="1"/>
    <xf numFmtId="169" fontId="22" fillId="0" borderId="0" xfId="0" applyNumberFormat="1" applyFont="1"/>
    <xf numFmtId="49" fontId="12" fillId="0" borderId="0" xfId="0" applyNumberFormat="1" applyFont="1" applyAlignment="1">
      <alignment horizontal="center"/>
    </xf>
    <xf numFmtId="14" fontId="12" fillId="2" borderId="0" xfId="0" applyNumberFormat="1" applyFont="1" applyFill="1" applyAlignment="1">
      <alignment horizontal="center"/>
    </xf>
    <xf numFmtId="0" fontId="8" fillId="8" borderId="12" xfId="0" applyFont="1" applyFill="1" applyBorder="1" applyAlignment="1">
      <alignment horizontal="centerContinuous"/>
    </xf>
    <xf numFmtId="0" fontId="8" fillId="8" borderId="13" xfId="0" applyFont="1" applyFill="1" applyBorder="1" applyAlignment="1">
      <alignment horizontal="centerContinuous"/>
    </xf>
    <xf numFmtId="0" fontId="11" fillId="8" borderId="12" xfId="0" applyFont="1" applyFill="1" applyBorder="1" applyAlignment="1">
      <alignment horizontal="centerContinuous"/>
    </xf>
    <xf numFmtId="0" fontId="11" fillId="8" borderId="4" xfId="0" applyFont="1" applyFill="1" applyBorder="1" applyAlignment="1">
      <alignment horizontal="centerContinuous"/>
    </xf>
    <xf numFmtId="0" fontId="11" fillId="8" borderId="13" xfId="0" applyFont="1" applyFill="1" applyBorder="1" applyAlignment="1">
      <alignment horizontal="centerContinuous"/>
    </xf>
    <xf numFmtId="43" fontId="11" fillId="8" borderId="12" xfId="0" applyNumberFormat="1" applyFont="1" applyFill="1" applyBorder="1" applyAlignment="1">
      <alignment horizontal="centerContinuous"/>
    </xf>
    <xf numFmtId="43" fontId="11" fillId="8" borderId="4" xfId="0" applyNumberFormat="1" applyFont="1" applyFill="1" applyBorder="1" applyAlignment="1">
      <alignment horizontal="centerContinuous"/>
    </xf>
    <xf numFmtId="49" fontId="25" fillId="8" borderId="12" xfId="0" applyNumberFormat="1" applyFont="1" applyFill="1" applyBorder="1" applyAlignment="1">
      <alignment horizontal="centerContinuous"/>
    </xf>
    <xf numFmtId="49" fontId="25" fillId="8" borderId="4" xfId="0" applyNumberFormat="1" applyFont="1" applyFill="1" applyBorder="1" applyAlignment="1">
      <alignment horizontal="centerContinuous"/>
    </xf>
    <xf numFmtId="0" fontId="8" fillId="8" borderId="4" xfId="0" applyFont="1" applyFill="1" applyBorder="1" applyAlignment="1">
      <alignment horizontal="centerContinuous"/>
    </xf>
    <xf numFmtId="0" fontId="8" fillId="8" borderId="1" xfId="0" applyFont="1" applyFill="1" applyBorder="1" applyAlignment="1">
      <alignment horizontal="centerContinuous"/>
    </xf>
    <xf numFmtId="44" fontId="9" fillId="0" borderId="0" xfId="0" applyNumberFormat="1" applyFont="1"/>
    <xf numFmtId="169" fontId="25" fillId="0" borderId="0" xfId="0" applyNumberFormat="1" applyFont="1"/>
    <xf numFmtId="175" fontId="22" fillId="0" borderId="0" xfId="0" applyNumberFormat="1" applyFont="1"/>
    <xf numFmtId="0" fontId="11" fillId="9" borderId="1" xfId="0" applyFont="1" applyFill="1" applyBorder="1" applyAlignment="1">
      <alignment horizontal="center" wrapText="1"/>
    </xf>
    <xf numFmtId="0" fontId="11" fillId="9" borderId="1" xfId="0" applyFont="1" applyFill="1" applyBorder="1" applyAlignment="1">
      <alignment horizontal="center"/>
    </xf>
    <xf numFmtId="42" fontId="11" fillId="9" borderId="1" xfId="0" applyNumberFormat="1" applyFont="1" applyFill="1" applyBorder="1" applyAlignment="1">
      <alignment horizontal="center" wrapText="1"/>
    </xf>
    <xf numFmtId="0" fontId="11" fillId="9" borderId="1" xfId="0" quotePrefix="1" applyFont="1" applyFill="1" applyBorder="1" applyAlignment="1">
      <alignment horizontal="center" wrapText="1"/>
    </xf>
    <xf numFmtId="10" fontId="11" fillId="9" borderId="1" xfId="3" applyNumberFormat="1" applyFont="1" applyFill="1" applyBorder="1" applyAlignment="1" applyProtection="1">
      <alignment horizontal="center" wrapText="1"/>
    </xf>
    <xf numFmtId="0" fontId="11" fillId="9" borderId="11" xfId="0" applyFont="1" applyFill="1" applyBorder="1" applyAlignment="1">
      <alignment horizontal="center" wrapText="1"/>
    </xf>
    <xf numFmtId="0" fontId="11" fillId="0" borderId="0" xfId="0" quotePrefix="1" applyFont="1" applyAlignment="1">
      <alignment horizontal="center" wrapText="1"/>
    </xf>
    <xf numFmtId="0" fontId="11" fillId="10" borderId="1" xfId="0" applyFont="1" applyFill="1" applyBorder="1" applyAlignment="1">
      <alignment horizontal="center" wrapText="1"/>
    </xf>
    <xf numFmtId="4" fontId="11" fillId="11" borderId="12" xfId="0" applyNumberFormat="1" applyFont="1" applyFill="1" applyBorder="1" applyAlignment="1">
      <alignment horizontal="center" wrapText="1"/>
    </xf>
    <xf numFmtId="4" fontId="11" fillId="11" borderId="4" xfId="0" applyNumberFormat="1" applyFont="1" applyFill="1" applyBorder="1" applyAlignment="1">
      <alignment horizontal="center" wrapText="1"/>
    </xf>
    <xf numFmtId="4" fontId="11" fillId="11" borderId="13" xfId="0" applyNumberFormat="1" applyFont="1" applyFill="1" applyBorder="1" applyAlignment="1">
      <alignment horizontal="center" wrapText="1"/>
    </xf>
    <xf numFmtId="4" fontId="11" fillId="12" borderId="12" xfId="0" applyNumberFormat="1" applyFont="1" applyFill="1" applyBorder="1" applyAlignment="1">
      <alignment horizontal="center" wrapText="1"/>
    </xf>
    <xf numFmtId="4" fontId="11" fillId="12" borderId="4" xfId="0" applyNumberFormat="1" applyFont="1" applyFill="1" applyBorder="1" applyAlignment="1">
      <alignment horizontal="center" wrapText="1"/>
    </xf>
    <xf numFmtId="4" fontId="11" fillId="12" borderId="13" xfId="0" applyNumberFormat="1" applyFont="1" applyFill="1" applyBorder="1" applyAlignment="1">
      <alignment horizontal="center" wrapText="1"/>
    </xf>
    <xf numFmtId="0" fontId="11" fillId="7" borderId="1" xfId="0" quotePrefix="1" applyFont="1" applyFill="1" applyBorder="1" applyAlignment="1">
      <alignment horizontal="center" wrapText="1"/>
    </xf>
    <xf numFmtId="0" fontId="11" fillId="7" borderId="1" xfId="0" applyFont="1" applyFill="1" applyBorder="1" applyAlignment="1">
      <alignment horizontal="center" wrapText="1"/>
    </xf>
    <xf numFmtId="0" fontId="11" fillId="7" borderId="7" xfId="0" applyFont="1" applyFill="1" applyBorder="1" applyAlignment="1">
      <alignment horizontal="center" wrapText="1"/>
    </xf>
    <xf numFmtId="42" fontId="25" fillId="9" borderId="1" xfId="0" applyNumberFormat="1" applyFont="1" applyFill="1" applyBorder="1" applyAlignment="1">
      <alignment horizontal="center" wrapText="1"/>
    </xf>
    <xf numFmtId="0" fontId="25" fillId="7" borderId="12" xfId="0" applyFont="1" applyFill="1" applyBorder="1" applyAlignment="1">
      <alignment horizontal="center" wrapText="1"/>
    </xf>
    <xf numFmtId="0" fontId="25" fillId="7" borderId="4" xfId="0" applyFont="1" applyFill="1" applyBorder="1" applyAlignment="1">
      <alignment horizontal="center" wrapText="1"/>
    </xf>
    <xf numFmtId="0" fontId="25" fillId="7" borderId="13" xfId="0" applyFont="1" applyFill="1" applyBorder="1" applyAlignment="1">
      <alignment horizontal="center" wrapText="1"/>
    </xf>
    <xf numFmtId="0" fontId="25" fillId="13" borderId="12" xfId="0" applyFont="1" applyFill="1" applyBorder="1" applyAlignment="1">
      <alignment horizontal="center" wrapText="1"/>
    </xf>
    <xf numFmtId="0" fontId="25" fillId="13" borderId="4" xfId="0" applyFont="1" applyFill="1" applyBorder="1" applyAlignment="1">
      <alignment horizontal="center" wrapText="1"/>
    </xf>
    <xf numFmtId="0" fontId="25" fillId="13" borderId="13" xfId="0" applyFont="1" applyFill="1" applyBorder="1" applyAlignment="1">
      <alignment horizontal="center" wrapText="1"/>
    </xf>
    <xf numFmtId="0" fontId="9" fillId="0" borderId="23" xfId="0" applyFont="1" applyBorder="1" applyAlignment="1" applyProtection="1">
      <alignment horizontal="center"/>
      <protection locked="0"/>
    </xf>
    <xf numFmtId="14" fontId="10" fillId="14" borderId="23" xfId="0" applyNumberFormat="1" applyFont="1" applyFill="1" applyBorder="1" applyAlignment="1" applyProtection="1">
      <alignment horizontal="center"/>
      <protection locked="0"/>
    </xf>
    <xf numFmtId="2" fontId="4" fillId="0" borderId="23" xfId="2" applyNumberFormat="1" applyFont="1" applyFill="1" applyBorder="1" applyAlignment="1" applyProtection="1">
      <alignment horizontal="center"/>
      <protection locked="0"/>
    </xf>
    <xf numFmtId="169" fontId="9" fillId="0" borderId="23" xfId="2" applyNumberFormat="1" applyFont="1" applyFill="1" applyBorder="1" applyAlignment="1" applyProtection="1">
      <alignment horizontal="center"/>
      <protection locked="0"/>
    </xf>
    <xf numFmtId="0" fontId="10" fillId="14" borderId="24" xfId="0" applyFont="1" applyFill="1" applyBorder="1" applyAlignment="1" applyProtection="1">
      <alignment horizontal="center"/>
      <protection locked="0"/>
    </xf>
    <xf numFmtId="2" fontId="9" fillId="0" borderId="24" xfId="0" applyNumberFormat="1" applyFont="1" applyBorder="1" applyAlignment="1" applyProtection="1">
      <alignment horizontal="center"/>
      <protection locked="0"/>
    </xf>
    <xf numFmtId="10" fontId="10" fillId="14" borderId="23" xfId="3" applyNumberFormat="1" applyFont="1" applyFill="1" applyBorder="1" applyAlignment="1" applyProtection="1">
      <alignment horizontal="center"/>
      <protection locked="0"/>
    </xf>
    <xf numFmtId="0" fontId="9" fillId="0" borderId="24" xfId="0" applyFont="1" applyBorder="1" applyAlignment="1" applyProtection="1">
      <alignment horizontal="center"/>
      <protection locked="0"/>
    </xf>
    <xf numFmtId="10" fontId="35" fillId="0" borderId="23" xfId="3" applyNumberFormat="1" applyFont="1" applyFill="1" applyBorder="1" applyAlignment="1" applyProtection="1">
      <alignment horizontal="center"/>
      <protection locked="0"/>
    </xf>
    <xf numFmtId="44" fontId="9" fillId="0" borderId="23" xfId="2" applyFont="1" applyFill="1" applyBorder="1" applyAlignment="1" applyProtection="1">
      <alignment horizontal="center"/>
    </xf>
    <xf numFmtId="0" fontId="10" fillId="14" borderId="23" xfId="0" applyFont="1" applyFill="1" applyBorder="1" applyAlignment="1" applyProtection="1">
      <alignment horizontal="center"/>
      <protection locked="0"/>
    </xf>
    <xf numFmtId="174" fontId="10" fillId="14" borderId="23" xfId="3" applyNumberFormat="1" applyFont="1" applyFill="1" applyBorder="1" applyAlignment="1" applyProtection="1">
      <alignment horizontal="center"/>
      <protection locked="0"/>
    </xf>
    <xf numFmtId="171" fontId="10" fillId="15" borderId="23" xfId="2" applyNumberFormat="1" applyFont="1" applyFill="1" applyBorder="1" applyAlignment="1" applyProtection="1">
      <alignment horizontal="center"/>
      <protection locked="0"/>
    </xf>
    <xf numFmtId="9" fontId="10" fillId="15" borderId="23" xfId="3" applyFont="1" applyFill="1" applyBorder="1" applyAlignment="1" applyProtection="1">
      <alignment horizontal="center"/>
      <protection locked="0"/>
    </xf>
    <xf numFmtId="171" fontId="10" fillId="14" borderId="23" xfId="2" applyNumberFormat="1" applyFont="1" applyFill="1" applyBorder="1" applyAlignment="1" applyProtection="1">
      <alignment horizontal="center"/>
      <protection locked="0"/>
    </xf>
    <xf numFmtId="169" fontId="10" fillId="15" borderId="23" xfId="2" applyNumberFormat="1" applyFont="1" applyFill="1" applyBorder="1" applyAlignment="1" applyProtection="1">
      <alignment horizontal="center"/>
      <protection locked="0"/>
    </xf>
    <xf numFmtId="14" fontId="10" fillId="14" borderId="23" xfId="1" applyNumberFormat="1" applyFont="1" applyFill="1" applyBorder="1" applyAlignment="1" applyProtection="1">
      <alignment horizontal="center"/>
      <protection locked="0"/>
    </xf>
    <xf numFmtId="174" fontId="9" fillId="0" borderId="23" xfId="0" applyNumberFormat="1" applyFont="1" applyBorder="1" applyAlignment="1">
      <alignment horizontal="center"/>
    </xf>
    <xf numFmtId="10" fontId="9" fillId="0" borderId="23" xfId="3" applyNumberFormat="1" applyFont="1" applyFill="1" applyBorder="1" applyAlignment="1" applyProtection="1">
      <alignment horizontal="center"/>
      <protection locked="0"/>
    </xf>
    <xf numFmtId="176" fontId="10" fillId="14" borderId="23" xfId="0" applyNumberFormat="1" applyFont="1" applyFill="1" applyBorder="1" applyProtection="1">
      <protection locked="0"/>
    </xf>
    <xf numFmtId="44" fontId="9" fillId="2" borderId="23" xfId="0" applyNumberFormat="1" applyFont="1" applyFill="1" applyBorder="1" applyAlignment="1">
      <alignment horizontal="center"/>
    </xf>
    <xf numFmtId="43" fontId="9" fillId="0" borderId="0" xfId="1" applyFont="1" applyFill="1" applyBorder="1" applyAlignment="1" applyProtection="1">
      <alignment horizontal="center"/>
    </xf>
    <xf numFmtId="177" fontId="9" fillId="0" borderId="0" xfId="0" applyNumberFormat="1" applyFont="1"/>
    <xf numFmtId="177" fontId="9" fillId="0" borderId="0" xfId="2" applyNumberFormat="1" applyFont="1" applyFill="1" applyProtection="1"/>
    <xf numFmtId="178" fontId="9" fillId="0" borderId="0" xfId="0" applyNumberFormat="1" applyFont="1" applyAlignment="1">
      <alignment horizontal="center"/>
    </xf>
    <xf numFmtId="176" fontId="9" fillId="0" borderId="0" xfId="0" applyNumberFormat="1" applyFont="1" applyAlignment="1">
      <alignment horizontal="center"/>
    </xf>
    <xf numFmtId="42" fontId="9" fillId="0" borderId="0" xfId="0" applyNumberFormat="1" applyFont="1"/>
    <xf numFmtId="167" fontId="9" fillId="0" borderId="0" xfId="1" applyNumberFormat="1" applyFont="1" applyFill="1" applyProtection="1"/>
    <xf numFmtId="10" fontId="9" fillId="0" borderId="0" xfId="3" applyNumberFormat="1" applyFont="1" applyFill="1" applyProtection="1"/>
    <xf numFmtId="44" fontId="9" fillId="14" borderId="23" xfId="2" applyFont="1" applyFill="1" applyBorder="1" applyAlignment="1" applyProtection="1">
      <alignment horizontal="center"/>
      <protection locked="0"/>
    </xf>
    <xf numFmtId="1" fontId="14" fillId="0" borderId="0" xfId="0" applyNumberFormat="1" applyFont="1" applyAlignment="1">
      <alignment horizontal="center"/>
    </xf>
    <xf numFmtId="176" fontId="12" fillId="0" borderId="23" xfId="0" applyNumberFormat="1" applyFont="1" applyBorder="1" applyAlignment="1">
      <alignment horizontal="center"/>
    </xf>
    <xf numFmtId="0" fontId="10" fillId="4" borderId="23" xfId="0" applyFont="1" applyFill="1" applyBorder="1" applyAlignment="1" applyProtection="1">
      <alignment horizontal="center"/>
      <protection locked="0"/>
    </xf>
    <xf numFmtId="172" fontId="10" fillId="14" borderId="23" xfId="3" applyNumberFormat="1" applyFont="1" applyFill="1" applyBorder="1" applyAlignment="1" applyProtection="1">
      <alignment horizontal="center"/>
      <protection locked="0"/>
    </xf>
    <xf numFmtId="10" fontId="9" fillId="14" borderId="23" xfId="3" applyNumberFormat="1" applyFont="1" applyFill="1" applyBorder="1" applyAlignment="1" applyProtection="1">
      <alignment horizontal="center"/>
      <protection locked="0"/>
    </xf>
    <xf numFmtId="44" fontId="12" fillId="0" borderId="0" xfId="2" applyFont="1" applyFill="1" applyProtection="1"/>
    <xf numFmtId="42" fontId="12" fillId="0" borderId="0" xfId="2" applyNumberFormat="1" applyFont="1" applyFill="1" applyBorder="1" applyAlignment="1" applyProtection="1">
      <alignment horizontal="right"/>
    </xf>
    <xf numFmtId="4" fontId="12" fillId="0" borderId="0" xfId="0" applyNumberFormat="1" applyFont="1"/>
    <xf numFmtId="0" fontId="4" fillId="2" borderId="3" xfId="0" applyFont="1" applyFill="1" applyBorder="1"/>
    <xf numFmtId="0" fontId="8" fillId="2" borderId="1" xfId="0" applyFont="1" applyFill="1" applyBorder="1" applyAlignment="1">
      <alignment horizontal="right"/>
    </xf>
    <xf numFmtId="14" fontId="4" fillId="2" borderId="0" xfId="0" applyNumberFormat="1" applyFont="1" applyFill="1"/>
    <xf numFmtId="174" fontId="4" fillId="2" borderId="0" xfId="0" applyNumberFormat="1" applyFont="1" applyFill="1"/>
    <xf numFmtId="0" fontId="37" fillId="2" borderId="0" xfId="0" applyFont="1" applyFill="1"/>
    <xf numFmtId="0" fontId="38" fillId="2" borderId="0" xfId="0" applyFont="1" applyFill="1"/>
    <xf numFmtId="0" fontId="38" fillId="2" borderId="0" xfId="0" applyFont="1" applyFill="1" applyAlignment="1">
      <alignment horizontal="center"/>
    </xf>
    <xf numFmtId="0" fontId="38" fillId="2" borderId="0" xfId="0" applyFont="1" applyFill="1" applyAlignment="1">
      <alignment horizontal="left"/>
    </xf>
    <xf numFmtId="10" fontId="4" fillId="2" borderId="0" xfId="0" applyNumberFormat="1" applyFont="1" applyFill="1" applyAlignment="1">
      <alignment horizontal="center"/>
    </xf>
    <xf numFmtId="0" fontId="38" fillId="2" borderId="3" xfId="0" applyFont="1" applyFill="1" applyBorder="1"/>
    <xf numFmtId="0" fontId="38" fillId="2" borderId="3" xfId="0" applyFont="1" applyFill="1" applyBorder="1" applyAlignment="1">
      <alignment horizontal="left"/>
    </xf>
    <xf numFmtId="10" fontId="4" fillId="2" borderId="3" xfId="0" applyNumberFormat="1" applyFont="1" applyFill="1" applyBorder="1"/>
    <xf numFmtId="0" fontId="39" fillId="2" borderId="0" xfId="0" applyFont="1" applyFill="1" applyAlignment="1">
      <alignment horizontal="center"/>
    </xf>
    <xf numFmtId="5" fontId="4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center"/>
    </xf>
    <xf numFmtId="5" fontId="0" fillId="2" borderId="0" xfId="0" applyNumberFormat="1" applyFill="1"/>
    <xf numFmtId="167" fontId="0" fillId="2" borderId="0" xfId="1" applyNumberFormat="1" applyFont="1" applyFill="1" applyProtection="1"/>
    <xf numFmtId="5" fontId="8" fillId="2" borderId="0" xfId="0" applyNumberFormat="1" applyFont="1" applyFill="1" applyAlignment="1">
      <alignment horizontal="center"/>
    </xf>
    <xf numFmtId="0" fontId="4" fillId="0" borderId="0" xfId="0" applyFont="1"/>
    <xf numFmtId="5" fontId="4" fillId="2" borderId="0" xfId="0" applyNumberFormat="1" applyFont="1" applyFill="1"/>
    <xf numFmtId="0" fontId="40" fillId="0" borderId="0" xfId="0" applyFont="1"/>
    <xf numFmtId="0" fontId="8" fillId="2" borderId="1" xfId="0" applyFont="1" applyFill="1" applyBorder="1" applyAlignment="1">
      <alignment horizontal="center"/>
    </xf>
    <xf numFmtId="165" fontId="9" fillId="2" borderId="0" xfId="0" applyNumberFormat="1" applyFont="1" applyFill="1"/>
    <xf numFmtId="0" fontId="41" fillId="0" borderId="0" xfId="0" applyFont="1"/>
    <xf numFmtId="14" fontId="10" fillId="4" borderId="1" xfId="2" applyNumberFormat="1" applyFont="1" applyFill="1" applyBorder="1" applyAlignment="1" applyProtection="1">
      <alignment horizontal="right"/>
      <protection locked="0"/>
    </xf>
    <xf numFmtId="0" fontId="10" fillId="4" borderId="1" xfId="3" applyNumberFormat="1" applyFont="1" applyFill="1" applyBorder="1" applyAlignment="1" applyProtection="1">
      <alignment horizontal="right"/>
      <protection locked="0"/>
    </xf>
    <xf numFmtId="0" fontId="24" fillId="0" borderId="0" xfId="0" applyFont="1" applyAlignment="1">
      <alignment horizontal="left" indent="1"/>
    </xf>
    <xf numFmtId="14" fontId="42" fillId="0" borderId="0" xfId="0" applyNumberFormat="1" applyFont="1"/>
    <xf numFmtId="0" fontId="4" fillId="2" borderId="0" xfId="0" applyFont="1" applyFill="1" applyAlignment="1">
      <alignment horizontal="left" indent="1"/>
    </xf>
    <xf numFmtId="14" fontId="9" fillId="2" borderId="0" xfId="5" applyNumberFormat="1" applyFont="1" applyFill="1"/>
    <xf numFmtId="179" fontId="9" fillId="4" borderId="1" xfId="1" applyNumberFormat="1" applyFont="1" applyFill="1" applyBorder="1" applyAlignment="1" applyProtection="1"/>
    <xf numFmtId="0" fontId="43" fillId="0" borderId="0" xfId="0" applyFont="1"/>
    <xf numFmtId="14" fontId="44" fillId="0" borderId="0" xfId="0" applyNumberFormat="1" applyFont="1"/>
    <xf numFmtId="180" fontId="9" fillId="2" borderId="0" xfId="1" applyNumberFormat="1" applyFont="1" applyFill="1" applyAlignment="1" applyProtection="1"/>
    <xf numFmtId="10" fontId="45" fillId="4" borderId="1" xfId="0" applyNumberFormat="1" applyFont="1" applyFill="1" applyBorder="1" applyAlignment="1" applyProtection="1">
      <alignment horizontal="center"/>
      <protection locked="0"/>
    </xf>
    <xf numFmtId="9" fontId="10" fillId="4" borderId="1" xfId="3" applyFont="1" applyFill="1" applyBorder="1" applyAlignment="1" applyProtection="1">
      <alignment horizontal="right"/>
      <protection locked="0"/>
    </xf>
    <xf numFmtId="43" fontId="0" fillId="0" borderId="0" xfId="1" applyFont="1"/>
    <xf numFmtId="43" fontId="0" fillId="0" borderId="0" xfId="0" applyNumberFormat="1"/>
    <xf numFmtId="165" fontId="11" fillId="2" borderId="0" xfId="2" applyNumberFormat="1" applyFont="1" applyFill="1" applyBorder="1" applyAlignment="1" applyProtection="1">
      <alignment horizontal="right"/>
    </xf>
    <xf numFmtId="9" fontId="11" fillId="2" borderId="0" xfId="3" applyFont="1" applyFill="1" applyBorder="1" applyAlignment="1" applyProtection="1">
      <alignment horizontal="right"/>
    </xf>
    <xf numFmtId="165" fontId="10" fillId="2" borderId="0" xfId="2" applyNumberFormat="1" applyFont="1" applyFill="1" applyBorder="1" applyAlignment="1" applyProtection="1">
      <alignment horizontal="right"/>
    </xf>
    <xf numFmtId="165" fontId="8" fillId="2" borderId="0" xfId="0" applyNumberFormat="1" applyFont="1" applyFill="1" applyAlignment="1">
      <alignment horizontal="right"/>
    </xf>
    <xf numFmtId="180" fontId="40" fillId="0" borderId="0" xfId="0" applyNumberFormat="1" applyFont="1"/>
    <xf numFmtId="165" fontId="0" fillId="0" borderId="0" xfId="0" applyNumberFormat="1"/>
    <xf numFmtId="0" fontId="46" fillId="16" borderId="12" xfId="7" applyFont="1" applyFill="1" applyBorder="1" applyAlignment="1">
      <alignment horizontal="center" wrapText="1"/>
    </xf>
    <xf numFmtId="0" fontId="46" fillId="16" borderId="4" xfId="7" applyFont="1" applyFill="1" applyBorder="1" applyAlignment="1">
      <alignment horizontal="center" wrapText="1"/>
    </xf>
    <xf numFmtId="0" fontId="47" fillId="2" borderId="0" xfId="0" applyFont="1" applyFill="1"/>
    <xf numFmtId="0" fontId="46" fillId="16" borderId="4" xfId="7" quotePrefix="1" applyFont="1" applyFill="1" applyBorder="1" applyAlignment="1">
      <alignment horizontal="center" wrapText="1"/>
    </xf>
    <xf numFmtId="0" fontId="47" fillId="0" borderId="0" xfId="0" applyFont="1"/>
    <xf numFmtId="0" fontId="48" fillId="2" borderId="5" xfId="0" applyFont="1" applyFill="1" applyBorder="1" applyAlignment="1">
      <alignment horizontal="center"/>
    </xf>
    <xf numFmtId="0" fontId="46" fillId="2" borderId="3" xfId="7" applyFont="1" applyFill="1" applyBorder="1" applyAlignment="1">
      <alignment horizontal="center"/>
    </xf>
    <xf numFmtId="0" fontId="48" fillId="2" borderId="3" xfId="0" applyFont="1" applyFill="1" applyBorder="1" applyAlignment="1">
      <alignment horizontal="center"/>
    </xf>
    <xf numFmtId="0" fontId="47" fillId="2" borderId="0" xfId="0" applyFont="1" applyFill="1" applyAlignment="1">
      <alignment horizontal="center"/>
    </xf>
    <xf numFmtId="0" fontId="48" fillId="2" borderId="7" xfId="0" applyFont="1" applyFill="1" applyBorder="1" applyAlignment="1">
      <alignment horizontal="center"/>
    </xf>
    <xf numFmtId="0" fontId="48" fillId="2" borderId="0" xfId="0" applyFont="1" applyFill="1" applyAlignment="1">
      <alignment horizontal="center"/>
    </xf>
    <xf numFmtId="14" fontId="47" fillId="2" borderId="0" xfId="0" applyNumberFormat="1" applyFont="1" applyFill="1"/>
    <xf numFmtId="43" fontId="48" fillId="2" borderId="0" xfId="8" applyFont="1" applyFill="1" applyBorder="1" applyAlignment="1">
      <alignment horizontal="center"/>
    </xf>
    <xf numFmtId="43" fontId="48" fillId="2" borderId="7" xfId="8" applyFont="1" applyFill="1" applyBorder="1" applyAlignment="1">
      <alignment horizontal="center"/>
    </xf>
    <xf numFmtId="0" fontId="48" fillId="2" borderId="9" xfId="0" applyFont="1" applyFill="1" applyBorder="1" applyAlignment="1">
      <alignment horizontal="center"/>
    </xf>
    <xf numFmtId="0" fontId="48" fillId="2" borderId="2" xfId="0" applyFont="1" applyFill="1" applyBorder="1" applyAlignment="1">
      <alignment horizontal="center"/>
    </xf>
    <xf numFmtId="0" fontId="47" fillId="2" borderId="2" xfId="0" applyFont="1" applyFill="1" applyBorder="1" applyAlignment="1">
      <alignment horizontal="center"/>
    </xf>
    <xf numFmtId="0" fontId="47" fillId="0" borderId="2" xfId="0" applyFont="1" applyBorder="1"/>
    <xf numFmtId="181" fontId="11" fillId="2" borderId="0" xfId="0" applyNumberFormat="1" applyFont="1" applyFill="1" applyAlignment="1">
      <alignment horizontal="center"/>
    </xf>
    <xf numFmtId="0" fontId="26" fillId="2" borderId="0" xfId="0" applyFont="1" applyFill="1"/>
    <xf numFmtId="10" fontId="9" fillId="2" borderId="2" xfId="3" applyNumberFormat="1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10" fontId="0" fillId="2" borderId="0" xfId="3" applyNumberFormat="1" applyFont="1" applyFill="1" applyAlignment="1">
      <alignment horizontal="center"/>
    </xf>
    <xf numFmtId="0" fontId="40" fillId="2" borderId="0" xfId="0" applyFont="1" applyFill="1"/>
    <xf numFmtId="10" fontId="9" fillId="2" borderId="0" xfId="3" applyNumberFormat="1" applyFont="1" applyFill="1" applyAlignment="1" applyProtection="1">
      <alignment horizontal="center"/>
    </xf>
    <xf numFmtId="171" fontId="9" fillId="2" borderId="19" xfId="2" applyNumberFormat="1" applyFont="1" applyFill="1" applyBorder="1" applyAlignment="1" applyProtection="1">
      <alignment horizontal="center"/>
      <protection locked="0"/>
    </xf>
    <xf numFmtId="171" fontId="9" fillId="2" borderId="0" xfId="2" applyNumberFormat="1" applyFont="1" applyFill="1" applyBorder="1" applyAlignment="1" applyProtection="1">
      <alignment horizontal="center"/>
      <protection locked="0"/>
    </xf>
    <xf numFmtId="171" fontId="9" fillId="2" borderId="20" xfId="2" applyNumberFormat="1" applyFont="1" applyFill="1" applyBorder="1" applyAlignment="1" applyProtection="1">
      <alignment horizontal="center"/>
      <protection locked="0"/>
    </xf>
    <xf numFmtId="171" fontId="9" fillId="2" borderId="21" xfId="2" applyNumberFormat="1" applyFont="1" applyFill="1" applyBorder="1" applyAlignment="1" applyProtection="1">
      <alignment horizontal="center"/>
      <protection locked="0"/>
    </xf>
    <xf numFmtId="171" fontId="9" fillId="2" borderId="15" xfId="2" applyNumberFormat="1" applyFont="1" applyFill="1" applyBorder="1" applyAlignment="1" applyProtection="1">
      <alignment horizontal="center"/>
      <protection locked="0"/>
    </xf>
    <xf numFmtId="171" fontId="9" fillId="2" borderId="22" xfId="2" applyNumberFormat="1" applyFont="1" applyFill="1" applyBorder="1" applyAlignment="1" applyProtection="1">
      <alignment horizontal="center"/>
      <protection locked="0"/>
    </xf>
    <xf numFmtId="2" fontId="11" fillId="2" borderId="0" xfId="0" applyNumberFormat="1" applyFont="1" applyFill="1" applyAlignment="1">
      <alignment horizontal="center"/>
    </xf>
    <xf numFmtId="0" fontId="25" fillId="2" borderId="0" xfId="0" applyFont="1" applyFill="1" applyAlignment="1">
      <alignment horizontal="center" wrapText="1"/>
    </xf>
    <xf numFmtId="43" fontId="52" fillId="0" borderId="0" xfId="1" applyFont="1" applyFill="1" applyAlignment="1">
      <alignment horizontal="left"/>
    </xf>
    <xf numFmtId="0" fontId="52" fillId="0" borderId="0" xfId="11" applyFont="1"/>
    <xf numFmtId="0" fontId="53" fillId="0" borderId="0" xfId="11" applyFont="1"/>
    <xf numFmtId="167" fontId="52" fillId="0" borderId="0" xfId="1" applyNumberFormat="1" applyFont="1"/>
    <xf numFmtId="43" fontId="52" fillId="0" borderId="0" xfId="1" applyFont="1"/>
    <xf numFmtId="0" fontId="52" fillId="0" borderId="0" xfId="11" applyFont="1" applyAlignment="1">
      <alignment horizontal="center"/>
    </xf>
    <xf numFmtId="43" fontId="52" fillId="0" borderId="0" xfId="1" applyFont="1" applyFill="1" applyAlignment="1">
      <alignment horizontal="center"/>
    </xf>
    <xf numFmtId="40" fontId="52" fillId="0" borderId="0" xfId="10" applyNumberFormat="1" applyFont="1" applyFill="1"/>
    <xf numFmtId="38" fontId="52" fillId="0" borderId="26" xfId="10" applyNumberFormat="1" applyFont="1" applyFill="1" applyBorder="1" applyAlignment="1">
      <alignment horizontal="left" indent="1"/>
    </xf>
    <xf numFmtId="38" fontId="52" fillId="0" borderId="25" xfId="10" applyNumberFormat="1" applyFont="1" applyFill="1" applyBorder="1" applyAlignment="1">
      <alignment horizontal="center"/>
    </xf>
    <xf numFmtId="167" fontId="52" fillId="0" borderId="27" xfId="1" applyNumberFormat="1" applyFont="1" applyFill="1" applyBorder="1" applyAlignment="1">
      <alignment horizontal="center"/>
    </xf>
    <xf numFmtId="38" fontId="52" fillId="0" borderId="26" xfId="10" applyNumberFormat="1" applyFont="1" applyFill="1" applyBorder="1"/>
    <xf numFmtId="38" fontId="52" fillId="0" borderId="25" xfId="10" applyNumberFormat="1" applyFont="1" applyFill="1" applyBorder="1"/>
    <xf numFmtId="10" fontId="52" fillId="0" borderId="27" xfId="3" applyNumberFormat="1" applyFont="1" applyFill="1" applyBorder="1" applyAlignment="1">
      <alignment horizontal="center"/>
    </xf>
    <xf numFmtId="167" fontId="52" fillId="0" borderId="0" xfId="1" applyNumberFormat="1" applyFont="1" applyFill="1" applyAlignment="1">
      <alignment horizontal="right"/>
    </xf>
    <xf numFmtId="43" fontId="52" fillId="0" borderId="0" xfId="1" applyFont="1" applyFill="1"/>
    <xf numFmtId="38" fontId="52" fillId="0" borderId="19" xfId="10" applyNumberFormat="1" applyFont="1" applyFill="1" applyBorder="1" applyAlignment="1">
      <alignment horizontal="left" indent="4"/>
    </xf>
    <xf numFmtId="38" fontId="52" fillId="0" borderId="0" xfId="10" applyNumberFormat="1" applyFont="1" applyFill="1" applyBorder="1" applyAlignment="1">
      <alignment horizontal="center"/>
    </xf>
    <xf numFmtId="167" fontId="52" fillId="0" borderId="20" xfId="1" applyNumberFormat="1" applyFont="1" applyFill="1" applyBorder="1" applyAlignment="1">
      <alignment horizontal="center"/>
    </xf>
    <xf numFmtId="38" fontId="52" fillId="0" borderId="19" xfId="10" applyNumberFormat="1" applyFont="1" applyFill="1" applyBorder="1"/>
    <xf numFmtId="38" fontId="52" fillId="0" borderId="0" xfId="10" applyNumberFormat="1" applyFont="1" applyFill="1" applyBorder="1"/>
    <xf numFmtId="10" fontId="52" fillId="0" borderId="20" xfId="3" applyNumberFormat="1" applyFont="1" applyFill="1" applyBorder="1" applyAlignment="1">
      <alignment horizontal="center"/>
    </xf>
    <xf numFmtId="38" fontId="52" fillId="0" borderId="21" xfId="10" applyNumberFormat="1" applyFont="1" applyFill="1" applyBorder="1"/>
    <xf numFmtId="38" fontId="52" fillId="0" borderId="15" xfId="10" applyNumberFormat="1" applyFont="1" applyFill="1" applyBorder="1"/>
    <xf numFmtId="10" fontId="52" fillId="0" borderId="22" xfId="3" applyNumberFormat="1" applyFont="1" applyFill="1" applyBorder="1" applyAlignment="1">
      <alignment horizontal="center"/>
    </xf>
    <xf numFmtId="14" fontId="52" fillId="0" borderId="19" xfId="11" applyNumberFormat="1" applyFont="1" applyBorder="1" applyAlignment="1">
      <alignment horizontal="left" indent="4"/>
    </xf>
    <xf numFmtId="167" fontId="52" fillId="0" borderId="20" xfId="11" applyNumberFormat="1" applyFont="1" applyBorder="1"/>
    <xf numFmtId="0" fontId="52" fillId="0" borderId="21" xfId="11" applyFont="1" applyBorder="1" applyAlignment="1">
      <alignment horizontal="center"/>
    </xf>
    <xf numFmtId="0" fontId="52" fillId="0" borderId="15" xfId="11" quotePrefix="1" applyFont="1" applyBorder="1" applyAlignment="1">
      <alignment horizontal="center"/>
    </xf>
    <xf numFmtId="40" fontId="52" fillId="0" borderId="0" xfId="10" applyNumberFormat="1" applyFont="1" applyFill="1" applyAlignment="1">
      <alignment horizontal="left"/>
    </xf>
    <xf numFmtId="43" fontId="52" fillId="0" borderId="0" xfId="1" applyFont="1" applyFill="1" applyAlignment="1">
      <alignment horizontal="right"/>
    </xf>
    <xf numFmtId="0" fontId="52" fillId="0" borderId="0" xfId="11" applyFont="1" applyAlignment="1">
      <alignment horizontal="left"/>
    </xf>
    <xf numFmtId="40" fontId="52" fillId="0" borderId="0" xfId="10" applyNumberFormat="1" applyFont="1" applyFill="1" applyBorder="1" applyAlignment="1">
      <alignment horizontal="left"/>
    </xf>
    <xf numFmtId="43" fontId="52" fillId="0" borderId="0" xfId="1" applyFont="1" applyFill="1" applyBorder="1" applyAlignment="1">
      <alignment horizontal="right"/>
    </xf>
    <xf numFmtId="0" fontId="54" fillId="0" borderId="0" xfId="11" applyFont="1"/>
    <xf numFmtId="167" fontId="54" fillId="0" borderId="0" xfId="1" applyNumberFormat="1" applyFont="1"/>
    <xf numFmtId="43" fontId="54" fillId="0" borderId="0" xfId="1" applyFont="1"/>
    <xf numFmtId="0" fontId="55" fillId="0" borderId="0" xfId="0" applyFont="1"/>
    <xf numFmtId="37" fontId="56" fillId="0" borderId="0" xfId="0" applyNumberFormat="1" applyFont="1"/>
    <xf numFmtId="180" fontId="0" fillId="0" borderId="0" xfId="0" applyNumberFormat="1"/>
    <xf numFmtId="167" fontId="52" fillId="0" borderId="0" xfId="11" applyNumberFormat="1" applyFont="1"/>
    <xf numFmtId="165" fontId="19" fillId="2" borderId="0" xfId="1" applyNumberFormat="1" applyFont="1" applyFill="1" applyAlignment="1" applyProtection="1">
      <alignment horizontal="right"/>
    </xf>
    <xf numFmtId="14" fontId="10" fillId="14" borderId="24" xfId="0" applyNumberFormat="1" applyFont="1" applyFill="1" applyBorder="1" applyAlignment="1" applyProtection="1">
      <alignment horizontal="center"/>
      <protection locked="0"/>
    </xf>
    <xf numFmtId="38" fontId="52" fillId="8" borderId="26" xfId="10" applyNumberFormat="1" applyFont="1" applyFill="1" applyBorder="1"/>
    <xf numFmtId="0" fontId="56" fillId="0" borderId="0" xfId="0" applyFont="1"/>
    <xf numFmtId="43" fontId="52" fillId="0" borderId="0" xfId="11" applyNumberFormat="1" applyFont="1" applyAlignment="1">
      <alignment horizontal="left"/>
    </xf>
    <xf numFmtId="0" fontId="11" fillId="8" borderId="5460" xfId="0" applyFont="1" applyFill="1" applyBorder="1" applyAlignment="1">
      <alignment horizontal="centerContinuous"/>
    </xf>
    <xf numFmtId="0" fontId="11" fillId="17" borderId="1" xfId="0" applyFont="1" applyFill="1" applyBorder="1" applyAlignment="1">
      <alignment horizontal="center" wrapText="1"/>
    </xf>
    <xf numFmtId="43" fontId="48" fillId="0" borderId="0" xfId="1" applyFont="1" applyAlignment="1" applyProtection="1"/>
    <xf numFmtId="43" fontId="52" fillId="0" borderId="0" xfId="1" applyFont="1" applyFill="1" applyBorder="1"/>
    <xf numFmtId="10" fontId="10" fillId="2" borderId="23" xfId="3" applyNumberFormat="1" applyFont="1" applyFill="1" applyBorder="1" applyAlignment="1" applyProtection="1">
      <alignment horizontal="center"/>
      <protection locked="0"/>
    </xf>
    <xf numFmtId="0" fontId="9" fillId="2" borderId="24" xfId="0" applyFont="1" applyFill="1" applyBorder="1" applyAlignment="1" applyProtection="1">
      <alignment horizontal="center"/>
      <protection locked="0"/>
    </xf>
    <xf numFmtId="0" fontId="9" fillId="0" borderId="7359" xfId="0" applyFont="1" applyBorder="1" applyAlignment="1">
      <alignment horizontal="center"/>
    </xf>
    <xf numFmtId="10" fontId="9" fillId="0" borderId="7359" xfId="3" applyNumberFormat="1" applyFont="1" applyFill="1" applyBorder="1" applyAlignment="1" applyProtection="1">
      <alignment horizontal="center"/>
    </xf>
    <xf numFmtId="167" fontId="9" fillId="0" borderId="7359" xfId="1" applyNumberFormat="1" applyFont="1" applyFill="1" applyBorder="1" applyProtection="1"/>
    <xf numFmtId="0" fontId="11" fillId="2" borderId="0" xfId="0" applyFont="1" applyFill="1" applyAlignment="1">
      <alignment horizontal="center" wrapText="1"/>
    </xf>
    <xf numFmtId="0" fontId="11" fillId="118" borderId="1" xfId="0" applyFont="1" applyFill="1" applyBorder="1" applyAlignment="1">
      <alignment horizontal="center" wrapText="1"/>
    </xf>
    <xf numFmtId="167" fontId="9" fillId="0" borderId="0" xfId="1" applyNumberFormat="1" applyFont="1" applyFill="1" applyAlignment="1" applyProtection="1">
      <alignment horizontal="center"/>
    </xf>
    <xf numFmtId="0" fontId="9" fillId="2" borderId="0" xfId="0" applyFont="1" applyFill="1" applyAlignment="1">
      <alignment horizontal="center"/>
    </xf>
    <xf numFmtId="43" fontId="22" fillId="4" borderId="4821" xfId="1" applyFont="1" applyFill="1" applyBorder="1"/>
    <xf numFmtId="44" fontId="14" fillId="0" borderId="101" xfId="2" applyFont="1" applyFill="1" applyBorder="1" applyAlignment="1">
      <alignment horizontal="center"/>
    </xf>
    <xf numFmtId="43" fontId="14" fillId="0" borderId="101" xfId="1" applyFont="1" applyFill="1" applyBorder="1"/>
    <xf numFmtId="165" fontId="26" fillId="0" borderId="0" xfId="3" applyNumberFormat="1" applyFont="1" applyFill="1" applyAlignment="1" applyProtection="1">
      <alignment horizontal="left"/>
    </xf>
    <xf numFmtId="10" fontId="52" fillId="18" borderId="27" xfId="3" applyNumberFormat="1" applyFont="1" applyFill="1" applyBorder="1" applyAlignment="1">
      <alignment horizontal="center"/>
    </xf>
    <xf numFmtId="43" fontId="4" fillId="2" borderId="0" xfId="0" applyNumberFormat="1" applyFont="1" applyFill="1"/>
    <xf numFmtId="167" fontId="53" fillId="0" borderId="22" xfId="1" applyNumberFormat="1" applyFont="1" applyBorder="1"/>
    <xf numFmtId="44" fontId="9" fillId="0" borderId="23" xfId="2" applyFont="1" applyFill="1" applyBorder="1" applyAlignment="1" applyProtection="1">
      <alignment horizontal="center"/>
      <protection locked="0"/>
    </xf>
    <xf numFmtId="10" fontId="0" fillId="0" borderId="0" xfId="3" applyNumberFormat="1" applyFont="1" applyFill="1" applyAlignment="1">
      <alignment horizontal="center"/>
    </xf>
    <xf numFmtId="43" fontId="12" fillId="2" borderId="0" xfId="1" applyFont="1" applyFill="1" applyAlignment="1">
      <alignment horizontal="center"/>
    </xf>
    <xf numFmtId="165" fontId="10" fillId="0" borderId="0" xfId="2" applyNumberFormat="1" applyFont="1" applyFill="1" applyBorder="1" applyAlignment="1" applyProtection="1">
      <alignment horizontal="right"/>
      <protection locked="0"/>
    </xf>
    <xf numFmtId="9" fontId="40" fillId="0" borderId="0" xfId="3" applyFont="1" applyFill="1"/>
    <xf numFmtId="0" fontId="10" fillId="15" borderId="23" xfId="0" applyFont="1" applyFill="1" applyBorder="1" applyAlignment="1" applyProtection="1">
      <alignment horizontal="left"/>
      <protection locked="0"/>
    </xf>
    <xf numFmtId="14" fontId="10" fillId="15" borderId="23" xfId="0" applyNumberFormat="1" applyFont="1" applyFill="1" applyBorder="1" applyAlignment="1" applyProtection="1">
      <alignment horizontal="center"/>
      <protection locked="0"/>
    </xf>
    <xf numFmtId="44" fontId="10" fillId="15" borderId="23" xfId="2" applyFont="1" applyFill="1" applyBorder="1" applyAlignment="1" applyProtection="1">
      <alignment horizontal="center"/>
      <protection locked="0"/>
    </xf>
    <xf numFmtId="0" fontId="10" fillId="119" borderId="23" xfId="0" applyFont="1" applyFill="1" applyBorder="1" applyAlignment="1" applyProtection="1">
      <alignment horizontal="left"/>
      <protection locked="0"/>
    </xf>
    <xf numFmtId="0" fontId="317" fillId="14" borderId="24" xfId="0" applyFont="1" applyFill="1" applyBorder="1" applyAlignment="1" applyProtection="1">
      <alignment horizontal="center"/>
      <protection locked="0"/>
    </xf>
    <xf numFmtId="2" fontId="12" fillId="0" borderId="24" xfId="0" applyNumberFormat="1" applyFont="1" applyBorder="1" applyAlignment="1" applyProtection="1">
      <alignment horizontal="center"/>
      <protection locked="0"/>
    </xf>
    <xf numFmtId="172" fontId="317" fillId="14" borderId="23" xfId="3" applyNumberFormat="1" applyFont="1" applyFill="1" applyBorder="1" applyAlignment="1" applyProtection="1">
      <alignment horizontal="center"/>
      <protection locked="0"/>
    </xf>
    <xf numFmtId="0" fontId="12" fillId="0" borderId="24" xfId="0" applyFont="1" applyBorder="1" applyAlignment="1" applyProtection="1">
      <alignment horizontal="center"/>
      <protection locked="0"/>
    </xf>
    <xf numFmtId="10" fontId="263" fillId="0" borderId="23" xfId="3" applyNumberFormat="1" applyFont="1" applyFill="1" applyBorder="1" applyAlignment="1" applyProtection="1">
      <alignment horizontal="center"/>
      <protection locked="0"/>
    </xf>
    <xf numFmtId="0" fontId="317" fillId="14" borderId="23" xfId="0" applyFont="1" applyFill="1" applyBorder="1" applyAlignment="1" applyProtection="1">
      <alignment horizontal="center"/>
      <protection locked="0"/>
    </xf>
    <xf numFmtId="174" fontId="317" fillId="14" borderId="23" xfId="3" applyNumberFormat="1" applyFont="1" applyFill="1" applyBorder="1" applyAlignment="1" applyProtection="1">
      <alignment horizontal="center"/>
      <protection locked="0"/>
    </xf>
    <xf numFmtId="171" fontId="317" fillId="15" borderId="23" xfId="2" applyNumberFormat="1" applyFont="1" applyFill="1" applyBorder="1" applyAlignment="1" applyProtection="1">
      <alignment horizontal="center"/>
      <protection locked="0"/>
    </xf>
    <xf numFmtId="171" fontId="317" fillId="14" borderId="23" xfId="2" applyNumberFormat="1" applyFont="1" applyFill="1" applyBorder="1" applyAlignment="1" applyProtection="1">
      <alignment horizontal="center"/>
      <protection locked="0"/>
    </xf>
    <xf numFmtId="169" fontId="317" fillId="15" borderId="23" xfId="2" applyNumberFormat="1" applyFont="1" applyFill="1" applyBorder="1" applyAlignment="1" applyProtection="1">
      <alignment horizontal="center"/>
      <protection locked="0"/>
    </xf>
    <xf numFmtId="169" fontId="12" fillId="0" borderId="23" xfId="2" applyNumberFormat="1" applyFont="1" applyFill="1" applyBorder="1" applyAlignment="1" applyProtection="1">
      <alignment horizontal="center"/>
      <protection locked="0"/>
    </xf>
    <xf numFmtId="14" fontId="317" fillId="14" borderId="23" xfId="0" applyNumberFormat="1" applyFont="1" applyFill="1" applyBorder="1" applyAlignment="1" applyProtection="1">
      <alignment horizontal="center"/>
      <protection locked="0"/>
    </xf>
    <xf numFmtId="174" fontId="12" fillId="0" borderId="23" xfId="0" applyNumberFormat="1" applyFont="1" applyBorder="1" applyAlignment="1">
      <alignment horizontal="center"/>
    </xf>
    <xf numFmtId="10" fontId="12" fillId="14" borderId="23" xfId="3" applyNumberFormat="1" applyFont="1" applyFill="1" applyBorder="1" applyAlignment="1" applyProtection="1">
      <alignment horizontal="center"/>
      <protection locked="0"/>
    </xf>
    <xf numFmtId="10" fontId="317" fillId="14" borderId="23" xfId="3" applyNumberFormat="1" applyFont="1" applyFill="1" applyBorder="1" applyAlignment="1" applyProtection="1">
      <alignment horizontal="center"/>
      <protection locked="0"/>
    </xf>
    <xf numFmtId="10" fontId="317" fillId="2" borderId="23" xfId="3" applyNumberFormat="1" applyFont="1" applyFill="1" applyBorder="1" applyAlignment="1" applyProtection="1">
      <alignment horizontal="center"/>
      <protection locked="0"/>
    </xf>
    <xf numFmtId="176" fontId="317" fillId="14" borderId="23" xfId="0" applyNumberFormat="1" applyFont="1" applyFill="1" applyBorder="1" applyProtection="1">
      <protection locked="0"/>
    </xf>
    <xf numFmtId="0" fontId="12" fillId="2" borderId="24" xfId="0" applyFont="1" applyFill="1" applyBorder="1" applyAlignment="1" applyProtection="1">
      <alignment horizontal="center"/>
      <protection locked="0"/>
    </xf>
    <xf numFmtId="44" fontId="12" fillId="2" borderId="23" xfId="0" applyNumberFormat="1" applyFont="1" applyFill="1" applyBorder="1" applyAlignment="1">
      <alignment horizontal="center"/>
    </xf>
    <xf numFmtId="0" fontId="318" fillId="0" borderId="0" xfId="0" applyFont="1"/>
    <xf numFmtId="0" fontId="8" fillId="8" borderId="5460" xfId="0" applyFont="1" applyFill="1" applyBorder="1" applyAlignment="1">
      <alignment horizontal="centerContinuous"/>
    </xf>
    <xf numFmtId="0" fontId="7" fillId="2" borderId="0" xfId="0" applyFont="1" applyFill="1" applyAlignment="1">
      <alignment horizontal="center"/>
    </xf>
    <xf numFmtId="0" fontId="16" fillId="3" borderId="0" xfId="5" applyFont="1" applyFill="1" applyAlignment="1">
      <alignment horizontal="center"/>
    </xf>
    <xf numFmtId="43" fontId="18" fillId="2" borderId="0" xfId="1" applyFont="1" applyFill="1" applyBorder="1" applyAlignment="1" applyProtection="1">
      <alignment horizontal="center"/>
    </xf>
    <xf numFmtId="0" fontId="11" fillId="2" borderId="0" xfId="5" applyFont="1" applyFill="1" applyAlignment="1">
      <alignment horizontal="left" wrapText="1"/>
    </xf>
    <xf numFmtId="14" fontId="25" fillId="0" borderId="15" xfId="6" applyNumberFormat="1" applyFont="1" applyBorder="1" applyAlignment="1">
      <alignment horizontal="left"/>
    </xf>
    <xf numFmtId="0" fontId="25" fillId="7" borderId="7358" xfId="0" applyFont="1" applyFill="1" applyBorder="1" applyAlignment="1">
      <alignment horizontal="center" wrapText="1"/>
    </xf>
    <xf numFmtId="0" fontId="25" fillId="7" borderId="11" xfId="0" applyFont="1" applyFill="1" applyBorder="1" applyAlignment="1">
      <alignment horizontal="center" wrapText="1"/>
    </xf>
    <xf numFmtId="0" fontId="25" fillId="2" borderId="16" xfId="0" applyFont="1" applyFill="1" applyBorder="1" applyAlignment="1">
      <alignment horizontal="center"/>
    </xf>
    <xf numFmtId="0" fontId="25" fillId="2" borderId="17" xfId="0" applyFont="1" applyFill="1" applyBorder="1" applyAlignment="1">
      <alignment horizontal="center"/>
    </xf>
    <xf numFmtId="0" fontId="25" fillId="2" borderId="18" xfId="0" applyFont="1" applyFill="1" applyBorder="1" applyAlignment="1">
      <alignment horizontal="center"/>
    </xf>
    <xf numFmtId="181" fontId="17" fillId="2" borderId="25" xfId="0" applyNumberFormat="1" applyFont="1" applyFill="1" applyBorder="1" applyAlignment="1">
      <alignment horizontal="center"/>
    </xf>
    <xf numFmtId="43" fontId="17" fillId="0" borderId="2" xfId="0" applyNumberFormat="1" applyFont="1" applyBorder="1" applyAlignment="1">
      <alignment horizontal="center"/>
    </xf>
    <xf numFmtId="0" fontId="4" fillId="2" borderId="0" xfId="0" applyFont="1" applyFill="1" applyAlignment="1">
      <alignment horizontal="left"/>
    </xf>
  </cellXfs>
  <cellStyles count="54250">
    <cellStyle name="-" xfId="90" xr:uid="{00000000-0005-0000-0000-000000000000}"/>
    <cellStyle name="_x000a_386grabber=M" xfId="1026" xr:uid="{00000000-0005-0000-0000-000001000000}"/>
    <cellStyle name="_x000a_386grabber=M 2" xfId="2755" xr:uid="{00000000-0005-0000-0000-000002000000}"/>
    <cellStyle name="&quot;X&quot; Men" xfId="91" xr:uid="{00000000-0005-0000-0000-000003000000}"/>
    <cellStyle name="$" xfId="92" xr:uid="{00000000-0005-0000-0000-000004000000}"/>
    <cellStyle name="$ [1]" xfId="93" xr:uid="{00000000-0005-0000-0000-000005000000}"/>
    <cellStyle name="$ [2]" xfId="94" xr:uid="{00000000-0005-0000-0000-000006000000}"/>
    <cellStyle name="%" xfId="95" xr:uid="{00000000-0005-0000-0000-000007000000}"/>
    <cellStyle name="% [1]" xfId="96" xr:uid="{00000000-0005-0000-0000-000008000000}"/>
    <cellStyle name="% [2]" xfId="97" xr:uid="{00000000-0005-0000-0000-000009000000}"/>
    <cellStyle name="% 2" xfId="1940" xr:uid="{00000000-0005-0000-0000-00000A000000}"/>
    <cellStyle name="% 3" xfId="2391" xr:uid="{00000000-0005-0000-0000-00000B000000}"/>
    <cellStyle name="% Growth" xfId="98" xr:uid="{00000000-0005-0000-0000-00000C000000}"/>
    <cellStyle name="% Input" xfId="99" xr:uid="{00000000-0005-0000-0000-00000D000000}"/>
    <cellStyle name="% of Revenues" xfId="100" xr:uid="{00000000-0005-0000-0000-00000E000000}"/>
    <cellStyle name="% Presentation" xfId="101" xr:uid="{00000000-0005-0000-0000-00000F000000}"/>
    <cellStyle name="% Presentation 2" xfId="1941" xr:uid="{00000000-0005-0000-0000-000010000000}"/>
    <cellStyle name="% Presentation 3" xfId="2392" xr:uid="{00000000-0005-0000-0000-000011000000}"/>
    <cellStyle name="%_Consolidated Model v48.xls Chart 1" xfId="102" xr:uid="{00000000-0005-0000-0000-000012000000}"/>
    <cellStyle name="%_Consolidated Model v48.xls Chart 1 2" xfId="1942" xr:uid="{00000000-0005-0000-0000-000013000000}"/>
    <cellStyle name="%_Consolidated Model v48.xls Chart 1 3" xfId="2393" xr:uid="{00000000-0005-0000-0000-000014000000}"/>
    <cellStyle name="%_Consolidated Model v48.xls Chart 2" xfId="103" xr:uid="{00000000-0005-0000-0000-000015000000}"/>
    <cellStyle name="%_Consolidated Model v48.xls Chart 2 2" xfId="1943" xr:uid="{00000000-0005-0000-0000-000016000000}"/>
    <cellStyle name="%_Consolidated Model v48.xls Chart 2 3" xfId="2394" xr:uid="{00000000-0005-0000-0000-000017000000}"/>
    <cellStyle name="%_Consolidated Model v48.xls Chart 3" xfId="104" xr:uid="{00000000-0005-0000-0000-000018000000}"/>
    <cellStyle name="%_Consolidated Model v48.xls Chart 3 2" xfId="1944" xr:uid="{00000000-0005-0000-0000-000019000000}"/>
    <cellStyle name="%_Consolidated Model v48.xls Chart 3 3" xfId="2395" xr:uid="{00000000-0005-0000-0000-00001A000000}"/>
    <cellStyle name="%_Consolidated Model v48.xls Chart 4" xfId="105" xr:uid="{00000000-0005-0000-0000-00001B000000}"/>
    <cellStyle name="%_Consolidated Model v48.xls Chart 4 2" xfId="1945" xr:uid="{00000000-0005-0000-0000-00001C000000}"/>
    <cellStyle name="%_Consolidated Model v48.xls Chart 4 3" xfId="2396" xr:uid="{00000000-0005-0000-0000-00001D000000}"/>
    <cellStyle name="%_Consolidated Model v48.xls Chart 5" xfId="106" xr:uid="{00000000-0005-0000-0000-00001E000000}"/>
    <cellStyle name="%_Consolidated Model v48.xls Chart 5 2" xfId="1946" xr:uid="{00000000-0005-0000-0000-00001F000000}"/>
    <cellStyle name="%_Consolidated Model v48.xls Chart 5 3" xfId="2397" xr:uid="{00000000-0005-0000-0000-000020000000}"/>
    <cellStyle name="%_Kan Loral model" xfId="107" xr:uid="{00000000-0005-0000-0000-000021000000}"/>
    <cellStyle name="%_Rental Model 050404v5VINAY" xfId="108" xr:uid="{00000000-0005-0000-0000-000022000000}"/>
    <cellStyle name="%_Rental Model 050404v5VINAY_Kan Loral model" xfId="109" xr:uid="{00000000-0005-0000-0000-000023000000}"/>
    <cellStyle name="%_Rental Model 050404v5VINAY_Trading Comps_062405 v4" xfId="110" xr:uid="{00000000-0005-0000-0000-000024000000}"/>
    <cellStyle name="%_Rental Model 050404v5VINAY_Trading Comps_070105 v2" xfId="111" xr:uid="{00000000-0005-0000-0000-000025000000}"/>
    <cellStyle name="%_Revenue build model v23.xls Chart 1" xfId="112" xr:uid="{00000000-0005-0000-0000-000026000000}"/>
    <cellStyle name="%_Revenue build model v23.xls Chart 1_Kan Loral model" xfId="113" xr:uid="{00000000-0005-0000-0000-000027000000}"/>
    <cellStyle name="%_Revenue build model v23.xls Chart 1_Trading Comps_062405 v4" xfId="114" xr:uid="{00000000-0005-0000-0000-000028000000}"/>
    <cellStyle name="%_Revenue build model v23.xls Chart 1_Trading Comps_070105 v2" xfId="115" xr:uid="{00000000-0005-0000-0000-000029000000}"/>
    <cellStyle name="%_Revenue build model v23.xls Chart 2" xfId="116" xr:uid="{00000000-0005-0000-0000-00002A000000}"/>
    <cellStyle name="%_Revenue build model v23.xls Chart 2_Kan Loral model" xfId="117" xr:uid="{00000000-0005-0000-0000-00002B000000}"/>
    <cellStyle name="%_Revenue build model v23.xls Chart 2_Trading Comps_062405 v4" xfId="118" xr:uid="{00000000-0005-0000-0000-00002C000000}"/>
    <cellStyle name="%_Revenue build model v23.xls Chart 2_Trading Comps_070105 v2" xfId="119" xr:uid="{00000000-0005-0000-0000-00002D000000}"/>
    <cellStyle name="%_Revenue build model v23.xls Chart 3" xfId="120" xr:uid="{00000000-0005-0000-0000-00002E000000}"/>
    <cellStyle name="%_Revenue build model v23.xls Chart 3_Kan Loral model" xfId="121" xr:uid="{00000000-0005-0000-0000-00002F000000}"/>
    <cellStyle name="%_Revenue build model v23.xls Chart 3_Trading Comps_062405 v4" xfId="122" xr:uid="{00000000-0005-0000-0000-000030000000}"/>
    <cellStyle name="%_Revenue build model v23.xls Chart 3_Trading Comps_070105 v2" xfId="123" xr:uid="{00000000-0005-0000-0000-000031000000}"/>
    <cellStyle name="%_Revenue build model v23.xls Chart 4" xfId="124" xr:uid="{00000000-0005-0000-0000-000032000000}"/>
    <cellStyle name="%_Revenue build model v23.xls Chart 4_Kan Loral model" xfId="125" xr:uid="{00000000-0005-0000-0000-000033000000}"/>
    <cellStyle name="%_Revenue build model v23.xls Chart 4_Trading Comps_062405 v4" xfId="126" xr:uid="{00000000-0005-0000-0000-000034000000}"/>
    <cellStyle name="%_Revenue build model v23.xls Chart 4_Trading Comps_070105 v2" xfId="127" xr:uid="{00000000-0005-0000-0000-000035000000}"/>
    <cellStyle name="%_Revenue build model v23.xls Chart 5" xfId="128" xr:uid="{00000000-0005-0000-0000-000036000000}"/>
    <cellStyle name="%_Revenue build model v23.xls Chart 5_Kan Loral model" xfId="129" xr:uid="{00000000-0005-0000-0000-000037000000}"/>
    <cellStyle name="%_Revenue build model v23.xls Chart 5_Trading Comps_062405 v4" xfId="130" xr:uid="{00000000-0005-0000-0000-000038000000}"/>
    <cellStyle name="%_Revenue build model v23.xls Chart 5_Trading Comps_070105 v2" xfId="131" xr:uid="{00000000-0005-0000-0000-000039000000}"/>
    <cellStyle name="%_Revenue build model v24" xfId="132" xr:uid="{00000000-0005-0000-0000-00003A000000}"/>
    <cellStyle name="%_Revenue build model v24 2" xfId="1947" xr:uid="{00000000-0005-0000-0000-00003B000000}"/>
    <cellStyle name="%_Revenue build model v24 3" xfId="2398" xr:uid="{00000000-0005-0000-0000-00003C000000}"/>
    <cellStyle name="%_Sobol Football Field" xfId="133" xr:uid="{00000000-0005-0000-0000-00003D000000}"/>
    <cellStyle name="%_Trading Comps_062405 v4" xfId="134" xr:uid="{00000000-0005-0000-0000-00003E000000}"/>
    <cellStyle name="%_Trading Comps_070105 v2" xfId="135" xr:uid="{00000000-0005-0000-0000-00003F000000}"/>
    <cellStyle name="%-of" xfId="136" xr:uid="{00000000-0005-0000-0000-000040000000}"/>
    <cellStyle name="******************************************" xfId="137" xr:uid="{00000000-0005-0000-0000-000041000000}"/>
    <cellStyle name="****************************************** 2" xfId="1948" xr:uid="{00000000-0005-0000-0000-000042000000}"/>
    <cellStyle name="****************************************** 3" xfId="2399" xr:uid="{00000000-0005-0000-0000-000043000000}"/>
    <cellStyle name="." xfId="138" xr:uid="{00000000-0005-0000-0000-000044000000}"/>
    <cellStyle name=". 2" xfId="1949" xr:uid="{00000000-0005-0000-0000-000045000000}"/>
    <cellStyle name=". 3" xfId="2400" xr:uid="{00000000-0005-0000-0000-000046000000}"/>
    <cellStyle name=".1" xfId="139" xr:uid="{00000000-0005-0000-0000-000047000000}"/>
    <cellStyle name=".1 2" xfId="1950" xr:uid="{00000000-0005-0000-0000-000048000000}"/>
    <cellStyle name=".1 3" xfId="2401" xr:uid="{00000000-0005-0000-0000-000049000000}"/>
    <cellStyle name=";;;" xfId="140" xr:uid="{00000000-0005-0000-0000-00004A000000}"/>
    <cellStyle name=";;; 2" xfId="1951" xr:uid="{00000000-0005-0000-0000-00004B000000}"/>
    <cellStyle name=";;; 3" xfId="2402" xr:uid="{00000000-0005-0000-0000-00004C000000}"/>
    <cellStyle name="?? [0.00]_??????cula" xfId="141" xr:uid="{00000000-0005-0000-0000-00004D000000}"/>
    <cellStyle name="?? [0]_VERA" xfId="142" xr:uid="{00000000-0005-0000-0000-00004E000000}"/>
    <cellStyle name="?????_VERA" xfId="143" xr:uid="{00000000-0005-0000-0000-00004F000000}"/>
    <cellStyle name="??_??????_???" xfId="144" xr:uid="{00000000-0005-0000-0000-000050000000}"/>
    <cellStyle name="_%(SignOnly)" xfId="145" xr:uid="{00000000-0005-0000-0000-000051000000}"/>
    <cellStyle name="_%(SignSpaceOnly)" xfId="146" xr:uid="{00000000-0005-0000-0000-000052000000}"/>
    <cellStyle name="_Briefing Book Outputs - Pro Forma 1 4.27" xfId="147" xr:uid="{00000000-0005-0000-0000-000053000000}"/>
    <cellStyle name="_Briefing Book Outputs - Pro Forma 1 4.27 2" xfId="1952" xr:uid="{00000000-0005-0000-0000-000054000000}"/>
    <cellStyle name="_Briefing Book Outputs - Pro Forma 1 4.27 3" xfId="2403" xr:uid="{00000000-0005-0000-0000-000055000000}"/>
    <cellStyle name="_Briefing Book Outputs - Standalone 4.27" xfId="148" xr:uid="{00000000-0005-0000-0000-000056000000}"/>
    <cellStyle name="_Briefing Book Outputs - Standalone 4.27 2" xfId="1953" xr:uid="{00000000-0005-0000-0000-000057000000}"/>
    <cellStyle name="_Briefing Book Outputs - Standalone 4.27 3" xfId="2404" xr:uid="{00000000-0005-0000-0000-000058000000}"/>
    <cellStyle name="_Charts for Apollo Exec Brief v3" xfId="149" xr:uid="{00000000-0005-0000-0000-000059000000}"/>
    <cellStyle name="_Charts for Apollo Exec Brief v3 2" xfId="1954" xr:uid="{00000000-0005-0000-0000-00005A000000}"/>
    <cellStyle name="_Charts for Apollo Exec Brief v3 3" xfId="2405" xr:uid="{00000000-0005-0000-0000-00005B000000}"/>
    <cellStyle name="_Check" xfId="6099" xr:uid="{00000000-0005-0000-0000-000000000000}"/>
    <cellStyle name="_Check_Collection(Euro)" xfId="4358" xr:uid="{00000000-0005-0000-0000-000001000000}"/>
    <cellStyle name="_Collection(Euro)" xfId="5155" xr:uid="{00000000-0005-0000-0000-000002000000}"/>
    <cellStyle name="_Collection(Euro)_Collection(Euro)" xfId="4448" xr:uid="{00000000-0005-0000-0000-000003000000}"/>
    <cellStyle name="_Comma" xfId="150" xr:uid="{00000000-0005-0000-0000-00005C000000}"/>
    <cellStyle name="_Comma_01 Template without numbers sent out" xfId="151" xr:uid="{00000000-0005-0000-0000-00005D000000}"/>
    <cellStyle name="_Comma_20020403 Regional Data 04" xfId="152" xr:uid="{00000000-0005-0000-0000-00005E000000}"/>
    <cellStyle name="_Comma_20020403 Regional Data 04 Final" xfId="153" xr:uid="{00000000-0005-0000-0000-00005F000000}"/>
    <cellStyle name="_Comma_20020403 Template for Exchange - Regional Data 01" xfId="154" xr:uid="{00000000-0005-0000-0000-000060000000}"/>
    <cellStyle name="_Comma_20020404 Capex 02 All" xfId="155" xr:uid="{00000000-0005-0000-0000-000061000000}"/>
    <cellStyle name="_Currency" xfId="156" xr:uid="{00000000-0005-0000-0000-000062000000}"/>
    <cellStyle name="_Currency_01 Template without numbers sent out" xfId="157" xr:uid="{00000000-0005-0000-0000-000063000000}"/>
    <cellStyle name="_Currency_20020403 Regional Data 04" xfId="158" xr:uid="{00000000-0005-0000-0000-000064000000}"/>
    <cellStyle name="_Currency_20020403 Regional Data 04 Final" xfId="159" xr:uid="{00000000-0005-0000-0000-000065000000}"/>
    <cellStyle name="_Currency_20020403 Template for Exchange - Regional Data 01" xfId="160" xr:uid="{00000000-0005-0000-0000-000066000000}"/>
    <cellStyle name="_Currency_20020404 Capex 02 All" xfId="161" xr:uid="{00000000-0005-0000-0000-000067000000}"/>
    <cellStyle name="_Currency_Analysis v6" xfId="162" xr:uid="{00000000-0005-0000-0000-000068000000}"/>
    <cellStyle name="_Currency_Embarq_Model_v44" xfId="163" xr:uid="{00000000-0005-0000-0000-000069000000}"/>
    <cellStyle name="_Currency_MSS Comps v01" xfId="164" xr:uid="{00000000-0005-0000-0000-00006A000000}"/>
    <cellStyle name="_Currency_RBOC_RLEC_Comps_092806_v34" xfId="165" xr:uid="{00000000-0005-0000-0000-00006B000000}"/>
    <cellStyle name="_Currency_RLEC_Comps_AccrDil_092706_v9" xfId="166" xr:uid="{00000000-0005-0000-0000-00006C000000}"/>
    <cellStyle name="_Currency_Synergy Analysis_v01xls" xfId="167" xr:uid="{00000000-0005-0000-0000-00006D000000}"/>
    <cellStyle name="_Currency_Trading Comps v11" xfId="168" xr:uid="{00000000-0005-0000-0000-00006E000000}"/>
    <cellStyle name="_Currency_Valuation Model_v26" xfId="169" xr:uid="{00000000-0005-0000-0000-00006F000000}"/>
    <cellStyle name="_CurrencySpace" xfId="170" xr:uid="{00000000-0005-0000-0000-000070000000}"/>
    <cellStyle name="_CurrencySpace_01 Template without numbers sent out" xfId="171" xr:uid="{00000000-0005-0000-0000-000071000000}"/>
    <cellStyle name="_CurrencySpace_20020326Viper Numbers sent out" xfId="172" xr:uid="{00000000-0005-0000-0000-000072000000}"/>
    <cellStyle name="_CurrencySpace_20020403 Regional Data 04" xfId="173" xr:uid="{00000000-0005-0000-0000-000073000000}"/>
    <cellStyle name="_CurrencySpace_20020403 Regional Data 04 Final" xfId="174" xr:uid="{00000000-0005-0000-0000-000074000000}"/>
    <cellStyle name="_CurrencySpace_20020403 Template for Exchange - Regional Data 01" xfId="175" xr:uid="{00000000-0005-0000-0000-000075000000}"/>
    <cellStyle name="_CurrencySpace_20020404 Capex 02 All" xfId="176" xr:uid="{00000000-0005-0000-0000-000076000000}"/>
    <cellStyle name="_CurrencySpace_20020405 Final Company Model" xfId="177" xr:uid="{00000000-0005-0000-0000-000077000000}"/>
    <cellStyle name="_CurrencySpace_Analysis v6" xfId="178" xr:uid="{00000000-0005-0000-0000-000078000000}"/>
    <cellStyle name="_CurrencySpace_April 2002 combined model - key factors only" xfId="179" xr:uid="{00000000-0005-0000-0000-000079000000}"/>
    <cellStyle name="_CurrencySpace_April 2002 combined model - key factors only (rec 5 apr)" xfId="180" xr:uid="{00000000-0005-0000-0000-00007A000000}"/>
    <cellStyle name="_CurrencySpace_Embarq_Model_v44" xfId="181" xr:uid="{00000000-0005-0000-0000-00007B000000}"/>
    <cellStyle name="_CurrencySpace_MSS Comps v01" xfId="182" xr:uid="{00000000-0005-0000-0000-00007C000000}"/>
    <cellStyle name="_CurrencySpace_RBOC_RLEC_Comps_092806_v34" xfId="183" xr:uid="{00000000-0005-0000-0000-00007D000000}"/>
    <cellStyle name="_CurrencySpace_RLEC_Comps_AccrDil_092706_v9" xfId="184" xr:uid="{00000000-0005-0000-0000-00007E000000}"/>
    <cellStyle name="_CurrencySpace_Synergy Analysis_v01xls" xfId="185" xr:uid="{00000000-0005-0000-0000-00007F000000}"/>
    <cellStyle name="_CurrencySpace_Trading Comps v11" xfId="186" xr:uid="{00000000-0005-0000-0000-000080000000}"/>
    <cellStyle name="_CurrencySpace_Valuation Model_v26" xfId="187" xr:uid="{00000000-0005-0000-0000-000081000000}"/>
    <cellStyle name="_Euro" xfId="188" xr:uid="{00000000-0005-0000-0000-000082000000}"/>
    <cellStyle name="_Expense Reserve Account" xfId="6177" xr:uid="{00000000-0005-0000-0000-000004000000}"/>
    <cellStyle name="_Global Comps - Full Service - 12 Jan  2001" xfId="189" xr:uid="{00000000-0005-0000-0000-000083000000}"/>
    <cellStyle name="_Global Comps - Full Service - 12 Jan  2001 2" xfId="1955" xr:uid="{00000000-0005-0000-0000-000084000000}"/>
    <cellStyle name="_Global Comps - Full Service - 12 Jan  2001 3" xfId="2406" xr:uid="{00000000-0005-0000-0000-000085000000}"/>
    <cellStyle name="_Global Comps - Full Service - 18 June 2001" xfId="190" xr:uid="{00000000-0005-0000-0000-000086000000}"/>
    <cellStyle name="_Global Comps - Full Service - 18 June 2001 2" xfId="1956" xr:uid="{00000000-0005-0000-0000-000087000000}"/>
    <cellStyle name="_Global Comps - Full Service - 18 June 2001 3" xfId="2407" xr:uid="{00000000-0005-0000-0000-000088000000}"/>
    <cellStyle name="_Global Comps - Full Service - 20 June 2001" xfId="191" xr:uid="{00000000-0005-0000-0000-000089000000}"/>
    <cellStyle name="_Global Comps - Full Service - 20 June 2001 2" xfId="1957" xr:uid="{00000000-0005-0000-0000-00008A000000}"/>
    <cellStyle name="_Global Comps - Full Service - 20 June 2001 3" xfId="2408" xr:uid="{00000000-0005-0000-0000-00008B000000}"/>
    <cellStyle name="_GS Equity Research Driver Comparison" xfId="192" xr:uid="{00000000-0005-0000-0000-00008C000000}"/>
    <cellStyle name="_GS Equity Research Driver Comparison 2" xfId="1958" xr:uid="{00000000-0005-0000-0000-00008D000000}"/>
    <cellStyle name="_GS Equity Research Driver Comparison 3" xfId="2409" xr:uid="{00000000-0005-0000-0000-00008E000000}"/>
    <cellStyle name="_GS Model of VSTR" xfId="193" xr:uid="{00000000-0005-0000-0000-00008F000000}"/>
    <cellStyle name="_GS Model of VSTR 2" xfId="1959" xr:uid="{00000000-0005-0000-0000-000090000000}"/>
    <cellStyle name="_GS Model of VSTR 3" xfId="2410" xr:uid="{00000000-0005-0000-0000-000091000000}"/>
    <cellStyle name="_Heading" xfId="194" xr:uid="{00000000-0005-0000-0000-000092000000}"/>
    <cellStyle name="_Heading 2" xfId="1960" xr:uid="{00000000-0005-0000-0000-000093000000}"/>
    <cellStyle name="_Heading 3" xfId="2411" xr:uid="{00000000-0005-0000-0000-000094000000}"/>
    <cellStyle name="_Highlight" xfId="195" xr:uid="{00000000-0005-0000-0000-000095000000}"/>
    <cellStyle name="_Highlight 2" xfId="1961" xr:uid="{00000000-0005-0000-0000-000096000000}"/>
    <cellStyle name="_Highlight 3" xfId="2412" xr:uid="{00000000-0005-0000-0000-000097000000}"/>
    <cellStyle name="_Interest Account" xfId="6098" xr:uid="{00000000-0005-0000-0000-000005000000}"/>
    <cellStyle name="_MCIT" xfId="196" xr:uid="{00000000-0005-0000-0000-000098000000}"/>
    <cellStyle name="_MCIT 2" xfId="1962" xr:uid="{00000000-0005-0000-0000-000099000000}"/>
    <cellStyle name="_MCIT 3" xfId="2413" xr:uid="{00000000-0005-0000-0000-00009A000000}"/>
    <cellStyle name="_ML.3.30.03" xfId="197" xr:uid="{00000000-0005-0000-0000-00009B000000}"/>
    <cellStyle name="_ML.3.30.03 2" xfId="1963" xr:uid="{00000000-0005-0000-0000-00009C000000}"/>
    <cellStyle name="_ML.3.30.03 3" xfId="2414" xr:uid="{00000000-0005-0000-0000-00009D000000}"/>
    <cellStyle name="_ML_VZ_092806" xfId="198" xr:uid="{00000000-0005-0000-0000-00009E000000}"/>
    <cellStyle name="_ML_VZ_092806 2" xfId="1964" xr:uid="{00000000-0005-0000-0000-00009F000000}"/>
    <cellStyle name="_ML_VZ_092806 3" xfId="2415" xr:uid="{00000000-0005-0000-0000-0000A0000000}"/>
    <cellStyle name="_model_v11" xfId="199" xr:uid="{00000000-0005-0000-0000-0000A1000000}"/>
    <cellStyle name="_model_v11 2" xfId="1965" xr:uid="{00000000-0005-0000-0000-0000A2000000}"/>
    <cellStyle name="_model_v11 3" xfId="2416" xr:uid="{00000000-0005-0000-0000-0000A3000000}"/>
    <cellStyle name="_MS_VZ_081506" xfId="200" xr:uid="{00000000-0005-0000-0000-0000A4000000}"/>
    <cellStyle name="_MS_VZ_081506 2" xfId="1966" xr:uid="{00000000-0005-0000-0000-0000A5000000}"/>
    <cellStyle name="_MS_VZ_081506 3" xfId="2417" xr:uid="{00000000-0005-0000-0000-0000A6000000}"/>
    <cellStyle name="_Multiple" xfId="201" xr:uid="{00000000-0005-0000-0000-0000A7000000}"/>
    <cellStyle name="_Multiple 2" xfId="3119" xr:uid="{00000000-0005-0000-0000-0000A8000000}"/>
    <cellStyle name="_Multiple_01 Template without numbers sent out" xfId="202" xr:uid="{00000000-0005-0000-0000-0000A9000000}"/>
    <cellStyle name="_Multiple_20020403 Regional Data 04" xfId="203" xr:uid="{00000000-0005-0000-0000-0000AA000000}"/>
    <cellStyle name="_Multiple_20020403 Regional Data 04 Final" xfId="204" xr:uid="{00000000-0005-0000-0000-0000AB000000}"/>
    <cellStyle name="_Multiple_20020403 Template for Exchange - Regional Data 01" xfId="205" xr:uid="{00000000-0005-0000-0000-0000AC000000}"/>
    <cellStyle name="_Multiple_20020404 Capex 02 All" xfId="206" xr:uid="{00000000-0005-0000-0000-0000AD000000}"/>
    <cellStyle name="_MultipleSpace" xfId="207" xr:uid="{00000000-0005-0000-0000-0000AE000000}"/>
    <cellStyle name="_MultipleSpace_01 Template without numbers sent out" xfId="208" xr:uid="{00000000-0005-0000-0000-0000AF000000}"/>
    <cellStyle name="_MultipleSpace_20020403 Regional Data 04" xfId="209" xr:uid="{00000000-0005-0000-0000-0000B0000000}"/>
    <cellStyle name="_MultipleSpace_20020403 Regional Data 04 Final" xfId="210" xr:uid="{00000000-0005-0000-0000-0000B1000000}"/>
    <cellStyle name="_MultipleSpace_20020403 Template for Exchange - Regional Data 01" xfId="211" xr:uid="{00000000-0005-0000-0000-0000B2000000}"/>
    <cellStyle name="_MultipleSpace_20020404 Capex 02 All" xfId="212" xr:uid="{00000000-0005-0000-0000-0000B3000000}"/>
    <cellStyle name="_New WCOM" xfId="213" xr:uid="{00000000-0005-0000-0000-0000B4000000}"/>
    <cellStyle name="_New WCOM 2" xfId="1967" xr:uid="{00000000-0005-0000-0000-0000B5000000}"/>
    <cellStyle name="_New WCOM 3" xfId="2418" xr:uid="{00000000-0005-0000-0000-0000B6000000}"/>
    <cellStyle name="_Overview_v7" xfId="214" xr:uid="{00000000-0005-0000-0000-0000B7000000}"/>
    <cellStyle name="_Overview_v7 2" xfId="1968" xr:uid="{00000000-0005-0000-0000-0000B8000000}"/>
    <cellStyle name="_Overview_v7 3" xfId="2419" xr:uid="{00000000-0005-0000-0000-0000B9000000}"/>
    <cellStyle name="_Payment Account" xfId="5156" xr:uid="{00000000-0005-0000-0000-000006000000}"/>
    <cellStyle name="_Percent" xfId="215" xr:uid="{00000000-0005-0000-0000-0000BA000000}"/>
    <cellStyle name="_PercentSpace" xfId="216" xr:uid="{00000000-0005-0000-0000-0000BB000000}"/>
    <cellStyle name="_Principal Account" xfId="6286" xr:uid="{00000000-0005-0000-0000-000007000000}"/>
    <cellStyle name="_RangeRows" xfId="1301" xr:uid="{00000000-0005-0000-0000-0000BC000000}"/>
    <cellStyle name="_Revised Comps Template" xfId="217" xr:uid="{00000000-0005-0000-0000-0000BD000000}"/>
    <cellStyle name="_Revised Comps Template 2" xfId="1969" xr:uid="{00000000-0005-0000-0000-0000BE000000}"/>
    <cellStyle name="_Revised Comps Template 3" xfId="2420" xr:uid="{00000000-0005-0000-0000-0000BF000000}"/>
    <cellStyle name="_Round4_Revised_v142" xfId="218" xr:uid="{00000000-0005-0000-0000-0000C0000000}"/>
    <cellStyle name="_Round4_Revised_v142 2" xfId="1970" xr:uid="{00000000-0005-0000-0000-0000C1000000}"/>
    <cellStyle name="_Round4_Revised_v142 3" xfId="2421" xr:uid="{00000000-0005-0000-0000-0000C2000000}"/>
    <cellStyle name="_Sheet1" xfId="6263" xr:uid="{00000000-0005-0000-0000-000008000000}"/>
    <cellStyle name="_Sheet1_Collection(Euro)" xfId="4391" xr:uid="{00000000-0005-0000-0000-000009000000}"/>
    <cellStyle name="_SubHeading" xfId="219" xr:uid="{00000000-0005-0000-0000-0000C3000000}"/>
    <cellStyle name="_SubHeading 2" xfId="1971" xr:uid="{00000000-0005-0000-0000-0000C4000000}"/>
    <cellStyle name="_SubHeading 3" xfId="2422" xr:uid="{00000000-0005-0000-0000-0000C5000000}"/>
    <cellStyle name="_Table" xfId="220" xr:uid="{00000000-0005-0000-0000-0000C6000000}"/>
    <cellStyle name="_Table 2" xfId="1036" xr:uid="{00000000-0005-0000-0000-0000C7000000}"/>
    <cellStyle name="_Table 2 2" xfId="1232" xr:uid="{00000000-0005-0000-0000-0000C8000000}"/>
    <cellStyle name="_Table 2 3" xfId="1898" xr:uid="{00000000-0005-0000-0000-0000C9000000}"/>
    <cellStyle name="_Table 2 4" xfId="2764" xr:uid="{00000000-0005-0000-0000-0000CA000000}"/>
    <cellStyle name="_Table 3" xfId="1020" xr:uid="{00000000-0005-0000-0000-0000CB000000}"/>
    <cellStyle name="_Table 3 2" xfId="1432" xr:uid="{00000000-0005-0000-0000-0000CC000000}"/>
    <cellStyle name="_Table 4" xfId="1217" xr:uid="{00000000-0005-0000-0000-0000CD000000}"/>
    <cellStyle name="_Table 5" xfId="1876" xr:uid="{00000000-0005-0000-0000-0000CE000000}"/>
    <cellStyle name="_Table 6" xfId="1972" xr:uid="{00000000-0005-0000-0000-0000CF000000}"/>
    <cellStyle name="_Table 7" xfId="2423" xr:uid="{00000000-0005-0000-0000-0000D0000000}"/>
    <cellStyle name="_Table_Summary" xfId="1014" xr:uid="{00000000-0005-0000-0000-0000D1000000}"/>
    <cellStyle name="_Table_Summary 2" xfId="1430" xr:uid="{00000000-0005-0000-0000-0000D2000000}"/>
    <cellStyle name="_Table_Summary 3" xfId="2344" xr:uid="{00000000-0005-0000-0000-0000D3000000}"/>
    <cellStyle name="_TableHead" xfId="221" xr:uid="{00000000-0005-0000-0000-0000D4000000}"/>
    <cellStyle name="_TableHead 2" xfId="1973" xr:uid="{00000000-0005-0000-0000-0000D5000000}"/>
    <cellStyle name="_TableHead 3" xfId="2424" xr:uid="{00000000-0005-0000-0000-0000D6000000}"/>
    <cellStyle name="_TableRowHead" xfId="222" xr:uid="{00000000-0005-0000-0000-0000D7000000}"/>
    <cellStyle name="_TableRowHead 2" xfId="1974" xr:uid="{00000000-0005-0000-0000-0000D8000000}"/>
    <cellStyle name="_TableRowHead 3" xfId="2425" xr:uid="{00000000-0005-0000-0000-0000D9000000}"/>
    <cellStyle name="_TableSuperHead" xfId="223" xr:uid="{00000000-0005-0000-0000-0000DA000000}"/>
    <cellStyle name="_TableSuperHead 2" xfId="1975" xr:uid="{00000000-0005-0000-0000-0000DB000000}"/>
    <cellStyle name="_TableSuperHead 3" xfId="2426" xr:uid="{00000000-0005-0000-0000-0000DC000000}"/>
    <cellStyle name="_valsumfinal" xfId="224" xr:uid="{00000000-0005-0000-0000-0000DD000000}"/>
    <cellStyle name="_VNTModellastestimates" xfId="225" xr:uid="{00000000-0005-0000-0000-0000DE000000}"/>
    <cellStyle name="_VNTModellastestimates 2" xfId="1976" xr:uid="{00000000-0005-0000-0000-0000DF000000}"/>
    <cellStyle name="_VNTModellastestimates 3" xfId="2427" xr:uid="{00000000-0005-0000-0000-0000E0000000}"/>
    <cellStyle name="’Ê‰Ý [0.00]_GE 3 MINIMUM" xfId="226" xr:uid="{00000000-0005-0000-0000-0000E1000000}"/>
    <cellStyle name="’Ê‰Ý_GE 3 MINIMUM" xfId="227" xr:uid="{00000000-0005-0000-0000-0000E2000000}"/>
    <cellStyle name="£ BP" xfId="229" xr:uid="{00000000-0005-0000-0000-0000E3000000}"/>
    <cellStyle name="£ BP 2" xfId="1978" xr:uid="{00000000-0005-0000-0000-0000E4000000}"/>
    <cellStyle name="£ BP 3" xfId="2429" xr:uid="{00000000-0005-0000-0000-0000E5000000}"/>
    <cellStyle name="¥ JY" xfId="230" xr:uid="{00000000-0005-0000-0000-0000E6000000}"/>
    <cellStyle name="¥ JY 2" xfId="1979" xr:uid="{00000000-0005-0000-0000-0000E7000000}"/>
    <cellStyle name="¥ JY 3" xfId="2430" xr:uid="{00000000-0005-0000-0000-0000E8000000}"/>
    <cellStyle name="=C:\WINNT35\SYSTEM32\COMMAND.COM" xfId="228" xr:uid="{00000000-0005-0000-0000-0000E9000000}"/>
    <cellStyle name="=C:\WINNT35\SYSTEM32\COMMAND.COM 2" xfId="1977" xr:uid="{00000000-0005-0000-0000-0000EA000000}"/>
    <cellStyle name="=C:\WINNT35\SYSTEM32\COMMAND.COM 3" xfId="2428" xr:uid="{00000000-0005-0000-0000-0000EB000000}"/>
    <cellStyle name="=C:\WINNT35\SYSTEM32\COMMAND.COM 4" xfId="6287" xr:uid="{00000000-0005-0000-0000-00000A000000}"/>
    <cellStyle name="•W€_Comparables" xfId="232" xr:uid="{00000000-0005-0000-0000-0000EC000000}"/>
    <cellStyle name="•W_GE 3 MINIMUM" xfId="231" xr:uid="{00000000-0005-0000-0000-0000ED000000}"/>
    <cellStyle name="0" xfId="233" xr:uid="{00000000-0005-0000-0000-0000EE000000}"/>
    <cellStyle name="0%" xfId="234" xr:uid="{00000000-0005-0000-0000-0000EF000000}"/>
    <cellStyle name="0.0" xfId="235" xr:uid="{00000000-0005-0000-0000-0000F0000000}"/>
    <cellStyle name="0.0 2" xfId="1980" xr:uid="{00000000-0005-0000-0000-0000F1000000}"/>
    <cellStyle name="0.0 3" xfId="2431" xr:uid="{00000000-0005-0000-0000-0000F2000000}"/>
    <cellStyle name="0.0&quot;x&quot;" xfId="236" xr:uid="{00000000-0005-0000-0000-0000F3000000}"/>
    <cellStyle name="0.0&quot;x&quot; 2" xfId="2432" xr:uid="{00000000-0005-0000-0000-0000F4000000}"/>
    <cellStyle name="0.0%" xfId="237" xr:uid="{00000000-0005-0000-0000-0000F5000000}"/>
    <cellStyle name="0.0% 2" xfId="1981" xr:uid="{00000000-0005-0000-0000-0000F6000000}"/>
    <cellStyle name="0.0% 3" xfId="2433" xr:uid="{00000000-0005-0000-0000-0000F7000000}"/>
    <cellStyle name="0.00" xfId="238" xr:uid="{00000000-0005-0000-0000-0000F8000000}"/>
    <cellStyle name="0.00&quot;x&quot;" xfId="239" xr:uid="{00000000-0005-0000-0000-0000F9000000}"/>
    <cellStyle name="0.00&quot;x&quot; 2" xfId="2434" xr:uid="{00000000-0005-0000-0000-0000FA000000}"/>
    <cellStyle name="0.00%" xfId="240" xr:uid="{00000000-0005-0000-0000-0000FB000000}"/>
    <cellStyle name="0_MS_VZ_081506" xfId="241" xr:uid="{00000000-0005-0000-0000-0000FC000000}"/>
    <cellStyle name="0_MS_VZ_081506 2" xfId="1982" xr:uid="{00000000-0005-0000-0000-0000FD000000}"/>
    <cellStyle name="0_MS_VZ_081506 3" xfId="2435" xr:uid="{00000000-0005-0000-0000-0000FE000000}"/>
    <cellStyle name="000" xfId="242" xr:uid="{00000000-0005-0000-0000-0000FF000000}"/>
    <cellStyle name="1" xfId="243" xr:uid="{00000000-0005-0000-0000-000000010000}"/>
    <cellStyle name="1 2" xfId="1983" xr:uid="{00000000-0005-0000-0000-000001010000}"/>
    <cellStyle name="1 3" xfId="2436" xr:uid="{00000000-0005-0000-0000-000002010000}"/>
    <cellStyle name="1,comma" xfId="244" xr:uid="{00000000-0005-0000-0000-000003010000}"/>
    <cellStyle name="1Decimal" xfId="245" xr:uid="{00000000-0005-0000-0000-000004010000}"/>
    <cellStyle name="2 Decimal Places" xfId="246" xr:uid="{00000000-0005-0000-0000-000005010000}"/>
    <cellStyle name="20% - Accent1" xfId="30" builtinId="30" customBuiltin="1"/>
    <cellStyle name="20% - Accent1 2" xfId="1544" xr:uid="{00000000-0005-0000-0000-000007010000}"/>
    <cellStyle name="20% - Accent1 2 2" xfId="5160" xr:uid="{00000000-0005-0000-0000-00000C000000}"/>
    <cellStyle name="20% - Accent1 3" xfId="6201" xr:uid="{00000000-0005-0000-0000-0000451A0000}"/>
    <cellStyle name="20% - Accent2" xfId="34" builtinId="34" customBuiltin="1"/>
    <cellStyle name="20% - Accent2 2" xfId="1620" xr:uid="{00000000-0005-0000-0000-000009010000}"/>
    <cellStyle name="20% - Accent2 2 2" xfId="6097" xr:uid="{00000000-0005-0000-0000-00000E000000}"/>
    <cellStyle name="20% - Accent2 3" xfId="6176" xr:uid="{00000000-0005-0000-0000-0000471A0000}"/>
    <cellStyle name="20% - Accent3" xfId="38" builtinId="38" customBuiltin="1"/>
    <cellStyle name="20% - Accent3 2" xfId="1615" xr:uid="{00000000-0005-0000-0000-00000B010000}"/>
    <cellStyle name="20% - Accent3 2 2" xfId="6175" xr:uid="{00000000-0005-0000-0000-000010000000}"/>
    <cellStyle name="20% - Accent3 3" xfId="5167" xr:uid="{00000000-0005-0000-0000-0000491A0000}"/>
    <cellStyle name="20% - Accent4" xfId="42" builtinId="42" customBuiltin="1"/>
    <cellStyle name="20% - Accent4 2" xfId="1536" xr:uid="{00000000-0005-0000-0000-00000D010000}"/>
    <cellStyle name="20% - Accent4 2 2" xfId="5170" xr:uid="{00000000-0005-0000-0000-000012000000}"/>
    <cellStyle name="20% - Accent4 3" xfId="5169" xr:uid="{00000000-0005-0000-0000-00004B1A0000}"/>
    <cellStyle name="20% - Accent5" xfId="46" builtinId="46" customBuiltin="1"/>
    <cellStyle name="20% - Accent5 2" xfId="1619" xr:uid="{00000000-0005-0000-0000-00000F010000}"/>
    <cellStyle name="20% - Accent5 2 2" xfId="5157" xr:uid="{00000000-0005-0000-0000-000014000000}"/>
    <cellStyle name="20% - Accent5 3" xfId="5174" xr:uid="{00000000-0005-0000-0000-00004D1A0000}"/>
    <cellStyle name="20% - Accent6" xfId="50" builtinId="50" customBuiltin="1"/>
    <cellStyle name="20% - Accent6 2" xfId="1537" xr:uid="{00000000-0005-0000-0000-000011010000}"/>
    <cellStyle name="20% - Accent6 2 2" xfId="6266" xr:uid="{00000000-0005-0000-0000-000016000000}"/>
    <cellStyle name="20% - Accent6 3" xfId="6288" xr:uid="{00000000-0005-0000-0000-00004F1A0000}"/>
    <cellStyle name="2DecimalPercent" xfId="247" xr:uid="{00000000-0005-0000-0000-000012010000}"/>
    <cellStyle name="2DecimalPercent 2" xfId="1984" xr:uid="{00000000-0005-0000-0000-000013010000}"/>
    <cellStyle name="2DecimalPercent 3" xfId="2437" xr:uid="{00000000-0005-0000-0000-000014010000}"/>
    <cellStyle name="2Decimals" xfId="248" xr:uid="{00000000-0005-0000-0000-000015010000}"/>
    <cellStyle name="40% - Accent1" xfId="31" builtinId="31" customBuiltin="1"/>
    <cellStyle name="40% - Accent1 2" xfId="1617" xr:uid="{00000000-0005-0000-0000-000017010000}"/>
    <cellStyle name="40% - Accent1 2 2" xfId="6174" xr:uid="{00000000-0005-0000-0000-000018000000}"/>
    <cellStyle name="40% - Accent1 3" xfId="6202" xr:uid="{00000000-0005-0000-0000-0000511A0000}"/>
    <cellStyle name="40% - Accent2" xfId="35" builtinId="35" customBuiltin="1"/>
    <cellStyle name="40% - Accent2 2" xfId="1538" xr:uid="{00000000-0005-0000-0000-000019010000}"/>
    <cellStyle name="40% - Accent2 2 2" xfId="5014" xr:uid="{00000000-0005-0000-0000-00001A000000}"/>
    <cellStyle name="40% - Accent2 3" xfId="6096" xr:uid="{00000000-0005-0000-0000-0000531A0000}"/>
    <cellStyle name="40% - Accent3" xfId="39" builtinId="39" customBuiltin="1"/>
    <cellStyle name="40% - Accent3 2" xfId="1655" xr:uid="{00000000-0005-0000-0000-00001B010000}"/>
    <cellStyle name="40% - Accent3 2 2" xfId="4407" xr:uid="{00000000-0005-0000-0000-00001C000000}"/>
    <cellStyle name="40% - Accent3 3" xfId="4911" xr:uid="{00000000-0005-0000-0000-0000551A0000}"/>
    <cellStyle name="40% - Accent4" xfId="43" builtinId="43" customBuiltin="1"/>
    <cellStyle name="40% - Accent4 2" xfId="1621" xr:uid="{00000000-0005-0000-0000-00001D010000}"/>
    <cellStyle name="40% - Accent4 2 2" xfId="6265" xr:uid="{00000000-0005-0000-0000-00001E000000}"/>
    <cellStyle name="40% - Accent4 3" xfId="6289" xr:uid="{00000000-0005-0000-0000-0000571A0000}"/>
    <cellStyle name="40% - Accent5" xfId="47" builtinId="47" customBuiltin="1"/>
    <cellStyle name="40% - Accent5 2" xfId="1659" xr:uid="{00000000-0005-0000-0000-00001F010000}"/>
    <cellStyle name="40% - Accent5 2 2" xfId="6173" xr:uid="{00000000-0005-0000-0000-000020000000}"/>
    <cellStyle name="40% - Accent5 3" xfId="6203" xr:uid="{00000000-0005-0000-0000-0000591A0000}"/>
    <cellStyle name="40% - Accent6" xfId="51" builtinId="51" customBuiltin="1"/>
    <cellStyle name="40% - Accent6 2" xfId="1629" xr:uid="{00000000-0005-0000-0000-000021010000}"/>
    <cellStyle name="40% - Accent6 2 2" xfId="4854" xr:uid="{00000000-0005-0000-0000-000022000000}"/>
    <cellStyle name="40% - Accent6 3" xfId="6095" xr:uid="{00000000-0005-0000-0000-00005B1A0000}"/>
    <cellStyle name="60% - Accent1" xfId="32" builtinId="32" customBuiltin="1"/>
    <cellStyle name="60% - Accent1 2" xfId="1321" xr:uid="{00000000-0005-0000-0000-000023010000}"/>
    <cellStyle name="60% - Accent1 2 2" xfId="1634" xr:uid="{00000000-0005-0000-0000-000024010000}"/>
    <cellStyle name="60% - Accent1 3" xfId="5076" xr:uid="{00000000-0005-0000-0000-00005D1A0000}"/>
    <cellStyle name="60% - Accent1 3 2" xfId="54243" xr:uid="{00000000-0005-0000-0000-00001A000000}"/>
    <cellStyle name="60% - Accent2" xfId="36" builtinId="36" customBuiltin="1"/>
    <cellStyle name="60% - Accent2 2" xfId="1322" xr:uid="{00000000-0005-0000-0000-000026010000}"/>
    <cellStyle name="60% - Accent2 2 2" xfId="1637" xr:uid="{00000000-0005-0000-0000-000027010000}"/>
    <cellStyle name="60% - Accent2 3" xfId="6290" xr:uid="{00000000-0005-0000-0000-00005E1A0000}"/>
    <cellStyle name="60% - Accent2 3 2" xfId="54244" xr:uid="{00000000-0005-0000-0000-00001D000000}"/>
    <cellStyle name="60% - Accent3" xfId="40" builtinId="40" customBuiltin="1"/>
    <cellStyle name="60% - Accent3 2" xfId="1323" xr:uid="{00000000-0005-0000-0000-000029010000}"/>
    <cellStyle name="60% - Accent3 2 2" xfId="1545" xr:uid="{00000000-0005-0000-0000-00002A010000}"/>
    <cellStyle name="60% - Accent3 3" xfId="6204" xr:uid="{00000000-0005-0000-0000-00005F1A0000}"/>
    <cellStyle name="60% - Accent3 3 2" xfId="54245" xr:uid="{00000000-0005-0000-0000-000020000000}"/>
    <cellStyle name="60% - Accent4" xfId="44" builtinId="44" customBuiltin="1"/>
    <cellStyle name="60% - Accent4 2" xfId="1325" xr:uid="{00000000-0005-0000-0000-00002C010000}"/>
    <cellStyle name="60% - Accent4 2 2" xfId="1611" xr:uid="{00000000-0005-0000-0000-00002D010000}"/>
    <cellStyle name="60% - Accent4 3" xfId="6094" xr:uid="{00000000-0005-0000-0000-0000601A0000}"/>
    <cellStyle name="60% - Accent4 3 2" xfId="54246" xr:uid="{00000000-0005-0000-0000-000023000000}"/>
    <cellStyle name="60% - Accent5" xfId="48" builtinId="48" customBuiltin="1"/>
    <cellStyle name="60% - Accent5 2" xfId="1326" xr:uid="{00000000-0005-0000-0000-00002F010000}"/>
    <cellStyle name="60% - Accent5 2 2" xfId="1546" xr:uid="{00000000-0005-0000-0000-000030010000}"/>
    <cellStyle name="60% - Accent5 3" xfId="4075" xr:uid="{00000000-0005-0000-0000-0000611A0000}"/>
    <cellStyle name="60% - Accent5 3 2" xfId="54247" xr:uid="{00000000-0005-0000-0000-000026000000}"/>
    <cellStyle name="60% - Accent6" xfId="52" builtinId="52" customBuiltin="1"/>
    <cellStyle name="60% - Accent6 2" xfId="1327" xr:uid="{00000000-0005-0000-0000-000032010000}"/>
    <cellStyle name="60% - Accent6 2 2" xfId="1547" xr:uid="{00000000-0005-0000-0000-000033010000}"/>
    <cellStyle name="60% - Accent6 3" xfId="5153" xr:uid="{00000000-0005-0000-0000-0000621A0000}"/>
    <cellStyle name="60% - Accent6 3 2" xfId="54248" xr:uid="{00000000-0005-0000-0000-000029000000}"/>
    <cellStyle name="752131" xfId="249" xr:uid="{00000000-0005-0000-0000-000034010000}"/>
    <cellStyle name="–á%@" xfId="250" xr:uid="{00000000-0005-0000-0000-000035010000}"/>
    <cellStyle name="–á%@ 2" xfId="1985" xr:uid="{00000000-0005-0000-0000-000036010000}"/>
    <cellStyle name="–á%@ 3" xfId="2438" xr:uid="{00000000-0005-0000-0000-000037010000}"/>
    <cellStyle name="ac" xfId="251" xr:uid="{00000000-0005-0000-0000-000038010000}"/>
    <cellStyle name="ac 10" xfId="6980" xr:uid="{00000000-0005-0000-0000-000038010000}"/>
    <cellStyle name="ac 10 2" xfId="26693" xr:uid="{00000000-0005-0000-0000-000038010000}"/>
    <cellStyle name="ac 10 3" xfId="45062" xr:uid="{00000000-0005-0000-0000-000038010000}"/>
    <cellStyle name="ac 2" xfId="1037" xr:uid="{00000000-0005-0000-0000-000039010000}"/>
    <cellStyle name="ac 2 10" xfId="7434" xr:uid="{00000000-0005-0000-0000-000039010000}"/>
    <cellStyle name="ac 2 10 2" xfId="26820" xr:uid="{00000000-0005-0000-0000-000039010000}"/>
    <cellStyle name="ac 2 10 3" xfId="45188" xr:uid="{00000000-0005-0000-0000-000039010000}"/>
    <cellStyle name="ac 2 11" xfId="11608" xr:uid="{00000000-0005-0000-0000-000039010000}"/>
    <cellStyle name="ac 2 11 2" xfId="30171" xr:uid="{00000000-0005-0000-0000-000039010000}"/>
    <cellStyle name="ac 2 11 3" xfId="48534" xr:uid="{00000000-0005-0000-0000-000039010000}"/>
    <cellStyle name="ac 2 12" xfId="7367" xr:uid="{00000000-0005-0000-0000-000039010000}"/>
    <cellStyle name="ac 2 2" xfId="1233" xr:uid="{00000000-0005-0000-0000-00003A010000}"/>
    <cellStyle name="ac 2 2 10" xfId="16827" xr:uid="{00000000-0005-0000-0000-00003A010000}"/>
    <cellStyle name="ac 2 2 2" xfId="1639" xr:uid="{00000000-0005-0000-0000-00003B010000}"/>
    <cellStyle name="ac 2 2 2 10" xfId="18997" xr:uid="{00000000-0005-0000-0000-00003B010000}"/>
    <cellStyle name="ac 2 2 2 10 2" xfId="37406" xr:uid="{00000000-0005-0000-0000-00003B010000}"/>
    <cellStyle name="ac 2 2 2 11" xfId="11478" xr:uid="{00000000-0005-0000-0000-00003B010000}"/>
    <cellStyle name="ac 2 2 2 12" xfId="8564" xr:uid="{00000000-0005-0000-0000-00003B010000}"/>
    <cellStyle name="ac 2 2 2 2" xfId="1720" xr:uid="{00000000-0005-0000-0000-00003C010000}"/>
    <cellStyle name="ac 2 2 2 2 10" xfId="14074" xr:uid="{00000000-0005-0000-0000-00003C010000}"/>
    <cellStyle name="ac 2 2 2 2 2" xfId="3617" xr:uid="{00000000-0005-0000-0000-00003C010000}"/>
    <cellStyle name="ac 2 2 2 2 2 2" xfId="5790" xr:uid="{00000000-0005-0000-0000-00003C010000}"/>
    <cellStyle name="ac 2 2 2 2 2 2 2" xfId="12154" xr:uid="{00000000-0005-0000-0000-00003C010000}"/>
    <cellStyle name="ac 2 2 2 2 2 2 2 2" xfId="30601" xr:uid="{00000000-0005-0000-0000-00003C010000}"/>
    <cellStyle name="ac 2 2 2 2 2 2 2 3" xfId="48964" xr:uid="{00000000-0005-0000-0000-00003C010000}"/>
    <cellStyle name="ac 2 2 2 2 2 2 3" xfId="16480" xr:uid="{00000000-0005-0000-0000-00003C010000}"/>
    <cellStyle name="ac 2 2 2 2 2 2 3 2" xfId="34852" xr:uid="{00000000-0005-0000-0000-00003C010000}"/>
    <cellStyle name="ac 2 2 2 2 2 2 3 3" xfId="53215" xr:uid="{00000000-0005-0000-0000-00003C010000}"/>
    <cellStyle name="ac 2 2 2 2 2 2 4" xfId="25599" xr:uid="{00000000-0005-0000-0000-00003C010000}"/>
    <cellStyle name="ac 2 2 2 2 2 2 4 2" xfId="43968" xr:uid="{00000000-0005-0000-0000-00003C010000}"/>
    <cellStyle name="ac 2 2 2 2 2 2 5" xfId="21920" xr:uid="{00000000-0005-0000-0000-00003C010000}"/>
    <cellStyle name="ac 2 2 2 2 2 2 6" xfId="40299" xr:uid="{00000000-0005-0000-0000-00003C010000}"/>
    <cellStyle name="ac 2 2 2 2 2 3" xfId="6616" xr:uid="{00000000-0005-0000-0000-00003C010000}"/>
    <cellStyle name="ac 2 2 2 2 2 3 2" xfId="12907" xr:uid="{00000000-0005-0000-0000-00003C010000}"/>
    <cellStyle name="ac 2 2 2 2 2 3 2 2" xfId="31333" xr:uid="{00000000-0005-0000-0000-00003C010000}"/>
    <cellStyle name="ac 2 2 2 2 2 3 2 3" xfId="49696" xr:uid="{00000000-0005-0000-0000-00003C010000}"/>
    <cellStyle name="ac 2 2 2 2 2 3 3" xfId="17218" xr:uid="{00000000-0005-0000-0000-00003C010000}"/>
    <cellStyle name="ac 2 2 2 2 2 3 3 2" xfId="35566" xr:uid="{00000000-0005-0000-0000-00003C010000}"/>
    <cellStyle name="ac 2 2 2 2 2 3 3 3" xfId="53929" xr:uid="{00000000-0005-0000-0000-00003C010000}"/>
    <cellStyle name="ac 2 2 2 2 2 3 4" xfId="26351" xr:uid="{00000000-0005-0000-0000-00003C010000}"/>
    <cellStyle name="ac 2 2 2 2 2 3 4 2" xfId="44720" xr:uid="{00000000-0005-0000-0000-00003C010000}"/>
    <cellStyle name="ac 2 2 2 2 2 3 5" xfId="22644" xr:uid="{00000000-0005-0000-0000-00003C010000}"/>
    <cellStyle name="ac 2 2 2 2 2 3 6" xfId="41013" xr:uid="{00000000-0005-0000-0000-00003C010000}"/>
    <cellStyle name="ac 2 2 2 2 2 4" xfId="10330" xr:uid="{00000000-0005-0000-0000-00003C010000}"/>
    <cellStyle name="ac 2 2 2 2 2 4 2" xfId="14387" xr:uid="{00000000-0005-0000-0000-00003C010000}"/>
    <cellStyle name="ac 2 2 2 2 2 4 2 2" xfId="32803" xr:uid="{00000000-0005-0000-0000-00003C010000}"/>
    <cellStyle name="ac 2 2 2 2 2 4 2 3" xfId="51166" xr:uid="{00000000-0005-0000-0000-00003C010000}"/>
    <cellStyle name="ac 2 2 2 2 2 4 3" xfId="29041" xr:uid="{00000000-0005-0000-0000-00003C010000}"/>
    <cellStyle name="ac 2 2 2 2 2 4 3 2" xfId="47404" xr:uid="{00000000-0005-0000-0000-00003C010000}"/>
    <cellStyle name="ac 2 2 2 2 2 4 4" xfId="19844" xr:uid="{00000000-0005-0000-0000-00003C010000}"/>
    <cellStyle name="ac 2 2 2 2 2 4 5" xfId="38250" xr:uid="{00000000-0005-0000-0000-00003C010000}"/>
    <cellStyle name="ac 2 2 2 2 2 5" xfId="9538" xr:uid="{00000000-0005-0000-0000-00003C010000}"/>
    <cellStyle name="ac 2 2 2 2 2 5 2" xfId="28255" xr:uid="{00000000-0005-0000-0000-00003C010000}"/>
    <cellStyle name="ac 2 2 2 2 2 5 3" xfId="46618" xr:uid="{00000000-0005-0000-0000-00003C010000}"/>
    <cellStyle name="ac 2 2 2 2 2 6" xfId="13596" xr:uid="{00000000-0005-0000-0000-00003C010000}"/>
    <cellStyle name="ac 2 2 2 2 2 6 2" xfId="32017" xr:uid="{00000000-0005-0000-0000-00003C010000}"/>
    <cellStyle name="ac 2 2 2 2 2 6 3" xfId="50380" xr:uid="{00000000-0005-0000-0000-00003C010000}"/>
    <cellStyle name="ac 2 2 2 2 2 7" xfId="23525" xr:uid="{00000000-0005-0000-0000-00003C010000}"/>
    <cellStyle name="ac 2 2 2 2 2 7 2" xfId="41894" xr:uid="{00000000-0005-0000-0000-00003C010000}"/>
    <cellStyle name="ac 2 2 2 2 2 8" xfId="18637" xr:uid="{00000000-0005-0000-0000-00003C010000}"/>
    <cellStyle name="ac 2 2 2 2 2 9" xfId="37047" xr:uid="{00000000-0005-0000-0000-00003C010000}"/>
    <cellStyle name="ac 2 2 2 2 3" xfId="4657" xr:uid="{00000000-0005-0000-0000-00003C010000}"/>
    <cellStyle name="ac 2 2 2 2 3 2" xfId="11241" xr:uid="{00000000-0005-0000-0000-00003C010000}"/>
    <cellStyle name="ac 2 2 2 2 3 2 2" xfId="29853" xr:uid="{00000000-0005-0000-0000-00003C010000}"/>
    <cellStyle name="ac 2 2 2 2 3 2 3" xfId="48216" xr:uid="{00000000-0005-0000-0000-00003C010000}"/>
    <cellStyle name="ac 2 2 2 2 3 3" xfId="15383" xr:uid="{00000000-0005-0000-0000-00003C010000}"/>
    <cellStyle name="ac 2 2 2 2 3 3 2" xfId="33776" xr:uid="{00000000-0005-0000-0000-00003C010000}"/>
    <cellStyle name="ac 2 2 2 2 3 3 3" xfId="52139" xr:uid="{00000000-0005-0000-0000-00003C010000}"/>
    <cellStyle name="ac 2 2 2 2 3 4" xfId="24507" xr:uid="{00000000-0005-0000-0000-00003C010000}"/>
    <cellStyle name="ac 2 2 2 2 3 4 2" xfId="42876" xr:uid="{00000000-0005-0000-0000-00003C010000}"/>
    <cellStyle name="ac 2 2 2 2 3 5" xfId="20834" xr:uid="{00000000-0005-0000-0000-00003C010000}"/>
    <cellStyle name="ac 2 2 2 2 3 6" xfId="39223" xr:uid="{00000000-0005-0000-0000-00003C010000}"/>
    <cellStyle name="ac 2 2 2 2 4" xfId="4343" xr:uid="{00000000-0005-0000-0000-00003C010000}"/>
    <cellStyle name="ac 2 2 2 2 4 2" xfId="10948" xr:uid="{00000000-0005-0000-0000-00003C010000}"/>
    <cellStyle name="ac 2 2 2 2 4 2 2" xfId="29576" xr:uid="{00000000-0005-0000-0000-00003C010000}"/>
    <cellStyle name="ac 2 2 2 2 4 2 3" xfId="47939" xr:uid="{00000000-0005-0000-0000-00003C010000}"/>
    <cellStyle name="ac 2 2 2 2 4 3" xfId="15085" xr:uid="{00000000-0005-0000-0000-00003C010000}"/>
    <cellStyle name="ac 2 2 2 2 4 3 2" xfId="33485" xr:uid="{00000000-0005-0000-0000-00003C010000}"/>
    <cellStyle name="ac 2 2 2 2 4 3 3" xfId="51848" xr:uid="{00000000-0005-0000-0000-00003C010000}"/>
    <cellStyle name="ac 2 2 2 2 4 4" xfId="24214" xr:uid="{00000000-0005-0000-0000-00003C010000}"/>
    <cellStyle name="ac 2 2 2 2 4 4 2" xfId="42583" xr:uid="{00000000-0005-0000-0000-00003C010000}"/>
    <cellStyle name="ac 2 2 2 2 4 5" xfId="20537" xr:uid="{00000000-0005-0000-0000-00003C010000}"/>
    <cellStyle name="ac 2 2 2 2 4 6" xfId="38932" xr:uid="{00000000-0005-0000-0000-00003C010000}"/>
    <cellStyle name="ac 2 2 2 2 5" xfId="9188" xr:uid="{00000000-0005-0000-0000-00003C010000}"/>
    <cellStyle name="ac 2 2 2 2 5 2" xfId="13246" xr:uid="{00000000-0005-0000-0000-00003C010000}"/>
    <cellStyle name="ac 2 2 2 2 5 2 2" xfId="31667" xr:uid="{00000000-0005-0000-0000-00003C010000}"/>
    <cellStyle name="ac 2 2 2 2 5 2 3" xfId="50030" xr:uid="{00000000-0005-0000-0000-00003C010000}"/>
    <cellStyle name="ac 2 2 2 2 5 3" xfId="27909" xr:uid="{00000000-0005-0000-0000-00003C010000}"/>
    <cellStyle name="ac 2 2 2 2 5 3 2" xfId="46272" xr:uid="{00000000-0005-0000-0000-00003C010000}"/>
    <cellStyle name="ac 2 2 2 2 5 4" xfId="18203" xr:uid="{00000000-0005-0000-0000-00003C010000}"/>
    <cellStyle name="ac 2 2 2 2 5 5" xfId="36609" xr:uid="{00000000-0005-0000-0000-00003C010000}"/>
    <cellStyle name="ac 2 2 2 2 6" xfId="7951" xr:uid="{00000000-0005-0000-0000-00003C010000}"/>
    <cellStyle name="ac 2 2 2 2 6 2" xfId="27181" xr:uid="{00000000-0005-0000-0000-00003C010000}"/>
    <cellStyle name="ac 2 2 2 2 6 3" xfId="45546" xr:uid="{00000000-0005-0000-0000-00003C010000}"/>
    <cellStyle name="ac 2 2 2 2 7" xfId="7172" xr:uid="{00000000-0005-0000-0000-00003C010000}"/>
    <cellStyle name="ac 2 2 2 2 7 2" xfId="26736" xr:uid="{00000000-0005-0000-0000-00003C010000}"/>
    <cellStyle name="ac 2 2 2 2 7 3" xfId="45104" xr:uid="{00000000-0005-0000-0000-00003C010000}"/>
    <cellStyle name="ac 2 2 2 2 8" xfId="18899" xr:uid="{00000000-0005-0000-0000-00003C010000}"/>
    <cellStyle name="ac 2 2 2 2 8 2" xfId="37308" xr:uid="{00000000-0005-0000-0000-00003C010000}"/>
    <cellStyle name="ac 2 2 2 2 9" xfId="7135" xr:uid="{00000000-0005-0000-0000-00003C010000}"/>
    <cellStyle name="ac 2 2 2 3" xfId="1750" xr:uid="{00000000-0005-0000-0000-00003D010000}"/>
    <cellStyle name="ac 2 2 2 3 10" xfId="17685" xr:uid="{00000000-0005-0000-0000-00003D010000}"/>
    <cellStyle name="ac 2 2 2 3 2" xfId="3647" xr:uid="{00000000-0005-0000-0000-00003D010000}"/>
    <cellStyle name="ac 2 2 2 3 2 2" xfId="5820" xr:uid="{00000000-0005-0000-0000-00003D010000}"/>
    <cellStyle name="ac 2 2 2 3 2 2 2" xfId="12184" xr:uid="{00000000-0005-0000-0000-00003D010000}"/>
    <cellStyle name="ac 2 2 2 3 2 2 2 2" xfId="30631" xr:uid="{00000000-0005-0000-0000-00003D010000}"/>
    <cellStyle name="ac 2 2 2 3 2 2 2 3" xfId="48994" xr:uid="{00000000-0005-0000-0000-00003D010000}"/>
    <cellStyle name="ac 2 2 2 3 2 2 3" xfId="16510" xr:uid="{00000000-0005-0000-0000-00003D010000}"/>
    <cellStyle name="ac 2 2 2 3 2 2 3 2" xfId="34882" xr:uid="{00000000-0005-0000-0000-00003D010000}"/>
    <cellStyle name="ac 2 2 2 3 2 2 3 3" xfId="53245" xr:uid="{00000000-0005-0000-0000-00003D010000}"/>
    <cellStyle name="ac 2 2 2 3 2 2 4" xfId="25629" xr:uid="{00000000-0005-0000-0000-00003D010000}"/>
    <cellStyle name="ac 2 2 2 3 2 2 4 2" xfId="43998" xr:uid="{00000000-0005-0000-0000-00003D010000}"/>
    <cellStyle name="ac 2 2 2 3 2 2 5" xfId="21950" xr:uid="{00000000-0005-0000-0000-00003D010000}"/>
    <cellStyle name="ac 2 2 2 3 2 2 6" xfId="40329" xr:uid="{00000000-0005-0000-0000-00003D010000}"/>
    <cellStyle name="ac 2 2 2 3 2 3" xfId="6646" xr:uid="{00000000-0005-0000-0000-00003D010000}"/>
    <cellStyle name="ac 2 2 2 3 2 3 2" xfId="12937" xr:uid="{00000000-0005-0000-0000-00003D010000}"/>
    <cellStyle name="ac 2 2 2 3 2 3 2 2" xfId="31363" xr:uid="{00000000-0005-0000-0000-00003D010000}"/>
    <cellStyle name="ac 2 2 2 3 2 3 2 3" xfId="49726" xr:uid="{00000000-0005-0000-0000-00003D010000}"/>
    <cellStyle name="ac 2 2 2 3 2 3 3" xfId="17248" xr:uid="{00000000-0005-0000-0000-00003D010000}"/>
    <cellStyle name="ac 2 2 2 3 2 3 3 2" xfId="35596" xr:uid="{00000000-0005-0000-0000-00003D010000}"/>
    <cellStyle name="ac 2 2 2 3 2 3 3 3" xfId="53959" xr:uid="{00000000-0005-0000-0000-00003D010000}"/>
    <cellStyle name="ac 2 2 2 3 2 3 4" xfId="26381" xr:uid="{00000000-0005-0000-0000-00003D010000}"/>
    <cellStyle name="ac 2 2 2 3 2 3 4 2" xfId="44750" xr:uid="{00000000-0005-0000-0000-00003D010000}"/>
    <cellStyle name="ac 2 2 2 3 2 3 5" xfId="22674" xr:uid="{00000000-0005-0000-0000-00003D010000}"/>
    <cellStyle name="ac 2 2 2 3 2 3 6" xfId="41043" xr:uid="{00000000-0005-0000-0000-00003D010000}"/>
    <cellStyle name="ac 2 2 2 3 2 4" xfId="10360" xr:uid="{00000000-0005-0000-0000-00003D010000}"/>
    <cellStyle name="ac 2 2 2 3 2 4 2" xfId="14417" xr:uid="{00000000-0005-0000-0000-00003D010000}"/>
    <cellStyle name="ac 2 2 2 3 2 4 2 2" xfId="32833" xr:uid="{00000000-0005-0000-0000-00003D010000}"/>
    <cellStyle name="ac 2 2 2 3 2 4 2 3" xfId="51196" xr:uid="{00000000-0005-0000-0000-00003D010000}"/>
    <cellStyle name="ac 2 2 2 3 2 4 3" xfId="29071" xr:uid="{00000000-0005-0000-0000-00003D010000}"/>
    <cellStyle name="ac 2 2 2 3 2 4 3 2" xfId="47434" xr:uid="{00000000-0005-0000-0000-00003D010000}"/>
    <cellStyle name="ac 2 2 2 3 2 4 4" xfId="19874" xr:uid="{00000000-0005-0000-0000-00003D010000}"/>
    <cellStyle name="ac 2 2 2 3 2 4 5" xfId="38280" xr:uid="{00000000-0005-0000-0000-00003D010000}"/>
    <cellStyle name="ac 2 2 2 3 2 5" xfId="9568" xr:uid="{00000000-0005-0000-0000-00003D010000}"/>
    <cellStyle name="ac 2 2 2 3 2 5 2" xfId="28285" xr:uid="{00000000-0005-0000-0000-00003D010000}"/>
    <cellStyle name="ac 2 2 2 3 2 5 3" xfId="46648" xr:uid="{00000000-0005-0000-0000-00003D010000}"/>
    <cellStyle name="ac 2 2 2 3 2 6" xfId="13626" xr:uid="{00000000-0005-0000-0000-00003D010000}"/>
    <cellStyle name="ac 2 2 2 3 2 6 2" xfId="32047" xr:uid="{00000000-0005-0000-0000-00003D010000}"/>
    <cellStyle name="ac 2 2 2 3 2 6 3" xfId="50410" xr:uid="{00000000-0005-0000-0000-00003D010000}"/>
    <cellStyle name="ac 2 2 2 3 2 7" xfId="23555" xr:uid="{00000000-0005-0000-0000-00003D010000}"/>
    <cellStyle name="ac 2 2 2 3 2 7 2" xfId="41924" xr:uid="{00000000-0005-0000-0000-00003D010000}"/>
    <cellStyle name="ac 2 2 2 3 2 8" xfId="18667" xr:uid="{00000000-0005-0000-0000-00003D010000}"/>
    <cellStyle name="ac 2 2 2 3 2 9" xfId="37077" xr:uid="{00000000-0005-0000-0000-00003D010000}"/>
    <cellStyle name="ac 2 2 2 3 3" xfId="4687" xr:uid="{00000000-0005-0000-0000-00003D010000}"/>
    <cellStyle name="ac 2 2 2 3 3 2" xfId="11271" xr:uid="{00000000-0005-0000-0000-00003D010000}"/>
    <cellStyle name="ac 2 2 2 3 3 2 2" xfId="29883" xr:uid="{00000000-0005-0000-0000-00003D010000}"/>
    <cellStyle name="ac 2 2 2 3 3 2 3" xfId="48246" xr:uid="{00000000-0005-0000-0000-00003D010000}"/>
    <cellStyle name="ac 2 2 2 3 3 3" xfId="15413" xr:uid="{00000000-0005-0000-0000-00003D010000}"/>
    <cellStyle name="ac 2 2 2 3 3 3 2" xfId="33806" xr:uid="{00000000-0005-0000-0000-00003D010000}"/>
    <cellStyle name="ac 2 2 2 3 3 3 3" xfId="52169" xr:uid="{00000000-0005-0000-0000-00003D010000}"/>
    <cellStyle name="ac 2 2 2 3 3 4" xfId="24537" xr:uid="{00000000-0005-0000-0000-00003D010000}"/>
    <cellStyle name="ac 2 2 2 3 3 4 2" xfId="42906" xr:uid="{00000000-0005-0000-0000-00003D010000}"/>
    <cellStyle name="ac 2 2 2 3 3 5" xfId="20864" xr:uid="{00000000-0005-0000-0000-00003D010000}"/>
    <cellStyle name="ac 2 2 2 3 3 6" xfId="39253" xr:uid="{00000000-0005-0000-0000-00003D010000}"/>
    <cellStyle name="ac 2 2 2 3 4" xfId="5029" xr:uid="{00000000-0005-0000-0000-00003D010000}"/>
    <cellStyle name="ac 2 2 2 3 4 2" xfId="11552" xr:uid="{00000000-0005-0000-0000-00003D010000}"/>
    <cellStyle name="ac 2 2 2 3 4 2 2" xfId="30124" xr:uid="{00000000-0005-0000-0000-00003D010000}"/>
    <cellStyle name="ac 2 2 2 3 4 2 3" xfId="48487" xr:uid="{00000000-0005-0000-0000-00003D010000}"/>
    <cellStyle name="ac 2 2 2 3 4 3" xfId="15742" xr:uid="{00000000-0005-0000-0000-00003D010000}"/>
    <cellStyle name="ac 2 2 2 3 4 3 2" xfId="34130" xr:uid="{00000000-0005-0000-0000-00003D010000}"/>
    <cellStyle name="ac 2 2 2 3 4 3 3" xfId="52493" xr:uid="{00000000-0005-0000-0000-00003D010000}"/>
    <cellStyle name="ac 2 2 2 3 4 4" xfId="24866" xr:uid="{00000000-0005-0000-0000-00003D010000}"/>
    <cellStyle name="ac 2 2 2 3 4 4 2" xfId="43235" xr:uid="{00000000-0005-0000-0000-00003D010000}"/>
    <cellStyle name="ac 2 2 2 3 4 5" xfId="21190" xr:uid="{00000000-0005-0000-0000-00003D010000}"/>
    <cellStyle name="ac 2 2 2 3 4 6" xfId="39577" xr:uid="{00000000-0005-0000-0000-00003D010000}"/>
    <cellStyle name="ac 2 2 2 3 5" xfId="9702" xr:uid="{00000000-0005-0000-0000-00003D010000}"/>
    <cellStyle name="ac 2 2 2 3 5 2" xfId="13759" xr:uid="{00000000-0005-0000-0000-00003D010000}"/>
    <cellStyle name="ac 2 2 2 3 5 2 2" xfId="32180" xr:uid="{00000000-0005-0000-0000-00003D010000}"/>
    <cellStyle name="ac 2 2 2 3 5 2 3" xfId="50543" xr:uid="{00000000-0005-0000-0000-00003D010000}"/>
    <cellStyle name="ac 2 2 2 3 5 3" xfId="28418" xr:uid="{00000000-0005-0000-0000-00003D010000}"/>
    <cellStyle name="ac 2 2 2 3 5 3 2" xfId="46781" xr:uid="{00000000-0005-0000-0000-00003D010000}"/>
    <cellStyle name="ac 2 2 2 3 5 4" xfId="18849" xr:uid="{00000000-0005-0000-0000-00003D010000}"/>
    <cellStyle name="ac 2 2 2 3 5 5" xfId="37258" xr:uid="{00000000-0005-0000-0000-00003D010000}"/>
    <cellStyle name="ac 2 2 2 3 6" xfId="7981" xr:uid="{00000000-0005-0000-0000-00003D010000}"/>
    <cellStyle name="ac 2 2 2 3 6 2" xfId="27211" xr:uid="{00000000-0005-0000-0000-00003D010000}"/>
    <cellStyle name="ac 2 2 2 3 6 3" xfId="45576" xr:uid="{00000000-0005-0000-0000-00003D010000}"/>
    <cellStyle name="ac 2 2 2 3 7" xfId="7828" xr:uid="{00000000-0005-0000-0000-00003D010000}"/>
    <cellStyle name="ac 2 2 2 3 7 2" xfId="27087" xr:uid="{00000000-0005-0000-0000-00003D010000}"/>
    <cellStyle name="ac 2 2 2 3 7 3" xfId="45452" xr:uid="{00000000-0005-0000-0000-00003D010000}"/>
    <cellStyle name="ac 2 2 2 3 8" xfId="19546" xr:uid="{00000000-0005-0000-0000-00003D010000}"/>
    <cellStyle name="ac 2 2 2 3 8 2" xfId="37952" xr:uid="{00000000-0005-0000-0000-00003D010000}"/>
    <cellStyle name="ac 2 2 2 3 9" xfId="8764" xr:uid="{00000000-0005-0000-0000-00003D010000}"/>
    <cellStyle name="ac 2 2 2 4" xfId="1778" xr:uid="{00000000-0005-0000-0000-00003E010000}"/>
    <cellStyle name="ac 2 2 2 4 10" xfId="7286" xr:uid="{00000000-0005-0000-0000-00003E010000}"/>
    <cellStyle name="ac 2 2 2 4 2" xfId="3675" xr:uid="{00000000-0005-0000-0000-00003E010000}"/>
    <cellStyle name="ac 2 2 2 4 2 2" xfId="5848" xr:uid="{00000000-0005-0000-0000-00003E010000}"/>
    <cellStyle name="ac 2 2 2 4 2 2 2" xfId="12212" xr:uid="{00000000-0005-0000-0000-00003E010000}"/>
    <cellStyle name="ac 2 2 2 4 2 2 2 2" xfId="30659" xr:uid="{00000000-0005-0000-0000-00003E010000}"/>
    <cellStyle name="ac 2 2 2 4 2 2 2 3" xfId="49022" xr:uid="{00000000-0005-0000-0000-00003E010000}"/>
    <cellStyle name="ac 2 2 2 4 2 2 3" xfId="16538" xr:uid="{00000000-0005-0000-0000-00003E010000}"/>
    <cellStyle name="ac 2 2 2 4 2 2 3 2" xfId="34910" xr:uid="{00000000-0005-0000-0000-00003E010000}"/>
    <cellStyle name="ac 2 2 2 4 2 2 3 3" xfId="53273" xr:uid="{00000000-0005-0000-0000-00003E010000}"/>
    <cellStyle name="ac 2 2 2 4 2 2 4" xfId="25657" xr:uid="{00000000-0005-0000-0000-00003E010000}"/>
    <cellStyle name="ac 2 2 2 4 2 2 4 2" xfId="44026" xr:uid="{00000000-0005-0000-0000-00003E010000}"/>
    <cellStyle name="ac 2 2 2 4 2 2 5" xfId="21978" xr:uid="{00000000-0005-0000-0000-00003E010000}"/>
    <cellStyle name="ac 2 2 2 4 2 2 6" xfId="40357" xr:uid="{00000000-0005-0000-0000-00003E010000}"/>
    <cellStyle name="ac 2 2 2 4 2 3" xfId="6674" xr:uid="{00000000-0005-0000-0000-00003E010000}"/>
    <cellStyle name="ac 2 2 2 4 2 3 2" xfId="12965" xr:uid="{00000000-0005-0000-0000-00003E010000}"/>
    <cellStyle name="ac 2 2 2 4 2 3 2 2" xfId="31391" xr:uid="{00000000-0005-0000-0000-00003E010000}"/>
    <cellStyle name="ac 2 2 2 4 2 3 2 3" xfId="49754" xr:uid="{00000000-0005-0000-0000-00003E010000}"/>
    <cellStyle name="ac 2 2 2 4 2 3 3" xfId="17276" xr:uid="{00000000-0005-0000-0000-00003E010000}"/>
    <cellStyle name="ac 2 2 2 4 2 3 3 2" xfId="35624" xr:uid="{00000000-0005-0000-0000-00003E010000}"/>
    <cellStyle name="ac 2 2 2 4 2 3 3 3" xfId="53987" xr:uid="{00000000-0005-0000-0000-00003E010000}"/>
    <cellStyle name="ac 2 2 2 4 2 3 4" xfId="26409" xr:uid="{00000000-0005-0000-0000-00003E010000}"/>
    <cellStyle name="ac 2 2 2 4 2 3 4 2" xfId="44778" xr:uid="{00000000-0005-0000-0000-00003E010000}"/>
    <cellStyle name="ac 2 2 2 4 2 3 5" xfId="22702" xr:uid="{00000000-0005-0000-0000-00003E010000}"/>
    <cellStyle name="ac 2 2 2 4 2 3 6" xfId="41071" xr:uid="{00000000-0005-0000-0000-00003E010000}"/>
    <cellStyle name="ac 2 2 2 4 2 4" xfId="10388" xr:uid="{00000000-0005-0000-0000-00003E010000}"/>
    <cellStyle name="ac 2 2 2 4 2 4 2" xfId="14445" xr:uid="{00000000-0005-0000-0000-00003E010000}"/>
    <cellStyle name="ac 2 2 2 4 2 4 2 2" xfId="32861" xr:uid="{00000000-0005-0000-0000-00003E010000}"/>
    <cellStyle name="ac 2 2 2 4 2 4 2 3" xfId="51224" xr:uid="{00000000-0005-0000-0000-00003E010000}"/>
    <cellStyle name="ac 2 2 2 4 2 4 3" xfId="29099" xr:uid="{00000000-0005-0000-0000-00003E010000}"/>
    <cellStyle name="ac 2 2 2 4 2 4 3 2" xfId="47462" xr:uid="{00000000-0005-0000-0000-00003E010000}"/>
    <cellStyle name="ac 2 2 2 4 2 4 4" xfId="19902" xr:uid="{00000000-0005-0000-0000-00003E010000}"/>
    <cellStyle name="ac 2 2 2 4 2 4 5" xfId="38308" xr:uid="{00000000-0005-0000-0000-00003E010000}"/>
    <cellStyle name="ac 2 2 2 4 2 5" xfId="9596" xr:uid="{00000000-0005-0000-0000-00003E010000}"/>
    <cellStyle name="ac 2 2 2 4 2 5 2" xfId="28313" xr:uid="{00000000-0005-0000-0000-00003E010000}"/>
    <cellStyle name="ac 2 2 2 4 2 5 3" xfId="46676" xr:uid="{00000000-0005-0000-0000-00003E010000}"/>
    <cellStyle name="ac 2 2 2 4 2 6" xfId="13654" xr:uid="{00000000-0005-0000-0000-00003E010000}"/>
    <cellStyle name="ac 2 2 2 4 2 6 2" xfId="32075" xr:uid="{00000000-0005-0000-0000-00003E010000}"/>
    <cellStyle name="ac 2 2 2 4 2 6 3" xfId="50438" xr:uid="{00000000-0005-0000-0000-00003E010000}"/>
    <cellStyle name="ac 2 2 2 4 2 7" xfId="23583" xr:uid="{00000000-0005-0000-0000-00003E010000}"/>
    <cellStyle name="ac 2 2 2 4 2 7 2" xfId="41952" xr:uid="{00000000-0005-0000-0000-00003E010000}"/>
    <cellStyle name="ac 2 2 2 4 2 8" xfId="18695" xr:uid="{00000000-0005-0000-0000-00003E010000}"/>
    <cellStyle name="ac 2 2 2 4 2 9" xfId="37105" xr:uid="{00000000-0005-0000-0000-00003E010000}"/>
    <cellStyle name="ac 2 2 2 4 3" xfId="4715" xr:uid="{00000000-0005-0000-0000-00003E010000}"/>
    <cellStyle name="ac 2 2 2 4 3 2" xfId="11299" xr:uid="{00000000-0005-0000-0000-00003E010000}"/>
    <cellStyle name="ac 2 2 2 4 3 2 2" xfId="29911" xr:uid="{00000000-0005-0000-0000-00003E010000}"/>
    <cellStyle name="ac 2 2 2 4 3 2 3" xfId="48274" xr:uid="{00000000-0005-0000-0000-00003E010000}"/>
    <cellStyle name="ac 2 2 2 4 3 3" xfId="15441" xr:uid="{00000000-0005-0000-0000-00003E010000}"/>
    <cellStyle name="ac 2 2 2 4 3 3 2" xfId="33834" xr:uid="{00000000-0005-0000-0000-00003E010000}"/>
    <cellStyle name="ac 2 2 2 4 3 3 3" xfId="52197" xr:uid="{00000000-0005-0000-0000-00003E010000}"/>
    <cellStyle name="ac 2 2 2 4 3 4" xfId="24565" xr:uid="{00000000-0005-0000-0000-00003E010000}"/>
    <cellStyle name="ac 2 2 2 4 3 4 2" xfId="42934" xr:uid="{00000000-0005-0000-0000-00003E010000}"/>
    <cellStyle name="ac 2 2 2 4 3 5" xfId="20892" xr:uid="{00000000-0005-0000-0000-00003E010000}"/>
    <cellStyle name="ac 2 2 2 4 3 6" xfId="39281" xr:uid="{00000000-0005-0000-0000-00003E010000}"/>
    <cellStyle name="ac 2 2 2 4 4" xfId="58" xr:uid="{00000000-0005-0000-0000-00003E010000}"/>
    <cellStyle name="ac 2 2 2 4 4 2" xfId="9164" xr:uid="{00000000-0005-0000-0000-00003E010000}"/>
    <cellStyle name="ac 2 2 2 4 4 2 2" xfId="27886" xr:uid="{00000000-0005-0000-0000-00003E010000}"/>
    <cellStyle name="ac 2 2 2 4 4 2 3" xfId="46249" xr:uid="{00000000-0005-0000-0000-00003E010000}"/>
    <cellStyle name="ac 2 2 2 4 4 3" xfId="13223" xr:uid="{00000000-0005-0000-0000-00003E010000}"/>
    <cellStyle name="ac 2 2 2 4 4 3 2" xfId="31644" xr:uid="{00000000-0005-0000-0000-00003E010000}"/>
    <cellStyle name="ac 2 2 2 4 4 3 3" xfId="50007" xr:uid="{00000000-0005-0000-0000-00003E010000}"/>
    <cellStyle name="ac 2 2 2 4 4 4" xfId="18035" xr:uid="{00000000-0005-0000-0000-00003E010000}"/>
    <cellStyle name="ac 2 2 2 4 4 4 2" xfId="36443" xr:uid="{00000000-0005-0000-0000-00003E010000}"/>
    <cellStyle name="ac 2 2 2 4 4 5" xfId="18156" xr:uid="{00000000-0005-0000-0000-00003E010000}"/>
    <cellStyle name="ac 2 2 2 4 4 6" xfId="36563" xr:uid="{00000000-0005-0000-0000-00003E010000}"/>
    <cellStyle name="ac 2 2 2 4 5" xfId="9062" xr:uid="{00000000-0005-0000-0000-00003E010000}"/>
    <cellStyle name="ac 2 2 2 4 5 2" xfId="6200" xr:uid="{00000000-0005-0000-0000-00003E010000}"/>
    <cellStyle name="ac 2 2 2 4 5 2 2" xfId="25977" xr:uid="{00000000-0005-0000-0000-00003E010000}"/>
    <cellStyle name="ac 2 2 2 4 5 2 3" xfId="44346" xr:uid="{00000000-0005-0000-0000-00003E010000}"/>
    <cellStyle name="ac 2 2 2 4 5 3" xfId="27788" xr:uid="{00000000-0005-0000-0000-00003E010000}"/>
    <cellStyle name="ac 2 2 2 4 5 3 2" xfId="46151" xr:uid="{00000000-0005-0000-0000-00003E010000}"/>
    <cellStyle name="ac 2 2 2 4 5 4" xfId="17962" xr:uid="{00000000-0005-0000-0000-00003E010000}"/>
    <cellStyle name="ac 2 2 2 4 5 5" xfId="36370" xr:uid="{00000000-0005-0000-0000-00003E010000}"/>
    <cellStyle name="ac 2 2 2 4 6" xfId="8009" xr:uid="{00000000-0005-0000-0000-00003E010000}"/>
    <cellStyle name="ac 2 2 2 4 6 2" xfId="27239" xr:uid="{00000000-0005-0000-0000-00003E010000}"/>
    <cellStyle name="ac 2 2 2 4 6 3" xfId="45604" xr:uid="{00000000-0005-0000-0000-00003E010000}"/>
    <cellStyle name="ac 2 2 2 4 7" xfId="7633" xr:uid="{00000000-0005-0000-0000-00003E010000}"/>
    <cellStyle name="ac 2 2 2 4 7 2" xfId="26920" xr:uid="{00000000-0005-0000-0000-00003E010000}"/>
    <cellStyle name="ac 2 2 2 4 7 3" xfId="45285" xr:uid="{00000000-0005-0000-0000-00003E010000}"/>
    <cellStyle name="ac 2 2 2 4 8" xfId="18252" xr:uid="{00000000-0005-0000-0000-00003E010000}"/>
    <cellStyle name="ac 2 2 2 4 8 2" xfId="36658" xr:uid="{00000000-0005-0000-0000-00003E010000}"/>
    <cellStyle name="ac 2 2 2 4 9" xfId="8230" xr:uid="{00000000-0005-0000-0000-00003E010000}"/>
    <cellStyle name="ac 2 2 2 5" xfId="3551" xr:uid="{00000000-0005-0000-0000-00003B010000}"/>
    <cellStyle name="ac 2 2 2 5 2" xfId="5724" xr:uid="{00000000-0005-0000-0000-00003B010000}"/>
    <cellStyle name="ac 2 2 2 5 2 2" xfId="12088" xr:uid="{00000000-0005-0000-0000-00003B010000}"/>
    <cellStyle name="ac 2 2 2 5 2 2 2" xfId="30535" xr:uid="{00000000-0005-0000-0000-00003B010000}"/>
    <cellStyle name="ac 2 2 2 5 2 2 3" xfId="48898" xr:uid="{00000000-0005-0000-0000-00003B010000}"/>
    <cellStyle name="ac 2 2 2 5 2 3" xfId="16414" xr:uid="{00000000-0005-0000-0000-00003B010000}"/>
    <cellStyle name="ac 2 2 2 5 2 3 2" xfId="34786" xr:uid="{00000000-0005-0000-0000-00003B010000}"/>
    <cellStyle name="ac 2 2 2 5 2 3 3" xfId="53149" xr:uid="{00000000-0005-0000-0000-00003B010000}"/>
    <cellStyle name="ac 2 2 2 5 2 4" xfId="25533" xr:uid="{00000000-0005-0000-0000-00003B010000}"/>
    <cellStyle name="ac 2 2 2 5 2 4 2" xfId="43902" xr:uid="{00000000-0005-0000-0000-00003B010000}"/>
    <cellStyle name="ac 2 2 2 5 2 5" xfId="21854" xr:uid="{00000000-0005-0000-0000-00003B010000}"/>
    <cellStyle name="ac 2 2 2 5 2 6" xfId="40233" xr:uid="{00000000-0005-0000-0000-00003B010000}"/>
    <cellStyle name="ac 2 2 2 5 3" xfId="6550" xr:uid="{00000000-0005-0000-0000-00003B010000}"/>
    <cellStyle name="ac 2 2 2 5 3 2" xfId="12841" xr:uid="{00000000-0005-0000-0000-00003B010000}"/>
    <cellStyle name="ac 2 2 2 5 3 2 2" xfId="31267" xr:uid="{00000000-0005-0000-0000-00003B010000}"/>
    <cellStyle name="ac 2 2 2 5 3 2 3" xfId="49630" xr:uid="{00000000-0005-0000-0000-00003B010000}"/>
    <cellStyle name="ac 2 2 2 5 3 3" xfId="17152" xr:uid="{00000000-0005-0000-0000-00003B010000}"/>
    <cellStyle name="ac 2 2 2 5 3 3 2" xfId="35500" xr:uid="{00000000-0005-0000-0000-00003B010000}"/>
    <cellStyle name="ac 2 2 2 5 3 3 3" xfId="53863" xr:uid="{00000000-0005-0000-0000-00003B010000}"/>
    <cellStyle name="ac 2 2 2 5 3 4" xfId="26285" xr:uid="{00000000-0005-0000-0000-00003B010000}"/>
    <cellStyle name="ac 2 2 2 5 3 4 2" xfId="44654" xr:uid="{00000000-0005-0000-0000-00003B010000}"/>
    <cellStyle name="ac 2 2 2 5 3 5" xfId="22578" xr:uid="{00000000-0005-0000-0000-00003B010000}"/>
    <cellStyle name="ac 2 2 2 5 3 6" xfId="40947" xr:uid="{00000000-0005-0000-0000-00003B010000}"/>
    <cellStyle name="ac 2 2 2 5 4" xfId="10264" xr:uid="{00000000-0005-0000-0000-00003B010000}"/>
    <cellStyle name="ac 2 2 2 5 4 2" xfId="14321" xr:uid="{00000000-0005-0000-0000-00003B010000}"/>
    <cellStyle name="ac 2 2 2 5 4 2 2" xfId="32737" xr:uid="{00000000-0005-0000-0000-00003B010000}"/>
    <cellStyle name="ac 2 2 2 5 4 2 3" xfId="51100" xr:uid="{00000000-0005-0000-0000-00003B010000}"/>
    <cellStyle name="ac 2 2 2 5 4 3" xfId="28975" xr:uid="{00000000-0005-0000-0000-00003B010000}"/>
    <cellStyle name="ac 2 2 2 5 4 3 2" xfId="47338" xr:uid="{00000000-0005-0000-0000-00003B010000}"/>
    <cellStyle name="ac 2 2 2 5 4 4" xfId="19778" xr:uid="{00000000-0005-0000-0000-00003B010000}"/>
    <cellStyle name="ac 2 2 2 5 4 5" xfId="38184" xr:uid="{00000000-0005-0000-0000-00003B010000}"/>
    <cellStyle name="ac 2 2 2 5 5" xfId="9472" xr:uid="{00000000-0005-0000-0000-00003B010000}"/>
    <cellStyle name="ac 2 2 2 5 5 2" xfId="28189" xr:uid="{00000000-0005-0000-0000-00003B010000}"/>
    <cellStyle name="ac 2 2 2 5 5 3" xfId="46552" xr:uid="{00000000-0005-0000-0000-00003B010000}"/>
    <cellStyle name="ac 2 2 2 5 6" xfId="13530" xr:uid="{00000000-0005-0000-0000-00003B010000}"/>
    <cellStyle name="ac 2 2 2 5 6 2" xfId="31951" xr:uid="{00000000-0005-0000-0000-00003B010000}"/>
    <cellStyle name="ac 2 2 2 5 6 3" xfId="50314" xr:uid="{00000000-0005-0000-0000-00003B010000}"/>
    <cellStyle name="ac 2 2 2 5 7" xfId="23459" xr:uid="{00000000-0005-0000-0000-00003B010000}"/>
    <cellStyle name="ac 2 2 2 5 7 2" xfId="41828" xr:uid="{00000000-0005-0000-0000-00003B010000}"/>
    <cellStyle name="ac 2 2 2 5 8" xfId="18569" xr:uid="{00000000-0005-0000-0000-00003B010000}"/>
    <cellStyle name="ac 2 2 2 5 9" xfId="36979" xr:uid="{00000000-0005-0000-0000-00003B010000}"/>
    <cellStyle name="ac 2 2 2 6" xfId="4582" xr:uid="{00000000-0005-0000-0000-00003B010000}"/>
    <cellStyle name="ac 2 2 2 6 2" xfId="11167" xr:uid="{00000000-0005-0000-0000-00003B010000}"/>
    <cellStyle name="ac 2 2 2 6 2 2" xfId="29781" xr:uid="{00000000-0005-0000-0000-00003B010000}"/>
    <cellStyle name="ac 2 2 2 6 2 3" xfId="48144" xr:uid="{00000000-0005-0000-0000-00003B010000}"/>
    <cellStyle name="ac 2 2 2 6 3" xfId="15308" xr:uid="{00000000-0005-0000-0000-00003B010000}"/>
    <cellStyle name="ac 2 2 2 6 3 2" xfId="33702" xr:uid="{00000000-0005-0000-0000-00003B010000}"/>
    <cellStyle name="ac 2 2 2 6 3 3" xfId="52065" xr:uid="{00000000-0005-0000-0000-00003B010000}"/>
    <cellStyle name="ac 2 2 2 6 4" xfId="24433" xr:uid="{00000000-0005-0000-0000-00003B010000}"/>
    <cellStyle name="ac 2 2 2 6 4 2" xfId="42802" xr:uid="{00000000-0005-0000-0000-00003B010000}"/>
    <cellStyle name="ac 2 2 2 6 5" xfId="20759" xr:uid="{00000000-0005-0000-0000-00003B010000}"/>
    <cellStyle name="ac 2 2 2 6 6" xfId="39149" xr:uid="{00000000-0005-0000-0000-00003B010000}"/>
    <cellStyle name="ac 2 2 2 7" xfId="3975" xr:uid="{00000000-0005-0000-0000-00003B010000}"/>
    <cellStyle name="ac 2 2 2 7 2" xfId="10680" xr:uid="{00000000-0005-0000-0000-00003B010000}"/>
    <cellStyle name="ac 2 2 2 7 2 2" xfId="29386" xr:uid="{00000000-0005-0000-0000-00003B010000}"/>
    <cellStyle name="ac 2 2 2 7 2 3" xfId="47749" xr:uid="{00000000-0005-0000-0000-00003B010000}"/>
    <cellStyle name="ac 2 2 2 7 3" xfId="14738" xr:uid="{00000000-0005-0000-0000-00003B010000}"/>
    <cellStyle name="ac 2 2 2 7 3 2" xfId="33150" xr:uid="{00000000-0005-0000-0000-00003B010000}"/>
    <cellStyle name="ac 2 2 2 7 3 3" xfId="51513" xr:uid="{00000000-0005-0000-0000-00003B010000}"/>
    <cellStyle name="ac 2 2 2 7 4" xfId="23874" xr:uid="{00000000-0005-0000-0000-00003B010000}"/>
    <cellStyle name="ac 2 2 2 7 4 2" xfId="42243" xr:uid="{00000000-0005-0000-0000-00003B010000}"/>
    <cellStyle name="ac 2 2 2 7 5" xfId="20192" xr:uid="{00000000-0005-0000-0000-00003B010000}"/>
    <cellStyle name="ac 2 2 2 7 6" xfId="38597" xr:uid="{00000000-0005-0000-0000-00003B010000}"/>
    <cellStyle name="ac 2 2 2 8" xfId="7878" xr:uid="{00000000-0005-0000-0000-00003B010000}"/>
    <cellStyle name="ac 2 2 2 8 2" xfId="27115" xr:uid="{00000000-0005-0000-0000-00003B010000}"/>
    <cellStyle name="ac 2 2 2 8 3" xfId="45480" xr:uid="{00000000-0005-0000-0000-00003B010000}"/>
    <cellStyle name="ac 2 2 2 9" xfId="8722" xr:uid="{00000000-0005-0000-0000-00003B010000}"/>
    <cellStyle name="ac 2 2 2 9 2" xfId="27604" xr:uid="{00000000-0005-0000-0000-00003B010000}"/>
    <cellStyle name="ac 2 2 2 9 3" xfId="45967" xr:uid="{00000000-0005-0000-0000-00003B010000}"/>
    <cellStyle name="ac 2 2 3" xfId="1519" xr:uid="{00000000-0005-0000-0000-00003F010000}"/>
    <cellStyle name="ac 2 2 3 10" xfId="7199" xr:uid="{00000000-0005-0000-0000-00003F010000}"/>
    <cellStyle name="ac 2 2 3 10 2" xfId="26743" xr:uid="{00000000-0005-0000-0000-00003F010000}"/>
    <cellStyle name="ac 2 2 3 10 3" xfId="45111" xr:uid="{00000000-0005-0000-0000-00003F010000}"/>
    <cellStyle name="ac 2 2 3 11" xfId="10794" xr:uid="{00000000-0005-0000-0000-00003F010000}"/>
    <cellStyle name="ac 2 2 3 12" xfId="11666" xr:uid="{00000000-0005-0000-0000-00003F010000}"/>
    <cellStyle name="ac 2 2 3 2" xfId="1688" xr:uid="{00000000-0005-0000-0000-000040010000}"/>
    <cellStyle name="ac 2 2 3 2 10" xfId="11438" xr:uid="{00000000-0005-0000-0000-000040010000}"/>
    <cellStyle name="ac 2 2 3 2 2" xfId="3586" xr:uid="{00000000-0005-0000-0000-000040010000}"/>
    <cellStyle name="ac 2 2 3 2 2 2" xfId="5759" xr:uid="{00000000-0005-0000-0000-000040010000}"/>
    <cellStyle name="ac 2 2 3 2 2 2 2" xfId="12123" xr:uid="{00000000-0005-0000-0000-000040010000}"/>
    <cellStyle name="ac 2 2 3 2 2 2 2 2" xfId="30570" xr:uid="{00000000-0005-0000-0000-000040010000}"/>
    <cellStyle name="ac 2 2 3 2 2 2 2 3" xfId="48933" xr:uid="{00000000-0005-0000-0000-000040010000}"/>
    <cellStyle name="ac 2 2 3 2 2 2 3" xfId="16449" xr:uid="{00000000-0005-0000-0000-000040010000}"/>
    <cellStyle name="ac 2 2 3 2 2 2 3 2" xfId="34821" xr:uid="{00000000-0005-0000-0000-000040010000}"/>
    <cellStyle name="ac 2 2 3 2 2 2 3 3" xfId="53184" xr:uid="{00000000-0005-0000-0000-000040010000}"/>
    <cellStyle name="ac 2 2 3 2 2 2 4" xfId="25568" xr:uid="{00000000-0005-0000-0000-000040010000}"/>
    <cellStyle name="ac 2 2 3 2 2 2 4 2" xfId="43937" xr:uid="{00000000-0005-0000-0000-000040010000}"/>
    <cellStyle name="ac 2 2 3 2 2 2 5" xfId="21889" xr:uid="{00000000-0005-0000-0000-000040010000}"/>
    <cellStyle name="ac 2 2 3 2 2 2 6" xfId="40268" xr:uid="{00000000-0005-0000-0000-000040010000}"/>
    <cellStyle name="ac 2 2 3 2 2 3" xfId="6585" xr:uid="{00000000-0005-0000-0000-000040010000}"/>
    <cellStyle name="ac 2 2 3 2 2 3 2" xfId="12876" xr:uid="{00000000-0005-0000-0000-000040010000}"/>
    <cellStyle name="ac 2 2 3 2 2 3 2 2" xfId="31302" xr:uid="{00000000-0005-0000-0000-000040010000}"/>
    <cellStyle name="ac 2 2 3 2 2 3 2 3" xfId="49665" xr:uid="{00000000-0005-0000-0000-000040010000}"/>
    <cellStyle name="ac 2 2 3 2 2 3 3" xfId="17187" xr:uid="{00000000-0005-0000-0000-000040010000}"/>
    <cellStyle name="ac 2 2 3 2 2 3 3 2" xfId="35535" xr:uid="{00000000-0005-0000-0000-000040010000}"/>
    <cellStyle name="ac 2 2 3 2 2 3 3 3" xfId="53898" xr:uid="{00000000-0005-0000-0000-000040010000}"/>
    <cellStyle name="ac 2 2 3 2 2 3 4" xfId="26320" xr:uid="{00000000-0005-0000-0000-000040010000}"/>
    <cellStyle name="ac 2 2 3 2 2 3 4 2" xfId="44689" xr:uid="{00000000-0005-0000-0000-000040010000}"/>
    <cellStyle name="ac 2 2 3 2 2 3 5" xfId="22613" xr:uid="{00000000-0005-0000-0000-000040010000}"/>
    <cellStyle name="ac 2 2 3 2 2 3 6" xfId="40982" xr:uid="{00000000-0005-0000-0000-000040010000}"/>
    <cellStyle name="ac 2 2 3 2 2 4" xfId="10299" xr:uid="{00000000-0005-0000-0000-000040010000}"/>
    <cellStyle name="ac 2 2 3 2 2 4 2" xfId="14356" xr:uid="{00000000-0005-0000-0000-000040010000}"/>
    <cellStyle name="ac 2 2 3 2 2 4 2 2" xfId="32772" xr:uid="{00000000-0005-0000-0000-000040010000}"/>
    <cellStyle name="ac 2 2 3 2 2 4 2 3" xfId="51135" xr:uid="{00000000-0005-0000-0000-000040010000}"/>
    <cellStyle name="ac 2 2 3 2 2 4 3" xfId="29010" xr:uid="{00000000-0005-0000-0000-000040010000}"/>
    <cellStyle name="ac 2 2 3 2 2 4 3 2" xfId="47373" xr:uid="{00000000-0005-0000-0000-000040010000}"/>
    <cellStyle name="ac 2 2 3 2 2 4 4" xfId="19813" xr:uid="{00000000-0005-0000-0000-000040010000}"/>
    <cellStyle name="ac 2 2 3 2 2 4 5" xfId="38219" xr:uid="{00000000-0005-0000-0000-000040010000}"/>
    <cellStyle name="ac 2 2 3 2 2 5" xfId="9507" xr:uid="{00000000-0005-0000-0000-000040010000}"/>
    <cellStyle name="ac 2 2 3 2 2 5 2" xfId="28224" xr:uid="{00000000-0005-0000-0000-000040010000}"/>
    <cellStyle name="ac 2 2 3 2 2 5 3" xfId="46587" xr:uid="{00000000-0005-0000-0000-000040010000}"/>
    <cellStyle name="ac 2 2 3 2 2 6" xfId="13565" xr:uid="{00000000-0005-0000-0000-000040010000}"/>
    <cellStyle name="ac 2 2 3 2 2 6 2" xfId="31986" xr:uid="{00000000-0005-0000-0000-000040010000}"/>
    <cellStyle name="ac 2 2 3 2 2 6 3" xfId="50349" xr:uid="{00000000-0005-0000-0000-000040010000}"/>
    <cellStyle name="ac 2 2 3 2 2 7" xfId="23494" xr:uid="{00000000-0005-0000-0000-000040010000}"/>
    <cellStyle name="ac 2 2 3 2 2 7 2" xfId="41863" xr:uid="{00000000-0005-0000-0000-000040010000}"/>
    <cellStyle name="ac 2 2 3 2 2 8" xfId="18605" xr:uid="{00000000-0005-0000-0000-000040010000}"/>
    <cellStyle name="ac 2 2 3 2 2 9" xfId="37015" xr:uid="{00000000-0005-0000-0000-000040010000}"/>
    <cellStyle name="ac 2 2 3 2 3" xfId="4627" xr:uid="{00000000-0005-0000-0000-000040010000}"/>
    <cellStyle name="ac 2 2 3 2 3 2" xfId="11211" xr:uid="{00000000-0005-0000-0000-000040010000}"/>
    <cellStyle name="ac 2 2 3 2 3 2 2" xfId="29823" xr:uid="{00000000-0005-0000-0000-000040010000}"/>
    <cellStyle name="ac 2 2 3 2 3 2 3" xfId="48186" xr:uid="{00000000-0005-0000-0000-000040010000}"/>
    <cellStyle name="ac 2 2 3 2 3 3" xfId="15353" xr:uid="{00000000-0005-0000-0000-000040010000}"/>
    <cellStyle name="ac 2 2 3 2 3 3 2" xfId="33746" xr:uid="{00000000-0005-0000-0000-000040010000}"/>
    <cellStyle name="ac 2 2 3 2 3 3 3" xfId="52109" xr:uid="{00000000-0005-0000-0000-000040010000}"/>
    <cellStyle name="ac 2 2 3 2 3 4" xfId="24477" xr:uid="{00000000-0005-0000-0000-000040010000}"/>
    <cellStyle name="ac 2 2 3 2 3 4 2" xfId="42846" xr:uid="{00000000-0005-0000-0000-000040010000}"/>
    <cellStyle name="ac 2 2 3 2 3 5" xfId="20804" xr:uid="{00000000-0005-0000-0000-000040010000}"/>
    <cellStyle name="ac 2 2 3 2 3 6" xfId="39193" xr:uid="{00000000-0005-0000-0000-000040010000}"/>
    <cellStyle name="ac 2 2 3 2 4" xfId="4745" xr:uid="{00000000-0005-0000-0000-000040010000}"/>
    <cellStyle name="ac 2 2 3 2 4 2" xfId="11327" xr:uid="{00000000-0005-0000-0000-000040010000}"/>
    <cellStyle name="ac 2 2 3 2 4 2 2" xfId="29939" xr:uid="{00000000-0005-0000-0000-000040010000}"/>
    <cellStyle name="ac 2 2 3 2 4 2 3" xfId="48302" xr:uid="{00000000-0005-0000-0000-000040010000}"/>
    <cellStyle name="ac 2 2 3 2 4 3" xfId="15471" xr:uid="{00000000-0005-0000-0000-000040010000}"/>
    <cellStyle name="ac 2 2 3 2 4 3 2" xfId="33864" xr:uid="{00000000-0005-0000-0000-000040010000}"/>
    <cellStyle name="ac 2 2 3 2 4 3 3" xfId="52227" xr:uid="{00000000-0005-0000-0000-000040010000}"/>
    <cellStyle name="ac 2 2 3 2 4 4" xfId="24595" xr:uid="{00000000-0005-0000-0000-000040010000}"/>
    <cellStyle name="ac 2 2 3 2 4 4 2" xfId="42964" xr:uid="{00000000-0005-0000-0000-000040010000}"/>
    <cellStyle name="ac 2 2 3 2 4 5" xfId="20922" xr:uid="{00000000-0005-0000-0000-000040010000}"/>
    <cellStyle name="ac 2 2 3 2 4 6" xfId="39311" xr:uid="{00000000-0005-0000-0000-000040010000}"/>
    <cellStyle name="ac 2 2 3 2 5" xfId="9096" xr:uid="{00000000-0005-0000-0000-000040010000}"/>
    <cellStyle name="ac 2 2 3 2 5 2" xfId="6077" xr:uid="{00000000-0005-0000-0000-000040010000}"/>
    <cellStyle name="ac 2 2 3 2 5 2 2" xfId="25886" xr:uid="{00000000-0005-0000-0000-000040010000}"/>
    <cellStyle name="ac 2 2 3 2 5 2 3" xfId="44255" xr:uid="{00000000-0005-0000-0000-000040010000}"/>
    <cellStyle name="ac 2 2 3 2 5 3" xfId="27822" xr:uid="{00000000-0005-0000-0000-000040010000}"/>
    <cellStyle name="ac 2 2 3 2 5 3 2" xfId="46185" xr:uid="{00000000-0005-0000-0000-000040010000}"/>
    <cellStyle name="ac 2 2 3 2 5 4" xfId="17996" xr:uid="{00000000-0005-0000-0000-000040010000}"/>
    <cellStyle name="ac 2 2 3 2 5 5" xfId="36404" xr:uid="{00000000-0005-0000-0000-000040010000}"/>
    <cellStyle name="ac 2 2 3 2 6" xfId="7921" xr:uid="{00000000-0005-0000-0000-000040010000}"/>
    <cellStyle name="ac 2 2 3 2 6 2" xfId="27153" xr:uid="{00000000-0005-0000-0000-000040010000}"/>
    <cellStyle name="ac 2 2 3 2 6 3" xfId="45518" xr:uid="{00000000-0005-0000-0000-000040010000}"/>
    <cellStyle name="ac 2 2 3 2 7" xfId="8633" xr:uid="{00000000-0005-0000-0000-000040010000}"/>
    <cellStyle name="ac 2 2 3 2 7 2" xfId="27544" xr:uid="{00000000-0005-0000-0000-000040010000}"/>
    <cellStyle name="ac 2 2 3 2 7 3" xfId="45908" xr:uid="{00000000-0005-0000-0000-000040010000}"/>
    <cellStyle name="ac 2 2 3 2 8" xfId="17908" xr:uid="{00000000-0005-0000-0000-000040010000}"/>
    <cellStyle name="ac 2 2 3 2 8 2" xfId="36317" xr:uid="{00000000-0005-0000-0000-000040010000}"/>
    <cellStyle name="ac 2 2 3 2 9" xfId="8197" xr:uid="{00000000-0005-0000-0000-000040010000}"/>
    <cellStyle name="ac 2 2 3 3" xfId="1409" xr:uid="{00000000-0005-0000-0000-000041010000}"/>
    <cellStyle name="ac 2 2 3 3 10" xfId="6995" xr:uid="{00000000-0005-0000-0000-000041010000}"/>
    <cellStyle name="ac 2 2 3 3 2" xfId="3442" xr:uid="{00000000-0005-0000-0000-000041010000}"/>
    <cellStyle name="ac 2 2 3 3 2 2" xfId="5617" xr:uid="{00000000-0005-0000-0000-000041010000}"/>
    <cellStyle name="ac 2 2 3 3 2 2 2" xfId="11981" xr:uid="{00000000-0005-0000-0000-000041010000}"/>
    <cellStyle name="ac 2 2 3 3 2 2 2 2" xfId="30428" xr:uid="{00000000-0005-0000-0000-000041010000}"/>
    <cellStyle name="ac 2 2 3 3 2 2 2 3" xfId="48791" xr:uid="{00000000-0005-0000-0000-000041010000}"/>
    <cellStyle name="ac 2 2 3 3 2 2 3" xfId="16307" xr:uid="{00000000-0005-0000-0000-000041010000}"/>
    <cellStyle name="ac 2 2 3 3 2 2 3 2" xfId="34679" xr:uid="{00000000-0005-0000-0000-000041010000}"/>
    <cellStyle name="ac 2 2 3 3 2 2 3 3" xfId="53042" xr:uid="{00000000-0005-0000-0000-000041010000}"/>
    <cellStyle name="ac 2 2 3 3 2 2 4" xfId="25426" xr:uid="{00000000-0005-0000-0000-000041010000}"/>
    <cellStyle name="ac 2 2 3 3 2 2 4 2" xfId="43795" xr:uid="{00000000-0005-0000-0000-000041010000}"/>
    <cellStyle name="ac 2 2 3 3 2 2 5" xfId="21747" xr:uid="{00000000-0005-0000-0000-000041010000}"/>
    <cellStyle name="ac 2 2 3 3 2 2 6" xfId="40126" xr:uid="{00000000-0005-0000-0000-000041010000}"/>
    <cellStyle name="ac 2 2 3 3 2 3" xfId="6441" xr:uid="{00000000-0005-0000-0000-000041010000}"/>
    <cellStyle name="ac 2 2 3 3 2 3 2" xfId="12732" xr:uid="{00000000-0005-0000-0000-000041010000}"/>
    <cellStyle name="ac 2 2 3 3 2 3 2 2" xfId="31158" xr:uid="{00000000-0005-0000-0000-000041010000}"/>
    <cellStyle name="ac 2 2 3 3 2 3 2 3" xfId="49521" xr:uid="{00000000-0005-0000-0000-000041010000}"/>
    <cellStyle name="ac 2 2 3 3 2 3 3" xfId="17043" xr:uid="{00000000-0005-0000-0000-000041010000}"/>
    <cellStyle name="ac 2 2 3 3 2 3 3 2" xfId="35391" xr:uid="{00000000-0005-0000-0000-000041010000}"/>
    <cellStyle name="ac 2 2 3 3 2 3 3 3" xfId="53754" xr:uid="{00000000-0005-0000-0000-000041010000}"/>
    <cellStyle name="ac 2 2 3 3 2 3 4" xfId="26176" xr:uid="{00000000-0005-0000-0000-000041010000}"/>
    <cellStyle name="ac 2 2 3 3 2 3 4 2" xfId="44545" xr:uid="{00000000-0005-0000-0000-000041010000}"/>
    <cellStyle name="ac 2 2 3 3 2 3 5" xfId="22469" xr:uid="{00000000-0005-0000-0000-000041010000}"/>
    <cellStyle name="ac 2 2 3 3 2 3 6" xfId="40838" xr:uid="{00000000-0005-0000-0000-000041010000}"/>
    <cellStyle name="ac 2 2 3 3 2 4" xfId="10155" xr:uid="{00000000-0005-0000-0000-000041010000}"/>
    <cellStyle name="ac 2 2 3 3 2 4 2" xfId="14212" xr:uid="{00000000-0005-0000-0000-000041010000}"/>
    <cellStyle name="ac 2 2 3 3 2 4 2 2" xfId="32628" xr:uid="{00000000-0005-0000-0000-000041010000}"/>
    <cellStyle name="ac 2 2 3 3 2 4 2 3" xfId="50991" xr:uid="{00000000-0005-0000-0000-000041010000}"/>
    <cellStyle name="ac 2 2 3 3 2 4 3" xfId="28866" xr:uid="{00000000-0005-0000-0000-000041010000}"/>
    <cellStyle name="ac 2 2 3 3 2 4 3 2" xfId="47229" xr:uid="{00000000-0005-0000-0000-000041010000}"/>
    <cellStyle name="ac 2 2 3 3 2 4 4" xfId="19669" xr:uid="{00000000-0005-0000-0000-000041010000}"/>
    <cellStyle name="ac 2 2 3 3 2 4 5" xfId="38075" xr:uid="{00000000-0005-0000-0000-000041010000}"/>
    <cellStyle name="ac 2 2 3 3 2 5" xfId="9342" xr:uid="{00000000-0005-0000-0000-000041010000}"/>
    <cellStyle name="ac 2 2 3 3 2 5 2" xfId="28061" xr:uid="{00000000-0005-0000-0000-000041010000}"/>
    <cellStyle name="ac 2 2 3 3 2 5 3" xfId="46424" xr:uid="{00000000-0005-0000-0000-000041010000}"/>
    <cellStyle name="ac 2 2 3 3 2 6" xfId="13398" xr:uid="{00000000-0005-0000-0000-000041010000}"/>
    <cellStyle name="ac 2 2 3 3 2 6 2" xfId="31819" xr:uid="{00000000-0005-0000-0000-000041010000}"/>
    <cellStyle name="ac 2 2 3 3 2 6 3" xfId="50182" xr:uid="{00000000-0005-0000-0000-000041010000}"/>
    <cellStyle name="ac 2 2 3 3 2 7" xfId="23350" xr:uid="{00000000-0005-0000-0000-000041010000}"/>
    <cellStyle name="ac 2 2 3 3 2 7 2" xfId="41719" xr:uid="{00000000-0005-0000-0000-000041010000}"/>
    <cellStyle name="ac 2 2 3 3 2 8" xfId="18421" xr:uid="{00000000-0005-0000-0000-000041010000}"/>
    <cellStyle name="ac 2 2 3 3 2 9" xfId="36827" xr:uid="{00000000-0005-0000-0000-000041010000}"/>
    <cellStyle name="ac 2 2 3 3 3" xfId="4435" xr:uid="{00000000-0005-0000-0000-000041010000}"/>
    <cellStyle name="ac 2 2 3 3 3 2" xfId="11034" xr:uid="{00000000-0005-0000-0000-000041010000}"/>
    <cellStyle name="ac 2 2 3 3 3 2 2" xfId="29654" xr:uid="{00000000-0005-0000-0000-000041010000}"/>
    <cellStyle name="ac 2 2 3 3 3 2 3" xfId="48017" xr:uid="{00000000-0005-0000-0000-000041010000}"/>
    <cellStyle name="ac 2 2 3 3 3 3" xfId="15169" xr:uid="{00000000-0005-0000-0000-000041010000}"/>
    <cellStyle name="ac 2 2 3 3 3 3 2" xfId="33566" xr:uid="{00000000-0005-0000-0000-000041010000}"/>
    <cellStyle name="ac 2 2 3 3 3 3 3" xfId="51929" xr:uid="{00000000-0005-0000-0000-000041010000}"/>
    <cellStyle name="ac 2 2 3 3 3 4" xfId="24297" xr:uid="{00000000-0005-0000-0000-000041010000}"/>
    <cellStyle name="ac 2 2 3 3 3 4 2" xfId="42666" xr:uid="{00000000-0005-0000-0000-000041010000}"/>
    <cellStyle name="ac 2 2 3 3 3 5" xfId="20620" xr:uid="{00000000-0005-0000-0000-000041010000}"/>
    <cellStyle name="ac 2 2 3 3 3 6" xfId="39013" xr:uid="{00000000-0005-0000-0000-000041010000}"/>
    <cellStyle name="ac 2 2 3 3 4" xfId="4887" xr:uid="{00000000-0005-0000-0000-000041010000}"/>
    <cellStyle name="ac 2 2 3 3 4 2" xfId="11443" xr:uid="{00000000-0005-0000-0000-000041010000}"/>
    <cellStyle name="ac 2 2 3 3 4 2 2" xfId="30031" xr:uid="{00000000-0005-0000-0000-000041010000}"/>
    <cellStyle name="ac 2 2 3 3 4 2 3" xfId="48394" xr:uid="{00000000-0005-0000-0000-000041010000}"/>
    <cellStyle name="ac 2 2 3 3 4 3" xfId="15613" xr:uid="{00000000-0005-0000-0000-000041010000}"/>
    <cellStyle name="ac 2 2 3 3 4 3 2" xfId="34004" xr:uid="{00000000-0005-0000-0000-000041010000}"/>
    <cellStyle name="ac 2 2 3 3 4 3 3" xfId="52367" xr:uid="{00000000-0005-0000-0000-000041010000}"/>
    <cellStyle name="ac 2 2 3 3 4 4" xfId="24735" xr:uid="{00000000-0005-0000-0000-000041010000}"/>
    <cellStyle name="ac 2 2 3 3 4 4 2" xfId="43104" xr:uid="{00000000-0005-0000-0000-000041010000}"/>
    <cellStyle name="ac 2 2 3 3 4 5" xfId="21062" xr:uid="{00000000-0005-0000-0000-000041010000}"/>
    <cellStyle name="ac 2 2 3 3 4 6" xfId="39451" xr:uid="{00000000-0005-0000-0000-000041010000}"/>
    <cellStyle name="ac 2 2 3 3 5" xfId="9260" xr:uid="{00000000-0005-0000-0000-000041010000}"/>
    <cellStyle name="ac 2 2 3 3 5 2" xfId="13317" xr:uid="{00000000-0005-0000-0000-000041010000}"/>
    <cellStyle name="ac 2 2 3 3 5 2 2" xfId="31738" xr:uid="{00000000-0005-0000-0000-000041010000}"/>
    <cellStyle name="ac 2 2 3 3 5 2 3" xfId="50101" xr:uid="{00000000-0005-0000-0000-000041010000}"/>
    <cellStyle name="ac 2 2 3 3 5 3" xfId="27980" xr:uid="{00000000-0005-0000-0000-000041010000}"/>
    <cellStyle name="ac 2 2 3 3 5 3 2" xfId="46343" xr:uid="{00000000-0005-0000-0000-000041010000}"/>
    <cellStyle name="ac 2 2 3 3 5 4" xfId="18320" xr:uid="{00000000-0005-0000-0000-000041010000}"/>
    <cellStyle name="ac 2 2 3 3 5 5" xfId="36726" xr:uid="{00000000-0005-0000-0000-000041010000}"/>
    <cellStyle name="ac 2 2 3 3 6" xfId="7701" xr:uid="{00000000-0005-0000-0000-000041010000}"/>
    <cellStyle name="ac 2 2 3 3 6 2" xfId="26983" xr:uid="{00000000-0005-0000-0000-000041010000}"/>
    <cellStyle name="ac 2 2 3 3 6 3" xfId="45348" xr:uid="{00000000-0005-0000-0000-000041010000}"/>
    <cellStyle name="ac 2 2 3 3 7" xfId="7488" xr:uid="{00000000-0005-0000-0000-000041010000}"/>
    <cellStyle name="ac 2 2 3 3 7 2" xfId="26854" xr:uid="{00000000-0005-0000-0000-000041010000}"/>
    <cellStyle name="ac 2 2 3 3 7 3" xfId="45219" xr:uid="{00000000-0005-0000-0000-000041010000}"/>
    <cellStyle name="ac 2 2 3 3 8" xfId="18549" xr:uid="{00000000-0005-0000-0000-000041010000}"/>
    <cellStyle name="ac 2 2 3 3 8 2" xfId="36958" xr:uid="{00000000-0005-0000-0000-000041010000}"/>
    <cellStyle name="ac 2 2 3 3 9" xfId="7023" xr:uid="{00000000-0005-0000-0000-000041010000}"/>
    <cellStyle name="ac 2 2 3 4" xfId="1363" xr:uid="{00000000-0005-0000-0000-000042010000}"/>
    <cellStyle name="ac 2 2 3 4 10" xfId="8680" xr:uid="{00000000-0005-0000-0000-000042010000}"/>
    <cellStyle name="ac 2 2 3 4 2" xfId="3405" xr:uid="{00000000-0005-0000-0000-000042010000}"/>
    <cellStyle name="ac 2 2 3 4 2 2" xfId="5580" xr:uid="{00000000-0005-0000-0000-000042010000}"/>
    <cellStyle name="ac 2 2 3 4 2 2 2" xfId="11944" xr:uid="{00000000-0005-0000-0000-000042010000}"/>
    <cellStyle name="ac 2 2 3 4 2 2 2 2" xfId="30391" xr:uid="{00000000-0005-0000-0000-000042010000}"/>
    <cellStyle name="ac 2 2 3 4 2 2 2 3" xfId="48754" xr:uid="{00000000-0005-0000-0000-000042010000}"/>
    <cellStyle name="ac 2 2 3 4 2 2 3" xfId="16270" xr:uid="{00000000-0005-0000-0000-000042010000}"/>
    <cellStyle name="ac 2 2 3 4 2 2 3 2" xfId="34642" xr:uid="{00000000-0005-0000-0000-000042010000}"/>
    <cellStyle name="ac 2 2 3 4 2 2 3 3" xfId="53005" xr:uid="{00000000-0005-0000-0000-000042010000}"/>
    <cellStyle name="ac 2 2 3 4 2 2 4" xfId="25389" xr:uid="{00000000-0005-0000-0000-000042010000}"/>
    <cellStyle name="ac 2 2 3 4 2 2 4 2" xfId="43758" xr:uid="{00000000-0005-0000-0000-000042010000}"/>
    <cellStyle name="ac 2 2 3 4 2 2 5" xfId="21710" xr:uid="{00000000-0005-0000-0000-000042010000}"/>
    <cellStyle name="ac 2 2 3 4 2 2 6" xfId="40089" xr:uid="{00000000-0005-0000-0000-000042010000}"/>
    <cellStyle name="ac 2 2 3 4 2 3" xfId="6404" xr:uid="{00000000-0005-0000-0000-000042010000}"/>
    <cellStyle name="ac 2 2 3 4 2 3 2" xfId="12695" xr:uid="{00000000-0005-0000-0000-000042010000}"/>
    <cellStyle name="ac 2 2 3 4 2 3 2 2" xfId="31121" xr:uid="{00000000-0005-0000-0000-000042010000}"/>
    <cellStyle name="ac 2 2 3 4 2 3 2 3" xfId="49484" xr:uid="{00000000-0005-0000-0000-000042010000}"/>
    <cellStyle name="ac 2 2 3 4 2 3 3" xfId="17006" xr:uid="{00000000-0005-0000-0000-000042010000}"/>
    <cellStyle name="ac 2 2 3 4 2 3 3 2" xfId="35354" xr:uid="{00000000-0005-0000-0000-000042010000}"/>
    <cellStyle name="ac 2 2 3 4 2 3 3 3" xfId="53717" xr:uid="{00000000-0005-0000-0000-000042010000}"/>
    <cellStyle name="ac 2 2 3 4 2 3 4" xfId="26139" xr:uid="{00000000-0005-0000-0000-000042010000}"/>
    <cellStyle name="ac 2 2 3 4 2 3 4 2" xfId="44508" xr:uid="{00000000-0005-0000-0000-000042010000}"/>
    <cellStyle name="ac 2 2 3 4 2 3 5" xfId="22432" xr:uid="{00000000-0005-0000-0000-000042010000}"/>
    <cellStyle name="ac 2 2 3 4 2 3 6" xfId="40801" xr:uid="{00000000-0005-0000-0000-000042010000}"/>
    <cellStyle name="ac 2 2 3 4 2 4" xfId="10118" xr:uid="{00000000-0005-0000-0000-000042010000}"/>
    <cellStyle name="ac 2 2 3 4 2 4 2" xfId="14175" xr:uid="{00000000-0005-0000-0000-000042010000}"/>
    <cellStyle name="ac 2 2 3 4 2 4 2 2" xfId="32591" xr:uid="{00000000-0005-0000-0000-000042010000}"/>
    <cellStyle name="ac 2 2 3 4 2 4 2 3" xfId="50954" xr:uid="{00000000-0005-0000-0000-000042010000}"/>
    <cellStyle name="ac 2 2 3 4 2 4 3" xfId="28829" xr:uid="{00000000-0005-0000-0000-000042010000}"/>
    <cellStyle name="ac 2 2 3 4 2 4 3 2" xfId="47192" xr:uid="{00000000-0005-0000-0000-000042010000}"/>
    <cellStyle name="ac 2 2 3 4 2 4 4" xfId="19632" xr:uid="{00000000-0005-0000-0000-000042010000}"/>
    <cellStyle name="ac 2 2 3 4 2 4 5" xfId="38038" xr:uid="{00000000-0005-0000-0000-000042010000}"/>
    <cellStyle name="ac 2 2 3 4 2 5" xfId="9305" xr:uid="{00000000-0005-0000-0000-000042010000}"/>
    <cellStyle name="ac 2 2 3 4 2 5 2" xfId="28024" xr:uid="{00000000-0005-0000-0000-000042010000}"/>
    <cellStyle name="ac 2 2 3 4 2 5 3" xfId="46387" xr:uid="{00000000-0005-0000-0000-000042010000}"/>
    <cellStyle name="ac 2 2 3 4 2 6" xfId="13361" xr:uid="{00000000-0005-0000-0000-000042010000}"/>
    <cellStyle name="ac 2 2 3 4 2 6 2" xfId="31782" xr:uid="{00000000-0005-0000-0000-000042010000}"/>
    <cellStyle name="ac 2 2 3 4 2 6 3" xfId="50145" xr:uid="{00000000-0005-0000-0000-000042010000}"/>
    <cellStyle name="ac 2 2 3 4 2 7" xfId="23313" xr:uid="{00000000-0005-0000-0000-000042010000}"/>
    <cellStyle name="ac 2 2 3 4 2 7 2" xfId="41682" xr:uid="{00000000-0005-0000-0000-000042010000}"/>
    <cellStyle name="ac 2 2 3 4 2 8" xfId="18381" xr:uid="{00000000-0005-0000-0000-000042010000}"/>
    <cellStyle name="ac 2 2 3 4 2 9" xfId="36787" xr:uid="{00000000-0005-0000-0000-000042010000}"/>
    <cellStyle name="ac 2 2 3 4 3" xfId="4396" xr:uid="{00000000-0005-0000-0000-000042010000}"/>
    <cellStyle name="ac 2 2 3 4 3 2" xfId="10995" xr:uid="{00000000-0005-0000-0000-000042010000}"/>
    <cellStyle name="ac 2 2 3 4 3 2 2" xfId="29617" xr:uid="{00000000-0005-0000-0000-000042010000}"/>
    <cellStyle name="ac 2 2 3 4 3 2 3" xfId="47980" xr:uid="{00000000-0005-0000-0000-000042010000}"/>
    <cellStyle name="ac 2 2 3 4 3 3" xfId="15131" xr:uid="{00000000-0005-0000-0000-000042010000}"/>
    <cellStyle name="ac 2 2 3 4 3 3 2" xfId="33528" xr:uid="{00000000-0005-0000-0000-000042010000}"/>
    <cellStyle name="ac 2 2 3 4 3 3 3" xfId="51891" xr:uid="{00000000-0005-0000-0000-000042010000}"/>
    <cellStyle name="ac 2 2 3 4 3 4" xfId="24259" xr:uid="{00000000-0005-0000-0000-000042010000}"/>
    <cellStyle name="ac 2 2 3 4 3 4 2" xfId="42628" xr:uid="{00000000-0005-0000-0000-000042010000}"/>
    <cellStyle name="ac 2 2 3 4 3 5" xfId="20582" xr:uid="{00000000-0005-0000-0000-000042010000}"/>
    <cellStyle name="ac 2 2 3 4 3 6" xfId="38975" xr:uid="{00000000-0005-0000-0000-000042010000}"/>
    <cellStyle name="ac 2 2 3 4 4" xfId="4893" xr:uid="{00000000-0005-0000-0000-000042010000}"/>
    <cellStyle name="ac 2 2 3 4 4 2" xfId="11449" xr:uid="{00000000-0005-0000-0000-000042010000}"/>
    <cellStyle name="ac 2 2 3 4 4 2 2" xfId="30037" xr:uid="{00000000-0005-0000-0000-000042010000}"/>
    <cellStyle name="ac 2 2 3 4 4 2 3" xfId="48400" xr:uid="{00000000-0005-0000-0000-000042010000}"/>
    <cellStyle name="ac 2 2 3 4 4 3" xfId="15619" xr:uid="{00000000-0005-0000-0000-000042010000}"/>
    <cellStyle name="ac 2 2 3 4 4 3 2" xfId="34010" xr:uid="{00000000-0005-0000-0000-000042010000}"/>
    <cellStyle name="ac 2 2 3 4 4 3 3" xfId="52373" xr:uid="{00000000-0005-0000-0000-000042010000}"/>
    <cellStyle name="ac 2 2 3 4 4 4" xfId="24741" xr:uid="{00000000-0005-0000-0000-000042010000}"/>
    <cellStyle name="ac 2 2 3 4 4 4 2" xfId="43110" xr:uid="{00000000-0005-0000-0000-000042010000}"/>
    <cellStyle name="ac 2 2 3 4 4 5" xfId="21068" xr:uid="{00000000-0005-0000-0000-000042010000}"/>
    <cellStyle name="ac 2 2 3 4 4 6" xfId="39457" xr:uid="{00000000-0005-0000-0000-000042010000}"/>
    <cellStyle name="ac 2 2 3 4 5" xfId="9876" xr:uid="{00000000-0005-0000-0000-000042010000}"/>
    <cellStyle name="ac 2 2 3 4 5 2" xfId="13934" xr:uid="{00000000-0005-0000-0000-000042010000}"/>
    <cellStyle name="ac 2 2 3 4 5 2 2" xfId="32352" xr:uid="{00000000-0005-0000-0000-000042010000}"/>
    <cellStyle name="ac 2 2 3 4 5 2 3" xfId="50715" xr:uid="{00000000-0005-0000-0000-000042010000}"/>
    <cellStyle name="ac 2 2 3 4 5 3" xfId="28590" xr:uid="{00000000-0005-0000-0000-000042010000}"/>
    <cellStyle name="ac 2 2 3 4 5 3 2" xfId="46953" xr:uid="{00000000-0005-0000-0000-000042010000}"/>
    <cellStyle name="ac 2 2 3 4 5 4" xfId="19137" xr:uid="{00000000-0005-0000-0000-000042010000}"/>
    <cellStyle name="ac 2 2 3 4 5 5" xfId="37545" xr:uid="{00000000-0005-0000-0000-000042010000}"/>
    <cellStyle name="ac 2 2 3 4 6" xfId="7658" xr:uid="{00000000-0005-0000-0000-000042010000}"/>
    <cellStyle name="ac 2 2 3 4 6 2" xfId="26942" xr:uid="{00000000-0005-0000-0000-000042010000}"/>
    <cellStyle name="ac 2 2 3 4 6 3" xfId="45307" xr:uid="{00000000-0005-0000-0000-000042010000}"/>
    <cellStyle name="ac 2 2 3 4 7" xfId="7497" xr:uid="{00000000-0005-0000-0000-000042010000}"/>
    <cellStyle name="ac 2 2 3 4 7 2" xfId="26860" xr:uid="{00000000-0005-0000-0000-000042010000}"/>
    <cellStyle name="ac 2 2 3 4 7 3" xfId="45225" xr:uid="{00000000-0005-0000-0000-000042010000}"/>
    <cellStyle name="ac 2 2 3 4 8" xfId="19437" xr:uid="{00000000-0005-0000-0000-000042010000}"/>
    <cellStyle name="ac 2 2 3 4 8 2" xfId="37843" xr:uid="{00000000-0005-0000-0000-000042010000}"/>
    <cellStyle name="ac 2 2 3 4 9" xfId="8204" xr:uid="{00000000-0005-0000-0000-000042010000}"/>
    <cellStyle name="ac 2 2 3 5" xfId="3525" xr:uid="{00000000-0005-0000-0000-00003F010000}"/>
    <cellStyle name="ac 2 2 3 5 2" xfId="5699" xr:uid="{00000000-0005-0000-0000-00003F010000}"/>
    <cellStyle name="ac 2 2 3 5 2 2" xfId="12063" xr:uid="{00000000-0005-0000-0000-00003F010000}"/>
    <cellStyle name="ac 2 2 3 5 2 2 2" xfId="30510" xr:uid="{00000000-0005-0000-0000-00003F010000}"/>
    <cellStyle name="ac 2 2 3 5 2 2 3" xfId="48873" xr:uid="{00000000-0005-0000-0000-00003F010000}"/>
    <cellStyle name="ac 2 2 3 5 2 3" xfId="16389" xr:uid="{00000000-0005-0000-0000-00003F010000}"/>
    <cellStyle name="ac 2 2 3 5 2 3 2" xfId="34761" xr:uid="{00000000-0005-0000-0000-00003F010000}"/>
    <cellStyle name="ac 2 2 3 5 2 3 3" xfId="53124" xr:uid="{00000000-0005-0000-0000-00003F010000}"/>
    <cellStyle name="ac 2 2 3 5 2 4" xfId="25508" xr:uid="{00000000-0005-0000-0000-00003F010000}"/>
    <cellStyle name="ac 2 2 3 5 2 4 2" xfId="43877" xr:uid="{00000000-0005-0000-0000-00003F010000}"/>
    <cellStyle name="ac 2 2 3 5 2 5" xfId="21829" xr:uid="{00000000-0005-0000-0000-00003F010000}"/>
    <cellStyle name="ac 2 2 3 5 2 6" xfId="40208" xr:uid="{00000000-0005-0000-0000-00003F010000}"/>
    <cellStyle name="ac 2 2 3 5 3" xfId="6524" xr:uid="{00000000-0005-0000-0000-00003F010000}"/>
    <cellStyle name="ac 2 2 3 5 3 2" xfId="12815" xr:uid="{00000000-0005-0000-0000-00003F010000}"/>
    <cellStyle name="ac 2 2 3 5 3 2 2" xfId="31241" xr:uid="{00000000-0005-0000-0000-00003F010000}"/>
    <cellStyle name="ac 2 2 3 5 3 2 3" xfId="49604" xr:uid="{00000000-0005-0000-0000-00003F010000}"/>
    <cellStyle name="ac 2 2 3 5 3 3" xfId="17126" xr:uid="{00000000-0005-0000-0000-00003F010000}"/>
    <cellStyle name="ac 2 2 3 5 3 3 2" xfId="35474" xr:uid="{00000000-0005-0000-0000-00003F010000}"/>
    <cellStyle name="ac 2 2 3 5 3 3 3" xfId="53837" xr:uid="{00000000-0005-0000-0000-00003F010000}"/>
    <cellStyle name="ac 2 2 3 5 3 4" xfId="26259" xr:uid="{00000000-0005-0000-0000-00003F010000}"/>
    <cellStyle name="ac 2 2 3 5 3 4 2" xfId="44628" xr:uid="{00000000-0005-0000-0000-00003F010000}"/>
    <cellStyle name="ac 2 2 3 5 3 5" xfId="22552" xr:uid="{00000000-0005-0000-0000-00003F010000}"/>
    <cellStyle name="ac 2 2 3 5 3 6" xfId="40921" xr:uid="{00000000-0005-0000-0000-00003F010000}"/>
    <cellStyle name="ac 2 2 3 5 4" xfId="10238" xr:uid="{00000000-0005-0000-0000-00003F010000}"/>
    <cellStyle name="ac 2 2 3 5 4 2" xfId="14295" xr:uid="{00000000-0005-0000-0000-00003F010000}"/>
    <cellStyle name="ac 2 2 3 5 4 2 2" xfId="32711" xr:uid="{00000000-0005-0000-0000-00003F010000}"/>
    <cellStyle name="ac 2 2 3 5 4 2 3" xfId="51074" xr:uid="{00000000-0005-0000-0000-00003F010000}"/>
    <cellStyle name="ac 2 2 3 5 4 3" xfId="28949" xr:uid="{00000000-0005-0000-0000-00003F010000}"/>
    <cellStyle name="ac 2 2 3 5 4 3 2" xfId="47312" xr:uid="{00000000-0005-0000-0000-00003F010000}"/>
    <cellStyle name="ac 2 2 3 5 4 4" xfId="19752" xr:uid="{00000000-0005-0000-0000-00003F010000}"/>
    <cellStyle name="ac 2 2 3 5 4 5" xfId="38158" xr:uid="{00000000-0005-0000-0000-00003F010000}"/>
    <cellStyle name="ac 2 2 3 5 5" xfId="9433" xr:uid="{00000000-0005-0000-0000-00003F010000}"/>
    <cellStyle name="ac 2 2 3 5 5 2" xfId="28150" xr:uid="{00000000-0005-0000-0000-00003F010000}"/>
    <cellStyle name="ac 2 2 3 5 5 3" xfId="46513" xr:uid="{00000000-0005-0000-0000-00003F010000}"/>
    <cellStyle name="ac 2 2 3 5 6" xfId="13490" xr:uid="{00000000-0005-0000-0000-00003F010000}"/>
    <cellStyle name="ac 2 2 3 5 6 2" xfId="31911" xr:uid="{00000000-0005-0000-0000-00003F010000}"/>
    <cellStyle name="ac 2 2 3 5 6 3" xfId="50274" xr:uid="{00000000-0005-0000-0000-00003F010000}"/>
    <cellStyle name="ac 2 2 3 5 7" xfId="23433" xr:uid="{00000000-0005-0000-0000-00003F010000}"/>
    <cellStyle name="ac 2 2 3 5 7 2" xfId="41802" xr:uid="{00000000-0005-0000-0000-00003F010000}"/>
    <cellStyle name="ac 2 2 3 5 8" xfId="18518" xr:uid="{00000000-0005-0000-0000-00003F010000}"/>
    <cellStyle name="ac 2 2 3 5 9" xfId="36927" xr:uid="{00000000-0005-0000-0000-00003F010000}"/>
    <cellStyle name="ac 2 2 3 6" xfId="4529" xr:uid="{00000000-0005-0000-0000-00003F010000}"/>
    <cellStyle name="ac 2 2 3 6 2" xfId="11120" xr:uid="{00000000-0005-0000-0000-00003F010000}"/>
    <cellStyle name="ac 2 2 3 6 2 2" xfId="29738" xr:uid="{00000000-0005-0000-0000-00003F010000}"/>
    <cellStyle name="ac 2 2 3 6 2 3" xfId="48101" xr:uid="{00000000-0005-0000-0000-00003F010000}"/>
    <cellStyle name="ac 2 2 3 6 3" xfId="15258" xr:uid="{00000000-0005-0000-0000-00003F010000}"/>
    <cellStyle name="ac 2 2 3 6 3 2" xfId="33652" xr:uid="{00000000-0005-0000-0000-00003F010000}"/>
    <cellStyle name="ac 2 2 3 6 3 3" xfId="52015" xr:uid="{00000000-0005-0000-0000-00003F010000}"/>
    <cellStyle name="ac 2 2 3 6 4" xfId="24383" xr:uid="{00000000-0005-0000-0000-00003F010000}"/>
    <cellStyle name="ac 2 2 3 6 4 2" xfId="42752" xr:uid="{00000000-0005-0000-0000-00003F010000}"/>
    <cellStyle name="ac 2 2 3 6 5" xfId="20707" xr:uid="{00000000-0005-0000-0000-00003F010000}"/>
    <cellStyle name="ac 2 2 3 6 6" xfId="39099" xr:uid="{00000000-0005-0000-0000-00003F010000}"/>
    <cellStyle name="ac 2 2 3 7" xfId="4295" xr:uid="{00000000-0005-0000-0000-00003F010000}"/>
    <cellStyle name="ac 2 2 3 7 2" xfId="10907" xr:uid="{00000000-0005-0000-0000-00003F010000}"/>
    <cellStyle name="ac 2 2 3 7 2 2" xfId="29541" xr:uid="{00000000-0005-0000-0000-00003F010000}"/>
    <cellStyle name="ac 2 2 3 7 2 3" xfId="47904" xr:uid="{00000000-0005-0000-0000-00003F010000}"/>
    <cellStyle name="ac 2 2 3 7 3" xfId="15040" xr:uid="{00000000-0005-0000-0000-00003F010000}"/>
    <cellStyle name="ac 2 2 3 7 3 2" xfId="33444" xr:uid="{00000000-0005-0000-0000-00003F010000}"/>
    <cellStyle name="ac 2 2 3 7 3 3" xfId="51807" xr:uid="{00000000-0005-0000-0000-00003F010000}"/>
    <cellStyle name="ac 2 2 3 7 4" xfId="24173" xr:uid="{00000000-0005-0000-0000-00003F010000}"/>
    <cellStyle name="ac 2 2 3 7 4 2" xfId="42542" xr:uid="{00000000-0005-0000-0000-00003F010000}"/>
    <cellStyle name="ac 2 2 3 7 5" xfId="20493" xr:uid="{00000000-0005-0000-0000-00003F010000}"/>
    <cellStyle name="ac 2 2 3 7 6" xfId="38891" xr:uid="{00000000-0005-0000-0000-00003F010000}"/>
    <cellStyle name="ac 2 2 3 8" xfId="9718" xr:uid="{00000000-0005-0000-0000-00003F010000}"/>
    <cellStyle name="ac 2 2 3 8 2" xfId="13775" xr:uid="{00000000-0005-0000-0000-00003F010000}"/>
    <cellStyle name="ac 2 2 3 8 2 2" xfId="32196" xr:uid="{00000000-0005-0000-0000-00003F010000}"/>
    <cellStyle name="ac 2 2 3 8 2 3" xfId="50559" xr:uid="{00000000-0005-0000-0000-00003F010000}"/>
    <cellStyle name="ac 2 2 3 8 3" xfId="28434" xr:uid="{00000000-0005-0000-0000-00003F010000}"/>
    <cellStyle name="ac 2 2 3 8 3 2" xfId="46797" xr:uid="{00000000-0005-0000-0000-00003F010000}"/>
    <cellStyle name="ac 2 2 3 8 4" xfId="18869" xr:uid="{00000000-0005-0000-0000-00003F010000}"/>
    <cellStyle name="ac 2 2 3 8 5" xfId="37278" xr:uid="{00000000-0005-0000-0000-00003F010000}"/>
    <cellStyle name="ac 2 2 3 9" xfId="7798" xr:uid="{00000000-0005-0000-0000-00003F010000}"/>
    <cellStyle name="ac 2 2 3 9 2" xfId="27069" xr:uid="{00000000-0005-0000-0000-00003F010000}"/>
    <cellStyle name="ac 2 2 3 9 3" xfId="45434" xr:uid="{00000000-0005-0000-0000-00003F010000}"/>
    <cellStyle name="ac 2 2 4" xfId="1389" xr:uid="{00000000-0005-0000-0000-000043010000}"/>
    <cellStyle name="ac 2 2 4 10" xfId="7299" xr:uid="{00000000-0005-0000-0000-000043010000}"/>
    <cellStyle name="ac 2 2 4 2" xfId="3422" xr:uid="{00000000-0005-0000-0000-000043010000}"/>
    <cellStyle name="ac 2 2 4 2 2" xfId="5597" xr:uid="{00000000-0005-0000-0000-000043010000}"/>
    <cellStyle name="ac 2 2 4 2 2 2" xfId="11961" xr:uid="{00000000-0005-0000-0000-000043010000}"/>
    <cellStyle name="ac 2 2 4 2 2 2 2" xfId="30408" xr:uid="{00000000-0005-0000-0000-000043010000}"/>
    <cellStyle name="ac 2 2 4 2 2 2 3" xfId="48771" xr:uid="{00000000-0005-0000-0000-000043010000}"/>
    <cellStyle name="ac 2 2 4 2 2 3" xfId="16287" xr:uid="{00000000-0005-0000-0000-000043010000}"/>
    <cellStyle name="ac 2 2 4 2 2 3 2" xfId="34659" xr:uid="{00000000-0005-0000-0000-000043010000}"/>
    <cellStyle name="ac 2 2 4 2 2 3 3" xfId="53022" xr:uid="{00000000-0005-0000-0000-000043010000}"/>
    <cellStyle name="ac 2 2 4 2 2 4" xfId="25406" xr:uid="{00000000-0005-0000-0000-000043010000}"/>
    <cellStyle name="ac 2 2 4 2 2 4 2" xfId="43775" xr:uid="{00000000-0005-0000-0000-000043010000}"/>
    <cellStyle name="ac 2 2 4 2 2 5" xfId="21727" xr:uid="{00000000-0005-0000-0000-000043010000}"/>
    <cellStyle name="ac 2 2 4 2 2 6" xfId="40106" xr:uid="{00000000-0005-0000-0000-000043010000}"/>
    <cellStyle name="ac 2 2 4 2 3" xfId="6421" xr:uid="{00000000-0005-0000-0000-000043010000}"/>
    <cellStyle name="ac 2 2 4 2 3 2" xfId="12712" xr:uid="{00000000-0005-0000-0000-000043010000}"/>
    <cellStyle name="ac 2 2 4 2 3 2 2" xfId="31138" xr:uid="{00000000-0005-0000-0000-000043010000}"/>
    <cellStyle name="ac 2 2 4 2 3 2 3" xfId="49501" xr:uid="{00000000-0005-0000-0000-000043010000}"/>
    <cellStyle name="ac 2 2 4 2 3 3" xfId="17023" xr:uid="{00000000-0005-0000-0000-000043010000}"/>
    <cellStyle name="ac 2 2 4 2 3 3 2" xfId="35371" xr:uid="{00000000-0005-0000-0000-000043010000}"/>
    <cellStyle name="ac 2 2 4 2 3 3 3" xfId="53734" xr:uid="{00000000-0005-0000-0000-000043010000}"/>
    <cellStyle name="ac 2 2 4 2 3 4" xfId="26156" xr:uid="{00000000-0005-0000-0000-000043010000}"/>
    <cellStyle name="ac 2 2 4 2 3 4 2" xfId="44525" xr:uid="{00000000-0005-0000-0000-000043010000}"/>
    <cellStyle name="ac 2 2 4 2 3 5" xfId="22449" xr:uid="{00000000-0005-0000-0000-000043010000}"/>
    <cellStyle name="ac 2 2 4 2 3 6" xfId="40818" xr:uid="{00000000-0005-0000-0000-000043010000}"/>
    <cellStyle name="ac 2 2 4 2 4" xfId="10135" xr:uid="{00000000-0005-0000-0000-000043010000}"/>
    <cellStyle name="ac 2 2 4 2 4 2" xfId="14192" xr:uid="{00000000-0005-0000-0000-000043010000}"/>
    <cellStyle name="ac 2 2 4 2 4 2 2" xfId="32608" xr:uid="{00000000-0005-0000-0000-000043010000}"/>
    <cellStyle name="ac 2 2 4 2 4 2 3" xfId="50971" xr:uid="{00000000-0005-0000-0000-000043010000}"/>
    <cellStyle name="ac 2 2 4 2 4 3" xfId="28846" xr:uid="{00000000-0005-0000-0000-000043010000}"/>
    <cellStyle name="ac 2 2 4 2 4 3 2" xfId="47209" xr:uid="{00000000-0005-0000-0000-000043010000}"/>
    <cellStyle name="ac 2 2 4 2 4 4" xfId="19649" xr:uid="{00000000-0005-0000-0000-000043010000}"/>
    <cellStyle name="ac 2 2 4 2 4 5" xfId="38055" xr:uid="{00000000-0005-0000-0000-000043010000}"/>
    <cellStyle name="ac 2 2 4 2 5" xfId="9322" xr:uid="{00000000-0005-0000-0000-000043010000}"/>
    <cellStyle name="ac 2 2 4 2 5 2" xfId="28041" xr:uid="{00000000-0005-0000-0000-000043010000}"/>
    <cellStyle name="ac 2 2 4 2 5 3" xfId="46404" xr:uid="{00000000-0005-0000-0000-000043010000}"/>
    <cellStyle name="ac 2 2 4 2 6" xfId="13378" xr:uid="{00000000-0005-0000-0000-000043010000}"/>
    <cellStyle name="ac 2 2 4 2 6 2" xfId="31799" xr:uid="{00000000-0005-0000-0000-000043010000}"/>
    <cellStyle name="ac 2 2 4 2 6 3" xfId="50162" xr:uid="{00000000-0005-0000-0000-000043010000}"/>
    <cellStyle name="ac 2 2 4 2 7" xfId="23330" xr:uid="{00000000-0005-0000-0000-000043010000}"/>
    <cellStyle name="ac 2 2 4 2 7 2" xfId="41699" xr:uid="{00000000-0005-0000-0000-000043010000}"/>
    <cellStyle name="ac 2 2 4 2 8" xfId="18401" xr:uid="{00000000-0005-0000-0000-000043010000}"/>
    <cellStyle name="ac 2 2 4 2 9" xfId="36807" xr:uid="{00000000-0005-0000-0000-000043010000}"/>
    <cellStyle name="ac 2 2 4 3" xfId="4415" xr:uid="{00000000-0005-0000-0000-000043010000}"/>
    <cellStyle name="ac 2 2 4 3 2" xfId="11014" xr:uid="{00000000-0005-0000-0000-000043010000}"/>
    <cellStyle name="ac 2 2 4 3 2 2" xfId="29634" xr:uid="{00000000-0005-0000-0000-000043010000}"/>
    <cellStyle name="ac 2 2 4 3 2 3" xfId="47997" xr:uid="{00000000-0005-0000-0000-000043010000}"/>
    <cellStyle name="ac 2 2 4 3 3" xfId="15149" xr:uid="{00000000-0005-0000-0000-000043010000}"/>
    <cellStyle name="ac 2 2 4 3 3 2" xfId="33546" xr:uid="{00000000-0005-0000-0000-000043010000}"/>
    <cellStyle name="ac 2 2 4 3 3 3" xfId="51909" xr:uid="{00000000-0005-0000-0000-000043010000}"/>
    <cellStyle name="ac 2 2 4 3 4" xfId="24277" xr:uid="{00000000-0005-0000-0000-000043010000}"/>
    <cellStyle name="ac 2 2 4 3 4 2" xfId="42646" xr:uid="{00000000-0005-0000-0000-000043010000}"/>
    <cellStyle name="ac 2 2 4 3 5" xfId="20600" xr:uid="{00000000-0005-0000-0000-000043010000}"/>
    <cellStyle name="ac 2 2 4 3 6" xfId="38993" xr:uid="{00000000-0005-0000-0000-000043010000}"/>
    <cellStyle name="ac 2 2 4 4" xfId="4548" xr:uid="{00000000-0005-0000-0000-000043010000}"/>
    <cellStyle name="ac 2 2 4 4 2" xfId="11138" xr:uid="{00000000-0005-0000-0000-000043010000}"/>
    <cellStyle name="ac 2 2 4 4 2 2" xfId="29755" xr:uid="{00000000-0005-0000-0000-000043010000}"/>
    <cellStyle name="ac 2 2 4 4 2 3" xfId="48118" xr:uid="{00000000-0005-0000-0000-000043010000}"/>
    <cellStyle name="ac 2 2 4 4 3" xfId="15276" xr:uid="{00000000-0005-0000-0000-000043010000}"/>
    <cellStyle name="ac 2 2 4 4 3 2" xfId="33670" xr:uid="{00000000-0005-0000-0000-000043010000}"/>
    <cellStyle name="ac 2 2 4 4 3 3" xfId="52033" xr:uid="{00000000-0005-0000-0000-000043010000}"/>
    <cellStyle name="ac 2 2 4 4 4" xfId="24401" xr:uid="{00000000-0005-0000-0000-000043010000}"/>
    <cellStyle name="ac 2 2 4 4 4 2" xfId="42770" xr:uid="{00000000-0005-0000-0000-000043010000}"/>
    <cellStyle name="ac 2 2 4 4 5" xfId="20725" xr:uid="{00000000-0005-0000-0000-000043010000}"/>
    <cellStyle name="ac 2 2 4 4 6" xfId="39117" xr:uid="{00000000-0005-0000-0000-000043010000}"/>
    <cellStyle name="ac 2 2 4 5" xfId="9253" xr:uid="{00000000-0005-0000-0000-000043010000}"/>
    <cellStyle name="ac 2 2 4 5 2" xfId="13310" xr:uid="{00000000-0005-0000-0000-000043010000}"/>
    <cellStyle name="ac 2 2 4 5 2 2" xfId="31731" xr:uid="{00000000-0005-0000-0000-000043010000}"/>
    <cellStyle name="ac 2 2 4 5 2 3" xfId="50094" xr:uid="{00000000-0005-0000-0000-000043010000}"/>
    <cellStyle name="ac 2 2 4 5 3" xfId="27973" xr:uid="{00000000-0005-0000-0000-000043010000}"/>
    <cellStyle name="ac 2 2 4 5 3 2" xfId="46336" xr:uid="{00000000-0005-0000-0000-000043010000}"/>
    <cellStyle name="ac 2 2 4 5 4" xfId="18305" xr:uid="{00000000-0005-0000-0000-000043010000}"/>
    <cellStyle name="ac 2 2 4 5 5" xfId="36711" xr:uid="{00000000-0005-0000-0000-000043010000}"/>
    <cellStyle name="ac 2 2 4 6" xfId="7681" xr:uid="{00000000-0005-0000-0000-000043010000}"/>
    <cellStyle name="ac 2 2 4 6 2" xfId="26963" xr:uid="{00000000-0005-0000-0000-000043010000}"/>
    <cellStyle name="ac 2 2 4 6 3" xfId="45328" xr:uid="{00000000-0005-0000-0000-000043010000}"/>
    <cellStyle name="ac 2 2 4 7" xfId="7431" xr:uid="{00000000-0005-0000-0000-000043010000}"/>
    <cellStyle name="ac 2 2 4 7 2" xfId="26819" xr:uid="{00000000-0005-0000-0000-000043010000}"/>
    <cellStyle name="ac 2 2 4 7 3" xfId="45187" xr:uid="{00000000-0005-0000-0000-000043010000}"/>
    <cellStyle name="ac 2 2 4 8" xfId="19459" xr:uid="{00000000-0005-0000-0000-000043010000}"/>
    <cellStyle name="ac 2 2 4 8 2" xfId="37865" xr:uid="{00000000-0005-0000-0000-000043010000}"/>
    <cellStyle name="ac 2 2 4 9" xfId="8856" xr:uid="{00000000-0005-0000-0000-000043010000}"/>
    <cellStyle name="ac 2 2 5" xfId="3366" xr:uid="{00000000-0005-0000-0000-00003A010000}"/>
    <cellStyle name="ac 2 2 5 2" xfId="5541" xr:uid="{00000000-0005-0000-0000-00003A010000}"/>
    <cellStyle name="ac 2 2 5 2 2" xfId="11905" xr:uid="{00000000-0005-0000-0000-00003A010000}"/>
    <cellStyle name="ac 2 2 5 2 2 2" xfId="30352" xr:uid="{00000000-0005-0000-0000-00003A010000}"/>
    <cellStyle name="ac 2 2 5 2 2 3" xfId="48715" xr:uid="{00000000-0005-0000-0000-00003A010000}"/>
    <cellStyle name="ac 2 2 5 2 3" xfId="16231" xr:uid="{00000000-0005-0000-0000-00003A010000}"/>
    <cellStyle name="ac 2 2 5 2 3 2" xfId="34603" xr:uid="{00000000-0005-0000-0000-00003A010000}"/>
    <cellStyle name="ac 2 2 5 2 3 3" xfId="52966" xr:uid="{00000000-0005-0000-0000-00003A010000}"/>
    <cellStyle name="ac 2 2 5 2 4" xfId="25350" xr:uid="{00000000-0005-0000-0000-00003A010000}"/>
    <cellStyle name="ac 2 2 5 2 4 2" xfId="43719" xr:uid="{00000000-0005-0000-0000-00003A010000}"/>
    <cellStyle name="ac 2 2 5 2 5" xfId="21671" xr:uid="{00000000-0005-0000-0000-00003A010000}"/>
    <cellStyle name="ac 2 2 5 2 6" xfId="40050" xr:uid="{00000000-0005-0000-0000-00003A010000}"/>
    <cellStyle name="ac 2 2 5 3" xfId="6365" xr:uid="{00000000-0005-0000-0000-00003A010000}"/>
    <cellStyle name="ac 2 2 5 3 2" xfId="12656" xr:uid="{00000000-0005-0000-0000-00003A010000}"/>
    <cellStyle name="ac 2 2 5 3 2 2" xfId="31082" xr:uid="{00000000-0005-0000-0000-00003A010000}"/>
    <cellStyle name="ac 2 2 5 3 2 3" xfId="49445" xr:uid="{00000000-0005-0000-0000-00003A010000}"/>
    <cellStyle name="ac 2 2 5 3 3" xfId="16967" xr:uid="{00000000-0005-0000-0000-00003A010000}"/>
    <cellStyle name="ac 2 2 5 3 3 2" xfId="35315" xr:uid="{00000000-0005-0000-0000-00003A010000}"/>
    <cellStyle name="ac 2 2 5 3 3 3" xfId="53678" xr:uid="{00000000-0005-0000-0000-00003A010000}"/>
    <cellStyle name="ac 2 2 5 3 4" xfId="26100" xr:uid="{00000000-0005-0000-0000-00003A010000}"/>
    <cellStyle name="ac 2 2 5 3 4 2" xfId="44469" xr:uid="{00000000-0005-0000-0000-00003A010000}"/>
    <cellStyle name="ac 2 2 5 3 5" xfId="22393" xr:uid="{00000000-0005-0000-0000-00003A010000}"/>
    <cellStyle name="ac 2 2 5 3 6" xfId="40762" xr:uid="{00000000-0005-0000-0000-00003A010000}"/>
    <cellStyle name="ac 2 2 5 4" xfId="10079" xr:uid="{00000000-0005-0000-0000-00003A010000}"/>
    <cellStyle name="ac 2 2 5 4 2" xfId="14136" xr:uid="{00000000-0005-0000-0000-00003A010000}"/>
    <cellStyle name="ac 2 2 5 4 2 2" xfId="32552" xr:uid="{00000000-0005-0000-0000-00003A010000}"/>
    <cellStyle name="ac 2 2 5 4 2 3" xfId="50915" xr:uid="{00000000-0005-0000-0000-00003A010000}"/>
    <cellStyle name="ac 2 2 5 4 3" xfId="28790" xr:uid="{00000000-0005-0000-0000-00003A010000}"/>
    <cellStyle name="ac 2 2 5 4 3 2" xfId="47153" xr:uid="{00000000-0005-0000-0000-00003A010000}"/>
    <cellStyle name="ac 2 2 5 4 4" xfId="19593" xr:uid="{00000000-0005-0000-0000-00003A010000}"/>
    <cellStyle name="ac 2 2 5 4 5" xfId="37999" xr:uid="{00000000-0005-0000-0000-00003A010000}"/>
    <cellStyle name="ac 2 2 5 5" xfId="9229" xr:uid="{00000000-0005-0000-0000-00003A010000}"/>
    <cellStyle name="ac 2 2 5 5 2" xfId="27949" xr:uid="{00000000-0005-0000-0000-00003A010000}"/>
    <cellStyle name="ac 2 2 5 5 3" xfId="46312" xr:uid="{00000000-0005-0000-0000-00003A010000}"/>
    <cellStyle name="ac 2 2 5 6" xfId="13286" xr:uid="{00000000-0005-0000-0000-00003A010000}"/>
    <cellStyle name="ac 2 2 5 6 2" xfId="31707" xr:uid="{00000000-0005-0000-0000-00003A010000}"/>
    <cellStyle name="ac 2 2 5 6 3" xfId="50070" xr:uid="{00000000-0005-0000-0000-00003A010000}"/>
    <cellStyle name="ac 2 2 5 7" xfId="23274" xr:uid="{00000000-0005-0000-0000-00003A010000}"/>
    <cellStyle name="ac 2 2 5 7 2" xfId="41643" xr:uid="{00000000-0005-0000-0000-00003A010000}"/>
    <cellStyle name="ac 2 2 5 8" xfId="18280" xr:uid="{00000000-0005-0000-0000-00003A010000}"/>
    <cellStyle name="ac 2 2 5 9" xfId="36686" xr:uid="{00000000-0005-0000-0000-00003A010000}"/>
    <cellStyle name="ac 2 2 6" xfId="4313" xr:uid="{00000000-0005-0000-0000-00003A010000}"/>
    <cellStyle name="ac 2 2 6 2" xfId="10921" xr:uid="{00000000-0005-0000-0000-00003A010000}"/>
    <cellStyle name="ac 2 2 6 2 2" xfId="29551" xr:uid="{00000000-0005-0000-0000-00003A010000}"/>
    <cellStyle name="ac 2 2 6 2 3" xfId="47914" xr:uid="{00000000-0005-0000-0000-00003A010000}"/>
    <cellStyle name="ac 2 2 6 3" xfId="15057" xr:uid="{00000000-0005-0000-0000-00003A010000}"/>
    <cellStyle name="ac 2 2 6 3 2" xfId="33459" xr:uid="{00000000-0005-0000-0000-00003A010000}"/>
    <cellStyle name="ac 2 2 6 3 3" xfId="51822" xr:uid="{00000000-0005-0000-0000-00003A010000}"/>
    <cellStyle name="ac 2 2 6 4" xfId="24188" xr:uid="{00000000-0005-0000-0000-00003A010000}"/>
    <cellStyle name="ac 2 2 6 4 2" xfId="42557" xr:uid="{00000000-0005-0000-0000-00003A010000}"/>
    <cellStyle name="ac 2 2 6 5" xfId="20509" xr:uid="{00000000-0005-0000-0000-00003A010000}"/>
    <cellStyle name="ac 2 2 6 6" xfId="38906" xr:uid="{00000000-0005-0000-0000-00003A010000}"/>
    <cellStyle name="ac 2 2 7" xfId="4908" xr:uid="{00000000-0005-0000-0000-00003A010000}"/>
    <cellStyle name="ac 2 2 7 2" xfId="11463" xr:uid="{00000000-0005-0000-0000-00003A010000}"/>
    <cellStyle name="ac 2 2 7 2 2" xfId="30051" xr:uid="{00000000-0005-0000-0000-00003A010000}"/>
    <cellStyle name="ac 2 2 7 2 3" xfId="48414" xr:uid="{00000000-0005-0000-0000-00003A010000}"/>
    <cellStyle name="ac 2 2 7 3" xfId="15634" xr:uid="{00000000-0005-0000-0000-00003A010000}"/>
    <cellStyle name="ac 2 2 7 3 2" xfId="34025" xr:uid="{00000000-0005-0000-0000-00003A010000}"/>
    <cellStyle name="ac 2 2 7 3 3" xfId="52388" xr:uid="{00000000-0005-0000-0000-00003A010000}"/>
    <cellStyle name="ac 2 2 7 4" xfId="24756" xr:uid="{00000000-0005-0000-0000-00003A010000}"/>
    <cellStyle name="ac 2 2 7 4 2" xfId="43125" xr:uid="{00000000-0005-0000-0000-00003A010000}"/>
    <cellStyle name="ac 2 2 7 5" xfId="21083" xr:uid="{00000000-0005-0000-0000-00003A010000}"/>
    <cellStyle name="ac 2 2 7 6" xfId="39472" xr:uid="{00000000-0005-0000-0000-00003A010000}"/>
    <cellStyle name="ac 2 2 8" xfId="7565" xr:uid="{00000000-0005-0000-0000-00003A010000}"/>
    <cellStyle name="ac 2 2 8 2" xfId="26876" xr:uid="{00000000-0005-0000-0000-00003A010000}"/>
    <cellStyle name="ac 2 2 8 3" xfId="45241" xr:uid="{00000000-0005-0000-0000-00003A010000}"/>
    <cellStyle name="ac 2 2 9" xfId="11751" xr:uid="{00000000-0005-0000-0000-00003A010000}"/>
    <cellStyle name="ac 2 2 9 2" xfId="30253" xr:uid="{00000000-0005-0000-0000-00003A010000}"/>
    <cellStyle name="ac 2 2 9 3" xfId="48616" xr:uid="{00000000-0005-0000-0000-00003A010000}"/>
    <cellStyle name="ac 2 3" xfId="1434" xr:uid="{00000000-0005-0000-0000-000044010000}"/>
    <cellStyle name="ac 2 3 10" xfId="7826" xr:uid="{00000000-0005-0000-0000-000044010000}"/>
    <cellStyle name="ac 2 3 2" xfId="3454" xr:uid="{00000000-0005-0000-0000-000044010000}"/>
    <cellStyle name="ac 2 3 2 2" xfId="5629" xr:uid="{00000000-0005-0000-0000-000044010000}"/>
    <cellStyle name="ac 2 3 2 2 2" xfId="11993" xr:uid="{00000000-0005-0000-0000-000044010000}"/>
    <cellStyle name="ac 2 3 2 2 2 2" xfId="30440" xr:uid="{00000000-0005-0000-0000-000044010000}"/>
    <cellStyle name="ac 2 3 2 2 2 3" xfId="48803" xr:uid="{00000000-0005-0000-0000-000044010000}"/>
    <cellStyle name="ac 2 3 2 2 3" xfId="16319" xr:uid="{00000000-0005-0000-0000-000044010000}"/>
    <cellStyle name="ac 2 3 2 2 3 2" xfId="34691" xr:uid="{00000000-0005-0000-0000-000044010000}"/>
    <cellStyle name="ac 2 3 2 2 3 3" xfId="53054" xr:uid="{00000000-0005-0000-0000-000044010000}"/>
    <cellStyle name="ac 2 3 2 2 4" xfId="25438" xr:uid="{00000000-0005-0000-0000-000044010000}"/>
    <cellStyle name="ac 2 3 2 2 4 2" xfId="43807" xr:uid="{00000000-0005-0000-0000-000044010000}"/>
    <cellStyle name="ac 2 3 2 2 5" xfId="21759" xr:uid="{00000000-0005-0000-0000-000044010000}"/>
    <cellStyle name="ac 2 3 2 2 6" xfId="40138" xr:uid="{00000000-0005-0000-0000-000044010000}"/>
    <cellStyle name="ac 2 3 2 3" xfId="6453" xr:uid="{00000000-0005-0000-0000-000044010000}"/>
    <cellStyle name="ac 2 3 2 3 2" xfId="12744" xr:uid="{00000000-0005-0000-0000-000044010000}"/>
    <cellStyle name="ac 2 3 2 3 2 2" xfId="31170" xr:uid="{00000000-0005-0000-0000-000044010000}"/>
    <cellStyle name="ac 2 3 2 3 2 3" xfId="49533" xr:uid="{00000000-0005-0000-0000-000044010000}"/>
    <cellStyle name="ac 2 3 2 3 3" xfId="17055" xr:uid="{00000000-0005-0000-0000-000044010000}"/>
    <cellStyle name="ac 2 3 2 3 3 2" xfId="35403" xr:uid="{00000000-0005-0000-0000-000044010000}"/>
    <cellStyle name="ac 2 3 2 3 3 3" xfId="53766" xr:uid="{00000000-0005-0000-0000-000044010000}"/>
    <cellStyle name="ac 2 3 2 3 4" xfId="26188" xr:uid="{00000000-0005-0000-0000-000044010000}"/>
    <cellStyle name="ac 2 3 2 3 4 2" xfId="44557" xr:uid="{00000000-0005-0000-0000-000044010000}"/>
    <cellStyle name="ac 2 3 2 3 5" xfId="22481" xr:uid="{00000000-0005-0000-0000-000044010000}"/>
    <cellStyle name="ac 2 3 2 3 6" xfId="40850" xr:uid="{00000000-0005-0000-0000-000044010000}"/>
    <cellStyle name="ac 2 3 2 4" xfId="10167" xr:uid="{00000000-0005-0000-0000-000044010000}"/>
    <cellStyle name="ac 2 3 2 4 2" xfId="14224" xr:uid="{00000000-0005-0000-0000-000044010000}"/>
    <cellStyle name="ac 2 3 2 4 2 2" xfId="32640" xr:uid="{00000000-0005-0000-0000-000044010000}"/>
    <cellStyle name="ac 2 3 2 4 2 3" xfId="51003" xr:uid="{00000000-0005-0000-0000-000044010000}"/>
    <cellStyle name="ac 2 3 2 4 3" xfId="28878" xr:uid="{00000000-0005-0000-0000-000044010000}"/>
    <cellStyle name="ac 2 3 2 4 3 2" xfId="47241" xr:uid="{00000000-0005-0000-0000-000044010000}"/>
    <cellStyle name="ac 2 3 2 4 4" xfId="19681" xr:uid="{00000000-0005-0000-0000-000044010000}"/>
    <cellStyle name="ac 2 3 2 4 5" xfId="38087" xr:uid="{00000000-0005-0000-0000-000044010000}"/>
    <cellStyle name="ac 2 3 2 5" xfId="9357" xr:uid="{00000000-0005-0000-0000-000044010000}"/>
    <cellStyle name="ac 2 3 2 5 2" xfId="28076" xr:uid="{00000000-0005-0000-0000-000044010000}"/>
    <cellStyle name="ac 2 3 2 5 3" xfId="46439" xr:uid="{00000000-0005-0000-0000-000044010000}"/>
    <cellStyle name="ac 2 3 2 6" xfId="13413" xr:uid="{00000000-0005-0000-0000-000044010000}"/>
    <cellStyle name="ac 2 3 2 6 2" xfId="31834" xr:uid="{00000000-0005-0000-0000-000044010000}"/>
    <cellStyle name="ac 2 3 2 6 3" xfId="50197" xr:uid="{00000000-0005-0000-0000-000044010000}"/>
    <cellStyle name="ac 2 3 2 7" xfId="23362" xr:uid="{00000000-0005-0000-0000-000044010000}"/>
    <cellStyle name="ac 2 3 2 7 2" xfId="41731" xr:uid="{00000000-0005-0000-0000-000044010000}"/>
    <cellStyle name="ac 2 3 2 8" xfId="18439" xr:uid="{00000000-0005-0000-0000-000044010000}"/>
    <cellStyle name="ac 2 3 2 9" xfId="36845" xr:uid="{00000000-0005-0000-0000-000044010000}"/>
    <cellStyle name="ac 2 3 3" xfId="4451" xr:uid="{00000000-0005-0000-0000-000044010000}"/>
    <cellStyle name="ac 2 3 3 2" xfId="11048" xr:uid="{00000000-0005-0000-0000-000044010000}"/>
    <cellStyle name="ac 2 3 3 2 2" xfId="29668" xr:uid="{00000000-0005-0000-0000-000044010000}"/>
    <cellStyle name="ac 2 3 3 2 3" xfId="48031" xr:uid="{00000000-0005-0000-0000-000044010000}"/>
    <cellStyle name="ac 2 3 3 3" xfId="15185" xr:uid="{00000000-0005-0000-0000-000044010000}"/>
    <cellStyle name="ac 2 3 3 3 2" xfId="33581" xr:uid="{00000000-0005-0000-0000-000044010000}"/>
    <cellStyle name="ac 2 3 3 3 3" xfId="51944" xr:uid="{00000000-0005-0000-0000-000044010000}"/>
    <cellStyle name="ac 2 3 3 4" xfId="24312" xr:uid="{00000000-0005-0000-0000-000044010000}"/>
    <cellStyle name="ac 2 3 3 4 2" xfId="42681" xr:uid="{00000000-0005-0000-0000-000044010000}"/>
    <cellStyle name="ac 2 3 3 5" xfId="20636" xr:uid="{00000000-0005-0000-0000-000044010000}"/>
    <cellStyle name="ac 2 3 3 6" xfId="39028" xr:uid="{00000000-0005-0000-0000-000044010000}"/>
    <cellStyle name="ac 2 3 4" xfId="5277" xr:uid="{00000000-0005-0000-0000-000044010000}"/>
    <cellStyle name="ac 2 3 4 2" xfId="11733" xr:uid="{00000000-0005-0000-0000-000044010000}"/>
    <cellStyle name="ac 2 3 4 2 2" xfId="30239" xr:uid="{00000000-0005-0000-0000-000044010000}"/>
    <cellStyle name="ac 2 3 4 2 3" xfId="48602" xr:uid="{00000000-0005-0000-0000-000044010000}"/>
    <cellStyle name="ac 2 3 4 3" xfId="15969" xr:uid="{00000000-0005-0000-0000-000044010000}"/>
    <cellStyle name="ac 2 3 4 3 2" xfId="34343" xr:uid="{00000000-0005-0000-0000-000044010000}"/>
    <cellStyle name="ac 2 3 4 3 3" xfId="52706" xr:uid="{00000000-0005-0000-0000-000044010000}"/>
    <cellStyle name="ac 2 3 4 4" xfId="25090" xr:uid="{00000000-0005-0000-0000-000044010000}"/>
    <cellStyle name="ac 2 3 4 4 2" xfId="43459" xr:uid="{00000000-0005-0000-0000-000044010000}"/>
    <cellStyle name="ac 2 3 4 5" xfId="21411" xr:uid="{00000000-0005-0000-0000-000044010000}"/>
    <cellStyle name="ac 2 3 4 6" xfId="39790" xr:uid="{00000000-0005-0000-0000-000044010000}"/>
    <cellStyle name="ac 2 3 5" xfId="9889" xr:uid="{00000000-0005-0000-0000-000044010000}"/>
    <cellStyle name="ac 2 3 5 2" xfId="13947" xr:uid="{00000000-0005-0000-0000-000044010000}"/>
    <cellStyle name="ac 2 3 5 2 2" xfId="32365" xr:uid="{00000000-0005-0000-0000-000044010000}"/>
    <cellStyle name="ac 2 3 5 2 3" xfId="50728" xr:uid="{00000000-0005-0000-0000-000044010000}"/>
    <cellStyle name="ac 2 3 5 3" xfId="28603" xr:uid="{00000000-0005-0000-0000-000044010000}"/>
    <cellStyle name="ac 2 3 5 3 2" xfId="46966" xr:uid="{00000000-0005-0000-0000-000044010000}"/>
    <cellStyle name="ac 2 3 5 4" xfId="19166" xr:uid="{00000000-0005-0000-0000-000044010000}"/>
    <cellStyle name="ac 2 3 5 5" xfId="37574" xr:uid="{00000000-0005-0000-0000-000044010000}"/>
    <cellStyle name="ac 2 3 6" xfId="7722" xr:uid="{00000000-0005-0000-0000-000044010000}"/>
    <cellStyle name="ac 2 3 6 2" xfId="26999" xr:uid="{00000000-0005-0000-0000-000044010000}"/>
    <cellStyle name="ac 2 3 6 3" xfId="45364" xr:uid="{00000000-0005-0000-0000-000044010000}"/>
    <cellStyle name="ac 2 3 7" xfId="8886" xr:uid="{00000000-0005-0000-0000-000044010000}"/>
    <cellStyle name="ac 2 3 7 2" xfId="27670" xr:uid="{00000000-0005-0000-0000-000044010000}"/>
    <cellStyle name="ac 2 3 7 3" xfId="46033" xr:uid="{00000000-0005-0000-0000-000044010000}"/>
    <cellStyle name="ac 2 3 8" xfId="19523" xr:uid="{00000000-0005-0000-0000-000044010000}"/>
    <cellStyle name="ac 2 3 8 2" xfId="37929" xr:uid="{00000000-0005-0000-0000-000044010000}"/>
    <cellStyle name="ac 2 3 9" xfId="8801" xr:uid="{00000000-0005-0000-0000-000044010000}"/>
    <cellStyle name="ac 2 4" xfId="1899" xr:uid="{00000000-0005-0000-0000-000045010000}"/>
    <cellStyle name="ac 2 4 10" xfId="8335" xr:uid="{00000000-0005-0000-0000-000045010000}"/>
    <cellStyle name="ac 2 4 2" xfId="3717" xr:uid="{00000000-0005-0000-0000-000045010000}"/>
    <cellStyle name="ac 2 4 2 2" xfId="5890" xr:uid="{00000000-0005-0000-0000-000045010000}"/>
    <cellStyle name="ac 2 4 2 2 2" xfId="12254" xr:uid="{00000000-0005-0000-0000-000045010000}"/>
    <cellStyle name="ac 2 4 2 2 2 2" xfId="30701" xr:uid="{00000000-0005-0000-0000-000045010000}"/>
    <cellStyle name="ac 2 4 2 2 2 3" xfId="49064" xr:uid="{00000000-0005-0000-0000-000045010000}"/>
    <cellStyle name="ac 2 4 2 2 3" xfId="16580" xr:uid="{00000000-0005-0000-0000-000045010000}"/>
    <cellStyle name="ac 2 4 2 2 3 2" xfId="34952" xr:uid="{00000000-0005-0000-0000-000045010000}"/>
    <cellStyle name="ac 2 4 2 2 3 3" xfId="53315" xr:uid="{00000000-0005-0000-0000-000045010000}"/>
    <cellStyle name="ac 2 4 2 2 4" xfId="25699" xr:uid="{00000000-0005-0000-0000-000045010000}"/>
    <cellStyle name="ac 2 4 2 2 4 2" xfId="44068" xr:uid="{00000000-0005-0000-0000-000045010000}"/>
    <cellStyle name="ac 2 4 2 2 5" xfId="22020" xr:uid="{00000000-0005-0000-0000-000045010000}"/>
    <cellStyle name="ac 2 4 2 2 6" xfId="40399" xr:uid="{00000000-0005-0000-0000-000045010000}"/>
    <cellStyle name="ac 2 4 2 3" xfId="6716" xr:uid="{00000000-0005-0000-0000-000045010000}"/>
    <cellStyle name="ac 2 4 2 3 2" xfId="13007" xr:uid="{00000000-0005-0000-0000-000045010000}"/>
    <cellStyle name="ac 2 4 2 3 2 2" xfId="31433" xr:uid="{00000000-0005-0000-0000-000045010000}"/>
    <cellStyle name="ac 2 4 2 3 2 3" xfId="49796" xr:uid="{00000000-0005-0000-0000-000045010000}"/>
    <cellStyle name="ac 2 4 2 3 3" xfId="17318" xr:uid="{00000000-0005-0000-0000-000045010000}"/>
    <cellStyle name="ac 2 4 2 3 3 2" xfId="35666" xr:uid="{00000000-0005-0000-0000-000045010000}"/>
    <cellStyle name="ac 2 4 2 3 3 3" xfId="54029" xr:uid="{00000000-0005-0000-0000-000045010000}"/>
    <cellStyle name="ac 2 4 2 3 4" xfId="26451" xr:uid="{00000000-0005-0000-0000-000045010000}"/>
    <cellStyle name="ac 2 4 2 3 4 2" xfId="44820" xr:uid="{00000000-0005-0000-0000-000045010000}"/>
    <cellStyle name="ac 2 4 2 3 5" xfId="22744" xr:uid="{00000000-0005-0000-0000-000045010000}"/>
    <cellStyle name="ac 2 4 2 3 6" xfId="41113" xr:uid="{00000000-0005-0000-0000-000045010000}"/>
    <cellStyle name="ac 2 4 2 4" xfId="10430" xr:uid="{00000000-0005-0000-0000-000045010000}"/>
    <cellStyle name="ac 2 4 2 4 2" xfId="14487" xr:uid="{00000000-0005-0000-0000-000045010000}"/>
    <cellStyle name="ac 2 4 2 4 2 2" xfId="32903" xr:uid="{00000000-0005-0000-0000-000045010000}"/>
    <cellStyle name="ac 2 4 2 4 2 3" xfId="51266" xr:uid="{00000000-0005-0000-0000-000045010000}"/>
    <cellStyle name="ac 2 4 2 4 3" xfId="29141" xr:uid="{00000000-0005-0000-0000-000045010000}"/>
    <cellStyle name="ac 2 4 2 4 3 2" xfId="47504" xr:uid="{00000000-0005-0000-0000-000045010000}"/>
    <cellStyle name="ac 2 4 2 4 4" xfId="19944" xr:uid="{00000000-0005-0000-0000-000045010000}"/>
    <cellStyle name="ac 2 4 2 4 5" xfId="38350" xr:uid="{00000000-0005-0000-0000-000045010000}"/>
    <cellStyle name="ac 2 4 2 5" xfId="9646" xr:uid="{00000000-0005-0000-0000-000045010000}"/>
    <cellStyle name="ac 2 4 2 5 2" xfId="28362" xr:uid="{00000000-0005-0000-0000-000045010000}"/>
    <cellStyle name="ac 2 4 2 5 3" xfId="46725" xr:uid="{00000000-0005-0000-0000-000045010000}"/>
    <cellStyle name="ac 2 4 2 6" xfId="13703" xr:uid="{00000000-0005-0000-0000-000045010000}"/>
    <cellStyle name="ac 2 4 2 6 2" xfId="32124" xr:uid="{00000000-0005-0000-0000-000045010000}"/>
    <cellStyle name="ac 2 4 2 6 3" xfId="50487" xr:uid="{00000000-0005-0000-0000-000045010000}"/>
    <cellStyle name="ac 2 4 2 7" xfId="23625" xr:uid="{00000000-0005-0000-0000-000045010000}"/>
    <cellStyle name="ac 2 4 2 7 2" xfId="41994" xr:uid="{00000000-0005-0000-0000-000045010000}"/>
    <cellStyle name="ac 2 4 2 8" xfId="18771" xr:uid="{00000000-0005-0000-0000-000045010000}"/>
    <cellStyle name="ac 2 4 2 9" xfId="37180" xr:uid="{00000000-0005-0000-0000-000045010000}"/>
    <cellStyle name="ac 2 4 3" xfId="4810" xr:uid="{00000000-0005-0000-0000-000045010000}"/>
    <cellStyle name="ac 2 4 3 2" xfId="11371" xr:uid="{00000000-0005-0000-0000-000045010000}"/>
    <cellStyle name="ac 2 4 3 2 2" xfId="29963" xr:uid="{00000000-0005-0000-0000-000045010000}"/>
    <cellStyle name="ac 2 4 3 2 3" xfId="48326" xr:uid="{00000000-0005-0000-0000-000045010000}"/>
    <cellStyle name="ac 2 4 3 3" xfId="15536" xr:uid="{00000000-0005-0000-0000-000045010000}"/>
    <cellStyle name="ac 2 4 3 3 2" xfId="33929" xr:uid="{00000000-0005-0000-0000-000045010000}"/>
    <cellStyle name="ac 2 4 3 3 3" xfId="52292" xr:uid="{00000000-0005-0000-0000-000045010000}"/>
    <cellStyle name="ac 2 4 3 4" xfId="24660" xr:uid="{00000000-0005-0000-0000-000045010000}"/>
    <cellStyle name="ac 2 4 3 4 2" xfId="43029" xr:uid="{00000000-0005-0000-0000-000045010000}"/>
    <cellStyle name="ac 2 4 3 5" xfId="20987" xr:uid="{00000000-0005-0000-0000-000045010000}"/>
    <cellStyle name="ac 2 4 3 6" xfId="39376" xr:uid="{00000000-0005-0000-0000-000045010000}"/>
    <cellStyle name="ac 2 4 4" xfId="4562" xr:uid="{00000000-0005-0000-0000-000045010000}"/>
    <cellStyle name="ac 2 4 4 2" xfId="11147" xr:uid="{00000000-0005-0000-0000-000045010000}"/>
    <cellStyle name="ac 2 4 4 2 2" xfId="29761" xr:uid="{00000000-0005-0000-0000-000045010000}"/>
    <cellStyle name="ac 2 4 4 2 3" xfId="48124" xr:uid="{00000000-0005-0000-0000-000045010000}"/>
    <cellStyle name="ac 2 4 4 3" xfId="15288" xr:uid="{00000000-0005-0000-0000-000045010000}"/>
    <cellStyle name="ac 2 4 4 3 2" xfId="33682" xr:uid="{00000000-0005-0000-0000-000045010000}"/>
    <cellStyle name="ac 2 4 4 3 3" xfId="52045" xr:uid="{00000000-0005-0000-0000-000045010000}"/>
    <cellStyle name="ac 2 4 4 4" xfId="24413" xr:uid="{00000000-0005-0000-0000-000045010000}"/>
    <cellStyle name="ac 2 4 4 4 2" xfId="42782" xr:uid="{00000000-0005-0000-0000-000045010000}"/>
    <cellStyle name="ac 2 4 4 5" xfId="20739" xr:uid="{00000000-0005-0000-0000-000045010000}"/>
    <cellStyle name="ac 2 4 4 6" xfId="39129" xr:uid="{00000000-0005-0000-0000-000045010000}"/>
    <cellStyle name="ac 2 4 5" xfId="9195" xr:uid="{00000000-0005-0000-0000-000045010000}"/>
    <cellStyle name="ac 2 4 5 2" xfId="13253" xr:uid="{00000000-0005-0000-0000-000045010000}"/>
    <cellStyle name="ac 2 4 5 2 2" xfId="31674" xr:uid="{00000000-0005-0000-0000-000045010000}"/>
    <cellStyle name="ac 2 4 5 2 3" xfId="50037" xr:uid="{00000000-0005-0000-0000-000045010000}"/>
    <cellStyle name="ac 2 4 5 3" xfId="27916" xr:uid="{00000000-0005-0000-0000-000045010000}"/>
    <cellStyle name="ac 2 4 5 3 2" xfId="46279" xr:uid="{00000000-0005-0000-0000-000045010000}"/>
    <cellStyle name="ac 2 4 5 4" xfId="18211" xr:uid="{00000000-0005-0000-0000-000045010000}"/>
    <cellStyle name="ac 2 4 5 5" xfId="36617" xr:uid="{00000000-0005-0000-0000-000045010000}"/>
    <cellStyle name="ac 2 4 6" xfId="8098" xr:uid="{00000000-0005-0000-0000-000045010000}"/>
    <cellStyle name="ac 2 4 6 2" xfId="27303" xr:uid="{00000000-0005-0000-0000-000045010000}"/>
    <cellStyle name="ac 2 4 6 3" xfId="45668" xr:uid="{00000000-0005-0000-0000-000045010000}"/>
    <cellStyle name="ac 2 4 7" xfId="7588" xr:uid="{00000000-0005-0000-0000-000045010000}"/>
    <cellStyle name="ac 2 4 7 2" xfId="26895" xr:uid="{00000000-0005-0000-0000-000045010000}"/>
    <cellStyle name="ac 2 4 7 3" xfId="45260" xr:uid="{00000000-0005-0000-0000-000045010000}"/>
    <cellStyle name="ac 2 4 8" xfId="18114" xr:uid="{00000000-0005-0000-0000-000045010000}"/>
    <cellStyle name="ac 2 4 8 2" xfId="36521" xr:uid="{00000000-0005-0000-0000-000045010000}"/>
    <cellStyle name="ac 2 4 9" xfId="8932" xr:uid="{00000000-0005-0000-0000-000045010000}"/>
    <cellStyle name="ac 2 5" xfId="2314" xr:uid="{00000000-0005-0000-0000-000046010000}"/>
    <cellStyle name="ac 2 5 10" xfId="7108" xr:uid="{00000000-0005-0000-0000-000046010000}"/>
    <cellStyle name="ac 2 5 2" xfId="3762" xr:uid="{00000000-0005-0000-0000-000046010000}"/>
    <cellStyle name="ac 2 5 2 2" xfId="5935" xr:uid="{00000000-0005-0000-0000-000046010000}"/>
    <cellStyle name="ac 2 5 2 2 2" xfId="12299" xr:uid="{00000000-0005-0000-0000-000046010000}"/>
    <cellStyle name="ac 2 5 2 2 2 2" xfId="30746" xr:uid="{00000000-0005-0000-0000-000046010000}"/>
    <cellStyle name="ac 2 5 2 2 2 3" xfId="49109" xr:uid="{00000000-0005-0000-0000-000046010000}"/>
    <cellStyle name="ac 2 5 2 2 3" xfId="16625" xr:uid="{00000000-0005-0000-0000-000046010000}"/>
    <cellStyle name="ac 2 5 2 2 3 2" xfId="34997" xr:uid="{00000000-0005-0000-0000-000046010000}"/>
    <cellStyle name="ac 2 5 2 2 3 3" xfId="53360" xr:uid="{00000000-0005-0000-0000-000046010000}"/>
    <cellStyle name="ac 2 5 2 2 4" xfId="25744" xr:uid="{00000000-0005-0000-0000-000046010000}"/>
    <cellStyle name="ac 2 5 2 2 4 2" xfId="44113" xr:uid="{00000000-0005-0000-0000-000046010000}"/>
    <cellStyle name="ac 2 5 2 2 5" xfId="22065" xr:uid="{00000000-0005-0000-0000-000046010000}"/>
    <cellStyle name="ac 2 5 2 2 6" xfId="40444" xr:uid="{00000000-0005-0000-0000-000046010000}"/>
    <cellStyle name="ac 2 5 2 3" xfId="6761" xr:uid="{00000000-0005-0000-0000-000046010000}"/>
    <cellStyle name="ac 2 5 2 3 2" xfId="13052" xr:uid="{00000000-0005-0000-0000-000046010000}"/>
    <cellStyle name="ac 2 5 2 3 2 2" xfId="31478" xr:uid="{00000000-0005-0000-0000-000046010000}"/>
    <cellStyle name="ac 2 5 2 3 2 3" xfId="49841" xr:uid="{00000000-0005-0000-0000-000046010000}"/>
    <cellStyle name="ac 2 5 2 3 3" xfId="17363" xr:uid="{00000000-0005-0000-0000-000046010000}"/>
    <cellStyle name="ac 2 5 2 3 3 2" xfId="35711" xr:uid="{00000000-0005-0000-0000-000046010000}"/>
    <cellStyle name="ac 2 5 2 3 3 3" xfId="54074" xr:uid="{00000000-0005-0000-0000-000046010000}"/>
    <cellStyle name="ac 2 5 2 3 4" xfId="26496" xr:uid="{00000000-0005-0000-0000-000046010000}"/>
    <cellStyle name="ac 2 5 2 3 4 2" xfId="44865" xr:uid="{00000000-0005-0000-0000-000046010000}"/>
    <cellStyle name="ac 2 5 2 3 5" xfId="22789" xr:uid="{00000000-0005-0000-0000-000046010000}"/>
    <cellStyle name="ac 2 5 2 3 6" xfId="41158" xr:uid="{00000000-0005-0000-0000-000046010000}"/>
    <cellStyle name="ac 2 5 2 4" xfId="10475" xr:uid="{00000000-0005-0000-0000-000046010000}"/>
    <cellStyle name="ac 2 5 2 4 2" xfId="14532" xr:uid="{00000000-0005-0000-0000-000046010000}"/>
    <cellStyle name="ac 2 5 2 4 2 2" xfId="32948" xr:uid="{00000000-0005-0000-0000-000046010000}"/>
    <cellStyle name="ac 2 5 2 4 2 3" xfId="51311" xr:uid="{00000000-0005-0000-0000-000046010000}"/>
    <cellStyle name="ac 2 5 2 4 3" xfId="29186" xr:uid="{00000000-0005-0000-0000-000046010000}"/>
    <cellStyle name="ac 2 5 2 4 3 2" xfId="47549" xr:uid="{00000000-0005-0000-0000-000046010000}"/>
    <cellStyle name="ac 2 5 2 4 4" xfId="19989" xr:uid="{00000000-0005-0000-0000-000046010000}"/>
    <cellStyle name="ac 2 5 2 4 5" xfId="38395" xr:uid="{00000000-0005-0000-0000-000046010000}"/>
    <cellStyle name="ac 2 5 2 5" xfId="9746" xr:uid="{00000000-0005-0000-0000-000046010000}"/>
    <cellStyle name="ac 2 5 2 5 2" xfId="28461" xr:uid="{00000000-0005-0000-0000-000046010000}"/>
    <cellStyle name="ac 2 5 2 5 3" xfId="46824" xr:uid="{00000000-0005-0000-0000-000046010000}"/>
    <cellStyle name="ac 2 5 2 6" xfId="13803" xr:uid="{00000000-0005-0000-0000-000046010000}"/>
    <cellStyle name="ac 2 5 2 6 2" xfId="32223" xr:uid="{00000000-0005-0000-0000-000046010000}"/>
    <cellStyle name="ac 2 5 2 6 3" xfId="50586" xr:uid="{00000000-0005-0000-0000-000046010000}"/>
    <cellStyle name="ac 2 5 2 7" xfId="23670" xr:uid="{00000000-0005-0000-0000-000046010000}"/>
    <cellStyle name="ac 2 5 2 7 2" xfId="42039" xr:uid="{00000000-0005-0000-0000-000046010000}"/>
    <cellStyle name="ac 2 5 2 8" xfId="18928" xr:uid="{00000000-0005-0000-0000-000046010000}"/>
    <cellStyle name="ac 2 5 2 9" xfId="37337" xr:uid="{00000000-0005-0000-0000-000046010000}"/>
    <cellStyle name="ac 2 5 3" xfId="4962" xr:uid="{00000000-0005-0000-0000-000046010000}"/>
    <cellStyle name="ac 2 5 3 2" xfId="11492" xr:uid="{00000000-0005-0000-0000-000046010000}"/>
    <cellStyle name="ac 2 5 3 2 2" xfId="30065" xr:uid="{00000000-0005-0000-0000-000046010000}"/>
    <cellStyle name="ac 2 5 3 2 3" xfId="48428" xr:uid="{00000000-0005-0000-0000-000046010000}"/>
    <cellStyle name="ac 2 5 3 3" xfId="15678" xr:uid="{00000000-0005-0000-0000-000046010000}"/>
    <cellStyle name="ac 2 5 3 3 2" xfId="34067" xr:uid="{00000000-0005-0000-0000-000046010000}"/>
    <cellStyle name="ac 2 5 3 3 3" xfId="52430" xr:uid="{00000000-0005-0000-0000-000046010000}"/>
    <cellStyle name="ac 2 5 3 4" xfId="24802" xr:uid="{00000000-0005-0000-0000-000046010000}"/>
    <cellStyle name="ac 2 5 3 4 2" xfId="43171" xr:uid="{00000000-0005-0000-0000-000046010000}"/>
    <cellStyle name="ac 2 5 3 5" xfId="21127" xr:uid="{00000000-0005-0000-0000-000046010000}"/>
    <cellStyle name="ac 2 5 3 6" xfId="39514" xr:uid="{00000000-0005-0000-0000-000046010000}"/>
    <cellStyle name="ac 2 5 4" xfId="6102" xr:uid="{00000000-0005-0000-0000-000046010000}"/>
    <cellStyle name="ac 2 5 4 2" xfId="12456" xr:uid="{00000000-0005-0000-0000-000046010000}"/>
    <cellStyle name="ac 2 5 4 2 2" xfId="30896" xr:uid="{00000000-0005-0000-0000-000046010000}"/>
    <cellStyle name="ac 2 5 4 2 3" xfId="49259" xr:uid="{00000000-0005-0000-0000-000046010000}"/>
    <cellStyle name="ac 2 5 4 3" xfId="16775" xr:uid="{00000000-0005-0000-0000-000046010000}"/>
    <cellStyle name="ac 2 5 4 3 2" xfId="35144" xr:uid="{00000000-0005-0000-0000-000046010000}"/>
    <cellStyle name="ac 2 5 4 3 3" xfId="53507" xr:uid="{00000000-0005-0000-0000-000046010000}"/>
    <cellStyle name="ac 2 5 4 4" xfId="25898" xr:uid="{00000000-0005-0000-0000-000046010000}"/>
    <cellStyle name="ac 2 5 4 4 2" xfId="44267" xr:uid="{00000000-0005-0000-0000-000046010000}"/>
    <cellStyle name="ac 2 5 4 5" xfId="22214" xr:uid="{00000000-0005-0000-0000-000046010000}"/>
    <cellStyle name="ac 2 5 4 6" xfId="40591" xr:uid="{00000000-0005-0000-0000-000046010000}"/>
    <cellStyle name="ac 2 5 5" xfId="9020" xr:uid="{00000000-0005-0000-0000-000046010000}"/>
    <cellStyle name="ac 2 5 5 2" xfId="6928" xr:uid="{00000000-0005-0000-0000-000046010000}"/>
    <cellStyle name="ac 2 5 5 2 2" xfId="26663" xr:uid="{00000000-0005-0000-0000-000046010000}"/>
    <cellStyle name="ac 2 5 5 2 3" xfId="45032" xr:uid="{00000000-0005-0000-0000-000046010000}"/>
    <cellStyle name="ac 2 5 5 3" xfId="27747" xr:uid="{00000000-0005-0000-0000-000046010000}"/>
    <cellStyle name="ac 2 5 5 3 2" xfId="46110" xr:uid="{00000000-0005-0000-0000-000046010000}"/>
    <cellStyle name="ac 2 5 5 4" xfId="17897" xr:uid="{00000000-0005-0000-0000-000046010000}"/>
    <cellStyle name="ac 2 5 5 5" xfId="36307" xr:uid="{00000000-0005-0000-0000-000046010000}"/>
    <cellStyle name="ac 2 5 6" xfId="8355" xr:uid="{00000000-0005-0000-0000-000046010000}"/>
    <cellStyle name="ac 2 5 6 2" xfId="27422" xr:uid="{00000000-0005-0000-0000-000046010000}"/>
    <cellStyle name="ac 2 5 6 3" xfId="45786" xr:uid="{00000000-0005-0000-0000-000046010000}"/>
    <cellStyle name="ac 2 5 7" xfId="11719" xr:uid="{00000000-0005-0000-0000-000046010000}"/>
    <cellStyle name="ac 2 5 7 2" xfId="30229" xr:uid="{00000000-0005-0000-0000-000046010000}"/>
    <cellStyle name="ac 2 5 7 3" xfId="48592" xr:uid="{00000000-0005-0000-0000-000046010000}"/>
    <cellStyle name="ac 2 5 8" xfId="19552" xr:uid="{00000000-0005-0000-0000-000046010000}"/>
    <cellStyle name="ac 2 5 8 2" xfId="37958" xr:uid="{00000000-0005-0000-0000-000046010000}"/>
    <cellStyle name="ac 2 5 9" xfId="8180" xr:uid="{00000000-0005-0000-0000-000046010000}"/>
    <cellStyle name="ac 2 6" xfId="2765" xr:uid="{00000000-0005-0000-0000-000047010000}"/>
    <cellStyle name="ac 2 6 10" xfId="35908" xr:uid="{00000000-0005-0000-0000-000047010000}"/>
    <cellStyle name="ac 2 6 2" xfId="3806" xr:uid="{00000000-0005-0000-0000-000047010000}"/>
    <cellStyle name="ac 2 6 2 2" xfId="5979" xr:uid="{00000000-0005-0000-0000-000047010000}"/>
    <cellStyle name="ac 2 6 2 2 2" xfId="12343" xr:uid="{00000000-0005-0000-0000-000047010000}"/>
    <cellStyle name="ac 2 6 2 2 2 2" xfId="30790" xr:uid="{00000000-0005-0000-0000-000047010000}"/>
    <cellStyle name="ac 2 6 2 2 2 3" xfId="49153" xr:uid="{00000000-0005-0000-0000-000047010000}"/>
    <cellStyle name="ac 2 6 2 2 3" xfId="16669" xr:uid="{00000000-0005-0000-0000-000047010000}"/>
    <cellStyle name="ac 2 6 2 2 3 2" xfId="35041" xr:uid="{00000000-0005-0000-0000-000047010000}"/>
    <cellStyle name="ac 2 6 2 2 3 3" xfId="53404" xr:uid="{00000000-0005-0000-0000-000047010000}"/>
    <cellStyle name="ac 2 6 2 2 4" xfId="25788" xr:uid="{00000000-0005-0000-0000-000047010000}"/>
    <cellStyle name="ac 2 6 2 2 4 2" xfId="44157" xr:uid="{00000000-0005-0000-0000-000047010000}"/>
    <cellStyle name="ac 2 6 2 2 5" xfId="22109" xr:uid="{00000000-0005-0000-0000-000047010000}"/>
    <cellStyle name="ac 2 6 2 2 6" xfId="40488" xr:uid="{00000000-0005-0000-0000-000047010000}"/>
    <cellStyle name="ac 2 6 2 3" xfId="6805" xr:uid="{00000000-0005-0000-0000-000047010000}"/>
    <cellStyle name="ac 2 6 2 3 2" xfId="13096" xr:uid="{00000000-0005-0000-0000-000047010000}"/>
    <cellStyle name="ac 2 6 2 3 2 2" xfId="31522" xr:uid="{00000000-0005-0000-0000-000047010000}"/>
    <cellStyle name="ac 2 6 2 3 2 3" xfId="49885" xr:uid="{00000000-0005-0000-0000-000047010000}"/>
    <cellStyle name="ac 2 6 2 3 3" xfId="17407" xr:uid="{00000000-0005-0000-0000-000047010000}"/>
    <cellStyle name="ac 2 6 2 3 3 2" xfId="35755" xr:uid="{00000000-0005-0000-0000-000047010000}"/>
    <cellStyle name="ac 2 6 2 3 3 3" xfId="54118" xr:uid="{00000000-0005-0000-0000-000047010000}"/>
    <cellStyle name="ac 2 6 2 3 4" xfId="26540" xr:uid="{00000000-0005-0000-0000-000047010000}"/>
    <cellStyle name="ac 2 6 2 3 4 2" xfId="44909" xr:uid="{00000000-0005-0000-0000-000047010000}"/>
    <cellStyle name="ac 2 6 2 3 5" xfId="22833" xr:uid="{00000000-0005-0000-0000-000047010000}"/>
    <cellStyle name="ac 2 6 2 3 6" xfId="41202" xr:uid="{00000000-0005-0000-0000-000047010000}"/>
    <cellStyle name="ac 2 6 2 4" xfId="10519" xr:uid="{00000000-0005-0000-0000-000047010000}"/>
    <cellStyle name="ac 2 6 2 4 2" xfId="14576" xr:uid="{00000000-0005-0000-0000-000047010000}"/>
    <cellStyle name="ac 2 6 2 4 2 2" xfId="32992" xr:uid="{00000000-0005-0000-0000-000047010000}"/>
    <cellStyle name="ac 2 6 2 4 2 3" xfId="51355" xr:uid="{00000000-0005-0000-0000-000047010000}"/>
    <cellStyle name="ac 2 6 2 4 3" xfId="29230" xr:uid="{00000000-0005-0000-0000-000047010000}"/>
    <cellStyle name="ac 2 6 2 4 3 2" xfId="47593" xr:uid="{00000000-0005-0000-0000-000047010000}"/>
    <cellStyle name="ac 2 6 2 4 4" xfId="20033" xr:uid="{00000000-0005-0000-0000-000047010000}"/>
    <cellStyle name="ac 2 6 2 4 5" xfId="38439" xr:uid="{00000000-0005-0000-0000-000047010000}"/>
    <cellStyle name="ac 2 6 2 5" xfId="9850" xr:uid="{00000000-0005-0000-0000-000047010000}"/>
    <cellStyle name="ac 2 6 2 5 2" xfId="28564" xr:uid="{00000000-0005-0000-0000-000047010000}"/>
    <cellStyle name="ac 2 6 2 5 3" xfId="46927" xr:uid="{00000000-0005-0000-0000-000047010000}"/>
    <cellStyle name="ac 2 6 2 6" xfId="13908" xr:uid="{00000000-0005-0000-0000-000047010000}"/>
    <cellStyle name="ac 2 6 2 6 2" xfId="32326" xr:uid="{00000000-0005-0000-0000-000047010000}"/>
    <cellStyle name="ac 2 6 2 6 3" xfId="50689" xr:uid="{00000000-0005-0000-0000-000047010000}"/>
    <cellStyle name="ac 2 6 2 7" xfId="23714" xr:uid="{00000000-0005-0000-0000-000047010000}"/>
    <cellStyle name="ac 2 6 2 7 2" xfId="42083" xr:uid="{00000000-0005-0000-0000-000047010000}"/>
    <cellStyle name="ac 2 6 2 8" xfId="19104" xr:uid="{00000000-0005-0000-0000-000047010000}"/>
    <cellStyle name="ac 2 6 2 9" xfId="37512" xr:uid="{00000000-0005-0000-0000-000047010000}"/>
    <cellStyle name="ac 2 6 3" xfId="5126" xr:uid="{00000000-0005-0000-0000-000047010000}"/>
    <cellStyle name="ac 2 6 3 2" xfId="11631" xr:uid="{00000000-0005-0000-0000-000047010000}"/>
    <cellStyle name="ac 2 6 3 2 2" xfId="30180" xr:uid="{00000000-0005-0000-0000-000047010000}"/>
    <cellStyle name="ac 2 6 3 2 3" xfId="48543" xr:uid="{00000000-0005-0000-0000-000047010000}"/>
    <cellStyle name="ac 2 6 3 3" xfId="15830" xr:uid="{00000000-0005-0000-0000-000047010000}"/>
    <cellStyle name="ac 2 6 3 3 2" xfId="34214" xr:uid="{00000000-0005-0000-0000-000047010000}"/>
    <cellStyle name="ac 2 6 3 3 3" xfId="52577" xr:uid="{00000000-0005-0000-0000-000047010000}"/>
    <cellStyle name="ac 2 6 3 4" xfId="24953" xr:uid="{00000000-0005-0000-0000-000047010000}"/>
    <cellStyle name="ac 2 6 3 4 2" xfId="43322" xr:uid="{00000000-0005-0000-0000-000047010000}"/>
    <cellStyle name="ac 2 6 3 5" xfId="21276" xr:uid="{00000000-0005-0000-0000-000047010000}"/>
    <cellStyle name="ac 2 6 3 6" xfId="39661" xr:uid="{00000000-0005-0000-0000-000047010000}"/>
    <cellStyle name="ac 2 6 4" xfId="6179" xr:uid="{00000000-0005-0000-0000-000047010000}"/>
    <cellStyle name="ac 2 6 4 2" xfId="12514" xr:uid="{00000000-0005-0000-0000-000047010000}"/>
    <cellStyle name="ac 2 6 4 2 2" xfId="30946" xr:uid="{00000000-0005-0000-0000-000047010000}"/>
    <cellStyle name="ac 2 6 4 2 3" xfId="49309" xr:uid="{00000000-0005-0000-0000-000047010000}"/>
    <cellStyle name="ac 2 6 4 3" xfId="16829" xr:uid="{00000000-0005-0000-0000-000047010000}"/>
    <cellStyle name="ac 2 6 4 3 2" xfId="35189" xr:uid="{00000000-0005-0000-0000-000047010000}"/>
    <cellStyle name="ac 2 6 4 3 3" xfId="53552" xr:uid="{00000000-0005-0000-0000-000047010000}"/>
    <cellStyle name="ac 2 6 4 4" xfId="25956" xr:uid="{00000000-0005-0000-0000-000047010000}"/>
    <cellStyle name="ac 2 6 4 4 2" xfId="44325" xr:uid="{00000000-0005-0000-0000-000047010000}"/>
    <cellStyle name="ac 2 6 4 5" xfId="22263" xr:uid="{00000000-0005-0000-0000-000047010000}"/>
    <cellStyle name="ac 2 6 4 6" xfId="40636" xr:uid="{00000000-0005-0000-0000-000047010000}"/>
    <cellStyle name="ac 2 6 5" xfId="10011" xr:uid="{00000000-0005-0000-0000-000047010000}"/>
    <cellStyle name="ac 2 6 5 2" xfId="14068" xr:uid="{00000000-0005-0000-0000-000047010000}"/>
    <cellStyle name="ac 2 6 5 2 2" xfId="32485" xr:uid="{00000000-0005-0000-0000-000047010000}"/>
    <cellStyle name="ac 2 6 5 2 3" xfId="50848" xr:uid="{00000000-0005-0000-0000-000047010000}"/>
    <cellStyle name="ac 2 6 5 3" xfId="28723" xr:uid="{00000000-0005-0000-0000-000047010000}"/>
    <cellStyle name="ac 2 6 5 3 2" xfId="47086" xr:uid="{00000000-0005-0000-0000-000047010000}"/>
    <cellStyle name="ac 2 6 5 4" xfId="19389" xr:uid="{00000000-0005-0000-0000-000047010000}"/>
    <cellStyle name="ac 2 6 5 5" xfId="37796" xr:uid="{00000000-0005-0000-0000-000047010000}"/>
    <cellStyle name="ac 2 6 6" xfId="8635" xr:uid="{00000000-0005-0000-0000-000047010000}"/>
    <cellStyle name="ac 2 6 6 2" xfId="27545" xr:uid="{00000000-0005-0000-0000-000047010000}"/>
    <cellStyle name="ac 2 6 6 3" xfId="45909" xr:uid="{00000000-0005-0000-0000-000047010000}"/>
    <cellStyle name="ac 2 6 7" xfId="8708" xr:uid="{00000000-0005-0000-0000-000047010000}"/>
    <cellStyle name="ac 2 6 7 2" xfId="27597" xr:uid="{00000000-0005-0000-0000-000047010000}"/>
    <cellStyle name="ac 2 6 7 3" xfId="45960" xr:uid="{00000000-0005-0000-0000-000047010000}"/>
    <cellStyle name="ac 2 6 8" xfId="18137" xr:uid="{00000000-0005-0000-0000-000047010000}"/>
    <cellStyle name="ac 2 6 8 2" xfId="36544" xr:uid="{00000000-0005-0000-0000-000047010000}"/>
    <cellStyle name="ac 2 6 9" xfId="11368" xr:uid="{00000000-0005-0000-0000-000047010000}"/>
    <cellStyle name="ac 2 7" xfId="3339" xr:uid="{00000000-0005-0000-0000-000039010000}"/>
    <cellStyle name="ac 2 7 2" xfId="5514" xr:uid="{00000000-0005-0000-0000-000039010000}"/>
    <cellStyle name="ac 2 7 2 2" xfId="11878" xr:uid="{00000000-0005-0000-0000-000039010000}"/>
    <cellStyle name="ac 2 7 2 2 2" xfId="30325" xr:uid="{00000000-0005-0000-0000-000039010000}"/>
    <cellStyle name="ac 2 7 2 2 3" xfId="48688" xr:uid="{00000000-0005-0000-0000-000039010000}"/>
    <cellStyle name="ac 2 7 2 3" xfId="16204" xr:uid="{00000000-0005-0000-0000-000039010000}"/>
    <cellStyle name="ac 2 7 2 3 2" xfId="34576" xr:uid="{00000000-0005-0000-0000-000039010000}"/>
    <cellStyle name="ac 2 7 2 3 3" xfId="52939" xr:uid="{00000000-0005-0000-0000-000039010000}"/>
    <cellStyle name="ac 2 7 2 4" xfId="25323" xr:uid="{00000000-0005-0000-0000-000039010000}"/>
    <cellStyle name="ac 2 7 2 4 2" xfId="43692" xr:uid="{00000000-0005-0000-0000-000039010000}"/>
    <cellStyle name="ac 2 7 2 5" xfId="21644" xr:uid="{00000000-0005-0000-0000-000039010000}"/>
    <cellStyle name="ac 2 7 2 6" xfId="40023" xr:uid="{00000000-0005-0000-0000-000039010000}"/>
    <cellStyle name="ac 2 7 3" xfId="6338" xr:uid="{00000000-0005-0000-0000-000039010000}"/>
    <cellStyle name="ac 2 7 3 2" xfId="12629" xr:uid="{00000000-0005-0000-0000-000039010000}"/>
    <cellStyle name="ac 2 7 3 2 2" xfId="31055" xr:uid="{00000000-0005-0000-0000-000039010000}"/>
    <cellStyle name="ac 2 7 3 2 3" xfId="49418" xr:uid="{00000000-0005-0000-0000-000039010000}"/>
    <cellStyle name="ac 2 7 3 3" xfId="16940" xr:uid="{00000000-0005-0000-0000-000039010000}"/>
    <cellStyle name="ac 2 7 3 3 2" xfId="35288" xr:uid="{00000000-0005-0000-0000-000039010000}"/>
    <cellStyle name="ac 2 7 3 3 3" xfId="53651" xr:uid="{00000000-0005-0000-0000-000039010000}"/>
    <cellStyle name="ac 2 7 3 4" xfId="26073" xr:uid="{00000000-0005-0000-0000-000039010000}"/>
    <cellStyle name="ac 2 7 3 4 2" xfId="44442" xr:uid="{00000000-0005-0000-0000-000039010000}"/>
    <cellStyle name="ac 2 7 3 5" xfId="22366" xr:uid="{00000000-0005-0000-0000-000039010000}"/>
    <cellStyle name="ac 2 7 3 6" xfId="40735" xr:uid="{00000000-0005-0000-0000-000039010000}"/>
    <cellStyle name="ac 2 7 4" xfId="10052" xr:uid="{00000000-0005-0000-0000-000039010000}"/>
    <cellStyle name="ac 2 7 4 2" xfId="14109" xr:uid="{00000000-0005-0000-0000-000039010000}"/>
    <cellStyle name="ac 2 7 4 2 2" xfId="32525" xr:uid="{00000000-0005-0000-0000-000039010000}"/>
    <cellStyle name="ac 2 7 4 2 3" xfId="50888" xr:uid="{00000000-0005-0000-0000-000039010000}"/>
    <cellStyle name="ac 2 7 4 3" xfId="28763" xr:uid="{00000000-0005-0000-0000-000039010000}"/>
    <cellStyle name="ac 2 7 4 3 2" xfId="47126" xr:uid="{00000000-0005-0000-0000-000039010000}"/>
    <cellStyle name="ac 2 7 4 4" xfId="19566" xr:uid="{00000000-0005-0000-0000-000039010000}"/>
    <cellStyle name="ac 2 7 4 5" xfId="37972" xr:uid="{00000000-0005-0000-0000-000039010000}"/>
    <cellStyle name="ac 2 7 5" xfId="9177" xr:uid="{00000000-0005-0000-0000-000039010000}"/>
    <cellStyle name="ac 2 7 5 2" xfId="27898" xr:uid="{00000000-0005-0000-0000-000039010000}"/>
    <cellStyle name="ac 2 7 5 3" xfId="46261" xr:uid="{00000000-0005-0000-0000-000039010000}"/>
    <cellStyle name="ac 2 7 6" xfId="13235" xr:uid="{00000000-0005-0000-0000-000039010000}"/>
    <cellStyle name="ac 2 7 6 2" xfId="31656" xr:uid="{00000000-0005-0000-0000-000039010000}"/>
    <cellStyle name="ac 2 7 6 3" xfId="50019" xr:uid="{00000000-0005-0000-0000-000039010000}"/>
    <cellStyle name="ac 2 7 7" xfId="23247" xr:uid="{00000000-0005-0000-0000-000039010000}"/>
    <cellStyle name="ac 2 7 7 2" xfId="41616" xr:uid="{00000000-0005-0000-0000-000039010000}"/>
    <cellStyle name="ac 2 7 8" xfId="18192" xr:uid="{00000000-0005-0000-0000-000039010000}"/>
    <cellStyle name="ac 2 7 9" xfId="36598" xr:uid="{00000000-0005-0000-0000-000039010000}"/>
    <cellStyle name="ac 2 8" xfId="4171" xr:uid="{00000000-0005-0000-0000-000039010000}"/>
    <cellStyle name="ac 2 8 2" xfId="10823" xr:uid="{00000000-0005-0000-0000-000039010000}"/>
    <cellStyle name="ac 2 8 2 2" xfId="29495" xr:uid="{00000000-0005-0000-0000-000039010000}"/>
    <cellStyle name="ac 2 8 2 3" xfId="47858" xr:uid="{00000000-0005-0000-0000-000039010000}"/>
    <cellStyle name="ac 2 8 3" xfId="14917" xr:uid="{00000000-0005-0000-0000-000039010000}"/>
    <cellStyle name="ac 2 8 3 2" xfId="33321" xr:uid="{00000000-0005-0000-0000-000039010000}"/>
    <cellStyle name="ac 2 8 3 3" xfId="51684" xr:uid="{00000000-0005-0000-0000-000039010000}"/>
    <cellStyle name="ac 2 8 4" xfId="24050" xr:uid="{00000000-0005-0000-0000-000039010000}"/>
    <cellStyle name="ac 2 8 4 2" xfId="42419" xr:uid="{00000000-0005-0000-0000-000039010000}"/>
    <cellStyle name="ac 2 8 5" xfId="20370" xr:uid="{00000000-0005-0000-0000-000039010000}"/>
    <cellStyle name="ac 2 8 6" xfId="38768" xr:uid="{00000000-0005-0000-0000-000039010000}"/>
    <cellStyle name="ac 2 9" xfId="4215" xr:uid="{00000000-0005-0000-0000-000039010000}"/>
    <cellStyle name="ac 2 9 2" xfId="10861" xr:uid="{00000000-0005-0000-0000-000039010000}"/>
    <cellStyle name="ac 2 9 2 2" xfId="29532" xr:uid="{00000000-0005-0000-0000-000039010000}"/>
    <cellStyle name="ac 2 9 2 3" xfId="47895" xr:uid="{00000000-0005-0000-0000-000039010000}"/>
    <cellStyle name="ac 2 9 3" xfId="14960" xr:uid="{00000000-0005-0000-0000-000039010000}"/>
    <cellStyle name="ac 2 9 3 2" xfId="33364" xr:uid="{00000000-0005-0000-0000-000039010000}"/>
    <cellStyle name="ac 2 9 3 3" xfId="51727" xr:uid="{00000000-0005-0000-0000-000039010000}"/>
    <cellStyle name="ac 2 9 4" xfId="24093" xr:uid="{00000000-0005-0000-0000-000039010000}"/>
    <cellStyle name="ac 2 9 4 2" xfId="42462" xr:uid="{00000000-0005-0000-0000-000039010000}"/>
    <cellStyle name="ac 2 9 5" xfId="20413" xr:uid="{00000000-0005-0000-0000-000039010000}"/>
    <cellStyle name="ac 2 9 6" xfId="38811" xr:uid="{00000000-0005-0000-0000-000039010000}"/>
    <cellStyle name="ac 3" xfId="1875" xr:uid="{00000000-0005-0000-0000-000048010000}"/>
    <cellStyle name="ac 3 10" xfId="15787" xr:uid="{00000000-0005-0000-0000-000048010000}"/>
    <cellStyle name="ac 3 2" xfId="3715" xr:uid="{00000000-0005-0000-0000-000048010000}"/>
    <cellStyle name="ac 3 2 2" xfId="5888" xr:uid="{00000000-0005-0000-0000-000048010000}"/>
    <cellStyle name="ac 3 2 2 2" xfId="12252" xr:uid="{00000000-0005-0000-0000-000048010000}"/>
    <cellStyle name="ac 3 2 2 2 2" xfId="30699" xr:uid="{00000000-0005-0000-0000-000048010000}"/>
    <cellStyle name="ac 3 2 2 2 3" xfId="49062" xr:uid="{00000000-0005-0000-0000-000048010000}"/>
    <cellStyle name="ac 3 2 2 3" xfId="16578" xr:uid="{00000000-0005-0000-0000-000048010000}"/>
    <cellStyle name="ac 3 2 2 3 2" xfId="34950" xr:uid="{00000000-0005-0000-0000-000048010000}"/>
    <cellStyle name="ac 3 2 2 3 3" xfId="53313" xr:uid="{00000000-0005-0000-0000-000048010000}"/>
    <cellStyle name="ac 3 2 2 4" xfId="25697" xr:uid="{00000000-0005-0000-0000-000048010000}"/>
    <cellStyle name="ac 3 2 2 4 2" xfId="44066" xr:uid="{00000000-0005-0000-0000-000048010000}"/>
    <cellStyle name="ac 3 2 2 5" xfId="22018" xr:uid="{00000000-0005-0000-0000-000048010000}"/>
    <cellStyle name="ac 3 2 2 6" xfId="40397" xr:uid="{00000000-0005-0000-0000-000048010000}"/>
    <cellStyle name="ac 3 2 3" xfId="6714" xr:uid="{00000000-0005-0000-0000-000048010000}"/>
    <cellStyle name="ac 3 2 3 2" xfId="13005" xr:uid="{00000000-0005-0000-0000-000048010000}"/>
    <cellStyle name="ac 3 2 3 2 2" xfId="31431" xr:uid="{00000000-0005-0000-0000-000048010000}"/>
    <cellStyle name="ac 3 2 3 2 3" xfId="49794" xr:uid="{00000000-0005-0000-0000-000048010000}"/>
    <cellStyle name="ac 3 2 3 3" xfId="17316" xr:uid="{00000000-0005-0000-0000-000048010000}"/>
    <cellStyle name="ac 3 2 3 3 2" xfId="35664" xr:uid="{00000000-0005-0000-0000-000048010000}"/>
    <cellStyle name="ac 3 2 3 3 3" xfId="54027" xr:uid="{00000000-0005-0000-0000-000048010000}"/>
    <cellStyle name="ac 3 2 3 4" xfId="26449" xr:uid="{00000000-0005-0000-0000-000048010000}"/>
    <cellStyle name="ac 3 2 3 4 2" xfId="44818" xr:uid="{00000000-0005-0000-0000-000048010000}"/>
    <cellStyle name="ac 3 2 3 5" xfId="22742" xr:uid="{00000000-0005-0000-0000-000048010000}"/>
    <cellStyle name="ac 3 2 3 6" xfId="41111" xr:uid="{00000000-0005-0000-0000-000048010000}"/>
    <cellStyle name="ac 3 2 4" xfId="10428" xr:uid="{00000000-0005-0000-0000-000048010000}"/>
    <cellStyle name="ac 3 2 4 2" xfId="14485" xr:uid="{00000000-0005-0000-0000-000048010000}"/>
    <cellStyle name="ac 3 2 4 2 2" xfId="32901" xr:uid="{00000000-0005-0000-0000-000048010000}"/>
    <cellStyle name="ac 3 2 4 2 3" xfId="51264" xr:uid="{00000000-0005-0000-0000-000048010000}"/>
    <cellStyle name="ac 3 2 4 3" xfId="29139" xr:uid="{00000000-0005-0000-0000-000048010000}"/>
    <cellStyle name="ac 3 2 4 3 2" xfId="47502" xr:uid="{00000000-0005-0000-0000-000048010000}"/>
    <cellStyle name="ac 3 2 4 4" xfId="19942" xr:uid="{00000000-0005-0000-0000-000048010000}"/>
    <cellStyle name="ac 3 2 4 5" xfId="38348" xr:uid="{00000000-0005-0000-0000-000048010000}"/>
    <cellStyle name="ac 3 2 5" xfId="9644" xr:uid="{00000000-0005-0000-0000-000048010000}"/>
    <cellStyle name="ac 3 2 5 2" xfId="28360" xr:uid="{00000000-0005-0000-0000-000048010000}"/>
    <cellStyle name="ac 3 2 5 3" xfId="46723" xr:uid="{00000000-0005-0000-0000-000048010000}"/>
    <cellStyle name="ac 3 2 6" xfId="13701" xr:uid="{00000000-0005-0000-0000-000048010000}"/>
    <cellStyle name="ac 3 2 6 2" xfId="32122" xr:uid="{00000000-0005-0000-0000-000048010000}"/>
    <cellStyle name="ac 3 2 6 3" xfId="50485" xr:uid="{00000000-0005-0000-0000-000048010000}"/>
    <cellStyle name="ac 3 2 7" xfId="23623" xr:uid="{00000000-0005-0000-0000-000048010000}"/>
    <cellStyle name="ac 3 2 7 2" xfId="41992" xr:uid="{00000000-0005-0000-0000-000048010000}"/>
    <cellStyle name="ac 3 2 8" xfId="18761" xr:uid="{00000000-0005-0000-0000-000048010000}"/>
    <cellStyle name="ac 3 2 9" xfId="37170" xr:uid="{00000000-0005-0000-0000-000048010000}"/>
    <cellStyle name="ac 3 3" xfId="4799" xr:uid="{00000000-0005-0000-0000-000048010000}"/>
    <cellStyle name="ac 3 3 2" xfId="11362" xr:uid="{00000000-0005-0000-0000-000048010000}"/>
    <cellStyle name="ac 3 3 2 2" xfId="29956" xr:uid="{00000000-0005-0000-0000-000048010000}"/>
    <cellStyle name="ac 3 3 2 3" xfId="48319" xr:uid="{00000000-0005-0000-0000-000048010000}"/>
    <cellStyle name="ac 3 3 3" xfId="15525" xr:uid="{00000000-0005-0000-0000-000048010000}"/>
    <cellStyle name="ac 3 3 3 2" xfId="33918" xr:uid="{00000000-0005-0000-0000-000048010000}"/>
    <cellStyle name="ac 3 3 3 3" xfId="52281" xr:uid="{00000000-0005-0000-0000-000048010000}"/>
    <cellStyle name="ac 3 3 4" xfId="24649" xr:uid="{00000000-0005-0000-0000-000048010000}"/>
    <cellStyle name="ac 3 3 4 2" xfId="43018" xr:uid="{00000000-0005-0000-0000-000048010000}"/>
    <cellStyle name="ac 3 3 5" xfId="20976" xr:uid="{00000000-0005-0000-0000-000048010000}"/>
    <cellStyle name="ac 3 3 6" xfId="39365" xr:uid="{00000000-0005-0000-0000-000048010000}"/>
    <cellStyle name="ac 3 4" xfId="3923" xr:uid="{00000000-0005-0000-0000-000048010000}"/>
    <cellStyle name="ac 3 4 2" xfId="10631" xr:uid="{00000000-0005-0000-0000-000048010000}"/>
    <cellStyle name="ac 3 4 2 2" xfId="29341" xr:uid="{00000000-0005-0000-0000-000048010000}"/>
    <cellStyle name="ac 3 4 2 3" xfId="47704" xr:uid="{00000000-0005-0000-0000-000048010000}"/>
    <cellStyle name="ac 3 4 3" xfId="14688" xr:uid="{00000000-0005-0000-0000-000048010000}"/>
    <cellStyle name="ac 3 4 3 2" xfId="33101" xr:uid="{00000000-0005-0000-0000-000048010000}"/>
    <cellStyle name="ac 3 4 3 3" xfId="51464" xr:uid="{00000000-0005-0000-0000-000048010000}"/>
    <cellStyle name="ac 3 4 4" xfId="23825" xr:uid="{00000000-0005-0000-0000-000048010000}"/>
    <cellStyle name="ac 3 4 4 2" xfId="42194" xr:uid="{00000000-0005-0000-0000-000048010000}"/>
    <cellStyle name="ac 3 4 5" xfId="20143" xr:uid="{00000000-0005-0000-0000-000048010000}"/>
    <cellStyle name="ac 3 4 6" xfId="38548" xr:uid="{00000000-0005-0000-0000-000048010000}"/>
    <cellStyle name="ac 3 5" xfId="9776" xr:uid="{00000000-0005-0000-0000-000048010000}"/>
    <cellStyle name="ac 3 5 2" xfId="13833" xr:uid="{00000000-0005-0000-0000-000048010000}"/>
    <cellStyle name="ac 3 5 2 2" xfId="32253" xr:uid="{00000000-0005-0000-0000-000048010000}"/>
    <cellStyle name="ac 3 5 2 3" xfId="50616" xr:uid="{00000000-0005-0000-0000-000048010000}"/>
    <cellStyle name="ac 3 5 3" xfId="28491" xr:uid="{00000000-0005-0000-0000-000048010000}"/>
    <cellStyle name="ac 3 5 3 2" xfId="46854" xr:uid="{00000000-0005-0000-0000-000048010000}"/>
    <cellStyle name="ac 3 5 4" xfId="18959" xr:uid="{00000000-0005-0000-0000-000048010000}"/>
    <cellStyle name="ac 3 5 5" xfId="37368" xr:uid="{00000000-0005-0000-0000-000048010000}"/>
    <cellStyle name="ac 3 6" xfId="8081" xr:uid="{00000000-0005-0000-0000-000048010000}"/>
    <cellStyle name="ac 3 6 2" xfId="27290" xr:uid="{00000000-0005-0000-0000-000048010000}"/>
    <cellStyle name="ac 3 6 3" xfId="45655" xr:uid="{00000000-0005-0000-0000-000048010000}"/>
    <cellStyle name="ac 3 7" xfId="7610" xr:uid="{00000000-0005-0000-0000-000048010000}"/>
    <cellStyle name="ac 3 7 2" xfId="26906" xr:uid="{00000000-0005-0000-0000-000048010000}"/>
    <cellStyle name="ac 3 7 3" xfId="45271" xr:uid="{00000000-0005-0000-0000-000048010000}"/>
    <cellStyle name="ac 3 8" xfId="17912" xr:uid="{00000000-0005-0000-0000-000048010000}"/>
    <cellStyle name="ac 3 8 2" xfId="36320" xr:uid="{00000000-0005-0000-0000-000048010000}"/>
    <cellStyle name="ac 3 9" xfId="8199" xr:uid="{00000000-0005-0000-0000-000048010000}"/>
    <cellStyle name="ac 4" xfId="1986" xr:uid="{00000000-0005-0000-0000-000049010000}"/>
    <cellStyle name="ac 4 10" xfId="10798" xr:uid="{00000000-0005-0000-0000-000049010000}"/>
    <cellStyle name="ac 4 2" xfId="3746" xr:uid="{00000000-0005-0000-0000-000049010000}"/>
    <cellStyle name="ac 4 2 2" xfId="5919" xr:uid="{00000000-0005-0000-0000-000049010000}"/>
    <cellStyle name="ac 4 2 2 2" xfId="12283" xr:uid="{00000000-0005-0000-0000-000049010000}"/>
    <cellStyle name="ac 4 2 2 2 2" xfId="30730" xr:uid="{00000000-0005-0000-0000-000049010000}"/>
    <cellStyle name="ac 4 2 2 2 3" xfId="49093" xr:uid="{00000000-0005-0000-0000-000049010000}"/>
    <cellStyle name="ac 4 2 2 3" xfId="16609" xr:uid="{00000000-0005-0000-0000-000049010000}"/>
    <cellStyle name="ac 4 2 2 3 2" xfId="34981" xr:uid="{00000000-0005-0000-0000-000049010000}"/>
    <cellStyle name="ac 4 2 2 3 3" xfId="53344" xr:uid="{00000000-0005-0000-0000-000049010000}"/>
    <cellStyle name="ac 4 2 2 4" xfId="25728" xr:uid="{00000000-0005-0000-0000-000049010000}"/>
    <cellStyle name="ac 4 2 2 4 2" xfId="44097" xr:uid="{00000000-0005-0000-0000-000049010000}"/>
    <cellStyle name="ac 4 2 2 5" xfId="22049" xr:uid="{00000000-0005-0000-0000-000049010000}"/>
    <cellStyle name="ac 4 2 2 6" xfId="40428" xr:uid="{00000000-0005-0000-0000-000049010000}"/>
    <cellStyle name="ac 4 2 3" xfId="6745" xr:uid="{00000000-0005-0000-0000-000049010000}"/>
    <cellStyle name="ac 4 2 3 2" xfId="13036" xr:uid="{00000000-0005-0000-0000-000049010000}"/>
    <cellStyle name="ac 4 2 3 2 2" xfId="31462" xr:uid="{00000000-0005-0000-0000-000049010000}"/>
    <cellStyle name="ac 4 2 3 2 3" xfId="49825" xr:uid="{00000000-0005-0000-0000-000049010000}"/>
    <cellStyle name="ac 4 2 3 3" xfId="17347" xr:uid="{00000000-0005-0000-0000-000049010000}"/>
    <cellStyle name="ac 4 2 3 3 2" xfId="35695" xr:uid="{00000000-0005-0000-0000-000049010000}"/>
    <cellStyle name="ac 4 2 3 3 3" xfId="54058" xr:uid="{00000000-0005-0000-0000-000049010000}"/>
    <cellStyle name="ac 4 2 3 4" xfId="26480" xr:uid="{00000000-0005-0000-0000-000049010000}"/>
    <cellStyle name="ac 4 2 3 4 2" xfId="44849" xr:uid="{00000000-0005-0000-0000-000049010000}"/>
    <cellStyle name="ac 4 2 3 5" xfId="22773" xr:uid="{00000000-0005-0000-0000-000049010000}"/>
    <cellStyle name="ac 4 2 3 6" xfId="41142" xr:uid="{00000000-0005-0000-0000-000049010000}"/>
    <cellStyle name="ac 4 2 4" xfId="10459" xr:uid="{00000000-0005-0000-0000-000049010000}"/>
    <cellStyle name="ac 4 2 4 2" xfId="14516" xr:uid="{00000000-0005-0000-0000-000049010000}"/>
    <cellStyle name="ac 4 2 4 2 2" xfId="32932" xr:uid="{00000000-0005-0000-0000-000049010000}"/>
    <cellStyle name="ac 4 2 4 2 3" xfId="51295" xr:uid="{00000000-0005-0000-0000-000049010000}"/>
    <cellStyle name="ac 4 2 4 3" xfId="29170" xr:uid="{00000000-0005-0000-0000-000049010000}"/>
    <cellStyle name="ac 4 2 4 3 2" xfId="47533" xr:uid="{00000000-0005-0000-0000-000049010000}"/>
    <cellStyle name="ac 4 2 4 4" xfId="19973" xr:uid="{00000000-0005-0000-0000-000049010000}"/>
    <cellStyle name="ac 4 2 4 5" xfId="38379" xr:uid="{00000000-0005-0000-0000-000049010000}"/>
    <cellStyle name="ac 4 2 5" xfId="9677" xr:uid="{00000000-0005-0000-0000-000049010000}"/>
    <cellStyle name="ac 4 2 5 2" xfId="28393" xr:uid="{00000000-0005-0000-0000-000049010000}"/>
    <cellStyle name="ac 4 2 5 3" xfId="46756" xr:uid="{00000000-0005-0000-0000-000049010000}"/>
    <cellStyle name="ac 4 2 6" xfId="13734" xr:uid="{00000000-0005-0000-0000-000049010000}"/>
    <cellStyle name="ac 4 2 6 2" xfId="32155" xr:uid="{00000000-0005-0000-0000-000049010000}"/>
    <cellStyle name="ac 4 2 6 3" xfId="50518" xr:uid="{00000000-0005-0000-0000-000049010000}"/>
    <cellStyle name="ac 4 2 7" xfId="23654" xr:uid="{00000000-0005-0000-0000-000049010000}"/>
    <cellStyle name="ac 4 2 7 2" xfId="42023" xr:uid="{00000000-0005-0000-0000-000049010000}"/>
    <cellStyle name="ac 4 2 8" xfId="18817" xr:uid="{00000000-0005-0000-0000-000049010000}"/>
    <cellStyle name="ac 4 2 9" xfId="37226" xr:uid="{00000000-0005-0000-0000-000049010000}"/>
    <cellStyle name="ac 4 3" xfId="4844" xr:uid="{00000000-0005-0000-0000-000049010000}"/>
    <cellStyle name="ac 4 3 2" xfId="11405" xr:uid="{00000000-0005-0000-0000-000049010000}"/>
    <cellStyle name="ac 4 3 2 2" xfId="29996" xr:uid="{00000000-0005-0000-0000-000049010000}"/>
    <cellStyle name="ac 4 3 2 3" xfId="48359" xr:uid="{00000000-0005-0000-0000-000049010000}"/>
    <cellStyle name="ac 4 3 3" xfId="15570" xr:uid="{00000000-0005-0000-0000-000049010000}"/>
    <cellStyle name="ac 4 3 3 2" xfId="33962" xr:uid="{00000000-0005-0000-0000-000049010000}"/>
    <cellStyle name="ac 4 3 3 3" xfId="52325" xr:uid="{00000000-0005-0000-0000-000049010000}"/>
    <cellStyle name="ac 4 3 4" xfId="24693" xr:uid="{00000000-0005-0000-0000-000049010000}"/>
    <cellStyle name="ac 4 3 4 2" xfId="43062" xr:uid="{00000000-0005-0000-0000-000049010000}"/>
    <cellStyle name="ac 4 3 5" xfId="21020" xr:uid="{00000000-0005-0000-0000-000049010000}"/>
    <cellStyle name="ac 4 3 6" xfId="39409" xr:uid="{00000000-0005-0000-0000-000049010000}"/>
    <cellStyle name="ac 4 4" xfId="5001" xr:uid="{00000000-0005-0000-0000-000049010000}"/>
    <cellStyle name="ac 4 4 2" xfId="11527" xr:uid="{00000000-0005-0000-0000-000049010000}"/>
    <cellStyle name="ac 4 4 2 2" xfId="30100" xr:uid="{00000000-0005-0000-0000-000049010000}"/>
    <cellStyle name="ac 4 4 2 3" xfId="48463" xr:uid="{00000000-0005-0000-0000-000049010000}"/>
    <cellStyle name="ac 4 4 3" xfId="15716" xr:uid="{00000000-0005-0000-0000-000049010000}"/>
    <cellStyle name="ac 4 4 3 2" xfId="34104" xr:uid="{00000000-0005-0000-0000-000049010000}"/>
    <cellStyle name="ac 4 4 3 3" xfId="52467" xr:uid="{00000000-0005-0000-0000-000049010000}"/>
    <cellStyle name="ac 4 4 4" xfId="24840" xr:uid="{00000000-0005-0000-0000-000049010000}"/>
    <cellStyle name="ac 4 4 4 2" xfId="43209" xr:uid="{00000000-0005-0000-0000-000049010000}"/>
    <cellStyle name="ac 4 4 5" xfId="21164" xr:uid="{00000000-0005-0000-0000-000049010000}"/>
    <cellStyle name="ac 4 4 6" xfId="39551" xr:uid="{00000000-0005-0000-0000-000049010000}"/>
    <cellStyle name="ac 4 5" xfId="9026" xr:uid="{00000000-0005-0000-0000-000049010000}"/>
    <cellStyle name="ac 4 5 2" xfId="6923" xr:uid="{00000000-0005-0000-0000-000049010000}"/>
    <cellStyle name="ac 4 5 2 2" xfId="26658" xr:uid="{00000000-0005-0000-0000-000049010000}"/>
    <cellStyle name="ac 4 5 2 3" xfId="45027" xr:uid="{00000000-0005-0000-0000-000049010000}"/>
    <cellStyle name="ac 4 5 3" xfId="27752" xr:uid="{00000000-0005-0000-0000-000049010000}"/>
    <cellStyle name="ac 4 5 3 2" xfId="46115" xr:uid="{00000000-0005-0000-0000-000049010000}"/>
    <cellStyle name="ac 4 5 4" xfId="17917" xr:uid="{00000000-0005-0000-0000-000049010000}"/>
    <cellStyle name="ac 4 5 5" xfId="36325" xr:uid="{00000000-0005-0000-0000-000049010000}"/>
    <cellStyle name="ac 4 6" xfId="8166" xr:uid="{00000000-0005-0000-0000-000049010000}"/>
    <cellStyle name="ac 4 6 2" xfId="27360" xr:uid="{00000000-0005-0000-0000-000049010000}"/>
    <cellStyle name="ac 4 6 3" xfId="45725" xr:uid="{00000000-0005-0000-0000-000049010000}"/>
    <cellStyle name="ac 4 7" xfId="7158" xr:uid="{00000000-0005-0000-0000-000049010000}"/>
    <cellStyle name="ac 4 7 2" xfId="26732" xr:uid="{00000000-0005-0000-0000-000049010000}"/>
    <cellStyle name="ac 4 7 3" xfId="45100" xr:uid="{00000000-0005-0000-0000-000049010000}"/>
    <cellStyle name="ac 4 8" xfId="18256" xr:uid="{00000000-0005-0000-0000-000049010000}"/>
    <cellStyle name="ac 4 8 2" xfId="36662" xr:uid="{00000000-0005-0000-0000-000049010000}"/>
    <cellStyle name="ac 4 9" xfId="8589" xr:uid="{00000000-0005-0000-0000-000049010000}"/>
    <cellStyle name="ac 5" xfId="2439" xr:uid="{00000000-0005-0000-0000-00004A010000}"/>
    <cellStyle name="ac 5 10" xfId="35852" xr:uid="{00000000-0005-0000-0000-00004A010000}"/>
    <cellStyle name="ac 5 2" xfId="3791" xr:uid="{00000000-0005-0000-0000-00004A010000}"/>
    <cellStyle name="ac 5 2 2" xfId="5964" xr:uid="{00000000-0005-0000-0000-00004A010000}"/>
    <cellStyle name="ac 5 2 2 2" xfId="12328" xr:uid="{00000000-0005-0000-0000-00004A010000}"/>
    <cellStyle name="ac 5 2 2 2 2" xfId="30775" xr:uid="{00000000-0005-0000-0000-00004A010000}"/>
    <cellStyle name="ac 5 2 2 2 3" xfId="49138" xr:uid="{00000000-0005-0000-0000-00004A010000}"/>
    <cellStyle name="ac 5 2 2 3" xfId="16654" xr:uid="{00000000-0005-0000-0000-00004A010000}"/>
    <cellStyle name="ac 5 2 2 3 2" xfId="35026" xr:uid="{00000000-0005-0000-0000-00004A010000}"/>
    <cellStyle name="ac 5 2 2 3 3" xfId="53389" xr:uid="{00000000-0005-0000-0000-00004A010000}"/>
    <cellStyle name="ac 5 2 2 4" xfId="25773" xr:uid="{00000000-0005-0000-0000-00004A010000}"/>
    <cellStyle name="ac 5 2 2 4 2" xfId="44142" xr:uid="{00000000-0005-0000-0000-00004A010000}"/>
    <cellStyle name="ac 5 2 2 5" xfId="22094" xr:uid="{00000000-0005-0000-0000-00004A010000}"/>
    <cellStyle name="ac 5 2 2 6" xfId="40473" xr:uid="{00000000-0005-0000-0000-00004A010000}"/>
    <cellStyle name="ac 5 2 3" xfId="6790" xr:uid="{00000000-0005-0000-0000-00004A010000}"/>
    <cellStyle name="ac 5 2 3 2" xfId="13081" xr:uid="{00000000-0005-0000-0000-00004A010000}"/>
    <cellStyle name="ac 5 2 3 2 2" xfId="31507" xr:uid="{00000000-0005-0000-0000-00004A010000}"/>
    <cellStyle name="ac 5 2 3 2 3" xfId="49870" xr:uid="{00000000-0005-0000-0000-00004A010000}"/>
    <cellStyle name="ac 5 2 3 3" xfId="17392" xr:uid="{00000000-0005-0000-0000-00004A010000}"/>
    <cellStyle name="ac 5 2 3 3 2" xfId="35740" xr:uid="{00000000-0005-0000-0000-00004A010000}"/>
    <cellStyle name="ac 5 2 3 3 3" xfId="54103" xr:uid="{00000000-0005-0000-0000-00004A010000}"/>
    <cellStyle name="ac 5 2 3 4" xfId="26525" xr:uid="{00000000-0005-0000-0000-00004A010000}"/>
    <cellStyle name="ac 5 2 3 4 2" xfId="44894" xr:uid="{00000000-0005-0000-0000-00004A010000}"/>
    <cellStyle name="ac 5 2 3 5" xfId="22818" xr:uid="{00000000-0005-0000-0000-00004A010000}"/>
    <cellStyle name="ac 5 2 3 6" xfId="41187" xr:uid="{00000000-0005-0000-0000-00004A010000}"/>
    <cellStyle name="ac 5 2 4" xfId="10504" xr:uid="{00000000-0005-0000-0000-00004A010000}"/>
    <cellStyle name="ac 5 2 4 2" xfId="14561" xr:uid="{00000000-0005-0000-0000-00004A010000}"/>
    <cellStyle name="ac 5 2 4 2 2" xfId="32977" xr:uid="{00000000-0005-0000-0000-00004A010000}"/>
    <cellStyle name="ac 5 2 4 2 3" xfId="51340" xr:uid="{00000000-0005-0000-0000-00004A010000}"/>
    <cellStyle name="ac 5 2 4 3" xfId="29215" xr:uid="{00000000-0005-0000-0000-00004A010000}"/>
    <cellStyle name="ac 5 2 4 3 2" xfId="47578" xr:uid="{00000000-0005-0000-0000-00004A010000}"/>
    <cellStyle name="ac 5 2 4 4" xfId="20018" xr:uid="{00000000-0005-0000-0000-00004A010000}"/>
    <cellStyle name="ac 5 2 4 5" xfId="38424" xr:uid="{00000000-0005-0000-0000-00004A010000}"/>
    <cellStyle name="ac 5 2 5" xfId="9781" xr:uid="{00000000-0005-0000-0000-00004A010000}"/>
    <cellStyle name="ac 5 2 5 2" xfId="28496" xr:uid="{00000000-0005-0000-0000-00004A010000}"/>
    <cellStyle name="ac 5 2 5 3" xfId="46859" xr:uid="{00000000-0005-0000-0000-00004A010000}"/>
    <cellStyle name="ac 5 2 6" xfId="13838" xr:uid="{00000000-0005-0000-0000-00004A010000}"/>
    <cellStyle name="ac 5 2 6 2" xfId="32258" xr:uid="{00000000-0005-0000-0000-00004A010000}"/>
    <cellStyle name="ac 5 2 6 3" xfId="50621" xr:uid="{00000000-0005-0000-0000-00004A010000}"/>
    <cellStyle name="ac 5 2 7" xfId="23699" xr:uid="{00000000-0005-0000-0000-00004A010000}"/>
    <cellStyle name="ac 5 2 7 2" xfId="42068" xr:uid="{00000000-0005-0000-0000-00004A010000}"/>
    <cellStyle name="ac 5 2 8" xfId="18983" xr:uid="{00000000-0005-0000-0000-00004A010000}"/>
    <cellStyle name="ac 5 2 9" xfId="37392" xr:uid="{00000000-0005-0000-0000-00004A010000}"/>
    <cellStyle name="ac 5 3" xfId="5004" xr:uid="{00000000-0005-0000-0000-00004A010000}"/>
    <cellStyle name="ac 5 3 2" xfId="11529" xr:uid="{00000000-0005-0000-0000-00004A010000}"/>
    <cellStyle name="ac 5 3 2 2" xfId="30102" xr:uid="{00000000-0005-0000-0000-00004A010000}"/>
    <cellStyle name="ac 5 3 2 3" xfId="48465" xr:uid="{00000000-0005-0000-0000-00004A010000}"/>
    <cellStyle name="ac 5 3 3" xfId="15718" xr:uid="{00000000-0005-0000-0000-00004A010000}"/>
    <cellStyle name="ac 5 3 3 2" xfId="34106" xr:uid="{00000000-0005-0000-0000-00004A010000}"/>
    <cellStyle name="ac 5 3 3 3" xfId="52469" xr:uid="{00000000-0005-0000-0000-00004A010000}"/>
    <cellStyle name="ac 5 3 4" xfId="24842" xr:uid="{00000000-0005-0000-0000-00004A010000}"/>
    <cellStyle name="ac 5 3 4 2" xfId="43211" xr:uid="{00000000-0005-0000-0000-00004A010000}"/>
    <cellStyle name="ac 5 3 5" xfId="21166" xr:uid="{00000000-0005-0000-0000-00004A010000}"/>
    <cellStyle name="ac 5 3 6" xfId="39553" xr:uid="{00000000-0005-0000-0000-00004A010000}"/>
    <cellStyle name="ac 5 4" xfId="6134" xr:uid="{00000000-0005-0000-0000-00004A010000}"/>
    <cellStyle name="ac 5 4 2" xfId="12488" xr:uid="{00000000-0005-0000-0000-00004A010000}"/>
    <cellStyle name="ac 5 4 2 2" xfId="30926" xr:uid="{00000000-0005-0000-0000-00004A010000}"/>
    <cellStyle name="ac 5 4 2 3" xfId="49289" xr:uid="{00000000-0005-0000-0000-00004A010000}"/>
    <cellStyle name="ac 5 4 3" xfId="16806" xr:uid="{00000000-0005-0000-0000-00004A010000}"/>
    <cellStyle name="ac 5 4 3 2" xfId="35173" xr:uid="{00000000-0005-0000-0000-00004A010000}"/>
    <cellStyle name="ac 5 4 3 3" xfId="53536" xr:uid="{00000000-0005-0000-0000-00004A010000}"/>
    <cellStyle name="ac 5 4 4" xfId="25927" xr:uid="{00000000-0005-0000-0000-00004A010000}"/>
    <cellStyle name="ac 5 4 4 2" xfId="44296" xr:uid="{00000000-0005-0000-0000-00004A010000}"/>
    <cellStyle name="ac 5 4 5" xfId="22243" xr:uid="{00000000-0005-0000-0000-00004A010000}"/>
    <cellStyle name="ac 5 4 6" xfId="40620" xr:uid="{00000000-0005-0000-0000-00004A010000}"/>
    <cellStyle name="ac 5 5" xfId="9450" xr:uid="{00000000-0005-0000-0000-00004A010000}"/>
    <cellStyle name="ac 5 5 2" xfId="13507" xr:uid="{00000000-0005-0000-0000-00004A010000}"/>
    <cellStyle name="ac 5 5 2 2" xfId="31928" xr:uid="{00000000-0005-0000-0000-00004A010000}"/>
    <cellStyle name="ac 5 5 2 3" xfId="50291" xr:uid="{00000000-0005-0000-0000-00004A010000}"/>
    <cellStyle name="ac 5 5 3" xfId="28167" xr:uid="{00000000-0005-0000-0000-00004A010000}"/>
    <cellStyle name="ac 5 5 3 2" xfId="46530" xr:uid="{00000000-0005-0000-0000-00004A010000}"/>
    <cellStyle name="ac 5 5 4" xfId="18537" xr:uid="{00000000-0005-0000-0000-00004A010000}"/>
    <cellStyle name="ac 5 5 5" xfId="36946" xr:uid="{00000000-0005-0000-0000-00004A010000}"/>
    <cellStyle name="ac 5 6" xfId="8440" xr:uid="{00000000-0005-0000-0000-00004A010000}"/>
    <cellStyle name="ac 5 6 2" xfId="27488" xr:uid="{00000000-0005-0000-0000-00004A010000}"/>
    <cellStyle name="ac 5 6 3" xfId="45852" xr:uid="{00000000-0005-0000-0000-00004A010000}"/>
    <cellStyle name="ac 5 7" xfId="7092" xr:uid="{00000000-0005-0000-0000-00004A010000}"/>
    <cellStyle name="ac 5 7 2" xfId="26716" xr:uid="{00000000-0005-0000-0000-00004A010000}"/>
    <cellStyle name="ac 5 7 3" xfId="45084" xr:uid="{00000000-0005-0000-0000-00004A010000}"/>
    <cellStyle name="ac 5 8" xfId="17890" xr:uid="{00000000-0005-0000-0000-00004A010000}"/>
    <cellStyle name="ac 5 8 2" xfId="36300" xr:uid="{00000000-0005-0000-0000-00004A010000}"/>
    <cellStyle name="ac 5 9" xfId="8287" xr:uid="{00000000-0005-0000-0000-00004A010000}"/>
    <cellStyle name="ac 6" xfId="3044" xr:uid="{00000000-0005-0000-0000-00004B010000}"/>
    <cellStyle name="ac 6 10" xfId="36048" xr:uid="{00000000-0005-0000-0000-00004B010000}"/>
    <cellStyle name="ac 6 2" xfId="3850" xr:uid="{00000000-0005-0000-0000-00004B010000}"/>
    <cellStyle name="ac 6 2 2" xfId="6023" xr:uid="{00000000-0005-0000-0000-00004B010000}"/>
    <cellStyle name="ac 6 2 2 2" xfId="12387" xr:uid="{00000000-0005-0000-0000-00004B010000}"/>
    <cellStyle name="ac 6 2 2 2 2" xfId="30834" xr:uid="{00000000-0005-0000-0000-00004B010000}"/>
    <cellStyle name="ac 6 2 2 2 3" xfId="49197" xr:uid="{00000000-0005-0000-0000-00004B010000}"/>
    <cellStyle name="ac 6 2 2 3" xfId="16713" xr:uid="{00000000-0005-0000-0000-00004B010000}"/>
    <cellStyle name="ac 6 2 2 3 2" xfId="35085" xr:uid="{00000000-0005-0000-0000-00004B010000}"/>
    <cellStyle name="ac 6 2 2 3 3" xfId="53448" xr:uid="{00000000-0005-0000-0000-00004B010000}"/>
    <cellStyle name="ac 6 2 2 4" xfId="25832" xr:uid="{00000000-0005-0000-0000-00004B010000}"/>
    <cellStyle name="ac 6 2 2 4 2" xfId="44201" xr:uid="{00000000-0005-0000-0000-00004B010000}"/>
    <cellStyle name="ac 6 2 2 5" xfId="22153" xr:uid="{00000000-0005-0000-0000-00004B010000}"/>
    <cellStyle name="ac 6 2 2 6" xfId="40532" xr:uid="{00000000-0005-0000-0000-00004B010000}"/>
    <cellStyle name="ac 6 2 3" xfId="6849" xr:uid="{00000000-0005-0000-0000-00004B010000}"/>
    <cellStyle name="ac 6 2 3 2" xfId="13140" xr:uid="{00000000-0005-0000-0000-00004B010000}"/>
    <cellStyle name="ac 6 2 3 2 2" xfId="31566" xr:uid="{00000000-0005-0000-0000-00004B010000}"/>
    <cellStyle name="ac 6 2 3 2 3" xfId="49929" xr:uid="{00000000-0005-0000-0000-00004B010000}"/>
    <cellStyle name="ac 6 2 3 3" xfId="17451" xr:uid="{00000000-0005-0000-0000-00004B010000}"/>
    <cellStyle name="ac 6 2 3 3 2" xfId="35799" xr:uid="{00000000-0005-0000-0000-00004B010000}"/>
    <cellStyle name="ac 6 2 3 3 3" xfId="54162" xr:uid="{00000000-0005-0000-0000-00004B010000}"/>
    <cellStyle name="ac 6 2 3 4" xfId="26584" xr:uid="{00000000-0005-0000-0000-00004B010000}"/>
    <cellStyle name="ac 6 2 3 4 2" xfId="44953" xr:uid="{00000000-0005-0000-0000-00004B010000}"/>
    <cellStyle name="ac 6 2 3 5" xfId="22877" xr:uid="{00000000-0005-0000-0000-00004B010000}"/>
    <cellStyle name="ac 6 2 3 6" xfId="41246" xr:uid="{00000000-0005-0000-0000-00004B010000}"/>
    <cellStyle name="ac 6 2 4" xfId="10563" xr:uid="{00000000-0005-0000-0000-00004B010000}"/>
    <cellStyle name="ac 6 2 4 2" xfId="14620" xr:uid="{00000000-0005-0000-0000-00004B010000}"/>
    <cellStyle name="ac 6 2 4 2 2" xfId="33036" xr:uid="{00000000-0005-0000-0000-00004B010000}"/>
    <cellStyle name="ac 6 2 4 2 3" xfId="51399" xr:uid="{00000000-0005-0000-0000-00004B010000}"/>
    <cellStyle name="ac 6 2 4 3" xfId="29274" xr:uid="{00000000-0005-0000-0000-00004B010000}"/>
    <cellStyle name="ac 6 2 4 3 2" xfId="47637" xr:uid="{00000000-0005-0000-0000-00004B010000}"/>
    <cellStyle name="ac 6 2 4 4" xfId="20077" xr:uid="{00000000-0005-0000-0000-00004B010000}"/>
    <cellStyle name="ac 6 2 4 5" xfId="38483" xr:uid="{00000000-0005-0000-0000-00004B010000}"/>
    <cellStyle name="ac 6 2 5" xfId="9937" xr:uid="{00000000-0005-0000-0000-00004B010000}"/>
    <cellStyle name="ac 6 2 5 2" xfId="28649" xr:uid="{00000000-0005-0000-0000-00004B010000}"/>
    <cellStyle name="ac 6 2 5 3" xfId="47012" xr:uid="{00000000-0005-0000-0000-00004B010000}"/>
    <cellStyle name="ac 6 2 6" xfId="13994" xr:uid="{00000000-0005-0000-0000-00004B010000}"/>
    <cellStyle name="ac 6 2 6 2" xfId="32411" xr:uid="{00000000-0005-0000-0000-00004B010000}"/>
    <cellStyle name="ac 6 2 6 3" xfId="50774" xr:uid="{00000000-0005-0000-0000-00004B010000}"/>
    <cellStyle name="ac 6 2 7" xfId="23758" xr:uid="{00000000-0005-0000-0000-00004B010000}"/>
    <cellStyle name="ac 6 2 7 2" xfId="42127" xr:uid="{00000000-0005-0000-0000-00004B010000}"/>
    <cellStyle name="ac 6 2 8" xfId="19244" xr:uid="{00000000-0005-0000-0000-00004B010000}"/>
    <cellStyle name="ac 6 2 9" xfId="37651" xr:uid="{00000000-0005-0000-0000-00004B010000}"/>
    <cellStyle name="ac 6 3" xfId="5296" xr:uid="{00000000-0005-0000-0000-00004B010000}"/>
    <cellStyle name="ac 6 3 2" xfId="11749" xr:uid="{00000000-0005-0000-0000-00004B010000}"/>
    <cellStyle name="ac 6 3 2 2" xfId="30251" xr:uid="{00000000-0005-0000-0000-00004B010000}"/>
    <cellStyle name="ac 6 3 2 3" xfId="48614" xr:uid="{00000000-0005-0000-0000-00004B010000}"/>
    <cellStyle name="ac 6 3 3" xfId="15988" xr:uid="{00000000-0005-0000-0000-00004B010000}"/>
    <cellStyle name="ac 6 3 3 2" xfId="34362" xr:uid="{00000000-0005-0000-0000-00004B010000}"/>
    <cellStyle name="ac 6 3 3 3" xfId="52725" xr:uid="{00000000-0005-0000-0000-00004B010000}"/>
    <cellStyle name="ac 6 3 4" xfId="25109" xr:uid="{00000000-0005-0000-0000-00004B010000}"/>
    <cellStyle name="ac 6 3 4 2" xfId="43478" xr:uid="{00000000-0005-0000-0000-00004B010000}"/>
    <cellStyle name="ac 6 3 5" xfId="21430" xr:uid="{00000000-0005-0000-0000-00004B010000}"/>
    <cellStyle name="ac 6 3 6" xfId="39809" xr:uid="{00000000-0005-0000-0000-00004B010000}"/>
    <cellStyle name="ac 6 4" xfId="6246" xr:uid="{00000000-0005-0000-0000-00004B010000}"/>
    <cellStyle name="ac 6 4 2" xfId="12561" xr:uid="{00000000-0005-0000-0000-00004B010000}"/>
    <cellStyle name="ac 6 4 2 2" xfId="30993" xr:uid="{00000000-0005-0000-0000-00004B010000}"/>
    <cellStyle name="ac 6 4 2 3" xfId="49356" xr:uid="{00000000-0005-0000-0000-00004B010000}"/>
    <cellStyle name="ac 6 4 3" xfId="16877" xr:uid="{00000000-0005-0000-0000-00004B010000}"/>
    <cellStyle name="ac 6 4 3 2" xfId="35234" xr:uid="{00000000-0005-0000-0000-00004B010000}"/>
    <cellStyle name="ac 6 4 3 3" xfId="53597" xr:uid="{00000000-0005-0000-0000-00004B010000}"/>
    <cellStyle name="ac 6 4 4" xfId="26009" xr:uid="{00000000-0005-0000-0000-00004B010000}"/>
    <cellStyle name="ac 6 4 4 2" xfId="44378" xr:uid="{00000000-0005-0000-0000-00004B010000}"/>
    <cellStyle name="ac 6 4 5" xfId="22308" xr:uid="{00000000-0005-0000-0000-00004B010000}"/>
    <cellStyle name="ac 6 4 6" xfId="40681" xr:uid="{00000000-0005-0000-0000-00004B010000}"/>
    <cellStyle name="ac 6 5" xfId="10046" xr:uid="{00000000-0005-0000-0000-00004B010000}"/>
    <cellStyle name="ac 6 5 2" xfId="14103" xr:uid="{00000000-0005-0000-0000-00004B010000}"/>
    <cellStyle name="ac 6 5 2 2" xfId="32519" xr:uid="{00000000-0005-0000-0000-00004B010000}"/>
    <cellStyle name="ac 6 5 2 3" xfId="50882" xr:uid="{00000000-0005-0000-0000-00004B010000}"/>
    <cellStyle name="ac 6 5 3" xfId="28757" xr:uid="{00000000-0005-0000-0000-00004B010000}"/>
    <cellStyle name="ac 6 5 3 2" xfId="47120" xr:uid="{00000000-0005-0000-0000-00004B010000}"/>
    <cellStyle name="ac 6 5 4" xfId="19503" xr:uid="{00000000-0005-0000-0000-00004B010000}"/>
    <cellStyle name="ac 6 5 5" xfId="37909" xr:uid="{00000000-0005-0000-0000-00004B010000}"/>
    <cellStyle name="ac 6 6" xfId="8831" xr:uid="{00000000-0005-0000-0000-00004B010000}"/>
    <cellStyle name="ac 6 6 2" xfId="27650" xr:uid="{00000000-0005-0000-0000-00004B010000}"/>
    <cellStyle name="ac 6 6 3" xfId="46013" xr:uid="{00000000-0005-0000-0000-00004B010000}"/>
    <cellStyle name="ac 6 7" xfId="10864" xr:uid="{00000000-0005-0000-0000-00004B010000}"/>
    <cellStyle name="ac 6 7 2" xfId="29534" xr:uid="{00000000-0005-0000-0000-00004B010000}"/>
    <cellStyle name="ac 6 7 3" xfId="47897" xr:uid="{00000000-0005-0000-0000-00004B010000}"/>
    <cellStyle name="ac 6 8" xfId="23046" xr:uid="{00000000-0005-0000-0000-00004B010000}"/>
    <cellStyle name="ac 6 8 2" xfId="41415" xr:uid="{00000000-0005-0000-0000-00004B010000}"/>
    <cellStyle name="ac 6 9" xfId="17606" xr:uid="{00000000-0005-0000-0000-00004B010000}"/>
    <cellStyle name="ac 7" xfId="3177" xr:uid="{00000000-0005-0000-0000-00004C010000}"/>
    <cellStyle name="ac 7 2" xfId="3870" xr:uid="{00000000-0005-0000-0000-00004C010000}"/>
    <cellStyle name="ac 7 2 2" xfId="6043" xr:uid="{00000000-0005-0000-0000-00004C010000}"/>
    <cellStyle name="ac 7 2 2 2" xfId="12407" xr:uid="{00000000-0005-0000-0000-00004C010000}"/>
    <cellStyle name="ac 7 2 2 2 2" xfId="30854" xr:uid="{00000000-0005-0000-0000-00004C010000}"/>
    <cellStyle name="ac 7 2 2 2 3" xfId="49217" xr:uid="{00000000-0005-0000-0000-00004C010000}"/>
    <cellStyle name="ac 7 2 2 3" xfId="16733" xr:uid="{00000000-0005-0000-0000-00004C010000}"/>
    <cellStyle name="ac 7 2 2 3 2" xfId="35105" xr:uid="{00000000-0005-0000-0000-00004C010000}"/>
    <cellStyle name="ac 7 2 2 3 3" xfId="53468" xr:uid="{00000000-0005-0000-0000-00004C010000}"/>
    <cellStyle name="ac 7 2 2 4" xfId="25852" xr:uid="{00000000-0005-0000-0000-00004C010000}"/>
    <cellStyle name="ac 7 2 2 4 2" xfId="44221" xr:uid="{00000000-0005-0000-0000-00004C010000}"/>
    <cellStyle name="ac 7 2 2 5" xfId="22173" xr:uid="{00000000-0005-0000-0000-00004C010000}"/>
    <cellStyle name="ac 7 2 2 6" xfId="40552" xr:uid="{00000000-0005-0000-0000-00004C010000}"/>
    <cellStyle name="ac 7 2 3" xfId="6869" xr:uid="{00000000-0005-0000-0000-00004C010000}"/>
    <cellStyle name="ac 7 2 3 2" xfId="13160" xr:uid="{00000000-0005-0000-0000-00004C010000}"/>
    <cellStyle name="ac 7 2 3 2 2" xfId="31586" xr:uid="{00000000-0005-0000-0000-00004C010000}"/>
    <cellStyle name="ac 7 2 3 2 3" xfId="49949" xr:uid="{00000000-0005-0000-0000-00004C010000}"/>
    <cellStyle name="ac 7 2 3 3" xfId="17471" xr:uid="{00000000-0005-0000-0000-00004C010000}"/>
    <cellStyle name="ac 7 2 3 3 2" xfId="35819" xr:uid="{00000000-0005-0000-0000-00004C010000}"/>
    <cellStyle name="ac 7 2 3 3 3" xfId="54182" xr:uid="{00000000-0005-0000-0000-00004C010000}"/>
    <cellStyle name="ac 7 2 3 4" xfId="26604" xr:uid="{00000000-0005-0000-0000-00004C010000}"/>
    <cellStyle name="ac 7 2 3 4 2" xfId="44973" xr:uid="{00000000-0005-0000-0000-00004C010000}"/>
    <cellStyle name="ac 7 2 3 5" xfId="22897" xr:uid="{00000000-0005-0000-0000-00004C010000}"/>
    <cellStyle name="ac 7 2 3 6" xfId="41266" xr:uid="{00000000-0005-0000-0000-00004C010000}"/>
    <cellStyle name="ac 7 2 4" xfId="10583" xr:uid="{00000000-0005-0000-0000-00004C010000}"/>
    <cellStyle name="ac 7 2 4 2" xfId="14640" xr:uid="{00000000-0005-0000-0000-00004C010000}"/>
    <cellStyle name="ac 7 2 4 2 2" xfId="33056" xr:uid="{00000000-0005-0000-0000-00004C010000}"/>
    <cellStyle name="ac 7 2 4 2 3" xfId="51419" xr:uid="{00000000-0005-0000-0000-00004C010000}"/>
    <cellStyle name="ac 7 2 4 3" xfId="29294" xr:uid="{00000000-0005-0000-0000-00004C010000}"/>
    <cellStyle name="ac 7 2 4 3 2" xfId="47657" xr:uid="{00000000-0005-0000-0000-00004C010000}"/>
    <cellStyle name="ac 7 2 4 4" xfId="20097" xr:uid="{00000000-0005-0000-0000-00004C010000}"/>
    <cellStyle name="ac 7 2 4 5" xfId="38503" xr:uid="{00000000-0005-0000-0000-00004C010000}"/>
    <cellStyle name="ac 7 2 5" xfId="9970" xr:uid="{00000000-0005-0000-0000-00004C010000}"/>
    <cellStyle name="ac 7 2 5 2" xfId="28682" xr:uid="{00000000-0005-0000-0000-00004C010000}"/>
    <cellStyle name="ac 7 2 5 3" xfId="47045" xr:uid="{00000000-0005-0000-0000-00004C010000}"/>
    <cellStyle name="ac 7 2 6" xfId="14027" xr:uid="{00000000-0005-0000-0000-00004C010000}"/>
    <cellStyle name="ac 7 2 6 2" xfId="32444" xr:uid="{00000000-0005-0000-0000-00004C010000}"/>
    <cellStyle name="ac 7 2 6 3" xfId="50807" xr:uid="{00000000-0005-0000-0000-00004C010000}"/>
    <cellStyle name="ac 7 2 7" xfId="23778" xr:uid="{00000000-0005-0000-0000-00004C010000}"/>
    <cellStyle name="ac 7 2 7 2" xfId="42147" xr:uid="{00000000-0005-0000-0000-00004C010000}"/>
    <cellStyle name="ac 7 2 8" xfId="19307" xr:uid="{00000000-0005-0000-0000-00004C010000}"/>
    <cellStyle name="ac 7 2 9" xfId="37714" xr:uid="{00000000-0005-0000-0000-00004C010000}"/>
    <cellStyle name="ac 7 3" xfId="5391" xr:uid="{00000000-0005-0000-0000-00004C010000}"/>
    <cellStyle name="ac 7 3 2" xfId="11808" xr:uid="{00000000-0005-0000-0000-00004C010000}"/>
    <cellStyle name="ac 7 3 2 2" xfId="30281" xr:uid="{00000000-0005-0000-0000-00004C010000}"/>
    <cellStyle name="ac 7 3 2 3" xfId="48644" xr:uid="{00000000-0005-0000-0000-00004C010000}"/>
    <cellStyle name="ac 7 3 3" xfId="16083" xr:uid="{00000000-0005-0000-0000-00004C010000}"/>
    <cellStyle name="ac 7 3 3 2" xfId="34455" xr:uid="{00000000-0005-0000-0000-00004C010000}"/>
    <cellStyle name="ac 7 3 3 3" xfId="52818" xr:uid="{00000000-0005-0000-0000-00004C010000}"/>
    <cellStyle name="ac 7 3 4" xfId="25202" xr:uid="{00000000-0005-0000-0000-00004C010000}"/>
    <cellStyle name="ac 7 3 4 2" xfId="43571" xr:uid="{00000000-0005-0000-0000-00004C010000}"/>
    <cellStyle name="ac 7 3 5" xfId="21523" xr:uid="{00000000-0005-0000-0000-00004C010000}"/>
    <cellStyle name="ac 7 3 6" xfId="39902" xr:uid="{00000000-0005-0000-0000-00004C010000}"/>
    <cellStyle name="ac 7 4" xfId="6284" xr:uid="{00000000-0005-0000-0000-00004C010000}"/>
    <cellStyle name="ac 7 4 2" xfId="12586" xr:uid="{00000000-0005-0000-0000-00004C010000}"/>
    <cellStyle name="ac 7 4 2 2" xfId="31015" xr:uid="{00000000-0005-0000-0000-00004C010000}"/>
    <cellStyle name="ac 7 4 2 3" xfId="49378" xr:uid="{00000000-0005-0000-0000-00004C010000}"/>
    <cellStyle name="ac 7 4 3" xfId="16899" xr:uid="{00000000-0005-0000-0000-00004C010000}"/>
    <cellStyle name="ac 7 4 3 2" xfId="35254" xr:uid="{00000000-0005-0000-0000-00004C010000}"/>
    <cellStyle name="ac 7 4 3 3" xfId="53617" xr:uid="{00000000-0005-0000-0000-00004C010000}"/>
    <cellStyle name="ac 7 4 4" xfId="26034" xr:uid="{00000000-0005-0000-0000-00004C010000}"/>
    <cellStyle name="ac 7 4 4 2" xfId="44403" xr:uid="{00000000-0005-0000-0000-00004C010000}"/>
    <cellStyle name="ac 7 4 5" xfId="22331" xr:uid="{00000000-0005-0000-0000-00004C010000}"/>
    <cellStyle name="ac 7 4 6" xfId="40701" xr:uid="{00000000-0005-0000-0000-00004C010000}"/>
    <cellStyle name="ac 7 5" xfId="8918" xr:uid="{00000000-0005-0000-0000-00004C010000}"/>
    <cellStyle name="ac 7 5 2" xfId="27693" xr:uid="{00000000-0005-0000-0000-00004C010000}"/>
    <cellStyle name="ac 7 5 3" xfId="46056" xr:uid="{00000000-0005-0000-0000-00004C010000}"/>
    <cellStyle name="ac 7 6" xfId="7863" xr:uid="{00000000-0005-0000-0000-00004C010000}"/>
    <cellStyle name="ac 7 6 2" xfId="27108" xr:uid="{00000000-0005-0000-0000-00004C010000}"/>
    <cellStyle name="ac 7 6 3" xfId="45473" xr:uid="{00000000-0005-0000-0000-00004C010000}"/>
    <cellStyle name="ac 7 7" xfId="23131" xr:uid="{00000000-0005-0000-0000-00004C010000}"/>
    <cellStyle name="ac 7 7 2" xfId="41500" xr:uid="{00000000-0005-0000-0000-00004C010000}"/>
    <cellStyle name="ac 7 8" xfId="17711" xr:uid="{00000000-0005-0000-0000-00004C010000}"/>
    <cellStyle name="ac 7 9" xfId="36133" xr:uid="{00000000-0005-0000-0000-00004C010000}"/>
    <cellStyle name="ac 8" xfId="3294" xr:uid="{00000000-0005-0000-0000-00004D010000}"/>
    <cellStyle name="ac 8 2" xfId="3885" xr:uid="{00000000-0005-0000-0000-00004D010000}"/>
    <cellStyle name="ac 8 2 2" xfId="6058" xr:uid="{00000000-0005-0000-0000-00004D010000}"/>
    <cellStyle name="ac 8 2 2 2" xfId="12422" xr:uid="{00000000-0005-0000-0000-00004D010000}"/>
    <cellStyle name="ac 8 2 2 2 2" xfId="30869" xr:uid="{00000000-0005-0000-0000-00004D010000}"/>
    <cellStyle name="ac 8 2 2 2 3" xfId="49232" xr:uid="{00000000-0005-0000-0000-00004D010000}"/>
    <cellStyle name="ac 8 2 2 3" xfId="16748" xr:uid="{00000000-0005-0000-0000-00004D010000}"/>
    <cellStyle name="ac 8 2 2 3 2" xfId="35120" xr:uid="{00000000-0005-0000-0000-00004D010000}"/>
    <cellStyle name="ac 8 2 2 3 3" xfId="53483" xr:uid="{00000000-0005-0000-0000-00004D010000}"/>
    <cellStyle name="ac 8 2 2 4" xfId="25867" xr:uid="{00000000-0005-0000-0000-00004D010000}"/>
    <cellStyle name="ac 8 2 2 4 2" xfId="44236" xr:uid="{00000000-0005-0000-0000-00004D010000}"/>
    <cellStyle name="ac 8 2 2 5" xfId="22188" xr:uid="{00000000-0005-0000-0000-00004D010000}"/>
    <cellStyle name="ac 8 2 2 6" xfId="40567" xr:uid="{00000000-0005-0000-0000-00004D010000}"/>
    <cellStyle name="ac 8 2 3" xfId="6884" xr:uid="{00000000-0005-0000-0000-00004D010000}"/>
    <cellStyle name="ac 8 2 3 2" xfId="13175" xr:uid="{00000000-0005-0000-0000-00004D010000}"/>
    <cellStyle name="ac 8 2 3 2 2" xfId="31601" xr:uid="{00000000-0005-0000-0000-00004D010000}"/>
    <cellStyle name="ac 8 2 3 2 3" xfId="49964" xr:uid="{00000000-0005-0000-0000-00004D010000}"/>
    <cellStyle name="ac 8 2 3 3" xfId="17486" xr:uid="{00000000-0005-0000-0000-00004D010000}"/>
    <cellStyle name="ac 8 2 3 3 2" xfId="35834" xr:uid="{00000000-0005-0000-0000-00004D010000}"/>
    <cellStyle name="ac 8 2 3 3 3" xfId="54197" xr:uid="{00000000-0005-0000-0000-00004D010000}"/>
    <cellStyle name="ac 8 2 3 4" xfId="26619" xr:uid="{00000000-0005-0000-0000-00004D010000}"/>
    <cellStyle name="ac 8 2 3 4 2" xfId="44988" xr:uid="{00000000-0005-0000-0000-00004D010000}"/>
    <cellStyle name="ac 8 2 3 5" xfId="22912" xr:uid="{00000000-0005-0000-0000-00004D010000}"/>
    <cellStyle name="ac 8 2 3 6" xfId="41281" xr:uid="{00000000-0005-0000-0000-00004D010000}"/>
    <cellStyle name="ac 8 2 4" xfId="10598" xr:uid="{00000000-0005-0000-0000-00004D010000}"/>
    <cellStyle name="ac 8 2 4 2" xfId="14655" xr:uid="{00000000-0005-0000-0000-00004D010000}"/>
    <cellStyle name="ac 8 2 4 2 2" xfId="33071" xr:uid="{00000000-0005-0000-0000-00004D010000}"/>
    <cellStyle name="ac 8 2 4 2 3" xfId="51434" xr:uid="{00000000-0005-0000-0000-00004D010000}"/>
    <cellStyle name="ac 8 2 4 3" xfId="29309" xr:uid="{00000000-0005-0000-0000-00004D010000}"/>
    <cellStyle name="ac 8 2 4 3 2" xfId="47672" xr:uid="{00000000-0005-0000-0000-00004D010000}"/>
    <cellStyle name="ac 8 2 4 4" xfId="20112" xr:uid="{00000000-0005-0000-0000-00004D010000}"/>
    <cellStyle name="ac 8 2 4 5" xfId="38518" xr:uid="{00000000-0005-0000-0000-00004D010000}"/>
    <cellStyle name="ac 8 2 5" xfId="9992" xr:uid="{00000000-0005-0000-0000-00004D010000}"/>
    <cellStyle name="ac 8 2 5 2" xfId="28704" xr:uid="{00000000-0005-0000-0000-00004D010000}"/>
    <cellStyle name="ac 8 2 5 3" xfId="47067" xr:uid="{00000000-0005-0000-0000-00004D010000}"/>
    <cellStyle name="ac 8 2 6" xfId="14049" xr:uid="{00000000-0005-0000-0000-00004D010000}"/>
    <cellStyle name="ac 8 2 6 2" xfId="32466" xr:uid="{00000000-0005-0000-0000-00004D010000}"/>
    <cellStyle name="ac 8 2 6 3" xfId="50829" xr:uid="{00000000-0005-0000-0000-00004D010000}"/>
    <cellStyle name="ac 8 2 7" xfId="23793" xr:uid="{00000000-0005-0000-0000-00004D010000}"/>
    <cellStyle name="ac 8 2 7 2" xfId="42162" xr:uid="{00000000-0005-0000-0000-00004D010000}"/>
    <cellStyle name="ac 8 2 8" xfId="19360" xr:uid="{00000000-0005-0000-0000-00004D010000}"/>
    <cellStyle name="ac 8 2 9" xfId="37767" xr:uid="{00000000-0005-0000-0000-00004D010000}"/>
    <cellStyle name="ac 8 3" xfId="5486" xr:uid="{00000000-0005-0000-0000-00004D010000}"/>
    <cellStyle name="ac 8 3 2" xfId="11854" xr:uid="{00000000-0005-0000-0000-00004D010000}"/>
    <cellStyle name="ac 8 3 2 2" xfId="30302" xr:uid="{00000000-0005-0000-0000-00004D010000}"/>
    <cellStyle name="ac 8 3 2 3" xfId="48665" xr:uid="{00000000-0005-0000-0000-00004D010000}"/>
    <cellStyle name="ac 8 3 3" xfId="16177" xr:uid="{00000000-0005-0000-0000-00004D010000}"/>
    <cellStyle name="ac 8 3 3 2" xfId="34549" xr:uid="{00000000-0005-0000-0000-00004D010000}"/>
    <cellStyle name="ac 8 3 3 3" xfId="52912" xr:uid="{00000000-0005-0000-0000-00004D010000}"/>
    <cellStyle name="ac 8 3 4" xfId="25296" xr:uid="{00000000-0005-0000-0000-00004D010000}"/>
    <cellStyle name="ac 8 3 4 2" xfId="43665" xr:uid="{00000000-0005-0000-0000-00004D010000}"/>
    <cellStyle name="ac 8 3 5" xfId="21617" xr:uid="{00000000-0005-0000-0000-00004D010000}"/>
    <cellStyle name="ac 8 3 6" xfId="39996" xr:uid="{00000000-0005-0000-0000-00004D010000}"/>
    <cellStyle name="ac 8 4" xfId="6316" xr:uid="{00000000-0005-0000-0000-00004D010000}"/>
    <cellStyle name="ac 8 4 2" xfId="12607" xr:uid="{00000000-0005-0000-0000-00004D010000}"/>
    <cellStyle name="ac 8 4 2 2" xfId="31033" xr:uid="{00000000-0005-0000-0000-00004D010000}"/>
    <cellStyle name="ac 8 4 2 3" xfId="49396" xr:uid="{00000000-0005-0000-0000-00004D010000}"/>
    <cellStyle name="ac 8 4 3" xfId="16919" xr:uid="{00000000-0005-0000-0000-00004D010000}"/>
    <cellStyle name="ac 8 4 3 2" xfId="35269" xr:uid="{00000000-0005-0000-0000-00004D010000}"/>
    <cellStyle name="ac 8 4 3 3" xfId="53632" xr:uid="{00000000-0005-0000-0000-00004D010000}"/>
    <cellStyle name="ac 8 4 4" xfId="26054" xr:uid="{00000000-0005-0000-0000-00004D010000}"/>
    <cellStyle name="ac 8 4 4 2" xfId="44423" xr:uid="{00000000-0005-0000-0000-00004D010000}"/>
    <cellStyle name="ac 8 4 5" xfId="22347" xr:uid="{00000000-0005-0000-0000-00004D010000}"/>
    <cellStyle name="ac 8 4 6" xfId="40716" xr:uid="{00000000-0005-0000-0000-00004D010000}"/>
    <cellStyle name="ac 8 5" xfId="8985" xr:uid="{00000000-0005-0000-0000-00004D010000}"/>
    <cellStyle name="ac 8 5 2" xfId="27716" xr:uid="{00000000-0005-0000-0000-00004D010000}"/>
    <cellStyle name="ac 8 5 3" xfId="46079" xr:uid="{00000000-0005-0000-0000-00004D010000}"/>
    <cellStyle name="ac 8 6" xfId="6949" xr:uid="{00000000-0005-0000-0000-00004D010000}"/>
    <cellStyle name="ac 8 6 2" xfId="26681" xr:uid="{00000000-0005-0000-0000-00004D010000}"/>
    <cellStyle name="ac 8 6 3" xfId="45050" xr:uid="{00000000-0005-0000-0000-00004D010000}"/>
    <cellStyle name="ac 8 7" xfId="23224" xr:uid="{00000000-0005-0000-0000-00004D010000}"/>
    <cellStyle name="ac 8 7 2" xfId="41593" xr:uid="{00000000-0005-0000-0000-00004D010000}"/>
    <cellStyle name="ac 8 8" xfId="17810" xr:uid="{00000000-0005-0000-0000-00004D010000}"/>
    <cellStyle name="ac 8 9" xfId="36226" xr:uid="{00000000-0005-0000-0000-00004D010000}"/>
    <cellStyle name="ac 9" xfId="3323" xr:uid="{00000000-0005-0000-0000-00004E010000}"/>
    <cellStyle name="ac 9 2" xfId="3902" xr:uid="{00000000-0005-0000-0000-00004E010000}"/>
    <cellStyle name="ac 9 2 2" xfId="6075" xr:uid="{00000000-0005-0000-0000-00004E010000}"/>
    <cellStyle name="ac 9 2 2 2" xfId="12439" xr:uid="{00000000-0005-0000-0000-00004E010000}"/>
    <cellStyle name="ac 9 2 2 2 2" xfId="30886" xr:uid="{00000000-0005-0000-0000-00004E010000}"/>
    <cellStyle name="ac 9 2 2 2 3" xfId="49249" xr:uid="{00000000-0005-0000-0000-00004E010000}"/>
    <cellStyle name="ac 9 2 2 3" xfId="16765" xr:uid="{00000000-0005-0000-0000-00004E010000}"/>
    <cellStyle name="ac 9 2 2 3 2" xfId="35137" xr:uid="{00000000-0005-0000-0000-00004E010000}"/>
    <cellStyle name="ac 9 2 2 3 3" xfId="53500" xr:uid="{00000000-0005-0000-0000-00004E010000}"/>
    <cellStyle name="ac 9 2 2 4" xfId="25884" xr:uid="{00000000-0005-0000-0000-00004E010000}"/>
    <cellStyle name="ac 9 2 2 4 2" xfId="44253" xr:uid="{00000000-0005-0000-0000-00004E010000}"/>
    <cellStyle name="ac 9 2 2 5" xfId="22205" xr:uid="{00000000-0005-0000-0000-00004E010000}"/>
    <cellStyle name="ac 9 2 2 6" xfId="40584" xr:uid="{00000000-0005-0000-0000-00004E010000}"/>
    <cellStyle name="ac 9 2 3" xfId="6901" xr:uid="{00000000-0005-0000-0000-00004E010000}"/>
    <cellStyle name="ac 9 2 3 2" xfId="13192" xr:uid="{00000000-0005-0000-0000-00004E010000}"/>
    <cellStyle name="ac 9 2 3 2 2" xfId="31618" xr:uid="{00000000-0005-0000-0000-00004E010000}"/>
    <cellStyle name="ac 9 2 3 2 3" xfId="49981" xr:uid="{00000000-0005-0000-0000-00004E010000}"/>
    <cellStyle name="ac 9 2 3 3" xfId="17503" xr:uid="{00000000-0005-0000-0000-00004E010000}"/>
    <cellStyle name="ac 9 2 3 3 2" xfId="35851" xr:uid="{00000000-0005-0000-0000-00004E010000}"/>
    <cellStyle name="ac 9 2 3 3 3" xfId="54214" xr:uid="{00000000-0005-0000-0000-00004E010000}"/>
    <cellStyle name="ac 9 2 3 4" xfId="26636" xr:uid="{00000000-0005-0000-0000-00004E010000}"/>
    <cellStyle name="ac 9 2 3 4 2" xfId="45005" xr:uid="{00000000-0005-0000-0000-00004E010000}"/>
    <cellStyle name="ac 9 2 3 5" xfId="22929" xr:uid="{00000000-0005-0000-0000-00004E010000}"/>
    <cellStyle name="ac 9 2 3 6" xfId="41298" xr:uid="{00000000-0005-0000-0000-00004E010000}"/>
    <cellStyle name="ac 9 2 4" xfId="10615" xr:uid="{00000000-0005-0000-0000-00004E010000}"/>
    <cellStyle name="ac 9 2 4 2" xfId="14672" xr:uid="{00000000-0005-0000-0000-00004E010000}"/>
    <cellStyle name="ac 9 2 4 2 2" xfId="33088" xr:uid="{00000000-0005-0000-0000-00004E010000}"/>
    <cellStyle name="ac 9 2 4 2 3" xfId="51451" xr:uid="{00000000-0005-0000-0000-00004E010000}"/>
    <cellStyle name="ac 9 2 4 3" xfId="29326" xr:uid="{00000000-0005-0000-0000-00004E010000}"/>
    <cellStyle name="ac 9 2 4 3 2" xfId="47689" xr:uid="{00000000-0005-0000-0000-00004E010000}"/>
    <cellStyle name="ac 9 2 4 4" xfId="20129" xr:uid="{00000000-0005-0000-0000-00004E010000}"/>
    <cellStyle name="ac 9 2 4 5" xfId="38535" xr:uid="{00000000-0005-0000-0000-00004E010000}"/>
    <cellStyle name="ac 9 2 5" xfId="10009" xr:uid="{00000000-0005-0000-0000-00004E010000}"/>
    <cellStyle name="ac 9 2 5 2" xfId="28721" xr:uid="{00000000-0005-0000-0000-00004E010000}"/>
    <cellStyle name="ac 9 2 5 3" xfId="47084" xr:uid="{00000000-0005-0000-0000-00004E010000}"/>
    <cellStyle name="ac 9 2 6" xfId="14066" xr:uid="{00000000-0005-0000-0000-00004E010000}"/>
    <cellStyle name="ac 9 2 6 2" xfId="32483" xr:uid="{00000000-0005-0000-0000-00004E010000}"/>
    <cellStyle name="ac 9 2 6 3" xfId="50846" xr:uid="{00000000-0005-0000-0000-00004E010000}"/>
    <cellStyle name="ac 9 2 7" xfId="23810" xr:uid="{00000000-0005-0000-0000-00004E010000}"/>
    <cellStyle name="ac 9 2 7 2" xfId="42179" xr:uid="{00000000-0005-0000-0000-00004E010000}"/>
    <cellStyle name="ac 9 2 8" xfId="19379" xr:uid="{00000000-0005-0000-0000-00004E010000}"/>
    <cellStyle name="ac 9 2 9" xfId="37786" xr:uid="{00000000-0005-0000-0000-00004E010000}"/>
    <cellStyle name="ac 9 3" xfId="5507" xr:uid="{00000000-0005-0000-0000-00004E010000}"/>
    <cellStyle name="ac 9 3 2" xfId="11872" xr:uid="{00000000-0005-0000-0000-00004E010000}"/>
    <cellStyle name="ac 9 3 2 2" xfId="30319" xr:uid="{00000000-0005-0000-0000-00004E010000}"/>
    <cellStyle name="ac 9 3 2 3" xfId="48682" xr:uid="{00000000-0005-0000-0000-00004E010000}"/>
    <cellStyle name="ac 9 3 3" xfId="16198" xr:uid="{00000000-0005-0000-0000-00004E010000}"/>
    <cellStyle name="ac 9 3 3 2" xfId="34570" xr:uid="{00000000-0005-0000-0000-00004E010000}"/>
    <cellStyle name="ac 9 3 3 3" xfId="52933" xr:uid="{00000000-0005-0000-0000-00004E010000}"/>
    <cellStyle name="ac 9 3 4" xfId="25317" xr:uid="{00000000-0005-0000-0000-00004E010000}"/>
    <cellStyle name="ac 9 3 4 2" xfId="43686" xr:uid="{00000000-0005-0000-0000-00004E010000}"/>
    <cellStyle name="ac 9 3 5" xfId="21638" xr:uid="{00000000-0005-0000-0000-00004E010000}"/>
    <cellStyle name="ac 9 3 6" xfId="40017" xr:uid="{00000000-0005-0000-0000-00004E010000}"/>
    <cellStyle name="ac 9 4" xfId="6335" xr:uid="{00000000-0005-0000-0000-00004E010000}"/>
    <cellStyle name="ac 9 4 2" xfId="12626" xr:uid="{00000000-0005-0000-0000-00004E010000}"/>
    <cellStyle name="ac 9 4 2 2" xfId="31052" xr:uid="{00000000-0005-0000-0000-00004E010000}"/>
    <cellStyle name="ac 9 4 2 3" xfId="49415" xr:uid="{00000000-0005-0000-0000-00004E010000}"/>
    <cellStyle name="ac 9 4 3" xfId="16937" xr:uid="{00000000-0005-0000-0000-00004E010000}"/>
    <cellStyle name="ac 9 4 3 2" xfId="35286" xr:uid="{00000000-0005-0000-0000-00004E010000}"/>
    <cellStyle name="ac 9 4 3 3" xfId="53649" xr:uid="{00000000-0005-0000-0000-00004E010000}"/>
    <cellStyle name="ac 9 4 4" xfId="26071" xr:uid="{00000000-0005-0000-0000-00004E010000}"/>
    <cellStyle name="ac 9 4 4 2" xfId="44440" xr:uid="{00000000-0005-0000-0000-00004E010000}"/>
    <cellStyle name="ac 9 4 5" xfId="22364" xr:uid="{00000000-0005-0000-0000-00004E010000}"/>
    <cellStyle name="ac 9 4 6" xfId="40733" xr:uid="{00000000-0005-0000-0000-00004E010000}"/>
    <cellStyle name="ac 9 5" xfId="9007" xr:uid="{00000000-0005-0000-0000-00004E010000}"/>
    <cellStyle name="ac 9 5 2" xfId="27735" xr:uid="{00000000-0005-0000-0000-00004E010000}"/>
    <cellStyle name="ac 9 5 3" xfId="46098" xr:uid="{00000000-0005-0000-0000-00004E010000}"/>
    <cellStyle name="ac 9 6" xfId="6942" xr:uid="{00000000-0005-0000-0000-00004E010000}"/>
    <cellStyle name="ac 9 6 2" xfId="26674" xr:uid="{00000000-0005-0000-0000-00004E010000}"/>
    <cellStyle name="ac 9 6 3" xfId="45043" xr:uid="{00000000-0005-0000-0000-00004E010000}"/>
    <cellStyle name="ac 9 7" xfId="23244" xr:uid="{00000000-0005-0000-0000-00004E010000}"/>
    <cellStyle name="ac 9 7 2" xfId="41613" xr:uid="{00000000-0005-0000-0000-00004E010000}"/>
    <cellStyle name="ac 9 8" xfId="17834" xr:uid="{00000000-0005-0000-0000-00004E010000}"/>
    <cellStyle name="ac 9 9" xfId="36246" xr:uid="{00000000-0005-0000-0000-00004E010000}"/>
    <cellStyle name="Accent1" xfId="29" builtinId="29" customBuiltin="1"/>
    <cellStyle name="Accent1 2" xfId="1548" xr:uid="{00000000-0005-0000-0000-000050010000}"/>
    <cellStyle name="Accent1 2 2" xfId="4306" xr:uid="{00000000-0005-0000-0000-000030000000}"/>
    <cellStyle name="Accent1 3" xfId="6093" xr:uid="{00000000-0005-0000-0000-0000631A0000}"/>
    <cellStyle name="Accent2" xfId="33" builtinId="33" customBuiltin="1"/>
    <cellStyle name="Accent2 2" xfId="1549" xr:uid="{00000000-0005-0000-0000-000052010000}"/>
    <cellStyle name="Accent2 2 2" xfId="4309" xr:uid="{00000000-0005-0000-0000-000032000000}"/>
    <cellStyle name="Accent2 3" xfId="4505" xr:uid="{00000000-0005-0000-0000-0000651A0000}"/>
    <cellStyle name="Accent3" xfId="37" builtinId="37" customBuiltin="1"/>
    <cellStyle name="Accent3 2" xfId="1550" xr:uid="{00000000-0005-0000-0000-000054010000}"/>
    <cellStyle name="Accent3 2 2" xfId="6092" xr:uid="{00000000-0005-0000-0000-000034000000}"/>
    <cellStyle name="Accent3 3" xfId="6172" xr:uid="{00000000-0005-0000-0000-0000671A0000}"/>
    <cellStyle name="Accent4" xfId="41" builtinId="41" customBuiltin="1"/>
    <cellStyle name="Accent4 2" xfId="1551" xr:uid="{00000000-0005-0000-0000-000056010000}"/>
    <cellStyle name="Accent4 2 2" xfId="6171" xr:uid="{00000000-0005-0000-0000-000036000000}"/>
    <cellStyle name="Accent4 3" xfId="4507" xr:uid="{00000000-0005-0000-0000-0000691A0000}"/>
    <cellStyle name="Accent5" xfId="45" builtinId="45" customBuiltin="1"/>
    <cellStyle name="Accent5 2" xfId="1552" xr:uid="{00000000-0005-0000-0000-000058010000}"/>
    <cellStyle name="Accent5 2 2" xfId="4339" xr:uid="{00000000-0005-0000-0000-000038000000}"/>
    <cellStyle name="Accent5 3" xfId="6091" xr:uid="{00000000-0005-0000-0000-00006B1A0000}"/>
    <cellStyle name="Accent6" xfId="49" builtinId="49" customBuiltin="1"/>
    <cellStyle name="Accent6 2" xfId="1553" xr:uid="{00000000-0005-0000-0000-00005A010000}"/>
    <cellStyle name="Accent6 2 2" xfId="5121" xr:uid="{00000000-0005-0000-0000-00003A000000}"/>
    <cellStyle name="Accent6 3" xfId="3984" xr:uid="{00000000-0005-0000-0000-00006D1A0000}"/>
    <cellStyle name="Accounting" xfId="252" xr:uid="{00000000-0005-0000-0000-00005B010000}"/>
    <cellStyle name="Acctg" xfId="253" xr:uid="{00000000-0005-0000-0000-00005C010000}"/>
    <cellStyle name="Actual Date" xfId="254" xr:uid="{00000000-0005-0000-0000-00005D010000}"/>
    <cellStyle name="adj_share" xfId="255" xr:uid="{00000000-0005-0000-0000-00005E010000}"/>
    <cellStyle name="AFE" xfId="256" xr:uid="{00000000-0005-0000-0000-00005F010000}"/>
    <cellStyle name="AFE 2" xfId="1987" xr:uid="{00000000-0005-0000-0000-000060010000}"/>
    <cellStyle name="AFE 3" xfId="2440" xr:uid="{00000000-0005-0000-0000-000061010000}"/>
    <cellStyle name="Afjusted" xfId="257" xr:uid="{00000000-0005-0000-0000-000062010000}"/>
    <cellStyle name="Afjusted 10" xfId="3322" xr:uid="{00000000-0005-0000-0000-000063010000}"/>
    <cellStyle name="Afjusted 10 2" xfId="3901" xr:uid="{00000000-0005-0000-0000-000063010000}"/>
    <cellStyle name="Afjusted 10 2 2" xfId="6074" xr:uid="{00000000-0005-0000-0000-000063010000}"/>
    <cellStyle name="Afjusted 10 2 2 2" xfId="12438" xr:uid="{00000000-0005-0000-0000-000063010000}"/>
    <cellStyle name="Afjusted 10 2 2 2 2" xfId="30885" xr:uid="{00000000-0005-0000-0000-000063010000}"/>
    <cellStyle name="Afjusted 10 2 2 2 3" xfId="49248" xr:uid="{00000000-0005-0000-0000-000063010000}"/>
    <cellStyle name="Afjusted 10 2 2 3" xfId="16764" xr:uid="{00000000-0005-0000-0000-000063010000}"/>
    <cellStyle name="Afjusted 10 2 2 3 2" xfId="35136" xr:uid="{00000000-0005-0000-0000-000063010000}"/>
    <cellStyle name="Afjusted 10 2 2 3 3" xfId="53499" xr:uid="{00000000-0005-0000-0000-000063010000}"/>
    <cellStyle name="Afjusted 10 2 2 4" xfId="25883" xr:uid="{00000000-0005-0000-0000-000063010000}"/>
    <cellStyle name="Afjusted 10 2 2 4 2" xfId="44252" xr:uid="{00000000-0005-0000-0000-000063010000}"/>
    <cellStyle name="Afjusted 10 2 2 5" xfId="22204" xr:uid="{00000000-0005-0000-0000-000063010000}"/>
    <cellStyle name="Afjusted 10 2 2 6" xfId="40583" xr:uid="{00000000-0005-0000-0000-000063010000}"/>
    <cellStyle name="Afjusted 10 2 3" xfId="6900" xr:uid="{00000000-0005-0000-0000-000063010000}"/>
    <cellStyle name="Afjusted 10 2 3 2" xfId="13191" xr:uid="{00000000-0005-0000-0000-000063010000}"/>
    <cellStyle name="Afjusted 10 2 3 2 2" xfId="31617" xr:uid="{00000000-0005-0000-0000-000063010000}"/>
    <cellStyle name="Afjusted 10 2 3 2 3" xfId="49980" xr:uid="{00000000-0005-0000-0000-000063010000}"/>
    <cellStyle name="Afjusted 10 2 3 3" xfId="17502" xr:uid="{00000000-0005-0000-0000-000063010000}"/>
    <cellStyle name="Afjusted 10 2 3 3 2" xfId="35850" xr:uid="{00000000-0005-0000-0000-000063010000}"/>
    <cellStyle name="Afjusted 10 2 3 3 3" xfId="54213" xr:uid="{00000000-0005-0000-0000-000063010000}"/>
    <cellStyle name="Afjusted 10 2 3 4" xfId="26635" xr:uid="{00000000-0005-0000-0000-000063010000}"/>
    <cellStyle name="Afjusted 10 2 3 4 2" xfId="45004" xr:uid="{00000000-0005-0000-0000-000063010000}"/>
    <cellStyle name="Afjusted 10 2 3 5" xfId="22928" xr:uid="{00000000-0005-0000-0000-000063010000}"/>
    <cellStyle name="Afjusted 10 2 3 6" xfId="41297" xr:uid="{00000000-0005-0000-0000-000063010000}"/>
    <cellStyle name="Afjusted 10 2 4" xfId="10614" xr:uid="{00000000-0005-0000-0000-000063010000}"/>
    <cellStyle name="Afjusted 10 2 4 2" xfId="14671" xr:uid="{00000000-0005-0000-0000-000063010000}"/>
    <cellStyle name="Afjusted 10 2 4 2 2" xfId="33087" xr:uid="{00000000-0005-0000-0000-000063010000}"/>
    <cellStyle name="Afjusted 10 2 4 2 3" xfId="51450" xr:uid="{00000000-0005-0000-0000-000063010000}"/>
    <cellStyle name="Afjusted 10 2 4 3" xfId="29325" xr:uid="{00000000-0005-0000-0000-000063010000}"/>
    <cellStyle name="Afjusted 10 2 4 3 2" xfId="47688" xr:uid="{00000000-0005-0000-0000-000063010000}"/>
    <cellStyle name="Afjusted 10 2 4 4" xfId="20128" xr:uid="{00000000-0005-0000-0000-000063010000}"/>
    <cellStyle name="Afjusted 10 2 4 5" xfId="38534" xr:uid="{00000000-0005-0000-0000-000063010000}"/>
    <cellStyle name="Afjusted 10 2 5" xfId="10008" xr:uid="{00000000-0005-0000-0000-000063010000}"/>
    <cellStyle name="Afjusted 10 2 5 2" xfId="28720" xr:uid="{00000000-0005-0000-0000-000063010000}"/>
    <cellStyle name="Afjusted 10 2 5 3" xfId="47083" xr:uid="{00000000-0005-0000-0000-000063010000}"/>
    <cellStyle name="Afjusted 10 2 6" xfId="14065" xr:uid="{00000000-0005-0000-0000-000063010000}"/>
    <cellStyle name="Afjusted 10 2 6 2" xfId="32482" xr:uid="{00000000-0005-0000-0000-000063010000}"/>
    <cellStyle name="Afjusted 10 2 6 3" xfId="50845" xr:uid="{00000000-0005-0000-0000-000063010000}"/>
    <cellStyle name="Afjusted 10 2 7" xfId="23809" xr:uid="{00000000-0005-0000-0000-000063010000}"/>
    <cellStyle name="Afjusted 10 2 7 2" xfId="42178" xr:uid="{00000000-0005-0000-0000-000063010000}"/>
    <cellStyle name="Afjusted 10 2 8" xfId="19378" xr:uid="{00000000-0005-0000-0000-000063010000}"/>
    <cellStyle name="Afjusted 10 2 9" xfId="37785" xr:uid="{00000000-0005-0000-0000-000063010000}"/>
    <cellStyle name="Afjusted 10 3" xfId="5506" xr:uid="{00000000-0005-0000-0000-000063010000}"/>
    <cellStyle name="Afjusted 10 3 2" xfId="11871" xr:uid="{00000000-0005-0000-0000-000063010000}"/>
    <cellStyle name="Afjusted 10 3 2 2" xfId="30318" xr:uid="{00000000-0005-0000-0000-000063010000}"/>
    <cellStyle name="Afjusted 10 3 2 3" xfId="48681" xr:uid="{00000000-0005-0000-0000-000063010000}"/>
    <cellStyle name="Afjusted 10 3 3" xfId="16197" xr:uid="{00000000-0005-0000-0000-000063010000}"/>
    <cellStyle name="Afjusted 10 3 3 2" xfId="34569" xr:uid="{00000000-0005-0000-0000-000063010000}"/>
    <cellStyle name="Afjusted 10 3 3 3" xfId="52932" xr:uid="{00000000-0005-0000-0000-000063010000}"/>
    <cellStyle name="Afjusted 10 3 4" xfId="25316" xr:uid="{00000000-0005-0000-0000-000063010000}"/>
    <cellStyle name="Afjusted 10 3 4 2" xfId="43685" xr:uid="{00000000-0005-0000-0000-000063010000}"/>
    <cellStyle name="Afjusted 10 3 5" xfId="21637" xr:uid="{00000000-0005-0000-0000-000063010000}"/>
    <cellStyle name="Afjusted 10 3 6" xfId="40016" xr:uid="{00000000-0005-0000-0000-000063010000}"/>
    <cellStyle name="Afjusted 10 4" xfId="6334" xr:uid="{00000000-0005-0000-0000-000063010000}"/>
    <cellStyle name="Afjusted 10 4 2" xfId="12625" xr:uid="{00000000-0005-0000-0000-000063010000}"/>
    <cellStyle name="Afjusted 10 4 2 2" xfId="31051" xr:uid="{00000000-0005-0000-0000-000063010000}"/>
    <cellStyle name="Afjusted 10 4 2 3" xfId="49414" xr:uid="{00000000-0005-0000-0000-000063010000}"/>
    <cellStyle name="Afjusted 10 4 3" xfId="16936" xr:uid="{00000000-0005-0000-0000-000063010000}"/>
    <cellStyle name="Afjusted 10 4 3 2" xfId="35285" xr:uid="{00000000-0005-0000-0000-000063010000}"/>
    <cellStyle name="Afjusted 10 4 3 3" xfId="53648" xr:uid="{00000000-0005-0000-0000-000063010000}"/>
    <cellStyle name="Afjusted 10 4 4" xfId="26070" xr:uid="{00000000-0005-0000-0000-000063010000}"/>
    <cellStyle name="Afjusted 10 4 4 2" xfId="44439" xr:uid="{00000000-0005-0000-0000-000063010000}"/>
    <cellStyle name="Afjusted 10 4 5" xfId="22363" xr:uid="{00000000-0005-0000-0000-000063010000}"/>
    <cellStyle name="Afjusted 10 4 6" xfId="40732" xr:uid="{00000000-0005-0000-0000-000063010000}"/>
    <cellStyle name="Afjusted 10 5" xfId="9006" xr:uid="{00000000-0005-0000-0000-000063010000}"/>
    <cellStyle name="Afjusted 10 5 2" xfId="27734" xr:uid="{00000000-0005-0000-0000-000063010000}"/>
    <cellStyle name="Afjusted 10 5 3" xfId="46097" xr:uid="{00000000-0005-0000-0000-000063010000}"/>
    <cellStyle name="Afjusted 10 6" xfId="6943" xr:uid="{00000000-0005-0000-0000-000063010000}"/>
    <cellStyle name="Afjusted 10 6 2" xfId="26675" xr:uid="{00000000-0005-0000-0000-000063010000}"/>
    <cellStyle name="Afjusted 10 6 3" xfId="45044" xr:uid="{00000000-0005-0000-0000-000063010000}"/>
    <cellStyle name="Afjusted 10 7" xfId="23243" xr:uid="{00000000-0005-0000-0000-000063010000}"/>
    <cellStyle name="Afjusted 10 7 2" xfId="41612" xr:uid="{00000000-0005-0000-0000-000063010000}"/>
    <cellStyle name="Afjusted 10 8" xfId="17833" xr:uid="{00000000-0005-0000-0000-000063010000}"/>
    <cellStyle name="Afjusted 10 9" xfId="36245" xr:uid="{00000000-0005-0000-0000-000063010000}"/>
    <cellStyle name="Afjusted 11" xfId="6983" xr:uid="{00000000-0005-0000-0000-000062010000}"/>
    <cellStyle name="Afjusted 11 2" xfId="26696" xr:uid="{00000000-0005-0000-0000-000062010000}"/>
    <cellStyle name="Afjusted 11 3" xfId="45065" xr:uid="{00000000-0005-0000-0000-000062010000}"/>
    <cellStyle name="Afjusted 2" xfId="1038" xr:uid="{00000000-0005-0000-0000-000064010000}"/>
    <cellStyle name="Afjusted 2 2" xfId="1234" xr:uid="{00000000-0005-0000-0000-000065010000}"/>
    <cellStyle name="Afjusted 2 2 2" xfId="1640" xr:uid="{00000000-0005-0000-0000-000066010000}"/>
    <cellStyle name="Afjusted 2 2 2 10" xfId="19258" xr:uid="{00000000-0005-0000-0000-000066010000}"/>
    <cellStyle name="Afjusted 2 2 2 10 2" xfId="37665" xr:uid="{00000000-0005-0000-0000-000066010000}"/>
    <cellStyle name="Afjusted 2 2 2 11" xfId="7048" xr:uid="{00000000-0005-0000-0000-000066010000}"/>
    <cellStyle name="Afjusted 2 2 2 12" xfId="7516" xr:uid="{00000000-0005-0000-0000-000066010000}"/>
    <cellStyle name="Afjusted 2 2 2 2" xfId="1721" xr:uid="{00000000-0005-0000-0000-000067010000}"/>
    <cellStyle name="Afjusted 2 2 2 2 10" xfId="7188" xr:uid="{00000000-0005-0000-0000-000067010000}"/>
    <cellStyle name="Afjusted 2 2 2 2 2" xfId="3618" xr:uid="{00000000-0005-0000-0000-000067010000}"/>
    <cellStyle name="Afjusted 2 2 2 2 2 2" xfId="5791" xr:uid="{00000000-0005-0000-0000-000067010000}"/>
    <cellStyle name="Afjusted 2 2 2 2 2 2 2" xfId="12155" xr:uid="{00000000-0005-0000-0000-000067010000}"/>
    <cellStyle name="Afjusted 2 2 2 2 2 2 2 2" xfId="30602" xr:uid="{00000000-0005-0000-0000-000067010000}"/>
    <cellStyle name="Afjusted 2 2 2 2 2 2 2 3" xfId="48965" xr:uid="{00000000-0005-0000-0000-000067010000}"/>
    <cellStyle name="Afjusted 2 2 2 2 2 2 3" xfId="16481" xr:uid="{00000000-0005-0000-0000-000067010000}"/>
    <cellStyle name="Afjusted 2 2 2 2 2 2 3 2" xfId="34853" xr:uid="{00000000-0005-0000-0000-000067010000}"/>
    <cellStyle name="Afjusted 2 2 2 2 2 2 3 3" xfId="53216" xr:uid="{00000000-0005-0000-0000-000067010000}"/>
    <cellStyle name="Afjusted 2 2 2 2 2 2 4" xfId="25600" xr:uid="{00000000-0005-0000-0000-000067010000}"/>
    <cellStyle name="Afjusted 2 2 2 2 2 2 4 2" xfId="43969" xr:uid="{00000000-0005-0000-0000-000067010000}"/>
    <cellStyle name="Afjusted 2 2 2 2 2 2 5" xfId="21921" xr:uid="{00000000-0005-0000-0000-000067010000}"/>
    <cellStyle name="Afjusted 2 2 2 2 2 2 6" xfId="40300" xr:uid="{00000000-0005-0000-0000-000067010000}"/>
    <cellStyle name="Afjusted 2 2 2 2 2 3" xfId="6617" xr:uid="{00000000-0005-0000-0000-000067010000}"/>
    <cellStyle name="Afjusted 2 2 2 2 2 3 2" xfId="12908" xr:uid="{00000000-0005-0000-0000-000067010000}"/>
    <cellStyle name="Afjusted 2 2 2 2 2 3 2 2" xfId="31334" xr:uid="{00000000-0005-0000-0000-000067010000}"/>
    <cellStyle name="Afjusted 2 2 2 2 2 3 2 3" xfId="49697" xr:uid="{00000000-0005-0000-0000-000067010000}"/>
    <cellStyle name="Afjusted 2 2 2 2 2 3 3" xfId="17219" xr:uid="{00000000-0005-0000-0000-000067010000}"/>
    <cellStyle name="Afjusted 2 2 2 2 2 3 3 2" xfId="35567" xr:uid="{00000000-0005-0000-0000-000067010000}"/>
    <cellStyle name="Afjusted 2 2 2 2 2 3 3 3" xfId="53930" xr:uid="{00000000-0005-0000-0000-000067010000}"/>
    <cellStyle name="Afjusted 2 2 2 2 2 3 4" xfId="26352" xr:uid="{00000000-0005-0000-0000-000067010000}"/>
    <cellStyle name="Afjusted 2 2 2 2 2 3 4 2" xfId="44721" xr:uid="{00000000-0005-0000-0000-000067010000}"/>
    <cellStyle name="Afjusted 2 2 2 2 2 3 5" xfId="22645" xr:uid="{00000000-0005-0000-0000-000067010000}"/>
    <cellStyle name="Afjusted 2 2 2 2 2 3 6" xfId="41014" xr:uid="{00000000-0005-0000-0000-000067010000}"/>
    <cellStyle name="Afjusted 2 2 2 2 2 4" xfId="10331" xr:uid="{00000000-0005-0000-0000-000067010000}"/>
    <cellStyle name="Afjusted 2 2 2 2 2 4 2" xfId="14388" xr:uid="{00000000-0005-0000-0000-000067010000}"/>
    <cellStyle name="Afjusted 2 2 2 2 2 4 2 2" xfId="32804" xr:uid="{00000000-0005-0000-0000-000067010000}"/>
    <cellStyle name="Afjusted 2 2 2 2 2 4 2 3" xfId="51167" xr:uid="{00000000-0005-0000-0000-000067010000}"/>
    <cellStyle name="Afjusted 2 2 2 2 2 4 3" xfId="29042" xr:uid="{00000000-0005-0000-0000-000067010000}"/>
    <cellStyle name="Afjusted 2 2 2 2 2 4 3 2" xfId="47405" xr:uid="{00000000-0005-0000-0000-000067010000}"/>
    <cellStyle name="Afjusted 2 2 2 2 2 4 4" xfId="19845" xr:uid="{00000000-0005-0000-0000-000067010000}"/>
    <cellStyle name="Afjusted 2 2 2 2 2 4 5" xfId="38251" xr:uid="{00000000-0005-0000-0000-000067010000}"/>
    <cellStyle name="Afjusted 2 2 2 2 2 5" xfId="9539" xr:uid="{00000000-0005-0000-0000-000067010000}"/>
    <cellStyle name="Afjusted 2 2 2 2 2 5 2" xfId="28256" xr:uid="{00000000-0005-0000-0000-000067010000}"/>
    <cellStyle name="Afjusted 2 2 2 2 2 5 3" xfId="46619" xr:uid="{00000000-0005-0000-0000-000067010000}"/>
    <cellStyle name="Afjusted 2 2 2 2 2 6" xfId="13597" xr:uid="{00000000-0005-0000-0000-000067010000}"/>
    <cellStyle name="Afjusted 2 2 2 2 2 6 2" xfId="32018" xr:uid="{00000000-0005-0000-0000-000067010000}"/>
    <cellStyle name="Afjusted 2 2 2 2 2 6 3" xfId="50381" xr:uid="{00000000-0005-0000-0000-000067010000}"/>
    <cellStyle name="Afjusted 2 2 2 2 2 7" xfId="23526" xr:uid="{00000000-0005-0000-0000-000067010000}"/>
    <cellStyle name="Afjusted 2 2 2 2 2 7 2" xfId="41895" xr:uid="{00000000-0005-0000-0000-000067010000}"/>
    <cellStyle name="Afjusted 2 2 2 2 2 8" xfId="18638" xr:uid="{00000000-0005-0000-0000-000067010000}"/>
    <cellStyle name="Afjusted 2 2 2 2 2 9" xfId="37048" xr:uid="{00000000-0005-0000-0000-000067010000}"/>
    <cellStyle name="Afjusted 2 2 2 2 3" xfId="4658" xr:uid="{00000000-0005-0000-0000-000067010000}"/>
    <cellStyle name="Afjusted 2 2 2 2 3 2" xfId="11242" xr:uid="{00000000-0005-0000-0000-000067010000}"/>
    <cellStyle name="Afjusted 2 2 2 2 3 2 2" xfId="29854" xr:uid="{00000000-0005-0000-0000-000067010000}"/>
    <cellStyle name="Afjusted 2 2 2 2 3 2 3" xfId="48217" xr:uid="{00000000-0005-0000-0000-000067010000}"/>
    <cellStyle name="Afjusted 2 2 2 2 3 3" xfId="15384" xr:uid="{00000000-0005-0000-0000-000067010000}"/>
    <cellStyle name="Afjusted 2 2 2 2 3 3 2" xfId="33777" xr:uid="{00000000-0005-0000-0000-000067010000}"/>
    <cellStyle name="Afjusted 2 2 2 2 3 3 3" xfId="52140" xr:uid="{00000000-0005-0000-0000-000067010000}"/>
    <cellStyle name="Afjusted 2 2 2 2 3 4" xfId="24508" xr:uid="{00000000-0005-0000-0000-000067010000}"/>
    <cellStyle name="Afjusted 2 2 2 2 3 4 2" xfId="42877" xr:uid="{00000000-0005-0000-0000-000067010000}"/>
    <cellStyle name="Afjusted 2 2 2 2 3 5" xfId="20835" xr:uid="{00000000-0005-0000-0000-000067010000}"/>
    <cellStyle name="Afjusted 2 2 2 2 3 6" xfId="39224" xr:uid="{00000000-0005-0000-0000-000067010000}"/>
    <cellStyle name="Afjusted 2 2 2 2 4" xfId="4340" xr:uid="{00000000-0005-0000-0000-000067010000}"/>
    <cellStyle name="Afjusted 2 2 2 2 4 2" xfId="10945" xr:uid="{00000000-0005-0000-0000-000067010000}"/>
    <cellStyle name="Afjusted 2 2 2 2 4 2 2" xfId="29575" xr:uid="{00000000-0005-0000-0000-000067010000}"/>
    <cellStyle name="Afjusted 2 2 2 2 4 2 3" xfId="47938" xr:uid="{00000000-0005-0000-0000-000067010000}"/>
    <cellStyle name="Afjusted 2 2 2 2 4 3" xfId="15083" xr:uid="{00000000-0005-0000-0000-000067010000}"/>
    <cellStyle name="Afjusted 2 2 2 2 4 3 2" xfId="33483" xr:uid="{00000000-0005-0000-0000-000067010000}"/>
    <cellStyle name="Afjusted 2 2 2 2 4 3 3" xfId="51846" xr:uid="{00000000-0005-0000-0000-000067010000}"/>
    <cellStyle name="Afjusted 2 2 2 2 4 4" xfId="24212" xr:uid="{00000000-0005-0000-0000-000067010000}"/>
    <cellStyle name="Afjusted 2 2 2 2 4 4 2" xfId="42581" xr:uid="{00000000-0005-0000-0000-000067010000}"/>
    <cellStyle name="Afjusted 2 2 2 2 4 5" xfId="20535" xr:uid="{00000000-0005-0000-0000-000067010000}"/>
    <cellStyle name="Afjusted 2 2 2 2 4 6" xfId="38930" xr:uid="{00000000-0005-0000-0000-000067010000}"/>
    <cellStyle name="Afjusted 2 2 2 2 5" xfId="9081" xr:uid="{00000000-0005-0000-0000-000067010000}"/>
    <cellStyle name="Afjusted 2 2 2 2 5 2" xfId="5163" xr:uid="{00000000-0005-0000-0000-000067010000}"/>
    <cellStyle name="Afjusted 2 2 2 2 5 2 2" xfId="24984" xr:uid="{00000000-0005-0000-0000-000067010000}"/>
    <cellStyle name="Afjusted 2 2 2 2 5 2 3" xfId="43353" xr:uid="{00000000-0005-0000-0000-000067010000}"/>
    <cellStyle name="Afjusted 2 2 2 2 5 3" xfId="27807" xr:uid="{00000000-0005-0000-0000-000067010000}"/>
    <cellStyle name="Afjusted 2 2 2 2 5 3 2" xfId="46170" xr:uid="{00000000-0005-0000-0000-000067010000}"/>
    <cellStyle name="Afjusted 2 2 2 2 5 4" xfId="17981" xr:uid="{00000000-0005-0000-0000-000067010000}"/>
    <cellStyle name="Afjusted 2 2 2 2 5 5" xfId="36389" xr:uid="{00000000-0005-0000-0000-000067010000}"/>
    <cellStyle name="Afjusted 2 2 2 2 6" xfId="7952" xr:uid="{00000000-0005-0000-0000-000067010000}"/>
    <cellStyle name="Afjusted 2 2 2 2 6 2" xfId="27182" xr:uid="{00000000-0005-0000-0000-000067010000}"/>
    <cellStyle name="Afjusted 2 2 2 2 6 3" xfId="45547" xr:uid="{00000000-0005-0000-0000-000067010000}"/>
    <cellStyle name="Afjusted 2 2 2 2 7" xfId="8748" xr:uid="{00000000-0005-0000-0000-000067010000}"/>
    <cellStyle name="Afjusted 2 2 2 2 7 2" xfId="27620" xr:uid="{00000000-0005-0000-0000-000067010000}"/>
    <cellStyle name="Afjusted 2 2 2 2 7 3" xfId="45983" xr:uid="{00000000-0005-0000-0000-000067010000}"/>
    <cellStyle name="Afjusted 2 2 2 2 8" xfId="19558" xr:uid="{00000000-0005-0000-0000-000067010000}"/>
    <cellStyle name="Afjusted 2 2 2 2 8 2" xfId="37964" xr:uid="{00000000-0005-0000-0000-000067010000}"/>
    <cellStyle name="Afjusted 2 2 2 2 9" xfId="7321" xr:uid="{00000000-0005-0000-0000-000067010000}"/>
    <cellStyle name="Afjusted 2 2 2 3" xfId="1751" xr:uid="{00000000-0005-0000-0000-000068010000}"/>
    <cellStyle name="Afjusted 2 2 2 3 10" xfId="17677" xr:uid="{00000000-0005-0000-0000-000068010000}"/>
    <cellStyle name="Afjusted 2 2 2 3 2" xfId="3648" xr:uid="{00000000-0005-0000-0000-000068010000}"/>
    <cellStyle name="Afjusted 2 2 2 3 2 2" xfId="5821" xr:uid="{00000000-0005-0000-0000-000068010000}"/>
    <cellStyle name="Afjusted 2 2 2 3 2 2 2" xfId="12185" xr:uid="{00000000-0005-0000-0000-000068010000}"/>
    <cellStyle name="Afjusted 2 2 2 3 2 2 2 2" xfId="30632" xr:uid="{00000000-0005-0000-0000-000068010000}"/>
    <cellStyle name="Afjusted 2 2 2 3 2 2 2 3" xfId="48995" xr:uid="{00000000-0005-0000-0000-000068010000}"/>
    <cellStyle name="Afjusted 2 2 2 3 2 2 3" xfId="16511" xr:uid="{00000000-0005-0000-0000-000068010000}"/>
    <cellStyle name="Afjusted 2 2 2 3 2 2 3 2" xfId="34883" xr:uid="{00000000-0005-0000-0000-000068010000}"/>
    <cellStyle name="Afjusted 2 2 2 3 2 2 3 3" xfId="53246" xr:uid="{00000000-0005-0000-0000-000068010000}"/>
    <cellStyle name="Afjusted 2 2 2 3 2 2 4" xfId="25630" xr:uid="{00000000-0005-0000-0000-000068010000}"/>
    <cellStyle name="Afjusted 2 2 2 3 2 2 4 2" xfId="43999" xr:uid="{00000000-0005-0000-0000-000068010000}"/>
    <cellStyle name="Afjusted 2 2 2 3 2 2 5" xfId="21951" xr:uid="{00000000-0005-0000-0000-000068010000}"/>
    <cellStyle name="Afjusted 2 2 2 3 2 2 6" xfId="40330" xr:uid="{00000000-0005-0000-0000-000068010000}"/>
    <cellStyle name="Afjusted 2 2 2 3 2 3" xfId="6647" xr:uid="{00000000-0005-0000-0000-000068010000}"/>
    <cellStyle name="Afjusted 2 2 2 3 2 3 2" xfId="12938" xr:uid="{00000000-0005-0000-0000-000068010000}"/>
    <cellStyle name="Afjusted 2 2 2 3 2 3 2 2" xfId="31364" xr:uid="{00000000-0005-0000-0000-000068010000}"/>
    <cellStyle name="Afjusted 2 2 2 3 2 3 2 3" xfId="49727" xr:uid="{00000000-0005-0000-0000-000068010000}"/>
    <cellStyle name="Afjusted 2 2 2 3 2 3 3" xfId="17249" xr:uid="{00000000-0005-0000-0000-000068010000}"/>
    <cellStyle name="Afjusted 2 2 2 3 2 3 3 2" xfId="35597" xr:uid="{00000000-0005-0000-0000-000068010000}"/>
    <cellStyle name="Afjusted 2 2 2 3 2 3 3 3" xfId="53960" xr:uid="{00000000-0005-0000-0000-000068010000}"/>
    <cellStyle name="Afjusted 2 2 2 3 2 3 4" xfId="26382" xr:uid="{00000000-0005-0000-0000-000068010000}"/>
    <cellStyle name="Afjusted 2 2 2 3 2 3 4 2" xfId="44751" xr:uid="{00000000-0005-0000-0000-000068010000}"/>
    <cellStyle name="Afjusted 2 2 2 3 2 3 5" xfId="22675" xr:uid="{00000000-0005-0000-0000-000068010000}"/>
    <cellStyle name="Afjusted 2 2 2 3 2 3 6" xfId="41044" xr:uid="{00000000-0005-0000-0000-000068010000}"/>
    <cellStyle name="Afjusted 2 2 2 3 2 4" xfId="10361" xr:uid="{00000000-0005-0000-0000-000068010000}"/>
    <cellStyle name="Afjusted 2 2 2 3 2 4 2" xfId="14418" xr:uid="{00000000-0005-0000-0000-000068010000}"/>
    <cellStyle name="Afjusted 2 2 2 3 2 4 2 2" xfId="32834" xr:uid="{00000000-0005-0000-0000-000068010000}"/>
    <cellStyle name="Afjusted 2 2 2 3 2 4 2 3" xfId="51197" xr:uid="{00000000-0005-0000-0000-000068010000}"/>
    <cellStyle name="Afjusted 2 2 2 3 2 4 3" xfId="29072" xr:uid="{00000000-0005-0000-0000-000068010000}"/>
    <cellStyle name="Afjusted 2 2 2 3 2 4 3 2" xfId="47435" xr:uid="{00000000-0005-0000-0000-000068010000}"/>
    <cellStyle name="Afjusted 2 2 2 3 2 4 4" xfId="19875" xr:uid="{00000000-0005-0000-0000-000068010000}"/>
    <cellStyle name="Afjusted 2 2 2 3 2 4 5" xfId="38281" xr:uid="{00000000-0005-0000-0000-000068010000}"/>
    <cellStyle name="Afjusted 2 2 2 3 2 5" xfId="9569" xr:uid="{00000000-0005-0000-0000-000068010000}"/>
    <cellStyle name="Afjusted 2 2 2 3 2 5 2" xfId="28286" xr:uid="{00000000-0005-0000-0000-000068010000}"/>
    <cellStyle name="Afjusted 2 2 2 3 2 5 3" xfId="46649" xr:uid="{00000000-0005-0000-0000-000068010000}"/>
    <cellStyle name="Afjusted 2 2 2 3 2 6" xfId="13627" xr:uid="{00000000-0005-0000-0000-000068010000}"/>
    <cellStyle name="Afjusted 2 2 2 3 2 6 2" xfId="32048" xr:uid="{00000000-0005-0000-0000-000068010000}"/>
    <cellStyle name="Afjusted 2 2 2 3 2 6 3" xfId="50411" xr:uid="{00000000-0005-0000-0000-000068010000}"/>
    <cellStyle name="Afjusted 2 2 2 3 2 7" xfId="23556" xr:uid="{00000000-0005-0000-0000-000068010000}"/>
    <cellStyle name="Afjusted 2 2 2 3 2 7 2" xfId="41925" xr:uid="{00000000-0005-0000-0000-000068010000}"/>
    <cellStyle name="Afjusted 2 2 2 3 2 8" xfId="18668" xr:uid="{00000000-0005-0000-0000-000068010000}"/>
    <cellStyle name="Afjusted 2 2 2 3 2 9" xfId="37078" xr:uid="{00000000-0005-0000-0000-000068010000}"/>
    <cellStyle name="Afjusted 2 2 2 3 3" xfId="4688" xr:uid="{00000000-0005-0000-0000-000068010000}"/>
    <cellStyle name="Afjusted 2 2 2 3 3 2" xfId="11272" xr:uid="{00000000-0005-0000-0000-000068010000}"/>
    <cellStyle name="Afjusted 2 2 2 3 3 2 2" xfId="29884" xr:uid="{00000000-0005-0000-0000-000068010000}"/>
    <cellStyle name="Afjusted 2 2 2 3 3 2 3" xfId="48247" xr:uid="{00000000-0005-0000-0000-000068010000}"/>
    <cellStyle name="Afjusted 2 2 2 3 3 3" xfId="15414" xr:uid="{00000000-0005-0000-0000-000068010000}"/>
    <cellStyle name="Afjusted 2 2 2 3 3 3 2" xfId="33807" xr:uid="{00000000-0005-0000-0000-000068010000}"/>
    <cellStyle name="Afjusted 2 2 2 3 3 3 3" xfId="52170" xr:uid="{00000000-0005-0000-0000-000068010000}"/>
    <cellStyle name="Afjusted 2 2 2 3 3 4" xfId="24538" xr:uid="{00000000-0005-0000-0000-000068010000}"/>
    <cellStyle name="Afjusted 2 2 2 3 3 4 2" xfId="42907" xr:uid="{00000000-0005-0000-0000-000068010000}"/>
    <cellStyle name="Afjusted 2 2 2 3 3 5" xfId="20865" xr:uid="{00000000-0005-0000-0000-000068010000}"/>
    <cellStyle name="Afjusted 2 2 2 3 3 6" xfId="39254" xr:uid="{00000000-0005-0000-0000-000068010000}"/>
    <cellStyle name="Afjusted 2 2 2 3 4" xfId="4868" xr:uid="{00000000-0005-0000-0000-000068010000}"/>
    <cellStyle name="Afjusted 2 2 2 3 4 2" xfId="11426" xr:uid="{00000000-0005-0000-0000-000068010000}"/>
    <cellStyle name="Afjusted 2 2 2 3 4 2 2" xfId="30016" xr:uid="{00000000-0005-0000-0000-000068010000}"/>
    <cellStyle name="Afjusted 2 2 2 3 4 2 3" xfId="48379" xr:uid="{00000000-0005-0000-0000-000068010000}"/>
    <cellStyle name="Afjusted 2 2 2 3 4 3" xfId="15594" xr:uid="{00000000-0005-0000-0000-000068010000}"/>
    <cellStyle name="Afjusted 2 2 2 3 4 3 2" xfId="33985" xr:uid="{00000000-0005-0000-0000-000068010000}"/>
    <cellStyle name="Afjusted 2 2 2 3 4 3 3" xfId="52348" xr:uid="{00000000-0005-0000-0000-000068010000}"/>
    <cellStyle name="Afjusted 2 2 2 3 4 4" xfId="24716" xr:uid="{00000000-0005-0000-0000-000068010000}"/>
    <cellStyle name="Afjusted 2 2 2 3 4 4 2" xfId="43085" xr:uid="{00000000-0005-0000-0000-000068010000}"/>
    <cellStyle name="Afjusted 2 2 2 3 4 5" xfId="21043" xr:uid="{00000000-0005-0000-0000-000068010000}"/>
    <cellStyle name="Afjusted 2 2 2 3 4 6" xfId="39432" xr:uid="{00000000-0005-0000-0000-000068010000}"/>
    <cellStyle name="Afjusted 2 2 2 3 5" xfId="9071" xr:uid="{00000000-0005-0000-0000-000068010000}"/>
    <cellStyle name="Afjusted 2 2 2 3 5 2" xfId="6141" xr:uid="{00000000-0005-0000-0000-000068010000}"/>
    <cellStyle name="Afjusted 2 2 2 3 5 2 2" xfId="25934" xr:uid="{00000000-0005-0000-0000-000068010000}"/>
    <cellStyle name="Afjusted 2 2 2 3 5 2 3" xfId="44303" xr:uid="{00000000-0005-0000-0000-000068010000}"/>
    <cellStyle name="Afjusted 2 2 2 3 5 3" xfId="27797" xr:uid="{00000000-0005-0000-0000-000068010000}"/>
    <cellStyle name="Afjusted 2 2 2 3 5 3 2" xfId="46160" xr:uid="{00000000-0005-0000-0000-000068010000}"/>
    <cellStyle name="Afjusted 2 2 2 3 5 4" xfId="17971" xr:uid="{00000000-0005-0000-0000-000068010000}"/>
    <cellStyle name="Afjusted 2 2 2 3 5 5" xfId="36379" xr:uid="{00000000-0005-0000-0000-000068010000}"/>
    <cellStyle name="Afjusted 2 2 2 3 6" xfId="7982" xr:uid="{00000000-0005-0000-0000-000068010000}"/>
    <cellStyle name="Afjusted 2 2 2 3 6 2" xfId="27212" xr:uid="{00000000-0005-0000-0000-000068010000}"/>
    <cellStyle name="Afjusted 2 2 2 3 6 3" xfId="45577" xr:uid="{00000000-0005-0000-0000-000068010000}"/>
    <cellStyle name="Afjusted 2 2 2 3 7" xfId="8515" xr:uid="{00000000-0005-0000-0000-000068010000}"/>
    <cellStyle name="Afjusted 2 2 2 3 7 2" xfId="27508" xr:uid="{00000000-0005-0000-0000-000068010000}"/>
    <cellStyle name="Afjusted 2 2 2 3 7 3" xfId="45872" xr:uid="{00000000-0005-0000-0000-000068010000}"/>
    <cellStyle name="Afjusted 2 2 2 3 8" xfId="19487" xr:uid="{00000000-0005-0000-0000-000068010000}"/>
    <cellStyle name="Afjusted 2 2 2 3 8 2" xfId="37893" xr:uid="{00000000-0005-0000-0000-000068010000}"/>
    <cellStyle name="Afjusted 2 2 2 3 9" xfId="15108" xr:uid="{00000000-0005-0000-0000-000068010000}"/>
    <cellStyle name="Afjusted 2 2 2 4" xfId="1779" xr:uid="{00000000-0005-0000-0000-000069010000}"/>
    <cellStyle name="Afjusted 2 2 2 4 10" xfId="7113" xr:uid="{00000000-0005-0000-0000-000069010000}"/>
    <cellStyle name="Afjusted 2 2 2 4 2" xfId="3676" xr:uid="{00000000-0005-0000-0000-000069010000}"/>
    <cellStyle name="Afjusted 2 2 2 4 2 2" xfId="5849" xr:uid="{00000000-0005-0000-0000-000069010000}"/>
    <cellStyle name="Afjusted 2 2 2 4 2 2 2" xfId="12213" xr:uid="{00000000-0005-0000-0000-000069010000}"/>
    <cellStyle name="Afjusted 2 2 2 4 2 2 2 2" xfId="30660" xr:uid="{00000000-0005-0000-0000-000069010000}"/>
    <cellStyle name="Afjusted 2 2 2 4 2 2 2 3" xfId="49023" xr:uid="{00000000-0005-0000-0000-000069010000}"/>
    <cellStyle name="Afjusted 2 2 2 4 2 2 3" xfId="16539" xr:uid="{00000000-0005-0000-0000-000069010000}"/>
    <cellStyle name="Afjusted 2 2 2 4 2 2 3 2" xfId="34911" xr:uid="{00000000-0005-0000-0000-000069010000}"/>
    <cellStyle name="Afjusted 2 2 2 4 2 2 3 3" xfId="53274" xr:uid="{00000000-0005-0000-0000-000069010000}"/>
    <cellStyle name="Afjusted 2 2 2 4 2 2 4" xfId="25658" xr:uid="{00000000-0005-0000-0000-000069010000}"/>
    <cellStyle name="Afjusted 2 2 2 4 2 2 4 2" xfId="44027" xr:uid="{00000000-0005-0000-0000-000069010000}"/>
    <cellStyle name="Afjusted 2 2 2 4 2 2 5" xfId="21979" xr:uid="{00000000-0005-0000-0000-000069010000}"/>
    <cellStyle name="Afjusted 2 2 2 4 2 2 6" xfId="40358" xr:uid="{00000000-0005-0000-0000-000069010000}"/>
    <cellStyle name="Afjusted 2 2 2 4 2 3" xfId="6675" xr:uid="{00000000-0005-0000-0000-000069010000}"/>
    <cellStyle name="Afjusted 2 2 2 4 2 3 2" xfId="12966" xr:uid="{00000000-0005-0000-0000-000069010000}"/>
    <cellStyle name="Afjusted 2 2 2 4 2 3 2 2" xfId="31392" xr:uid="{00000000-0005-0000-0000-000069010000}"/>
    <cellStyle name="Afjusted 2 2 2 4 2 3 2 3" xfId="49755" xr:uid="{00000000-0005-0000-0000-000069010000}"/>
    <cellStyle name="Afjusted 2 2 2 4 2 3 3" xfId="17277" xr:uid="{00000000-0005-0000-0000-000069010000}"/>
    <cellStyle name="Afjusted 2 2 2 4 2 3 3 2" xfId="35625" xr:uid="{00000000-0005-0000-0000-000069010000}"/>
    <cellStyle name="Afjusted 2 2 2 4 2 3 3 3" xfId="53988" xr:uid="{00000000-0005-0000-0000-000069010000}"/>
    <cellStyle name="Afjusted 2 2 2 4 2 3 4" xfId="26410" xr:uid="{00000000-0005-0000-0000-000069010000}"/>
    <cellStyle name="Afjusted 2 2 2 4 2 3 4 2" xfId="44779" xr:uid="{00000000-0005-0000-0000-000069010000}"/>
    <cellStyle name="Afjusted 2 2 2 4 2 3 5" xfId="22703" xr:uid="{00000000-0005-0000-0000-000069010000}"/>
    <cellStyle name="Afjusted 2 2 2 4 2 3 6" xfId="41072" xr:uid="{00000000-0005-0000-0000-000069010000}"/>
    <cellStyle name="Afjusted 2 2 2 4 2 4" xfId="10389" xr:uid="{00000000-0005-0000-0000-000069010000}"/>
    <cellStyle name="Afjusted 2 2 2 4 2 4 2" xfId="14446" xr:uid="{00000000-0005-0000-0000-000069010000}"/>
    <cellStyle name="Afjusted 2 2 2 4 2 4 2 2" xfId="32862" xr:uid="{00000000-0005-0000-0000-000069010000}"/>
    <cellStyle name="Afjusted 2 2 2 4 2 4 2 3" xfId="51225" xr:uid="{00000000-0005-0000-0000-000069010000}"/>
    <cellStyle name="Afjusted 2 2 2 4 2 4 3" xfId="29100" xr:uid="{00000000-0005-0000-0000-000069010000}"/>
    <cellStyle name="Afjusted 2 2 2 4 2 4 3 2" xfId="47463" xr:uid="{00000000-0005-0000-0000-000069010000}"/>
    <cellStyle name="Afjusted 2 2 2 4 2 4 4" xfId="19903" xr:uid="{00000000-0005-0000-0000-000069010000}"/>
    <cellStyle name="Afjusted 2 2 2 4 2 4 5" xfId="38309" xr:uid="{00000000-0005-0000-0000-000069010000}"/>
    <cellStyle name="Afjusted 2 2 2 4 2 5" xfId="9597" xr:uid="{00000000-0005-0000-0000-000069010000}"/>
    <cellStyle name="Afjusted 2 2 2 4 2 5 2" xfId="28314" xr:uid="{00000000-0005-0000-0000-000069010000}"/>
    <cellStyle name="Afjusted 2 2 2 4 2 5 3" xfId="46677" xr:uid="{00000000-0005-0000-0000-000069010000}"/>
    <cellStyle name="Afjusted 2 2 2 4 2 6" xfId="13655" xr:uid="{00000000-0005-0000-0000-000069010000}"/>
    <cellStyle name="Afjusted 2 2 2 4 2 6 2" xfId="32076" xr:uid="{00000000-0005-0000-0000-000069010000}"/>
    <cellStyle name="Afjusted 2 2 2 4 2 6 3" xfId="50439" xr:uid="{00000000-0005-0000-0000-000069010000}"/>
    <cellStyle name="Afjusted 2 2 2 4 2 7" xfId="23584" xr:uid="{00000000-0005-0000-0000-000069010000}"/>
    <cellStyle name="Afjusted 2 2 2 4 2 7 2" xfId="41953" xr:uid="{00000000-0005-0000-0000-000069010000}"/>
    <cellStyle name="Afjusted 2 2 2 4 2 8" xfId="18696" xr:uid="{00000000-0005-0000-0000-000069010000}"/>
    <cellStyle name="Afjusted 2 2 2 4 2 9" xfId="37106" xr:uid="{00000000-0005-0000-0000-000069010000}"/>
    <cellStyle name="Afjusted 2 2 2 4 3" xfId="4716" xr:uid="{00000000-0005-0000-0000-000069010000}"/>
    <cellStyle name="Afjusted 2 2 2 4 3 2" xfId="11300" xr:uid="{00000000-0005-0000-0000-000069010000}"/>
    <cellStyle name="Afjusted 2 2 2 4 3 2 2" xfId="29912" xr:uid="{00000000-0005-0000-0000-000069010000}"/>
    <cellStyle name="Afjusted 2 2 2 4 3 2 3" xfId="48275" xr:uid="{00000000-0005-0000-0000-000069010000}"/>
    <cellStyle name="Afjusted 2 2 2 4 3 3" xfId="15442" xr:uid="{00000000-0005-0000-0000-000069010000}"/>
    <cellStyle name="Afjusted 2 2 2 4 3 3 2" xfId="33835" xr:uid="{00000000-0005-0000-0000-000069010000}"/>
    <cellStyle name="Afjusted 2 2 2 4 3 3 3" xfId="52198" xr:uid="{00000000-0005-0000-0000-000069010000}"/>
    <cellStyle name="Afjusted 2 2 2 4 3 4" xfId="24566" xr:uid="{00000000-0005-0000-0000-000069010000}"/>
    <cellStyle name="Afjusted 2 2 2 4 3 4 2" xfId="42935" xr:uid="{00000000-0005-0000-0000-000069010000}"/>
    <cellStyle name="Afjusted 2 2 2 4 3 5" xfId="20893" xr:uid="{00000000-0005-0000-0000-000069010000}"/>
    <cellStyle name="Afjusted 2 2 2 4 3 6" xfId="39282" xr:uid="{00000000-0005-0000-0000-000069010000}"/>
    <cellStyle name="Afjusted 2 2 2 4 4" xfId="3945" xr:uid="{00000000-0005-0000-0000-000069010000}"/>
    <cellStyle name="Afjusted 2 2 2 4 4 2" xfId="10650" xr:uid="{00000000-0005-0000-0000-000069010000}"/>
    <cellStyle name="Afjusted 2 2 2 4 4 2 2" xfId="29356" xr:uid="{00000000-0005-0000-0000-000069010000}"/>
    <cellStyle name="Afjusted 2 2 2 4 4 2 3" xfId="47719" xr:uid="{00000000-0005-0000-0000-000069010000}"/>
    <cellStyle name="Afjusted 2 2 2 4 4 3" xfId="14708" xr:uid="{00000000-0005-0000-0000-000069010000}"/>
    <cellStyle name="Afjusted 2 2 2 4 4 3 2" xfId="33120" xr:uid="{00000000-0005-0000-0000-000069010000}"/>
    <cellStyle name="Afjusted 2 2 2 4 4 3 3" xfId="51483" xr:uid="{00000000-0005-0000-0000-000069010000}"/>
    <cellStyle name="Afjusted 2 2 2 4 4 4" xfId="23844" xr:uid="{00000000-0005-0000-0000-000069010000}"/>
    <cellStyle name="Afjusted 2 2 2 4 4 4 2" xfId="42213" xr:uid="{00000000-0005-0000-0000-000069010000}"/>
    <cellStyle name="Afjusted 2 2 2 4 4 5" xfId="20162" xr:uid="{00000000-0005-0000-0000-000069010000}"/>
    <cellStyle name="Afjusted 2 2 2 4 4 6" xfId="38567" xr:uid="{00000000-0005-0000-0000-000069010000}"/>
    <cellStyle name="Afjusted 2 2 2 4 5" xfId="9061" xr:uid="{00000000-0005-0000-0000-000069010000}"/>
    <cellStyle name="Afjusted 2 2 2 4 5 2" xfId="8146" xr:uid="{00000000-0005-0000-0000-000069010000}"/>
    <cellStyle name="Afjusted 2 2 2 4 5 2 2" xfId="27350" xr:uid="{00000000-0005-0000-0000-000069010000}"/>
    <cellStyle name="Afjusted 2 2 2 4 5 2 3" xfId="45715" xr:uid="{00000000-0005-0000-0000-000069010000}"/>
    <cellStyle name="Afjusted 2 2 2 4 5 3" xfId="27787" xr:uid="{00000000-0005-0000-0000-000069010000}"/>
    <cellStyle name="Afjusted 2 2 2 4 5 3 2" xfId="46150" xr:uid="{00000000-0005-0000-0000-000069010000}"/>
    <cellStyle name="Afjusted 2 2 2 4 5 4" xfId="17961" xr:uid="{00000000-0005-0000-0000-000069010000}"/>
    <cellStyle name="Afjusted 2 2 2 4 5 5" xfId="36369" xr:uid="{00000000-0005-0000-0000-000069010000}"/>
    <cellStyle name="Afjusted 2 2 2 4 6" xfId="8010" xr:uid="{00000000-0005-0000-0000-000069010000}"/>
    <cellStyle name="Afjusted 2 2 2 4 6 2" xfId="27240" xr:uid="{00000000-0005-0000-0000-000069010000}"/>
    <cellStyle name="Afjusted 2 2 2 4 6 3" xfId="45605" xr:uid="{00000000-0005-0000-0000-000069010000}"/>
    <cellStyle name="Afjusted 2 2 2 4 7" xfId="8387" xr:uid="{00000000-0005-0000-0000-000069010000}"/>
    <cellStyle name="Afjusted 2 2 2 4 7 2" xfId="27452" xr:uid="{00000000-0005-0000-0000-000069010000}"/>
    <cellStyle name="Afjusted 2 2 2 4 7 3" xfId="45816" xr:uid="{00000000-0005-0000-0000-000069010000}"/>
    <cellStyle name="Afjusted 2 2 2 4 8" xfId="19547" xr:uid="{00000000-0005-0000-0000-000069010000}"/>
    <cellStyle name="Afjusted 2 2 2 4 8 2" xfId="37953" xr:uid="{00000000-0005-0000-0000-000069010000}"/>
    <cellStyle name="Afjusted 2 2 2 4 9" xfId="15870" xr:uid="{00000000-0005-0000-0000-000069010000}"/>
    <cellStyle name="Afjusted 2 2 2 5" xfId="3552" xr:uid="{00000000-0005-0000-0000-000066010000}"/>
    <cellStyle name="Afjusted 2 2 2 5 2" xfId="5725" xr:uid="{00000000-0005-0000-0000-000066010000}"/>
    <cellStyle name="Afjusted 2 2 2 5 2 2" xfId="12089" xr:uid="{00000000-0005-0000-0000-000066010000}"/>
    <cellStyle name="Afjusted 2 2 2 5 2 2 2" xfId="30536" xr:uid="{00000000-0005-0000-0000-000066010000}"/>
    <cellStyle name="Afjusted 2 2 2 5 2 2 3" xfId="48899" xr:uid="{00000000-0005-0000-0000-000066010000}"/>
    <cellStyle name="Afjusted 2 2 2 5 2 3" xfId="16415" xr:uid="{00000000-0005-0000-0000-000066010000}"/>
    <cellStyle name="Afjusted 2 2 2 5 2 3 2" xfId="34787" xr:uid="{00000000-0005-0000-0000-000066010000}"/>
    <cellStyle name="Afjusted 2 2 2 5 2 3 3" xfId="53150" xr:uid="{00000000-0005-0000-0000-000066010000}"/>
    <cellStyle name="Afjusted 2 2 2 5 2 4" xfId="25534" xr:uid="{00000000-0005-0000-0000-000066010000}"/>
    <cellStyle name="Afjusted 2 2 2 5 2 4 2" xfId="43903" xr:uid="{00000000-0005-0000-0000-000066010000}"/>
    <cellStyle name="Afjusted 2 2 2 5 2 5" xfId="21855" xr:uid="{00000000-0005-0000-0000-000066010000}"/>
    <cellStyle name="Afjusted 2 2 2 5 2 6" xfId="40234" xr:uid="{00000000-0005-0000-0000-000066010000}"/>
    <cellStyle name="Afjusted 2 2 2 5 3" xfId="6551" xr:uid="{00000000-0005-0000-0000-000066010000}"/>
    <cellStyle name="Afjusted 2 2 2 5 3 2" xfId="12842" xr:uid="{00000000-0005-0000-0000-000066010000}"/>
    <cellStyle name="Afjusted 2 2 2 5 3 2 2" xfId="31268" xr:uid="{00000000-0005-0000-0000-000066010000}"/>
    <cellStyle name="Afjusted 2 2 2 5 3 2 3" xfId="49631" xr:uid="{00000000-0005-0000-0000-000066010000}"/>
    <cellStyle name="Afjusted 2 2 2 5 3 3" xfId="17153" xr:uid="{00000000-0005-0000-0000-000066010000}"/>
    <cellStyle name="Afjusted 2 2 2 5 3 3 2" xfId="35501" xr:uid="{00000000-0005-0000-0000-000066010000}"/>
    <cellStyle name="Afjusted 2 2 2 5 3 3 3" xfId="53864" xr:uid="{00000000-0005-0000-0000-000066010000}"/>
    <cellStyle name="Afjusted 2 2 2 5 3 4" xfId="26286" xr:uid="{00000000-0005-0000-0000-000066010000}"/>
    <cellStyle name="Afjusted 2 2 2 5 3 4 2" xfId="44655" xr:uid="{00000000-0005-0000-0000-000066010000}"/>
    <cellStyle name="Afjusted 2 2 2 5 3 5" xfId="22579" xr:uid="{00000000-0005-0000-0000-000066010000}"/>
    <cellStyle name="Afjusted 2 2 2 5 3 6" xfId="40948" xr:uid="{00000000-0005-0000-0000-000066010000}"/>
    <cellStyle name="Afjusted 2 2 2 5 4" xfId="10265" xr:uid="{00000000-0005-0000-0000-000066010000}"/>
    <cellStyle name="Afjusted 2 2 2 5 4 2" xfId="14322" xr:uid="{00000000-0005-0000-0000-000066010000}"/>
    <cellStyle name="Afjusted 2 2 2 5 4 2 2" xfId="32738" xr:uid="{00000000-0005-0000-0000-000066010000}"/>
    <cellStyle name="Afjusted 2 2 2 5 4 2 3" xfId="51101" xr:uid="{00000000-0005-0000-0000-000066010000}"/>
    <cellStyle name="Afjusted 2 2 2 5 4 3" xfId="28976" xr:uid="{00000000-0005-0000-0000-000066010000}"/>
    <cellStyle name="Afjusted 2 2 2 5 4 3 2" xfId="47339" xr:uid="{00000000-0005-0000-0000-000066010000}"/>
    <cellStyle name="Afjusted 2 2 2 5 4 4" xfId="19779" xr:uid="{00000000-0005-0000-0000-000066010000}"/>
    <cellStyle name="Afjusted 2 2 2 5 4 5" xfId="38185" xr:uid="{00000000-0005-0000-0000-000066010000}"/>
    <cellStyle name="Afjusted 2 2 2 5 5" xfId="9473" xr:uid="{00000000-0005-0000-0000-000066010000}"/>
    <cellStyle name="Afjusted 2 2 2 5 5 2" xfId="28190" xr:uid="{00000000-0005-0000-0000-000066010000}"/>
    <cellStyle name="Afjusted 2 2 2 5 5 3" xfId="46553" xr:uid="{00000000-0005-0000-0000-000066010000}"/>
    <cellStyle name="Afjusted 2 2 2 5 6" xfId="13531" xr:uid="{00000000-0005-0000-0000-000066010000}"/>
    <cellStyle name="Afjusted 2 2 2 5 6 2" xfId="31952" xr:uid="{00000000-0005-0000-0000-000066010000}"/>
    <cellStyle name="Afjusted 2 2 2 5 6 3" xfId="50315" xr:uid="{00000000-0005-0000-0000-000066010000}"/>
    <cellStyle name="Afjusted 2 2 2 5 7" xfId="23460" xr:uid="{00000000-0005-0000-0000-000066010000}"/>
    <cellStyle name="Afjusted 2 2 2 5 7 2" xfId="41829" xr:uid="{00000000-0005-0000-0000-000066010000}"/>
    <cellStyle name="Afjusted 2 2 2 5 8" xfId="18570" xr:uid="{00000000-0005-0000-0000-000066010000}"/>
    <cellStyle name="Afjusted 2 2 2 5 9" xfId="36980" xr:uid="{00000000-0005-0000-0000-000066010000}"/>
    <cellStyle name="Afjusted 2 2 2 6" xfId="4583" xr:uid="{00000000-0005-0000-0000-000066010000}"/>
    <cellStyle name="Afjusted 2 2 2 6 2" xfId="11168" xr:uid="{00000000-0005-0000-0000-000066010000}"/>
    <cellStyle name="Afjusted 2 2 2 6 2 2" xfId="29782" xr:uid="{00000000-0005-0000-0000-000066010000}"/>
    <cellStyle name="Afjusted 2 2 2 6 2 3" xfId="48145" xr:uid="{00000000-0005-0000-0000-000066010000}"/>
    <cellStyle name="Afjusted 2 2 2 6 3" xfId="15309" xr:uid="{00000000-0005-0000-0000-000066010000}"/>
    <cellStyle name="Afjusted 2 2 2 6 3 2" xfId="33703" xr:uid="{00000000-0005-0000-0000-000066010000}"/>
    <cellStyle name="Afjusted 2 2 2 6 3 3" xfId="52066" xr:uid="{00000000-0005-0000-0000-000066010000}"/>
    <cellStyle name="Afjusted 2 2 2 6 4" xfId="24434" xr:uid="{00000000-0005-0000-0000-000066010000}"/>
    <cellStyle name="Afjusted 2 2 2 6 4 2" xfId="42803" xr:uid="{00000000-0005-0000-0000-000066010000}"/>
    <cellStyle name="Afjusted 2 2 2 6 5" xfId="20760" xr:uid="{00000000-0005-0000-0000-000066010000}"/>
    <cellStyle name="Afjusted 2 2 2 6 6" xfId="39150" xr:uid="{00000000-0005-0000-0000-000066010000}"/>
    <cellStyle name="Afjusted 2 2 2 7" xfId="5035" xr:uid="{00000000-0005-0000-0000-000066010000}"/>
    <cellStyle name="Afjusted 2 2 2 7 2" xfId="11558" xr:uid="{00000000-0005-0000-0000-000066010000}"/>
    <cellStyle name="Afjusted 2 2 2 7 2 2" xfId="30130" xr:uid="{00000000-0005-0000-0000-000066010000}"/>
    <cellStyle name="Afjusted 2 2 2 7 2 3" xfId="48493" xr:uid="{00000000-0005-0000-0000-000066010000}"/>
    <cellStyle name="Afjusted 2 2 2 7 3" xfId="15748" xr:uid="{00000000-0005-0000-0000-000066010000}"/>
    <cellStyle name="Afjusted 2 2 2 7 3 2" xfId="34136" xr:uid="{00000000-0005-0000-0000-000066010000}"/>
    <cellStyle name="Afjusted 2 2 2 7 3 3" xfId="52499" xr:uid="{00000000-0005-0000-0000-000066010000}"/>
    <cellStyle name="Afjusted 2 2 2 7 4" xfId="24872" xr:uid="{00000000-0005-0000-0000-000066010000}"/>
    <cellStyle name="Afjusted 2 2 2 7 4 2" xfId="43241" xr:uid="{00000000-0005-0000-0000-000066010000}"/>
    <cellStyle name="Afjusted 2 2 2 7 5" xfId="21196" xr:uid="{00000000-0005-0000-0000-000066010000}"/>
    <cellStyle name="Afjusted 2 2 2 7 6" xfId="39583" xr:uid="{00000000-0005-0000-0000-000066010000}"/>
    <cellStyle name="Afjusted 2 2 2 8" xfId="9101" xr:uid="{00000000-0005-0000-0000-000066010000}"/>
    <cellStyle name="Afjusted 2 2 2 8 2" xfId="8413" xr:uid="{00000000-0005-0000-0000-000066010000}"/>
    <cellStyle name="Afjusted 2 2 2 8 2 2" xfId="27474" xr:uid="{00000000-0005-0000-0000-000066010000}"/>
    <cellStyle name="Afjusted 2 2 2 8 2 3" xfId="45838" xr:uid="{00000000-0005-0000-0000-000066010000}"/>
    <cellStyle name="Afjusted 2 2 2 8 3" xfId="27827" xr:uid="{00000000-0005-0000-0000-000066010000}"/>
    <cellStyle name="Afjusted 2 2 2 8 3 2" xfId="46190" xr:uid="{00000000-0005-0000-0000-000066010000}"/>
    <cellStyle name="Afjusted 2 2 2 8 4" xfId="18004" xr:uid="{00000000-0005-0000-0000-000066010000}"/>
    <cellStyle name="Afjusted 2 2 2 8 5" xfId="36412" xr:uid="{00000000-0005-0000-0000-000066010000}"/>
    <cellStyle name="Afjusted 2 2 2 9" xfId="7879" xr:uid="{00000000-0005-0000-0000-000066010000}"/>
    <cellStyle name="Afjusted 2 2 2 9 2" xfId="27116" xr:uid="{00000000-0005-0000-0000-000066010000}"/>
    <cellStyle name="Afjusted 2 2 2 9 3" xfId="45481" xr:uid="{00000000-0005-0000-0000-000066010000}"/>
    <cellStyle name="Afjusted 2 2 3" xfId="1518" xr:uid="{00000000-0005-0000-0000-00006A010000}"/>
    <cellStyle name="Afjusted 2 2 3 10" xfId="10786" xr:uid="{00000000-0005-0000-0000-00006A010000}"/>
    <cellStyle name="Afjusted 2 2 3 11" xfId="8724" xr:uid="{00000000-0005-0000-0000-00006A010000}"/>
    <cellStyle name="Afjusted 2 2 3 2" xfId="1687" xr:uid="{00000000-0005-0000-0000-00006B010000}"/>
    <cellStyle name="Afjusted 2 2 3 2 10" xfId="7375" xr:uid="{00000000-0005-0000-0000-00006B010000}"/>
    <cellStyle name="Afjusted 2 2 3 2 2" xfId="3585" xr:uid="{00000000-0005-0000-0000-00006B010000}"/>
    <cellStyle name="Afjusted 2 2 3 2 2 2" xfId="5758" xr:uid="{00000000-0005-0000-0000-00006B010000}"/>
    <cellStyle name="Afjusted 2 2 3 2 2 2 2" xfId="12122" xr:uid="{00000000-0005-0000-0000-00006B010000}"/>
    <cellStyle name="Afjusted 2 2 3 2 2 2 2 2" xfId="30569" xr:uid="{00000000-0005-0000-0000-00006B010000}"/>
    <cellStyle name="Afjusted 2 2 3 2 2 2 2 3" xfId="48932" xr:uid="{00000000-0005-0000-0000-00006B010000}"/>
    <cellStyle name="Afjusted 2 2 3 2 2 2 3" xfId="16448" xr:uid="{00000000-0005-0000-0000-00006B010000}"/>
    <cellStyle name="Afjusted 2 2 3 2 2 2 3 2" xfId="34820" xr:uid="{00000000-0005-0000-0000-00006B010000}"/>
    <cellStyle name="Afjusted 2 2 3 2 2 2 3 3" xfId="53183" xr:uid="{00000000-0005-0000-0000-00006B010000}"/>
    <cellStyle name="Afjusted 2 2 3 2 2 2 4" xfId="25567" xr:uid="{00000000-0005-0000-0000-00006B010000}"/>
    <cellStyle name="Afjusted 2 2 3 2 2 2 4 2" xfId="43936" xr:uid="{00000000-0005-0000-0000-00006B010000}"/>
    <cellStyle name="Afjusted 2 2 3 2 2 2 5" xfId="21888" xr:uid="{00000000-0005-0000-0000-00006B010000}"/>
    <cellStyle name="Afjusted 2 2 3 2 2 2 6" xfId="40267" xr:uid="{00000000-0005-0000-0000-00006B010000}"/>
    <cellStyle name="Afjusted 2 2 3 2 2 3" xfId="6584" xr:uid="{00000000-0005-0000-0000-00006B010000}"/>
    <cellStyle name="Afjusted 2 2 3 2 2 3 2" xfId="12875" xr:uid="{00000000-0005-0000-0000-00006B010000}"/>
    <cellStyle name="Afjusted 2 2 3 2 2 3 2 2" xfId="31301" xr:uid="{00000000-0005-0000-0000-00006B010000}"/>
    <cellStyle name="Afjusted 2 2 3 2 2 3 2 3" xfId="49664" xr:uid="{00000000-0005-0000-0000-00006B010000}"/>
    <cellStyle name="Afjusted 2 2 3 2 2 3 3" xfId="17186" xr:uid="{00000000-0005-0000-0000-00006B010000}"/>
    <cellStyle name="Afjusted 2 2 3 2 2 3 3 2" xfId="35534" xr:uid="{00000000-0005-0000-0000-00006B010000}"/>
    <cellStyle name="Afjusted 2 2 3 2 2 3 3 3" xfId="53897" xr:uid="{00000000-0005-0000-0000-00006B010000}"/>
    <cellStyle name="Afjusted 2 2 3 2 2 3 4" xfId="26319" xr:uid="{00000000-0005-0000-0000-00006B010000}"/>
    <cellStyle name="Afjusted 2 2 3 2 2 3 4 2" xfId="44688" xr:uid="{00000000-0005-0000-0000-00006B010000}"/>
    <cellStyle name="Afjusted 2 2 3 2 2 3 5" xfId="22612" xr:uid="{00000000-0005-0000-0000-00006B010000}"/>
    <cellStyle name="Afjusted 2 2 3 2 2 3 6" xfId="40981" xr:uid="{00000000-0005-0000-0000-00006B010000}"/>
    <cellStyle name="Afjusted 2 2 3 2 2 4" xfId="10298" xr:uid="{00000000-0005-0000-0000-00006B010000}"/>
    <cellStyle name="Afjusted 2 2 3 2 2 4 2" xfId="14355" xr:uid="{00000000-0005-0000-0000-00006B010000}"/>
    <cellStyle name="Afjusted 2 2 3 2 2 4 2 2" xfId="32771" xr:uid="{00000000-0005-0000-0000-00006B010000}"/>
    <cellStyle name="Afjusted 2 2 3 2 2 4 2 3" xfId="51134" xr:uid="{00000000-0005-0000-0000-00006B010000}"/>
    <cellStyle name="Afjusted 2 2 3 2 2 4 3" xfId="29009" xr:uid="{00000000-0005-0000-0000-00006B010000}"/>
    <cellStyle name="Afjusted 2 2 3 2 2 4 3 2" xfId="47372" xr:uid="{00000000-0005-0000-0000-00006B010000}"/>
    <cellStyle name="Afjusted 2 2 3 2 2 4 4" xfId="19812" xr:uid="{00000000-0005-0000-0000-00006B010000}"/>
    <cellStyle name="Afjusted 2 2 3 2 2 4 5" xfId="38218" xr:uid="{00000000-0005-0000-0000-00006B010000}"/>
    <cellStyle name="Afjusted 2 2 3 2 2 5" xfId="9506" xr:uid="{00000000-0005-0000-0000-00006B010000}"/>
    <cellStyle name="Afjusted 2 2 3 2 2 5 2" xfId="28223" xr:uid="{00000000-0005-0000-0000-00006B010000}"/>
    <cellStyle name="Afjusted 2 2 3 2 2 5 3" xfId="46586" xr:uid="{00000000-0005-0000-0000-00006B010000}"/>
    <cellStyle name="Afjusted 2 2 3 2 2 6" xfId="13564" xr:uid="{00000000-0005-0000-0000-00006B010000}"/>
    <cellStyle name="Afjusted 2 2 3 2 2 6 2" xfId="31985" xr:uid="{00000000-0005-0000-0000-00006B010000}"/>
    <cellStyle name="Afjusted 2 2 3 2 2 6 3" xfId="50348" xr:uid="{00000000-0005-0000-0000-00006B010000}"/>
    <cellStyle name="Afjusted 2 2 3 2 2 7" xfId="23493" xr:uid="{00000000-0005-0000-0000-00006B010000}"/>
    <cellStyle name="Afjusted 2 2 3 2 2 7 2" xfId="41862" xr:uid="{00000000-0005-0000-0000-00006B010000}"/>
    <cellStyle name="Afjusted 2 2 3 2 2 8" xfId="18604" xr:uid="{00000000-0005-0000-0000-00006B010000}"/>
    <cellStyle name="Afjusted 2 2 3 2 2 9" xfId="37014" xr:uid="{00000000-0005-0000-0000-00006B010000}"/>
    <cellStyle name="Afjusted 2 2 3 2 3" xfId="4626" xr:uid="{00000000-0005-0000-0000-00006B010000}"/>
    <cellStyle name="Afjusted 2 2 3 2 3 2" xfId="11210" xr:uid="{00000000-0005-0000-0000-00006B010000}"/>
    <cellStyle name="Afjusted 2 2 3 2 3 2 2" xfId="29822" xr:uid="{00000000-0005-0000-0000-00006B010000}"/>
    <cellStyle name="Afjusted 2 2 3 2 3 2 3" xfId="48185" xr:uid="{00000000-0005-0000-0000-00006B010000}"/>
    <cellStyle name="Afjusted 2 2 3 2 3 3" xfId="15352" xr:uid="{00000000-0005-0000-0000-00006B010000}"/>
    <cellStyle name="Afjusted 2 2 3 2 3 3 2" xfId="33745" xr:uid="{00000000-0005-0000-0000-00006B010000}"/>
    <cellStyle name="Afjusted 2 2 3 2 3 3 3" xfId="52108" xr:uid="{00000000-0005-0000-0000-00006B010000}"/>
    <cellStyle name="Afjusted 2 2 3 2 3 4" xfId="24476" xr:uid="{00000000-0005-0000-0000-00006B010000}"/>
    <cellStyle name="Afjusted 2 2 3 2 3 4 2" xfId="42845" xr:uid="{00000000-0005-0000-0000-00006B010000}"/>
    <cellStyle name="Afjusted 2 2 3 2 3 5" xfId="20803" xr:uid="{00000000-0005-0000-0000-00006B010000}"/>
    <cellStyle name="Afjusted 2 2 3 2 3 6" xfId="39192" xr:uid="{00000000-0005-0000-0000-00006B010000}"/>
    <cellStyle name="Afjusted 2 2 3 2 4" xfId="3970" xr:uid="{00000000-0005-0000-0000-00006B010000}"/>
    <cellStyle name="Afjusted 2 2 3 2 4 2" xfId="10675" xr:uid="{00000000-0005-0000-0000-00006B010000}"/>
    <cellStyle name="Afjusted 2 2 3 2 4 2 2" xfId="29381" xr:uid="{00000000-0005-0000-0000-00006B010000}"/>
    <cellStyle name="Afjusted 2 2 3 2 4 2 3" xfId="47744" xr:uid="{00000000-0005-0000-0000-00006B010000}"/>
    <cellStyle name="Afjusted 2 2 3 2 4 3" xfId="14733" xr:uid="{00000000-0005-0000-0000-00006B010000}"/>
    <cellStyle name="Afjusted 2 2 3 2 4 3 2" xfId="33145" xr:uid="{00000000-0005-0000-0000-00006B010000}"/>
    <cellStyle name="Afjusted 2 2 3 2 4 3 3" xfId="51508" xr:uid="{00000000-0005-0000-0000-00006B010000}"/>
    <cellStyle name="Afjusted 2 2 3 2 4 4" xfId="23869" xr:uid="{00000000-0005-0000-0000-00006B010000}"/>
    <cellStyle name="Afjusted 2 2 3 2 4 4 2" xfId="42238" xr:uid="{00000000-0005-0000-0000-00006B010000}"/>
    <cellStyle name="Afjusted 2 2 3 2 4 5" xfId="20187" xr:uid="{00000000-0005-0000-0000-00006B010000}"/>
    <cellStyle name="Afjusted 2 2 3 2 4 6" xfId="38592" xr:uid="{00000000-0005-0000-0000-00006B010000}"/>
    <cellStyle name="Afjusted 2 2 3 2 5" xfId="9189" xr:uid="{00000000-0005-0000-0000-00006B010000}"/>
    <cellStyle name="Afjusted 2 2 3 2 5 2" xfId="13247" xr:uid="{00000000-0005-0000-0000-00006B010000}"/>
    <cellStyle name="Afjusted 2 2 3 2 5 2 2" xfId="31668" xr:uid="{00000000-0005-0000-0000-00006B010000}"/>
    <cellStyle name="Afjusted 2 2 3 2 5 2 3" xfId="50031" xr:uid="{00000000-0005-0000-0000-00006B010000}"/>
    <cellStyle name="Afjusted 2 2 3 2 5 3" xfId="27910" xr:uid="{00000000-0005-0000-0000-00006B010000}"/>
    <cellStyle name="Afjusted 2 2 3 2 5 3 2" xfId="46273" xr:uid="{00000000-0005-0000-0000-00006B010000}"/>
    <cellStyle name="Afjusted 2 2 3 2 5 4" xfId="18204" xr:uid="{00000000-0005-0000-0000-00006B010000}"/>
    <cellStyle name="Afjusted 2 2 3 2 5 5" xfId="36610" xr:uid="{00000000-0005-0000-0000-00006B010000}"/>
    <cellStyle name="Afjusted 2 2 3 2 6" xfId="7920" xr:uid="{00000000-0005-0000-0000-00006B010000}"/>
    <cellStyle name="Afjusted 2 2 3 2 6 2" xfId="27152" xr:uid="{00000000-0005-0000-0000-00006B010000}"/>
    <cellStyle name="Afjusted 2 2 3 2 6 3" xfId="45517" xr:uid="{00000000-0005-0000-0000-00006B010000}"/>
    <cellStyle name="Afjusted 2 2 3 2 7" xfId="8698" xr:uid="{00000000-0005-0000-0000-00006B010000}"/>
    <cellStyle name="Afjusted 2 2 3 2 7 2" xfId="27590" xr:uid="{00000000-0005-0000-0000-00006B010000}"/>
    <cellStyle name="Afjusted 2 2 3 2 7 3" xfId="45953" xr:uid="{00000000-0005-0000-0000-00006B010000}"/>
    <cellStyle name="Afjusted 2 2 3 2 8" xfId="17866" xr:uid="{00000000-0005-0000-0000-00006B010000}"/>
    <cellStyle name="Afjusted 2 2 3 2 8 2" xfId="36276" xr:uid="{00000000-0005-0000-0000-00006B010000}"/>
    <cellStyle name="Afjusted 2 2 3 2 9" xfId="8980" xr:uid="{00000000-0005-0000-0000-00006B010000}"/>
    <cellStyle name="Afjusted 2 2 3 3" xfId="1447" xr:uid="{00000000-0005-0000-0000-00006C010000}"/>
    <cellStyle name="Afjusted 2 2 3 3 10" xfId="8793" xr:uid="{00000000-0005-0000-0000-00006C010000}"/>
    <cellStyle name="Afjusted 2 2 3 3 2" xfId="3466" xr:uid="{00000000-0005-0000-0000-00006C010000}"/>
    <cellStyle name="Afjusted 2 2 3 3 2 2" xfId="5641" xr:uid="{00000000-0005-0000-0000-00006C010000}"/>
    <cellStyle name="Afjusted 2 2 3 3 2 2 2" xfId="12005" xr:uid="{00000000-0005-0000-0000-00006C010000}"/>
    <cellStyle name="Afjusted 2 2 3 3 2 2 2 2" xfId="30452" xr:uid="{00000000-0005-0000-0000-00006C010000}"/>
    <cellStyle name="Afjusted 2 2 3 3 2 2 2 3" xfId="48815" xr:uid="{00000000-0005-0000-0000-00006C010000}"/>
    <cellStyle name="Afjusted 2 2 3 3 2 2 3" xfId="16331" xr:uid="{00000000-0005-0000-0000-00006C010000}"/>
    <cellStyle name="Afjusted 2 2 3 3 2 2 3 2" xfId="34703" xr:uid="{00000000-0005-0000-0000-00006C010000}"/>
    <cellStyle name="Afjusted 2 2 3 3 2 2 3 3" xfId="53066" xr:uid="{00000000-0005-0000-0000-00006C010000}"/>
    <cellStyle name="Afjusted 2 2 3 3 2 2 4" xfId="25450" xr:uid="{00000000-0005-0000-0000-00006C010000}"/>
    <cellStyle name="Afjusted 2 2 3 3 2 2 4 2" xfId="43819" xr:uid="{00000000-0005-0000-0000-00006C010000}"/>
    <cellStyle name="Afjusted 2 2 3 3 2 2 5" xfId="21771" xr:uid="{00000000-0005-0000-0000-00006C010000}"/>
    <cellStyle name="Afjusted 2 2 3 3 2 2 6" xfId="40150" xr:uid="{00000000-0005-0000-0000-00006C010000}"/>
    <cellStyle name="Afjusted 2 2 3 3 2 3" xfId="6465" xr:uid="{00000000-0005-0000-0000-00006C010000}"/>
    <cellStyle name="Afjusted 2 2 3 3 2 3 2" xfId="12756" xr:uid="{00000000-0005-0000-0000-00006C010000}"/>
    <cellStyle name="Afjusted 2 2 3 3 2 3 2 2" xfId="31182" xr:uid="{00000000-0005-0000-0000-00006C010000}"/>
    <cellStyle name="Afjusted 2 2 3 3 2 3 2 3" xfId="49545" xr:uid="{00000000-0005-0000-0000-00006C010000}"/>
    <cellStyle name="Afjusted 2 2 3 3 2 3 3" xfId="17067" xr:uid="{00000000-0005-0000-0000-00006C010000}"/>
    <cellStyle name="Afjusted 2 2 3 3 2 3 3 2" xfId="35415" xr:uid="{00000000-0005-0000-0000-00006C010000}"/>
    <cellStyle name="Afjusted 2 2 3 3 2 3 3 3" xfId="53778" xr:uid="{00000000-0005-0000-0000-00006C010000}"/>
    <cellStyle name="Afjusted 2 2 3 3 2 3 4" xfId="26200" xr:uid="{00000000-0005-0000-0000-00006C010000}"/>
    <cellStyle name="Afjusted 2 2 3 3 2 3 4 2" xfId="44569" xr:uid="{00000000-0005-0000-0000-00006C010000}"/>
    <cellStyle name="Afjusted 2 2 3 3 2 3 5" xfId="22493" xr:uid="{00000000-0005-0000-0000-00006C010000}"/>
    <cellStyle name="Afjusted 2 2 3 3 2 3 6" xfId="40862" xr:uid="{00000000-0005-0000-0000-00006C010000}"/>
    <cellStyle name="Afjusted 2 2 3 3 2 4" xfId="10179" xr:uid="{00000000-0005-0000-0000-00006C010000}"/>
    <cellStyle name="Afjusted 2 2 3 3 2 4 2" xfId="14236" xr:uid="{00000000-0005-0000-0000-00006C010000}"/>
    <cellStyle name="Afjusted 2 2 3 3 2 4 2 2" xfId="32652" xr:uid="{00000000-0005-0000-0000-00006C010000}"/>
    <cellStyle name="Afjusted 2 2 3 3 2 4 2 3" xfId="51015" xr:uid="{00000000-0005-0000-0000-00006C010000}"/>
    <cellStyle name="Afjusted 2 2 3 3 2 4 3" xfId="28890" xr:uid="{00000000-0005-0000-0000-00006C010000}"/>
    <cellStyle name="Afjusted 2 2 3 3 2 4 3 2" xfId="47253" xr:uid="{00000000-0005-0000-0000-00006C010000}"/>
    <cellStyle name="Afjusted 2 2 3 3 2 4 4" xfId="19693" xr:uid="{00000000-0005-0000-0000-00006C010000}"/>
    <cellStyle name="Afjusted 2 2 3 3 2 4 5" xfId="38099" xr:uid="{00000000-0005-0000-0000-00006C010000}"/>
    <cellStyle name="Afjusted 2 2 3 3 2 5" xfId="9370" xr:uid="{00000000-0005-0000-0000-00006C010000}"/>
    <cellStyle name="Afjusted 2 2 3 3 2 5 2" xfId="28089" xr:uid="{00000000-0005-0000-0000-00006C010000}"/>
    <cellStyle name="Afjusted 2 2 3 3 2 5 3" xfId="46452" xr:uid="{00000000-0005-0000-0000-00006C010000}"/>
    <cellStyle name="Afjusted 2 2 3 3 2 6" xfId="13426" xr:uid="{00000000-0005-0000-0000-00006C010000}"/>
    <cellStyle name="Afjusted 2 2 3 3 2 6 2" xfId="31847" xr:uid="{00000000-0005-0000-0000-00006C010000}"/>
    <cellStyle name="Afjusted 2 2 3 3 2 6 3" xfId="50210" xr:uid="{00000000-0005-0000-0000-00006C010000}"/>
    <cellStyle name="Afjusted 2 2 3 3 2 7" xfId="23374" xr:uid="{00000000-0005-0000-0000-00006C010000}"/>
    <cellStyle name="Afjusted 2 2 3 3 2 7 2" xfId="41743" xr:uid="{00000000-0005-0000-0000-00006C010000}"/>
    <cellStyle name="Afjusted 2 2 3 3 2 8" xfId="18452" xr:uid="{00000000-0005-0000-0000-00006C010000}"/>
    <cellStyle name="Afjusted 2 2 3 3 2 9" xfId="36858" xr:uid="{00000000-0005-0000-0000-00006C010000}"/>
    <cellStyle name="Afjusted 2 2 3 3 3" xfId="4464" xr:uid="{00000000-0005-0000-0000-00006C010000}"/>
    <cellStyle name="Afjusted 2 2 3 3 3 2" xfId="11060" xr:uid="{00000000-0005-0000-0000-00006C010000}"/>
    <cellStyle name="Afjusted 2 2 3 3 3 2 2" xfId="29680" xr:uid="{00000000-0005-0000-0000-00006C010000}"/>
    <cellStyle name="Afjusted 2 2 3 3 3 2 3" xfId="48043" xr:uid="{00000000-0005-0000-0000-00006C010000}"/>
    <cellStyle name="Afjusted 2 2 3 3 3 3" xfId="15198" xr:uid="{00000000-0005-0000-0000-00006C010000}"/>
    <cellStyle name="Afjusted 2 2 3 3 3 3 2" xfId="33593" xr:uid="{00000000-0005-0000-0000-00006C010000}"/>
    <cellStyle name="Afjusted 2 2 3 3 3 3 3" xfId="51956" xr:uid="{00000000-0005-0000-0000-00006C010000}"/>
    <cellStyle name="Afjusted 2 2 3 3 3 4" xfId="24324" xr:uid="{00000000-0005-0000-0000-00006C010000}"/>
    <cellStyle name="Afjusted 2 2 3 3 3 4 2" xfId="42693" xr:uid="{00000000-0005-0000-0000-00006C010000}"/>
    <cellStyle name="Afjusted 2 2 3 3 3 5" xfId="20648" xr:uid="{00000000-0005-0000-0000-00006C010000}"/>
    <cellStyle name="Afjusted 2 2 3 3 3 6" xfId="39040" xr:uid="{00000000-0005-0000-0000-00006C010000}"/>
    <cellStyle name="Afjusted 2 2 3 3 4" xfId="5050" xr:uid="{00000000-0005-0000-0000-00006C010000}"/>
    <cellStyle name="Afjusted 2 2 3 3 4 2" xfId="11572" xr:uid="{00000000-0005-0000-0000-00006C010000}"/>
    <cellStyle name="Afjusted 2 2 3 3 4 2 2" xfId="30142" xr:uid="{00000000-0005-0000-0000-00006C010000}"/>
    <cellStyle name="Afjusted 2 2 3 3 4 2 3" xfId="48505" xr:uid="{00000000-0005-0000-0000-00006C010000}"/>
    <cellStyle name="Afjusted 2 2 3 3 4 3" xfId="15763" xr:uid="{00000000-0005-0000-0000-00006C010000}"/>
    <cellStyle name="Afjusted 2 2 3 3 4 3 2" xfId="34150" xr:uid="{00000000-0005-0000-0000-00006C010000}"/>
    <cellStyle name="Afjusted 2 2 3 3 4 3 3" xfId="52513" xr:uid="{00000000-0005-0000-0000-00006C010000}"/>
    <cellStyle name="Afjusted 2 2 3 3 4 4" xfId="24886" xr:uid="{00000000-0005-0000-0000-00006C010000}"/>
    <cellStyle name="Afjusted 2 2 3 3 4 4 2" xfId="43255" xr:uid="{00000000-0005-0000-0000-00006C010000}"/>
    <cellStyle name="Afjusted 2 2 3 3 4 5" xfId="21211" xr:uid="{00000000-0005-0000-0000-00006C010000}"/>
    <cellStyle name="Afjusted 2 2 3 3 4 6" xfId="39597" xr:uid="{00000000-0005-0000-0000-00006C010000}"/>
    <cellStyle name="Afjusted 2 2 3 3 5" xfId="9136" xr:uid="{00000000-0005-0000-0000-00006C010000}"/>
    <cellStyle name="Afjusted 2 2 3 3 5 2" xfId="13195" xr:uid="{00000000-0005-0000-0000-00006C010000}"/>
    <cellStyle name="Afjusted 2 2 3 3 5 2 2" xfId="31621" xr:uid="{00000000-0005-0000-0000-00006C010000}"/>
    <cellStyle name="Afjusted 2 2 3 3 5 2 3" xfId="49984" xr:uid="{00000000-0005-0000-0000-00006C010000}"/>
    <cellStyle name="Afjusted 2 2 3 3 5 3" xfId="27862" xr:uid="{00000000-0005-0000-0000-00006C010000}"/>
    <cellStyle name="Afjusted 2 2 3 3 5 3 2" xfId="46225" xr:uid="{00000000-0005-0000-0000-00006C010000}"/>
    <cellStyle name="Afjusted 2 2 3 3 5 4" xfId="18049" xr:uid="{00000000-0005-0000-0000-00006C010000}"/>
    <cellStyle name="Afjusted 2 2 3 3 5 5" xfId="36457" xr:uid="{00000000-0005-0000-0000-00006C010000}"/>
    <cellStyle name="Afjusted 2 2 3 3 6" xfId="7734" xr:uid="{00000000-0005-0000-0000-00006C010000}"/>
    <cellStyle name="Afjusted 2 2 3 3 6 2" xfId="27011" xr:uid="{00000000-0005-0000-0000-00006C010000}"/>
    <cellStyle name="Afjusted 2 2 3 3 6 3" xfId="45376" xr:uid="{00000000-0005-0000-0000-00006C010000}"/>
    <cellStyle name="Afjusted 2 2 3 3 7" xfId="7586" xr:uid="{00000000-0005-0000-0000-00006C010000}"/>
    <cellStyle name="Afjusted 2 2 3 3 7 2" xfId="26893" xr:uid="{00000000-0005-0000-0000-00006C010000}"/>
    <cellStyle name="Afjusted 2 2 3 3 7 3" xfId="45258" xr:uid="{00000000-0005-0000-0000-00006C010000}"/>
    <cellStyle name="Afjusted 2 2 3 3 8" xfId="19171" xr:uid="{00000000-0005-0000-0000-00006C010000}"/>
    <cellStyle name="Afjusted 2 2 3 3 8 2" xfId="37579" xr:uid="{00000000-0005-0000-0000-00006C010000}"/>
    <cellStyle name="Afjusted 2 2 3 3 9" xfId="8893" xr:uid="{00000000-0005-0000-0000-00006C010000}"/>
    <cellStyle name="Afjusted 2 2 3 4" xfId="1364" xr:uid="{00000000-0005-0000-0000-00006D010000}"/>
    <cellStyle name="Afjusted 2 2 3 4 10" xfId="8188" xr:uid="{00000000-0005-0000-0000-00006D010000}"/>
    <cellStyle name="Afjusted 2 2 3 4 2" xfId="3406" xr:uid="{00000000-0005-0000-0000-00006D010000}"/>
    <cellStyle name="Afjusted 2 2 3 4 2 2" xfId="5581" xr:uid="{00000000-0005-0000-0000-00006D010000}"/>
    <cellStyle name="Afjusted 2 2 3 4 2 2 2" xfId="11945" xr:uid="{00000000-0005-0000-0000-00006D010000}"/>
    <cellStyle name="Afjusted 2 2 3 4 2 2 2 2" xfId="30392" xr:uid="{00000000-0005-0000-0000-00006D010000}"/>
    <cellStyle name="Afjusted 2 2 3 4 2 2 2 3" xfId="48755" xr:uid="{00000000-0005-0000-0000-00006D010000}"/>
    <cellStyle name="Afjusted 2 2 3 4 2 2 3" xfId="16271" xr:uid="{00000000-0005-0000-0000-00006D010000}"/>
    <cellStyle name="Afjusted 2 2 3 4 2 2 3 2" xfId="34643" xr:uid="{00000000-0005-0000-0000-00006D010000}"/>
    <cellStyle name="Afjusted 2 2 3 4 2 2 3 3" xfId="53006" xr:uid="{00000000-0005-0000-0000-00006D010000}"/>
    <cellStyle name="Afjusted 2 2 3 4 2 2 4" xfId="25390" xr:uid="{00000000-0005-0000-0000-00006D010000}"/>
    <cellStyle name="Afjusted 2 2 3 4 2 2 4 2" xfId="43759" xr:uid="{00000000-0005-0000-0000-00006D010000}"/>
    <cellStyle name="Afjusted 2 2 3 4 2 2 5" xfId="21711" xr:uid="{00000000-0005-0000-0000-00006D010000}"/>
    <cellStyle name="Afjusted 2 2 3 4 2 2 6" xfId="40090" xr:uid="{00000000-0005-0000-0000-00006D010000}"/>
    <cellStyle name="Afjusted 2 2 3 4 2 3" xfId="6405" xr:uid="{00000000-0005-0000-0000-00006D010000}"/>
    <cellStyle name="Afjusted 2 2 3 4 2 3 2" xfId="12696" xr:uid="{00000000-0005-0000-0000-00006D010000}"/>
    <cellStyle name="Afjusted 2 2 3 4 2 3 2 2" xfId="31122" xr:uid="{00000000-0005-0000-0000-00006D010000}"/>
    <cellStyle name="Afjusted 2 2 3 4 2 3 2 3" xfId="49485" xr:uid="{00000000-0005-0000-0000-00006D010000}"/>
    <cellStyle name="Afjusted 2 2 3 4 2 3 3" xfId="17007" xr:uid="{00000000-0005-0000-0000-00006D010000}"/>
    <cellStyle name="Afjusted 2 2 3 4 2 3 3 2" xfId="35355" xr:uid="{00000000-0005-0000-0000-00006D010000}"/>
    <cellStyle name="Afjusted 2 2 3 4 2 3 3 3" xfId="53718" xr:uid="{00000000-0005-0000-0000-00006D010000}"/>
    <cellStyle name="Afjusted 2 2 3 4 2 3 4" xfId="26140" xr:uid="{00000000-0005-0000-0000-00006D010000}"/>
    <cellStyle name="Afjusted 2 2 3 4 2 3 4 2" xfId="44509" xr:uid="{00000000-0005-0000-0000-00006D010000}"/>
    <cellStyle name="Afjusted 2 2 3 4 2 3 5" xfId="22433" xr:uid="{00000000-0005-0000-0000-00006D010000}"/>
    <cellStyle name="Afjusted 2 2 3 4 2 3 6" xfId="40802" xr:uid="{00000000-0005-0000-0000-00006D010000}"/>
    <cellStyle name="Afjusted 2 2 3 4 2 4" xfId="10119" xr:uid="{00000000-0005-0000-0000-00006D010000}"/>
    <cellStyle name="Afjusted 2 2 3 4 2 4 2" xfId="14176" xr:uid="{00000000-0005-0000-0000-00006D010000}"/>
    <cellStyle name="Afjusted 2 2 3 4 2 4 2 2" xfId="32592" xr:uid="{00000000-0005-0000-0000-00006D010000}"/>
    <cellStyle name="Afjusted 2 2 3 4 2 4 2 3" xfId="50955" xr:uid="{00000000-0005-0000-0000-00006D010000}"/>
    <cellStyle name="Afjusted 2 2 3 4 2 4 3" xfId="28830" xr:uid="{00000000-0005-0000-0000-00006D010000}"/>
    <cellStyle name="Afjusted 2 2 3 4 2 4 3 2" xfId="47193" xr:uid="{00000000-0005-0000-0000-00006D010000}"/>
    <cellStyle name="Afjusted 2 2 3 4 2 4 4" xfId="19633" xr:uid="{00000000-0005-0000-0000-00006D010000}"/>
    <cellStyle name="Afjusted 2 2 3 4 2 4 5" xfId="38039" xr:uid="{00000000-0005-0000-0000-00006D010000}"/>
    <cellStyle name="Afjusted 2 2 3 4 2 5" xfId="9306" xr:uid="{00000000-0005-0000-0000-00006D010000}"/>
    <cellStyle name="Afjusted 2 2 3 4 2 5 2" xfId="28025" xr:uid="{00000000-0005-0000-0000-00006D010000}"/>
    <cellStyle name="Afjusted 2 2 3 4 2 5 3" xfId="46388" xr:uid="{00000000-0005-0000-0000-00006D010000}"/>
    <cellStyle name="Afjusted 2 2 3 4 2 6" xfId="13362" xr:uid="{00000000-0005-0000-0000-00006D010000}"/>
    <cellStyle name="Afjusted 2 2 3 4 2 6 2" xfId="31783" xr:uid="{00000000-0005-0000-0000-00006D010000}"/>
    <cellStyle name="Afjusted 2 2 3 4 2 6 3" xfId="50146" xr:uid="{00000000-0005-0000-0000-00006D010000}"/>
    <cellStyle name="Afjusted 2 2 3 4 2 7" xfId="23314" xr:uid="{00000000-0005-0000-0000-00006D010000}"/>
    <cellStyle name="Afjusted 2 2 3 4 2 7 2" xfId="41683" xr:uid="{00000000-0005-0000-0000-00006D010000}"/>
    <cellStyle name="Afjusted 2 2 3 4 2 8" xfId="18382" xr:uid="{00000000-0005-0000-0000-00006D010000}"/>
    <cellStyle name="Afjusted 2 2 3 4 2 9" xfId="36788" xr:uid="{00000000-0005-0000-0000-00006D010000}"/>
    <cellStyle name="Afjusted 2 2 3 4 3" xfId="4397" xr:uid="{00000000-0005-0000-0000-00006D010000}"/>
    <cellStyle name="Afjusted 2 2 3 4 3 2" xfId="10996" xr:uid="{00000000-0005-0000-0000-00006D010000}"/>
    <cellStyle name="Afjusted 2 2 3 4 3 2 2" xfId="29618" xr:uid="{00000000-0005-0000-0000-00006D010000}"/>
    <cellStyle name="Afjusted 2 2 3 4 3 2 3" xfId="47981" xr:uid="{00000000-0005-0000-0000-00006D010000}"/>
    <cellStyle name="Afjusted 2 2 3 4 3 3" xfId="15132" xr:uid="{00000000-0005-0000-0000-00006D010000}"/>
    <cellStyle name="Afjusted 2 2 3 4 3 3 2" xfId="33529" xr:uid="{00000000-0005-0000-0000-00006D010000}"/>
    <cellStyle name="Afjusted 2 2 3 4 3 3 3" xfId="51892" xr:uid="{00000000-0005-0000-0000-00006D010000}"/>
    <cellStyle name="Afjusted 2 2 3 4 3 4" xfId="24260" xr:uid="{00000000-0005-0000-0000-00006D010000}"/>
    <cellStyle name="Afjusted 2 2 3 4 3 4 2" xfId="42629" xr:uid="{00000000-0005-0000-0000-00006D010000}"/>
    <cellStyle name="Afjusted 2 2 3 4 3 5" xfId="20583" xr:uid="{00000000-0005-0000-0000-00006D010000}"/>
    <cellStyle name="Afjusted 2 2 3 4 3 6" xfId="38976" xr:uid="{00000000-0005-0000-0000-00006D010000}"/>
    <cellStyle name="Afjusted 2 2 3 4 4" xfId="4054" xr:uid="{00000000-0005-0000-0000-00006D010000}"/>
    <cellStyle name="Afjusted 2 2 3 4 4 2" xfId="10755" xr:uid="{00000000-0005-0000-0000-00006D010000}"/>
    <cellStyle name="Afjusted 2 2 3 4 4 2 2" xfId="29458" xr:uid="{00000000-0005-0000-0000-00006D010000}"/>
    <cellStyle name="Afjusted 2 2 3 4 4 2 3" xfId="47821" xr:uid="{00000000-0005-0000-0000-00006D010000}"/>
    <cellStyle name="Afjusted 2 2 3 4 4 3" xfId="14815" xr:uid="{00000000-0005-0000-0000-00006D010000}"/>
    <cellStyle name="Afjusted 2 2 3 4 4 3 2" xfId="33227" xr:uid="{00000000-0005-0000-0000-00006D010000}"/>
    <cellStyle name="Afjusted 2 2 3 4 4 3 3" xfId="51590" xr:uid="{00000000-0005-0000-0000-00006D010000}"/>
    <cellStyle name="Afjusted 2 2 3 4 4 4" xfId="23951" xr:uid="{00000000-0005-0000-0000-00006D010000}"/>
    <cellStyle name="Afjusted 2 2 3 4 4 4 2" xfId="42320" xr:uid="{00000000-0005-0000-0000-00006D010000}"/>
    <cellStyle name="Afjusted 2 2 3 4 4 5" xfId="20271" xr:uid="{00000000-0005-0000-0000-00006D010000}"/>
    <cellStyle name="Afjusted 2 2 3 4 4 6" xfId="38674" xr:uid="{00000000-0005-0000-0000-00006D010000}"/>
    <cellStyle name="Afjusted 2 2 3 4 5" xfId="9354" xr:uid="{00000000-0005-0000-0000-00006D010000}"/>
    <cellStyle name="Afjusted 2 2 3 4 5 2" xfId="13410" xr:uid="{00000000-0005-0000-0000-00006D010000}"/>
    <cellStyle name="Afjusted 2 2 3 4 5 2 2" xfId="31831" xr:uid="{00000000-0005-0000-0000-00006D010000}"/>
    <cellStyle name="Afjusted 2 2 3 4 5 2 3" xfId="50194" xr:uid="{00000000-0005-0000-0000-00006D010000}"/>
    <cellStyle name="Afjusted 2 2 3 4 5 3" xfId="28073" xr:uid="{00000000-0005-0000-0000-00006D010000}"/>
    <cellStyle name="Afjusted 2 2 3 4 5 3 2" xfId="46436" xr:uid="{00000000-0005-0000-0000-00006D010000}"/>
    <cellStyle name="Afjusted 2 2 3 4 5 4" xfId="18435" xr:uid="{00000000-0005-0000-0000-00006D010000}"/>
    <cellStyle name="Afjusted 2 2 3 4 5 5" xfId="36841" xr:uid="{00000000-0005-0000-0000-00006D010000}"/>
    <cellStyle name="Afjusted 2 2 3 4 6" xfId="7659" xr:uid="{00000000-0005-0000-0000-00006D010000}"/>
    <cellStyle name="Afjusted 2 2 3 4 6 2" xfId="26943" xr:uid="{00000000-0005-0000-0000-00006D010000}"/>
    <cellStyle name="Afjusted 2 2 3 4 6 3" xfId="45308" xr:uid="{00000000-0005-0000-0000-00006D010000}"/>
    <cellStyle name="Afjusted 2 2 3 4 7" xfId="5125" xr:uid="{00000000-0005-0000-0000-00006D010000}"/>
    <cellStyle name="Afjusted 2 2 3 4 7 2" xfId="24952" xr:uid="{00000000-0005-0000-0000-00006D010000}"/>
    <cellStyle name="Afjusted 2 2 3 4 7 3" xfId="43321" xr:uid="{00000000-0005-0000-0000-00006D010000}"/>
    <cellStyle name="Afjusted 2 2 3 4 8" xfId="19432" xr:uid="{00000000-0005-0000-0000-00006D010000}"/>
    <cellStyle name="Afjusted 2 2 3 4 8 2" xfId="37838" xr:uid="{00000000-0005-0000-0000-00006D010000}"/>
    <cellStyle name="Afjusted 2 2 3 4 9" xfId="6219" xr:uid="{00000000-0005-0000-0000-00006D010000}"/>
    <cellStyle name="Afjusted 2 2 3 5" xfId="3524" xr:uid="{00000000-0005-0000-0000-00006A010000}"/>
    <cellStyle name="Afjusted 2 2 3 5 2" xfId="5698" xr:uid="{00000000-0005-0000-0000-00006A010000}"/>
    <cellStyle name="Afjusted 2 2 3 5 2 2" xfId="12062" xr:uid="{00000000-0005-0000-0000-00006A010000}"/>
    <cellStyle name="Afjusted 2 2 3 5 2 2 2" xfId="30509" xr:uid="{00000000-0005-0000-0000-00006A010000}"/>
    <cellStyle name="Afjusted 2 2 3 5 2 2 3" xfId="48872" xr:uid="{00000000-0005-0000-0000-00006A010000}"/>
    <cellStyle name="Afjusted 2 2 3 5 2 3" xfId="16388" xr:uid="{00000000-0005-0000-0000-00006A010000}"/>
    <cellStyle name="Afjusted 2 2 3 5 2 3 2" xfId="34760" xr:uid="{00000000-0005-0000-0000-00006A010000}"/>
    <cellStyle name="Afjusted 2 2 3 5 2 3 3" xfId="53123" xr:uid="{00000000-0005-0000-0000-00006A010000}"/>
    <cellStyle name="Afjusted 2 2 3 5 2 4" xfId="25507" xr:uid="{00000000-0005-0000-0000-00006A010000}"/>
    <cellStyle name="Afjusted 2 2 3 5 2 4 2" xfId="43876" xr:uid="{00000000-0005-0000-0000-00006A010000}"/>
    <cellStyle name="Afjusted 2 2 3 5 2 5" xfId="21828" xr:uid="{00000000-0005-0000-0000-00006A010000}"/>
    <cellStyle name="Afjusted 2 2 3 5 2 6" xfId="40207" xr:uid="{00000000-0005-0000-0000-00006A010000}"/>
    <cellStyle name="Afjusted 2 2 3 5 3" xfId="6523" xr:uid="{00000000-0005-0000-0000-00006A010000}"/>
    <cellStyle name="Afjusted 2 2 3 5 3 2" xfId="12814" xr:uid="{00000000-0005-0000-0000-00006A010000}"/>
    <cellStyle name="Afjusted 2 2 3 5 3 2 2" xfId="31240" xr:uid="{00000000-0005-0000-0000-00006A010000}"/>
    <cellStyle name="Afjusted 2 2 3 5 3 2 3" xfId="49603" xr:uid="{00000000-0005-0000-0000-00006A010000}"/>
    <cellStyle name="Afjusted 2 2 3 5 3 3" xfId="17125" xr:uid="{00000000-0005-0000-0000-00006A010000}"/>
    <cellStyle name="Afjusted 2 2 3 5 3 3 2" xfId="35473" xr:uid="{00000000-0005-0000-0000-00006A010000}"/>
    <cellStyle name="Afjusted 2 2 3 5 3 3 3" xfId="53836" xr:uid="{00000000-0005-0000-0000-00006A010000}"/>
    <cellStyle name="Afjusted 2 2 3 5 3 4" xfId="26258" xr:uid="{00000000-0005-0000-0000-00006A010000}"/>
    <cellStyle name="Afjusted 2 2 3 5 3 4 2" xfId="44627" xr:uid="{00000000-0005-0000-0000-00006A010000}"/>
    <cellStyle name="Afjusted 2 2 3 5 3 5" xfId="22551" xr:uid="{00000000-0005-0000-0000-00006A010000}"/>
    <cellStyle name="Afjusted 2 2 3 5 3 6" xfId="40920" xr:uid="{00000000-0005-0000-0000-00006A010000}"/>
    <cellStyle name="Afjusted 2 2 3 5 4" xfId="10237" xr:uid="{00000000-0005-0000-0000-00006A010000}"/>
    <cellStyle name="Afjusted 2 2 3 5 4 2" xfId="14294" xr:uid="{00000000-0005-0000-0000-00006A010000}"/>
    <cellStyle name="Afjusted 2 2 3 5 4 2 2" xfId="32710" xr:uid="{00000000-0005-0000-0000-00006A010000}"/>
    <cellStyle name="Afjusted 2 2 3 5 4 2 3" xfId="51073" xr:uid="{00000000-0005-0000-0000-00006A010000}"/>
    <cellStyle name="Afjusted 2 2 3 5 4 3" xfId="28948" xr:uid="{00000000-0005-0000-0000-00006A010000}"/>
    <cellStyle name="Afjusted 2 2 3 5 4 3 2" xfId="47311" xr:uid="{00000000-0005-0000-0000-00006A010000}"/>
    <cellStyle name="Afjusted 2 2 3 5 4 4" xfId="19751" xr:uid="{00000000-0005-0000-0000-00006A010000}"/>
    <cellStyle name="Afjusted 2 2 3 5 4 5" xfId="38157" xr:uid="{00000000-0005-0000-0000-00006A010000}"/>
    <cellStyle name="Afjusted 2 2 3 5 5" xfId="9432" xr:uid="{00000000-0005-0000-0000-00006A010000}"/>
    <cellStyle name="Afjusted 2 2 3 5 5 2" xfId="28149" xr:uid="{00000000-0005-0000-0000-00006A010000}"/>
    <cellStyle name="Afjusted 2 2 3 5 5 3" xfId="46512" xr:uid="{00000000-0005-0000-0000-00006A010000}"/>
    <cellStyle name="Afjusted 2 2 3 5 6" xfId="13489" xr:uid="{00000000-0005-0000-0000-00006A010000}"/>
    <cellStyle name="Afjusted 2 2 3 5 6 2" xfId="31910" xr:uid="{00000000-0005-0000-0000-00006A010000}"/>
    <cellStyle name="Afjusted 2 2 3 5 6 3" xfId="50273" xr:uid="{00000000-0005-0000-0000-00006A010000}"/>
    <cellStyle name="Afjusted 2 2 3 5 7" xfId="23432" xr:uid="{00000000-0005-0000-0000-00006A010000}"/>
    <cellStyle name="Afjusted 2 2 3 5 7 2" xfId="41801" xr:uid="{00000000-0005-0000-0000-00006A010000}"/>
    <cellStyle name="Afjusted 2 2 3 5 8" xfId="18517" xr:uid="{00000000-0005-0000-0000-00006A010000}"/>
    <cellStyle name="Afjusted 2 2 3 5 9" xfId="36926" xr:uid="{00000000-0005-0000-0000-00006A010000}"/>
    <cellStyle name="Afjusted 2 2 3 6" xfId="4528" xr:uid="{00000000-0005-0000-0000-00006A010000}"/>
    <cellStyle name="Afjusted 2 2 3 6 2" xfId="11119" xr:uid="{00000000-0005-0000-0000-00006A010000}"/>
    <cellStyle name="Afjusted 2 2 3 6 2 2" xfId="29737" xr:uid="{00000000-0005-0000-0000-00006A010000}"/>
    <cellStyle name="Afjusted 2 2 3 6 2 3" xfId="48100" xr:uid="{00000000-0005-0000-0000-00006A010000}"/>
    <cellStyle name="Afjusted 2 2 3 6 3" xfId="15257" xr:uid="{00000000-0005-0000-0000-00006A010000}"/>
    <cellStyle name="Afjusted 2 2 3 6 3 2" xfId="33651" xr:uid="{00000000-0005-0000-0000-00006A010000}"/>
    <cellStyle name="Afjusted 2 2 3 6 3 3" xfId="52014" xr:uid="{00000000-0005-0000-0000-00006A010000}"/>
    <cellStyle name="Afjusted 2 2 3 6 4" xfId="24382" xr:uid="{00000000-0005-0000-0000-00006A010000}"/>
    <cellStyle name="Afjusted 2 2 3 6 4 2" xfId="42751" xr:uid="{00000000-0005-0000-0000-00006A010000}"/>
    <cellStyle name="Afjusted 2 2 3 6 5" xfId="20706" xr:uid="{00000000-0005-0000-0000-00006A010000}"/>
    <cellStyle name="Afjusted 2 2 3 6 6" xfId="39098" xr:uid="{00000000-0005-0000-0000-00006A010000}"/>
    <cellStyle name="Afjusted 2 2 3 7" xfId="3985" xr:uid="{00000000-0005-0000-0000-00006A010000}"/>
    <cellStyle name="Afjusted 2 2 3 7 2" xfId="10690" xr:uid="{00000000-0005-0000-0000-00006A010000}"/>
    <cellStyle name="Afjusted 2 2 3 7 2 2" xfId="29395" xr:uid="{00000000-0005-0000-0000-00006A010000}"/>
    <cellStyle name="Afjusted 2 2 3 7 2 3" xfId="47758" xr:uid="{00000000-0005-0000-0000-00006A010000}"/>
    <cellStyle name="Afjusted 2 2 3 7 3" xfId="14746" xr:uid="{00000000-0005-0000-0000-00006A010000}"/>
    <cellStyle name="Afjusted 2 2 3 7 3 2" xfId="33158" xr:uid="{00000000-0005-0000-0000-00006A010000}"/>
    <cellStyle name="Afjusted 2 2 3 7 3 3" xfId="51521" xr:uid="{00000000-0005-0000-0000-00006A010000}"/>
    <cellStyle name="Afjusted 2 2 3 7 4" xfId="23882" xr:uid="{00000000-0005-0000-0000-00006A010000}"/>
    <cellStyle name="Afjusted 2 2 3 7 4 2" xfId="42251" xr:uid="{00000000-0005-0000-0000-00006A010000}"/>
    <cellStyle name="Afjusted 2 2 3 7 5" xfId="20202" xr:uid="{00000000-0005-0000-0000-00006A010000}"/>
    <cellStyle name="Afjusted 2 2 3 7 6" xfId="38605" xr:uid="{00000000-0005-0000-0000-00006A010000}"/>
    <cellStyle name="Afjusted 2 2 3 8" xfId="7797" xr:uid="{00000000-0005-0000-0000-00006A010000}"/>
    <cellStyle name="Afjusted 2 2 3 8 2" xfId="27068" xr:uid="{00000000-0005-0000-0000-00006A010000}"/>
    <cellStyle name="Afjusted 2 2 3 8 3" xfId="45433" xr:uid="{00000000-0005-0000-0000-00006A010000}"/>
    <cellStyle name="Afjusted 2 2 3 9" xfId="8257" xr:uid="{00000000-0005-0000-0000-00006A010000}"/>
    <cellStyle name="Afjusted 2 2 3 9 2" xfId="27387" xr:uid="{00000000-0005-0000-0000-00006A010000}"/>
    <cellStyle name="Afjusted 2 2 3 9 3" xfId="45752" xr:uid="{00000000-0005-0000-0000-00006A010000}"/>
    <cellStyle name="Afjusted 2 2 4" xfId="1497" xr:uid="{00000000-0005-0000-0000-00006E010000}"/>
    <cellStyle name="Afjusted 2 2 4 2" xfId="3507" xr:uid="{00000000-0005-0000-0000-00006E010000}"/>
    <cellStyle name="Afjusted 2 2 4 2 2" xfId="5681" xr:uid="{00000000-0005-0000-0000-00006E010000}"/>
    <cellStyle name="Afjusted 2 2 4 2 2 2" xfId="12045" xr:uid="{00000000-0005-0000-0000-00006E010000}"/>
    <cellStyle name="Afjusted 2 2 4 2 2 2 2" xfId="30492" xr:uid="{00000000-0005-0000-0000-00006E010000}"/>
    <cellStyle name="Afjusted 2 2 4 2 2 2 3" xfId="48855" xr:uid="{00000000-0005-0000-0000-00006E010000}"/>
    <cellStyle name="Afjusted 2 2 4 2 2 3" xfId="16371" xr:uid="{00000000-0005-0000-0000-00006E010000}"/>
    <cellStyle name="Afjusted 2 2 4 2 2 3 2" xfId="34743" xr:uid="{00000000-0005-0000-0000-00006E010000}"/>
    <cellStyle name="Afjusted 2 2 4 2 2 3 3" xfId="53106" xr:uid="{00000000-0005-0000-0000-00006E010000}"/>
    <cellStyle name="Afjusted 2 2 4 2 2 4" xfId="25490" xr:uid="{00000000-0005-0000-0000-00006E010000}"/>
    <cellStyle name="Afjusted 2 2 4 2 2 4 2" xfId="43859" xr:uid="{00000000-0005-0000-0000-00006E010000}"/>
    <cellStyle name="Afjusted 2 2 4 2 2 5" xfId="21811" xr:uid="{00000000-0005-0000-0000-00006E010000}"/>
    <cellStyle name="Afjusted 2 2 4 2 2 6" xfId="40190" xr:uid="{00000000-0005-0000-0000-00006E010000}"/>
    <cellStyle name="Afjusted 2 2 4 2 3" xfId="6506" xr:uid="{00000000-0005-0000-0000-00006E010000}"/>
    <cellStyle name="Afjusted 2 2 4 2 3 2" xfId="12797" xr:uid="{00000000-0005-0000-0000-00006E010000}"/>
    <cellStyle name="Afjusted 2 2 4 2 3 2 2" xfId="31223" xr:uid="{00000000-0005-0000-0000-00006E010000}"/>
    <cellStyle name="Afjusted 2 2 4 2 3 2 3" xfId="49586" xr:uid="{00000000-0005-0000-0000-00006E010000}"/>
    <cellStyle name="Afjusted 2 2 4 2 3 3" xfId="17108" xr:uid="{00000000-0005-0000-0000-00006E010000}"/>
    <cellStyle name="Afjusted 2 2 4 2 3 3 2" xfId="35456" xr:uid="{00000000-0005-0000-0000-00006E010000}"/>
    <cellStyle name="Afjusted 2 2 4 2 3 3 3" xfId="53819" xr:uid="{00000000-0005-0000-0000-00006E010000}"/>
    <cellStyle name="Afjusted 2 2 4 2 3 4" xfId="26241" xr:uid="{00000000-0005-0000-0000-00006E010000}"/>
    <cellStyle name="Afjusted 2 2 4 2 3 4 2" xfId="44610" xr:uid="{00000000-0005-0000-0000-00006E010000}"/>
    <cellStyle name="Afjusted 2 2 4 2 3 5" xfId="22534" xr:uid="{00000000-0005-0000-0000-00006E010000}"/>
    <cellStyle name="Afjusted 2 2 4 2 3 6" xfId="40903" xr:uid="{00000000-0005-0000-0000-00006E010000}"/>
    <cellStyle name="Afjusted 2 2 4 2 4" xfId="10220" xr:uid="{00000000-0005-0000-0000-00006E010000}"/>
    <cellStyle name="Afjusted 2 2 4 2 4 2" xfId="14277" xr:uid="{00000000-0005-0000-0000-00006E010000}"/>
    <cellStyle name="Afjusted 2 2 4 2 4 2 2" xfId="32693" xr:uid="{00000000-0005-0000-0000-00006E010000}"/>
    <cellStyle name="Afjusted 2 2 4 2 4 2 3" xfId="51056" xr:uid="{00000000-0005-0000-0000-00006E010000}"/>
    <cellStyle name="Afjusted 2 2 4 2 4 3" xfId="28931" xr:uid="{00000000-0005-0000-0000-00006E010000}"/>
    <cellStyle name="Afjusted 2 2 4 2 4 3 2" xfId="47294" xr:uid="{00000000-0005-0000-0000-00006E010000}"/>
    <cellStyle name="Afjusted 2 2 4 2 4 4" xfId="19734" xr:uid="{00000000-0005-0000-0000-00006E010000}"/>
    <cellStyle name="Afjusted 2 2 4 2 4 5" xfId="38140" xr:uid="{00000000-0005-0000-0000-00006E010000}"/>
    <cellStyle name="Afjusted 2 2 4 2 5" xfId="9415" xr:uid="{00000000-0005-0000-0000-00006E010000}"/>
    <cellStyle name="Afjusted 2 2 4 2 5 2" xfId="28132" xr:uid="{00000000-0005-0000-0000-00006E010000}"/>
    <cellStyle name="Afjusted 2 2 4 2 5 3" xfId="46495" xr:uid="{00000000-0005-0000-0000-00006E010000}"/>
    <cellStyle name="Afjusted 2 2 4 2 6" xfId="13472" xr:uid="{00000000-0005-0000-0000-00006E010000}"/>
    <cellStyle name="Afjusted 2 2 4 2 6 2" xfId="31893" xr:uid="{00000000-0005-0000-0000-00006E010000}"/>
    <cellStyle name="Afjusted 2 2 4 2 6 3" xfId="50256" xr:uid="{00000000-0005-0000-0000-00006E010000}"/>
    <cellStyle name="Afjusted 2 2 4 2 7" xfId="23415" xr:uid="{00000000-0005-0000-0000-00006E010000}"/>
    <cellStyle name="Afjusted 2 2 4 2 7 2" xfId="41784" xr:uid="{00000000-0005-0000-0000-00006E010000}"/>
    <cellStyle name="Afjusted 2 2 4 2 8" xfId="18496" xr:uid="{00000000-0005-0000-0000-00006E010000}"/>
    <cellStyle name="Afjusted 2 2 4 2 9" xfId="36905" xr:uid="{00000000-0005-0000-0000-00006E010000}"/>
    <cellStyle name="Afjusted 2 2 4 3" xfId="4509" xr:uid="{00000000-0005-0000-0000-00006E010000}"/>
    <cellStyle name="Afjusted 2 2 4 3 2" xfId="11102" xr:uid="{00000000-0005-0000-0000-00006E010000}"/>
    <cellStyle name="Afjusted 2 2 4 3 2 2" xfId="29720" xr:uid="{00000000-0005-0000-0000-00006E010000}"/>
    <cellStyle name="Afjusted 2 2 4 3 2 3" xfId="48083" xr:uid="{00000000-0005-0000-0000-00006E010000}"/>
    <cellStyle name="Afjusted 2 2 4 3 3" xfId="15240" xr:uid="{00000000-0005-0000-0000-00006E010000}"/>
    <cellStyle name="Afjusted 2 2 4 3 3 2" xfId="33634" xr:uid="{00000000-0005-0000-0000-00006E010000}"/>
    <cellStyle name="Afjusted 2 2 4 3 3 3" xfId="51997" xr:uid="{00000000-0005-0000-0000-00006E010000}"/>
    <cellStyle name="Afjusted 2 2 4 3 4" xfId="24365" xr:uid="{00000000-0005-0000-0000-00006E010000}"/>
    <cellStyle name="Afjusted 2 2 4 3 4 2" xfId="42734" xr:uid="{00000000-0005-0000-0000-00006E010000}"/>
    <cellStyle name="Afjusted 2 2 4 3 5" xfId="20689" xr:uid="{00000000-0005-0000-0000-00006E010000}"/>
    <cellStyle name="Afjusted 2 2 4 3 6" xfId="39081" xr:uid="{00000000-0005-0000-0000-00006E010000}"/>
    <cellStyle name="Afjusted 2 2 4 4" xfId="5046" xr:uid="{00000000-0005-0000-0000-00006E010000}"/>
    <cellStyle name="Afjusted 2 2 4 4 2" xfId="11568" xr:uid="{00000000-0005-0000-0000-00006E010000}"/>
    <cellStyle name="Afjusted 2 2 4 4 2 2" xfId="30139" xr:uid="{00000000-0005-0000-0000-00006E010000}"/>
    <cellStyle name="Afjusted 2 2 4 4 2 3" xfId="48502" xr:uid="{00000000-0005-0000-0000-00006E010000}"/>
    <cellStyle name="Afjusted 2 2 4 4 3" xfId="15759" xr:uid="{00000000-0005-0000-0000-00006E010000}"/>
    <cellStyle name="Afjusted 2 2 4 4 3 2" xfId="34147" xr:uid="{00000000-0005-0000-0000-00006E010000}"/>
    <cellStyle name="Afjusted 2 2 4 4 3 3" xfId="52510" xr:uid="{00000000-0005-0000-0000-00006E010000}"/>
    <cellStyle name="Afjusted 2 2 4 4 4" xfId="24883" xr:uid="{00000000-0005-0000-0000-00006E010000}"/>
    <cellStyle name="Afjusted 2 2 4 4 4 2" xfId="43252" xr:uid="{00000000-0005-0000-0000-00006E010000}"/>
    <cellStyle name="Afjusted 2 2 4 4 5" xfId="21207" xr:uid="{00000000-0005-0000-0000-00006E010000}"/>
    <cellStyle name="Afjusted 2 2 4 4 6" xfId="39594" xr:uid="{00000000-0005-0000-0000-00006E010000}"/>
    <cellStyle name="Afjusted 2 2 4 5" xfId="9192" xr:uid="{00000000-0005-0000-0000-00006E010000}"/>
    <cellStyle name="Afjusted 2 2 4 5 2" xfId="13250" xr:uid="{00000000-0005-0000-0000-00006E010000}"/>
    <cellStyle name="Afjusted 2 2 4 5 2 2" xfId="31671" xr:uid="{00000000-0005-0000-0000-00006E010000}"/>
    <cellStyle name="Afjusted 2 2 4 5 2 3" xfId="50034" xr:uid="{00000000-0005-0000-0000-00006E010000}"/>
    <cellStyle name="Afjusted 2 2 4 5 3" xfId="27913" xr:uid="{00000000-0005-0000-0000-00006E010000}"/>
    <cellStyle name="Afjusted 2 2 4 5 3 2" xfId="46276" xr:uid="{00000000-0005-0000-0000-00006E010000}"/>
    <cellStyle name="Afjusted 2 2 4 5 4" xfId="18207" xr:uid="{00000000-0005-0000-0000-00006E010000}"/>
    <cellStyle name="Afjusted 2 2 4 5 5" xfId="36613" xr:uid="{00000000-0005-0000-0000-00006E010000}"/>
    <cellStyle name="Afjusted 2 2 4 6" xfId="7777" xr:uid="{00000000-0005-0000-0000-00006E010000}"/>
    <cellStyle name="Afjusted 2 2 4 6 2" xfId="27050" xr:uid="{00000000-0005-0000-0000-00006E010000}"/>
    <cellStyle name="Afjusted 2 2 4 6 3" xfId="45415" xr:uid="{00000000-0005-0000-0000-00006E010000}"/>
    <cellStyle name="Afjusted 2 2 4 7" xfId="18392" xr:uid="{00000000-0005-0000-0000-00006E010000}"/>
    <cellStyle name="Afjusted 2 2 4 7 2" xfId="36798" xr:uid="{00000000-0005-0000-0000-00006E010000}"/>
    <cellStyle name="Afjusted 2 2 4 8" xfId="8481" xr:uid="{00000000-0005-0000-0000-00006E010000}"/>
    <cellStyle name="Afjusted 2 2 4 9" xfId="7862" xr:uid="{00000000-0005-0000-0000-00006E010000}"/>
    <cellStyle name="Afjusted 2 2 5" xfId="1390" xr:uid="{00000000-0005-0000-0000-00006F010000}"/>
    <cellStyle name="Afjusted 2 2 5 10" xfId="8336" xr:uid="{00000000-0005-0000-0000-00006F010000}"/>
    <cellStyle name="Afjusted 2 2 5 2" xfId="3423" xr:uid="{00000000-0005-0000-0000-00006F010000}"/>
    <cellStyle name="Afjusted 2 2 5 2 2" xfId="5598" xr:uid="{00000000-0005-0000-0000-00006F010000}"/>
    <cellStyle name="Afjusted 2 2 5 2 2 2" xfId="11962" xr:uid="{00000000-0005-0000-0000-00006F010000}"/>
    <cellStyle name="Afjusted 2 2 5 2 2 2 2" xfId="30409" xr:uid="{00000000-0005-0000-0000-00006F010000}"/>
    <cellStyle name="Afjusted 2 2 5 2 2 2 3" xfId="48772" xr:uid="{00000000-0005-0000-0000-00006F010000}"/>
    <cellStyle name="Afjusted 2 2 5 2 2 3" xfId="16288" xr:uid="{00000000-0005-0000-0000-00006F010000}"/>
    <cellStyle name="Afjusted 2 2 5 2 2 3 2" xfId="34660" xr:uid="{00000000-0005-0000-0000-00006F010000}"/>
    <cellStyle name="Afjusted 2 2 5 2 2 3 3" xfId="53023" xr:uid="{00000000-0005-0000-0000-00006F010000}"/>
    <cellStyle name="Afjusted 2 2 5 2 2 4" xfId="25407" xr:uid="{00000000-0005-0000-0000-00006F010000}"/>
    <cellStyle name="Afjusted 2 2 5 2 2 4 2" xfId="43776" xr:uid="{00000000-0005-0000-0000-00006F010000}"/>
    <cellStyle name="Afjusted 2 2 5 2 2 5" xfId="21728" xr:uid="{00000000-0005-0000-0000-00006F010000}"/>
    <cellStyle name="Afjusted 2 2 5 2 2 6" xfId="40107" xr:uid="{00000000-0005-0000-0000-00006F010000}"/>
    <cellStyle name="Afjusted 2 2 5 2 3" xfId="6422" xr:uid="{00000000-0005-0000-0000-00006F010000}"/>
    <cellStyle name="Afjusted 2 2 5 2 3 2" xfId="12713" xr:uid="{00000000-0005-0000-0000-00006F010000}"/>
    <cellStyle name="Afjusted 2 2 5 2 3 2 2" xfId="31139" xr:uid="{00000000-0005-0000-0000-00006F010000}"/>
    <cellStyle name="Afjusted 2 2 5 2 3 2 3" xfId="49502" xr:uid="{00000000-0005-0000-0000-00006F010000}"/>
    <cellStyle name="Afjusted 2 2 5 2 3 3" xfId="17024" xr:uid="{00000000-0005-0000-0000-00006F010000}"/>
    <cellStyle name="Afjusted 2 2 5 2 3 3 2" xfId="35372" xr:uid="{00000000-0005-0000-0000-00006F010000}"/>
    <cellStyle name="Afjusted 2 2 5 2 3 3 3" xfId="53735" xr:uid="{00000000-0005-0000-0000-00006F010000}"/>
    <cellStyle name="Afjusted 2 2 5 2 3 4" xfId="26157" xr:uid="{00000000-0005-0000-0000-00006F010000}"/>
    <cellStyle name="Afjusted 2 2 5 2 3 4 2" xfId="44526" xr:uid="{00000000-0005-0000-0000-00006F010000}"/>
    <cellStyle name="Afjusted 2 2 5 2 3 5" xfId="22450" xr:uid="{00000000-0005-0000-0000-00006F010000}"/>
    <cellStyle name="Afjusted 2 2 5 2 3 6" xfId="40819" xr:uid="{00000000-0005-0000-0000-00006F010000}"/>
    <cellStyle name="Afjusted 2 2 5 2 4" xfId="10136" xr:uid="{00000000-0005-0000-0000-00006F010000}"/>
    <cellStyle name="Afjusted 2 2 5 2 4 2" xfId="14193" xr:uid="{00000000-0005-0000-0000-00006F010000}"/>
    <cellStyle name="Afjusted 2 2 5 2 4 2 2" xfId="32609" xr:uid="{00000000-0005-0000-0000-00006F010000}"/>
    <cellStyle name="Afjusted 2 2 5 2 4 2 3" xfId="50972" xr:uid="{00000000-0005-0000-0000-00006F010000}"/>
    <cellStyle name="Afjusted 2 2 5 2 4 3" xfId="28847" xr:uid="{00000000-0005-0000-0000-00006F010000}"/>
    <cellStyle name="Afjusted 2 2 5 2 4 3 2" xfId="47210" xr:uid="{00000000-0005-0000-0000-00006F010000}"/>
    <cellStyle name="Afjusted 2 2 5 2 4 4" xfId="19650" xr:uid="{00000000-0005-0000-0000-00006F010000}"/>
    <cellStyle name="Afjusted 2 2 5 2 4 5" xfId="38056" xr:uid="{00000000-0005-0000-0000-00006F010000}"/>
    <cellStyle name="Afjusted 2 2 5 2 5" xfId="9323" xr:uid="{00000000-0005-0000-0000-00006F010000}"/>
    <cellStyle name="Afjusted 2 2 5 2 5 2" xfId="28042" xr:uid="{00000000-0005-0000-0000-00006F010000}"/>
    <cellStyle name="Afjusted 2 2 5 2 5 3" xfId="46405" xr:uid="{00000000-0005-0000-0000-00006F010000}"/>
    <cellStyle name="Afjusted 2 2 5 2 6" xfId="13379" xr:uid="{00000000-0005-0000-0000-00006F010000}"/>
    <cellStyle name="Afjusted 2 2 5 2 6 2" xfId="31800" xr:uid="{00000000-0005-0000-0000-00006F010000}"/>
    <cellStyle name="Afjusted 2 2 5 2 6 3" xfId="50163" xr:uid="{00000000-0005-0000-0000-00006F010000}"/>
    <cellStyle name="Afjusted 2 2 5 2 7" xfId="23331" xr:uid="{00000000-0005-0000-0000-00006F010000}"/>
    <cellStyle name="Afjusted 2 2 5 2 7 2" xfId="41700" xr:uid="{00000000-0005-0000-0000-00006F010000}"/>
    <cellStyle name="Afjusted 2 2 5 2 8" xfId="18402" xr:uid="{00000000-0005-0000-0000-00006F010000}"/>
    <cellStyle name="Afjusted 2 2 5 2 9" xfId="36808" xr:uid="{00000000-0005-0000-0000-00006F010000}"/>
    <cellStyle name="Afjusted 2 2 5 3" xfId="4416" xr:uid="{00000000-0005-0000-0000-00006F010000}"/>
    <cellStyle name="Afjusted 2 2 5 3 2" xfId="11015" xr:uid="{00000000-0005-0000-0000-00006F010000}"/>
    <cellStyle name="Afjusted 2 2 5 3 2 2" xfId="29635" xr:uid="{00000000-0005-0000-0000-00006F010000}"/>
    <cellStyle name="Afjusted 2 2 5 3 2 3" xfId="47998" xr:uid="{00000000-0005-0000-0000-00006F010000}"/>
    <cellStyle name="Afjusted 2 2 5 3 3" xfId="15150" xr:uid="{00000000-0005-0000-0000-00006F010000}"/>
    <cellStyle name="Afjusted 2 2 5 3 3 2" xfId="33547" xr:uid="{00000000-0005-0000-0000-00006F010000}"/>
    <cellStyle name="Afjusted 2 2 5 3 3 3" xfId="51910" xr:uid="{00000000-0005-0000-0000-00006F010000}"/>
    <cellStyle name="Afjusted 2 2 5 3 4" xfId="24278" xr:uid="{00000000-0005-0000-0000-00006F010000}"/>
    <cellStyle name="Afjusted 2 2 5 3 4 2" xfId="42647" xr:uid="{00000000-0005-0000-0000-00006F010000}"/>
    <cellStyle name="Afjusted 2 2 5 3 5" xfId="20601" xr:uid="{00000000-0005-0000-0000-00006F010000}"/>
    <cellStyle name="Afjusted 2 2 5 3 6" xfId="38994" xr:uid="{00000000-0005-0000-0000-00006F010000}"/>
    <cellStyle name="Afjusted 2 2 5 4" xfId="55" xr:uid="{00000000-0005-0000-0000-00006F010000}"/>
    <cellStyle name="Afjusted 2 2 5 4 2" xfId="9434" xr:uid="{00000000-0005-0000-0000-00006F010000}"/>
    <cellStyle name="Afjusted 2 2 5 4 2 2" xfId="28151" xr:uid="{00000000-0005-0000-0000-00006F010000}"/>
    <cellStyle name="Afjusted 2 2 5 4 2 3" xfId="46514" xr:uid="{00000000-0005-0000-0000-00006F010000}"/>
    <cellStyle name="Afjusted 2 2 5 4 3" xfId="13491" xr:uid="{00000000-0005-0000-0000-00006F010000}"/>
    <cellStyle name="Afjusted 2 2 5 4 3 2" xfId="31912" xr:uid="{00000000-0005-0000-0000-00006F010000}"/>
    <cellStyle name="Afjusted 2 2 5 4 3 3" xfId="50275" xr:uid="{00000000-0005-0000-0000-00006F010000}"/>
    <cellStyle name="Afjusted 2 2 5 4 4" xfId="18765" xr:uid="{00000000-0005-0000-0000-00006F010000}"/>
    <cellStyle name="Afjusted 2 2 5 4 4 2" xfId="37174" xr:uid="{00000000-0005-0000-0000-00006F010000}"/>
    <cellStyle name="Afjusted 2 2 5 4 5" xfId="18519" xr:uid="{00000000-0005-0000-0000-00006F010000}"/>
    <cellStyle name="Afjusted 2 2 5 4 6" xfId="36928" xr:uid="{00000000-0005-0000-0000-00006F010000}"/>
    <cellStyle name="Afjusted 2 2 5 5" xfId="9252" xr:uid="{00000000-0005-0000-0000-00006F010000}"/>
    <cellStyle name="Afjusted 2 2 5 5 2" xfId="13309" xr:uid="{00000000-0005-0000-0000-00006F010000}"/>
    <cellStyle name="Afjusted 2 2 5 5 2 2" xfId="31730" xr:uid="{00000000-0005-0000-0000-00006F010000}"/>
    <cellStyle name="Afjusted 2 2 5 5 2 3" xfId="50093" xr:uid="{00000000-0005-0000-0000-00006F010000}"/>
    <cellStyle name="Afjusted 2 2 5 5 3" xfId="27972" xr:uid="{00000000-0005-0000-0000-00006F010000}"/>
    <cellStyle name="Afjusted 2 2 5 5 3 2" xfId="46335" xr:uid="{00000000-0005-0000-0000-00006F010000}"/>
    <cellStyle name="Afjusted 2 2 5 5 4" xfId="18304" xr:uid="{00000000-0005-0000-0000-00006F010000}"/>
    <cellStyle name="Afjusted 2 2 5 5 5" xfId="36710" xr:uid="{00000000-0005-0000-0000-00006F010000}"/>
    <cellStyle name="Afjusted 2 2 5 6" xfId="7682" xr:uid="{00000000-0005-0000-0000-00006F010000}"/>
    <cellStyle name="Afjusted 2 2 5 6 2" xfId="26964" xr:uid="{00000000-0005-0000-0000-00006F010000}"/>
    <cellStyle name="Afjusted 2 2 5 6 3" xfId="45329" xr:uid="{00000000-0005-0000-0000-00006F010000}"/>
    <cellStyle name="Afjusted 2 2 5 7" xfId="8719" xr:uid="{00000000-0005-0000-0000-00006F010000}"/>
    <cellStyle name="Afjusted 2 2 5 7 2" xfId="27603" xr:uid="{00000000-0005-0000-0000-00006F010000}"/>
    <cellStyle name="Afjusted 2 2 5 7 3" xfId="45966" xr:uid="{00000000-0005-0000-0000-00006F010000}"/>
    <cellStyle name="Afjusted 2 2 5 8" xfId="19420" xr:uid="{00000000-0005-0000-0000-00006F010000}"/>
    <cellStyle name="Afjusted 2 2 5 8 2" xfId="37826" xr:uid="{00000000-0005-0000-0000-00006F010000}"/>
    <cellStyle name="Afjusted 2 2 5 9" xfId="8926" xr:uid="{00000000-0005-0000-0000-00006F010000}"/>
    <cellStyle name="Afjusted 2 2 6" xfId="3367" xr:uid="{00000000-0005-0000-0000-000065010000}"/>
    <cellStyle name="Afjusted 2 2 6 2" xfId="5542" xr:uid="{00000000-0005-0000-0000-000065010000}"/>
    <cellStyle name="Afjusted 2 2 6 2 2" xfId="11906" xr:uid="{00000000-0005-0000-0000-000065010000}"/>
    <cellStyle name="Afjusted 2 2 6 2 2 2" xfId="30353" xr:uid="{00000000-0005-0000-0000-000065010000}"/>
    <cellStyle name="Afjusted 2 2 6 2 2 3" xfId="48716" xr:uid="{00000000-0005-0000-0000-000065010000}"/>
    <cellStyle name="Afjusted 2 2 6 2 3" xfId="16232" xr:uid="{00000000-0005-0000-0000-000065010000}"/>
    <cellStyle name="Afjusted 2 2 6 2 3 2" xfId="34604" xr:uid="{00000000-0005-0000-0000-000065010000}"/>
    <cellStyle name="Afjusted 2 2 6 2 3 3" xfId="52967" xr:uid="{00000000-0005-0000-0000-000065010000}"/>
    <cellStyle name="Afjusted 2 2 6 2 4" xfId="25351" xr:uid="{00000000-0005-0000-0000-000065010000}"/>
    <cellStyle name="Afjusted 2 2 6 2 4 2" xfId="43720" xr:uid="{00000000-0005-0000-0000-000065010000}"/>
    <cellStyle name="Afjusted 2 2 6 2 5" xfId="21672" xr:uid="{00000000-0005-0000-0000-000065010000}"/>
    <cellStyle name="Afjusted 2 2 6 2 6" xfId="40051" xr:uid="{00000000-0005-0000-0000-000065010000}"/>
    <cellStyle name="Afjusted 2 2 6 3" xfId="6366" xr:uid="{00000000-0005-0000-0000-000065010000}"/>
    <cellStyle name="Afjusted 2 2 6 3 2" xfId="12657" xr:uid="{00000000-0005-0000-0000-000065010000}"/>
    <cellStyle name="Afjusted 2 2 6 3 2 2" xfId="31083" xr:uid="{00000000-0005-0000-0000-000065010000}"/>
    <cellStyle name="Afjusted 2 2 6 3 2 3" xfId="49446" xr:uid="{00000000-0005-0000-0000-000065010000}"/>
    <cellStyle name="Afjusted 2 2 6 3 3" xfId="16968" xr:uid="{00000000-0005-0000-0000-000065010000}"/>
    <cellStyle name="Afjusted 2 2 6 3 3 2" xfId="35316" xr:uid="{00000000-0005-0000-0000-000065010000}"/>
    <cellStyle name="Afjusted 2 2 6 3 3 3" xfId="53679" xr:uid="{00000000-0005-0000-0000-000065010000}"/>
    <cellStyle name="Afjusted 2 2 6 3 4" xfId="26101" xr:uid="{00000000-0005-0000-0000-000065010000}"/>
    <cellStyle name="Afjusted 2 2 6 3 4 2" xfId="44470" xr:uid="{00000000-0005-0000-0000-000065010000}"/>
    <cellStyle name="Afjusted 2 2 6 3 5" xfId="22394" xr:uid="{00000000-0005-0000-0000-000065010000}"/>
    <cellStyle name="Afjusted 2 2 6 3 6" xfId="40763" xr:uid="{00000000-0005-0000-0000-000065010000}"/>
    <cellStyle name="Afjusted 2 2 6 4" xfId="10080" xr:uid="{00000000-0005-0000-0000-000065010000}"/>
    <cellStyle name="Afjusted 2 2 6 4 2" xfId="14137" xr:uid="{00000000-0005-0000-0000-000065010000}"/>
    <cellStyle name="Afjusted 2 2 6 4 2 2" xfId="32553" xr:uid="{00000000-0005-0000-0000-000065010000}"/>
    <cellStyle name="Afjusted 2 2 6 4 2 3" xfId="50916" xr:uid="{00000000-0005-0000-0000-000065010000}"/>
    <cellStyle name="Afjusted 2 2 6 4 3" xfId="28791" xr:uid="{00000000-0005-0000-0000-000065010000}"/>
    <cellStyle name="Afjusted 2 2 6 4 3 2" xfId="47154" xr:uid="{00000000-0005-0000-0000-000065010000}"/>
    <cellStyle name="Afjusted 2 2 6 4 4" xfId="19594" xr:uid="{00000000-0005-0000-0000-000065010000}"/>
    <cellStyle name="Afjusted 2 2 6 4 5" xfId="38000" xr:uid="{00000000-0005-0000-0000-000065010000}"/>
    <cellStyle name="Afjusted 2 2 6 5" xfId="9230" xr:uid="{00000000-0005-0000-0000-000065010000}"/>
    <cellStyle name="Afjusted 2 2 6 5 2" xfId="27950" xr:uid="{00000000-0005-0000-0000-000065010000}"/>
    <cellStyle name="Afjusted 2 2 6 5 3" xfId="46313" xr:uid="{00000000-0005-0000-0000-000065010000}"/>
    <cellStyle name="Afjusted 2 2 6 6" xfId="13287" xr:uid="{00000000-0005-0000-0000-000065010000}"/>
    <cellStyle name="Afjusted 2 2 6 6 2" xfId="31708" xr:uid="{00000000-0005-0000-0000-000065010000}"/>
    <cellStyle name="Afjusted 2 2 6 6 3" xfId="50071" xr:uid="{00000000-0005-0000-0000-000065010000}"/>
    <cellStyle name="Afjusted 2 2 6 7" xfId="23275" xr:uid="{00000000-0005-0000-0000-000065010000}"/>
    <cellStyle name="Afjusted 2 2 6 7 2" xfId="41644" xr:uid="{00000000-0005-0000-0000-000065010000}"/>
    <cellStyle name="Afjusted 2 2 6 8" xfId="18281" xr:uid="{00000000-0005-0000-0000-000065010000}"/>
    <cellStyle name="Afjusted 2 2 6 9" xfId="36687" xr:uid="{00000000-0005-0000-0000-000065010000}"/>
    <cellStyle name="Afjusted 2 2 7" xfId="4314" xr:uid="{00000000-0005-0000-0000-000065010000}"/>
    <cellStyle name="Afjusted 2 2 7 2" xfId="10922" xr:uid="{00000000-0005-0000-0000-000065010000}"/>
    <cellStyle name="Afjusted 2 2 7 2 2" xfId="29552" xr:uid="{00000000-0005-0000-0000-000065010000}"/>
    <cellStyle name="Afjusted 2 2 7 2 3" xfId="47915" xr:uid="{00000000-0005-0000-0000-000065010000}"/>
    <cellStyle name="Afjusted 2 2 7 3" xfId="15058" xr:uid="{00000000-0005-0000-0000-000065010000}"/>
    <cellStyle name="Afjusted 2 2 7 3 2" xfId="33460" xr:uid="{00000000-0005-0000-0000-000065010000}"/>
    <cellStyle name="Afjusted 2 2 7 3 3" xfId="51823" xr:uid="{00000000-0005-0000-0000-000065010000}"/>
    <cellStyle name="Afjusted 2 2 7 4" xfId="24189" xr:uid="{00000000-0005-0000-0000-000065010000}"/>
    <cellStyle name="Afjusted 2 2 7 4 2" xfId="42558" xr:uid="{00000000-0005-0000-0000-000065010000}"/>
    <cellStyle name="Afjusted 2 2 7 5" xfId="20510" xr:uid="{00000000-0005-0000-0000-000065010000}"/>
    <cellStyle name="Afjusted 2 2 7 6" xfId="38907" xr:uid="{00000000-0005-0000-0000-000065010000}"/>
    <cellStyle name="Afjusted 2 2 8" xfId="7566" xr:uid="{00000000-0005-0000-0000-000065010000}"/>
    <cellStyle name="Afjusted 2 2 8 2" xfId="26877" xr:uid="{00000000-0005-0000-0000-000065010000}"/>
    <cellStyle name="Afjusted 2 2 8 3" xfId="45242" xr:uid="{00000000-0005-0000-0000-000065010000}"/>
    <cellStyle name="Afjusted 2 2 9" xfId="8324" xr:uid="{00000000-0005-0000-0000-000065010000}"/>
    <cellStyle name="Afjusted 2 3" xfId="1900" xr:uid="{00000000-0005-0000-0000-000070010000}"/>
    <cellStyle name="Afjusted 2 3 10" xfId="7334" xr:uid="{00000000-0005-0000-0000-000070010000}"/>
    <cellStyle name="Afjusted 2 3 2" xfId="3718" xr:uid="{00000000-0005-0000-0000-000070010000}"/>
    <cellStyle name="Afjusted 2 3 2 2" xfId="5891" xr:uid="{00000000-0005-0000-0000-000070010000}"/>
    <cellStyle name="Afjusted 2 3 2 2 2" xfId="12255" xr:uid="{00000000-0005-0000-0000-000070010000}"/>
    <cellStyle name="Afjusted 2 3 2 2 2 2" xfId="30702" xr:uid="{00000000-0005-0000-0000-000070010000}"/>
    <cellStyle name="Afjusted 2 3 2 2 2 3" xfId="49065" xr:uid="{00000000-0005-0000-0000-000070010000}"/>
    <cellStyle name="Afjusted 2 3 2 2 3" xfId="16581" xr:uid="{00000000-0005-0000-0000-000070010000}"/>
    <cellStyle name="Afjusted 2 3 2 2 3 2" xfId="34953" xr:uid="{00000000-0005-0000-0000-000070010000}"/>
    <cellStyle name="Afjusted 2 3 2 2 3 3" xfId="53316" xr:uid="{00000000-0005-0000-0000-000070010000}"/>
    <cellStyle name="Afjusted 2 3 2 2 4" xfId="25700" xr:uid="{00000000-0005-0000-0000-000070010000}"/>
    <cellStyle name="Afjusted 2 3 2 2 4 2" xfId="44069" xr:uid="{00000000-0005-0000-0000-000070010000}"/>
    <cellStyle name="Afjusted 2 3 2 2 5" xfId="22021" xr:uid="{00000000-0005-0000-0000-000070010000}"/>
    <cellStyle name="Afjusted 2 3 2 2 6" xfId="40400" xr:uid="{00000000-0005-0000-0000-000070010000}"/>
    <cellStyle name="Afjusted 2 3 2 3" xfId="6717" xr:uid="{00000000-0005-0000-0000-000070010000}"/>
    <cellStyle name="Afjusted 2 3 2 3 2" xfId="13008" xr:uid="{00000000-0005-0000-0000-000070010000}"/>
    <cellStyle name="Afjusted 2 3 2 3 2 2" xfId="31434" xr:uid="{00000000-0005-0000-0000-000070010000}"/>
    <cellStyle name="Afjusted 2 3 2 3 2 3" xfId="49797" xr:uid="{00000000-0005-0000-0000-000070010000}"/>
    <cellStyle name="Afjusted 2 3 2 3 3" xfId="17319" xr:uid="{00000000-0005-0000-0000-000070010000}"/>
    <cellStyle name="Afjusted 2 3 2 3 3 2" xfId="35667" xr:uid="{00000000-0005-0000-0000-000070010000}"/>
    <cellStyle name="Afjusted 2 3 2 3 3 3" xfId="54030" xr:uid="{00000000-0005-0000-0000-000070010000}"/>
    <cellStyle name="Afjusted 2 3 2 3 4" xfId="26452" xr:uid="{00000000-0005-0000-0000-000070010000}"/>
    <cellStyle name="Afjusted 2 3 2 3 4 2" xfId="44821" xr:uid="{00000000-0005-0000-0000-000070010000}"/>
    <cellStyle name="Afjusted 2 3 2 3 5" xfId="22745" xr:uid="{00000000-0005-0000-0000-000070010000}"/>
    <cellStyle name="Afjusted 2 3 2 3 6" xfId="41114" xr:uid="{00000000-0005-0000-0000-000070010000}"/>
    <cellStyle name="Afjusted 2 3 2 4" xfId="10431" xr:uid="{00000000-0005-0000-0000-000070010000}"/>
    <cellStyle name="Afjusted 2 3 2 4 2" xfId="14488" xr:uid="{00000000-0005-0000-0000-000070010000}"/>
    <cellStyle name="Afjusted 2 3 2 4 2 2" xfId="32904" xr:uid="{00000000-0005-0000-0000-000070010000}"/>
    <cellStyle name="Afjusted 2 3 2 4 2 3" xfId="51267" xr:uid="{00000000-0005-0000-0000-000070010000}"/>
    <cellStyle name="Afjusted 2 3 2 4 3" xfId="29142" xr:uid="{00000000-0005-0000-0000-000070010000}"/>
    <cellStyle name="Afjusted 2 3 2 4 3 2" xfId="47505" xr:uid="{00000000-0005-0000-0000-000070010000}"/>
    <cellStyle name="Afjusted 2 3 2 4 4" xfId="19945" xr:uid="{00000000-0005-0000-0000-000070010000}"/>
    <cellStyle name="Afjusted 2 3 2 4 5" xfId="38351" xr:uid="{00000000-0005-0000-0000-000070010000}"/>
    <cellStyle name="Afjusted 2 3 2 5" xfId="9647" xr:uid="{00000000-0005-0000-0000-000070010000}"/>
    <cellStyle name="Afjusted 2 3 2 5 2" xfId="28363" xr:uid="{00000000-0005-0000-0000-000070010000}"/>
    <cellStyle name="Afjusted 2 3 2 5 3" xfId="46726" xr:uid="{00000000-0005-0000-0000-000070010000}"/>
    <cellStyle name="Afjusted 2 3 2 6" xfId="13704" xr:uid="{00000000-0005-0000-0000-000070010000}"/>
    <cellStyle name="Afjusted 2 3 2 6 2" xfId="32125" xr:uid="{00000000-0005-0000-0000-000070010000}"/>
    <cellStyle name="Afjusted 2 3 2 6 3" xfId="50488" xr:uid="{00000000-0005-0000-0000-000070010000}"/>
    <cellStyle name="Afjusted 2 3 2 7" xfId="23626" xr:uid="{00000000-0005-0000-0000-000070010000}"/>
    <cellStyle name="Afjusted 2 3 2 7 2" xfId="41995" xr:uid="{00000000-0005-0000-0000-000070010000}"/>
    <cellStyle name="Afjusted 2 3 2 8" xfId="18772" xr:uid="{00000000-0005-0000-0000-000070010000}"/>
    <cellStyle name="Afjusted 2 3 2 9" xfId="37181" xr:uid="{00000000-0005-0000-0000-000070010000}"/>
    <cellStyle name="Afjusted 2 3 3" xfId="4811" xr:uid="{00000000-0005-0000-0000-000070010000}"/>
    <cellStyle name="Afjusted 2 3 3 2" xfId="11372" xr:uid="{00000000-0005-0000-0000-000070010000}"/>
    <cellStyle name="Afjusted 2 3 3 2 2" xfId="29964" xr:uid="{00000000-0005-0000-0000-000070010000}"/>
    <cellStyle name="Afjusted 2 3 3 2 3" xfId="48327" xr:uid="{00000000-0005-0000-0000-000070010000}"/>
    <cellStyle name="Afjusted 2 3 3 3" xfId="15537" xr:uid="{00000000-0005-0000-0000-000070010000}"/>
    <cellStyle name="Afjusted 2 3 3 3 2" xfId="33930" xr:uid="{00000000-0005-0000-0000-000070010000}"/>
    <cellStyle name="Afjusted 2 3 3 3 3" xfId="52293" xr:uid="{00000000-0005-0000-0000-000070010000}"/>
    <cellStyle name="Afjusted 2 3 3 4" xfId="24661" xr:uid="{00000000-0005-0000-0000-000070010000}"/>
    <cellStyle name="Afjusted 2 3 3 4 2" xfId="43030" xr:uid="{00000000-0005-0000-0000-000070010000}"/>
    <cellStyle name="Afjusted 2 3 3 5" xfId="20988" xr:uid="{00000000-0005-0000-0000-000070010000}"/>
    <cellStyle name="Afjusted 2 3 3 6" xfId="39377" xr:uid="{00000000-0005-0000-0000-000070010000}"/>
    <cellStyle name="Afjusted 2 3 4" xfId="4367" xr:uid="{00000000-0005-0000-0000-000070010000}"/>
    <cellStyle name="Afjusted 2 3 4 2" xfId="10969" xr:uid="{00000000-0005-0000-0000-000070010000}"/>
    <cellStyle name="Afjusted 2 3 4 2 2" xfId="29594" xr:uid="{00000000-0005-0000-0000-000070010000}"/>
    <cellStyle name="Afjusted 2 3 4 2 3" xfId="47957" xr:uid="{00000000-0005-0000-0000-000070010000}"/>
    <cellStyle name="Afjusted 2 3 4 3" xfId="15105" xr:uid="{00000000-0005-0000-0000-000070010000}"/>
    <cellStyle name="Afjusted 2 3 4 3 2" xfId="33505" xr:uid="{00000000-0005-0000-0000-000070010000}"/>
    <cellStyle name="Afjusted 2 3 4 3 3" xfId="51868" xr:uid="{00000000-0005-0000-0000-000070010000}"/>
    <cellStyle name="Afjusted 2 3 4 4" xfId="24235" xr:uid="{00000000-0005-0000-0000-000070010000}"/>
    <cellStyle name="Afjusted 2 3 4 4 2" xfId="42604" xr:uid="{00000000-0005-0000-0000-000070010000}"/>
    <cellStyle name="Afjusted 2 3 4 5" xfId="20558" xr:uid="{00000000-0005-0000-0000-000070010000}"/>
    <cellStyle name="Afjusted 2 3 4 6" xfId="38952" xr:uid="{00000000-0005-0000-0000-000070010000}"/>
    <cellStyle name="Afjusted 2 3 5" xfId="9854" xr:uid="{00000000-0005-0000-0000-000070010000}"/>
    <cellStyle name="Afjusted 2 3 5 2" xfId="13912" xr:uid="{00000000-0005-0000-0000-000070010000}"/>
    <cellStyle name="Afjusted 2 3 5 2 2" xfId="32330" xr:uid="{00000000-0005-0000-0000-000070010000}"/>
    <cellStyle name="Afjusted 2 3 5 2 3" xfId="50693" xr:uid="{00000000-0005-0000-0000-000070010000}"/>
    <cellStyle name="Afjusted 2 3 5 3" xfId="28568" xr:uid="{00000000-0005-0000-0000-000070010000}"/>
    <cellStyle name="Afjusted 2 3 5 3 2" xfId="46931" xr:uid="{00000000-0005-0000-0000-000070010000}"/>
    <cellStyle name="Afjusted 2 3 5 4" xfId="19108" xr:uid="{00000000-0005-0000-0000-000070010000}"/>
    <cellStyle name="Afjusted 2 3 5 5" xfId="37516" xr:uid="{00000000-0005-0000-0000-000070010000}"/>
    <cellStyle name="Afjusted 2 3 6" xfId="8099" xr:uid="{00000000-0005-0000-0000-000070010000}"/>
    <cellStyle name="Afjusted 2 3 6 2" xfId="27304" xr:uid="{00000000-0005-0000-0000-000070010000}"/>
    <cellStyle name="Afjusted 2 3 6 3" xfId="45669" xr:uid="{00000000-0005-0000-0000-000070010000}"/>
    <cellStyle name="Afjusted 2 3 7" xfId="7587" xr:uid="{00000000-0005-0000-0000-000070010000}"/>
    <cellStyle name="Afjusted 2 3 7 2" xfId="26894" xr:uid="{00000000-0005-0000-0000-000070010000}"/>
    <cellStyle name="Afjusted 2 3 7 3" xfId="45259" xr:uid="{00000000-0005-0000-0000-000070010000}"/>
    <cellStyle name="Afjusted 2 3 8" xfId="18115" xr:uid="{00000000-0005-0000-0000-000070010000}"/>
    <cellStyle name="Afjusted 2 3 8 2" xfId="36522" xr:uid="{00000000-0005-0000-0000-000070010000}"/>
    <cellStyle name="Afjusted 2 3 9" xfId="11816" xr:uid="{00000000-0005-0000-0000-000070010000}"/>
    <cellStyle name="Afjusted 2 4" xfId="2315" xr:uid="{00000000-0005-0000-0000-000071010000}"/>
    <cellStyle name="Afjusted 2 4 10" xfId="8461" xr:uid="{00000000-0005-0000-0000-000071010000}"/>
    <cellStyle name="Afjusted 2 4 2" xfId="3763" xr:uid="{00000000-0005-0000-0000-000071010000}"/>
    <cellStyle name="Afjusted 2 4 2 2" xfId="5936" xr:uid="{00000000-0005-0000-0000-000071010000}"/>
    <cellStyle name="Afjusted 2 4 2 2 2" xfId="12300" xr:uid="{00000000-0005-0000-0000-000071010000}"/>
    <cellStyle name="Afjusted 2 4 2 2 2 2" xfId="30747" xr:uid="{00000000-0005-0000-0000-000071010000}"/>
    <cellStyle name="Afjusted 2 4 2 2 2 3" xfId="49110" xr:uid="{00000000-0005-0000-0000-000071010000}"/>
    <cellStyle name="Afjusted 2 4 2 2 3" xfId="16626" xr:uid="{00000000-0005-0000-0000-000071010000}"/>
    <cellStyle name="Afjusted 2 4 2 2 3 2" xfId="34998" xr:uid="{00000000-0005-0000-0000-000071010000}"/>
    <cellStyle name="Afjusted 2 4 2 2 3 3" xfId="53361" xr:uid="{00000000-0005-0000-0000-000071010000}"/>
    <cellStyle name="Afjusted 2 4 2 2 4" xfId="25745" xr:uid="{00000000-0005-0000-0000-000071010000}"/>
    <cellStyle name="Afjusted 2 4 2 2 4 2" xfId="44114" xr:uid="{00000000-0005-0000-0000-000071010000}"/>
    <cellStyle name="Afjusted 2 4 2 2 5" xfId="22066" xr:uid="{00000000-0005-0000-0000-000071010000}"/>
    <cellStyle name="Afjusted 2 4 2 2 6" xfId="40445" xr:uid="{00000000-0005-0000-0000-000071010000}"/>
    <cellStyle name="Afjusted 2 4 2 3" xfId="6762" xr:uid="{00000000-0005-0000-0000-000071010000}"/>
    <cellStyle name="Afjusted 2 4 2 3 2" xfId="13053" xr:uid="{00000000-0005-0000-0000-000071010000}"/>
    <cellStyle name="Afjusted 2 4 2 3 2 2" xfId="31479" xr:uid="{00000000-0005-0000-0000-000071010000}"/>
    <cellStyle name="Afjusted 2 4 2 3 2 3" xfId="49842" xr:uid="{00000000-0005-0000-0000-000071010000}"/>
    <cellStyle name="Afjusted 2 4 2 3 3" xfId="17364" xr:uid="{00000000-0005-0000-0000-000071010000}"/>
    <cellStyle name="Afjusted 2 4 2 3 3 2" xfId="35712" xr:uid="{00000000-0005-0000-0000-000071010000}"/>
    <cellStyle name="Afjusted 2 4 2 3 3 3" xfId="54075" xr:uid="{00000000-0005-0000-0000-000071010000}"/>
    <cellStyle name="Afjusted 2 4 2 3 4" xfId="26497" xr:uid="{00000000-0005-0000-0000-000071010000}"/>
    <cellStyle name="Afjusted 2 4 2 3 4 2" xfId="44866" xr:uid="{00000000-0005-0000-0000-000071010000}"/>
    <cellStyle name="Afjusted 2 4 2 3 5" xfId="22790" xr:uid="{00000000-0005-0000-0000-000071010000}"/>
    <cellStyle name="Afjusted 2 4 2 3 6" xfId="41159" xr:uid="{00000000-0005-0000-0000-000071010000}"/>
    <cellStyle name="Afjusted 2 4 2 4" xfId="10476" xr:uid="{00000000-0005-0000-0000-000071010000}"/>
    <cellStyle name="Afjusted 2 4 2 4 2" xfId="14533" xr:uid="{00000000-0005-0000-0000-000071010000}"/>
    <cellStyle name="Afjusted 2 4 2 4 2 2" xfId="32949" xr:uid="{00000000-0005-0000-0000-000071010000}"/>
    <cellStyle name="Afjusted 2 4 2 4 2 3" xfId="51312" xr:uid="{00000000-0005-0000-0000-000071010000}"/>
    <cellStyle name="Afjusted 2 4 2 4 3" xfId="29187" xr:uid="{00000000-0005-0000-0000-000071010000}"/>
    <cellStyle name="Afjusted 2 4 2 4 3 2" xfId="47550" xr:uid="{00000000-0005-0000-0000-000071010000}"/>
    <cellStyle name="Afjusted 2 4 2 4 4" xfId="19990" xr:uid="{00000000-0005-0000-0000-000071010000}"/>
    <cellStyle name="Afjusted 2 4 2 4 5" xfId="38396" xr:uid="{00000000-0005-0000-0000-000071010000}"/>
    <cellStyle name="Afjusted 2 4 2 5" xfId="9747" xr:uid="{00000000-0005-0000-0000-000071010000}"/>
    <cellStyle name="Afjusted 2 4 2 5 2" xfId="28462" xr:uid="{00000000-0005-0000-0000-000071010000}"/>
    <cellStyle name="Afjusted 2 4 2 5 3" xfId="46825" xr:uid="{00000000-0005-0000-0000-000071010000}"/>
    <cellStyle name="Afjusted 2 4 2 6" xfId="13804" xr:uid="{00000000-0005-0000-0000-000071010000}"/>
    <cellStyle name="Afjusted 2 4 2 6 2" xfId="32224" xr:uid="{00000000-0005-0000-0000-000071010000}"/>
    <cellStyle name="Afjusted 2 4 2 6 3" xfId="50587" xr:uid="{00000000-0005-0000-0000-000071010000}"/>
    <cellStyle name="Afjusted 2 4 2 7" xfId="23671" xr:uid="{00000000-0005-0000-0000-000071010000}"/>
    <cellStyle name="Afjusted 2 4 2 7 2" xfId="42040" xr:uid="{00000000-0005-0000-0000-000071010000}"/>
    <cellStyle name="Afjusted 2 4 2 8" xfId="18929" xr:uid="{00000000-0005-0000-0000-000071010000}"/>
    <cellStyle name="Afjusted 2 4 2 9" xfId="37338" xr:uid="{00000000-0005-0000-0000-000071010000}"/>
    <cellStyle name="Afjusted 2 4 3" xfId="4963" xr:uid="{00000000-0005-0000-0000-000071010000}"/>
    <cellStyle name="Afjusted 2 4 3 2" xfId="11493" xr:uid="{00000000-0005-0000-0000-000071010000}"/>
    <cellStyle name="Afjusted 2 4 3 2 2" xfId="30066" xr:uid="{00000000-0005-0000-0000-000071010000}"/>
    <cellStyle name="Afjusted 2 4 3 2 3" xfId="48429" xr:uid="{00000000-0005-0000-0000-000071010000}"/>
    <cellStyle name="Afjusted 2 4 3 3" xfId="15679" xr:uid="{00000000-0005-0000-0000-000071010000}"/>
    <cellStyle name="Afjusted 2 4 3 3 2" xfId="34068" xr:uid="{00000000-0005-0000-0000-000071010000}"/>
    <cellStyle name="Afjusted 2 4 3 3 3" xfId="52431" xr:uid="{00000000-0005-0000-0000-000071010000}"/>
    <cellStyle name="Afjusted 2 4 3 4" xfId="24803" xr:uid="{00000000-0005-0000-0000-000071010000}"/>
    <cellStyle name="Afjusted 2 4 3 4 2" xfId="43172" xr:uid="{00000000-0005-0000-0000-000071010000}"/>
    <cellStyle name="Afjusted 2 4 3 5" xfId="21128" xr:uid="{00000000-0005-0000-0000-000071010000}"/>
    <cellStyle name="Afjusted 2 4 3 6" xfId="39515" xr:uid="{00000000-0005-0000-0000-000071010000}"/>
    <cellStyle name="Afjusted 2 4 4" xfId="6103" xr:uid="{00000000-0005-0000-0000-000071010000}"/>
    <cellStyle name="Afjusted 2 4 4 2" xfId="12457" xr:uid="{00000000-0005-0000-0000-000071010000}"/>
    <cellStyle name="Afjusted 2 4 4 2 2" xfId="30897" xr:uid="{00000000-0005-0000-0000-000071010000}"/>
    <cellStyle name="Afjusted 2 4 4 2 3" xfId="49260" xr:uid="{00000000-0005-0000-0000-000071010000}"/>
    <cellStyle name="Afjusted 2 4 4 3" xfId="16776" xr:uid="{00000000-0005-0000-0000-000071010000}"/>
    <cellStyle name="Afjusted 2 4 4 3 2" xfId="35145" xr:uid="{00000000-0005-0000-0000-000071010000}"/>
    <cellStyle name="Afjusted 2 4 4 3 3" xfId="53508" xr:uid="{00000000-0005-0000-0000-000071010000}"/>
    <cellStyle name="Afjusted 2 4 4 4" xfId="25899" xr:uid="{00000000-0005-0000-0000-000071010000}"/>
    <cellStyle name="Afjusted 2 4 4 4 2" xfId="44268" xr:uid="{00000000-0005-0000-0000-000071010000}"/>
    <cellStyle name="Afjusted 2 4 4 5" xfId="22215" xr:uid="{00000000-0005-0000-0000-000071010000}"/>
    <cellStyle name="Afjusted 2 4 4 6" xfId="40592" xr:uid="{00000000-0005-0000-0000-000071010000}"/>
    <cellStyle name="Afjusted 2 4 5" xfId="9019" xr:uid="{00000000-0005-0000-0000-000071010000}"/>
    <cellStyle name="Afjusted 2 4 5 2" xfId="6929" xr:uid="{00000000-0005-0000-0000-000071010000}"/>
    <cellStyle name="Afjusted 2 4 5 2 2" xfId="26664" xr:uid="{00000000-0005-0000-0000-000071010000}"/>
    <cellStyle name="Afjusted 2 4 5 2 3" xfId="45033" xr:uid="{00000000-0005-0000-0000-000071010000}"/>
    <cellStyle name="Afjusted 2 4 5 3" xfId="27746" xr:uid="{00000000-0005-0000-0000-000071010000}"/>
    <cellStyle name="Afjusted 2 4 5 3 2" xfId="46109" xr:uid="{00000000-0005-0000-0000-000071010000}"/>
    <cellStyle name="Afjusted 2 4 5 4" xfId="17896" xr:uid="{00000000-0005-0000-0000-000071010000}"/>
    <cellStyle name="Afjusted 2 4 5 5" xfId="36306" xr:uid="{00000000-0005-0000-0000-000071010000}"/>
    <cellStyle name="Afjusted 2 4 6" xfId="8356" xr:uid="{00000000-0005-0000-0000-000071010000}"/>
    <cellStyle name="Afjusted 2 4 6 2" xfId="27423" xr:uid="{00000000-0005-0000-0000-000071010000}"/>
    <cellStyle name="Afjusted 2 4 6 3" xfId="45787" xr:uid="{00000000-0005-0000-0000-000071010000}"/>
    <cellStyle name="Afjusted 2 4 7" xfId="8797" xr:uid="{00000000-0005-0000-0000-000071010000}"/>
    <cellStyle name="Afjusted 2 4 7 2" xfId="27636" xr:uid="{00000000-0005-0000-0000-000071010000}"/>
    <cellStyle name="Afjusted 2 4 7 3" xfId="45999" xr:uid="{00000000-0005-0000-0000-000071010000}"/>
    <cellStyle name="Afjusted 2 4 8" xfId="19529" xr:uid="{00000000-0005-0000-0000-000071010000}"/>
    <cellStyle name="Afjusted 2 4 8 2" xfId="37935" xr:uid="{00000000-0005-0000-0000-000071010000}"/>
    <cellStyle name="Afjusted 2 4 9" xfId="8746" xr:uid="{00000000-0005-0000-0000-000071010000}"/>
    <cellStyle name="Afjusted 2 5" xfId="3340" xr:uid="{00000000-0005-0000-0000-000064010000}"/>
    <cellStyle name="Afjusted 2 5 2" xfId="5515" xr:uid="{00000000-0005-0000-0000-000064010000}"/>
    <cellStyle name="Afjusted 2 5 2 2" xfId="11879" xr:uid="{00000000-0005-0000-0000-000064010000}"/>
    <cellStyle name="Afjusted 2 5 2 2 2" xfId="30326" xr:uid="{00000000-0005-0000-0000-000064010000}"/>
    <cellStyle name="Afjusted 2 5 2 2 3" xfId="48689" xr:uid="{00000000-0005-0000-0000-000064010000}"/>
    <cellStyle name="Afjusted 2 5 2 3" xfId="16205" xr:uid="{00000000-0005-0000-0000-000064010000}"/>
    <cellStyle name="Afjusted 2 5 2 3 2" xfId="34577" xr:uid="{00000000-0005-0000-0000-000064010000}"/>
    <cellStyle name="Afjusted 2 5 2 3 3" xfId="52940" xr:uid="{00000000-0005-0000-0000-000064010000}"/>
    <cellStyle name="Afjusted 2 5 2 4" xfId="25324" xr:uid="{00000000-0005-0000-0000-000064010000}"/>
    <cellStyle name="Afjusted 2 5 2 4 2" xfId="43693" xr:uid="{00000000-0005-0000-0000-000064010000}"/>
    <cellStyle name="Afjusted 2 5 2 5" xfId="21645" xr:uid="{00000000-0005-0000-0000-000064010000}"/>
    <cellStyle name="Afjusted 2 5 2 6" xfId="40024" xr:uid="{00000000-0005-0000-0000-000064010000}"/>
    <cellStyle name="Afjusted 2 5 3" xfId="6339" xr:uid="{00000000-0005-0000-0000-000064010000}"/>
    <cellStyle name="Afjusted 2 5 3 2" xfId="12630" xr:uid="{00000000-0005-0000-0000-000064010000}"/>
    <cellStyle name="Afjusted 2 5 3 2 2" xfId="31056" xr:uid="{00000000-0005-0000-0000-000064010000}"/>
    <cellStyle name="Afjusted 2 5 3 2 3" xfId="49419" xr:uid="{00000000-0005-0000-0000-000064010000}"/>
    <cellStyle name="Afjusted 2 5 3 3" xfId="16941" xr:uid="{00000000-0005-0000-0000-000064010000}"/>
    <cellStyle name="Afjusted 2 5 3 3 2" xfId="35289" xr:uid="{00000000-0005-0000-0000-000064010000}"/>
    <cellStyle name="Afjusted 2 5 3 3 3" xfId="53652" xr:uid="{00000000-0005-0000-0000-000064010000}"/>
    <cellStyle name="Afjusted 2 5 3 4" xfId="26074" xr:uid="{00000000-0005-0000-0000-000064010000}"/>
    <cellStyle name="Afjusted 2 5 3 4 2" xfId="44443" xr:uid="{00000000-0005-0000-0000-000064010000}"/>
    <cellStyle name="Afjusted 2 5 3 5" xfId="22367" xr:uid="{00000000-0005-0000-0000-000064010000}"/>
    <cellStyle name="Afjusted 2 5 3 6" xfId="40736" xr:uid="{00000000-0005-0000-0000-000064010000}"/>
    <cellStyle name="Afjusted 2 5 4" xfId="10053" xr:uid="{00000000-0005-0000-0000-000064010000}"/>
    <cellStyle name="Afjusted 2 5 4 2" xfId="14110" xr:uid="{00000000-0005-0000-0000-000064010000}"/>
    <cellStyle name="Afjusted 2 5 4 2 2" xfId="32526" xr:uid="{00000000-0005-0000-0000-000064010000}"/>
    <cellStyle name="Afjusted 2 5 4 2 3" xfId="50889" xr:uid="{00000000-0005-0000-0000-000064010000}"/>
    <cellStyle name="Afjusted 2 5 4 3" xfId="28764" xr:uid="{00000000-0005-0000-0000-000064010000}"/>
    <cellStyle name="Afjusted 2 5 4 3 2" xfId="47127" xr:uid="{00000000-0005-0000-0000-000064010000}"/>
    <cellStyle name="Afjusted 2 5 4 4" xfId="19567" xr:uid="{00000000-0005-0000-0000-000064010000}"/>
    <cellStyle name="Afjusted 2 5 4 5" xfId="37973" xr:uid="{00000000-0005-0000-0000-000064010000}"/>
    <cellStyle name="Afjusted 2 5 5" xfId="9178" xr:uid="{00000000-0005-0000-0000-000064010000}"/>
    <cellStyle name="Afjusted 2 5 5 2" xfId="27899" xr:uid="{00000000-0005-0000-0000-000064010000}"/>
    <cellStyle name="Afjusted 2 5 5 3" xfId="46262" xr:uid="{00000000-0005-0000-0000-000064010000}"/>
    <cellStyle name="Afjusted 2 5 6" xfId="13236" xr:uid="{00000000-0005-0000-0000-000064010000}"/>
    <cellStyle name="Afjusted 2 5 6 2" xfId="31657" xr:uid="{00000000-0005-0000-0000-000064010000}"/>
    <cellStyle name="Afjusted 2 5 6 3" xfId="50020" xr:uid="{00000000-0005-0000-0000-000064010000}"/>
    <cellStyle name="Afjusted 2 5 7" xfId="23248" xr:uid="{00000000-0005-0000-0000-000064010000}"/>
    <cellStyle name="Afjusted 2 5 7 2" xfId="41617" xr:uid="{00000000-0005-0000-0000-000064010000}"/>
    <cellStyle name="Afjusted 2 5 8" xfId="18193" xr:uid="{00000000-0005-0000-0000-000064010000}"/>
    <cellStyle name="Afjusted 2 5 9" xfId="36599" xr:uid="{00000000-0005-0000-0000-000064010000}"/>
    <cellStyle name="Afjusted 2 6" xfId="4172" xr:uid="{00000000-0005-0000-0000-000064010000}"/>
    <cellStyle name="Afjusted 2 6 2" xfId="10824" xr:uid="{00000000-0005-0000-0000-000064010000}"/>
    <cellStyle name="Afjusted 2 6 2 2" xfId="29496" xr:uid="{00000000-0005-0000-0000-000064010000}"/>
    <cellStyle name="Afjusted 2 6 2 3" xfId="47859" xr:uid="{00000000-0005-0000-0000-000064010000}"/>
    <cellStyle name="Afjusted 2 6 3" xfId="14918" xr:uid="{00000000-0005-0000-0000-000064010000}"/>
    <cellStyle name="Afjusted 2 6 3 2" xfId="33322" xr:uid="{00000000-0005-0000-0000-000064010000}"/>
    <cellStyle name="Afjusted 2 6 3 3" xfId="51685" xr:uid="{00000000-0005-0000-0000-000064010000}"/>
    <cellStyle name="Afjusted 2 6 4" xfId="24051" xr:uid="{00000000-0005-0000-0000-000064010000}"/>
    <cellStyle name="Afjusted 2 6 4 2" xfId="42420" xr:uid="{00000000-0005-0000-0000-000064010000}"/>
    <cellStyle name="Afjusted 2 6 5" xfId="20371" xr:uid="{00000000-0005-0000-0000-000064010000}"/>
    <cellStyle name="Afjusted 2 6 6" xfId="38769" xr:uid="{00000000-0005-0000-0000-000064010000}"/>
    <cellStyle name="Afjusted 2 7" xfId="7435" xr:uid="{00000000-0005-0000-0000-000064010000}"/>
    <cellStyle name="Afjusted 2 7 2" xfId="26821" xr:uid="{00000000-0005-0000-0000-000064010000}"/>
    <cellStyle name="Afjusted 2 7 3" xfId="45189" xr:uid="{00000000-0005-0000-0000-000064010000}"/>
    <cellStyle name="Afjusted 2 8" xfId="8513" xr:uid="{00000000-0005-0000-0000-000064010000}"/>
    <cellStyle name="Afjusted 3" xfId="1021" xr:uid="{00000000-0005-0000-0000-000072010000}"/>
    <cellStyle name="Afjusted 3 10" xfId="7421" xr:uid="{00000000-0005-0000-0000-000072010000}"/>
    <cellStyle name="Afjusted 3 10 2" xfId="26810" xr:uid="{00000000-0005-0000-0000-000072010000}"/>
    <cellStyle name="Afjusted 3 10 3" xfId="45178" xr:uid="{00000000-0005-0000-0000-000072010000}"/>
    <cellStyle name="Afjusted 3 11" xfId="19249" xr:uid="{00000000-0005-0000-0000-000072010000}"/>
    <cellStyle name="Afjusted 3 11 2" xfId="37656" xr:uid="{00000000-0005-0000-0000-000072010000}"/>
    <cellStyle name="Afjusted 3 12" xfId="8720" xr:uid="{00000000-0005-0000-0000-000072010000}"/>
    <cellStyle name="Afjusted 3 13" xfId="11855" xr:uid="{00000000-0005-0000-0000-000072010000}"/>
    <cellStyle name="Afjusted 3 2" xfId="1613" xr:uid="{00000000-0005-0000-0000-000073010000}"/>
    <cellStyle name="Afjusted 3 2 10" xfId="19329" xr:uid="{00000000-0005-0000-0000-000073010000}"/>
    <cellStyle name="Afjusted 3 2 10 2" xfId="37736" xr:uid="{00000000-0005-0000-0000-000073010000}"/>
    <cellStyle name="Afjusted 3 2 11" xfId="8195" xr:uid="{00000000-0005-0000-0000-000073010000}"/>
    <cellStyle name="Afjusted 3 2 12" xfId="8094" xr:uid="{00000000-0005-0000-0000-000073010000}"/>
    <cellStyle name="Afjusted 3 2 2" xfId="1705" xr:uid="{00000000-0005-0000-0000-000074010000}"/>
    <cellStyle name="Afjusted 3 2 2 10" xfId="17707" xr:uid="{00000000-0005-0000-0000-000074010000}"/>
    <cellStyle name="Afjusted 3 2 2 2" xfId="3602" xr:uid="{00000000-0005-0000-0000-000074010000}"/>
    <cellStyle name="Afjusted 3 2 2 2 2" xfId="5775" xr:uid="{00000000-0005-0000-0000-000074010000}"/>
    <cellStyle name="Afjusted 3 2 2 2 2 2" xfId="12139" xr:uid="{00000000-0005-0000-0000-000074010000}"/>
    <cellStyle name="Afjusted 3 2 2 2 2 2 2" xfId="30586" xr:uid="{00000000-0005-0000-0000-000074010000}"/>
    <cellStyle name="Afjusted 3 2 2 2 2 2 3" xfId="48949" xr:uid="{00000000-0005-0000-0000-000074010000}"/>
    <cellStyle name="Afjusted 3 2 2 2 2 3" xfId="16465" xr:uid="{00000000-0005-0000-0000-000074010000}"/>
    <cellStyle name="Afjusted 3 2 2 2 2 3 2" xfId="34837" xr:uid="{00000000-0005-0000-0000-000074010000}"/>
    <cellStyle name="Afjusted 3 2 2 2 2 3 3" xfId="53200" xr:uid="{00000000-0005-0000-0000-000074010000}"/>
    <cellStyle name="Afjusted 3 2 2 2 2 4" xfId="25584" xr:uid="{00000000-0005-0000-0000-000074010000}"/>
    <cellStyle name="Afjusted 3 2 2 2 2 4 2" xfId="43953" xr:uid="{00000000-0005-0000-0000-000074010000}"/>
    <cellStyle name="Afjusted 3 2 2 2 2 5" xfId="21905" xr:uid="{00000000-0005-0000-0000-000074010000}"/>
    <cellStyle name="Afjusted 3 2 2 2 2 6" xfId="40284" xr:uid="{00000000-0005-0000-0000-000074010000}"/>
    <cellStyle name="Afjusted 3 2 2 2 3" xfId="6601" xr:uid="{00000000-0005-0000-0000-000074010000}"/>
    <cellStyle name="Afjusted 3 2 2 2 3 2" xfId="12892" xr:uid="{00000000-0005-0000-0000-000074010000}"/>
    <cellStyle name="Afjusted 3 2 2 2 3 2 2" xfId="31318" xr:uid="{00000000-0005-0000-0000-000074010000}"/>
    <cellStyle name="Afjusted 3 2 2 2 3 2 3" xfId="49681" xr:uid="{00000000-0005-0000-0000-000074010000}"/>
    <cellStyle name="Afjusted 3 2 2 2 3 3" xfId="17203" xr:uid="{00000000-0005-0000-0000-000074010000}"/>
    <cellStyle name="Afjusted 3 2 2 2 3 3 2" xfId="35551" xr:uid="{00000000-0005-0000-0000-000074010000}"/>
    <cellStyle name="Afjusted 3 2 2 2 3 3 3" xfId="53914" xr:uid="{00000000-0005-0000-0000-000074010000}"/>
    <cellStyle name="Afjusted 3 2 2 2 3 4" xfId="26336" xr:uid="{00000000-0005-0000-0000-000074010000}"/>
    <cellStyle name="Afjusted 3 2 2 2 3 4 2" xfId="44705" xr:uid="{00000000-0005-0000-0000-000074010000}"/>
    <cellStyle name="Afjusted 3 2 2 2 3 5" xfId="22629" xr:uid="{00000000-0005-0000-0000-000074010000}"/>
    <cellStyle name="Afjusted 3 2 2 2 3 6" xfId="40998" xr:uid="{00000000-0005-0000-0000-000074010000}"/>
    <cellStyle name="Afjusted 3 2 2 2 4" xfId="10315" xr:uid="{00000000-0005-0000-0000-000074010000}"/>
    <cellStyle name="Afjusted 3 2 2 2 4 2" xfId="14372" xr:uid="{00000000-0005-0000-0000-000074010000}"/>
    <cellStyle name="Afjusted 3 2 2 2 4 2 2" xfId="32788" xr:uid="{00000000-0005-0000-0000-000074010000}"/>
    <cellStyle name="Afjusted 3 2 2 2 4 2 3" xfId="51151" xr:uid="{00000000-0005-0000-0000-000074010000}"/>
    <cellStyle name="Afjusted 3 2 2 2 4 3" xfId="29026" xr:uid="{00000000-0005-0000-0000-000074010000}"/>
    <cellStyle name="Afjusted 3 2 2 2 4 3 2" xfId="47389" xr:uid="{00000000-0005-0000-0000-000074010000}"/>
    <cellStyle name="Afjusted 3 2 2 2 4 4" xfId="19829" xr:uid="{00000000-0005-0000-0000-000074010000}"/>
    <cellStyle name="Afjusted 3 2 2 2 4 5" xfId="38235" xr:uid="{00000000-0005-0000-0000-000074010000}"/>
    <cellStyle name="Afjusted 3 2 2 2 5" xfId="9523" xr:uid="{00000000-0005-0000-0000-000074010000}"/>
    <cellStyle name="Afjusted 3 2 2 2 5 2" xfId="28240" xr:uid="{00000000-0005-0000-0000-000074010000}"/>
    <cellStyle name="Afjusted 3 2 2 2 5 3" xfId="46603" xr:uid="{00000000-0005-0000-0000-000074010000}"/>
    <cellStyle name="Afjusted 3 2 2 2 6" xfId="13581" xr:uid="{00000000-0005-0000-0000-000074010000}"/>
    <cellStyle name="Afjusted 3 2 2 2 6 2" xfId="32002" xr:uid="{00000000-0005-0000-0000-000074010000}"/>
    <cellStyle name="Afjusted 3 2 2 2 6 3" xfId="50365" xr:uid="{00000000-0005-0000-0000-000074010000}"/>
    <cellStyle name="Afjusted 3 2 2 2 7" xfId="23510" xr:uid="{00000000-0005-0000-0000-000074010000}"/>
    <cellStyle name="Afjusted 3 2 2 2 7 2" xfId="41879" xr:uid="{00000000-0005-0000-0000-000074010000}"/>
    <cellStyle name="Afjusted 3 2 2 2 8" xfId="18622" xr:uid="{00000000-0005-0000-0000-000074010000}"/>
    <cellStyle name="Afjusted 3 2 2 2 9" xfId="37032" xr:uid="{00000000-0005-0000-0000-000074010000}"/>
    <cellStyle name="Afjusted 3 2 2 3" xfId="4642" xr:uid="{00000000-0005-0000-0000-000074010000}"/>
    <cellStyle name="Afjusted 3 2 2 3 2" xfId="11226" xr:uid="{00000000-0005-0000-0000-000074010000}"/>
    <cellStyle name="Afjusted 3 2 2 3 2 2" xfId="29838" xr:uid="{00000000-0005-0000-0000-000074010000}"/>
    <cellStyle name="Afjusted 3 2 2 3 2 3" xfId="48201" xr:uid="{00000000-0005-0000-0000-000074010000}"/>
    <cellStyle name="Afjusted 3 2 2 3 3" xfId="15368" xr:uid="{00000000-0005-0000-0000-000074010000}"/>
    <cellStyle name="Afjusted 3 2 2 3 3 2" xfId="33761" xr:uid="{00000000-0005-0000-0000-000074010000}"/>
    <cellStyle name="Afjusted 3 2 2 3 3 3" xfId="52124" xr:uid="{00000000-0005-0000-0000-000074010000}"/>
    <cellStyle name="Afjusted 3 2 2 3 4" xfId="24492" xr:uid="{00000000-0005-0000-0000-000074010000}"/>
    <cellStyle name="Afjusted 3 2 2 3 4 2" xfId="42861" xr:uid="{00000000-0005-0000-0000-000074010000}"/>
    <cellStyle name="Afjusted 3 2 2 3 5" xfId="20819" xr:uid="{00000000-0005-0000-0000-000074010000}"/>
    <cellStyle name="Afjusted 3 2 2 3 6" xfId="39208" xr:uid="{00000000-0005-0000-0000-000074010000}"/>
    <cellStyle name="Afjusted 3 2 2 4" xfId="5359" xr:uid="{00000000-0005-0000-0000-000074010000}"/>
    <cellStyle name="Afjusted 3 2 2 4 2" xfId="11782" xr:uid="{00000000-0005-0000-0000-000074010000}"/>
    <cellStyle name="Afjusted 3 2 2 4 2 2" xfId="30259" xr:uid="{00000000-0005-0000-0000-000074010000}"/>
    <cellStyle name="Afjusted 3 2 2 4 2 3" xfId="48622" xr:uid="{00000000-0005-0000-0000-000074010000}"/>
    <cellStyle name="Afjusted 3 2 2 4 3" xfId="16051" xr:uid="{00000000-0005-0000-0000-000074010000}"/>
    <cellStyle name="Afjusted 3 2 2 4 3 2" xfId="34425" xr:uid="{00000000-0005-0000-0000-000074010000}"/>
    <cellStyle name="Afjusted 3 2 2 4 3 3" xfId="52788" xr:uid="{00000000-0005-0000-0000-000074010000}"/>
    <cellStyle name="Afjusted 3 2 2 4 4" xfId="25172" xr:uid="{00000000-0005-0000-0000-000074010000}"/>
    <cellStyle name="Afjusted 3 2 2 4 4 2" xfId="43541" xr:uid="{00000000-0005-0000-0000-000074010000}"/>
    <cellStyle name="Afjusted 3 2 2 4 5" xfId="21493" xr:uid="{00000000-0005-0000-0000-000074010000}"/>
    <cellStyle name="Afjusted 3 2 2 4 6" xfId="39872" xr:uid="{00000000-0005-0000-0000-000074010000}"/>
    <cellStyle name="Afjusted 3 2 2 5" xfId="9089" xr:uid="{00000000-0005-0000-0000-000074010000}"/>
    <cellStyle name="Afjusted 3 2 2 5 2" xfId="5124" xr:uid="{00000000-0005-0000-0000-000074010000}"/>
    <cellStyle name="Afjusted 3 2 2 5 2 2" xfId="24951" xr:uid="{00000000-0005-0000-0000-000074010000}"/>
    <cellStyle name="Afjusted 3 2 2 5 2 3" xfId="43320" xr:uid="{00000000-0005-0000-0000-000074010000}"/>
    <cellStyle name="Afjusted 3 2 2 5 3" xfId="27815" xr:uid="{00000000-0005-0000-0000-000074010000}"/>
    <cellStyle name="Afjusted 3 2 2 5 3 2" xfId="46178" xr:uid="{00000000-0005-0000-0000-000074010000}"/>
    <cellStyle name="Afjusted 3 2 2 5 4" xfId="17989" xr:uid="{00000000-0005-0000-0000-000074010000}"/>
    <cellStyle name="Afjusted 3 2 2 5 5" xfId="36397" xr:uid="{00000000-0005-0000-0000-000074010000}"/>
    <cellStyle name="Afjusted 3 2 2 6" xfId="7936" xr:uid="{00000000-0005-0000-0000-000074010000}"/>
    <cellStyle name="Afjusted 3 2 2 6 2" xfId="27166" xr:uid="{00000000-0005-0000-0000-000074010000}"/>
    <cellStyle name="Afjusted 3 2 2 6 3" xfId="45531" xr:uid="{00000000-0005-0000-0000-000074010000}"/>
    <cellStyle name="Afjusted 3 2 2 7" xfId="7428" xr:uid="{00000000-0005-0000-0000-000074010000}"/>
    <cellStyle name="Afjusted 3 2 2 7 2" xfId="26816" xr:uid="{00000000-0005-0000-0000-000074010000}"/>
    <cellStyle name="Afjusted 3 2 2 7 3" xfId="45184" xr:uid="{00000000-0005-0000-0000-000074010000}"/>
    <cellStyle name="Afjusted 3 2 2 8" xfId="18171" xr:uid="{00000000-0005-0000-0000-000074010000}"/>
    <cellStyle name="Afjusted 3 2 2 8 2" xfId="36577" xr:uid="{00000000-0005-0000-0000-000074010000}"/>
    <cellStyle name="Afjusted 3 2 2 9" xfId="11685" xr:uid="{00000000-0005-0000-0000-000074010000}"/>
    <cellStyle name="Afjusted 3 2 3" xfId="1738" xr:uid="{00000000-0005-0000-0000-000075010000}"/>
    <cellStyle name="Afjusted 3 2 3 10" xfId="8294" xr:uid="{00000000-0005-0000-0000-000075010000}"/>
    <cellStyle name="Afjusted 3 2 3 2" xfId="3635" xr:uid="{00000000-0005-0000-0000-000075010000}"/>
    <cellStyle name="Afjusted 3 2 3 2 2" xfId="5808" xr:uid="{00000000-0005-0000-0000-000075010000}"/>
    <cellStyle name="Afjusted 3 2 3 2 2 2" xfId="12172" xr:uid="{00000000-0005-0000-0000-000075010000}"/>
    <cellStyle name="Afjusted 3 2 3 2 2 2 2" xfId="30619" xr:uid="{00000000-0005-0000-0000-000075010000}"/>
    <cellStyle name="Afjusted 3 2 3 2 2 2 3" xfId="48982" xr:uid="{00000000-0005-0000-0000-000075010000}"/>
    <cellStyle name="Afjusted 3 2 3 2 2 3" xfId="16498" xr:uid="{00000000-0005-0000-0000-000075010000}"/>
    <cellStyle name="Afjusted 3 2 3 2 2 3 2" xfId="34870" xr:uid="{00000000-0005-0000-0000-000075010000}"/>
    <cellStyle name="Afjusted 3 2 3 2 2 3 3" xfId="53233" xr:uid="{00000000-0005-0000-0000-000075010000}"/>
    <cellStyle name="Afjusted 3 2 3 2 2 4" xfId="25617" xr:uid="{00000000-0005-0000-0000-000075010000}"/>
    <cellStyle name="Afjusted 3 2 3 2 2 4 2" xfId="43986" xr:uid="{00000000-0005-0000-0000-000075010000}"/>
    <cellStyle name="Afjusted 3 2 3 2 2 5" xfId="21938" xr:uid="{00000000-0005-0000-0000-000075010000}"/>
    <cellStyle name="Afjusted 3 2 3 2 2 6" xfId="40317" xr:uid="{00000000-0005-0000-0000-000075010000}"/>
    <cellStyle name="Afjusted 3 2 3 2 3" xfId="6634" xr:uid="{00000000-0005-0000-0000-000075010000}"/>
    <cellStyle name="Afjusted 3 2 3 2 3 2" xfId="12925" xr:uid="{00000000-0005-0000-0000-000075010000}"/>
    <cellStyle name="Afjusted 3 2 3 2 3 2 2" xfId="31351" xr:uid="{00000000-0005-0000-0000-000075010000}"/>
    <cellStyle name="Afjusted 3 2 3 2 3 2 3" xfId="49714" xr:uid="{00000000-0005-0000-0000-000075010000}"/>
    <cellStyle name="Afjusted 3 2 3 2 3 3" xfId="17236" xr:uid="{00000000-0005-0000-0000-000075010000}"/>
    <cellStyle name="Afjusted 3 2 3 2 3 3 2" xfId="35584" xr:uid="{00000000-0005-0000-0000-000075010000}"/>
    <cellStyle name="Afjusted 3 2 3 2 3 3 3" xfId="53947" xr:uid="{00000000-0005-0000-0000-000075010000}"/>
    <cellStyle name="Afjusted 3 2 3 2 3 4" xfId="26369" xr:uid="{00000000-0005-0000-0000-000075010000}"/>
    <cellStyle name="Afjusted 3 2 3 2 3 4 2" xfId="44738" xr:uid="{00000000-0005-0000-0000-000075010000}"/>
    <cellStyle name="Afjusted 3 2 3 2 3 5" xfId="22662" xr:uid="{00000000-0005-0000-0000-000075010000}"/>
    <cellStyle name="Afjusted 3 2 3 2 3 6" xfId="41031" xr:uid="{00000000-0005-0000-0000-000075010000}"/>
    <cellStyle name="Afjusted 3 2 3 2 4" xfId="10348" xr:uid="{00000000-0005-0000-0000-000075010000}"/>
    <cellStyle name="Afjusted 3 2 3 2 4 2" xfId="14405" xr:uid="{00000000-0005-0000-0000-000075010000}"/>
    <cellStyle name="Afjusted 3 2 3 2 4 2 2" xfId="32821" xr:uid="{00000000-0005-0000-0000-000075010000}"/>
    <cellStyle name="Afjusted 3 2 3 2 4 2 3" xfId="51184" xr:uid="{00000000-0005-0000-0000-000075010000}"/>
    <cellStyle name="Afjusted 3 2 3 2 4 3" xfId="29059" xr:uid="{00000000-0005-0000-0000-000075010000}"/>
    <cellStyle name="Afjusted 3 2 3 2 4 3 2" xfId="47422" xr:uid="{00000000-0005-0000-0000-000075010000}"/>
    <cellStyle name="Afjusted 3 2 3 2 4 4" xfId="19862" xr:uid="{00000000-0005-0000-0000-000075010000}"/>
    <cellStyle name="Afjusted 3 2 3 2 4 5" xfId="38268" xr:uid="{00000000-0005-0000-0000-000075010000}"/>
    <cellStyle name="Afjusted 3 2 3 2 5" xfId="9556" xr:uid="{00000000-0005-0000-0000-000075010000}"/>
    <cellStyle name="Afjusted 3 2 3 2 5 2" xfId="28273" xr:uid="{00000000-0005-0000-0000-000075010000}"/>
    <cellStyle name="Afjusted 3 2 3 2 5 3" xfId="46636" xr:uid="{00000000-0005-0000-0000-000075010000}"/>
    <cellStyle name="Afjusted 3 2 3 2 6" xfId="13614" xr:uid="{00000000-0005-0000-0000-000075010000}"/>
    <cellStyle name="Afjusted 3 2 3 2 6 2" xfId="32035" xr:uid="{00000000-0005-0000-0000-000075010000}"/>
    <cellStyle name="Afjusted 3 2 3 2 6 3" xfId="50398" xr:uid="{00000000-0005-0000-0000-000075010000}"/>
    <cellStyle name="Afjusted 3 2 3 2 7" xfId="23543" xr:uid="{00000000-0005-0000-0000-000075010000}"/>
    <cellStyle name="Afjusted 3 2 3 2 7 2" xfId="41912" xr:uid="{00000000-0005-0000-0000-000075010000}"/>
    <cellStyle name="Afjusted 3 2 3 2 8" xfId="18655" xr:uid="{00000000-0005-0000-0000-000075010000}"/>
    <cellStyle name="Afjusted 3 2 3 2 9" xfId="37065" xr:uid="{00000000-0005-0000-0000-000075010000}"/>
    <cellStyle name="Afjusted 3 2 3 3" xfId="4675" xr:uid="{00000000-0005-0000-0000-000075010000}"/>
    <cellStyle name="Afjusted 3 2 3 3 2" xfId="11259" xr:uid="{00000000-0005-0000-0000-000075010000}"/>
    <cellStyle name="Afjusted 3 2 3 3 2 2" xfId="29871" xr:uid="{00000000-0005-0000-0000-000075010000}"/>
    <cellStyle name="Afjusted 3 2 3 3 2 3" xfId="48234" xr:uid="{00000000-0005-0000-0000-000075010000}"/>
    <cellStyle name="Afjusted 3 2 3 3 3" xfId="15401" xr:uid="{00000000-0005-0000-0000-000075010000}"/>
    <cellStyle name="Afjusted 3 2 3 3 3 2" xfId="33794" xr:uid="{00000000-0005-0000-0000-000075010000}"/>
    <cellStyle name="Afjusted 3 2 3 3 3 3" xfId="52157" xr:uid="{00000000-0005-0000-0000-000075010000}"/>
    <cellStyle name="Afjusted 3 2 3 3 4" xfId="24525" xr:uid="{00000000-0005-0000-0000-000075010000}"/>
    <cellStyle name="Afjusted 3 2 3 3 4 2" xfId="42894" xr:uid="{00000000-0005-0000-0000-000075010000}"/>
    <cellStyle name="Afjusted 3 2 3 3 5" xfId="20852" xr:uid="{00000000-0005-0000-0000-000075010000}"/>
    <cellStyle name="Afjusted 3 2 3 3 6" xfId="39241" xr:uid="{00000000-0005-0000-0000-000075010000}"/>
    <cellStyle name="Afjusted 3 2 3 4" xfId="5033" xr:uid="{00000000-0005-0000-0000-000075010000}"/>
    <cellStyle name="Afjusted 3 2 3 4 2" xfId="11556" xr:uid="{00000000-0005-0000-0000-000075010000}"/>
    <cellStyle name="Afjusted 3 2 3 4 2 2" xfId="30128" xr:uid="{00000000-0005-0000-0000-000075010000}"/>
    <cellStyle name="Afjusted 3 2 3 4 2 3" xfId="48491" xr:uid="{00000000-0005-0000-0000-000075010000}"/>
    <cellStyle name="Afjusted 3 2 3 4 3" xfId="15746" xr:uid="{00000000-0005-0000-0000-000075010000}"/>
    <cellStyle name="Afjusted 3 2 3 4 3 2" xfId="34134" xr:uid="{00000000-0005-0000-0000-000075010000}"/>
    <cellStyle name="Afjusted 3 2 3 4 3 3" xfId="52497" xr:uid="{00000000-0005-0000-0000-000075010000}"/>
    <cellStyle name="Afjusted 3 2 3 4 4" xfId="24870" xr:uid="{00000000-0005-0000-0000-000075010000}"/>
    <cellStyle name="Afjusted 3 2 3 4 4 2" xfId="43239" xr:uid="{00000000-0005-0000-0000-000075010000}"/>
    <cellStyle name="Afjusted 3 2 3 4 5" xfId="21194" xr:uid="{00000000-0005-0000-0000-000075010000}"/>
    <cellStyle name="Afjusted 3 2 3 4 6" xfId="39581" xr:uid="{00000000-0005-0000-0000-000075010000}"/>
    <cellStyle name="Afjusted 3 2 3 5" xfId="9983" xr:uid="{00000000-0005-0000-0000-000075010000}"/>
    <cellStyle name="Afjusted 3 2 3 5 2" xfId="14040" xr:uid="{00000000-0005-0000-0000-000075010000}"/>
    <cellStyle name="Afjusted 3 2 3 5 2 2" xfId="32457" xr:uid="{00000000-0005-0000-0000-000075010000}"/>
    <cellStyle name="Afjusted 3 2 3 5 2 3" xfId="50820" xr:uid="{00000000-0005-0000-0000-000075010000}"/>
    <cellStyle name="Afjusted 3 2 3 5 3" xfId="28695" xr:uid="{00000000-0005-0000-0000-000075010000}"/>
    <cellStyle name="Afjusted 3 2 3 5 3 2" xfId="47058" xr:uid="{00000000-0005-0000-0000-000075010000}"/>
    <cellStyle name="Afjusted 3 2 3 5 4" xfId="19349" xr:uid="{00000000-0005-0000-0000-000075010000}"/>
    <cellStyle name="Afjusted 3 2 3 5 5" xfId="37756" xr:uid="{00000000-0005-0000-0000-000075010000}"/>
    <cellStyle name="Afjusted 3 2 3 6" xfId="7969" xr:uid="{00000000-0005-0000-0000-000075010000}"/>
    <cellStyle name="Afjusted 3 2 3 6 2" xfId="27199" xr:uid="{00000000-0005-0000-0000-000075010000}"/>
    <cellStyle name="Afjusted 3 2 3 6 3" xfId="45564" xr:uid="{00000000-0005-0000-0000-000075010000}"/>
    <cellStyle name="Afjusted 3 2 3 7" xfId="7669" xr:uid="{00000000-0005-0000-0000-000075010000}"/>
    <cellStyle name="Afjusted 3 2 3 7 2" xfId="26953" xr:uid="{00000000-0005-0000-0000-000075010000}"/>
    <cellStyle name="Afjusted 3 2 3 7 3" xfId="45318" xr:uid="{00000000-0005-0000-0000-000075010000}"/>
    <cellStyle name="Afjusted 3 2 3 8" xfId="17871" xr:uid="{00000000-0005-0000-0000-000075010000}"/>
    <cellStyle name="Afjusted 3 2 3 8 2" xfId="36281" xr:uid="{00000000-0005-0000-0000-000075010000}"/>
    <cellStyle name="Afjusted 3 2 3 9" xfId="16879" xr:uid="{00000000-0005-0000-0000-000075010000}"/>
    <cellStyle name="Afjusted 3 2 4" xfId="1766" xr:uid="{00000000-0005-0000-0000-000076010000}"/>
    <cellStyle name="Afjusted 3 2 4 10" xfId="8749" xr:uid="{00000000-0005-0000-0000-000076010000}"/>
    <cellStyle name="Afjusted 3 2 4 2" xfId="3663" xr:uid="{00000000-0005-0000-0000-000076010000}"/>
    <cellStyle name="Afjusted 3 2 4 2 2" xfId="5836" xr:uid="{00000000-0005-0000-0000-000076010000}"/>
    <cellStyle name="Afjusted 3 2 4 2 2 2" xfId="12200" xr:uid="{00000000-0005-0000-0000-000076010000}"/>
    <cellStyle name="Afjusted 3 2 4 2 2 2 2" xfId="30647" xr:uid="{00000000-0005-0000-0000-000076010000}"/>
    <cellStyle name="Afjusted 3 2 4 2 2 2 3" xfId="49010" xr:uid="{00000000-0005-0000-0000-000076010000}"/>
    <cellStyle name="Afjusted 3 2 4 2 2 3" xfId="16526" xr:uid="{00000000-0005-0000-0000-000076010000}"/>
    <cellStyle name="Afjusted 3 2 4 2 2 3 2" xfId="34898" xr:uid="{00000000-0005-0000-0000-000076010000}"/>
    <cellStyle name="Afjusted 3 2 4 2 2 3 3" xfId="53261" xr:uid="{00000000-0005-0000-0000-000076010000}"/>
    <cellStyle name="Afjusted 3 2 4 2 2 4" xfId="25645" xr:uid="{00000000-0005-0000-0000-000076010000}"/>
    <cellStyle name="Afjusted 3 2 4 2 2 4 2" xfId="44014" xr:uid="{00000000-0005-0000-0000-000076010000}"/>
    <cellStyle name="Afjusted 3 2 4 2 2 5" xfId="21966" xr:uid="{00000000-0005-0000-0000-000076010000}"/>
    <cellStyle name="Afjusted 3 2 4 2 2 6" xfId="40345" xr:uid="{00000000-0005-0000-0000-000076010000}"/>
    <cellStyle name="Afjusted 3 2 4 2 3" xfId="6662" xr:uid="{00000000-0005-0000-0000-000076010000}"/>
    <cellStyle name="Afjusted 3 2 4 2 3 2" xfId="12953" xr:uid="{00000000-0005-0000-0000-000076010000}"/>
    <cellStyle name="Afjusted 3 2 4 2 3 2 2" xfId="31379" xr:uid="{00000000-0005-0000-0000-000076010000}"/>
    <cellStyle name="Afjusted 3 2 4 2 3 2 3" xfId="49742" xr:uid="{00000000-0005-0000-0000-000076010000}"/>
    <cellStyle name="Afjusted 3 2 4 2 3 3" xfId="17264" xr:uid="{00000000-0005-0000-0000-000076010000}"/>
    <cellStyle name="Afjusted 3 2 4 2 3 3 2" xfId="35612" xr:uid="{00000000-0005-0000-0000-000076010000}"/>
    <cellStyle name="Afjusted 3 2 4 2 3 3 3" xfId="53975" xr:uid="{00000000-0005-0000-0000-000076010000}"/>
    <cellStyle name="Afjusted 3 2 4 2 3 4" xfId="26397" xr:uid="{00000000-0005-0000-0000-000076010000}"/>
    <cellStyle name="Afjusted 3 2 4 2 3 4 2" xfId="44766" xr:uid="{00000000-0005-0000-0000-000076010000}"/>
    <cellStyle name="Afjusted 3 2 4 2 3 5" xfId="22690" xr:uid="{00000000-0005-0000-0000-000076010000}"/>
    <cellStyle name="Afjusted 3 2 4 2 3 6" xfId="41059" xr:uid="{00000000-0005-0000-0000-000076010000}"/>
    <cellStyle name="Afjusted 3 2 4 2 4" xfId="10376" xr:uid="{00000000-0005-0000-0000-000076010000}"/>
    <cellStyle name="Afjusted 3 2 4 2 4 2" xfId="14433" xr:uid="{00000000-0005-0000-0000-000076010000}"/>
    <cellStyle name="Afjusted 3 2 4 2 4 2 2" xfId="32849" xr:uid="{00000000-0005-0000-0000-000076010000}"/>
    <cellStyle name="Afjusted 3 2 4 2 4 2 3" xfId="51212" xr:uid="{00000000-0005-0000-0000-000076010000}"/>
    <cellStyle name="Afjusted 3 2 4 2 4 3" xfId="29087" xr:uid="{00000000-0005-0000-0000-000076010000}"/>
    <cellStyle name="Afjusted 3 2 4 2 4 3 2" xfId="47450" xr:uid="{00000000-0005-0000-0000-000076010000}"/>
    <cellStyle name="Afjusted 3 2 4 2 4 4" xfId="19890" xr:uid="{00000000-0005-0000-0000-000076010000}"/>
    <cellStyle name="Afjusted 3 2 4 2 4 5" xfId="38296" xr:uid="{00000000-0005-0000-0000-000076010000}"/>
    <cellStyle name="Afjusted 3 2 4 2 5" xfId="9584" xr:uid="{00000000-0005-0000-0000-000076010000}"/>
    <cellStyle name="Afjusted 3 2 4 2 5 2" xfId="28301" xr:uid="{00000000-0005-0000-0000-000076010000}"/>
    <cellStyle name="Afjusted 3 2 4 2 5 3" xfId="46664" xr:uid="{00000000-0005-0000-0000-000076010000}"/>
    <cellStyle name="Afjusted 3 2 4 2 6" xfId="13642" xr:uid="{00000000-0005-0000-0000-000076010000}"/>
    <cellStyle name="Afjusted 3 2 4 2 6 2" xfId="32063" xr:uid="{00000000-0005-0000-0000-000076010000}"/>
    <cellStyle name="Afjusted 3 2 4 2 6 3" xfId="50426" xr:uid="{00000000-0005-0000-0000-000076010000}"/>
    <cellStyle name="Afjusted 3 2 4 2 7" xfId="23571" xr:uid="{00000000-0005-0000-0000-000076010000}"/>
    <cellStyle name="Afjusted 3 2 4 2 7 2" xfId="41940" xr:uid="{00000000-0005-0000-0000-000076010000}"/>
    <cellStyle name="Afjusted 3 2 4 2 8" xfId="18683" xr:uid="{00000000-0005-0000-0000-000076010000}"/>
    <cellStyle name="Afjusted 3 2 4 2 9" xfId="37093" xr:uid="{00000000-0005-0000-0000-000076010000}"/>
    <cellStyle name="Afjusted 3 2 4 3" xfId="4703" xr:uid="{00000000-0005-0000-0000-000076010000}"/>
    <cellStyle name="Afjusted 3 2 4 3 2" xfId="11287" xr:uid="{00000000-0005-0000-0000-000076010000}"/>
    <cellStyle name="Afjusted 3 2 4 3 2 2" xfId="29899" xr:uid="{00000000-0005-0000-0000-000076010000}"/>
    <cellStyle name="Afjusted 3 2 4 3 2 3" xfId="48262" xr:uid="{00000000-0005-0000-0000-000076010000}"/>
    <cellStyle name="Afjusted 3 2 4 3 3" xfId="15429" xr:uid="{00000000-0005-0000-0000-000076010000}"/>
    <cellStyle name="Afjusted 3 2 4 3 3 2" xfId="33822" xr:uid="{00000000-0005-0000-0000-000076010000}"/>
    <cellStyle name="Afjusted 3 2 4 3 3 3" xfId="52185" xr:uid="{00000000-0005-0000-0000-000076010000}"/>
    <cellStyle name="Afjusted 3 2 4 3 4" xfId="24553" xr:uid="{00000000-0005-0000-0000-000076010000}"/>
    <cellStyle name="Afjusted 3 2 4 3 4 2" xfId="42922" xr:uid="{00000000-0005-0000-0000-000076010000}"/>
    <cellStyle name="Afjusted 3 2 4 3 5" xfId="20880" xr:uid="{00000000-0005-0000-0000-000076010000}"/>
    <cellStyle name="Afjusted 3 2 4 3 6" xfId="39269" xr:uid="{00000000-0005-0000-0000-000076010000}"/>
    <cellStyle name="Afjusted 3 2 4 4" xfId="5025" xr:uid="{00000000-0005-0000-0000-000076010000}"/>
    <cellStyle name="Afjusted 3 2 4 4 2" xfId="11548" xr:uid="{00000000-0005-0000-0000-000076010000}"/>
    <cellStyle name="Afjusted 3 2 4 4 2 2" xfId="30120" xr:uid="{00000000-0005-0000-0000-000076010000}"/>
    <cellStyle name="Afjusted 3 2 4 4 2 3" xfId="48483" xr:uid="{00000000-0005-0000-0000-000076010000}"/>
    <cellStyle name="Afjusted 3 2 4 4 3" xfId="15738" xr:uid="{00000000-0005-0000-0000-000076010000}"/>
    <cellStyle name="Afjusted 3 2 4 4 3 2" xfId="34126" xr:uid="{00000000-0005-0000-0000-000076010000}"/>
    <cellStyle name="Afjusted 3 2 4 4 3 3" xfId="52489" xr:uid="{00000000-0005-0000-0000-000076010000}"/>
    <cellStyle name="Afjusted 3 2 4 4 4" xfId="24862" xr:uid="{00000000-0005-0000-0000-000076010000}"/>
    <cellStyle name="Afjusted 3 2 4 4 4 2" xfId="43231" xr:uid="{00000000-0005-0000-0000-000076010000}"/>
    <cellStyle name="Afjusted 3 2 4 4 5" xfId="21186" xr:uid="{00000000-0005-0000-0000-000076010000}"/>
    <cellStyle name="Afjusted 3 2 4 4 6" xfId="39573" xr:uid="{00000000-0005-0000-0000-000076010000}"/>
    <cellStyle name="Afjusted 3 2 4 5" xfId="9066" xr:uid="{00000000-0005-0000-0000-000076010000}"/>
    <cellStyle name="Afjusted 3 2 4 5 2" xfId="8415" xr:uid="{00000000-0005-0000-0000-000076010000}"/>
    <cellStyle name="Afjusted 3 2 4 5 2 2" xfId="27476" xr:uid="{00000000-0005-0000-0000-000076010000}"/>
    <cellStyle name="Afjusted 3 2 4 5 2 3" xfId="45840" xr:uid="{00000000-0005-0000-0000-000076010000}"/>
    <cellStyle name="Afjusted 3 2 4 5 3" xfId="27792" xr:uid="{00000000-0005-0000-0000-000076010000}"/>
    <cellStyle name="Afjusted 3 2 4 5 3 2" xfId="46155" xr:uid="{00000000-0005-0000-0000-000076010000}"/>
    <cellStyle name="Afjusted 3 2 4 5 4" xfId="17966" xr:uid="{00000000-0005-0000-0000-000076010000}"/>
    <cellStyle name="Afjusted 3 2 4 5 5" xfId="36374" xr:uid="{00000000-0005-0000-0000-000076010000}"/>
    <cellStyle name="Afjusted 3 2 4 6" xfId="7997" xr:uid="{00000000-0005-0000-0000-000076010000}"/>
    <cellStyle name="Afjusted 3 2 4 6 2" xfId="27227" xr:uid="{00000000-0005-0000-0000-000076010000}"/>
    <cellStyle name="Afjusted 3 2 4 6 3" xfId="45592" xr:uid="{00000000-0005-0000-0000-000076010000}"/>
    <cellStyle name="Afjusted 3 2 4 7" xfId="7839" xr:uid="{00000000-0005-0000-0000-000076010000}"/>
    <cellStyle name="Afjusted 3 2 4 7 2" xfId="27096" xr:uid="{00000000-0005-0000-0000-000076010000}"/>
    <cellStyle name="Afjusted 3 2 4 7 3" xfId="45461" xr:uid="{00000000-0005-0000-0000-000076010000}"/>
    <cellStyle name="Afjusted 3 2 4 8" xfId="18742" xr:uid="{00000000-0005-0000-0000-000076010000}"/>
    <cellStyle name="Afjusted 3 2 4 8 2" xfId="37151" xr:uid="{00000000-0005-0000-0000-000076010000}"/>
    <cellStyle name="Afjusted 3 2 4 9" xfId="7067" xr:uid="{00000000-0005-0000-0000-000076010000}"/>
    <cellStyle name="Afjusted 3 2 5" xfId="3539" xr:uid="{00000000-0005-0000-0000-000073010000}"/>
    <cellStyle name="Afjusted 3 2 5 2" xfId="5713" xr:uid="{00000000-0005-0000-0000-000073010000}"/>
    <cellStyle name="Afjusted 3 2 5 2 2" xfId="12077" xr:uid="{00000000-0005-0000-0000-000073010000}"/>
    <cellStyle name="Afjusted 3 2 5 2 2 2" xfId="30524" xr:uid="{00000000-0005-0000-0000-000073010000}"/>
    <cellStyle name="Afjusted 3 2 5 2 2 3" xfId="48887" xr:uid="{00000000-0005-0000-0000-000073010000}"/>
    <cellStyle name="Afjusted 3 2 5 2 3" xfId="16403" xr:uid="{00000000-0005-0000-0000-000073010000}"/>
    <cellStyle name="Afjusted 3 2 5 2 3 2" xfId="34775" xr:uid="{00000000-0005-0000-0000-000073010000}"/>
    <cellStyle name="Afjusted 3 2 5 2 3 3" xfId="53138" xr:uid="{00000000-0005-0000-0000-000073010000}"/>
    <cellStyle name="Afjusted 3 2 5 2 4" xfId="25522" xr:uid="{00000000-0005-0000-0000-000073010000}"/>
    <cellStyle name="Afjusted 3 2 5 2 4 2" xfId="43891" xr:uid="{00000000-0005-0000-0000-000073010000}"/>
    <cellStyle name="Afjusted 3 2 5 2 5" xfId="21843" xr:uid="{00000000-0005-0000-0000-000073010000}"/>
    <cellStyle name="Afjusted 3 2 5 2 6" xfId="40222" xr:uid="{00000000-0005-0000-0000-000073010000}"/>
    <cellStyle name="Afjusted 3 2 5 3" xfId="6538" xr:uid="{00000000-0005-0000-0000-000073010000}"/>
    <cellStyle name="Afjusted 3 2 5 3 2" xfId="12829" xr:uid="{00000000-0005-0000-0000-000073010000}"/>
    <cellStyle name="Afjusted 3 2 5 3 2 2" xfId="31255" xr:uid="{00000000-0005-0000-0000-000073010000}"/>
    <cellStyle name="Afjusted 3 2 5 3 2 3" xfId="49618" xr:uid="{00000000-0005-0000-0000-000073010000}"/>
    <cellStyle name="Afjusted 3 2 5 3 3" xfId="17140" xr:uid="{00000000-0005-0000-0000-000073010000}"/>
    <cellStyle name="Afjusted 3 2 5 3 3 2" xfId="35488" xr:uid="{00000000-0005-0000-0000-000073010000}"/>
    <cellStyle name="Afjusted 3 2 5 3 3 3" xfId="53851" xr:uid="{00000000-0005-0000-0000-000073010000}"/>
    <cellStyle name="Afjusted 3 2 5 3 4" xfId="26273" xr:uid="{00000000-0005-0000-0000-000073010000}"/>
    <cellStyle name="Afjusted 3 2 5 3 4 2" xfId="44642" xr:uid="{00000000-0005-0000-0000-000073010000}"/>
    <cellStyle name="Afjusted 3 2 5 3 5" xfId="22566" xr:uid="{00000000-0005-0000-0000-000073010000}"/>
    <cellStyle name="Afjusted 3 2 5 3 6" xfId="40935" xr:uid="{00000000-0005-0000-0000-000073010000}"/>
    <cellStyle name="Afjusted 3 2 5 4" xfId="10252" xr:uid="{00000000-0005-0000-0000-000073010000}"/>
    <cellStyle name="Afjusted 3 2 5 4 2" xfId="14309" xr:uid="{00000000-0005-0000-0000-000073010000}"/>
    <cellStyle name="Afjusted 3 2 5 4 2 2" xfId="32725" xr:uid="{00000000-0005-0000-0000-000073010000}"/>
    <cellStyle name="Afjusted 3 2 5 4 2 3" xfId="51088" xr:uid="{00000000-0005-0000-0000-000073010000}"/>
    <cellStyle name="Afjusted 3 2 5 4 3" xfId="28963" xr:uid="{00000000-0005-0000-0000-000073010000}"/>
    <cellStyle name="Afjusted 3 2 5 4 3 2" xfId="47326" xr:uid="{00000000-0005-0000-0000-000073010000}"/>
    <cellStyle name="Afjusted 3 2 5 4 4" xfId="19766" xr:uid="{00000000-0005-0000-0000-000073010000}"/>
    <cellStyle name="Afjusted 3 2 5 4 5" xfId="38172" xr:uid="{00000000-0005-0000-0000-000073010000}"/>
    <cellStyle name="Afjusted 3 2 5 5" xfId="9459" xr:uid="{00000000-0005-0000-0000-000073010000}"/>
    <cellStyle name="Afjusted 3 2 5 5 2" xfId="28176" xr:uid="{00000000-0005-0000-0000-000073010000}"/>
    <cellStyle name="Afjusted 3 2 5 5 3" xfId="46539" xr:uid="{00000000-0005-0000-0000-000073010000}"/>
    <cellStyle name="Afjusted 3 2 5 6" xfId="13516" xr:uid="{00000000-0005-0000-0000-000073010000}"/>
    <cellStyle name="Afjusted 3 2 5 6 2" xfId="31937" xr:uid="{00000000-0005-0000-0000-000073010000}"/>
    <cellStyle name="Afjusted 3 2 5 6 3" xfId="50300" xr:uid="{00000000-0005-0000-0000-000073010000}"/>
    <cellStyle name="Afjusted 3 2 5 7" xfId="23447" xr:uid="{00000000-0005-0000-0000-000073010000}"/>
    <cellStyle name="Afjusted 3 2 5 7 2" xfId="41816" xr:uid="{00000000-0005-0000-0000-000073010000}"/>
    <cellStyle name="Afjusted 3 2 5 8" xfId="18554" xr:uid="{00000000-0005-0000-0000-000073010000}"/>
    <cellStyle name="Afjusted 3 2 5 9" xfId="36963" xr:uid="{00000000-0005-0000-0000-000073010000}"/>
    <cellStyle name="Afjusted 3 2 6" xfId="4564" xr:uid="{00000000-0005-0000-0000-000073010000}"/>
    <cellStyle name="Afjusted 3 2 6 2" xfId="11149" xr:uid="{00000000-0005-0000-0000-000073010000}"/>
    <cellStyle name="Afjusted 3 2 6 2 2" xfId="29763" xr:uid="{00000000-0005-0000-0000-000073010000}"/>
    <cellStyle name="Afjusted 3 2 6 2 3" xfId="48126" xr:uid="{00000000-0005-0000-0000-000073010000}"/>
    <cellStyle name="Afjusted 3 2 6 3" xfId="15290" xr:uid="{00000000-0005-0000-0000-000073010000}"/>
    <cellStyle name="Afjusted 3 2 6 3 2" xfId="33684" xr:uid="{00000000-0005-0000-0000-000073010000}"/>
    <cellStyle name="Afjusted 3 2 6 3 3" xfId="52047" xr:uid="{00000000-0005-0000-0000-000073010000}"/>
    <cellStyle name="Afjusted 3 2 6 4" xfId="24415" xr:uid="{00000000-0005-0000-0000-000073010000}"/>
    <cellStyle name="Afjusted 3 2 6 4 2" xfId="42784" xr:uid="{00000000-0005-0000-0000-000073010000}"/>
    <cellStyle name="Afjusted 3 2 6 5" xfId="20741" xr:uid="{00000000-0005-0000-0000-000073010000}"/>
    <cellStyle name="Afjusted 3 2 6 6" xfId="39131" xr:uid="{00000000-0005-0000-0000-000073010000}"/>
    <cellStyle name="Afjusted 3 2 7" xfId="5511" xr:uid="{00000000-0005-0000-0000-000073010000}"/>
    <cellStyle name="Afjusted 3 2 7 2" xfId="11875" xr:uid="{00000000-0005-0000-0000-000073010000}"/>
    <cellStyle name="Afjusted 3 2 7 2 2" xfId="30322" xr:uid="{00000000-0005-0000-0000-000073010000}"/>
    <cellStyle name="Afjusted 3 2 7 2 3" xfId="48685" xr:uid="{00000000-0005-0000-0000-000073010000}"/>
    <cellStyle name="Afjusted 3 2 7 3" xfId="16202" xr:uid="{00000000-0005-0000-0000-000073010000}"/>
    <cellStyle name="Afjusted 3 2 7 3 2" xfId="34574" xr:uid="{00000000-0005-0000-0000-000073010000}"/>
    <cellStyle name="Afjusted 3 2 7 3 3" xfId="52937" xr:uid="{00000000-0005-0000-0000-000073010000}"/>
    <cellStyle name="Afjusted 3 2 7 4" xfId="25321" xr:uid="{00000000-0005-0000-0000-000073010000}"/>
    <cellStyle name="Afjusted 3 2 7 4 2" xfId="43690" xr:uid="{00000000-0005-0000-0000-000073010000}"/>
    <cellStyle name="Afjusted 3 2 7 5" xfId="21642" xr:uid="{00000000-0005-0000-0000-000073010000}"/>
    <cellStyle name="Afjusted 3 2 7 6" xfId="40021" xr:uid="{00000000-0005-0000-0000-000073010000}"/>
    <cellStyle name="Afjusted 3 2 8" xfId="9820" xr:uid="{00000000-0005-0000-0000-000073010000}"/>
    <cellStyle name="Afjusted 3 2 8 2" xfId="13877" xr:uid="{00000000-0005-0000-0000-000073010000}"/>
    <cellStyle name="Afjusted 3 2 8 2 2" xfId="32297" xr:uid="{00000000-0005-0000-0000-000073010000}"/>
    <cellStyle name="Afjusted 3 2 8 2 3" xfId="50660" xr:uid="{00000000-0005-0000-0000-000073010000}"/>
    <cellStyle name="Afjusted 3 2 8 3" xfId="28535" xr:uid="{00000000-0005-0000-0000-000073010000}"/>
    <cellStyle name="Afjusted 3 2 8 3 2" xfId="46898" xr:uid="{00000000-0005-0000-0000-000073010000}"/>
    <cellStyle name="Afjusted 3 2 8 4" xfId="19037" xr:uid="{00000000-0005-0000-0000-000073010000}"/>
    <cellStyle name="Afjusted 3 2 8 5" xfId="37446" xr:uid="{00000000-0005-0000-0000-000073010000}"/>
    <cellStyle name="Afjusted 3 2 9" xfId="7861" xr:uid="{00000000-0005-0000-0000-000073010000}"/>
    <cellStyle name="Afjusted 3 2 9 2" xfId="27107" xr:uid="{00000000-0005-0000-0000-000073010000}"/>
    <cellStyle name="Afjusted 3 2 9 3" xfId="45472" xr:uid="{00000000-0005-0000-0000-000073010000}"/>
    <cellStyle name="Afjusted 3 3" xfId="1541" xr:uid="{00000000-0005-0000-0000-000077010000}"/>
    <cellStyle name="Afjusted 3 3 10" xfId="17861" xr:uid="{00000000-0005-0000-0000-000077010000}"/>
    <cellStyle name="Afjusted 3 3 10 2" xfId="36271" xr:uid="{00000000-0005-0000-0000-000077010000}"/>
    <cellStyle name="Afjusted 3 3 11" xfId="7530" xr:uid="{00000000-0005-0000-0000-000077010000}"/>
    <cellStyle name="Afjusted 3 3 12" xfId="15568" xr:uid="{00000000-0005-0000-0000-000077010000}"/>
    <cellStyle name="Afjusted 3 3 2" xfId="1700" xr:uid="{00000000-0005-0000-0000-000078010000}"/>
    <cellStyle name="Afjusted 3 3 2 10" xfId="11346" xr:uid="{00000000-0005-0000-0000-000078010000}"/>
    <cellStyle name="Afjusted 3 3 2 2" xfId="3598" xr:uid="{00000000-0005-0000-0000-000078010000}"/>
    <cellStyle name="Afjusted 3 3 2 2 2" xfId="5771" xr:uid="{00000000-0005-0000-0000-000078010000}"/>
    <cellStyle name="Afjusted 3 3 2 2 2 2" xfId="12135" xr:uid="{00000000-0005-0000-0000-000078010000}"/>
    <cellStyle name="Afjusted 3 3 2 2 2 2 2" xfId="30582" xr:uid="{00000000-0005-0000-0000-000078010000}"/>
    <cellStyle name="Afjusted 3 3 2 2 2 2 3" xfId="48945" xr:uid="{00000000-0005-0000-0000-000078010000}"/>
    <cellStyle name="Afjusted 3 3 2 2 2 3" xfId="16461" xr:uid="{00000000-0005-0000-0000-000078010000}"/>
    <cellStyle name="Afjusted 3 3 2 2 2 3 2" xfId="34833" xr:uid="{00000000-0005-0000-0000-000078010000}"/>
    <cellStyle name="Afjusted 3 3 2 2 2 3 3" xfId="53196" xr:uid="{00000000-0005-0000-0000-000078010000}"/>
    <cellStyle name="Afjusted 3 3 2 2 2 4" xfId="25580" xr:uid="{00000000-0005-0000-0000-000078010000}"/>
    <cellStyle name="Afjusted 3 3 2 2 2 4 2" xfId="43949" xr:uid="{00000000-0005-0000-0000-000078010000}"/>
    <cellStyle name="Afjusted 3 3 2 2 2 5" xfId="21901" xr:uid="{00000000-0005-0000-0000-000078010000}"/>
    <cellStyle name="Afjusted 3 3 2 2 2 6" xfId="40280" xr:uid="{00000000-0005-0000-0000-000078010000}"/>
    <cellStyle name="Afjusted 3 3 2 2 3" xfId="6597" xr:uid="{00000000-0005-0000-0000-000078010000}"/>
    <cellStyle name="Afjusted 3 3 2 2 3 2" xfId="12888" xr:uid="{00000000-0005-0000-0000-000078010000}"/>
    <cellStyle name="Afjusted 3 3 2 2 3 2 2" xfId="31314" xr:uid="{00000000-0005-0000-0000-000078010000}"/>
    <cellStyle name="Afjusted 3 3 2 2 3 2 3" xfId="49677" xr:uid="{00000000-0005-0000-0000-000078010000}"/>
    <cellStyle name="Afjusted 3 3 2 2 3 3" xfId="17199" xr:uid="{00000000-0005-0000-0000-000078010000}"/>
    <cellStyle name="Afjusted 3 3 2 2 3 3 2" xfId="35547" xr:uid="{00000000-0005-0000-0000-000078010000}"/>
    <cellStyle name="Afjusted 3 3 2 2 3 3 3" xfId="53910" xr:uid="{00000000-0005-0000-0000-000078010000}"/>
    <cellStyle name="Afjusted 3 3 2 2 3 4" xfId="26332" xr:uid="{00000000-0005-0000-0000-000078010000}"/>
    <cellStyle name="Afjusted 3 3 2 2 3 4 2" xfId="44701" xr:uid="{00000000-0005-0000-0000-000078010000}"/>
    <cellStyle name="Afjusted 3 3 2 2 3 5" xfId="22625" xr:uid="{00000000-0005-0000-0000-000078010000}"/>
    <cellStyle name="Afjusted 3 3 2 2 3 6" xfId="40994" xr:uid="{00000000-0005-0000-0000-000078010000}"/>
    <cellStyle name="Afjusted 3 3 2 2 4" xfId="10311" xr:uid="{00000000-0005-0000-0000-000078010000}"/>
    <cellStyle name="Afjusted 3 3 2 2 4 2" xfId="14368" xr:uid="{00000000-0005-0000-0000-000078010000}"/>
    <cellStyle name="Afjusted 3 3 2 2 4 2 2" xfId="32784" xr:uid="{00000000-0005-0000-0000-000078010000}"/>
    <cellStyle name="Afjusted 3 3 2 2 4 2 3" xfId="51147" xr:uid="{00000000-0005-0000-0000-000078010000}"/>
    <cellStyle name="Afjusted 3 3 2 2 4 3" xfId="29022" xr:uid="{00000000-0005-0000-0000-000078010000}"/>
    <cellStyle name="Afjusted 3 3 2 2 4 3 2" xfId="47385" xr:uid="{00000000-0005-0000-0000-000078010000}"/>
    <cellStyle name="Afjusted 3 3 2 2 4 4" xfId="19825" xr:uid="{00000000-0005-0000-0000-000078010000}"/>
    <cellStyle name="Afjusted 3 3 2 2 4 5" xfId="38231" xr:uid="{00000000-0005-0000-0000-000078010000}"/>
    <cellStyle name="Afjusted 3 3 2 2 5" xfId="9519" xr:uid="{00000000-0005-0000-0000-000078010000}"/>
    <cellStyle name="Afjusted 3 3 2 2 5 2" xfId="28236" xr:uid="{00000000-0005-0000-0000-000078010000}"/>
    <cellStyle name="Afjusted 3 3 2 2 5 3" xfId="46599" xr:uid="{00000000-0005-0000-0000-000078010000}"/>
    <cellStyle name="Afjusted 3 3 2 2 6" xfId="13577" xr:uid="{00000000-0005-0000-0000-000078010000}"/>
    <cellStyle name="Afjusted 3 3 2 2 6 2" xfId="31998" xr:uid="{00000000-0005-0000-0000-000078010000}"/>
    <cellStyle name="Afjusted 3 3 2 2 6 3" xfId="50361" xr:uid="{00000000-0005-0000-0000-000078010000}"/>
    <cellStyle name="Afjusted 3 3 2 2 7" xfId="23506" xr:uid="{00000000-0005-0000-0000-000078010000}"/>
    <cellStyle name="Afjusted 3 3 2 2 7 2" xfId="41875" xr:uid="{00000000-0005-0000-0000-000078010000}"/>
    <cellStyle name="Afjusted 3 3 2 2 8" xfId="18617" xr:uid="{00000000-0005-0000-0000-000078010000}"/>
    <cellStyle name="Afjusted 3 3 2 2 9" xfId="37027" xr:uid="{00000000-0005-0000-0000-000078010000}"/>
    <cellStyle name="Afjusted 3 3 2 3" xfId="4638" xr:uid="{00000000-0005-0000-0000-000078010000}"/>
    <cellStyle name="Afjusted 3 3 2 3 2" xfId="11222" xr:uid="{00000000-0005-0000-0000-000078010000}"/>
    <cellStyle name="Afjusted 3 3 2 3 2 2" xfId="29834" xr:uid="{00000000-0005-0000-0000-000078010000}"/>
    <cellStyle name="Afjusted 3 3 2 3 2 3" xfId="48197" xr:uid="{00000000-0005-0000-0000-000078010000}"/>
    <cellStyle name="Afjusted 3 3 2 3 3" xfId="15364" xr:uid="{00000000-0005-0000-0000-000078010000}"/>
    <cellStyle name="Afjusted 3 3 2 3 3 2" xfId="33757" xr:uid="{00000000-0005-0000-0000-000078010000}"/>
    <cellStyle name="Afjusted 3 3 2 3 3 3" xfId="52120" xr:uid="{00000000-0005-0000-0000-000078010000}"/>
    <cellStyle name="Afjusted 3 3 2 3 4" xfId="24488" xr:uid="{00000000-0005-0000-0000-000078010000}"/>
    <cellStyle name="Afjusted 3 3 2 3 4 2" xfId="42857" xr:uid="{00000000-0005-0000-0000-000078010000}"/>
    <cellStyle name="Afjusted 3 3 2 3 5" xfId="20815" xr:uid="{00000000-0005-0000-0000-000078010000}"/>
    <cellStyle name="Afjusted 3 3 2 3 6" xfId="39204" xr:uid="{00000000-0005-0000-0000-000078010000}"/>
    <cellStyle name="Afjusted 3 3 2 4" xfId="4555" xr:uid="{00000000-0005-0000-0000-000078010000}"/>
    <cellStyle name="Afjusted 3 3 2 4 2" xfId="11142" xr:uid="{00000000-0005-0000-0000-000078010000}"/>
    <cellStyle name="Afjusted 3 3 2 4 2 2" xfId="29757" xr:uid="{00000000-0005-0000-0000-000078010000}"/>
    <cellStyle name="Afjusted 3 3 2 4 2 3" xfId="48120" xr:uid="{00000000-0005-0000-0000-000078010000}"/>
    <cellStyle name="Afjusted 3 3 2 4 3" xfId="15282" xr:uid="{00000000-0005-0000-0000-000078010000}"/>
    <cellStyle name="Afjusted 3 3 2 4 3 2" xfId="33676" xr:uid="{00000000-0005-0000-0000-000078010000}"/>
    <cellStyle name="Afjusted 3 3 2 4 3 3" xfId="52039" xr:uid="{00000000-0005-0000-0000-000078010000}"/>
    <cellStyle name="Afjusted 3 3 2 4 4" xfId="24407" xr:uid="{00000000-0005-0000-0000-000078010000}"/>
    <cellStyle name="Afjusted 3 3 2 4 4 2" xfId="42776" xr:uid="{00000000-0005-0000-0000-000078010000}"/>
    <cellStyle name="Afjusted 3 3 2 4 5" xfId="20732" xr:uid="{00000000-0005-0000-0000-000078010000}"/>
    <cellStyle name="Afjusted 3 3 2 4 6" xfId="39123" xr:uid="{00000000-0005-0000-0000-000078010000}"/>
    <cellStyle name="Afjusted 3 3 2 5" xfId="9091" xr:uid="{00000000-0005-0000-0000-000078010000}"/>
    <cellStyle name="Afjusted 3 3 2 5 2" xfId="6079" xr:uid="{00000000-0005-0000-0000-000078010000}"/>
    <cellStyle name="Afjusted 3 3 2 5 2 2" xfId="25888" xr:uid="{00000000-0005-0000-0000-000078010000}"/>
    <cellStyle name="Afjusted 3 3 2 5 2 3" xfId="44257" xr:uid="{00000000-0005-0000-0000-000078010000}"/>
    <cellStyle name="Afjusted 3 3 2 5 3" xfId="27817" xr:uid="{00000000-0005-0000-0000-000078010000}"/>
    <cellStyle name="Afjusted 3 3 2 5 3 2" xfId="46180" xr:uid="{00000000-0005-0000-0000-000078010000}"/>
    <cellStyle name="Afjusted 3 3 2 5 4" xfId="17991" xr:uid="{00000000-0005-0000-0000-000078010000}"/>
    <cellStyle name="Afjusted 3 3 2 5 5" xfId="36399" xr:uid="{00000000-0005-0000-0000-000078010000}"/>
    <cellStyle name="Afjusted 3 3 2 6" xfId="7932" xr:uid="{00000000-0005-0000-0000-000078010000}"/>
    <cellStyle name="Afjusted 3 3 2 6 2" xfId="27163" xr:uid="{00000000-0005-0000-0000-000078010000}"/>
    <cellStyle name="Afjusted 3 3 2 6 3" xfId="45528" xr:uid="{00000000-0005-0000-0000-000078010000}"/>
    <cellStyle name="Afjusted 3 3 2 7" xfId="7481" xr:uid="{00000000-0005-0000-0000-000078010000}"/>
    <cellStyle name="Afjusted 3 3 2 7 2" xfId="26847" xr:uid="{00000000-0005-0000-0000-000078010000}"/>
    <cellStyle name="Afjusted 3 3 2 7 3" xfId="45212" xr:uid="{00000000-0005-0000-0000-000078010000}"/>
    <cellStyle name="Afjusted 3 3 2 8" xfId="18102" xr:uid="{00000000-0005-0000-0000-000078010000}"/>
    <cellStyle name="Afjusted 3 3 2 8 2" xfId="36509" xr:uid="{00000000-0005-0000-0000-000078010000}"/>
    <cellStyle name="Afjusted 3 3 2 9" xfId="8429" xr:uid="{00000000-0005-0000-0000-000078010000}"/>
    <cellStyle name="Afjusted 3 3 3" xfId="1415" xr:uid="{00000000-0005-0000-0000-000079010000}"/>
    <cellStyle name="Afjusted 3 3 3 10" xfId="8566" xr:uid="{00000000-0005-0000-0000-000079010000}"/>
    <cellStyle name="Afjusted 3 3 3 2" xfId="3448" xr:uid="{00000000-0005-0000-0000-000079010000}"/>
    <cellStyle name="Afjusted 3 3 3 2 2" xfId="5623" xr:uid="{00000000-0005-0000-0000-000079010000}"/>
    <cellStyle name="Afjusted 3 3 3 2 2 2" xfId="11987" xr:uid="{00000000-0005-0000-0000-000079010000}"/>
    <cellStyle name="Afjusted 3 3 3 2 2 2 2" xfId="30434" xr:uid="{00000000-0005-0000-0000-000079010000}"/>
    <cellStyle name="Afjusted 3 3 3 2 2 2 3" xfId="48797" xr:uid="{00000000-0005-0000-0000-000079010000}"/>
    <cellStyle name="Afjusted 3 3 3 2 2 3" xfId="16313" xr:uid="{00000000-0005-0000-0000-000079010000}"/>
    <cellStyle name="Afjusted 3 3 3 2 2 3 2" xfId="34685" xr:uid="{00000000-0005-0000-0000-000079010000}"/>
    <cellStyle name="Afjusted 3 3 3 2 2 3 3" xfId="53048" xr:uid="{00000000-0005-0000-0000-000079010000}"/>
    <cellStyle name="Afjusted 3 3 3 2 2 4" xfId="25432" xr:uid="{00000000-0005-0000-0000-000079010000}"/>
    <cellStyle name="Afjusted 3 3 3 2 2 4 2" xfId="43801" xr:uid="{00000000-0005-0000-0000-000079010000}"/>
    <cellStyle name="Afjusted 3 3 3 2 2 5" xfId="21753" xr:uid="{00000000-0005-0000-0000-000079010000}"/>
    <cellStyle name="Afjusted 3 3 3 2 2 6" xfId="40132" xr:uid="{00000000-0005-0000-0000-000079010000}"/>
    <cellStyle name="Afjusted 3 3 3 2 3" xfId="6447" xr:uid="{00000000-0005-0000-0000-000079010000}"/>
    <cellStyle name="Afjusted 3 3 3 2 3 2" xfId="12738" xr:uid="{00000000-0005-0000-0000-000079010000}"/>
    <cellStyle name="Afjusted 3 3 3 2 3 2 2" xfId="31164" xr:uid="{00000000-0005-0000-0000-000079010000}"/>
    <cellStyle name="Afjusted 3 3 3 2 3 2 3" xfId="49527" xr:uid="{00000000-0005-0000-0000-000079010000}"/>
    <cellStyle name="Afjusted 3 3 3 2 3 3" xfId="17049" xr:uid="{00000000-0005-0000-0000-000079010000}"/>
    <cellStyle name="Afjusted 3 3 3 2 3 3 2" xfId="35397" xr:uid="{00000000-0005-0000-0000-000079010000}"/>
    <cellStyle name="Afjusted 3 3 3 2 3 3 3" xfId="53760" xr:uid="{00000000-0005-0000-0000-000079010000}"/>
    <cellStyle name="Afjusted 3 3 3 2 3 4" xfId="26182" xr:uid="{00000000-0005-0000-0000-000079010000}"/>
    <cellStyle name="Afjusted 3 3 3 2 3 4 2" xfId="44551" xr:uid="{00000000-0005-0000-0000-000079010000}"/>
    <cellStyle name="Afjusted 3 3 3 2 3 5" xfId="22475" xr:uid="{00000000-0005-0000-0000-000079010000}"/>
    <cellStyle name="Afjusted 3 3 3 2 3 6" xfId="40844" xr:uid="{00000000-0005-0000-0000-000079010000}"/>
    <cellStyle name="Afjusted 3 3 3 2 4" xfId="10161" xr:uid="{00000000-0005-0000-0000-000079010000}"/>
    <cellStyle name="Afjusted 3 3 3 2 4 2" xfId="14218" xr:uid="{00000000-0005-0000-0000-000079010000}"/>
    <cellStyle name="Afjusted 3 3 3 2 4 2 2" xfId="32634" xr:uid="{00000000-0005-0000-0000-000079010000}"/>
    <cellStyle name="Afjusted 3 3 3 2 4 2 3" xfId="50997" xr:uid="{00000000-0005-0000-0000-000079010000}"/>
    <cellStyle name="Afjusted 3 3 3 2 4 3" xfId="28872" xr:uid="{00000000-0005-0000-0000-000079010000}"/>
    <cellStyle name="Afjusted 3 3 3 2 4 3 2" xfId="47235" xr:uid="{00000000-0005-0000-0000-000079010000}"/>
    <cellStyle name="Afjusted 3 3 3 2 4 4" xfId="19675" xr:uid="{00000000-0005-0000-0000-000079010000}"/>
    <cellStyle name="Afjusted 3 3 3 2 4 5" xfId="38081" xr:uid="{00000000-0005-0000-0000-000079010000}"/>
    <cellStyle name="Afjusted 3 3 3 2 5" xfId="9348" xr:uid="{00000000-0005-0000-0000-000079010000}"/>
    <cellStyle name="Afjusted 3 3 3 2 5 2" xfId="28067" xr:uid="{00000000-0005-0000-0000-000079010000}"/>
    <cellStyle name="Afjusted 3 3 3 2 5 3" xfId="46430" xr:uid="{00000000-0005-0000-0000-000079010000}"/>
    <cellStyle name="Afjusted 3 3 3 2 6" xfId="13404" xr:uid="{00000000-0005-0000-0000-000079010000}"/>
    <cellStyle name="Afjusted 3 3 3 2 6 2" xfId="31825" xr:uid="{00000000-0005-0000-0000-000079010000}"/>
    <cellStyle name="Afjusted 3 3 3 2 6 3" xfId="50188" xr:uid="{00000000-0005-0000-0000-000079010000}"/>
    <cellStyle name="Afjusted 3 3 3 2 7" xfId="23356" xr:uid="{00000000-0005-0000-0000-000079010000}"/>
    <cellStyle name="Afjusted 3 3 3 2 7 2" xfId="41725" xr:uid="{00000000-0005-0000-0000-000079010000}"/>
    <cellStyle name="Afjusted 3 3 3 2 8" xfId="18427" xr:uid="{00000000-0005-0000-0000-000079010000}"/>
    <cellStyle name="Afjusted 3 3 3 2 9" xfId="36833" xr:uid="{00000000-0005-0000-0000-000079010000}"/>
    <cellStyle name="Afjusted 3 3 3 3" xfId="4441" xr:uid="{00000000-0005-0000-0000-000079010000}"/>
    <cellStyle name="Afjusted 3 3 3 3 2" xfId="11040" xr:uid="{00000000-0005-0000-0000-000079010000}"/>
    <cellStyle name="Afjusted 3 3 3 3 2 2" xfId="29660" xr:uid="{00000000-0005-0000-0000-000079010000}"/>
    <cellStyle name="Afjusted 3 3 3 3 2 3" xfId="48023" xr:uid="{00000000-0005-0000-0000-000079010000}"/>
    <cellStyle name="Afjusted 3 3 3 3 3" xfId="15175" xr:uid="{00000000-0005-0000-0000-000079010000}"/>
    <cellStyle name="Afjusted 3 3 3 3 3 2" xfId="33572" xr:uid="{00000000-0005-0000-0000-000079010000}"/>
    <cellStyle name="Afjusted 3 3 3 3 3 3" xfId="51935" xr:uid="{00000000-0005-0000-0000-000079010000}"/>
    <cellStyle name="Afjusted 3 3 3 3 4" xfId="24303" xr:uid="{00000000-0005-0000-0000-000079010000}"/>
    <cellStyle name="Afjusted 3 3 3 3 4 2" xfId="42672" xr:uid="{00000000-0005-0000-0000-000079010000}"/>
    <cellStyle name="Afjusted 3 3 3 3 5" xfId="20626" xr:uid="{00000000-0005-0000-0000-000079010000}"/>
    <cellStyle name="Afjusted 3 3 3 3 6" xfId="39019" xr:uid="{00000000-0005-0000-0000-000079010000}"/>
    <cellStyle name="Afjusted 3 3 3 4" xfId="4033" xr:uid="{00000000-0005-0000-0000-000079010000}"/>
    <cellStyle name="Afjusted 3 3 3 4 2" xfId="10736" xr:uid="{00000000-0005-0000-0000-000079010000}"/>
    <cellStyle name="Afjusted 3 3 3 4 2 2" xfId="29439" xr:uid="{00000000-0005-0000-0000-000079010000}"/>
    <cellStyle name="Afjusted 3 3 3 4 2 3" xfId="47802" xr:uid="{00000000-0005-0000-0000-000079010000}"/>
    <cellStyle name="Afjusted 3 3 3 4 3" xfId="14794" xr:uid="{00000000-0005-0000-0000-000079010000}"/>
    <cellStyle name="Afjusted 3 3 3 4 3 2" xfId="33206" xr:uid="{00000000-0005-0000-0000-000079010000}"/>
    <cellStyle name="Afjusted 3 3 3 4 3 3" xfId="51569" xr:uid="{00000000-0005-0000-0000-000079010000}"/>
    <cellStyle name="Afjusted 3 3 3 4 4" xfId="23930" xr:uid="{00000000-0005-0000-0000-000079010000}"/>
    <cellStyle name="Afjusted 3 3 3 4 4 2" xfId="42299" xr:uid="{00000000-0005-0000-0000-000079010000}"/>
    <cellStyle name="Afjusted 3 3 3 4 5" xfId="20250" xr:uid="{00000000-0005-0000-0000-000079010000}"/>
    <cellStyle name="Afjusted 3 3 3 4 6" xfId="38653" xr:uid="{00000000-0005-0000-0000-000079010000}"/>
    <cellStyle name="Afjusted 3 3 3 5" xfId="9356" xr:uid="{00000000-0005-0000-0000-000079010000}"/>
    <cellStyle name="Afjusted 3 3 3 5 2" xfId="13412" xr:uid="{00000000-0005-0000-0000-000079010000}"/>
    <cellStyle name="Afjusted 3 3 3 5 2 2" xfId="31833" xr:uid="{00000000-0005-0000-0000-000079010000}"/>
    <cellStyle name="Afjusted 3 3 3 5 2 3" xfId="50196" xr:uid="{00000000-0005-0000-0000-000079010000}"/>
    <cellStyle name="Afjusted 3 3 3 5 3" xfId="28075" xr:uid="{00000000-0005-0000-0000-000079010000}"/>
    <cellStyle name="Afjusted 3 3 3 5 3 2" xfId="46438" xr:uid="{00000000-0005-0000-0000-000079010000}"/>
    <cellStyle name="Afjusted 3 3 3 5 4" xfId="18438" xr:uid="{00000000-0005-0000-0000-000079010000}"/>
    <cellStyle name="Afjusted 3 3 3 5 5" xfId="36844" xr:uid="{00000000-0005-0000-0000-000079010000}"/>
    <cellStyle name="Afjusted 3 3 3 6" xfId="7707" xr:uid="{00000000-0005-0000-0000-000079010000}"/>
    <cellStyle name="Afjusted 3 3 3 6 2" xfId="26989" xr:uid="{00000000-0005-0000-0000-000079010000}"/>
    <cellStyle name="Afjusted 3 3 3 6 3" xfId="45354" xr:uid="{00000000-0005-0000-0000-000079010000}"/>
    <cellStyle name="Afjusted 3 3 3 7" xfId="7219" xr:uid="{00000000-0005-0000-0000-000079010000}"/>
    <cellStyle name="Afjusted 3 3 3 7 2" xfId="26762" xr:uid="{00000000-0005-0000-0000-000079010000}"/>
    <cellStyle name="Afjusted 3 3 3 7 3" xfId="45130" xr:uid="{00000000-0005-0000-0000-000079010000}"/>
    <cellStyle name="Afjusted 3 3 3 8" xfId="17921" xr:uid="{00000000-0005-0000-0000-000079010000}"/>
    <cellStyle name="Afjusted 3 3 3 8 2" xfId="36329" xr:uid="{00000000-0005-0000-0000-000079010000}"/>
    <cellStyle name="Afjusted 3 3 3 9" xfId="7413" xr:uid="{00000000-0005-0000-0000-000079010000}"/>
    <cellStyle name="Afjusted 3 3 4" xfId="1360" xr:uid="{00000000-0005-0000-0000-00007A010000}"/>
    <cellStyle name="Afjusted 3 3 4 10" xfId="10807" xr:uid="{00000000-0005-0000-0000-00007A010000}"/>
    <cellStyle name="Afjusted 3 3 4 2" xfId="3402" xr:uid="{00000000-0005-0000-0000-00007A010000}"/>
    <cellStyle name="Afjusted 3 3 4 2 2" xfId="5577" xr:uid="{00000000-0005-0000-0000-00007A010000}"/>
    <cellStyle name="Afjusted 3 3 4 2 2 2" xfId="11941" xr:uid="{00000000-0005-0000-0000-00007A010000}"/>
    <cellStyle name="Afjusted 3 3 4 2 2 2 2" xfId="30388" xr:uid="{00000000-0005-0000-0000-00007A010000}"/>
    <cellStyle name="Afjusted 3 3 4 2 2 2 3" xfId="48751" xr:uid="{00000000-0005-0000-0000-00007A010000}"/>
    <cellStyle name="Afjusted 3 3 4 2 2 3" xfId="16267" xr:uid="{00000000-0005-0000-0000-00007A010000}"/>
    <cellStyle name="Afjusted 3 3 4 2 2 3 2" xfId="34639" xr:uid="{00000000-0005-0000-0000-00007A010000}"/>
    <cellStyle name="Afjusted 3 3 4 2 2 3 3" xfId="53002" xr:uid="{00000000-0005-0000-0000-00007A010000}"/>
    <cellStyle name="Afjusted 3 3 4 2 2 4" xfId="25386" xr:uid="{00000000-0005-0000-0000-00007A010000}"/>
    <cellStyle name="Afjusted 3 3 4 2 2 4 2" xfId="43755" xr:uid="{00000000-0005-0000-0000-00007A010000}"/>
    <cellStyle name="Afjusted 3 3 4 2 2 5" xfId="21707" xr:uid="{00000000-0005-0000-0000-00007A010000}"/>
    <cellStyle name="Afjusted 3 3 4 2 2 6" xfId="40086" xr:uid="{00000000-0005-0000-0000-00007A010000}"/>
    <cellStyle name="Afjusted 3 3 4 2 3" xfId="6401" xr:uid="{00000000-0005-0000-0000-00007A010000}"/>
    <cellStyle name="Afjusted 3 3 4 2 3 2" xfId="12692" xr:uid="{00000000-0005-0000-0000-00007A010000}"/>
    <cellStyle name="Afjusted 3 3 4 2 3 2 2" xfId="31118" xr:uid="{00000000-0005-0000-0000-00007A010000}"/>
    <cellStyle name="Afjusted 3 3 4 2 3 2 3" xfId="49481" xr:uid="{00000000-0005-0000-0000-00007A010000}"/>
    <cellStyle name="Afjusted 3 3 4 2 3 3" xfId="17003" xr:uid="{00000000-0005-0000-0000-00007A010000}"/>
    <cellStyle name="Afjusted 3 3 4 2 3 3 2" xfId="35351" xr:uid="{00000000-0005-0000-0000-00007A010000}"/>
    <cellStyle name="Afjusted 3 3 4 2 3 3 3" xfId="53714" xr:uid="{00000000-0005-0000-0000-00007A010000}"/>
    <cellStyle name="Afjusted 3 3 4 2 3 4" xfId="26136" xr:uid="{00000000-0005-0000-0000-00007A010000}"/>
    <cellStyle name="Afjusted 3 3 4 2 3 4 2" xfId="44505" xr:uid="{00000000-0005-0000-0000-00007A010000}"/>
    <cellStyle name="Afjusted 3 3 4 2 3 5" xfId="22429" xr:uid="{00000000-0005-0000-0000-00007A010000}"/>
    <cellStyle name="Afjusted 3 3 4 2 3 6" xfId="40798" xr:uid="{00000000-0005-0000-0000-00007A010000}"/>
    <cellStyle name="Afjusted 3 3 4 2 4" xfId="10115" xr:uid="{00000000-0005-0000-0000-00007A010000}"/>
    <cellStyle name="Afjusted 3 3 4 2 4 2" xfId="14172" xr:uid="{00000000-0005-0000-0000-00007A010000}"/>
    <cellStyle name="Afjusted 3 3 4 2 4 2 2" xfId="32588" xr:uid="{00000000-0005-0000-0000-00007A010000}"/>
    <cellStyle name="Afjusted 3 3 4 2 4 2 3" xfId="50951" xr:uid="{00000000-0005-0000-0000-00007A010000}"/>
    <cellStyle name="Afjusted 3 3 4 2 4 3" xfId="28826" xr:uid="{00000000-0005-0000-0000-00007A010000}"/>
    <cellStyle name="Afjusted 3 3 4 2 4 3 2" xfId="47189" xr:uid="{00000000-0005-0000-0000-00007A010000}"/>
    <cellStyle name="Afjusted 3 3 4 2 4 4" xfId="19629" xr:uid="{00000000-0005-0000-0000-00007A010000}"/>
    <cellStyle name="Afjusted 3 3 4 2 4 5" xfId="38035" xr:uid="{00000000-0005-0000-0000-00007A010000}"/>
    <cellStyle name="Afjusted 3 3 4 2 5" xfId="9302" xr:uid="{00000000-0005-0000-0000-00007A010000}"/>
    <cellStyle name="Afjusted 3 3 4 2 5 2" xfId="28021" xr:uid="{00000000-0005-0000-0000-00007A010000}"/>
    <cellStyle name="Afjusted 3 3 4 2 5 3" xfId="46384" xr:uid="{00000000-0005-0000-0000-00007A010000}"/>
    <cellStyle name="Afjusted 3 3 4 2 6" xfId="13358" xr:uid="{00000000-0005-0000-0000-00007A010000}"/>
    <cellStyle name="Afjusted 3 3 4 2 6 2" xfId="31779" xr:uid="{00000000-0005-0000-0000-00007A010000}"/>
    <cellStyle name="Afjusted 3 3 4 2 6 3" xfId="50142" xr:uid="{00000000-0005-0000-0000-00007A010000}"/>
    <cellStyle name="Afjusted 3 3 4 2 7" xfId="23310" xr:uid="{00000000-0005-0000-0000-00007A010000}"/>
    <cellStyle name="Afjusted 3 3 4 2 7 2" xfId="41679" xr:uid="{00000000-0005-0000-0000-00007A010000}"/>
    <cellStyle name="Afjusted 3 3 4 2 8" xfId="18378" xr:uid="{00000000-0005-0000-0000-00007A010000}"/>
    <cellStyle name="Afjusted 3 3 4 2 9" xfId="36784" xr:uid="{00000000-0005-0000-0000-00007A010000}"/>
    <cellStyle name="Afjusted 3 3 4 3" xfId="4393" xr:uid="{00000000-0005-0000-0000-00007A010000}"/>
    <cellStyle name="Afjusted 3 3 4 3 2" xfId="10992" xr:uid="{00000000-0005-0000-0000-00007A010000}"/>
    <cellStyle name="Afjusted 3 3 4 3 2 2" xfId="29614" xr:uid="{00000000-0005-0000-0000-00007A010000}"/>
    <cellStyle name="Afjusted 3 3 4 3 2 3" xfId="47977" xr:uid="{00000000-0005-0000-0000-00007A010000}"/>
    <cellStyle name="Afjusted 3 3 4 3 3" xfId="15128" xr:uid="{00000000-0005-0000-0000-00007A010000}"/>
    <cellStyle name="Afjusted 3 3 4 3 3 2" xfId="33525" xr:uid="{00000000-0005-0000-0000-00007A010000}"/>
    <cellStyle name="Afjusted 3 3 4 3 3 3" xfId="51888" xr:uid="{00000000-0005-0000-0000-00007A010000}"/>
    <cellStyle name="Afjusted 3 3 4 3 4" xfId="24256" xr:uid="{00000000-0005-0000-0000-00007A010000}"/>
    <cellStyle name="Afjusted 3 3 4 3 4 2" xfId="42625" xr:uid="{00000000-0005-0000-0000-00007A010000}"/>
    <cellStyle name="Afjusted 3 3 4 3 5" xfId="20579" xr:uid="{00000000-0005-0000-0000-00007A010000}"/>
    <cellStyle name="Afjusted 3 3 4 3 6" xfId="38972" xr:uid="{00000000-0005-0000-0000-00007A010000}"/>
    <cellStyle name="Afjusted 3 3 4 4" xfId="4894" xr:uid="{00000000-0005-0000-0000-00007A010000}"/>
    <cellStyle name="Afjusted 3 3 4 4 2" xfId="11450" xr:uid="{00000000-0005-0000-0000-00007A010000}"/>
    <cellStyle name="Afjusted 3 3 4 4 2 2" xfId="30038" xr:uid="{00000000-0005-0000-0000-00007A010000}"/>
    <cellStyle name="Afjusted 3 3 4 4 2 3" xfId="48401" xr:uid="{00000000-0005-0000-0000-00007A010000}"/>
    <cellStyle name="Afjusted 3 3 4 4 3" xfId="15620" xr:uid="{00000000-0005-0000-0000-00007A010000}"/>
    <cellStyle name="Afjusted 3 3 4 4 3 2" xfId="34011" xr:uid="{00000000-0005-0000-0000-00007A010000}"/>
    <cellStyle name="Afjusted 3 3 4 4 3 3" xfId="52374" xr:uid="{00000000-0005-0000-0000-00007A010000}"/>
    <cellStyle name="Afjusted 3 3 4 4 4" xfId="24742" xr:uid="{00000000-0005-0000-0000-00007A010000}"/>
    <cellStyle name="Afjusted 3 3 4 4 4 2" xfId="43111" xr:uid="{00000000-0005-0000-0000-00007A010000}"/>
    <cellStyle name="Afjusted 3 3 4 4 5" xfId="21069" xr:uid="{00000000-0005-0000-0000-00007A010000}"/>
    <cellStyle name="Afjusted 3 3 4 4 6" xfId="39458" xr:uid="{00000000-0005-0000-0000-00007A010000}"/>
    <cellStyle name="Afjusted 3 3 4 5" xfId="9893" xr:uid="{00000000-0005-0000-0000-00007A010000}"/>
    <cellStyle name="Afjusted 3 3 4 5 2" xfId="13951" xr:uid="{00000000-0005-0000-0000-00007A010000}"/>
    <cellStyle name="Afjusted 3 3 4 5 2 2" xfId="32369" xr:uid="{00000000-0005-0000-0000-00007A010000}"/>
    <cellStyle name="Afjusted 3 3 4 5 2 3" xfId="50732" xr:uid="{00000000-0005-0000-0000-00007A010000}"/>
    <cellStyle name="Afjusted 3 3 4 5 3" xfId="28607" xr:uid="{00000000-0005-0000-0000-00007A010000}"/>
    <cellStyle name="Afjusted 3 3 4 5 3 2" xfId="46970" xr:uid="{00000000-0005-0000-0000-00007A010000}"/>
    <cellStyle name="Afjusted 3 3 4 5 4" xfId="19174" xr:uid="{00000000-0005-0000-0000-00007A010000}"/>
    <cellStyle name="Afjusted 3 3 4 5 5" xfId="37582" xr:uid="{00000000-0005-0000-0000-00007A010000}"/>
    <cellStyle name="Afjusted 3 3 4 6" xfId="7655" xr:uid="{00000000-0005-0000-0000-00007A010000}"/>
    <cellStyle name="Afjusted 3 3 4 6 2" xfId="26939" xr:uid="{00000000-0005-0000-0000-00007A010000}"/>
    <cellStyle name="Afjusted 3 3 4 6 3" xfId="45304" xr:uid="{00000000-0005-0000-0000-00007A010000}"/>
    <cellStyle name="Afjusted 3 3 4 7" xfId="7394" xr:uid="{00000000-0005-0000-0000-00007A010000}"/>
    <cellStyle name="Afjusted 3 3 4 7 2" xfId="26793" xr:uid="{00000000-0005-0000-0000-00007A010000}"/>
    <cellStyle name="Afjusted 3 3 4 7 3" xfId="45161" xr:uid="{00000000-0005-0000-0000-00007A010000}"/>
    <cellStyle name="Afjusted 3 3 4 8" xfId="19517" xr:uid="{00000000-0005-0000-0000-00007A010000}"/>
    <cellStyle name="Afjusted 3 3 4 8 2" xfId="37923" xr:uid="{00000000-0005-0000-0000-00007A010000}"/>
    <cellStyle name="Afjusted 3 3 4 9" xfId="7241" xr:uid="{00000000-0005-0000-0000-00007A010000}"/>
    <cellStyle name="Afjusted 3 3 5" xfId="3537" xr:uid="{00000000-0005-0000-0000-000077010000}"/>
    <cellStyle name="Afjusted 3 3 5 2" xfId="5711" xr:uid="{00000000-0005-0000-0000-000077010000}"/>
    <cellStyle name="Afjusted 3 3 5 2 2" xfId="12075" xr:uid="{00000000-0005-0000-0000-000077010000}"/>
    <cellStyle name="Afjusted 3 3 5 2 2 2" xfId="30522" xr:uid="{00000000-0005-0000-0000-000077010000}"/>
    <cellStyle name="Afjusted 3 3 5 2 2 3" xfId="48885" xr:uid="{00000000-0005-0000-0000-000077010000}"/>
    <cellStyle name="Afjusted 3 3 5 2 3" xfId="16401" xr:uid="{00000000-0005-0000-0000-000077010000}"/>
    <cellStyle name="Afjusted 3 3 5 2 3 2" xfId="34773" xr:uid="{00000000-0005-0000-0000-000077010000}"/>
    <cellStyle name="Afjusted 3 3 5 2 3 3" xfId="53136" xr:uid="{00000000-0005-0000-0000-000077010000}"/>
    <cellStyle name="Afjusted 3 3 5 2 4" xfId="25520" xr:uid="{00000000-0005-0000-0000-000077010000}"/>
    <cellStyle name="Afjusted 3 3 5 2 4 2" xfId="43889" xr:uid="{00000000-0005-0000-0000-000077010000}"/>
    <cellStyle name="Afjusted 3 3 5 2 5" xfId="21841" xr:uid="{00000000-0005-0000-0000-000077010000}"/>
    <cellStyle name="Afjusted 3 3 5 2 6" xfId="40220" xr:uid="{00000000-0005-0000-0000-000077010000}"/>
    <cellStyle name="Afjusted 3 3 5 3" xfId="6536" xr:uid="{00000000-0005-0000-0000-000077010000}"/>
    <cellStyle name="Afjusted 3 3 5 3 2" xfId="12827" xr:uid="{00000000-0005-0000-0000-000077010000}"/>
    <cellStyle name="Afjusted 3 3 5 3 2 2" xfId="31253" xr:uid="{00000000-0005-0000-0000-000077010000}"/>
    <cellStyle name="Afjusted 3 3 5 3 2 3" xfId="49616" xr:uid="{00000000-0005-0000-0000-000077010000}"/>
    <cellStyle name="Afjusted 3 3 5 3 3" xfId="17138" xr:uid="{00000000-0005-0000-0000-000077010000}"/>
    <cellStyle name="Afjusted 3 3 5 3 3 2" xfId="35486" xr:uid="{00000000-0005-0000-0000-000077010000}"/>
    <cellStyle name="Afjusted 3 3 5 3 3 3" xfId="53849" xr:uid="{00000000-0005-0000-0000-000077010000}"/>
    <cellStyle name="Afjusted 3 3 5 3 4" xfId="26271" xr:uid="{00000000-0005-0000-0000-000077010000}"/>
    <cellStyle name="Afjusted 3 3 5 3 4 2" xfId="44640" xr:uid="{00000000-0005-0000-0000-000077010000}"/>
    <cellStyle name="Afjusted 3 3 5 3 5" xfId="22564" xr:uid="{00000000-0005-0000-0000-000077010000}"/>
    <cellStyle name="Afjusted 3 3 5 3 6" xfId="40933" xr:uid="{00000000-0005-0000-0000-000077010000}"/>
    <cellStyle name="Afjusted 3 3 5 4" xfId="10250" xr:uid="{00000000-0005-0000-0000-000077010000}"/>
    <cellStyle name="Afjusted 3 3 5 4 2" xfId="14307" xr:uid="{00000000-0005-0000-0000-000077010000}"/>
    <cellStyle name="Afjusted 3 3 5 4 2 2" xfId="32723" xr:uid="{00000000-0005-0000-0000-000077010000}"/>
    <cellStyle name="Afjusted 3 3 5 4 2 3" xfId="51086" xr:uid="{00000000-0005-0000-0000-000077010000}"/>
    <cellStyle name="Afjusted 3 3 5 4 3" xfId="28961" xr:uid="{00000000-0005-0000-0000-000077010000}"/>
    <cellStyle name="Afjusted 3 3 5 4 3 2" xfId="47324" xr:uid="{00000000-0005-0000-0000-000077010000}"/>
    <cellStyle name="Afjusted 3 3 5 4 4" xfId="19764" xr:uid="{00000000-0005-0000-0000-000077010000}"/>
    <cellStyle name="Afjusted 3 3 5 4 5" xfId="38170" xr:uid="{00000000-0005-0000-0000-000077010000}"/>
    <cellStyle name="Afjusted 3 3 5 5" xfId="9449" xr:uid="{00000000-0005-0000-0000-000077010000}"/>
    <cellStyle name="Afjusted 3 3 5 5 2" xfId="28166" xr:uid="{00000000-0005-0000-0000-000077010000}"/>
    <cellStyle name="Afjusted 3 3 5 5 3" xfId="46529" xr:uid="{00000000-0005-0000-0000-000077010000}"/>
    <cellStyle name="Afjusted 3 3 5 6" xfId="13506" xr:uid="{00000000-0005-0000-0000-000077010000}"/>
    <cellStyle name="Afjusted 3 3 5 6 2" xfId="31927" xr:uid="{00000000-0005-0000-0000-000077010000}"/>
    <cellStyle name="Afjusted 3 3 5 6 3" xfId="50290" xr:uid="{00000000-0005-0000-0000-000077010000}"/>
    <cellStyle name="Afjusted 3 3 5 7" xfId="23445" xr:uid="{00000000-0005-0000-0000-000077010000}"/>
    <cellStyle name="Afjusted 3 3 5 7 2" xfId="41814" xr:uid="{00000000-0005-0000-0000-000077010000}"/>
    <cellStyle name="Afjusted 3 3 5 8" xfId="18534" xr:uid="{00000000-0005-0000-0000-000077010000}"/>
    <cellStyle name="Afjusted 3 3 5 9" xfId="36943" xr:uid="{00000000-0005-0000-0000-000077010000}"/>
    <cellStyle name="Afjusted 3 3 6" xfId="4543" xr:uid="{00000000-0005-0000-0000-000077010000}"/>
    <cellStyle name="Afjusted 3 3 6 2" xfId="11134" xr:uid="{00000000-0005-0000-0000-000077010000}"/>
    <cellStyle name="Afjusted 3 3 6 2 2" xfId="29752" xr:uid="{00000000-0005-0000-0000-000077010000}"/>
    <cellStyle name="Afjusted 3 3 6 2 3" xfId="48115" xr:uid="{00000000-0005-0000-0000-000077010000}"/>
    <cellStyle name="Afjusted 3 3 6 3" xfId="15272" xr:uid="{00000000-0005-0000-0000-000077010000}"/>
    <cellStyle name="Afjusted 3 3 6 3 2" xfId="33666" xr:uid="{00000000-0005-0000-0000-000077010000}"/>
    <cellStyle name="Afjusted 3 3 6 3 3" xfId="52029" xr:uid="{00000000-0005-0000-0000-000077010000}"/>
    <cellStyle name="Afjusted 3 3 6 4" xfId="24397" xr:uid="{00000000-0005-0000-0000-000077010000}"/>
    <cellStyle name="Afjusted 3 3 6 4 2" xfId="42766" xr:uid="{00000000-0005-0000-0000-000077010000}"/>
    <cellStyle name="Afjusted 3 3 6 5" xfId="20721" xr:uid="{00000000-0005-0000-0000-000077010000}"/>
    <cellStyle name="Afjusted 3 3 6 6" xfId="39113" xr:uid="{00000000-0005-0000-0000-000077010000}"/>
    <cellStyle name="Afjusted 3 3 7" xfId="3979" xr:uid="{00000000-0005-0000-0000-000077010000}"/>
    <cellStyle name="Afjusted 3 3 7 2" xfId="10684" xr:uid="{00000000-0005-0000-0000-000077010000}"/>
    <cellStyle name="Afjusted 3 3 7 2 2" xfId="29389" xr:uid="{00000000-0005-0000-0000-000077010000}"/>
    <cellStyle name="Afjusted 3 3 7 2 3" xfId="47752" xr:uid="{00000000-0005-0000-0000-000077010000}"/>
    <cellStyle name="Afjusted 3 3 7 3" xfId="14741" xr:uid="{00000000-0005-0000-0000-000077010000}"/>
    <cellStyle name="Afjusted 3 3 7 3 2" xfId="33153" xr:uid="{00000000-0005-0000-0000-000077010000}"/>
    <cellStyle name="Afjusted 3 3 7 3 3" xfId="51516" xr:uid="{00000000-0005-0000-0000-000077010000}"/>
    <cellStyle name="Afjusted 3 3 7 4" xfId="23877" xr:uid="{00000000-0005-0000-0000-000077010000}"/>
    <cellStyle name="Afjusted 3 3 7 4 2" xfId="42246" xr:uid="{00000000-0005-0000-0000-000077010000}"/>
    <cellStyle name="Afjusted 3 3 7 5" xfId="20196" xr:uid="{00000000-0005-0000-0000-000077010000}"/>
    <cellStyle name="Afjusted 3 3 7 6" xfId="38600" xr:uid="{00000000-0005-0000-0000-000077010000}"/>
    <cellStyle name="Afjusted 3 3 8" xfId="9717" xr:uid="{00000000-0005-0000-0000-000077010000}"/>
    <cellStyle name="Afjusted 3 3 8 2" xfId="13774" xr:uid="{00000000-0005-0000-0000-000077010000}"/>
    <cellStyle name="Afjusted 3 3 8 2 2" xfId="32195" xr:uid="{00000000-0005-0000-0000-000077010000}"/>
    <cellStyle name="Afjusted 3 3 8 2 3" xfId="50558" xr:uid="{00000000-0005-0000-0000-000077010000}"/>
    <cellStyle name="Afjusted 3 3 8 3" xfId="28433" xr:uid="{00000000-0005-0000-0000-000077010000}"/>
    <cellStyle name="Afjusted 3 3 8 3 2" xfId="46796" xr:uid="{00000000-0005-0000-0000-000077010000}"/>
    <cellStyle name="Afjusted 3 3 8 4" xfId="18867" xr:uid="{00000000-0005-0000-0000-000077010000}"/>
    <cellStyle name="Afjusted 3 3 8 5" xfId="37276" xr:uid="{00000000-0005-0000-0000-000077010000}"/>
    <cellStyle name="Afjusted 3 3 9" xfId="7816" xr:uid="{00000000-0005-0000-0000-000077010000}"/>
    <cellStyle name="Afjusted 3 3 9 2" xfId="27085" xr:uid="{00000000-0005-0000-0000-000077010000}"/>
    <cellStyle name="Afjusted 3 3 9 3" xfId="45450" xr:uid="{00000000-0005-0000-0000-000077010000}"/>
    <cellStyle name="Afjusted 3 4" xfId="1464" xr:uid="{00000000-0005-0000-0000-00007B010000}"/>
    <cellStyle name="Afjusted 3 4 10" xfId="6996" xr:uid="{00000000-0005-0000-0000-00007B010000}"/>
    <cellStyle name="Afjusted 3 4 2" xfId="3480" xr:uid="{00000000-0005-0000-0000-00007B010000}"/>
    <cellStyle name="Afjusted 3 4 2 2" xfId="5655" xr:uid="{00000000-0005-0000-0000-00007B010000}"/>
    <cellStyle name="Afjusted 3 4 2 2 2" xfId="12019" xr:uid="{00000000-0005-0000-0000-00007B010000}"/>
    <cellStyle name="Afjusted 3 4 2 2 2 2" xfId="30466" xr:uid="{00000000-0005-0000-0000-00007B010000}"/>
    <cellStyle name="Afjusted 3 4 2 2 2 3" xfId="48829" xr:uid="{00000000-0005-0000-0000-00007B010000}"/>
    <cellStyle name="Afjusted 3 4 2 2 3" xfId="16345" xr:uid="{00000000-0005-0000-0000-00007B010000}"/>
    <cellStyle name="Afjusted 3 4 2 2 3 2" xfId="34717" xr:uid="{00000000-0005-0000-0000-00007B010000}"/>
    <cellStyle name="Afjusted 3 4 2 2 3 3" xfId="53080" xr:uid="{00000000-0005-0000-0000-00007B010000}"/>
    <cellStyle name="Afjusted 3 4 2 2 4" xfId="25464" xr:uid="{00000000-0005-0000-0000-00007B010000}"/>
    <cellStyle name="Afjusted 3 4 2 2 4 2" xfId="43833" xr:uid="{00000000-0005-0000-0000-00007B010000}"/>
    <cellStyle name="Afjusted 3 4 2 2 5" xfId="21785" xr:uid="{00000000-0005-0000-0000-00007B010000}"/>
    <cellStyle name="Afjusted 3 4 2 2 6" xfId="40164" xr:uid="{00000000-0005-0000-0000-00007B010000}"/>
    <cellStyle name="Afjusted 3 4 2 3" xfId="6479" xr:uid="{00000000-0005-0000-0000-00007B010000}"/>
    <cellStyle name="Afjusted 3 4 2 3 2" xfId="12770" xr:uid="{00000000-0005-0000-0000-00007B010000}"/>
    <cellStyle name="Afjusted 3 4 2 3 2 2" xfId="31196" xr:uid="{00000000-0005-0000-0000-00007B010000}"/>
    <cellStyle name="Afjusted 3 4 2 3 2 3" xfId="49559" xr:uid="{00000000-0005-0000-0000-00007B010000}"/>
    <cellStyle name="Afjusted 3 4 2 3 3" xfId="17081" xr:uid="{00000000-0005-0000-0000-00007B010000}"/>
    <cellStyle name="Afjusted 3 4 2 3 3 2" xfId="35429" xr:uid="{00000000-0005-0000-0000-00007B010000}"/>
    <cellStyle name="Afjusted 3 4 2 3 3 3" xfId="53792" xr:uid="{00000000-0005-0000-0000-00007B010000}"/>
    <cellStyle name="Afjusted 3 4 2 3 4" xfId="26214" xr:uid="{00000000-0005-0000-0000-00007B010000}"/>
    <cellStyle name="Afjusted 3 4 2 3 4 2" xfId="44583" xr:uid="{00000000-0005-0000-0000-00007B010000}"/>
    <cellStyle name="Afjusted 3 4 2 3 5" xfId="22507" xr:uid="{00000000-0005-0000-0000-00007B010000}"/>
    <cellStyle name="Afjusted 3 4 2 3 6" xfId="40876" xr:uid="{00000000-0005-0000-0000-00007B010000}"/>
    <cellStyle name="Afjusted 3 4 2 4" xfId="10193" xr:uid="{00000000-0005-0000-0000-00007B010000}"/>
    <cellStyle name="Afjusted 3 4 2 4 2" xfId="14250" xr:uid="{00000000-0005-0000-0000-00007B010000}"/>
    <cellStyle name="Afjusted 3 4 2 4 2 2" xfId="32666" xr:uid="{00000000-0005-0000-0000-00007B010000}"/>
    <cellStyle name="Afjusted 3 4 2 4 2 3" xfId="51029" xr:uid="{00000000-0005-0000-0000-00007B010000}"/>
    <cellStyle name="Afjusted 3 4 2 4 3" xfId="28904" xr:uid="{00000000-0005-0000-0000-00007B010000}"/>
    <cellStyle name="Afjusted 3 4 2 4 3 2" xfId="47267" xr:uid="{00000000-0005-0000-0000-00007B010000}"/>
    <cellStyle name="Afjusted 3 4 2 4 4" xfId="19707" xr:uid="{00000000-0005-0000-0000-00007B010000}"/>
    <cellStyle name="Afjusted 3 4 2 4 5" xfId="38113" xr:uid="{00000000-0005-0000-0000-00007B010000}"/>
    <cellStyle name="Afjusted 3 4 2 5" xfId="9386" xr:uid="{00000000-0005-0000-0000-00007B010000}"/>
    <cellStyle name="Afjusted 3 4 2 5 2" xfId="28105" xr:uid="{00000000-0005-0000-0000-00007B010000}"/>
    <cellStyle name="Afjusted 3 4 2 5 3" xfId="46468" xr:uid="{00000000-0005-0000-0000-00007B010000}"/>
    <cellStyle name="Afjusted 3 4 2 6" xfId="13442" xr:uid="{00000000-0005-0000-0000-00007B010000}"/>
    <cellStyle name="Afjusted 3 4 2 6 2" xfId="31863" xr:uid="{00000000-0005-0000-0000-00007B010000}"/>
    <cellStyle name="Afjusted 3 4 2 6 3" xfId="50226" xr:uid="{00000000-0005-0000-0000-00007B010000}"/>
    <cellStyle name="Afjusted 3 4 2 7" xfId="23388" xr:uid="{00000000-0005-0000-0000-00007B010000}"/>
    <cellStyle name="Afjusted 3 4 2 7 2" xfId="41757" xr:uid="{00000000-0005-0000-0000-00007B010000}"/>
    <cellStyle name="Afjusted 3 4 2 8" xfId="18469" xr:uid="{00000000-0005-0000-0000-00007B010000}"/>
    <cellStyle name="Afjusted 3 4 2 9" xfId="36875" xr:uid="{00000000-0005-0000-0000-00007B010000}"/>
    <cellStyle name="Afjusted 3 4 3" xfId="4479" xr:uid="{00000000-0005-0000-0000-00007B010000}"/>
    <cellStyle name="Afjusted 3 4 3 2" xfId="11074" xr:uid="{00000000-0005-0000-0000-00007B010000}"/>
    <cellStyle name="Afjusted 3 4 3 2 2" xfId="29694" xr:uid="{00000000-0005-0000-0000-00007B010000}"/>
    <cellStyle name="Afjusted 3 4 3 2 3" xfId="48057" xr:uid="{00000000-0005-0000-0000-00007B010000}"/>
    <cellStyle name="Afjusted 3 4 3 3" xfId="15213" xr:uid="{00000000-0005-0000-0000-00007B010000}"/>
    <cellStyle name="Afjusted 3 4 3 3 2" xfId="33608" xr:uid="{00000000-0005-0000-0000-00007B010000}"/>
    <cellStyle name="Afjusted 3 4 3 3 3" xfId="51971" xr:uid="{00000000-0005-0000-0000-00007B010000}"/>
    <cellStyle name="Afjusted 3 4 3 4" xfId="24339" xr:uid="{00000000-0005-0000-0000-00007B010000}"/>
    <cellStyle name="Afjusted 3 4 3 4 2" xfId="42708" xr:uid="{00000000-0005-0000-0000-00007B010000}"/>
    <cellStyle name="Afjusted 3 4 3 5" xfId="20663" xr:uid="{00000000-0005-0000-0000-00007B010000}"/>
    <cellStyle name="Afjusted 3 4 3 6" xfId="39055" xr:uid="{00000000-0005-0000-0000-00007B010000}"/>
    <cellStyle name="Afjusted 3 4 4" xfId="4018" xr:uid="{00000000-0005-0000-0000-00007B010000}"/>
    <cellStyle name="Afjusted 3 4 4 2" xfId="10722" xr:uid="{00000000-0005-0000-0000-00007B010000}"/>
    <cellStyle name="Afjusted 3 4 4 2 2" xfId="29426" xr:uid="{00000000-0005-0000-0000-00007B010000}"/>
    <cellStyle name="Afjusted 3 4 4 2 3" xfId="47789" xr:uid="{00000000-0005-0000-0000-00007B010000}"/>
    <cellStyle name="Afjusted 3 4 4 3" xfId="14779" xr:uid="{00000000-0005-0000-0000-00007B010000}"/>
    <cellStyle name="Afjusted 3 4 4 3 2" xfId="33191" xr:uid="{00000000-0005-0000-0000-00007B010000}"/>
    <cellStyle name="Afjusted 3 4 4 3 3" xfId="51554" xr:uid="{00000000-0005-0000-0000-00007B010000}"/>
    <cellStyle name="Afjusted 3 4 4 4" xfId="23915" xr:uid="{00000000-0005-0000-0000-00007B010000}"/>
    <cellStyle name="Afjusted 3 4 4 4 2" xfId="42284" xr:uid="{00000000-0005-0000-0000-00007B010000}"/>
    <cellStyle name="Afjusted 3 4 4 5" xfId="20235" xr:uid="{00000000-0005-0000-0000-00007B010000}"/>
    <cellStyle name="Afjusted 3 4 4 6" xfId="38638" xr:uid="{00000000-0005-0000-0000-00007B010000}"/>
    <cellStyle name="Afjusted 3 4 5" xfId="9129" xr:uid="{00000000-0005-0000-0000-00007B010000}"/>
    <cellStyle name="Afjusted 3 4 5 2" xfId="6215" xr:uid="{00000000-0005-0000-0000-00007B010000}"/>
    <cellStyle name="Afjusted 3 4 5 2 2" xfId="25988" xr:uid="{00000000-0005-0000-0000-00007B010000}"/>
    <cellStyle name="Afjusted 3 4 5 2 3" xfId="44357" xr:uid="{00000000-0005-0000-0000-00007B010000}"/>
    <cellStyle name="Afjusted 3 4 5 3" xfId="27855" xr:uid="{00000000-0005-0000-0000-00007B010000}"/>
    <cellStyle name="Afjusted 3 4 5 3 2" xfId="46218" xr:uid="{00000000-0005-0000-0000-00007B010000}"/>
    <cellStyle name="Afjusted 3 4 5 4" xfId="18042" xr:uid="{00000000-0005-0000-0000-00007B010000}"/>
    <cellStyle name="Afjusted 3 4 5 5" xfId="36450" xr:uid="{00000000-0005-0000-0000-00007B010000}"/>
    <cellStyle name="Afjusted 3 4 6" xfId="7751" xr:uid="{00000000-0005-0000-0000-00007B010000}"/>
    <cellStyle name="Afjusted 3 4 6 2" xfId="27027" xr:uid="{00000000-0005-0000-0000-00007B010000}"/>
    <cellStyle name="Afjusted 3 4 6 3" xfId="45392" xr:uid="{00000000-0005-0000-0000-00007B010000}"/>
    <cellStyle name="Afjusted 3 4 7" xfId="8267" xr:uid="{00000000-0005-0000-0000-00007B010000}"/>
    <cellStyle name="Afjusted 3 4 7 2" xfId="27397" xr:uid="{00000000-0005-0000-0000-00007B010000}"/>
    <cellStyle name="Afjusted 3 4 7 3" xfId="45762" xr:uid="{00000000-0005-0000-0000-00007B010000}"/>
    <cellStyle name="Afjusted 3 4 8" xfId="19410" xr:uid="{00000000-0005-0000-0000-00007B010000}"/>
    <cellStyle name="Afjusted 3 4 8 2" xfId="37816" xr:uid="{00000000-0005-0000-0000-00007B010000}"/>
    <cellStyle name="Afjusted 3 4 9" xfId="7458" xr:uid="{00000000-0005-0000-0000-00007B010000}"/>
    <cellStyle name="Afjusted 3 5" xfId="1382" xr:uid="{00000000-0005-0000-0000-00007C010000}"/>
    <cellStyle name="Afjusted 3 5 10" xfId="7773" xr:uid="{00000000-0005-0000-0000-00007C010000}"/>
    <cellStyle name="Afjusted 3 5 2" xfId="3415" xr:uid="{00000000-0005-0000-0000-00007C010000}"/>
    <cellStyle name="Afjusted 3 5 2 2" xfId="5590" xr:uid="{00000000-0005-0000-0000-00007C010000}"/>
    <cellStyle name="Afjusted 3 5 2 2 2" xfId="11954" xr:uid="{00000000-0005-0000-0000-00007C010000}"/>
    <cellStyle name="Afjusted 3 5 2 2 2 2" xfId="30401" xr:uid="{00000000-0005-0000-0000-00007C010000}"/>
    <cellStyle name="Afjusted 3 5 2 2 2 3" xfId="48764" xr:uid="{00000000-0005-0000-0000-00007C010000}"/>
    <cellStyle name="Afjusted 3 5 2 2 3" xfId="16280" xr:uid="{00000000-0005-0000-0000-00007C010000}"/>
    <cellStyle name="Afjusted 3 5 2 2 3 2" xfId="34652" xr:uid="{00000000-0005-0000-0000-00007C010000}"/>
    <cellStyle name="Afjusted 3 5 2 2 3 3" xfId="53015" xr:uid="{00000000-0005-0000-0000-00007C010000}"/>
    <cellStyle name="Afjusted 3 5 2 2 4" xfId="25399" xr:uid="{00000000-0005-0000-0000-00007C010000}"/>
    <cellStyle name="Afjusted 3 5 2 2 4 2" xfId="43768" xr:uid="{00000000-0005-0000-0000-00007C010000}"/>
    <cellStyle name="Afjusted 3 5 2 2 5" xfId="21720" xr:uid="{00000000-0005-0000-0000-00007C010000}"/>
    <cellStyle name="Afjusted 3 5 2 2 6" xfId="40099" xr:uid="{00000000-0005-0000-0000-00007C010000}"/>
    <cellStyle name="Afjusted 3 5 2 3" xfId="6414" xr:uid="{00000000-0005-0000-0000-00007C010000}"/>
    <cellStyle name="Afjusted 3 5 2 3 2" xfId="12705" xr:uid="{00000000-0005-0000-0000-00007C010000}"/>
    <cellStyle name="Afjusted 3 5 2 3 2 2" xfId="31131" xr:uid="{00000000-0005-0000-0000-00007C010000}"/>
    <cellStyle name="Afjusted 3 5 2 3 2 3" xfId="49494" xr:uid="{00000000-0005-0000-0000-00007C010000}"/>
    <cellStyle name="Afjusted 3 5 2 3 3" xfId="17016" xr:uid="{00000000-0005-0000-0000-00007C010000}"/>
    <cellStyle name="Afjusted 3 5 2 3 3 2" xfId="35364" xr:uid="{00000000-0005-0000-0000-00007C010000}"/>
    <cellStyle name="Afjusted 3 5 2 3 3 3" xfId="53727" xr:uid="{00000000-0005-0000-0000-00007C010000}"/>
    <cellStyle name="Afjusted 3 5 2 3 4" xfId="26149" xr:uid="{00000000-0005-0000-0000-00007C010000}"/>
    <cellStyle name="Afjusted 3 5 2 3 4 2" xfId="44518" xr:uid="{00000000-0005-0000-0000-00007C010000}"/>
    <cellStyle name="Afjusted 3 5 2 3 5" xfId="22442" xr:uid="{00000000-0005-0000-0000-00007C010000}"/>
    <cellStyle name="Afjusted 3 5 2 3 6" xfId="40811" xr:uid="{00000000-0005-0000-0000-00007C010000}"/>
    <cellStyle name="Afjusted 3 5 2 4" xfId="10128" xr:uid="{00000000-0005-0000-0000-00007C010000}"/>
    <cellStyle name="Afjusted 3 5 2 4 2" xfId="14185" xr:uid="{00000000-0005-0000-0000-00007C010000}"/>
    <cellStyle name="Afjusted 3 5 2 4 2 2" xfId="32601" xr:uid="{00000000-0005-0000-0000-00007C010000}"/>
    <cellStyle name="Afjusted 3 5 2 4 2 3" xfId="50964" xr:uid="{00000000-0005-0000-0000-00007C010000}"/>
    <cellStyle name="Afjusted 3 5 2 4 3" xfId="28839" xr:uid="{00000000-0005-0000-0000-00007C010000}"/>
    <cellStyle name="Afjusted 3 5 2 4 3 2" xfId="47202" xr:uid="{00000000-0005-0000-0000-00007C010000}"/>
    <cellStyle name="Afjusted 3 5 2 4 4" xfId="19642" xr:uid="{00000000-0005-0000-0000-00007C010000}"/>
    <cellStyle name="Afjusted 3 5 2 4 5" xfId="38048" xr:uid="{00000000-0005-0000-0000-00007C010000}"/>
    <cellStyle name="Afjusted 3 5 2 5" xfId="9315" xr:uid="{00000000-0005-0000-0000-00007C010000}"/>
    <cellStyle name="Afjusted 3 5 2 5 2" xfId="28034" xr:uid="{00000000-0005-0000-0000-00007C010000}"/>
    <cellStyle name="Afjusted 3 5 2 5 3" xfId="46397" xr:uid="{00000000-0005-0000-0000-00007C010000}"/>
    <cellStyle name="Afjusted 3 5 2 6" xfId="13371" xr:uid="{00000000-0005-0000-0000-00007C010000}"/>
    <cellStyle name="Afjusted 3 5 2 6 2" xfId="31792" xr:uid="{00000000-0005-0000-0000-00007C010000}"/>
    <cellStyle name="Afjusted 3 5 2 6 3" xfId="50155" xr:uid="{00000000-0005-0000-0000-00007C010000}"/>
    <cellStyle name="Afjusted 3 5 2 7" xfId="23323" xr:uid="{00000000-0005-0000-0000-00007C010000}"/>
    <cellStyle name="Afjusted 3 5 2 7 2" xfId="41692" xr:uid="{00000000-0005-0000-0000-00007C010000}"/>
    <cellStyle name="Afjusted 3 5 2 8" xfId="18394" xr:uid="{00000000-0005-0000-0000-00007C010000}"/>
    <cellStyle name="Afjusted 3 5 2 9" xfId="36800" xr:uid="{00000000-0005-0000-0000-00007C010000}"/>
    <cellStyle name="Afjusted 3 5 3" xfId="4408" xr:uid="{00000000-0005-0000-0000-00007C010000}"/>
    <cellStyle name="Afjusted 3 5 3 2" xfId="11007" xr:uid="{00000000-0005-0000-0000-00007C010000}"/>
    <cellStyle name="Afjusted 3 5 3 2 2" xfId="29627" xr:uid="{00000000-0005-0000-0000-00007C010000}"/>
    <cellStyle name="Afjusted 3 5 3 2 3" xfId="47990" xr:uid="{00000000-0005-0000-0000-00007C010000}"/>
    <cellStyle name="Afjusted 3 5 3 3" xfId="15142" xr:uid="{00000000-0005-0000-0000-00007C010000}"/>
    <cellStyle name="Afjusted 3 5 3 3 2" xfId="33539" xr:uid="{00000000-0005-0000-0000-00007C010000}"/>
    <cellStyle name="Afjusted 3 5 3 3 3" xfId="51902" xr:uid="{00000000-0005-0000-0000-00007C010000}"/>
    <cellStyle name="Afjusted 3 5 3 4" xfId="24270" xr:uid="{00000000-0005-0000-0000-00007C010000}"/>
    <cellStyle name="Afjusted 3 5 3 4 2" xfId="42639" xr:uid="{00000000-0005-0000-0000-00007C010000}"/>
    <cellStyle name="Afjusted 3 5 3 5" xfId="20593" xr:uid="{00000000-0005-0000-0000-00007C010000}"/>
    <cellStyle name="Afjusted 3 5 3 6" xfId="38986" xr:uid="{00000000-0005-0000-0000-00007C010000}"/>
    <cellStyle name="Afjusted 3 5 4" xfId="4352" xr:uid="{00000000-0005-0000-0000-00007C010000}"/>
    <cellStyle name="Afjusted 3 5 4 2" xfId="10955" xr:uid="{00000000-0005-0000-0000-00007C010000}"/>
    <cellStyle name="Afjusted 3 5 4 2 2" xfId="29582" xr:uid="{00000000-0005-0000-0000-00007C010000}"/>
    <cellStyle name="Afjusted 3 5 4 2 3" xfId="47945" xr:uid="{00000000-0005-0000-0000-00007C010000}"/>
    <cellStyle name="Afjusted 3 5 4 3" xfId="15092" xr:uid="{00000000-0005-0000-0000-00007C010000}"/>
    <cellStyle name="Afjusted 3 5 4 3 2" xfId="33492" xr:uid="{00000000-0005-0000-0000-00007C010000}"/>
    <cellStyle name="Afjusted 3 5 4 3 3" xfId="51855" xr:uid="{00000000-0005-0000-0000-00007C010000}"/>
    <cellStyle name="Afjusted 3 5 4 4" xfId="24222" xr:uid="{00000000-0005-0000-0000-00007C010000}"/>
    <cellStyle name="Afjusted 3 5 4 4 2" xfId="42591" xr:uid="{00000000-0005-0000-0000-00007C010000}"/>
    <cellStyle name="Afjusted 3 5 4 5" xfId="20544" xr:uid="{00000000-0005-0000-0000-00007C010000}"/>
    <cellStyle name="Afjusted 3 5 4 6" xfId="38939" xr:uid="{00000000-0005-0000-0000-00007C010000}"/>
    <cellStyle name="Afjusted 3 5 5" xfId="7612" xr:uid="{00000000-0005-0000-0000-00007C010000}"/>
    <cellStyle name="Afjusted 3 5 5 2" xfId="8960" xr:uid="{00000000-0005-0000-0000-00007C010000}"/>
    <cellStyle name="Afjusted 3 5 5 2 2" xfId="27704" xr:uid="{00000000-0005-0000-0000-00007C010000}"/>
    <cellStyle name="Afjusted 3 5 5 2 3" xfId="46067" xr:uid="{00000000-0005-0000-0000-00007C010000}"/>
    <cellStyle name="Afjusted 3 5 5 3" xfId="26908" xr:uid="{00000000-0005-0000-0000-00007C010000}"/>
    <cellStyle name="Afjusted 3 5 5 3 2" xfId="45273" xr:uid="{00000000-0005-0000-0000-00007C010000}"/>
    <cellStyle name="Afjusted 3 5 5 4" xfId="11792" xr:uid="{00000000-0005-0000-0000-00007C010000}"/>
    <cellStyle name="Afjusted 3 5 5 5" xfId="7524" xr:uid="{00000000-0005-0000-0000-00007C010000}"/>
    <cellStyle name="Afjusted 3 5 6" xfId="7674" xr:uid="{00000000-0005-0000-0000-00007C010000}"/>
    <cellStyle name="Afjusted 3 5 6 2" xfId="26956" xr:uid="{00000000-0005-0000-0000-00007C010000}"/>
    <cellStyle name="Afjusted 3 5 6 3" xfId="45321" xr:uid="{00000000-0005-0000-0000-00007C010000}"/>
    <cellStyle name="Afjusted 3 5 7" xfId="8404" xr:uid="{00000000-0005-0000-0000-00007C010000}"/>
    <cellStyle name="Afjusted 3 5 7 2" xfId="27466" xr:uid="{00000000-0005-0000-0000-00007C010000}"/>
    <cellStyle name="Afjusted 3 5 7 3" xfId="45830" xr:uid="{00000000-0005-0000-0000-00007C010000}"/>
    <cellStyle name="Afjusted 3 5 8" xfId="19381" xr:uid="{00000000-0005-0000-0000-00007C010000}"/>
    <cellStyle name="Afjusted 3 5 8 2" xfId="37788" xr:uid="{00000000-0005-0000-0000-00007C010000}"/>
    <cellStyle name="Afjusted 3 5 9" xfId="4087" xr:uid="{00000000-0005-0000-0000-00007C010000}"/>
    <cellStyle name="Afjusted 3 6" xfId="3338" xr:uid="{00000000-0005-0000-0000-000072010000}"/>
    <cellStyle name="Afjusted 3 6 2" xfId="5513" xr:uid="{00000000-0005-0000-0000-000072010000}"/>
    <cellStyle name="Afjusted 3 6 2 2" xfId="11877" xr:uid="{00000000-0005-0000-0000-000072010000}"/>
    <cellStyle name="Afjusted 3 6 2 2 2" xfId="30324" xr:uid="{00000000-0005-0000-0000-000072010000}"/>
    <cellStyle name="Afjusted 3 6 2 2 3" xfId="48687" xr:uid="{00000000-0005-0000-0000-000072010000}"/>
    <cellStyle name="Afjusted 3 6 2 3" xfId="16203" xr:uid="{00000000-0005-0000-0000-000072010000}"/>
    <cellStyle name="Afjusted 3 6 2 3 2" xfId="34575" xr:uid="{00000000-0005-0000-0000-000072010000}"/>
    <cellStyle name="Afjusted 3 6 2 3 3" xfId="52938" xr:uid="{00000000-0005-0000-0000-000072010000}"/>
    <cellStyle name="Afjusted 3 6 2 4" xfId="25322" xr:uid="{00000000-0005-0000-0000-000072010000}"/>
    <cellStyle name="Afjusted 3 6 2 4 2" xfId="43691" xr:uid="{00000000-0005-0000-0000-000072010000}"/>
    <cellStyle name="Afjusted 3 6 2 5" xfId="21643" xr:uid="{00000000-0005-0000-0000-000072010000}"/>
    <cellStyle name="Afjusted 3 6 2 6" xfId="40022" xr:uid="{00000000-0005-0000-0000-000072010000}"/>
    <cellStyle name="Afjusted 3 6 3" xfId="6337" xr:uid="{00000000-0005-0000-0000-000072010000}"/>
    <cellStyle name="Afjusted 3 6 3 2" xfId="12628" xr:uid="{00000000-0005-0000-0000-000072010000}"/>
    <cellStyle name="Afjusted 3 6 3 2 2" xfId="31054" xr:uid="{00000000-0005-0000-0000-000072010000}"/>
    <cellStyle name="Afjusted 3 6 3 2 3" xfId="49417" xr:uid="{00000000-0005-0000-0000-000072010000}"/>
    <cellStyle name="Afjusted 3 6 3 3" xfId="16939" xr:uid="{00000000-0005-0000-0000-000072010000}"/>
    <cellStyle name="Afjusted 3 6 3 3 2" xfId="35287" xr:uid="{00000000-0005-0000-0000-000072010000}"/>
    <cellStyle name="Afjusted 3 6 3 3 3" xfId="53650" xr:uid="{00000000-0005-0000-0000-000072010000}"/>
    <cellStyle name="Afjusted 3 6 3 4" xfId="26072" xr:uid="{00000000-0005-0000-0000-000072010000}"/>
    <cellStyle name="Afjusted 3 6 3 4 2" xfId="44441" xr:uid="{00000000-0005-0000-0000-000072010000}"/>
    <cellStyle name="Afjusted 3 6 3 5" xfId="22365" xr:uid="{00000000-0005-0000-0000-000072010000}"/>
    <cellStyle name="Afjusted 3 6 3 6" xfId="40734" xr:uid="{00000000-0005-0000-0000-000072010000}"/>
    <cellStyle name="Afjusted 3 6 4" xfId="10051" xr:uid="{00000000-0005-0000-0000-000072010000}"/>
    <cellStyle name="Afjusted 3 6 4 2" xfId="14108" xr:uid="{00000000-0005-0000-0000-000072010000}"/>
    <cellStyle name="Afjusted 3 6 4 2 2" xfId="32524" xr:uid="{00000000-0005-0000-0000-000072010000}"/>
    <cellStyle name="Afjusted 3 6 4 2 3" xfId="50887" xr:uid="{00000000-0005-0000-0000-000072010000}"/>
    <cellStyle name="Afjusted 3 6 4 3" xfId="28762" xr:uid="{00000000-0005-0000-0000-000072010000}"/>
    <cellStyle name="Afjusted 3 6 4 3 2" xfId="47125" xr:uid="{00000000-0005-0000-0000-000072010000}"/>
    <cellStyle name="Afjusted 3 6 4 4" xfId="19565" xr:uid="{00000000-0005-0000-0000-000072010000}"/>
    <cellStyle name="Afjusted 3 6 4 5" xfId="37971" xr:uid="{00000000-0005-0000-0000-000072010000}"/>
    <cellStyle name="Afjusted 3 6 5" xfId="9176" xr:uid="{00000000-0005-0000-0000-000072010000}"/>
    <cellStyle name="Afjusted 3 6 5 2" xfId="27897" xr:uid="{00000000-0005-0000-0000-000072010000}"/>
    <cellStyle name="Afjusted 3 6 5 3" xfId="46260" xr:uid="{00000000-0005-0000-0000-000072010000}"/>
    <cellStyle name="Afjusted 3 6 6" xfId="13234" xr:uid="{00000000-0005-0000-0000-000072010000}"/>
    <cellStyle name="Afjusted 3 6 6 2" xfId="31655" xr:uid="{00000000-0005-0000-0000-000072010000}"/>
    <cellStyle name="Afjusted 3 6 6 3" xfId="50018" xr:uid="{00000000-0005-0000-0000-000072010000}"/>
    <cellStyle name="Afjusted 3 6 7" xfId="23246" xr:uid="{00000000-0005-0000-0000-000072010000}"/>
    <cellStyle name="Afjusted 3 6 7 2" xfId="41615" xr:uid="{00000000-0005-0000-0000-000072010000}"/>
    <cellStyle name="Afjusted 3 6 8" xfId="18187" xr:uid="{00000000-0005-0000-0000-000072010000}"/>
    <cellStyle name="Afjusted 3 6 9" xfId="36593" xr:uid="{00000000-0005-0000-0000-000072010000}"/>
    <cellStyle name="Afjusted 3 7" xfId="4167" xr:uid="{00000000-0005-0000-0000-000072010000}"/>
    <cellStyle name="Afjusted 3 7 2" xfId="10821" xr:uid="{00000000-0005-0000-0000-000072010000}"/>
    <cellStyle name="Afjusted 3 7 2 2" xfId="29493" xr:uid="{00000000-0005-0000-0000-000072010000}"/>
    <cellStyle name="Afjusted 3 7 2 3" xfId="47856" xr:uid="{00000000-0005-0000-0000-000072010000}"/>
    <cellStyle name="Afjusted 3 7 3" xfId="14916" xr:uid="{00000000-0005-0000-0000-000072010000}"/>
    <cellStyle name="Afjusted 3 7 3 2" xfId="33320" xr:uid="{00000000-0005-0000-0000-000072010000}"/>
    <cellStyle name="Afjusted 3 7 3 3" xfId="51683" xr:uid="{00000000-0005-0000-0000-000072010000}"/>
    <cellStyle name="Afjusted 3 7 4" xfId="24047" xr:uid="{00000000-0005-0000-0000-000072010000}"/>
    <cellStyle name="Afjusted 3 7 4 2" xfId="42416" xr:uid="{00000000-0005-0000-0000-000072010000}"/>
    <cellStyle name="Afjusted 3 7 5" xfId="20369" xr:uid="{00000000-0005-0000-0000-000072010000}"/>
    <cellStyle name="Afjusted 3 7 6" xfId="38767" xr:uid="{00000000-0005-0000-0000-000072010000}"/>
    <cellStyle name="Afjusted 3 8" xfId="3903" xr:uid="{00000000-0005-0000-0000-000072010000}"/>
    <cellStyle name="Afjusted 3 8 2" xfId="10616" xr:uid="{00000000-0005-0000-0000-000072010000}"/>
    <cellStyle name="Afjusted 3 8 2 2" xfId="29327" xr:uid="{00000000-0005-0000-0000-000072010000}"/>
    <cellStyle name="Afjusted 3 8 2 3" xfId="47690" xr:uid="{00000000-0005-0000-0000-000072010000}"/>
    <cellStyle name="Afjusted 3 8 3" xfId="14673" xr:uid="{00000000-0005-0000-0000-000072010000}"/>
    <cellStyle name="Afjusted 3 8 3 2" xfId="33089" xr:uid="{00000000-0005-0000-0000-000072010000}"/>
    <cellStyle name="Afjusted 3 8 3 3" xfId="51452" xr:uid="{00000000-0005-0000-0000-000072010000}"/>
    <cellStyle name="Afjusted 3 8 4" xfId="23811" xr:uid="{00000000-0005-0000-0000-000072010000}"/>
    <cellStyle name="Afjusted 3 8 4 2" xfId="42180" xr:uid="{00000000-0005-0000-0000-000072010000}"/>
    <cellStyle name="Afjusted 3 8 5" xfId="20130" xr:uid="{00000000-0005-0000-0000-000072010000}"/>
    <cellStyle name="Afjusted 3 8 6" xfId="38536" xr:uid="{00000000-0005-0000-0000-000072010000}"/>
    <cellStyle name="Afjusted 3 9" xfId="9198" xr:uid="{00000000-0005-0000-0000-000072010000}"/>
    <cellStyle name="Afjusted 3 9 2" xfId="13256" xr:uid="{00000000-0005-0000-0000-000072010000}"/>
    <cellStyle name="Afjusted 3 9 2 2" xfId="31677" xr:uid="{00000000-0005-0000-0000-000072010000}"/>
    <cellStyle name="Afjusted 3 9 2 3" xfId="50040" xr:uid="{00000000-0005-0000-0000-000072010000}"/>
    <cellStyle name="Afjusted 3 9 3" xfId="27919" xr:uid="{00000000-0005-0000-0000-000072010000}"/>
    <cellStyle name="Afjusted 3 9 3 2" xfId="46282" xr:uid="{00000000-0005-0000-0000-000072010000}"/>
    <cellStyle name="Afjusted 3 9 4" xfId="18214" xr:uid="{00000000-0005-0000-0000-000072010000}"/>
    <cellStyle name="Afjusted 3 9 5" xfId="36620" xr:uid="{00000000-0005-0000-0000-000072010000}"/>
    <cellStyle name="Afjusted 4" xfId="1229" xr:uid="{00000000-0005-0000-0000-00007D010000}"/>
    <cellStyle name="Afjusted 4 2" xfId="1638" xr:uid="{00000000-0005-0000-0000-00007E010000}"/>
    <cellStyle name="Afjusted 4 2 10" xfId="17863" xr:uid="{00000000-0005-0000-0000-00007E010000}"/>
    <cellStyle name="Afjusted 4 2 10 2" xfId="36273" xr:uid="{00000000-0005-0000-0000-00007E010000}"/>
    <cellStyle name="Afjusted 4 2 11" xfId="8309" xr:uid="{00000000-0005-0000-0000-00007E010000}"/>
    <cellStyle name="Afjusted 4 2 12" xfId="8533" xr:uid="{00000000-0005-0000-0000-00007E010000}"/>
    <cellStyle name="Afjusted 4 2 2" xfId="1719" xr:uid="{00000000-0005-0000-0000-00007F010000}"/>
    <cellStyle name="Afjusted 4 2 2 10" xfId="7238" xr:uid="{00000000-0005-0000-0000-00007F010000}"/>
    <cellStyle name="Afjusted 4 2 2 2" xfId="3616" xr:uid="{00000000-0005-0000-0000-00007F010000}"/>
    <cellStyle name="Afjusted 4 2 2 2 2" xfId="5789" xr:uid="{00000000-0005-0000-0000-00007F010000}"/>
    <cellStyle name="Afjusted 4 2 2 2 2 2" xfId="12153" xr:uid="{00000000-0005-0000-0000-00007F010000}"/>
    <cellStyle name="Afjusted 4 2 2 2 2 2 2" xfId="30600" xr:uid="{00000000-0005-0000-0000-00007F010000}"/>
    <cellStyle name="Afjusted 4 2 2 2 2 2 3" xfId="48963" xr:uid="{00000000-0005-0000-0000-00007F010000}"/>
    <cellStyle name="Afjusted 4 2 2 2 2 3" xfId="16479" xr:uid="{00000000-0005-0000-0000-00007F010000}"/>
    <cellStyle name="Afjusted 4 2 2 2 2 3 2" xfId="34851" xr:uid="{00000000-0005-0000-0000-00007F010000}"/>
    <cellStyle name="Afjusted 4 2 2 2 2 3 3" xfId="53214" xr:uid="{00000000-0005-0000-0000-00007F010000}"/>
    <cellStyle name="Afjusted 4 2 2 2 2 4" xfId="25598" xr:uid="{00000000-0005-0000-0000-00007F010000}"/>
    <cellStyle name="Afjusted 4 2 2 2 2 4 2" xfId="43967" xr:uid="{00000000-0005-0000-0000-00007F010000}"/>
    <cellStyle name="Afjusted 4 2 2 2 2 5" xfId="21919" xr:uid="{00000000-0005-0000-0000-00007F010000}"/>
    <cellStyle name="Afjusted 4 2 2 2 2 6" xfId="40298" xr:uid="{00000000-0005-0000-0000-00007F010000}"/>
    <cellStyle name="Afjusted 4 2 2 2 3" xfId="6615" xr:uid="{00000000-0005-0000-0000-00007F010000}"/>
    <cellStyle name="Afjusted 4 2 2 2 3 2" xfId="12906" xr:uid="{00000000-0005-0000-0000-00007F010000}"/>
    <cellStyle name="Afjusted 4 2 2 2 3 2 2" xfId="31332" xr:uid="{00000000-0005-0000-0000-00007F010000}"/>
    <cellStyle name="Afjusted 4 2 2 2 3 2 3" xfId="49695" xr:uid="{00000000-0005-0000-0000-00007F010000}"/>
    <cellStyle name="Afjusted 4 2 2 2 3 3" xfId="17217" xr:uid="{00000000-0005-0000-0000-00007F010000}"/>
    <cellStyle name="Afjusted 4 2 2 2 3 3 2" xfId="35565" xr:uid="{00000000-0005-0000-0000-00007F010000}"/>
    <cellStyle name="Afjusted 4 2 2 2 3 3 3" xfId="53928" xr:uid="{00000000-0005-0000-0000-00007F010000}"/>
    <cellStyle name="Afjusted 4 2 2 2 3 4" xfId="26350" xr:uid="{00000000-0005-0000-0000-00007F010000}"/>
    <cellStyle name="Afjusted 4 2 2 2 3 4 2" xfId="44719" xr:uid="{00000000-0005-0000-0000-00007F010000}"/>
    <cellStyle name="Afjusted 4 2 2 2 3 5" xfId="22643" xr:uid="{00000000-0005-0000-0000-00007F010000}"/>
    <cellStyle name="Afjusted 4 2 2 2 3 6" xfId="41012" xr:uid="{00000000-0005-0000-0000-00007F010000}"/>
    <cellStyle name="Afjusted 4 2 2 2 4" xfId="10329" xr:uid="{00000000-0005-0000-0000-00007F010000}"/>
    <cellStyle name="Afjusted 4 2 2 2 4 2" xfId="14386" xr:uid="{00000000-0005-0000-0000-00007F010000}"/>
    <cellStyle name="Afjusted 4 2 2 2 4 2 2" xfId="32802" xr:uid="{00000000-0005-0000-0000-00007F010000}"/>
    <cellStyle name="Afjusted 4 2 2 2 4 2 3" xfId="51165" xr:uid="{00000000-0005-0000-0000-00007F010000}"/>
    <cellStyle name="Afjusted 4 2 2 2 4 3" xfId="29040" xr:uid="{00000000-0005-0000-0000-00007F010000}"/>
    <cellStyle name="Afjusted 4 2 2 2 4 3 2" xfId="47403" xr:uid="{00000000-0005-0000-0000-00007F010000}"/>
    <cellStyle name="Afjusted 4 2 2 2 4 4" xfId="19843" xr:uid="{00000000-0005-0000-0000-00007F010000}"/>
    <cellStyle name="Afjusted 4 2 2 2 4 5" xfId="38249" xr:uid="{00000000-0005-0000-0000-00007F010000}"/>
    <cellStyle name="Afjusted 4 2 2 2 5" xfId="9537" xr:uid="{00000000-0005-0000-0000-00007F010000}"/>
    <cellStyle name="Afjusted 4 2 2 2 5 2" xfId="28254" xr:uid="{00000000-0005-0000-0000-00007F010000}"/>
    <cellStyle name="Afjusted 4 2 2 2 5 3" xfId="46617" xr:uid="{00000000-0005-0000-0000-00007F010000}"/>
    <cellStyle name="Afjusted 4 2 2 2 6" xfId="13595" xr:uid="{00000000-0005-0000-0000-00007F010000}"/>
    <cellStyle name="Afjusted 4 2 2 2 6 2" xfId="32016" xr:uid="{00000000-0005-0000-0000-00007F010000}"/>
    <cellStyle name="Afjusted 4 2 2 2 6 3" xfId="50379" xr:uid="{00000000-0005-0000-0000-00007F010000}"/>
    <cellStyle name="Afjusted 4 2 2 2 7" xfId="23524" xr:uid="{00000000-0005-0000-0000-00007F010000}"/>
    <cellStyle name="Afjusted 4 2 2 2 7 2" xfId="41893" xr:uid="{00000000-0005-0000-0000-00007F010000}"/>
    <cellStyle name="Afjusted 4 2 2 2 8" xfId="18636" xr:uid="{00000000-0005-0000-0000-00007F010000}"/>
    <cellStyle name="Afjusted 4 2 2 2 9" xfId="37046" xr:uid="{00000000-0005-0000-0000-00007F010000}"/>
    <cellStyle name="Afjusted 4 2 2 3" xfId="4656" xr:uid="{00000000-0005-0000-0000-00007F010000}"/>
    <cellStyle name="Afjusted 4 2 2 3 2" xfId="11240" xr:uid="{00000000-0005-0000-0000-00007F010000}"/>
    <cellStyle name="Afjusted 4 2 2 3 2 2" xfId="29852" xr:uid="{00000000-0005-0000-0000-00007F010000}"/>
    <cellStyle name="Afjusted 4 2 2 3 2 3" xfId="48215" xr:uid="{00000000-0005-0000-0000-00007F010000}"/>
    <cellStyle name="Afjusted 4 2 2 3 3" xfId="15382" xr:uid="{00000000-0005-0000-0000-00007F010000}"/>
    <cellStyle name="Afjusted 4 2 2 3 3 2" xfId="33775" xr:uid="{00000000-0005-0000-0000-00007F010000}"/>
    <cellStyle name="Afjusted 4 2 2 3 3 3" xfId="52138" xr:uid="{00000000-0005-0000-0000-00007F010000}"/>
    <cellStyle name="Afjusted 4 2 2 3 4" xfId="24506" xr:uid="{00000000-0005-0000-0000-00007F010000}"/>
    <cellStyle name="Afjusted 4 2 2 3 4 2" xfId="42875" xr:uid="{00000000-0005-0000-0000-00007F010000}"/>
    <cellStyle name="Afjusted 4 2 2 3 5" xfId="20833" xr:uid="{00000000-0005-0000-0000-00007F010000}"/>
    <cellStyle name="Afjusted 4 2 2 3 6" xfId="39222" xr:uid="{00000000-0005-0000-0000-00007F010000}"/>
    <cellStyle name="Afjusted 4 2 2 4" xfId="4346" xr:uid="{00000000-0005-0000-0000-00007F010000}"/>
    <cellStyle name="Afjusted 4 2 2 4 2" xfId="10950" xr:uid="{00000000-0005-0000-0000-00007F010000}"/>
    <cellStyle name="Afjusted 4 2 2 4 2 2" xfId="29577" xr:uid="{00000000-0005-0000-0000-00007F010000}"/>
    <cellStyle name="Afjusted 4 2 2 4 2 3" xfId="47940" xr:uid="{00000000-0005-0000-0000-00007F010000}"/>
    <cellStyle name="Afjusted 4 2 2 4 3" xfId="15087" xr:uid="{00000000-0005-0000-0000-00007F010000}"/>
    <cellStyle name="Afjusted 4 2 2 4 3 2" xfId="33487" xr:uid="{00000000-0005-0000-0000-00007F010000}"/>
    <cellStyle name="Afjusted 4 2 2 4 3 3" xfId="51850" xr:uid="{00000000-0005-0000-0000-00007F010000}"/>
    <cellStyle name="Afjusted 4 2 2 4 4" xfId="24216" xr:uid="{00000000-0005-0000-0000-00007F010000}"/>
    <cellStyle name="Afjusted 4 2 2 4 4 2" xfId="42585" xr:uid="{00000000-0005-0000-0000-00007F010000}"/>
    <cellStyle name="Afjusted 4 2 2 4 5" xfId="20539" xr:uid="{00000000-0005-0000-0000-00007F010000}"/>
    <cellStyle name="Afjusted 4 2 2 4 6" xfId="38934" xr:uid="{00000000-0005-0000-0000-00007F010000}"/>
    <cellStyle name="Afjusted 4 2 2 5" xfId="9272" xr:uid="{00000000-0005-0000-0000-00007F010000}"/>
    <cellStyle name="Afjusted 4 2 2 5 2" xfId="13329" xr:uid="{00000000-0005-0000-0000-00007F010000}"/>
    <cellStyle name="Afjusted 4 2 2 5 2 2" xfId="31750" xr:uid="{00000000-0005-0000-0000-00007F010000}"/>
    <cellStyle name="Afjusted 4 2 2 5 2 3" xfId="50113" xr:uid="{00000000-0005-0000-0000-00007F010000}"/>
    <cellStyle name="Afjusted 4 2 2 5 3" xfId="27992" xr:uid="{00000000-0005-0000-0000-00007F010000}"/>
    <cellStyle name="Afjusted 4 2 2 5 3 2" xfId="46355" xr:uid="{00000000-0005-0000-0000-00007F010000}"/>
    <cellStyle name="Afjusted 4 2 2 5 4" xfId="18332" xr:uid="{00000000-0005-0000-0000-00007F010000}"/>
    <cellStyle name="Afjusted 4 2 2 5 5" xfId="36738" xr:uid="{00000000-0005-0000-0000-00007F010000}"/>
    <cellStyle name="Afjusted 4 2 2 6" xfId="7950" xr:uid="{00000000-0005-0000-0000-00007F010000}"/>
    <cellStyle name="Afjusted 4 2 2 6 2" xfId="27180" xr:uid="{00000000-0005-0000-0000-00007F010000}"/>
    <cellStyle name="Afjusted 4 2 2 6 3" xfId="45545" xr:uid="{00000000-0005-0000-0000-00007F010000}"/>
    <cellStyle name="Afjusted 4 2 2 7" xfId="12498" xr:uid="{00000000-0005-0000-0000-00007F010000}"/>
    <cellStyle name="Afjusted 4 2 2 7 2" xfId="30936" xr:uid="{00000000-0005-0000-0000-00007F010000}"/>
    <cellStyle name="Afjusted 4 2 2 7 3" xfId="49299" xr:uid="{00000000-0005-0000-0000-00007F010000}"/>
    <cellStyle name="Afjusted 4 2 2 8" xfId="18071" xr:uid="{00000000-0005-0000-0000-00007F010000}"/>
    <cellStyle name="Afjusted 4 2 2 8 2" xfId="36478" xr:uid="{00000000-0005-0000-0000-00007F010000}"/>
    <cellStyle name="Afjusted 4 2 2 9" xfId="7058" xr:uid="{00000000-0005-0000-0000-00007F010000}"/>
    <cellStyle name="Afjusted 4 2 3" xfId="1749" xr:uid="{00000000-0005-0000-0000-000080010000}"/>
    <cellStyle name="Afjusted 4 2 3 10" xfId="7018" xr:uid="{00000000-0005-0000-0000-000080010000}"/>
    <cellStyle name="Afjusted 4 2 3 2" xfId="3646" xr:uid="{00000000-0005-0000-0000-000080010000}"/>
    <cellStyle name="Afjusted 4 2 3 2 2" xfId="5819" xr:uid="{00000000-0005-0000-0000-000080010000}"/>
    <cellStyle name="Afjusted 4 2 3 2 2 2" xfId="12183" xr:uid="{00000000-0005-0000-0000-000080010000}"/>
    <cellStyle name="Afjusted 4 2 3 2 2 2 2" xfId="30630" xr:uid="{00000000-0005-0000-0000-000080010000}"/>
    <cellStyle name="Afjusted 4 2 3 2 2 2 3" xfId="48993" xr:uid="{00000000-0005-0000-0000-000080010000}"/>
    <cellStyle name="Afjusted 4 2 3 2 2 3" xfId="16509" xr:uid="{00000000-0005-0000-0000-000080010000}"/>
    <cellStyle name="Afjusted 4 2 3 2 2 3 2" xfId="34881" xr:uid="{00000000-0005-0000-0000-000080010000}"/>
    <cellStyle name="Afjusted 4 2 3 2 2 3 3" xfId="53244" xr:uid="{00000000-0005-0000-0000-000080010000}"/>
    <cellStyle name="Afjusted 4 2 3 2 2 4" xfId="25628" xr:uid="{00000000-0005-0000-0000-000080010000}"/>
    <cellStyle name="Afjusted 4 2 3 2 2 4 2" xfId="43997" xr:uid="{00000000-0005-0000-0000-000080010000}"/>
    <cellStyle name="Afjusted 4 2 3 2 2 5" xfId="21949" xr:uid="{00000000-0005-0000-0000-000080010000}"/>
    <cellStyle name="Afjusted 4 2 3 2 2 6" xfId="40328" xr:uid="{00000000-0005-0000-0000-000080010000}"/>
    <cellStyle name="Afjusted 4 2 3 2 3" xfId="6645" xr:uid="{00000000-0005-0000-0000-000080010000}"/>
    <cellStyle name="Afjusted 4 2 3 2 3 2" xfId="12936" xr:uid="{00000000-0005-0000-0000-000080010000}"/>
    <cellStyle name="Afjusted 4 2 3 2 3 2 2" xfId="31362" xr:uid="{00000000-0005-0000-0000-000080010000}"/>
    <cellStyle name="Afjusted 4 2 3 2 3 2 3" xfId="49725" xr:uid="{00000000-0005-0000-0000-000080010000}"/>
    <cellStyle name="Afjusted 4 2 3 2 3 3" xfId="17247" xr:uid="{00000000-0005-0000-0000-000080010000}"/>
    <cellStyle name="Afjusted 4 2 3 2 3 3 2" xfId="35595" xr:uid="{00000000-0005-0000-0000-000080010000}"/>
    <cellStyle name="Afjusted 4 2 3 2 3 3 3" xfId="53958" xr:uid="{00000000-0005-0000-0000-000080010000}"/>
    <cellStyle name="Afjusted 4 2 3 2 3 4" xfId="26380" xr:uid="{00000000-0005-0000-0000-000080010000}"/>
    <cellStyle name="Afjusted 4 2 3 2 3 4 2" xfId="44749" xr:uid="{00000000-0005-0000-0000-000080010000}"/>
    <cellStyle name="Afjusted 4 2 3 2 3 5" xfId="22673" xr:uid="{00000000-0005-0000-0000-000080010000}"/>
    <cellStyle name="Afjusted 4 2 3 2 3 6" xfId="41042" xr:uid="{00000000-0005-0000-0000-000080010000}"/>
    <cellStyle name="Afjusted 4 2 3 2 4" xfId="10359" xr:uid="{00000000-0005-0000-0000-000080010000}"/>
    <cellStyle name="Afjusted 4 2 3 2 4 2" xfId="14416" xr:uid="{00000000-0005-0000-0000-000080010000}"/>
    <cellStyle name="Afjusted 4 2 3 2 4 2 2" xfId="32832" xr:uid="{00000000-0005-0000-0000-000080010000}"/>
    <cellStyle name="Afjusted 4 2 3 2 4 2 3" xfId="51195" xr:uid="{00000000-0005-0000-0000-000080010000}"/>
    <cellStyle name="Afjusted 4 2 3 2 4 3" xfId="29070" xr:uid="{00000000-0005-0000-0000-000080010000}"/>
    <cellStyle name="Afjusted 4 2 3 2 4 3 2" xfId="47433" xr:uid="{00000000-0005-0000-0000-000080010000}"/>
    <cellStyle name="Afjusted 4 2 3 2 4 4" xfId="19873" xr:uid="{00000000-0005-0000-0000-000080010000}"/>
    <cellStyle name="Afjusted 4 2 3 2 4 5" xfId="38279" xr:uid="{00000000-0005-0000-0000-000080010000}"/>
    <cellStyle name="Afjusted 4 2 3 2 5" xfId="9567" xr:uid="{00000000-0005-0000-0000-000080010000}"/>
    <cellStyle name="Afjusted 4 2 3 2 5 2" xfId="28284" xr:uid="{00000000-0005-0000-0000-000080010000}"/>
    <cellStyle name="Afjusted 4 2 3 2 5 3" xfId="46647" xr:uid="{00000000-0005-0000-0000-000080010000}"/>
    <cellStyle name="Afjusted 4 2 3 2 6" xfId="13625" xr:uid="{00000000-0005-0000-0000-000080010000}"/>
    <cellStyle name="Afjusted 4 2 3 2 6 2" xfId="32046" xr:uid="{00000000-0005-0000-0000-000080010000}"/>
    <cellStyle name="Afjusted 4 2 3 2 6 3" xfId="50409" xr:uid="{00000000-0005-0000-0000-000080010000}"/>
    <cellStyle name="Afjusted 4 2 3 2 7" xfId="23554" xr:uid="{00000000-0005-0000-0000-000080010000}"/>
    <cellStyle name="Afjusted 4 2 3 2 7 2" xfId="41923" xr:uid="{00000000-0005-0000-0000-000080010000}"/>
    <cellStyle name="Afjusted 4 2 3 2 8" xfId="18666" xr:uid="{00000000-0005-0000-0000-000080010000}"/>
    <cellStyle name="Afjusted 4 2 3 2 9" xfId="37076" xr:uid="{00000000-0005-0000-0000-000080010000}"/>
    <cellStyle name="Afjusted 4 2 3 3" xfId="4686" xr:uid="{00000000-0005-0000-0000-000080010000}"/>
    <cellStyle name="Afjusted 4 2 3 3 2" xfId="11270" xr:uid="{00000000-0005-0000-0000-000080010000}"/>
    <cellStyle name="Afjusted 4 2 3 3 2 2" xfId="29882" xr:uid="{00000000-0005-0000-0000-000080010000}"/>
    <cellStyle name="Afjusted 4 2 3 3 2 3" xfId="48245" xr:uid="{00000000-0005-0000-0000-000080010000}"/>
    <cellStyle name="Afjusted 4 2 3 3 3" xfId="15412" xr:uid="{00000000-0005-0000-0000-000080010000}"/>
    <cellStyle name="Afjusted 4 2 3 3 3 2" xfId="33805" xr:uid="{00000000-0005-0000-0000-000080010000}"/>
    <cellStyle name="Afjusted 4 2 3 3 3 3" xfId="52168" xr:uid="{00000000-0005-0000-0000-000080010000}"/>
    <cellStyle name="Afjusted 4 2 3 3 4" xfId="24536" xr:uid="{00000000-0005-0000-0000-000080010000}"/>
    <cellStyle name="Afjusted 4 2 3 3 4 2" xfId="42905" xr:uid="{00000000-0005-0000-0000-000080010000}"/>
    <cellStyle name="Afjusted 4 2 3 3 5" xfId="20863" xr:uid="{00000000-0005-0000-0000-000080010000}"/>
    <cellStyle name="Afjusted 4 2 3 3 6" xfId="39252" xr:uid="{00000000-0005-0000-0000-000080010000}"/>
    <cellStyle name="Afjusted 4 2 3 4" xfId="3958" xr:uid="{00000000-0005-0000-0000-000080010000}"/>
    <cellStyle name="Afjusted 4 2 3 4 2" xfId="10663" xr:uid="{00000000-0005-0000-0000-000080010000}"/>
    <cellStyle name="Afjusted 4 2 3 4 2 2" xfId="29369" xr:uid="{00000000-0005-0000-0000-000080010000}"/>
    <cellStyle name="Afjusted 4 2 3 4 2 3" xfId="47732" xr:uid="{00000000-0005-0000-0000-000080010000}"/>
    <cellStyle name="Afjusted 4 2 3 4 3" xfId="14721" xr:uid="{00000000-0005-0000-0000-000080010000}"/>
    <cellStyle name="Afjusted 4 2 3 4 3 2" xfId="33133" xr:uid="{00000000-0005-0000-0000-000080010000}"/>
    <cellStyle name="Afjusted 4 2 3 4 3 3" xfId="51496" xr:uid="{00000000-0005-0000-0000-000080010000}"/>
    <cellStyle name="Afjusted 4 2 3 4 4" xfId="23857" xr:uid="{00000000-0005-0000-0000-000080010000}"/>
    <cellStyle name="Afjusted 4 2 3 4 4 2" xfId="42226" xr:uid="{00000000-0005-0000-0000-000080010000}"/>
    <cellStyle name="Afjusted 4 2 3 4 5" xfId="20175" xr:uid="{00000000-0005-0000-0000-000080010000}"/>
    <cellStyle name="Afjusted 4 2 3 4 6" xfId="38580" xr:uid="{00000000-0005-0000-0000-000080010000}"/>
    <cellStyle name="Afjusted 4 2 3 5" xfId="9804" xr:uid="{00000000-0005-0000-0000-000080010000}"/>
    <cellStyle name="Afjusted 4 2 3 5 2" xfId="13861" xr:uid="{00000000-0005-0000-0000-000080010000}"/>
    <cellStyle name="Afjusted 4 2 3 5 2 2" xfId="32281" xr:uid="{00000000-0005-0000-0000-000080010000}"/>
    <cellStyle name="Afjusted 4 2 3 5 2 3" xfId="50644" xr:uid="{00000000-0005-0000-0000-000080010000}"/>
    <cellStyle name="Afjusted 4 2 3 5 3" xfId="28519" xr:uid="{00000000-0005-0000-0000-000080010000}"/>
    <cellStyle name="Afjusted 4 2 3 5 3 2" xfId="46882" xr:uid="{00000000-0005-0000-0000-000080010000}"/>
    <cellStyle name="Afjusted 4 2 3 5 4" xfId="19019" xr:uid="{00000000-0005-0000-0000-000080010000}"/>
    <cellStyle name="Afjusted 4 2 3 5 5" xfId="37428" xr:uid="{00000000-0005-0000-0000-000080010000}"/>
    <cellStyle name="Afjusted 4 2 3 6" xfId="7980" xr:uid="{00000000-0005-0000-0000-000080010000}"/>
    <cellStyle name="Afjusted 4 2 3 6 2" xfId="27210" xr:uid="{00000000-0005-0000-0000-000080010000}"/>
    <cellStyle name="Afjusted 4 2 3 6 3" xfId="45575" xr:uid="{00000000-0005-0000-0000-000080010000}"/>
    <cellStyle name="Afjusted 4 2 3 7" xfId="7614" xr:uid="{00000000-0005-0000-0000-000080010000}"/>
    <cellStyle name="Afjusted 4 2 3 7 2" xfId="26910" xr:uid="{00000000-0005-0000-0000-000080010000}"/>
    <cellStyle name="Afjusted 4 2 3 7 3" xfId="45275" xr:uid="{00000000-0005-0000-0000-000080010000}"/>
    <cellStyle name="Afjusted 4 2 3 8" xfId="18902" xr:uid="{00000000-0005-0000-0000-000080010000}"/>
    <cellStyle name="Afjusted 4 2 3 8 2" xfId="37311" xr:uid="{00000000-0005-0000-0000-000080010000}"/>
    <cellStyle name="Afjusted 4 2 3 9" xfId="11615" xr:uid="{00000000-0005-0000-0000-000080010000}"/>
    <cellStyle name="Afjusted 4 2 4" xfId="1777" xr:uid="{00000000-0005-0000-0000-000081010000}"/>
    <cellStyle name="Afjusted 4 2 4 10" xfId="8505" xr:uid="{00000000-0005-0000-0000-000081010000}"/>
    <cellStyle name="Afjusted 4 2 4 2" xfId="3674" xr:uid="{00000000-0005-0000-0000-000081010000}"/>
    <cellStyle name="Afjusted 4 2 4 2 2" xfId="5847" xr:uid="{00000000-0005-0000-0000-000081010000}"/>
    <cellStyle name="Afjusted 4 2 4 2 2 2" xfId="12211" xr:uid="{00000000-0005-0000-0000-000081010000}"/>
    <cellStyle name="Afjusted 4 2 4 2 2 2 2" xfId="30658" xr:uid="{00000000-0005-0000-0000-000081010000}"/>
    <cellStyle name="Afjusted 4 2 4 2 2 2 3" xfId="49021" xr:uid="{00000000-0005-0000-0000-000081010000}"/>
    <cellStyle name="Afjusted 4 2 4 2 2 3" xfId="16537" xr:uid="{00000000-0005-0000-0000-000081010000}"/>
    <cellStyle name="Afjusted 4 2 4 2 2 3 2" xfId="34909" xr:uid="{00000000-0005-0000-0000-000081010000}"/>
    <cellStyle name="Afjusted 4 2 4 2 2 3 3" xfId="53272" xr:uid="{00000000-0005-0000-0000-000081010000}"/>
    <cellStyle name="Afjusted 4 2 4 2 2 4" xfId="25656" xr:uid="{00000000-0005-0000-0000-000081010000}"/>
    <cellStyle name="Afjusted 4 2 4 2 2 4 2" xfId="44025" xr:uid="{00000000-0005-0000-0000-000081010000}"/>
    <cellStyle name="Afjusted 4 2 4 2 2 5" xfId="21977" xr:uid="{00000000-0005-0000-0000-000081010000}"/>
    <cellStyle name="Afjusted 4 2 4 2 2 6" xfId="40356" xr:uid="{00000000-0005-0000-0000-000081010000}"/>
    <cellStyle name="Afjusted 4 2 4 2 3" xfId="6673" xr:uid="{00000000-0005-0000-0000-000081010000}"/>
    <cellStyle name="Afjusted 4 2 4 2 3 2" xfId="12964" xr:uid="{00000000-0005-0000-0000-000081010000}"/>
    <cellStyle name="Afjusted 4 2 4 2 3 2 2" xfId="31390" xr:uid="{00000000-0005-0000-0000-000081010000}"/>
    <cellStyle name="Afjusted 4 2 4 2 3 2 3" xfId="49753" xr:uid="{00000000-0005-0000-0000-000081010000}"/>
    <cellStyle name="Afjusted 4 2 4 2 3 3" xfId="17275" xr:uid="{00000000-0005-0000-0000-000081010000}"/>
    <cellStyle name="Afjusted 4 2 4 2 3 3 2" xfId="35623" xr:uid="{00000000-0005-0000-0000-000081010000}"/>
    <cellStyle name="Afjusted 4 2 4 2 3 3 3" xfId="53986" xr:uid="{00000000-0005-0000-0000-000081010000}"/>
    <cellStyle name="Afjusted 4 2 4 2 3 4" xfId="26408" xr:uid="{00000000-0005-0000-0000-000081010000}"/>
    <cellStyle name="Afjusted 4 2 4 2 3 4 2" xfId="44777" xr:uid="{00000000-0005-0000-0000-000081010000}"/>
    <cellStyle name="Afjusted 4 2 4 2 3 5" xfId="22701" xr:uid="{00000000-0005-0000-0000-000081010000}"/>
    <cellStyle name="Afjusted 4 2 4 2 3 6" xfId="41070" xr:uid="{00000000-0005-0000-0000-000081010000}"/>
    <cellStyle name="Afjusted 4 2 4 2 4" xfId="10387" xr:uid="{00000000-0005-0000-0000-000081010000}"/>
    <cellStyle name="Afjusted 4 2 4 2 4 2" xfId="14444" xr:uid="{00000000-0005-0000-0000-000081010000}"/>
    <cellStyle name="Afjusted 4 2 4 2 4 2 2" xfId="32860" xr:uid="{00000000-0005-0000-0000-000081010000}"/>
    <cellStyle name="Afjusted 4 2 4 2 4 2 3" xfId="51223" xr:uid="{00000000-0005-0000-0000-000081010000}"/>
    <cellStyle name="Afjusted 4 2 4 2 4 3" xfId="29098" xr:uid="{00000000-0005-0000-0000-000081010000}"/>
    <cellStyle name="Afjusted 4 2 4 2 4 3 2" xfId="47461" xr:uid="{00000000-0005-0000-0000-000081010000}"/>
    <cellStyle name="Afjusted 4 2 4 2 4 4" xfId="19901" xr:uid="{00000000-0005-0000-0000-000081010000}"/>
    <cellStyle name="Afjusted 4 2 4 2 4 5" xfId="38307" xr:uid="{00000000-0005-0000-0000-000081010000}"/>
    <cellStyle name="Afjusted 4 2 4 2 5" xfId="9595" xr:uid="{00000000-0005-0000-0000-000081010000}"/>
    <cellStyle name="Afjusted 4 2 4 2 5 2" xfId="28312" xr:uid="{00000000-0005-0000-0000-000081010000}"/>
    <cellStyle name="Afjusted 4 2 4 2 5 3" xfId="46675" xr:uid="{00000000-0005-0000-0000-000081010000}"/>
    <cellStyle name="Afjusted 4 2 4 2 6" xfId="13653" xr:uid="{00000000-0005-0000-0000-000081010000}"/>
    <cellStyle name="Afjusted 4 2 4 2 6 2" xfId="32074" xr:uid="{00000000-0005-0000-0000-000081010000}"/>
    <cellStyle name="Afjusted 4 2 4 2 6 3" xfId="50437" xr:uid="{00000000-0005-0000-0000-000081010000}"/>
    <cellStyle name="Afjusted 4 2 4 2 7" xfId="23582" xr:uid="{00000000-0005-0000-0000-000081010000}"/>
    <cellStyle name="Afjusted 4 2 4 2 7 2" xfId="41951" xr:uid="{00000000-0005-0000-0000-000081010000}"/>
    <cellStyle name="Afjusted 4 2 4 2 8" xfId="18694" xr:uid="{00000000-0005-0000-0000-000081010000}"/>
    <cellStyle name="Afjusted 4 2 4 2 9" xfId="37104" xr:uid="{00000000-0005-0000-0000-000081010000}"/>
    <cellStyle name="Afjusted 4 2 4 3" xfId="4714" xr:uid="{00000000-0005-0000-0000-000081010000}"/>
    <cellStyle name="Afjusted 4 2 4 3 2" xfId="11298" xr:uid="{00000000-0005-0000-0000-000081010000}"/>
    <cellStyle name="Afjusted 4 2 4 3 2 2" xfId="29910" xr:uid="{00000000-0005-0000-0000-000081010000}"/>
    <cellStyle name="Afjusted 4 2 4 3 2 3" xfId="48273" xr:uid="{00000000-0005-0000-0000-000081010000}"/>
    <cellStyle name="Afjusted 4 2 4 3 3" xfId="15440" xr:uid="{00000000-0005-0000-0000-000081010000}"/>
    <cellStyle name="Afjusted 4 2 4 3 3 2" xfId="33833" xr:uid="{00000000-0005-0000-0000-000081010000}"/>
    <cellStyle name="Afjusted 4 2 4 3 3 3" xfId="52196" xr:uid="{00000000-0005-0000-0000-000081010000}"/>
    <cellStyle name="Afjusted 4 2 4 3 4" xfId="24564" xr:uid="{00000000-0005-0000-0000-000081010000}"/>
    <cellStyle name="Afjusted 4 2 4 3 4 2" xfId="42933" xr:uid="{00000000-0005-0000-0000-000081010000}"/>
    <cellStyle name="Afjusted 4 2 4 3 5" xfId="20891" xr:uid="{00000000-0005-0000-0000-000081010000}"/>
    <cellStyle name="Afjusted 4 2 4 3 6" xfId="39280" xr:uid="{00000000-0005-0000-0000-000081010000}"/>
    <cellStyle name="Afjusted 4 2 4 4" xfId="4547" xr:uid="{00000000-0005-0000-0000-000081010000}"/>
    <cellStyle name="Afjusted 4 2 4 4 2" xfId="11137" xr:uid="{00000000-0005-0000-0000-000081010000}"/>
    <cellStyle name="Afjusted 4 2 4 4 2 2" xfId="29754" xr:uid="{00000000-0005-0000-0000-000081010000}"/>
    <cellStyle name="Afjusted 4 2 4 4 2 3" xfId="48117" xr:uid="{00000000-0005-0000-0000-000081010000}"/>
    <cellStyle name="Afjusted 4 2 4 4 3" xfId="15275" xr:uid="{00000000-0005-0000-0000-000081010000}"/>
    <cellStyle name="Afjusted 4 2 4 4 3 2" xfId="33669" xr:uid="{00000000-0005-0000-0000-000081010000}"/>
    <cellStyle name="Afjusted 4 2 4 4 3 3" xfId="52032" xr:uid="{00000000-0005-0000-0000-000081010000}"/>
    <cellStyle name="Afjusted 4 2 4 4 4" xfId="24400" xr:uid="{00000000-0005-0000-0000-000081010000}"/>
    <cellStyle name="Afjusted 4 2 4 4 4 2" xfId="42769" xr:uid="{00000000-0005-0000-0000-000081010000}"/>
    <cellStyle name="Afjusted 4 2 4 4 5" xfId="20724" xr:uid="{00000000-0005-0000-0000-000081010000}"/>
    <cellStyle name="Afjusted 4 2 4 4 6" xfId="39116" xr:uid="{00000000-0005-0000-0000-000081010000}"/>
    <cellStyle name="Afjusted 4 2 4 5" xfId="9693" xr:uid="{00000000-0005-0000-0000-000081010000}"/>
    <cellStyle name="Afjusted 4 2 4 5 2" xfId="13750" xr:uid="{00000000-0005-0000-0000-000081010000}"/>
    <cellStyle name="Afjusted 4 2 4 5 2 2" xfId="32171" xr:uid="{00000000-0005-0000-0000-000081010000}"/>
    <cellStyle name="Afjusted 4 2 4 5 2 3" xfId="50534" xr:uid="{00000000-0005-0000-0000-000081010000}"/>
    <cellStyle name="Afjusted 4 2 4 5 3" xfId="28409" xr:uid="{00000000-0005-0000-0000-000081010000}"/>
    <cellStyle name="Afjusted 4 2 4 5 3 2" xfId="46772" xr:uid="{00000000-0005-0000-0000-000081010000}"/>
    <cellStyle name="Afjusted 4 2 4 5 4" xfId="18840" xr:uid="{00000000-0005-0000-0000-000081010000}"/>
    <cellStyle name="Afjusted 4 2 4 5 5" xfId="37249" xr:uid="{00000000-0005-0000-0000-000081010000}"/>
    <cellStyle name="Afjusted 4 2 4 6" xfId="8008" xr:uid="{00000000-0005-0000-0000-000081010000}"/>
    <cellStyle name="Afjusted 4 2 4 6 2" xfId="27238" xr:uid="{00000000-0005-0000-0000-000081010000}"/>
    <cellStyle name="Afjusted 4 2 4 6 3" xfId="45603" xr:uid="{00000000-0005-0000-0000-000081010000}"/>
    <cellStyle name="Afjusted 4 2 4 7" xfId="8734" xr:uid="{00000000-0005-0000-0000-000081010000}"/>
    <cellStyle name="Afjusted 4 2 4 7 2" xfId="27611" xr:uid="{00000000-0005-0000-0000-000081010000}"/>
    <cellStyle name="Afjusted 4 2 4 7 3" xfId="45974" xr:uid="{00000000-0005-0000-0000-000081010000}"/>
    <cellStyle name="Afjusted 4 2 4 8" xfId="18310" xr:uid="{00000000-0005-0000-0000-000081010000}"/>
    <cellStyle name="Afjusted 4 2 4 8 2" xfId="36716" xr:uid="{00000000-0005-0000-0000-000081010000}"/>
    <cellStyle name="Afjusted 4 2 4 9" xfId="7071" xr:uid="{00000000-0005-0000-0000-000081010000}"/>
    <cellStyle name="Afjusted 4 2 5" xfId="3550" xr:uid="{00000000-0005-0000-0000-00007E010000}"/>
    <cellStyle name="Afjusted 4 2 5 2" xfId="5723" xr:uid="{00000000-0005-0000-0000-00007E010000}"/>
    <cellStyle name="Afjusted 4 2 5 2 2" xfId="12087" xr:uid="{00000000-0005-0000-0000-00007E010000}"/>
    <cellStyle name="Afjusted 4 2 5 2 2 2" xfId="30534" xr:uid="{00000000-0005-0000-0000-00007E010000}"/>
    <cellStyle name="Afjusted 4 2 5 2 2 3" xfId="48897" xr:uid="{00000000-0005-0000-0000-00007E010000}"/>
    <cellStyle name="Afjusted 4 2 5 2 3" xfId="16413" xr:uid="{00000000-0005-0000-0000-00007E010000}"/>
    <cellStyle name="Afjusted 4 2 5 2 3 2" xfId="34785" xr:uid="{00000000-0005-0000-0000-00007E010000}"/>
    <cellStyle name="Afjusted 4 2 5 2 3 3" xfId="53148" xr:uid="{00000000-0005-0000-0000-00007E010000}"/>
    <cellStyle name="Afjusted 4 2 5 2 4" xfId="25532" xr:uid="{00000000-0005-0000-0000-00007E010000}"/>
    <cellStyle name="Afjusted 4 2 5 2 4 2" xfId="43901" xr:uid="{00000000-0005-0000-0000-00007E010000}"/>
    <cellStyle name="Afjusted 4 2 5 2 5" xfId="21853" xr:uid="{00000000-0005-0000-0000-00007E010000}"/>
    <cellStyle name="Afjusted 4 2 5 2 6" xfId="40232" xr:uid="{00000000-0005-0000-0000-00007E010000}"/>
    <cellStyle name="Afjusted 4 2 5 3" xfId="6549" xr:uid="{00000000-0005-0000-0000-00007E010000}"/>
    <cellStyle name="Afjusted 4 2 5 3 2" xfId="12840" xr:uid="{00000000-0005-0000-0000-00007E010000}"/>
    <cellStyle name="Afjusted 4 2 5 3 2 2" xfId="31266" xr:uid="{00000000-0005-0000-0000-00007E010000}"/>
    <cellStyle name="Afjusted 4 2 5 3 2 3" xfId="49629" xr:uid="{00000000-0005-0000-0000-00007E010000}"/>
    <cellStyle name="Afjusted 4 2 5 3 3" xfId="17151" xr:uid="{00000000-0005-0000-0000-00007E010000}"/>
    <cellStyle name="Afjusted 4 2 5 3 3 2" xfId="35499" xr:uid="{00000000-0005-0000-0000-00007E010000}"/>
    <cellStyle name="Afjusted 4 2 5 3 3 3" xfId="53862" xr:uid="{00000000-0005-0000-0000-00007E010000}"/>
    <cellStyle name="Afjusted 4 2 5 3 4" xfId="26284" xr:uid="{00000000-0005-0000-0000-00007E010000}"/>
    <cellStyle name="Afjusted 4 2 5 3 4 2" xfId="44653" xr:uid="{00000000-0005-0000-0000-00007E010000}"/>
    <cellStyle name="Afjusted 4 2 5 3 5" xfId="22577" xr:uid="{00000000-0005-0000-0000-00007E010000}"/>
    <cellStyle name="Afjusted 4 2 5 3 6" xfId="40946" xr:uid="{00000000-0005-0000-0000-00007E010000}"/>
    <cellStyle name="Afjusted 4 2 5 4" xfId="10263" xr:uid="{00000000-0005-0000-0000-00007E010000}"/>
    <cellStyle name="Afjusted 4 2 5 4 2" xfId="14320" xr:uid="{00000000-0005-0000-0000-00007E010000}"/>
    <cellStyle name="Afjusted 4 2 5 4 2 2" xfId="32736" xr:uid="{00000000-0005-0000-0000-00007E010000}"/>
    <cellStyle name="Afjusted 4 2 5 4 2 3" xfId="51099" xr:uid="{00000000-0005-0000-0000-00007E010000}"/>
    <cellStyle name="Afjusted 4 2 5 4 3" xfId="28974" xr:uid="{00000000-0005-0000-0000-00007E010000}"/>
    <cellStyle name="Afjusted 4 2 5 4 3 2" xfId="47337" xr:uid="{00000000-0005-0000-0000-00007E010000}"/>
    <cellStyle name="Afjusted 4 2 5 4 4" xfId="19777" xr:uid="{00000000-0005-0000-0000-00007E010000}"/>
    <cellStyle name="Afjusted 4 2 5 4 5" xfId="38183" xr:uid="{00000000-0005-0000-0000-00007E010000}"/>
    <cellStyle name="Afjusted 4 2 5 5" xfId="9471" xr:uid="{00000000-0005-0000-0000-00007E010000}"/>
    <cellStyle name="Afjusted 4 2 5 5 2" xfId="28188" xr:uid="{00000000-0005-0000-0000-00007E010000}"/>
    <cellStyle name="Afjusted 4 2 5 5 3" xfId="46551" xr:uid="{00000000-0005-0000-0000-00007E010000}"/>
    <cellStyle name="Afjusted 4 2 5 6" xfId="13529" xr:uid="{00000000-0005-0000-0000-00007E010000}"/>
    <cellStyle name="Afjusted 4 2 5 6 2" xfId="31950" xr:uid="{00000000-0005-0000-0000-00007E010000}"/>
    <cellStyle name="Afjusted 4 2 5 6 3" xfId="50313" xr:uid="{00000000-0005-0000-0000-00007E010000}"/>
    <cellStyle name="Afjusted 4 2 5 7" xfId="23458" xr:uid="{00000000-0005-0000-0000-00007E010000}"/>
    <cellStyle name="Afjusted 4 2 5 7 2" xfId="41827" xr:uid="{00000000-0005-0000-0000-00007E010000}"/>
    <cellStyle name="Afjusted 4 2 5 8" xfId="18568" xr:uid="{00000000-0005-0000-0000-00007E010000}"/>
    <cellStyle name="Afjusted 4 2 5 9" xfId="36978" xr:uid="{00000000-0005-0000-0000-00007E010000}"/>
    <cellStyle name="Afjusted 4 2 6" xfId="4581" xr:uid="{00000000-0005-0000-0000-00007E010000}"/>
    <cellStyle name="Afjusted 4 2 6 2" xfId="11166" xr:uid="{00000000-0005-0000-0000-00007E010000}"/>
    <cellStyle name="Afjusted 4 2 6 2 2" xfId="29780" xr:uid="{00000000-0005-0000-0000-00007E010000}"/>
    <cellStyle name="Afjusted 4 2 6 2 3" xfId="48143" xr:uid="{00000000-0005-0000-0000-00007E010000}"/>
    <cellStyle name="Afjusted 4 2 6 3" xfId="15307" xr:uid="{00000000-0005-0000-0000-00007E010000}"/>
    <cellStyle name="Afjusted 4 2 6 3 2" xfId="33701" xr:uid="{00000000-0005-0000-0000-00007E010000}"/>
    <cellStyle name="Afjusted 4 2 6 3 3" xfId="52064" xr:uid="{00000000-0005-0000-0000-00007E010000}"/>
    <cellStyle name="Afjusted 4 2 6 4" xfId="24432" xr:uid="{00000000-0005-0000-0000-00007E010000}"/>
    <cellStyle name="Afjusted 4 2 6 4 2" xfId="42801" xr:uid="{00000000-0005-0000-0000-00007E010000}"/>
    <cellStyle name="Afjusted 4 2 6 5" xfId="20758" xr:uid="{00000000-0005-0000-0000-00007E010000}"/>
    <cellStyle name="Afjusted 4 2 6 6" xfId="39148" xr:uid="{00000000-0005-0000-0000-00007E010000}"/>
    <cellStyle name="Afjusted 4 2 7" xfId="3976" xr:uid="{00000000-0005-0000-0000-00007E010000}"/>
    <cellStyle name="Afjusted 4 2 7 2" xfId="10681" xr:uid="{00000000-0005-0000-0000-00007E010000}"/>
    <cellStyle name="Afjusted 4 2 7 2 2" xfId="29387" xr:uid="{00000000-0005-0000-0000-00007E010000}"/>
    <cellStyle name="Afjusted 4 2 7 2 3" xfId="47750" xr:uid="{00000000-0005-0000-0000-00007E010000}"/>
    <cellStyle name="Afjusted 4 2 7 3" xfId="14739" xr:uid="{00000000-0005-0000-0000-00007E010000}"/>
    <cellStyle name="Afjusted 4 2 7 3 2" xfId="33151" xr:uid="{00000000-0005-0000-0000-00007E010000}"/>
    <cellStyle name="Afjusted 4 2 7 3 3" xfId="51514" xr:uid="{00000000-0005-0000-0000-00007E010000}"/>
    <cellStyle name="Afjusted 4 2 7 4" xfId="23875" xr:uid="{00000000-0005-0000-0000-00007E010000}"/>
    <cellStyle name="Afjusted 4 2 7 4 2" xfId="42244" xr:uid="{00000000-0005-0000-0000-00007E010000}"/>
    <cellStyle name="Afjusted 4 2 7 5" xfId="20193" xr:uid="{00000000-0005-0000-0000-00007E010000}"/>
    <cellStyle name="Afjusted 4 2 7 6" xfId="38598" xr:uid="{00000000-0005-0000-0000-00007E010000}"/>
    <cellStyle name="Afjusted 4 2 8" xfId="9817" xr:uid="{00000000-0005-0000-0000-00007E010000}"/>
    <cellStyle name="Afjusted 4 2 8 2" xfId="13874" xr:uid="{00000000-0005-0000-0000-00007E010000}"/>
    <cellStyle name="Afjusted 4 2 8 2 2" xfId="32294" xr:uid="{00000000-0005-0000-0000-00007E010000}"/>
    <cellStyle name="Afjusted 4 2 8 2 3" xfId="50657" xr:uid="{00000000-0005-0000-0000-00007E010000}"/>
    <cellStyle name="Afjusted 4 2 8 3" xfId="28532" xr:uid="{00000000-0005-0000-0000-00007E010000}"/>
    <cellStyle name="Afjusted 4 2 8 3 2" xfId="46895" xr:uid="{00000000-0005-0000-0000-00007E010000}"/>
    <cellStyle name="Afjusted 4 2 8 4" xfId="19034" xr:uid="{00000000-0005-0000-0000-00007E010000}"/>
    <cellStyle name="Afjusted 4 2 8 5" xfId="37443" xr:uid="{00000000-0005-0000-0000-00007E010000}"/>
    <cellStyle name="Afjusted 4 2 9" xfId="7877" xr:uid="{00000000-0005-0000-0000-00007E010000}"/>
    <cellStyle name="Afjusted 4 2 9 2" xfId="27114" xr:uid="{00000000-0005-0000-0000-00007E010000}"/>
    <cellStyle name="Afjusted 4 2 9 3" xfId="45479" xr:uid="{00000000-0005-0000-0000-00007E010000}"/>
    <cellStyle name="Afjusted 4 3" xfId="1521" xr:uid="{00000000-0005-0000-0000-000082010000}"/>
    <cellStyle name="Afjusted 4 3 10" xfId="7852" xr:uid="{00000000-0005-0000-0000-000082010000}"/>
    <cellStyle name="Afjusted 4 3 11" xfId="18489" xr:uid="{00000000-0005-0000-0000-000082010000}"/>
    <cellStyle name="Afjusted 4 3 2" xfId="1689" xr:uid="{00000000-0005-0000-0000-000083010000}"/>
    <cellStyle name="Afjusted 4 3 2 10" xfId="11830" xr:uid="{00000000-0005-0000-0000-000083010000}"/>
    <cellStyle name="Afjusted 4 3 2 2" xfId="3587" xr:uid="{00000000-0005-0000-0000-000083010000}"/>
    <cellStyle name="Afjusted 4 3 2 2 2" xfId="5760" xr:uid="{00000000-0005-0000-0000-000083010000}"/>
    <cellStyle name="Afjusted 4 3 2 2 2 2" xfId="12124" xr:uid="{00000000-0005-0000-0000-000083010000}"/>
    <cellStyle name="Afjusted 4 3 2 2 2 2 2" xfId="30571" xr:uid="{00000000-0005-0000-0000-000083010000}"/>
    <cellStyle name="Afjusted 4 3 2 2 2 2 3" xfId="48934" xr:uid="{00000000-0005-0000-0000-000083010000}"/>
    <cellStyle name="Afjusted 4 3 2 2 2 3" xfId="16450" xr:uid="{00000000-0005-0000-0000-000083010000}"/>
    <cellStyle name="Afjusted 4 3 2 2 2 3 2" xfId="34822" xr:uid="{00000000-0005-0000-0000-000083010000}"/>
    <cellStyle name="Afjusted 4 3 2 2 2 3 3" xfId="53185" xr:uid="{00000000-0005-0000-0000-000083010000}"/>
    <cellStyle name="Afjusted 4 3 2 2 2 4" xfId="25569" xr:uid="{00000000-0005-0000-0000-000083010000}"/>
    <cellStyle name="Afjusted 4 3 2 2 2 4 2" xfId="43938" xr:uid="{00000000-0005-0000-0000-000083010000}"/>
    <cellStyle name="Afjusted 4 3 2 2 2 5" xfId="21890" xr:uid="{00000000-0005-0000-0000-000083010000}"/>
    <cellStyle name="Afjusted 4 3 2 2 2 6" xfId="40269" xr:uid="{00000000-0005-0000-0000-000083010000}"/>
    <cellStyle name="Afjusted 4 3 2 2 3" xfId="6586" xr:uid="{00000000-0005-0000-0000-000083010000}"/>
    <cellStyle name="Afjusted 4 3 2 2 3 2" xfId="12877" xr:uid="{00000000-0005-0000-0000-000083010000}"/>
    <cellStyle name="Afjusted 4 3 2 2 3 2 2" xfId="31303" xr:uid="{00000000-0005-0000-0000-000083010000}"/>
    <cellStyle name="Afjusted 4 3 2 2 3 2 3" xfId="49666" xr:uid="{00000000-0005-0000-0000-000083010000}"/>
    <cellStyle name="Afjusted 4 3 2 2 3 3" xfId="17188" xr:uid="{00000000-0005-0000-0000-000083010000}"/>
    <cellStyle name="Afjusted 4 3 2 2 3 3 2" xfId="35536" xr:uid="{00000000-0005-0000-0000-000083010000}"/>
    <cellStyle name="Afjusted 4 3 2 2 3 3 3" xfId="53899" xr:uid="{00000000-0005-0000-0000-000083010000}"/>
    <cellStyle name="Afjusted 4 3 2 2 3 4" xfId="26321" xr:uid="{00000000-0005-0000-0000-000083010000}"/>
    <cellStyle name="Afjusted 4 3 2 2 3 4 2" xfId="44690" xr:uid="{00000000-0005-0000-0000-000083010000}"/>
    <cellStyle name="Afjusted 4 3 2 2 3 5" xfId="22614" xr:uid="{00000000-0005-0000-0000-000083010000}"/>
    <cellStyle name="Afjusted 4 3 2 2 3 6" xfId="40983" xr:uid="{00000000-0005-0000-0000-000083010000}"/>
    <cellStyle name="Afjusted 4 3 2 2 4" xfId="10300" xr:uid="{00000000-0005-0000-0000-000083010000}"/>
    <cellStyle name="Afjusted 4 3 2 2 4 2" xfId="14357" xr:uid="{00000000-0005-0000-0000-000083010000}"/>
    <cellStyle name="Afjusted 4 3 2 2 4 2 2" xfId="32773" xr:uid="{00000000-0005-0000-0000-000083010000}"/>
    <cellStyle name="Afjusted 4 3 2 2 4 2 3" xfId="51136" xr:uid="{00000000-0005-0000-0000-000083010000}"/>
    <cellStyle name="Afjusted 4 3 2 2 4 3" xfId="29011" xr:uid="{00000000-0005-0000-0000-000083010000}"/>
    <cellStyle name="Afjusted 4 3 2 2 4 3 2" xfId="47374" xr:uid="{00000000-0005-0000-0000-000083010000}"/>
    <cellStyle name="Afjusted 4 3 2 2 4 4" xfId="19814" xr:uid="{00000000-0005-0000-0000-000083010000}"/>
    <cellStyle name="Afjusted 4 3 2 2 4 5" xfId="38220" xr:uid="{00000000-0005-0000-0000-000083010000}"/>
    <cellStyle name="Afjusted 4 3 2 2 5" xfId="9508" xr:uid="{00000000-0005-0000-0000-000083010000}"/>
    <cellStyle name="Afjusted 4 3 2 2 5 2" xfId="28225" xr:uid="{00000000-0005-0000-0000-000083010000}"/>
    <cellStyle name="Afjusted 4 3 2 2 5 3" xfId="46588" xr:uid="{00000000-0005-0000-0000-000083010000}"/>
    <cellStyle name="Afjusted 4 3 2 2 6" xfId="13566" xr:uid="{00000000-0005-0000-0000-000083010000}"/>
    <cellStyle name="Afjusted 4 3 2 2 6 2" xfId="31987" xr:uid="{00000000-0005-0000-0000-000083010000}"/>
    <cellStyle name="Afjusted 4 3 2 2 6 3" xfId="50350" xr:uid="{00000000-0005-0000-0000-000083010000}"/>
    <cellStyle name="Afjusted 4 3 2 2 7" xfId="23495" xr:uid="{00000000-0005-0000-0000-000083010000}"/>
    <cellStyle name="Afjusted 4 3 2 2 7 2" xfId="41864" xr:uid="{00000000-0005-0000-0000-000083010000}"/>
    <cellStyle name="Afjusted 4 3 2 2 8" xfId="18606" xr:uid="{00000000-0005-0000-0000-000083010000}"/>
    <cellStyle name="Afjusted 4 3 2 2 9" xfId="37016" xr:uid="{00000000-0005-0000-0000-000083010000}"/>
    <cellStyle name="Afjusted 4 3 2 3" xfId="4628" xr:uid="{00000000-0005-0000-0000-000083010000}"/>
    <cellStyle name="Afjusted 4 3 2 3 2" xfId="11212" xr:uid="{00000000-0005-0000-0000-000083010000}"/>
    <cellStyle name="Afjusted 4 3 2 3 2 2" xfId="29824" xr:uid="{00000000-0005-0000-0000-000083010000}"/>
    <cellStyle name="Afjusted 4 3 2 3 2 3" xfId="48187" xr:uid="{00000000-0005-0000-0000-000083010000}"/>
    <cellStyle name="Afjusted 4 3 2 3 3" xfId="15354" xr:uid="{00000000-0005-0000-0000-000083010000}"/>
    <cellStyle name="Afjusted 4 3 2 3 3 2" xfId="33747" xr:uid="{00000000-0005-0000-0000-000083010000}"/>
    <cellStyle name="Afjusted 4 3 2 3 3 3" xfId="52110" xr:uid="{00000000-0005-0000-0000-000083010000}"/>
    <cellStyle name="Afjusted 4 3 2 3 4" xfId="24478" xr:uid="{00000000-0005-0000-0000-000083010000}"/>
    <cellStyle name="Afjusted 4 3 2 3 4 2" xfId="42847" xr:uid="{00000000-0005-0000-0000-000083010000}"/>
    <cellStyle name="Afjusted 4 3 2 3 5" xfId="20805" xr:uid="{00000000-0005-0000-0000-000083010000}"/>
    <cellStyle name="Afjusted 4 3 2 3 6" xfId="39194" xr:uid="{00000000-0005-0000-0000-000083010000}"/>
    <cellStyle name="Afjusted 4 3 2 4" xfId="5363" xr:uid="{00000000-0005-0000-0000-000083010000}"/>
    <cellStyle name="Afjusted 4 3 2 4 2" xfId="11786" xr:uid="{00000000-0005-0000-0000-000083010000}"/>
    <cellStyle name="Afjusted 4 3 2 4 2 2" xfId="30263" xr:uid="{00000000-0005-0000-0000-000083010000}"/>
    <cellStyle name="Afjusted 4 3 2 4 2 3" xfId="48626" xr:uid="{00000000-0005-0000-0000-000083010000}"/>
    <cellStyle name="Afjusted 4 3 2 4 3" xfId="16055" xr:uid="{00000000-0005-0000-0000-000083010000}"/>
    <cellStyle name="Afjusted 4 3 2 4 3 2" xfId="34429" xr:uid="{00000000-0005-0000-0000-000083010000}"/>
    <cellStyle name="Afjusted 4 3 2 4 3 3" xfId="52792" xr:uid="{00000000-0005-0000-0000-000083010000}"/>
    <cellStyle name="Afjusted 4 3 2 4 4" xfId="25176" xr:uid="{00000000-0005-0000-0000-000083010000}"/>
    <cellStyle name="Afjusted 4 3 2 4 4 2" xfId="43545" xr:uid="{00000000-0005-0000-0000-000083010000}"/>
    <cellStyle name="Afjusted 4 3 2 4 5" xfId="21497" xr:uid="{00000000-0005-0000-0000-000083010000}"/>
    <cellStyle name="Afjusted 4 3 2 4 6" xfId="39876" xr:uid="{00000000-0005-0000-0000-000083010000}"/>
    <cellStyle name="Afjusted 4 3 2 5" xfId="9812" xr:uid="{00000000-0005-0000-0000-000083010000}"/>
    <cellStyle name="Afjusted 4 3 2 5 2" xfId="13869" xr:uid="{00000000-0005-0000-0000-000083010000}"/>
    <cellStyle name="Afjusted 4 3 2 5 2 2" xfId="32289" xr:uid="{00000000-0005-0000-0000-000083010000}"/>
    <cellStyle name="Afjusted 4 3 2 5 2 3" xfId="50652" xr:uid="{00000000-0005-0000-0000-000083010000}"/>
    <cellStyle name="Afjusted 4 3 2 5 3" xfId="28527" xr:uid="{00000000-0005-0000-0000-000083010000}"/>
    <cellStyle name="Afjusted 4 3 2 5 3 2" xfId="46890" xr:uid="{00000000-0005-0000-0000-000083010000}"/>
    <cellStyle name="Afjusted 4 3 2 5 4" xfId="19027" xr:uid="{00000000-0005-0000-0000-000083010000}"/>
    <cellStyle name="Afjusted 4 3 2 5 5" xfId="37436" xr:uid="{00000000-0005-0000-0000-000083010000}"/>
    <cellStyle name="Afjusted 4 3 2 6" xfId="7922" xr:uid="{00000000-0005-0000-0000-000083010000}"/>
    <cellStyle name="Afjusted 4 3 2 6 2" xfId="27154" xr:uid="{00000000-0005-0000-0000-000083010000}"/>
    <cellStyle name="Afjusted 4 3 2 6 3" xfId="45519" xr:uid="{00000000-0005-0000-0000-000083010000}"/>
    <cellStyle name="Afjusted 4 3 2 7" xfId="8666" xr:uid="{00000000-0005-0000-0000-000083010000}"/>
    <cellStyle name="Afjusted 4 3 2 7 2" xfId="27572" xr:uid="{00000000-0005-0000-0000-000083010000}"/>
    <cellStyle name="Afjusted 4 3 2 7 3" xfId="45935" xr:uid="{00000000-0005-0000-0000-000083010000}"/>
    <cellStyle name="Afjusted 4 3 2 8" xfId="18897" xr:uid="{00000000-0005-0000-0000-000083010000}"/>
    <cellStyle name="Afjusted 4 3 2 8 2" xfId="37306" xr:uid="{00000000-0005-0000-0000-000083010000}"/>
    <cellStyle name="Afjusted 4 3 2 9" xfId="8228" xr:uid="{00000000-0005-0000-0000-000083010000}"/>
    <cellStyle name="Afjusted 4 3 3" xfId="1410" xr:uid="{00000000-0005-0000-0000-000084010000}"/>
    <cellStyle name="Afjusted 4 3 3 10" xfId="12449" xr:uid="{00000000-0005-0000-0000-000084010000}"/>
    <cellStyle name="Afjusted 4 3 3 2" xfId="3443" xr:uid="{00000000-0005-0000-0000-000084010000}"/>
    <cellStyle name="Afjusted 4 3 3 2 2" xfId="5618" xr:uid="{00000000-0005-0000-0000-000084010000}"/>
    <cellStyle name="Afjusted 4 3 3 2 2 2" xfId="11982" xr:uid="{00000000-0005-0000-0000-000084010000}"/>
    <cellStyle name="Afjusted 4 3 3 2 2 2 2" xfId="30429" xr:uid="{00000000-0005-0000-0000-000084010000}"/>
    <cellStyle name="Afjusted 4 3 3 2 2 2 3" xfId="48792" xr:uid="{00000000-0005-0000-0000-000084010000}"/>
    <cellStyle name="Afjusted 4 3 3 2 2 3" xfId="16308" xr:uid="{00000000-0005-0000-0000-000084010000}"/>
    <cellStyle name="Afjusted 4 3 3 2 2 3 2" xfId="34680" xr:uid="{00000000-0005-0000-0000-000084010000}"/>
    <cellStyle name="Afjusted 4 3 3 2 2 3 3" xfId="53043" xr:uid="{00000000-0005-0000-0000-000084010000}"/>
    <cellStyle name="Afjusted 4 3 3 2 2 4" xfId="25427" xr:uid="{00000000-0005-0000-0000-000084010000}"/>
    <cellStyle name="Afjusted 4 3 3 2 2 4 2" xfId="43796" xr:uid="{00000000-0005-0000-0000-000084010000}"/>
    <cellStyle name="Afjusted 4 3 3 2 2 5" xfId="21748" xr:uid="{00000000-0005-0000-0000-000084010000}"/>
    <cellStyle name="Afjusted 4 3 3 2 2 6" xfId="40127" xr:uid="{00000000-0005-0000-0000-000084010000}"/>
    <cellStyle name="Afjusted 4 3 3 2 3" xfId="6442" xr:uid="{00000000-0005-0000-0000-000084010000}"/>
    <cellStyle name="Afjusted 4 3 3 2 3 2" xfId="12733" xr:uid="{00000000-0005-0000-0000-000084010000}"/>
    <cellStyle name="Afjusted 4 3 3 2 3 2 2" xfId="31159" xr:uid="{00000000-0005-0000-0000-000084010000}"/>
    <cellStyle name="Afjusted 4 3 3 2 3 2 3" xfId="49522" xr:uid="{00000000-0005-0000-0000-000084010000}"/>
    <cellStyle name="Afjusted 4 3 3 2 3 3" xfId="17044" xr:uid="{00000000-0005-0000-0000-000084010000}"/>
    <cellStyle name="Afjusted 4 3 3 2 3 3 2" xfId="35392" xr:uid="{00000000-0005-0000-0000-000084010000}"/>
    <cellStyle name="Afjusted 4 3 3 2 3 3 3" xfId="53755" xr:uid="{00000000-0005-0000-0000-000084010000}"/>
    <cellStyle name="Afjusted 4 3 3 2 3 4" xfId="26177" xr:uid="{00000000-0005-0000-0000-000084010000}"/>
    <cellStyle name="Afjusted 4 3 3 2 3 4 2" xfId="44546" xr:uid="{00000000-0005-0000-0000-000084010000}"/>
    <cellStyle name="Afjusted 4 3 3 2 3 5" xfId="22470" xr:uid="{00000000-0005-0000-0000-000084010000}"/>
    <cellStyle name="Afjusted 4 3 3 2 3 6" xfId="40839" xr:uid="{00000000-0005-0000-0000-000084010000}"/>
    <cellStyle name="Afjusted 4 3 3 2 4" xfId="10156" xr:uid="{00000000-0005-0000-0000-000084010000}"/>
    <cellStyle name="Afjusted 4 3 3 2 4 2" xfId="14213" xr:uid="{00000000-0005-0000-0000-000084010000}"/>
    <cellStyle name="Afjusted 4 3 3 2 4 2 2" xfId="32629" xr:uid="{00000000-0005-0000-0000-000084010000}"/>
    <cellStyle name="Afjusted 4 3 3 2 4 2 3" xfId="50992" xr:uid="{00000000-0005-0000-0000-000084010000}"/>
    <cellStyle name="Afjusted 4 3 3 2 4 3" xfId="28867" xr:uid="{00000000-0005-0000-0000-000084010000}"/>
    <cellStyle name="Afjusted 4 3 3 2 4 3 2" xfId="47230" xr:uid="{00000000-0005-0000-0000-000084010000}"/>
    <cellStyle name="Afjusted 4 3 3 2 4 4" xfId="19670" xr:uid="{00000000-0005-0000-0000-000084010000}"/>
    <cellStyle name="Afjusted 4 3 3 2 4 5" xfId="38076" xr:uid="{00000000-0005-0000-0000-000084010000}"/>
    <cellStyle name="Afjusted 4 3 3 2 5" xfId="9343" xr:uid="{00000000-0005-0000-0000-000084010000}"/>
    <cellStyle name="Afjusted 4 3 3 2 5 2" xfId="28062" xr:uid="{00000000-0005-0000-0000-000084010000}"/>
    <cellStyle name="Afjusted 4 3 3 2 5 3" xfId="46425" xr:uid="{00000000-0005-0000-0000-000084010000}"/>
    <cellStyle name="Afjusted 4 3 3 2 6" xfId="13399" xr:uid="{00000000-0005-0000-0000-000084010000}"/>
    <cellStyle name="Afjusted 4 3 3 2 6 2" xfId="31820" xr:uid="{00000000-0005-0000-0000-000084010000}"/>
    <cellStyle name="Afjusted 4 3 3 2 6 3" xfId="50183" xr:uid="{00000000-0005-0000-0000-000084010000}"/>
    <cellStyle name="Afjusted 4 3 3 2 7" xfId="23351" xr:uid="{00000000-0005-0000-0000-000084010000}"/>
    <cellStyle name="Afjusted 4 3 3 2 7 2" xfId="41720" xr:uid="{00000000-0005-0000-0000-000084010000}"/>
    <cellStyle name="Afjusted 4 3 3 2 8" xfId="18422" xr:uid="{00000000-0005-0000-0000-000084010000}"/>
    <cellStyle name="Afjusted 4 3 3 2 9" xfId="36828" xr:uid="{00000000-0005-0000-0000-000084010000}"/>
    <cellStyle name="Afjusted 4 3 3 3" xfId="4436" xr:uid="{00000000-0005-0000-0000-000084010000}"/>
    <cellStyle name="Afjusted 4 3 3 3 2" xfId="11035" xr:uid="{00000000-0005-0000-0000-000084010000}"/>
    <cellStyle name="Afjusted 4 3 3 3 2 2" xfId="29655" xr:uid="{00000000-0005-0000-0000-000084010000}"/>
    <cellStyle name="Afjusted 4 3 3 3 2 3" xfId="48018" xr:uid="{00000000-0005-0000-0000-000084010000}"/>
    <cellStyle name="Afjusted 4 3 3 3 3" xfId="15170" xr:uid="{00000000-0005-0000-0000-000084010000}"/>
    <cellStyle name="Afjusted 4 3 3 3 3 2" xfId="33567" xr:uid="{00000000-0005-0000-0000-000084010000}"/>
    <cellStyle name="Afjusted 4 3 3 3 3 3" xfId="51930" xr:uid="{00000000-0005-0000-0000-000084010000}"/>
    <cellStyle name="Afjusted 4 3 3 3 4" xfId="24298" xr:uid="{00000000-0005-0000-0000-000084010000}"/>
    <cellStyle name="Afjusted 4 3 3 3 4 2" xfId="42667" xr:uid="{00000000-0005-0000-0000-000084010000}"/>
    <cellStyle name="Afjusted 4 3 3 3 5" xfId="20621" xr:uid="{00000000-0005-0000-0000-000084010000}"/>
    <cellStyle name="Afjusted 4 3 3 3 6" xfId="39014" xr:uid="{00000000-0005-0000-0000-000084010000}"/>
    <cellStyle name="Afjusted 4 3 3 4" xfId="4038" xr:uid="{00000000-0005-0000-0000-000084010000}"/>
    <cellStyle name="Afjusted 4 3 3 4 2" xfId="10739" xr:uid="{00000000-0005-0000-0000-000084010000}"/>
    <cellStyle name="Afjusted 4 3 3 4 2 2" xfId="29442" xr:uid="{00000000-0005-0000-0000-000084010000}"/>
    <cellStyle name="Afjusted 4 3 3 4 2 3" xfId="47805" xr:uid="{00000000-0005-0000-0000-000084010000}"/>
    <cellStyle name="Afjusted 4 3 3 4 3" xfId="14799" xr:uid="{00000000-0005-0000-0000-000084010000}"/>
    <cellStyle name="Afjusted 4 3 3 4 3 2" xfId="33211" xr:uid="{00000000-0005-0000-0000-000084010000}"/>
    <cellStyle name="Afjusted 4 3 3 4 3 3" xfId="51574" xr:uid="{00000000-0005-0000-0000-000084010000}"/>
    <cellStyle name="Afjusted 4 3 3 4 4" xfId="23935" xr:uid="{00000000-0005-0000-0000-000084010000}"/>
    <cellStyle name="Afjusted 4 3 3 4 4 2" xfId="42304" xr:uid="{00000000-0005-0000-0000-000084010000}"/>
    <cellStyle name="Afjusted 4 3 3 4 5" xfId="20255" xr:uid="{00000000-0005-0000-0000-000084010000}"/>
    <cellStyle name="Afjusted 4 3 3 4 6" xfId="38658" xr:uid="{00000000-0005-0000-0000-000084010000}"/>
    <cellStyle name="Afjusted 4 3 3 5" xfId="9880" xr:uid="{00000000-0005-0000-0000-000084010000}"/>
    <cellStyle name="Afjusted 4 3 3 5 2" xfId="13938" xr:uid="{00000000-0005-0000-0000-000084010000}"/>
    <cellStyle name="Afjusted 4 3 3 5 2 2" xfId="32356" xr:uid="{00000000-0005-0000-0000-000084010000}"/>
    <cellStyle name="Afjusted 4 3 3 5 2 3" xfId="50719" xr:uid="{00000000-0005-0000-0000-000084010000}"/>
    <cellStyle name="Afjusted 4 3 3 5 3" xfId="28594" xr:uid="{00000000-0005-0000-0000-000084010000}"/>
    <cellStyle name="Afjusted 4 3 3 5 3 2" xfId="46957" xr:uid="{00000000-0005-0000-0000-000084010000}"/>
    <cellStyle name="Afjusted 4 3 3 5 4" xfId="19141" xr:uid="{00000000-0005-0000-0000-000084010000}"/>
    <cellStyle name="Afjusted 4 3 3 5 5" xfId="37549" xr:uid="{00000000-0005-0000-0000-000084010000}"/>
    <cellStyle name="Afjusted 4 3 3 6" xfId="7702" xr:uid="{00000000-0005-0000-0000-000084010000}"/>
    <cellStyle name="Afjusted 4 3 3 6 2" xfId="26984" xr:uid="{00000000-0005-0000-0000-000084010000}"/>
    <cellStyle name="Afjusted 4 3 3 6 3" xfId="45349" xr:uid="{00000000-0005-0000-0000-000084010000}"/>
    <cellStyle name="Afjusted 4 3 3 7" xfId="7430" xr:uid="{00000000-0005-0000-0000-000084010000}"/>
    <cellStyle name="Afjusted 4 3 3 7 2" xfId="26818" xr:uid="{00000000-0005-0000-0000-000084010000}"/>
    <cellStyle name="Afjusted 4 3 3 7 3" xfId="45186" xr:uid="{00000000-0005-0000-0000-000084010000}"/>
    <cellStyle name="Afjusted 4 3 3 8" xfId="19058" xr:uid="{00000000-0005-0000-0000-000084010000}"/>
    <cellStyle name="Afjusted 4 3 3 8 2" xfId="37467" xr:uid="{00000000-0005-0000-0000-000084010000}"/>
    <cellStyle name="Afjusted 4 3 3 9" xfId="8456" xr:uid="{00000000-0005-0000-0000-000084010000}"/>
    <cellStyle name="Afjusted 4 3 4" xfId="1362" xr:uid="{00000000-0005-0000-0000-000085010000}"/>
    <cellStyle name="Afjusted 4 3 4 10" xfId="20533" xr:uid="{00000000-0005-0000-0000-000085010000}"/>
    <cellStyle name="Afjusted 4 3 4 2" xfId="3404" xr:uid="{00000000-0005-0000-0000-000085010000}"/>
    <cellStyle name="Afjusted 4 3 4 2 2" xfId="5579" xr:uid="{00000000-0005-0000-0000-000085010000}"/>
    <cellStyle name="Afjusted 4 3 4 2 2 2" xfId="11943" xr:uid="{00000000-0005-0000-0000-000085010000}"/>
    <cellStyle name="Afjusted 4 3 4 2 2 2 2" xfId="30390" xr:uid="{00000000-0005-0000-0000-000085010000}"/>
    <cellStyle name="Afjusted 4 3 4 2 2 2 3" xfId="48753" xr:uid="{00000000-0005-0000-0000-000085010000}"/>
    <cellStyle name="Afjusted 4 3 4 2 2 3" xfId="16269" xr:uid="{00000000-0005-0000-0000-000085010000}"/>
    <cellStyle name="Afjusted 4 3 4 2 2 3 2" xfId="34641" xr:uid="{00000000-0005-0000-0000-000085010000}"/>
    <cellStyle name="Afjusted 4 3 4 2 2 3 3" xfId="53004" xr:uid="{00000000-0005-0000-0000-000085010000}"/>
    <cellStyle name="Afjusted 4 3 4 2 2 4" xfId="25388" xr:uid="{00000000-0005-0000-0000-000085010000}"/>
    <cellStyle name="Afjusted 4 3 4 2 2 4 2" xfId="43757" xr:uid="{00000000-0005-0000-0000-000085010000}"/>
    <cellStyle name="Afjusted 4 3 4 2 2 5" xfId="21709" xr:uid="{00000000-0005-0000-0000-000085010000}"/>
    <cellStyle name="Afjusted 4 3 4 2 2 6" xfId="40088" xr:uid="{00000000-0005-0000-0000-000085010000}"/>
    <cellStyle name="Afjusted 4 3 4 2 3" xfId="6403" xr:uid="{00000000-0005-0000-0000-000085010000}"/>
    <cellStyle name="Afjusted 4 3 4 2 3 2" xfId="12694" xr:uid="{00000000-0005-0000-0000-000085010000}"/>
    <cellStyle name="Afjusted 4 3 4 2 3 2 2" xfId="31120" xr:uid="{00000000-0005-0000-0000-000085010000}"/>
    <cellStyle name="Afjusted 4 3 4 2 3 2 3" xfId="49483" xr:uid="{00000000-0005-0000-0000-000085010000}"/>
    <cellStyle name="Afjusted 4 3 4 2 3 3" xfId="17005" xr:uid="{00000000-0005-0000-0000-000085010000}"/>
    <cellStyle name="Afjusted 4 3 4 2 3 3 2" xfId="35353" xr:uid="{00000000-0005-0000-0000-000085010000}"/>
    <cellStyle name="Afjusted 4 3 4 2 3 3 3" xfId="53716" xr:uid="{00000000-0005-0000-0000-000085010000}"/>
    <cellStyle name="Afjusted 4 3 4 2 3 4" xfId="26138" xr:uid="{00000000-0005-0000-0000-000085010000}"/>
    <cellStyle name="Afjusted 4 3 4 2 3 4 2" xfId="44507" xr:uid="{00000000-0005-0000-0000-000085010000}"/>
    <cellStyle name="Afjusted 4 3 4 2 3 5" xfId="22431" xr:uid="{00000000-0005-0000-0000-000085010000}"/>
    <cellStyle name="Afjusted 4 3 4 2 3 6" xfId="40800" xr:uid="{00000000-0005-0000-0000-000085010000}"/>
    <cellStyle name="Afjusted 4 3 4 2 4" xfId="10117" xr:uid="{00000000-0005-0000-0000-000085010000}"/>
    <cellStyle name="Afjusted 4 3 4 2 4 2" xfId="14174" xr:uid="{00000000-0005-0000-0000-000085010000}"/>
    <cellStyle name="Afjusted 4 3 4 2 4 2 2" xfId="32590" xr:uid="{00000000-0005-0000-0000-000085010000}"/>
    <cellStyle name="Afjusted 4 3 4 2 4 2 3" xfId="50953" xr:uid="{00000000-0005-0000-0000-000085010000}"/>
    <cellStyle name="Afjusted 4 3 4 2 4 3" xfId="28828" xr:uid="{00000000-0005-0000-0000-000085010000}"/>
    <cellStyle name="Afjusted 4 3 4 2 4 3 2" xfId="47191" xr:uid="{00000000-0005-0000-0000-000085010000}"/>
    <cellStyle name="Afjusted 4 3 4 2 4 4" xfId="19631" xr:uid="{00000000-0005-0000-0000-000085010000}"/>
    <cellStyle name="Afjusted 4 3 4 2 4 5" xfId="38037" xr:uid="{00000000-0005-0000-0000-000085010000}"/>
    <cellStyle name="Afjusted 4 3 4 2 5" xfId="9304" xr:uid="{00000000-0005-0000-0000-000085010000}"/>
    <cellStyle name="Afjusted 4 3 4 2 5 2" xfId="28023" xr:uid="{00000000-0005-0000-0000-000085010000}"/>
    <cellStyle name="Afjusted 4 3 4 2 5 3" xfId="46386" xr:uid="{00000000-0005-0000-0000-000085010000}"/>
    <cellStyle name="Afjusted 4 3 4 2 6" xfId="13360" xr:uid="{00000000-0005-0000-0000-000085010000}"/>
    <cellStyle name="Afjusted 4 3 4 2 6 2" xfId="31781" xr:uid="{00000000-0005-0000-0000-000085010000}"/>
    <cellStyle name="Afjusted 4 3 4 2 6 3" xfId="50144" xr:uid="{00000000-0005-0000-0000-000085010000}"/>
    <cellStyle name="Afjusted 4 3 4 2 7" xfId="23312" xr:uid="{00000000-0005-0000-0000-000085010000}"/>
    <cellStyle name="Afjusted 4 3 4 2 7 2" xfId="41681" xr:uid="{00000000-0005-0000-0000-000085010000}"/>
    <cellStyle name="Afjusted 4 3 4 2 8" xfId="18380" xr:uid="{00000000-0005-0000-0000-000085010000}"/>
    <cellStyle name="Afjusted 4 3 4 2 9" xfId="36786" xr:uid="{00000000-0005-0000-0000-000085010000}"/>
    <cellStyle name="Afjusted 4 3 4 3" xfId="4395" xr:uid="{00000000-0005-0000-0000-000085010000}"/>
    <cellStyle name="Afjusted 4 3 4 3 2" xfId="10994" xr:uid="{00000000-0005-0000-0000-000085010000}"/>
    <cellStyle name="Afjusted 4 3 4 3 2 2" xfId="29616" xr:uid="{00000000-0005-0000-0000-000085010000}"/>
    <cellStyle name="Afjusted 4 3 4 3 2 3" xfId="47979" xr:uid="{00000000-0005-0000-0000-000085010000}"/>
    <cellStyle name="Afjusted 4 3 4 3 3" xfId="15130" xr:uid="{00000000-0005-0000-0000-000085010000}"/>
    <cellStyle name="Afjusted 4 3 4 3 3 2" xfId="33527" xr:uid="{00000000-0005-0000-0000-000085010000}"/>
    <cellStyle name="Afjusted 4 3 4 3 3 3" xfId="51890" xr:uid="{00000000-0005-0000-0000-000085010000}"/>
    <cellStyle name="Afjusted 4 3 4 3 4" xfId="24258" xr:uid="{00000000-0005-0000-0000-000085010000}"/>
    <cellStyle name="Afjusted 4 3 4 3 4 2" xfId="42627" xr:uid="{00000000-0005-0000-0000-000085010000}"/>
    <cellStyle name="Afjusted 4 3 4 3 5" xfId="20581" xr:uid="{00000000-0005-0000-0000-000085010000}"/>
    <cellStyle name="Afjusted 4 3 4 3 6" xfId="38974" xr:uid="{00000000-0005-0000-0000-000085010000}"/>
    <cellStyle name="Afjusted 4 3 4 4" xfId="5060" xr:uid="{00000000-0005-0000-0000-000085010000}"/>
    <cellStyle name="Afjusted 4 3 4 4 2" xfId="11582" xr:uid="{00000000-0005-0000-0000-000085010000}"/>
    <cellStyle name="Afjusted 4 3 4 4 2 2" xfId="30150" xr:uid="{00000000-0005-0000-0000-000085010000}"/>
    <cellStyle name="Afjusted 4 3 4 4 2 3" xfId="48513" xr:uid="{00000000-0005-0000-0000-000085010000}"/>
    <cellStyle name="Afjusted 4 3 4 4 3" xfId="15773" xr:uid="{00000000-0005-0000-0000-000085010000}"/>
    <cellStyle name="Afjusted 4 3 4 4 3 2" xfId="34160" xr:uid="{00000000-0005-0000-0000-000085010000}"/>
    <cellStyle name="Afjusted 4 3 4 4 3 3" xfId="52523" xr:uid="{00000000-0005-0000-0000-000085010000}"/>
    <cellStyle name="Afjusted 4 3 4 4 4" xfId="24896" xr:uid="{00000000-0005-0000-0000-000085010000}"/>
    <cellStyle name="Afjusted 4 3 4 4 4 2" xfId="43265" xr:uid="{00000000-0005-0000-0000-000085010000}"/>
    <cellStyle name="Afjusted 4 3 4 4 5" xfId="21221" xr:uid="{00000000-0005-0000-0000-000085010000}"/>
    <cellStyle name="Afjusted 4 3 4 4 6" xfId="39607" xr:uid="{00000000-0005-0000-0000-000085010000}"/>
    <cellStyle name="Afjusted 4 3 4 5" xfId="9277" xr:uid="{00000000-0005-0000-0000-000085010000}"/>
    <cellStyle name="Afjusted 4 3 4 5 2" xfId="13333" xr:uid="{00000000-0005-0000-0000-000085010000}"/>
    <cellStyle name="Afjusted 4 3 4 5 2 2" xfId="31754" xr:uid="{00000000-0005-0000-0000-000085010000}"/>
    <cellStyle name="Afjusted 4 3 4 5 2 3" xfId="50117" xr:uid="{00000000-0005-0000-0000-000085010000}"/>
    <cellStyle name="Afjusted 4 3 4 5 3" xfId="27996" xr:uid="{00000000-0005-0000-0000-000085010000}"/>
    <cellStyle name="Afjusted 4 3 4 5 3 2" xfId="46359" xr:uid="{00000000-0005-0000-0000-000085010000}"/>
    <cellStyle name="Afjusted 4 3 4 5 4" xfId="18343" xr:uid="{00000000-0005-0000-0000-000085010000}"/>
    <cellStyle name="Afjusted 4 3 4 5 5" xfId="36749" xr:uid="{00000000-0005-0000-0000-000085010000}"/>
    <cellStyle name="Afjusted 4 3 4 6" xfId="7657" xr:uid="{00000000-0005-0000-0000-000085010000}"/>
    <cellStyle name="Afjusted 4 3 4 6 2" xfId="26941" xr:uid="{00000000-0005-0000-0000-000085010000}"/>
    <cellStyle name="Afjusted 4 3 4 6 3" xfId="45306" xr:uid="{00000000-0005-0000-0000-000085010000}"/>
    <cellStyle name="Afjusted 4 3 4 7" xfId="12556" xr:uid="{00000000-0005-0000-0000-000085010000}"/>
    <cellStyle name="Afjusted 4 3 4 7 2" xfId="30988" xr:uid="{00000000-0005-0000-0000-000085010000}"/>
    <cellStyle name="Afjusted 4 3 4 7 3" xfId="49351" xr:uid="{00000000-0005-0000-0000-000085010000}"/>
    <cellStyle name="Afjusted 4 3 4 8" xfId="19427" xr:uid="{00000000-0005-0000-0000-000085010000}"/>
    <cellStyle name="Afjusted 4 3 4 8 2" xfId="37833" xr:uid="{00000000-0005-0000-0000-000085010000}"/>
    <cellStyle name="Afjusted 4 3 4 9" xfId="7232" xr:uid="{00000000-0005-0000-0000-000085010000}"/>
    <cellStyle name="Afjusted 4 3 5" xfId="3526" xr:uid="{00000000-0005-0000-0000-000082010000}"/>
    <cellStyle name="Afjusted 4 3 5 2" xfId="5700" xr:uid="{00000000-0005-0000-0000-000082010000}"/>
    <cellStyle name="Afjusted 4 3 5 2 2" xfId="12064" xr:uid="{00000000-0005-0000-0000-000082010000}"/>
    <cellStyle name="Afjusted 4 3 5 2 2 2" xfId="30511" xr:uid="{00000000-0005-0000-0000-000082010000}"/>
    <cellStyle name="Afjusted 4 3 5 2 2 3" xfId="48874" xr:uid="{00000000-0005-0000-0000-000082010000}"/>
    <cellStyle name="Afjusted 4 3 5 2 3" xfId="16390" xr:uid="{00000000-0005-0000-0000-000082010000}"/>
    <cellStyle name="Afjusted 4 3 5 2 3 2" xfId="34762" xr:uid="{00000000-0005-0000-0000-000082010000}"/>
    <cellStyle name="Afjusted 4 3 5 2 3 3" xfId="53125" xr:uid="{00000000-0005-0000-0000-000082010000}"/>
    <cellStyle name="Afjusted 4 3 5 2 4" xfId="25509" xr:uid="{00000000-0005-0000-0000-000082010000}"/>
    <cellStyle name="Afjusted 4 3 5 2 4 2" xfId="43878" xr:uid="{00000000-0005-0000-0000-000082010000}"/>
    <cellStyle name="Afjusted 4 3 5 2 5" xfId="21830" xr:uid="{00000000-0005-0000-0000-000082010000}"/>
    <cellStyle name="Afjusted 4 3 5 2 6" xfId="40209" xr:uid="{00000000-0005-0000-0000-000082010000}"/>
    <cellStyle name="Afjusted 4 3 5 3" xfId="6525" xr:uid="{00000000-0005-0000-0000-000082010000}"/>
    <cellStyle name="Afjusted 4 3 5 3 2" xfId="12816" xr:uid="{00000000-0005-0000-0000-000082010000}"/>
    <cellStyle name="Afjusted 4 3 5 3 2 2" xfId="31242" xr:uid="{00000000-0005-0000-0000-000082010000}"/>
    <cellStyle name="Afjusted 4 3 5 3 2 3" xfId="49605" xr:uid="{00000000-0005-0000-0000-000082010000}"/>
    <cellStyle name="Afjusted 4 3 5 3 3" xfId="17127" xr:uid="{00000000-0005-0000-0000-000082010000}"/>
    <cellStyle name="Afjusted 4 3 5 3 3 2" xfId="35475" xr:uid="{00000000-0005-0000-0000-000082010000}"/>
    <cellStyle name="Afjusted 4 3 5 3 3 3" xfId="53838" xr:uid="{00000000-0005-0000-0000-000082010000}"/>
    <cellStyle name="Afjusted 4 3 5 3 4" xfId="26260" xr:uid="{00000000-0005-0000-0000-000082010000}"/>
    <cellStyle name="Afjusted 4 3 5 3 4 2" xfId="44629" xr:uid="{00000000-0005-0000-0000-000082010000}"/>
    <cellStyle name="Afjusted 4 3 5 3 5" xfId="22553" xr:uid="{00000000-0005-0000-0000-000082010000}"/>
    <cellStyle name="Afjusted 4 3 5 3 6" xfId="40922" xr:uid="{00000000-0005-0000-0000-000082010000}"/>
    <cellStyle name="Afjusted 4 3 5 4" xfId="10239" xr:uid="{00000000-0005-0000-0000-000082010000}"/>
    <cellStyle name="Afjusted 4 3 5 4 2" xfId="14296" xr:uid="{00000000-0005-0000-0000-000082010000}"/>
    <cellStyle name="Afjusted 4 3 5 4 2 2" xfId="32712" xr:uid="{00000000-0005-0000-0000-000082010000}"/>
    <cellStyle name="Afjusted 4 3 5 4 2 3" xfId="51075" xr:uid="{00000000-0005-0000-0000-000082010000}"/>
    <cellStyle name="Afjusted 4 3 5 4 3" xfId="28950" xr:uid="{00000000-0005-0000-0000-000082010000}"/>
    <cellStyle name="Afjusted 4 3 5 4 3 2" xfId="47313" xr:uid="{00000000-0005-0000-0000-000082010000}"/>
    <cellStyle name="Afjusted 4 3 5 4 4" xfId="19753" xr:uid="{00000000-0005-0000-0000-000082010000}"/>
    <cellStyle name="Afjusted 4 3 5 4 5" xfId="38159" xr:uid="{00000000-0005-0000-0000-000082010000}"/>
    <cellStyle name="Afjusted 4 3 5 5" xfId="9435" xr:uid="{00000000-0005-0000-0000-000082010000}"/>
    <cellStyle name="Afjusted 4 3 5 5 2" xfId="28152" xr:uid="{00000000-0005-0000-0000-000082010000}"/>
    <cellStyle name="Afjusted 4 3 5 5 3" xfId="46515" xr:uid="{00000000-0005-0000-0000-000082010000}"/>
    <cellStyle name="Afjusted 4 3 5 6" xfId="13492" xr:uid="{00000000-0005-0000-0000-000082010000}"/>
    <cellStyle name="Afjusted 4 3 5 6 2" xfId="31913" xr:uid="{00000000-0005-0000-0000-000082010000}"/>
    <cellStyle name="Afjusted 4 3 5 6 3" xfId="50276" xr:uid="{00000000-0005-0000-0000-000082010000}"/>
    <cellStyle name="Afjusted 4 3 5 7" xfId="23434" xr:uid="{00000000-0005-0000-0000-000082010000}"/>
    <cellStyle name="Afjusted 4 3 5 7 2" xfId="41803" xr:uid="{00000000-0005-0000-0000-000082010000}"/>
    <cellStyle name="Afjusted 4 3 5 8" xfId="18520" xr:uid="{00000000-0005-0000-0000-000082010000}"/>
    <cellStyle name="Afjusted 4 3 5 9" xfId="36929" xr:uid="{00000000-0005-0000-0000-000082010000}"/>
    <cellStyle name="Afjusted 4 3 6" xfId="4530" xr:uid="{00000000-0005-0000-0000-000082010000}"/>
    <cellStyle name="Afjusted 4 3 6 2" xfId="11121" xr:uid="{00000000-0005-0000-0000-000082010000}"/>
    <cellStyle name="Afjusted 4 3 6 2 2" xfId="29739" xr:uid="{00000000-0005-0000-0000-000082010000}"/>
    <cellStyle name="Afjusted 4 3 6 2 3" xfId="48102" xr:uid="{00000000-0005-0000-0000-000082010000}"/>
    <cellStyle name="Afjusted 4 3 6 3" xfId="15259" xr:uid="{00000000-0005-0000-0000-000082010000}"/>
    <cellStyle name="Afjusted 4 3 6 3 2" xfId="33653" xr:uid="{00000000-0005-0000-0000-000082010000}"/>
    <cellStyle name="Afjusted 4 3 6 3 3" xfId="52016" xr:uid="{00000000-0005-0000-0000-000082010000}"/>
    <cellStyle name="Afjusted 4 3 6 4" xfId="24384" xr:uid="{00000000-0005-0000-0000-000082010000}"/>
    <cellStyle name="Afjusted 4 3 6 4 2" xfId="42753" xr:uid="{00000000-0005-0000-0000-000082010000}"/>
    <cellStyle name="Afjusted 4 3 6 5" xfId="20708" xr:uid="{00000000-0005-0000-0000-000082010000}"/>
    <cellStyle name="Afjusted 4 3 6 6" xfId="39100" xr:uid="{00000000-0005-0000-0000-000082010000}"/>
    <cellStyle name="Afjusted 4 3 7" xfId="5040" xr:uid="{00000000-0005-0000-0000-000082010000}"/>
    <cellStyle name="Afjusted 4 3 7 2" xfId="11563" xr:uid="{00000000-0005-0000-0000-000082010000}"/>
    <cellStyle name="Afjusted 4 3 7 2 2" xfId="30135" xr:uid="{00000000-0005-0000-0000-000082010000}"/>
    <cellStyle name="Afjusted 4 3 7 2 3" xfId="48498" xr:uid="{00000000-0005-0000-0000-000082010000}"/>
    <cellStyle name="Afjusted 4 3 7 3" xfId="15753" xr:uid="{00000000-0005-0000-0000-000082010000}"/>
    <cellStyle name="Afjusted 4 3 7 3 2" xfId="34141" xr:uid="{00000000-0005-0000-0000-000082010000}"/>
    <cellStyle name="Afjusted 4 3 7 3 3" xfId="52504" xr:uid="{00000000-0005-0000-0000-000082010000}"/>
    <cellStyle name="Afjusted 4 3 7 4" xfId="24877" xr:uid="{00000000-0005-0000-0000-000082010000}"/>
    <cellStyle name="Afjusted 4 3 7 4 2" xfId="43246" xr:uid="{00000000-0005-0000-0000-000082010000}"/>
    <cellStyle name="Afjusted 4 3 7 5" xfId="21201" xr:uid="{00000000-0005-0000-0000-000082010000}"/>
    <cellStyle name="Afjusted 4 3 7 6" xfId="39588" xr:uid="{00000000-0005-0000-0000-000082010000}"/>
    <cellStyle name="Afjusted 4 3 8" xfId="7799" xr:uid="{00000000-0005-0000-0000-000082010000}"/>
    <cellStyle name="Afjusted 4 3 8 2" xfId="27070" xr:uid="{00000000-0005-0000-0000-000082010000}"/>
    <cellStyle name="Afjusted 4 3 8 3" xfId="45435" xr:uid="{00000000-0005-0000-0000-000082010000}"/>
    <cellStyle name="Afjusted 4 3 9" xfId="7197" xr:uid="{00000000-0005-0000-0000-000082010000}"/>
    <cellStyle name="Afjusted 4 3 9 2" xfId="26741" xr:uid="{00000000-0005-0000-0000-000082010000}"/>
    <cellStyle name="Afjusted 4 3 9 3" xfId="45109" xr:uid="{00000000-0005-0000-0000-000082010000}"/>
    <cellStyle name="Afjusted 4 4" xfId="1496" xr:uid="{00000000-0005-0000-0000-000086010000}"/>
    <cellStyle name="Afjusted 4 4 2" xfId="3506" xr:uid="{00000000-0005-0000-0000-000086010000}"/>
    <cellStyle name="Afjusted 4 4 2 2" xfId="5680" xr:uid="{00000000-0005-0000-0000-000086010000}"/>
    <cellStyle name="Afjusted 4 4 2 2 2" xfId="12044" xr:uid="{00000000-0005-0000-0000-000086010000}"/>
    <cellStyle name="Afjusted 4 4 2 2 2 2" xfId="30491" xr:uid="{00000000-0005-0000-0000-000086010000}"/>
    <cellStyle name="Afjusted 4 4 2 2 2 3" xfId="48854" xr:uid="{00000000-0005-0000-0000-000086010000}"/>
    <cellStyle name="Afjusted 4 4 2 2 3" xfId="16370" xr:uid="{00000000-0005-0000-0000-000086010000}"/>
    <cellStyle name="Afjusted 4 4 2 2 3 2" xfId="34742" xr:uid="{00000000-0005-0000-0000-000086010000}"/>
    <cellStyle name="Afjusted 4 4 2 2 3 3" xfId="53105" xr:uid="{00000000-0005-0000-0000-000086010000}"/>
    <cellStyle name="Afjusted 4 4 2 2 4" xfId="25489" xr:uid="{00000000-0005-0000-0000-000086010000}"/>
    <cellStyle name="Afjusted 4 4 2 2 4 2" xfId="43858" xr:uid="{00000000-0005-0000-0000-000086010000}"/>
    <cellStyle name="Afjusted 4 4 2 2 5" xfId="21810" xr:uid="{00000000-0005-0000-0000-000086010000}"/>
    <cellStyle name="Afjusted 4 4 2 2 6" xfId="40189" xr:uid="{00000000-0005-0000-0000-000086010000}"/>
    <cellStyle name="Afjusted 4 4 2 3" xfId="6505" xr:uid="{00000000-0005-0000-0000-000086010000}"/>
    <cellStyle name="Afjusted 4 4 2 3 2" xfId="12796" xr:uid="{00000000-0005-0000-0000-000086010000}"/>
    <cellStyle name="Afjusted 4 4 2 3 2 2" xfId="31222" xr:uid="{00000000-0005-0000-0000-000086010000}"/>
    <cellStyle name="Afjusted 4 4 2 3 2 3" xfId="49585" xr:uid="{00000000-0005-0000-0000-000086010000}"/>
    <cellStyle name="Afjusted 4 4 2 3 3" xfId="17107" xr:uid="{00000000-0005-0000-0000-000086010000}"/>
    <cellStyle name="Afjusted 4 4 2 3 3 2" xfId="35455" xr:uid="{00000000-0005-0000-0000-000086010000}"/>
    <cellStyle name="Afjusted 4 4 2 3 3 3" xfId="53818" xr:uid="{00000000-0005-0000-0000-000086010000}"/>
    <cellStyle name="Afjusted 4 4 2 3 4" xfId="26240" xr:uid="{00000000-0005-0000-0000-000086010000}"/>
    <cellStyle name="Afjusted 4 4 2 3 4 2" xfId="44609" xr:uid="{00000000-0005-0000-0000-000086010000}"/>
    <cellStyle name="Afjusted 4 4 2 3 5" xfId="22533" xr:uid="{00000000-0005-0000-0000-000086010000}"/>
    <cellStyle name="Afjusted 4 4 2 3 6" xfId="40902" xr:uid="{00000000-0005-0000-0000-000086010000}"/>
    <cellStyle name="Afjusted 4 4 2 4" xfId="10219" xr:uid="{00000000-0005-0000-0000-000086010000}"/>
    <cellStyle name="Afjusted 4 4 2 4 2" xfId="14276" xr:uid="{00000000-0005-0000-0000-000086010000}"/>
    <cellStyle name="Afjusted 4 4 2 4 2 2" xfId="32692" xr:uid="{00000000-0005-0000-0000-000086010000}"/>
    <cellStyle name="Afjusted 4 4 2 4 2 3" xfId="51055" xr:uid="{00000000-0005-0000-0000-000086010000}"/>
    <cellStyle name="Afjusted 4 4 2 4 3" xfId="28930" xr:uid="{00000000-0005-0000-0000-000086010000}"/>
    <cellStyle name="Afjusted 4 4 2 4 3 2" xfId="47293" xr:uid="{00000000-0005-0000-0000-000086010000}"/>
    <cellStyle name="Afjusted 4 4 2 4 4" xfId="19733" xr:uid="{00000000-0005-0000-0000-000086010000}"/>
    <cellStyle name="Afjusted 4 4 2 4 5" xfId="38139" xr:uid="{00000000-0005-0000-0000-000086010000}"/>
    <cellStyle name="Afjusted 4 4 2 5" xfId="9414" xr:uid="{00000000-0005-0000-0000-000086010000}"/>
    <cellStyle name="Afjusted 4 4 2 5 2" xfId="28131" xr:uid="{00000000-0005-0000-0000-000086010000}"/>
    <cellStyle name="Afjusted 4 4 2 5 3" xfId="46494" xr:uid="{00000000-0005-0000-0000-000086010000}"/>
    <cellStyle name="Afjusted 4 4 2 6" xfId="13471" xr:uid="{00000000-0005-0000-0000-000086010000}"/>
    <cellStyle name="Afjusted 4 4 2 6 2" xfId="31892" xr:uid="{00000000-0005-0000-0000-000086010000}"/>
    <cellStyle name="Afjusted 4 4 2 6 3" xfId="50255" xr:uid="{00000000-0005-0000-0000-000086010000}"/>
    <cellStyle name="Afjusted 4 4 2 7" xfId="23414" xr:uid="{00000000-0005-0000-0000-000086010000}"/>
    <cellStyle name="Afjusted 4 4 2 7 2" xfId="41783" xr:uid="{00000000-0005-0000-0000-000086010000}"/>
    <cellStyle name="Afjusted 4 4 2 8" xfId="18495" xr:uid="{00000000-0005-0000-0000-000086010000}"/>
    <cellStyle name="Afjusted 4 4 2 9" xfId="36904" xr:uid="{00000000-0005-0000-0000-000086010000}"/>
    <cellStyle name="Afjusted 4 4 3" xfId="4508" xr:uid="{00000000-0005-0000-0000-000086010000}"/>
    <cellStyle name="Afjusted 4 4 3 2" xfId="11101" xr:uid="{00000000-0005-0000-0000-000086010000}"/>
    <cellStyle name="Afjusted 4 4 3 2 2" xfId="29719" xr:uid="{00000000-0005-0000-0000-000086010000}"/>
    <cellStyle name="Afjusted 4 4 3 2 3" xfId="48082" xr:uid="{00000000-0005-0000-0000-000086010000}"/>
    <cellStyle name="Afjusted 4 4 3 3" xfId="15239" xr:uid="{00000000-0005-0000-0000-000086010000}"/>
    <cellStyle name="Afjusted 4 4 3 3 2" xfId="33633" xr:uid="{00000000-0005-0000-0000-000086010000}"/>
    <cellStyle name="Afjusted 4 4 3 3 3" xfId="51996" xr:uid="{00000000-0005-0000-0000-000086010000}"/>
    <cellStyle name="Afjusted 4 4 3 4" xfId="24364" xr:uid="{00000000-0005-0000-0000-000086010000}"/>
    <cellStyle name="Afjusted 4 4 3 4 2" xfId="42733" xr:uid="{00000000-0005-0000-0000-000086010000}"/>
    <cellStyle name="Afjusted 4 4 3 5" xfId="20688" xr:uid="{00000000-0005-0000-0000-000086010000}"/>
    <cellStyle name="Afjusted 4 4 3 6" xfId="39080" xr:uid="{00000000-0005-0000-0000-000086010000}"/>
    <cellStyle name="Afjusted 4 4 4" xfId="4000" xr:uid="{00000000-0005-0000-0000-000086010000}"/>
    <cellStyle name="Afjusted 4 4 4 2" xfId="10704" xr:uid="{00000000-0005-0000-0000-000086010000}"/>
    <cellStyle name="Afjusted 4 4 4 2 2" xfId="29408" xr:uid="{00000000-0005-0000-0000-000086010000}"/>
    <cellStyle name="Afjusted 4 4 4 2 3" xfId="47771" xr:uid="{00000000-0005-0000-0000-000086010000}"/>
    <cellStyle name="Afjusted 4 4 4 3" xfId="14761" xr:uid="{00000000-0005-0000-0000-000086010000}"/>
    <cellStyle name="Afjusted 4 4 4 3 2" xfId="33173" xr:uid="{00000000-0005-0000-0000-000086010000}"/>
    <cellStyle name="Afjusted 4 4 4 3 3" xfId="51536" xr:uid="{00000000-0005-0000-0000-000086010000}"/>
    <cellStyle name="Afjusted 4 4 4 4" xfId="23897" xr:uid="{00000000-0005-0000-0000-000086010000}"/>
    <cellStyle name="Afjusted 4 4 4 4 2" xfId="42266" xr:uid="{00000000-0005-0000-0000-000086010000}"/>
    <cellStyle name="Afjusted 4 4 4 5" xfId="20217" xr:uid="{00000000-0005-0000-0000-000086010000}"/>
    <cellStyle name="Afjusted 4 4 4 6" xfId="38620" xr:uid="{00000000-0005-0000-0000-000086010000}"/>
    <cellStyle name="Afjusted 4 4 5" xfId="9204" xr:uid="{00000000-0005-0000-0000-000086010000}"/>
    <cellStyle name="Afjusted 4 4 5 2" xfId="13262" xr:uid="{00000000-0005-0000-0000-000086010000}"/>
    <cellStyle name="Afjusted 4 4 5 2 2" xfId="31683" xr:uid="{00000000-0005-0000-0000-000086010000}"/>
    <cellStyle name="Afjusted 4 4 5 2 3" xfId="50046" xr:uid="{00000000-0005-0000-0000-000086010000}"/>
    <cellStyle name="Afjusted 4 4 5 3" xfId="27925" xr:uid="{00000000-0005-0000-0000-000086010000}"/>
    <cellStyle name="Afjusted 4 4 5 3 2" xfId="46288" xr:uid="{00000000-0005-0000-0000-000086010000}"/>
    <cellStyle name="Afjusted 4 4 5 4" xfId="18228" xr:uid="{00000000-0005-0000-0000-000086010000}"/>
    <cellStyle name="Afjusted 4 4 5 5" xfId="36634" xr:uid="{00000000-0005-0000-0000-000086010000}"/>
    <cellStyle name="Afjusted 4 4 6" xfId="7776" xr:uid="{00000000-0005-0000-0000-000086010000}"/>
    <cellStyle name="Afjusted 4 4 6 2" xfId="27049" xr:uid="{00000000-0005-0000-0000-000086010000}"/>
    <cellStyle name="Afjusted 4 4 6 3" xfId="45414" xr:uid="{00000000-0005-0000-0000-000086010000}"/>
    <cellStyle name="Afjusted 4 4 7" xfId="18008" xr:uid="{00000000-0005-0000-0000-000086010000}"/>
    <cellStyle name="Afjusted 4 4 7 2" xfId="36416" xr:uid="{00000000-0005-0000-0000-000086010000}"/>
    <cellStyle name="Afjusted 4 4 8" xfId="4913" xr:uid="{00000000-0005-0000-0000-000086010000}"/>
    <cellStyle name="Afjusted 4 4 9" xfId="8700" xr:uid="{00000000-0005-0000-0000-000086010000}"/>
    <cellStyle name="Afjusted 4 5" xfId="1422" xr:uid="{00000000-0005-0000-0000-000087010000}"/>
    <cellStyle name="Afjusted 4 5 10" xfId="8969" xr:uid="{00000000-0005-0000-0000-000087010000}"/>
    <cellStyle name="Afjusted 4 5 2" xfId="3453" xr:uid="{00000000-0005-0000-0000-000087010000}"/>
    <cellStyle name="Afjusted 4 5 2 2" xfId="5628" xr:uid="{00000000-0005-0000-0000-000087010000}"/>
    <cellStyle name="Afjusted 4 5 2 2 2" xfId="11992" xr:uid="{00000000-0005-0000-0000-000087010000}"/>
    <cellStyle name="Afjusted 4 5 2 2 2 2" xfId="30439" xr:uid="{00000000-0005-0000-0000-000087010000}"/>
    <cellStyle name="Afjusted 4 5 2 2 2 3" xfId="48802" xr:uid="{00000000-0005-0000-0000-000087010000}"/>
    <cellStyle name="Afjusted 4 5 2 2 3" xfId="16318" xr:uid="{00000000-0005-0000-0000-000087010000}"/>
    <cellStyle name="Afjusted 4 5 2 2 3 2" xfId="34690" xr:uid="{00000000-0005-0000-0000-000087010000}"/>
    <cellStyle name="Afjusted 4 5 2 2 3 3" xfId="53053" xr:uid="{00000000-0005-0000-0000-000087010000}"/>
    <cellStyle name="Afjusted 4 5 2 2 4" xfId="25437" xr:uid="{00000000-0005-0000-0000-000087010000}"/>
    <cellStyle name="Afjusted 4 5 2 2 4 2" xfId="43806" xr:uid="{00000000-0005-0000-0000-000087010000}"/>
    <cellStyle name="Afjusted 4 5 2 2 5" xfId="21758" xr:uid="{00000000-0005-0000-0000-000087010000}"/>
    <cellStyle name="Afjusted 4 5 2 2 6" xfId="40137" xr:uid="{00000000-0005-0000-0000-000087010000}"/>
    <cellStyle name="Afjusted 4 5 2 3" xfId="6452" xr:uid="{00000000-0005-0000-0000-000087010000}"/>
    <cellStyle name="Afjusted 4 5 2 3 2" xfId="12743" xr:uid="{00000000-0005-0000-0000-000087010000}"/>
    <cellStyle name="Afjusted 4 5 2 3 2 2" xfId="31169" xr:uid="{00000000-0005-0000-0000-000087010000}"/>
    <cellStyle name="Afjusted 4 5 2 3 2 3" xfId="49532" xr:uid="{00000000-0005-0000-0000-000087010000}"/>
    <cellStyle name="Afjusted 4 5 2 3 3" xfId="17054" xr:uid="{00000000-0005-0000-0000-000087010000}"/>
    <cellStyle name="Afjusted 4 5 2 3 3 2" xfId="35402" xr:uid="{00000000-0005-0000-0000-000087010000}"/>
    <cellStyle name="Afjusted 4 5 2 3 3 3" xfId="53765" xr:uid="{00000000-0005-0000-0000-000087010000}"/>
    <cellStyle name="Afjusted 4 5 2 3 4" xfId="26187" xr:uid="{00000000-0005-0000-0000-000087010000}"/>
    <cellStyle name="Afjusted 4 5 2 3 4 2" xfId="44556" xr:uid="{00000000-0005-0000-0000-000087010000}"/>
    <cellStyle name="Afjusted 4 5 2 3 5" xfId="22480" xr:uid="{00000000-0005-0000-0000-000087010000}"/>
    <cellStyle name="Afjusted 4 5 2 3 6" xfId="40849" xr:uid="{00000000-0005-0000-0000-000087010000}"/>
    <cellStyle name="Afjusted 4 5 2 4" xfId="10166" xr:uid="{00000000-0005-0000-0000-000087010000}"/>
    <cellStyle name="Afjusted 4 5 2 4 2" xfId="14223" xr:uid="{00000000-0005-0000-0000-000087010000}"/>
    <cellStyle name="Afjusted 4 5 2 4 2 2" xfId="32639" xr:uid="{00000000-0005-0000-0000-000087010000}"/>
    <cellStyle name="Afjusted 4 5 2 4 2 3" xfId="51002" xr:uid="{00000000-0005-0000-0000-000087010000}"/>
    <cellStyle name="Afjusted 4 5 2 4 3" xfId="28877" xr:uid="{00000000-0005-0000-0000-000087010000}"/>
    <cellStyle name="Afjusted 4 5 2 4 3 2" xfId="47240" xr:uid="{00000000-0005-0000-0000-000087010000}"/>
    <cellStyle name="Afjusted 4 5 2 4 4" xfId="19680" xr:uid="{00000000-0005-0000-0000-000087010000}"/>
    <cellStyle name="Afjusted 4 5 2 4 5" xfId="38086" xr:uid="{00000000-0005-0000-0000-000087010000}"/>
    <cellStyle name="Afjusted 4 5 2 5" xfId="9353" xr:uid="{00000000-0005-0000-0000-000087010000}"/>
    <cellStyle name="Afjusted 4 5 2 5 2" xfId="28072" xr:uid="{00000000-0005-0000-0000-000087010000}"/>
    <cellStyle name="Afjusted 4 5 2 5 3" xfId="46435" xr:uid="{00000000-0005-0000-0000-000087010000}"/>
    <cellStyle name="Afjusted 4 5 2 6" xfId="13409" xr:uid="{00000000-0005-0000-0000-000087010000}"/>
    <cellStyle name="Afjusted 4 5 2 6 2" xfId="31830" xr:uid="{00000000-0005-0000-0000-000087010000}"/>
    <cellStyle name="Afjusted 4 5 2 6 3" xfId="50193" xr:uid="{00000000-0005-0000-0000-000087010000}"/>
    <cellStyle name="Afjusted 4 5 2 7" xfId="23361" xr:uid="{00000000-0005-0000-0000-000087010000}"/>
    <cellStyle name="Afjusted 4 5 2 7 2" xfId="41730" xr:uid="{00000000-0005-0000-0000-000087010000}"/>
    <cellStyle name="Afjusted 4 5 2 8" xfId="18434" xr:uid="{00000000-0005-0000-0000-000087010000}"/>
    <cellStyle name="Afjusted 4 5 2 9" xfId="36840" xr:uid="{00000000-0005-0000-0000-000087010000}"/>
    <cellStyle name="Afjusted 4 5 3" xfId="4447" xr:uid="{00000000-0005-0000-0000-000087010000}"/>
    <cellStyle name="Afjusted 4 5 3 2" xfId="11045" xr:uid="{00000000-0005-0000-0000-000087010000}"/>
    <cellStyle name="Afjusted 4 5 3 2 2" xfId="29665" xr:uid="{00000000-0005-0000-0000-000087010000}"/>
    <cellStyle name="Afjusted 4 5 3 2 3" xfId="48028" xr:uid="{00000000-0005-0000-0000-000087010000}"/>
    <cellStyle name="Afjusted 4 5 3 3" xfId="15181" xr:uid="{00000000-0005-0000-0000-000087010000}"/>
    <cellStyle name="Afjusted 4 5 3 3 2" xfId="33578" xr:uid="{00000000-0005-0000-0000-000087010000}"/>
    <cellStyle name="Afjusted 4 5 3 3 3" xfId="51941" xr:uid="{00000000-0005-0000-0000-000087010000}"/>
    <cellStyle name="Afjusted 4 5 3 4" xfId="24309" xr:uid="{00000000-0005-0000-0000-000087010000}"/>
    <cellStyle name="Afjusted 4 5 3 4 2" xfId="42678" xr:uid="{00000000-0005-0000-0000-000087010000}"/>
    <cellStyle name="Afjusted 4 5 3 5" xfId="20632" xr:uid="{00000000-0005-0000-0000-000087010000}"/>
    <cellStyle name="Afjusted 4 5 3 6" xfId="39025" xr:uid="{00000000-0005-0000-0000-000087010000}"/>
    <cellStyle name="Afjusted 4 5 4" xfId="4182" xr:uid="{00000000-0005-0000-0000-000087010000}"/>
    <cellStyle name="Afjusted 4 5 4 2" xfId="10834" xr:uid="{00000000-0005-0000-0000-000087010000}"/>
    <cellStyle name="Afjusted 4 5 4 2 2" xfId="29506" xr:uid="{00000000-0005-0000-0000-000087010000}"/>
    <cellStyle name="Afjusted 4 5 4 2 3" xfId="47869" xr:uid="{00000000-0005-0000-0000-000087010000}"/>
    <cellStyle name="Afjusted 4 5 4 3" xfId="14928" xr:uid="{00000000-0005-0000-0000-000087010000}"/>
    <cellStyle name="Afjusted 4 5 4 3 2" xfId="33332" xr:uid="{00000000-0005-0000-0000-000087010000}"/>
    <cellStyle name="Afjusted 4 5 4 3 3" xfId="51695" xr:uid="{00000000-0005-0000-0000-000087010000}"/>
    <cellStyle name="Afjusted 4 5 4 4" xfId="24061" xr:uid="{00000000-0005-0000-0000-000087010000}"/>
    <cellStyle name="Afjusted 4 5 4 4 2" xfId="42430" xr:uid="{00000000-0005-0000-0000-000087010000}"/>
    <cellStyle name="Afjusted 4 5 4 5" xfId="20381" xr:uid="{00000000-0005-0000-0000-000087010000}"/>
    <cellStyle name="Afjusted 4 5 4 6" xfId="38779" xr:uid="{00000000-0005-0000-0000-000087010000}"/>
    <cellStyle name="Afjusted 4 5 5" xfId="9173" xr:uid="{00000000-0005-0000-0000-000087010000}"/>
    <cellStyle name="Afjusted 4 5 5 2" xfId="13231" xr:uid="{00000000-0005-0000-0000-000087010000}"/>
    <cellStyle name="Afjusted 4 5 5 2 2" xfId="31652" xr:uid="{00000000-0005-0000-0000-000087010000}"/>
    <cellStyle name="Afjusted 4 5 5 2 3" xfId="50015" xr:uid="{00000000-0005-0000-0000-000087010000}"/>
    <cellStyle name="Afjusted 4 5 5 3" xfId="27894" xr:uid="{00000000-0005-0000-0000-000087010000}"/>
    <cellStyle name="Afjusted 4 5 5 3 2" xfId="46257" xr:uid="{00000000-0005-0000-0000-000087010000}"/>
    <cellStyle name="Afjusted 4 5 5 4" xfId="18182" xr:uid="{00000000-0005-0000-0000-000087010000}"/>
    <cellStyle name="Afjusted 4 5 5 5" xfId="36588" xr:uid="{00000000-0005-0000-0000-000087010000}"/>
    <cellStyle name="Afjusted 4 5 6" xfId="7713" xr:uid="{00000000-0005-0000-0000-000087010000}"/>
    <cellStyle name="Afjusted 4 5 6 2" xfId="26994" xr:uid="{00000000-0005-0000-0000-000087010000}"/>
    <cellStyle name="Afjusted 4 5 6 3" xfId="45359" xr:uid="{00000000-0005-0000-0000-000087010000}"/>
    <cellStyle name="Afjusted 4 5 7" xfId="7831" xr:uid="{00000000-0005-0000-0000-000087010000}"/>
    <cellStyle name="Afjusted 4 5 7 2" xfId="27090" xr:uid="{00000000-0005-0000-0000-000087010000}"/>
    <cellStyle name="Afjusted 4 5 7 3" xfId="45455" xr:uid="{00000000-0005-0000-0000-000087010000}"/>
    <cellStyle name="Afjusted 4 5 8" xfId="18055" xr:uid="{00000000-0005-0000-0000-000087010000}"/>
    <cellStyle name="Afjusted 4 5 8 2" xfId="36462" xr:uid="{00000000-0005-0000-0000-000087010000}"/>
    <cellStyle name="Afjusted 4 5 9" xfId="7559" xr:uid="{00000000-0005-0000-0000-000087010000}"/>
    <cellStyle name="Afjusted 4 6" xfId="3365" xr:uid="{00000000-0005-0000-0000-00007D010000}"/>
    <cellStyle name="Afjusted 4 6 2" xfId="5540" xr:uid="{00000000-0005-0000-0000-00007D010000}"/>
    <cellStyle name="Afjusted 4 6 2 2" xfId="11904" xr:uid="{00000000-0005-0000-0000-00007D010000}"/>
    <cellStyle name="Afjusted 4 6 2 2 2" xfId="30351" xr:uid="{00000000-0005-0000-0000-00007D010000}"/>
    <cellStyle name="Afjusted 4 6 2 2 3" xfId="48714" xr:uid="{00000000-0005-0000-0000-00007D010000}"/>
    <cellStyle name="Afjusted 4 6 2 3" xfId="16230" xr:uid="{00000000-0005-0000-0000-00007D010000}"/>
    <cellStyle name="Afjusted 4 6 2 3 2" xfId="34602" xr:uid="{00000000-0005-0000-0000-00007D010000}"/>
    <cellStyle name="Afjusted 4 6 2 3 3" xfId="52965" xr:uid="{00000000-0005-0000-0000-00007D010000}"/>
    <cellStyle name="Afjusted 4 6 2 4" xfId="25349" xr:uid="{00000000-0005-0000-0000-00007D010000}"/>
    <cellStyle name="Afjusted 4 6 2 4 2" xfId="43718" xr:uid="{00000000-0005-0000-0000-00007D010000}"/>
    <cellStyle name="Afjusted 4 6 2 5" xfId="21670" xr:uid="{00000000-0005-0000-0000-00007D010000}"/>
    <cellStyle name="Afjusted 4 6 2 6" xfId="40049" xr:uid="{00000000-0005-0000-0000-00007D010000}"/>
    <cellStyle name="Afjusted 4 6 3" xfId="6364" xr:uid="{00000000-0005-0000-0000-00007D010000}"/>
    <cellStyle name="Afjusted 4 6 3 2" xfId="12655" xr:uid="{00000000-0005-0000-0000-00007D010000}"/>
    <cellStyle name="Afjusted 4 6 3 2 2" xfId="31081" xr:uid="{00000000-0005-0000-0000-00007D010000}"/>
    <cellStyle name="Afjusted 4 6 3 2 3" xfId="49444" xr:uid="{00000000-0005-0000-0000-00007D010000}"/>
    <cellStyle name="Afjusted 4 6 3 3" xfId="16966" xr:uid="{00000000-0005-0000-0000-00007D010000}"/>
    <cellStyle name="Afjusted 4 6 3 3 2" xfId="35314" xr:uid="{00000000-0005-0000-0000-00007D010000}"/>
    <cellStyle name="Afjusted 4 6 3 3 3" xfId="53677" xr:uid="{00000000-0005-0000-0000-00007D010000}"/>
    <cellStyle name="Afjusted 4 6 3 4" xfId="26099" xr:uid="{00000000-0005-0000-0000-00007D010000}"/>
    <cellStyle name="Afjusted 4 6 3 4 2" xfId="44468" xr:uid="{00000000-0005-0000-0000-00007D010000}"/>
    <cellStyle name="Afjusted 4 6 3 5" xfId="22392" xr:uid="{00000000-0005-0000-0000-00007D010000}"/>
    <cellStyle name="Afjusted 4 6 3 6" xfId="40761" xr:uid="{00000000-0005-0000-0000-00007D010000}"/>
    <cellStyle name="Afjusted 4 6 4" xfId="10078" xr:uid="{00000000-0005-0000-0000-00007D010000}"/>
    <cellStyle name="Afjusted 4 6 4 2" xfId="14135" xr:uid="{00000000-0005-0000-0000-00007D010000}"/>
    <cellStyle name="Afjusted 4 6 4 2 2" xfId="32551" xr:uid="{00000000-0005-0000-0000-00007D010000}"/>
    <cellStyle name="Afjusted 4 6 4 2 3" xfId="50914" xr:uid="{00000000-0005-0000-0000-00007D010000}"/>
    <cellStyle name="Afjusted 4 6 4 3" xfId="28789" xr:uid="{00000000-0005-0000-0000-00007D010000}"/>
    <cellStyle name="Afjusted 4 6 4 3 2" xfId="47152" xr:uid="{00000000-0005-0000-0000-00007D010000}"/>
    <cellStyle name="Afjusted 4 6 4 4" xfId="19592" xr:uid="{00000000-0005-0000-0000-00007D010000}"/>
    <cellStyle name="Afjusted 4 6 4 5" xfId="37998" xr:uid="{00000000-0005-0000-0000-00007D010000}"/>
    <cellStyle name="Afjusted 4 6 5" xfId="9228" xr:uid="{00000000-0005-0000-0000-00007D010000}"/>
    <cellStyle name="Afjusted 4 6 5 2" xfId="27948" xr:uid="{00000000-0005-0000-0000-00007D010000}"/>
    <cellStyle name="Afjusted 4 6 5 3" xfId="46311" xr:uid="{00000000-0005-0000-0000-00007D010000}"/>
    <cellStyle name="Afjusted 4 6 6" xfId="13285" xr:uid="{00000000-0005-0000-0000-00007D010000}"/>
    <cellStyle name="Afjusted 4 6 6 2" xfId="31706" xr:uid="{00000000-0005-0000-0000-00007D010000}"/>
    <cellStyle name="Afjusted 4 6 6 3" xfId="50069" xr:uid="{00000000-0005-0000-0000-00007D010000}"/>
    <cellStyle name="Afjusted 4 6 7" xfId="23273" xr:uid="{00000000-0005-0000-0000-00007D010000}"/>
    <cellStyle name="Afjusted 4 6 7 2" xfId="41642" xr:uid="{00000000-0005-0000-0000-00007D010000}"/>
    <cellStyle name="Afjusted 4 6 8" xfId="18278" xr:uid="{00000000-0005-0000-0000-00007D010000}"/>
    <cellStyle name="Afjusted 4 6 9" xfId="36684" xr:uid="{00000000-0005-0000-0000-00007D010000}"/>
    <cellStyle name="Afjusted 4 7" xfId="4310" xr:uid="{00000000-0005-0000-0000-00007D010000}"/>
    <cellStyle name="Afjusted 4 7 2" xfId="10919" xr:uid="{00000000-0005-0000-0000-00007D010000}"/>
    <cellStyle name="Afjusted 4 7 2 2" xfId="29549" xr:uid="{00000000-0005-0000-0000-00007D010000}"/>
    <cellStyle name="Afjusted 4 7 2 3" xfId="47912" xr:uid="{00000000-0005-0000-0000-00007D010000}"/>
    <cellStyle name="Afjusted 4 7 3" xfId="15054" xr:uid="{00000000-0005-0000-0000-00007D010000}"/>
    <cellStyle name="Afjusted 4 7 3 2" xfId="33456" xr:uid="{00000000-0005-0000-0000-00007D010000}"/>
    <cellStyle name="Afjusted 4 7 3 3" xfId="51819" xr:uid="{00000000-0005-0000-0000-00007D010000}"/>
    <cellStyle name="Afjusted 4 7 4" xfId="24185" xr:uid="{00000000-0005-0000-0000-00007D010000}"/>
    <cellStyle name="Afjusted 4 7 4 2" xfId="42554" xr:uid="{00000000-0005-0000-0000-00007D010000}"/>
    <cellStyle name="Afjusted 4 7 5" xfId="20506" xr:uid="{00000000-0005-0000-0000-00007D010000}"/>
    <cellStyle name="Afjusted 4 7 6" xfId="38903" xr:uid="{00000000-0005-0000-0000-00007D010000}"/>
    <cellStyle name="Afjusted 4 8" xfId="7563" xr:uid="{00000000-0005-0000-0000-00007D010000}"/>
    <cellStyle name="Afjusted 4 8 2" xfId="26875" xr:uid="{00000000-0005-0000-0000-00007D010000}"/>
    <cellStyle name="Afjusted 4 8 3" xfId="45240" xr:uid="{00000000-0005-0000-0000-00007D010000}"/>
    <cellStyle name="Afjusted 4 9" xfId="7525" xr:uid="{00000000-0005-0000-0000-00007D010000}"/>
    <cellStyle name="Afjusted 5" xfId="1874" xr:uid="{00000000-0005-0000-0000-000088010000}"/>
    <cellStyle name="Afjusted 5 10" xfId="22261" xr:uid="{00000000-0005-0000-0000-000088010000}"/>
    <cellStyle name="Afjusted 5 2" xfId="3714" xr:uid="{00000000-0005-0000-0000-000088010000}"/>
    <cellStyle name="Afjusted 5 2 2" xfId="5887" xr:uid="{00000000-0005-0000-0000-000088010000}"/>
    <cellStyle name="Afjusted 5 2 2 2" xfId="12251" xr:uid="{00000000-0005-0000-0000-000088010000}"/>
    <cellStyle name="Afjusted 5 2 2 2 2" xfId="30698" xr:uid="{00000000-0005-0000-0000-000088010000}"/>
    <cellStyle name="Afjusted 5 2 2 2 3" xfId="49061" xr:uid="{00000000-0005-0000-0000-000088010000}"/>
    <cellStyle name="Afjusted 5 2 2 3" xfId="16577" xr:uid="{00000000-0005-0000-0000-000088010000}"/>
    <cellStyle name="Afjusted 5 2 2 3 2" xfId="34949" xr:uid="{00000000-0005-0000-0000-000088010000}"/>
    <cellStyle name="Afjusted 5 2 2 3 3" xfId="53312" xr:uid="{00000000-0005-0000-0000-000088010000}"/>
    <cellStyle name="Afjusted 5 2 2 4" xfId="25696" xr:uid="{00000000-0005-0000-0000-000088010000}"/>
    <cellStyle name="Afjusted 5 2 2 4 2" xfId="44065" xr:uid="{00000000-0005-0000-0000-000088010000}"/>
    <cellStyle name="Afjusted 5 2 2 5" xfId="22017" xr:uid="{00000000-0005-0000-0000-000088010000}"/>
    <cellStyle name="Afjusted 5 2 2 6" xfId="40396" xr:uid="{00000000-0005-0000-0000-000088010000}"/>
    <cellStyle name="Afjusted 5 2 3" xfId="6713" xr:uid="{00000000-0005-0000-0000-000088010000}"/>
    <cellStyle name="Afjusted 5 2 3 2" xfId="13004" xr:uid="{00000000-0005-0000-0000-000088010000}"/>
    <cellStyle name="Afjusted 5 2 3 2 2" xfId="31430" xr:uid="{00000000-0005-0000-0000-000088010000}"/>
    <cellStyle name="Afjusted 5 2 3 2 3" xfId="49793" xr:uid="{00000000-0005-0000-0000-000088010000}"/>
    <cellStyle name="Afjusted 5 2 3 3" xfId="17315" xr:uid="{00000000-0005-0000-0000-000088010000}"/>
    <cellStyle name="Afjusted 5 2 3 3 2" xfId="35663" xr:uid="{00000000-0005-0000-0000-000088010000}"/>
    <cellStyle name="Afjusted 5 2 3 3 3" xfId="54026" xr:uid="{00000000-0005-0000-0000-000088010000}"/>
    <cellStyle name="Afjusted 5 2 3 4" xfId="26448" xr:uid="{00000000-0005-0000-0000-000088010000}"/>
    <cellStyle name="Afjusted 5 2 3 4 2" xfId="44817" xr:uid="{00000000-0005-0000-0000-000088010000}"/>
    <cellStyle name="Afjusted 5 2 3 5" xfId="22741" xr:uid="{00000000-0005-0000-0000-000088010000}"/>
    <cellStyle name="Afjusted 5 2 3 6" xfId="41110" xr:uid="{00000000-0005-0000-0000-000088010000}"/>
    <cellStyle name="Afjusted 5 2 4" xfId="10427" xr:uid="{00000000-0005-0000-0000-000088010000}"/>
    <cellStyle name="Afjusted 5 2 4 2" xfId="14484" xr:uid="{00000000-0005-0000-0000-000088010000}"/>
    <cellStyle name="Afjusted 5 2 4 2 2" xfId="32900" xr:uid="{00000000-0005-0000-0000-000088010000}"/>
    <cellStyle name="Afjusted 5 2 4 2 3" xfId="51263" xr:uid="{00000000-0005-0000-0000-000088010000}"/>
    <cellStyle name="Afjusted 5 2 4 3" xfId="29138" xr:uid="{00000000-0005-0000-0000-000088010000}"/>
    <cellStyle name="Afjusted 5 2 4 3 2" xfId="47501" xr:uid="{00000000-0005-0000-0000-000088010000}"/>
    <cellStyle name="Afjusted 5 2 4 4" xfId="19941" xr:uid="{00000000-0005-0000-0000-000088010000}"/>
    <cellStyle name="Afjusted 5 2 4 5" xfId="38347" xr:uid="{00000000-0005-0000-0000-000088010000}"/>
    <cellStyle name="Afjusted 5 2 5" xfId="9643" xr:uid="{00000000-0005-0000-0000-000088010000}"/>
    <cellStyle name="Afjusted 5 2 5 2" xfId="28359" xr:uid="{00000000-0005-0000-0000-000088010000}"/>
    <cellStyle name="Afjusted 5 2 5 3" xfId="46722" xr:uid="{00000000-0005-0000-0000-000088010000}"/>
    <cellStyle name="Afjusted 5 2 6" xfId="13700" xr:uid="{00000000-0005-0000-0000-000088010000}"/>
    <cellStyle name="Afjusted 5 2 6 2" xfId="32121" xr:uid="{00000000-0005-0000-0000-000088010000}"/>
    <cellStyle name="Afjusted 5 2 6 3" xfId="50484" xr:uid="{00000000-0005-0000-0000-000088010000}"/>
    <cellStyle name="Afjusted 5 2 7" xfId="23622" xr:uid="{00000000-0005-0000-0000-000088010000}"/>
    <cellStyle name="Afjusted 5 2 7 2" xfId="41991" xr:uid="{00000000-0005-0000-0000-000088010000}"/>
    <cellStyle name="Afjusted 5 2 8" xfId="18760" xr:uid="{00000000-0005-0000-0000-000088010000}"/>
    <cellStyle name="Afjusted 5 2 9" xfId="37169" xr:uid="{00000000-0005-0000-0000-000088010000}"/>
    <cellStyle name="Afjusted 5 3" xfId="4798" xr:uid="{00000000-0005-0000-0000-000088010000}"/>
    <cellStyle name="Afjusted 5 3 2" xfId="11361" xr:uid="{00000000-0005-0000-0000-000088010000}"/>
    <cellStyle name="Afjusted 5 3 2 2" xfId="29955" xr:uid="{00000000-0005-0000-0000-000088010000}"/>
    <cellStyle name="Afjusted 5 3 2 3" xfId="48318" xr:uid="{00000000-0005-0000-0000-000088010000}"/>
    <cellStyle name="Afjusted 5 3 3" xfId="15524" xr:uid="{00000000-0005-0000-0000-000088010000}"/>
    <cellStyle name="Afjusted 5 3 3 2" xfId="33917" xr:uid="{00000000-0005-0000-0000-000088010000}"/>
    <cellStyle name="Afjusted 5 3 3 3" xfId="52280" xr:uid="{00000000-0005-0000-0000-000088010000}"/>
    <cellStyle name="Afjusted 5 3 4" xfId="24648" xr:uid="{00000000-0005-0000-0000-000088010000}"/>
    <cellStyle name="Afjusted 5 3 4 2" xfId="43017" xr:uid="{00000000-0005-0000-0000-000088010000}"/>
    <cellStyle name="Afjusted 5 3 5" xfId="20975" xr:uid="{00000000-0005-0000-0000-000088010000}"/>
    <cellStyle name="Afjusted 5 3 6" xfId="39364" xr:uid="{00000000-0005-0000-0000-000088010000}"/>
    <cellStyle name="Afjusted 5 4" xfId="3924" xr:uid="{00000000-0005-0000-0000-000088010000}"/>
    <cellStyle name="Afjusted 5 4 2" xfId="10632" xr:uid="{00000000-0005-0000-0000-000088010000}"/>
    <cellStyle name="Afjusted 5 4 2 2" xfId="29342" xr:uid="{00000000-0005-0000-0000-000088010000}"/>
    <cellStyle name="Afjusted 5 4 2 3" xfId="47705" xr:uid="{00000000-0005-0000-0000-000088010000}"/>
    <cellStyle name="Afjusted 5 4 3" xfId="14689" xr:uid="{00000000-0005-0000-0000-000088010000}"/>
    <cellStyle name="Afjusted 5 4 3 2" xfId="33102" xr:uid="{00000000-0005-0000-0000-000088010000}"/>
    <cellStyle name="Afjusted 5 4 3 3" xfId="51465" xr:uid="{00000000-0005-0000-0000-000088010000}"/>
    <cellStyle name="Afjusted 5 4 4" xfId="23826" xr:uid="{00000000-0005-0000-0000-000088010000}"/>
    <cellStyle name="Afjusted 5 4 4 2" xfId="42195" xr:uid="{00000000-0005-0000-0000-000088010000}"/>
    <cellStyle name="Afjusted 5 4 5" xfId="20144" xr:uid="{00000000-0005-0000-0000-000088010000}"/>
    <cellStyle name="Afjusted 5 4 6" xfId="38549" xr:uid="{00000000-0005-0000-0000-000088010000}"/>
    <cellStyle name="Afjusted 5 5" xfId="9046" xr:uid="{00000000-0005-0000-0000-000088010000}"/>
    <cellStyle name="Afjusted 5 5 2" xfId="8149" xr:uid="{00000000-0005-0000-0000-000088010000}"/>
    <cellStyle name="Afjusted 5 5 2 2" xfId="27353" xr:uid="{00000000-0005-0000-0000-000088010000}"/>
    <cellStyle name="Afjusted 5 5 2 3" xfId="45718" xr:uid="{00000000-0005-0000-0000-000088010000}"/>
    <cellStyle name="Afjusted 5 5 3" xfId="27772" xr:uid="{00000000-0005-0000-0000-000088010000}"/>
    <cellStyle name="Afjusted 5 5 3 2" xfId="46135" xr:uid="{00000000-0005-0000-0000-000088010000}"/>
    <cellStyle name="Afjusted 5 5 4" xfId="17942" xr:uid="{00000000-0005-0000-0000-000088010000}"/>
    <cellStyle name="Afjusted 5 5 5" xfId="36350" xr:uid="{00000000-0005-0000-0000-000088010000}"/>
    <cellStyle name="Afjusted 5 6" xfId="8080" xr:uid="{00000000-0005-0000-0000-000088010000}"/>
    <cellStyle name="Afjusted 5 6 2" xfId="27289" xr:uid="{00000000-0005-0000-0000-000088010000}"/>
    <cellStyle name="Afjusted 5 6 3" xfId="45654" xr:uid="{00000000-0005-0000-0000-000088010000}"/>
    <cellStyle name="Afjusted 5 7" xfId="7416" xr:uid="{00000000-0005-0000-0000-000088010000}"/>
    <cellStyle name="Afjusted 5 7 2" xfId="26807" xr:uid="{00000000-0005-0000-0000-000088010000}"/>
    <cellStyle name="Afjusted 5 7 3" xfId="45175" xr:uid="{00000000-0005-0000-0000-000088010000}"/>
    <cellStyle name="Afjusted 5 8" xfId="18978" xr:uid="{00000000-0005-0000-0000-000088010000}"/>
    <cellStyle name="Afjusted 5 8 2" xfId="37387" xr:uid="{00000000-0005-0000-0000-000088010000}"/>
    <cellStyle name="Afjusted 5 9" xfId="11337" xr:uid="{00000000-0005-0000-0000-000088010000}"/>
    <cellStyle name="Afjusted 6" xfId="2311" xr:uid="{00000000-0005-0000-0000-000089010000}"/>
    <cellStyle name="Afjusted 6 10" xfId="7109" xr:uid="{00000000-0005-0000-0000-000089010000}"/>
    <cellStyle name="Afjusted 6 2" xfId="3761" xr:uid="{00000000-0005-0000-0000-000089010000}"/>
    <cellStyle name="Afjusted 6 2 2" xfId="5934" xr:uid="{00000000-0005-0000-0000-000089010000}"/>
    <cellStyle name="Afjusted 6 2 2 2" xfId="12298" xr:uid="{00000000-0005-0000-0000-000089010000}"/>
    <cellStyle name="Afjusted 6 2 2 2 2" xfId="30745" xr:uid="{00000000-0005-0000-0000-000089010000}"/>
    <cellStyle name="Afjusted 6 2 2 2 3" xfId="49108" xr:uid="{00000000-0005-0000-0000-000089010000}"/>
    <cellStyle name="Afjusted 6 2 2 3" xfId="16624" xr:uid="{00000000-0005-0000-0000-000089010000}"/>
    <cellStyle name="Afjusted 6 2 2 3 2" xfId="34996" xr:uid="{00000000-0005-0000-0000-000089010000}"/>
    <cellStyle name="Afjusted 6 2 2 3 3" xfId="53359" xr:uid="{00000000-0005-0000-0000-000089010000}"/>
    <cellStyle name="Afjusted 6 2 2 4" xfId="25743" xr:uid="{00000000-0005-0000-0000-000089010000}"/>
    <cellStyle name="Afjusted 6 2 2 4 2" xfId="44112" xr:uid="{00000000-0005-0000-0000-000089010000}"/>
    <cellStyle name="Afjusted 6 2 2 5" xfId="22064" xr:uid="{00000000-0005-0000-0000-000089010000}"/>
    <cellStyle name="Afjusted 6 2 2 6" xfId="40443" xr:uid="{00000000-0005-0000-0000-000089010000}"/>
    <cellStyle name="Afjusted 6 2 3" xfId="6760" xr:uid="{00000000-0005-0000-0000-000089010000}"/>
    <cellStyle name="Afjusted 6 2 3 2" xfId="13051" xr:uid="{00000000-0005-0000-0000-000089010000}"/>
    <cellStyle name="Afjusted 6 2 3 2 2" xfId="31477" xr:uid="{00000000-0005-0000-0000-000089010000}"/>
    <cellStyle name="Afjusted 6 2 3 2 3" xfId="49840" xr:uid="{00000000-0005-0000-0000-000089010000}"/>
    <cellStyle name="Afjusted 6 2 3 3" xfId="17362" xr:uid="{00000000-0005-0000-0000-000089010000}"/>
    <cellStyle name="Afjusted 6 2 3 3 2" xfId="35710" xr:uid="{00000000-0005-0000-0000-000089010000}"/>
    <cellStyle name="Afjusted 6 2 3 3 3" xfId="54073" xr:uid="{00000000-0005-0000-0000-000089010000}"/>
    <cellStyle name="Afjusted 6 2 3 4" xfId="26495" xr:uid="{00000000-0005-0000-0000-000089010000}"/>
    <cellStyle name="Afjusted 6 2 3 4 2" xfId="44864" xr:uid="{00000000-0005-0000-0000-000089010000}"/>
    <cellStyle name="Afjusted 6 2 3 5" xfId="22788" xr:uid="{00000000-0005-0000-0000-000089010000}"/>
    <cellStyle name="Afjusted 6 2 3 6" xfId="41157" xr:uid="{00000000-0005-0000-0000-000089010000}"/>
    <cellStyle name="Afjusted 6 2 4" xfId="10474" xr:uid="{00000000-0005-0000-0000-000089010000}"/>
    <cellStyle name="Afjusted 6 2 4 2" xfId="14531" xr:uid="{00000000-0005-0000-0000-000089010000}"/>
    <cellStyle name="Afjusted 6 2 4 2 2" xfId="32947" xr:uid="{00000000-0005-0000-0000-000089010000}"/>
    <cellStyle name="Afjusted 6 2 4 2 3" xfId="51310" xr:uid="{00000000-0005-0000-0000-000089010000}"/>
    <cellStyle name="Afjusted 6 2 4 3" xfId="29185" xr:uid="{00000000-0005-0000-0000-000089010000}"/>
    <cellStyle name="Afjusted 6 2 4 3 2" xfId="47548" xr:uid="{00000000-0005-0000-0000-000089010000}"/>
    <cellStyle name="Afjusted 6 2 4 4" xfId="19988" xr:uid="{00000000-0005-0000-0000-000089010000}"/>
    <cellStyle name="Afjusted 6 2 4 5" xfId="38394" xr:uid="{00000000-0005-0000-0000-000089010000}"/>
    <cellStyle name="Afjusted 6 2 5" xfId="9745" xr:uid="{00000000-0005-0000-0000-000089010000}"/>
    <cellStyle name="Afjusted 6 2 5 2" xfId="28460" xr:uid="{00000000-0005-0000-0000-000089010000}"/>
    <cellStyle name="Afjusted 6 2 5 3" xfId="46823" xr:uid="{00000000-0005-0000-0000-000089010000}"/>
    <cellStyle name="Afjusted 6 2 6" xfId="13802" xr:uid="{00000000-0005-0000-0000-000089010000}"/>
    <cellStyle name="Afjusted 6 2 6 2" xfId="32222" xr:uid="{00000000-0005-0000-0000-000089010000}"/>
    <cellStyle name="Afjusted 6 2 6 3" xfId="50585" xr:uid="{00000000-0005-0000-0000-000089010000}"/>
    <cellStyle name="Afjusted 6 2 7" xfId="23669" xr:uid="{00000000-0005-0000-0000-000089010000}"/>
    <cellStyle name="Afjusted 6 2 7 2" xfId="42038" xr:uid="{00000000-0005-0000-0000-000089010000}"/>
    <cellStyle name="Afjusted 6 2 8" xfId="18927" xr:uid="{00000000-0005-0000-0000-000089010000}"/>
    <cellStyle name="Afjusted 6 2 9" xfId="37336" xr:uid="{00000000-0005-0000-0000-000089010000}"/>
    <cellStyle name="Afjusted 6 3" xfId="4960" xr:uid="{00000000-0005-0000-0000-000089010000}"/>
    <cellStyle name="Afjusted 6 3 2" xfId="11491" xr:uid="{00000000-0005-0000-0000-000089010000}"/>
    <cellStyle name="Afjusted 6 3 2 2" xfId="30064" xr:uid="{00000000-0005-0000-0000-000089010000}"/>
    <cellStyle name="Afjusted 6 3 2 3" xfId="48427" xr:uid="{00000000-0005-0000-0000-000089010000}"/>
    <cellStyle name="Afjusted 6 3 3" xfId="15676" xr:uid="{00000000-0005-0000-0000-000089010000}"/>
    <cellStyle name="Afjusted 6 3 3 2" xfId="34065" xr:uid="{00000000-0005-0000-0000-000089010000}"/>
    <cellStyle name="Afjusted 6 3 3 3" xfId="52428" xr:uid="{00000000-0005-0000-0000-000089010000}"/>
    <cellStyle name="Afjusted 6 3 4" xfId="24800" xr:uid="{00000000-0005-0000-0000-000089010000}"/>
    <cellStyle name="Afjusted 6 3 4 2" xfId="43169" xr:uid="{00000000-0005-0000-0000-000089010000}"/>
    <cellStyle name="Afjusted 6 3 5" xfId="21125" xr:uid="{00000000-0005-0000-0000-000089010000}"/>
    <cellStyle name="Afjusted 6 3 6" xfId="39512" xr:uid="{00000000-0005-0000-0000-000089010000}"/>
    <cellStyle name="Afjusted 6 4" xfId="6100" xr:uid="{00000000-0005-0000-0000-000089010000}"/>
    <cellStyle name="Afjusted 6 4 2" xfId="12454" xr:uid="{00000000-0005-0000-0000-000089010000}"/>
    <cellStyle name="Afjusted 6 4 2 2" xfId="30895" xr:uid="{00000000-0005-0000-0000-000089010000}"/>
    <cellStyle name="Afjusted 6 4 2 3" xfId="49258" xr:uid="{00000000-0005-0000-0000-000089010000}"/>
    <cellStyle name="Afjusted 6 4 3" xfId="16773" xr:uid="{00000000-0005-0000-0000-000089010000}"/>
    <cellStyle name="Afjusted 6 4 3 2" xfId="35143" xr:uid="{00000000-0005-0000-0000-000089010000}"/>
    <cellStyle name="Afjusted 6 4 3 3" xfId="53506" xr:uid="{00000000-0005-0000-0000-000089010000}"/>
    <cellStyle name="Afjusted 6 4 4" xfId="25897" xr:uid="{00000000-0005-0000-0000-000089010000}"/>
    <cellStyle name="Afjusted 6 4 4 2" xfId="44266" xr:uid="{00000000-0005-0000-0000-000089010000}"/>
    <cellStyle name="Afjusted 6 4 5" xfId="22213" xr:uid="{00000000-0005-0000-0000-000089010000}"/>
    <cellStyle name="Afjusted 6 4 6" xfId="40590" xr:uid="{00000000-0005-0000-0000-000089010000}"/>
    <cellStyle name="Afjusted 6 5" xfId="9368" xr:uid="{00000000-0005-0000-0000-000089010000}"/>
    <cellStyle name="Afjusted 6 5 2" xfId="13424" xr:uid="{00000000-0005-0000-0000-000089010000}"/>
    <cellStyle name="Afjusted 6 5 2 2" xfId="31845" xr:uid="{00000000-0005-0000-0000-000089010000}"/>
    <cellStyle name="Afjusted 6 5 2 3" xfId="50208" xr:uid="{00000000-0005-0000-0000-000089010000}"/>
    <cellStyle name="Afjusted 6 5 3" xfId="28087" xr:uid="{00000000-0005-0000-0000-000089010000}"/>
    <cellStyle name="Afjusted 6 5 3 2" xfId="46450" xr:uid="{00000000-0005-0000-0000-000089010000}"/>
    <cellStyle name="Afjusted 6 5 4" xfId="18450" xr:uid="{00000000-0005-0000-0000-000089010000}"/>
    <cellStyle name="Afjusted 6 5 5" xfId="36856" xr:uid="{00000000-0005-0000-0000-000089010000}"/>
    <cellStyle name="Afjusted 6 6" xfId="8353" xr:uid="{00000000-0005-0000-0000-000089010000}"/>
    <cellStyle name="Afjusted 6 6 2" xfId="27420" xr:uid="{00000000-0005-0000-0000-000089010000}"/>
    <cellStyle name="Afjusted 6 6 3" xfId="45784" xr:uid="{00000000-0005-0000-0000-000089010000}"/>
    <cellStyle name="Afjusted 6 7" xfId="10763" xr:uid="{00000000-0005-0000-0000-000089010000}"/>
    <cellStyle name="Afjusted 6 7 2" xfId="29466" xr:uid="{00000000-0005-0000-0000-000089010000}"/>
    <cellStyle name="Afjusted 6 7 3" xfId="47829" xr:uid="{00000000-0005-0000-0000-000089010000}"/>
    <cellStyle name="Afjusted 6 8" xfId="18273" xr:uid="{00000000-0005-0000-0000-000089010000}"/>
    <cellStyle name="Afjusted 6 8 2" xfId="36679" xr:uid="{00000000-0005-0000-0000-000089010000}"/>
    <cellStyle name="Afjusted 6 9" xfId="13960" xr:uid="{00000000-0005-0000-0000-000089010000}"/>
    <cellStyle name="Afjusted 7" xfId="3043" xr:uid="{00000000-0005-0000-0000-00008A010000}"/>
    <cellStyle name="Afjusted 7 10" xfId="36047" xr:uid="{00000000-0005-0000-0000-00008A010000}"/>
    <cellStyle name="Afjusted 7 2" xfId="3849" xr:uid="{00000000-0005-0000-0000-00008A010000}"/>
    <cellStyle name="Afjusted 7 2 2" xfId="6022" xr:uid="{00000000-0005-0000-0000-00008A010000}"/>
    <cellStyle name="Afjusted 7 2 2 2" xfId="12386" xr:uid="{00000000-0005-0000-0000-00008A010000}"/>
    <cellStyle name="Afjusted 7 2 2 2 2" xfId="30833" xr:uid="{00000000-0005-0000-0000-00008A010000}"/>
    <cellStyle name="Afjusted 7 2 2 2 3" xfId="49196" xr:uid="{00000000-0005-0000-0000-00008A010000}"/>
    <cellStyle name="Afjusted 7 2 2 3" xfId="16712" xr:uid="{00000000-0005-0000-0000-00008A010000}"/>
    <cellStyle name="Afjusted 7 2 2 3 2" xfId="35084" xr:uid="{00000000-0005-0000-0000-00008A010000}"/>
    <cellStyle name="Afjusted 7 2 2 3 3" xfId="53447" xr:uid="{00000000-0005-0000-0000-00008A010000}"/>
    <cellStyle name="Afjusted 7 2 2 4" xfId="25831" xr:uid="{00000000-0005-0000-0000-00008A010000}"/>
    <cellStyle name="Afjusted 7 2 2 4 2" xfId="44200" xr:uid="{00000000-0005-0000-0000-00008A010000}"/>
    <cellStyle name="Afjusted 7 2 2 5" xfId="22152" xr:uid="{00000000-0005-0000-0000-00008A010000}"/>
    <cellStyle name="Afjusted 7 2 2 6" xfId="40531" xr:uid="{00000000-0005-0000-0000-00008A010000}"/>
    <cellStyle name="Afjusted 7 2 3" xfId="6848" xr:uid="{00000000-0005-0000-0000-00008A010000}"/>
    <cellStyle name="Afjusted 7 2 3 2" xfId="13139" xr:uid="{00000000-0005-0000-0000-00008A010000}"/>
    <cellStyle name="Afjusted 7 2 3 2 2" xfId="31565" xr:uid="{00000000-0005-0000-0000-00008A010000}"/>
    <cellStyle name="Afjusted 7 2 3 2 3" xfId="49928" xr:uid="{00000000-0005-0000-0000-00008A010000}"/>
    <cellStyle name="Afjusted 7 2 3 3" xfId="17450" xr:uid="{00000000-0005-0000-0000-00008A010000}"/>
    <cellStyle name="Afjusted 7 2 3 3 2" xfId="35798" xr:uid="{00000000-0005-0000-0000-00008A010000}"/>
    <cellStyle name="Afjusted 7 2 3 3 3" xfId="54161" xr:uid="{00000000-0005-0000-0000-00008A010000}"/>
    <cellStyle name="Afjusted 7 2 3 4" xfId="26583" xr:uid="{00000000-0005-0000-0000-00008A010000}"/>
    <cellStyle name="Afjusted 7 2 3 4 2" xfId="44952" xr:uid="{00000000-0005-0000-0000-00008A010000}"/>
    <cellStyle name="Afjusted 7 2 3 5" xfId="22876" xr:uid="{00000000-0005-0000-0000-00008A010000}"/>
    <cellStyle name="Afjusted 7 2 3 6" xfId="41245" xr:uid="{00000000-0005-0000-0000-00008A010000}"/>
    <cellStyle name="Afjusted 7 2 4" xfId="10562" xr:uid="{00000000-0005-0000-0000-00008A010000}"/>
    <cellStyle name="Afjusted 7 2 4 2" xfId="14619" xr:uid="{00000000-0005-0000-0000-00008A010000}"/>
    <cellStyle name="Afjusted 7 2 4 2 2" xfId="33035" xr:uid="{00000000-0005-0000-0000-00008A010000}"/>
    <cellStyle name="Afjusted 7 2 4 2 3" xfId="51398" xr:uid="{00000000-0005-0000-0000-00008A010000}"/>
    <cellStyle name="Afjusted 7 2 4 3" xfId="29273" xr:uid="{00000000-0005-0000-0000-00008A010000}"/>
    <cellStyle name="Afjusted 7 2 4 3 2" xfId="47636" xr:uid="{00000000-0005-0000-0000-00008A010000}"/>
    <cellStyle name="Afjusted 7 2 4 4" xfId="20076" xr:uid="{00000000-0005-0000-0000-00008A010000}"/>
    <cellStyle name="Afjusted 7 2 4 5" xfId="38482" xr:uid="{00000000-0005-0000-0000-00008A010000}"/>
    <cellStyle name="Afjusted 7 2 5" xfId="9936" xr:uid="{00000000-0005-0000-0000-00008A010000}"/>
    <cellStyle name="Afjusted 7 2 5 2" xfId="28648" xr:uid="{00000000-0005-0000-0000-00008A010000}"/>
    <cellStyle name="Afjusted 7 2 5 3" xfId="47011" xr:uid="{00000000-0005-0000-0000-00008A010000}"/>
    <cellStyle name="Afjusted 7 2 6" xfId="13993" xr:uid="{00000000-0005-0000-0000-00008A010000}"/>
    <cellStyle name="Afjusted 7 2 6 2" xfId="32410" xr:uid="{00000000-0005-0000-0000-00008A010000}"/>
    <cellStyle name="Afjusted 7 2 6 3" xfId="50773" xr:uid="{00000000-0005-0000-0000-00008A010000}"/>
    <cellStyle name="Afjusted 7 2 7" xfId="23757" xr:uid="{00000000-0005-0000-0000-00008A010000}"/>
    <cellStyle name="Afjusted 7 2 7 2" xfId="42126" xr:uid="{00000000-0005-0000-0000-00008A010000}"/>
    <cellStyle name="Afjusted 7 2 8" xfId="19243" xr:uid="{00000000-0005-0000-0000-00008A010000}"/>
    <cellStyle name="Afjusted 7 2 9" xfId="37650" xr:uid="{00000000-0005-0000-0000-00008A010000}"/>
    <cellStyle name="Afjusted 7 3" xfId="5295" xr:uid="{00000000-0005-0000-0000-00008A010000}"/>
    <cellStyle name="Afjusted 7 3 2" xfId="11748" xr:uid="{00000000-0005-0000-0000-00008A010000}"/>
    <cellStyle name="Afjusted 7 3 2 2" xfId="30250" xr:uid="{00000000-0005-0000-0000-00008A010000}"/>
    <cellStyle name="Afjusted 7 3 2 3" xfId="48613" xr:uid="{00000000-0005-0000-0000-00008A010000}"/>
    <cellStyle name="Afjusted 7 3 3" xfId="15987" xr:uid="{00000000-0005-0000-0000-00008A010000}"/>
    <cellStyle name="Afjusted 7 3 3 2" xfId="34361" xr:uid="{00000000-0005-0000-0000-00008A010000}"/>
    <cellStyle name="Afjusted 7 3 3 3" xfId="52724" xr:uid="{00000000-0005-0000-0000-00008A010000}"/>
    <cellStyle name="Afjusted 7 3 4" xfId="25108" xr:uid="{00000000-0005-0000-0000-00008A010000}"/>
    <cellStyle name="Afjusted 7 3 4 2" xfId="43477" xr:uid="{00000000-0005-0000-0000-00008A010000}"/>
    <cellStyle name="Afjusted 7 3 5" xfId="21429" xr:uid="{00000000-0005-0000-0000-00008A010000}"/>
    <cellStyle name="Afjusted 7 3 6" xfId="39808" xr:uid="{00000000-0005-0000-0000-00008A010000}"/>
    <cellStyle name="Afjusted 7 4" xfId="6245" xr:uid="{00000000-0005-0000-0000-00008A010000}"/>
    <cellStyle name="Afjusted 7 4 2" xfId="12560" xr:uid="{00000000-0005-0000-0000-00008A010000}"/>
    <cellStyle name="Afjusted 7 4 2 2" xfId="30992" xr:uid="{00000000-0005-0000-0000-00008A010000}"/>
    <cellStyle name="Afjusted 7 4 2 3" xfId="49355" xr:uid="{00000000-0005-0000-0000-00008A010000}"/>
    <cellStyle name="Afjusted 7 4 3" xfId="16876" xr:uid="{00000000-0005-0000-0000-00008A010000}"/>
    <cellStyle name="Afjusted 7 4 3 2" xfId="35233" xr:uid="{00000000-0005-0000-0000-00008A010000}"/>
    <cellStyle name="Afjusted 7 4 3 3" xfId="53596" xr:uid="{00000000-0005-0000-0000-00008A010000}"/>
    <cellStyle name="Afjusted 7 4 4" xfId="26008" xr:uid="{00000000-0005-0000-0000-00008A010000}"/>
    <cellStyle name="Afjusted 7 4 4 2" xfId="44377" xr:uid="{00000000-0005-0000-0000-00008A010000}"/>
    <cellStyle name="Afjusted 7 4 5" xfId="22307" xr:uid="{00000000-0005-0000-0000-00008A010000}"/>
    <cellStyle name="Afjusted 7 4 6" xfId="40680" xr:uid="{00000000-0005-0000-0000-00008A010000}"/>
    <cellStyle name="Afjusted 7 5" xfId="10045" xr:uid="{00000000-0005-0000-0000-00008A010000}"/>
    <cellStyle name="Afjusted 7 5 2" xfId="14102" xr:uid="{00000000-0005-0000-0000-00008A010000}"/>
    <cellStyle name="Afjusted 7 5 2 2" xfId="32518" xr:uid="{00000000-0005-0000-0000-00008A010000}"/>
    <cellStyle name="Afjusted 7 5 2 3" xfId="50881" xr:uid="{00000000-0005-0000-0000-00008A010000}"/>
    <cellStyle name="Afjusted 7 5 3" xfId="28756" xr:uid="{00000000-0005-0000-0000-00008A010000}"/>
    <cellStyle name="Afjusted 7 5 3 2" xfId="47119" xr:uid="{00000000-0005-0000-0000-00008A010000}"/>
    <cellStyle name="Afjusted 7 5 4" xfId="19502" xr:uid="{00000000-0005-0000-0000-00008A010000}"/>
    <cellStyle name="Afjusted 7 5 5" xfId="37908" xr:uid="{00000000-0005-0000-0000-00008A010000}"/>
    <cellStyle name="Afjusted 7 6" xfId="8830" xr:uid="{00000000-0005-0000-0000-00008A010000}"/>
    <cellStyle name="Afjusted 7 6 2" xfId="27649" xr:uid="{00000000-0005-0000-0000-00008A010000}"/>
    <cellStyle name="Afjusted 7 6 3" xfId="46012" xr:uid="{00000000-0005-0000-0000-00008A010000}"/>
    <cellStyle name="Afjusted 7 7" xfId="8078" xr:uid="{00000000-0005-0000-0000-00008A010000}"/>
    <cellStyle name="Afjusted 7 7 2" xfId="27288" xr:uid="{00000000-0005-0000-0000-00008A010000}"/>
    <cellStyle name="Afjusted 7 7 3" xfId="45653" xr:uid="{00000000-0005-0000-0000-00008A010000}"/>
    <cellStyle name="Afjusted 7 8" xfId="23045" xr:uid="{00000000-0005-0000-0000-00008A010000}"/>
    <cellStyle name="Afjusted 7 8 2" xfId="41414" xr:uid="{00000000-0005-0000-0000-00008A010000}"/>
    <cellStyle name="Afjusted 7 9" xfId="17605" xr:uid="{00000000-0005-0000-0000-00008A010000}"/>
    <cellStyle name="Afjusted 8" xfId="3176" xr:uid="{00000000-0005-0000-0000-00008B010000}"/>
    <cellStyle name="Afjusted 8 2" xfId="3869" xr:uid="{00000000-0005-0000-0000-00008B010000}"/>
    <cellStyle name="Afjusted 8 2 2" xfId="6042" xr:uid="{00000000-0005-0000-0000-00008B010000}"/>
    <cellStyle name="Afjusted 8 2 2 2" xfId="12406" xr:uid="{00000000-0005-0000-0000-00008B010000}"/>
    <cellStyle name="Afjusted 8 2 2 2 2" xfId="30853" xr:uid="{00000000-0005-0000-0000-00008B010000}"/>
    <cellStyle name="Afjusted 8 2 2 2 3" xfId="49216" xr:uid="{00000000-0005-0000-0000-00008B010000}"/>
    <cellStyle name="Afjusted 8 2 2 3" xfId="16732" xr:uid="{00000000-0005-0000-0000-00008B010000}"/>
    <cellStyle name="Afjusted 8 2 2 3 2" xfId="35104" xr:uid="{00000000-0005-0000-0000-00008B010000}"/>
    <cellStyle name="Afjusted 8 2 2 3 3" xfId="53467" xr:uid="{00000000-0005-0000-0000-00008B010000}"/>
    <cellStyle name="Afjusted 8 2 2 4" xfId="25851" xr:uid="{00000000-0005-0000-0000-00008B010000}"/>
    <cellStyle name="Afjusted 8 2 2 4 2" xfId="44220" xr:uid="{00000000-0005-0000-0000-00008B010000}"/>
    <cellStyle name="Afjusted 8 2 2 5" xfId="22172" xr:uid="{00000000-0005-0000-0000-00008B010000}"/>
    <cellStyle name="Afjusted 8 2 2 6" xfId="40551" xr:uid="{00000000-0005-0000-0000-00008B010000}"/>
    <cellStyle name="Afjusted 8 2 3" xfId="6868" xr:uid="{00000000-0005-0000-0000-00008B010000}"/>
    <cellStyle name="Afjusted 8 2 3 2" xfId="13159" xr:uid="{00000000-0005-0000-0000-00008B010000}"/>
    <cellStyle name="Afjusted 8 2 3 2 2" xfId="31585" xr:uid="{00000000-0005-0000-0000-00008B010000}"/>
    <cellStyle name="Afjusted 8 2 3 2 3" xfId="49948" xr:uid="{00000000-0005-0000-0000-00008B010000}"/>
    <cellStyle name="Afjusted 8 2 3 3" xfId="17470" xr:uid="{00000000-0005-0000-0000-00008B010000}"/>
    <cellStyle name="Afjusted 8 2 3 3 2" xfId="35818" xr:uid="{00000000-0005-0000-0000-00008B010000}"/>
    <cellStyle name="Afjusted 8 2 3 3 3" xfId="54181" xr:uid="{00000000-0005-0000-0000-00008B010000}"/>
    <cellStyle name="Afjusted 8 2 3 4" xfId="26603" xr:uid="{00000000-0005-0000-0000-00008B010000}"/>
    <cellStyle name="Afjusted 8 2 3 4 2" xfId="44972" xr:uid="{00000000-0005-0000-0000-00008B010000}"/>
    <cellStyle name="Afjusted 8 2 3 5" xfId="22896" xr:uid="{00000000-0005-0000-0000-00008B010000}"/>
    <cellStyle name="Afjusted 8 2 3 6" xfId="41265" xr:uid="{00000000-0005-0000-0000-00008B010000}"/>
    <cellStyle name="Afjusted 8 2 4" xfId="10582" xr:uid="{00000000-0005-0000-0000-00008B010000}"/>
    <cellStyle name="Afjusted 8 2 4 2" xfId="14639" xr:uid="{00000000-0005-0000-0000-00008B010000}"/>
    <cellStyle name="Afjusted 8 2 4 2 2" xfId="33055" xr:uid="{00000000-0005-0000-0000-00008B010000}"/>
    <cellStyle name="Afjusted 8 2 4 2 3" xfId="51418" xr:uid="{00000000-0005-0000-0000-00008B010000}"/>
    <cellStyle name="Afjusted 8 2 4 3" xfId="29293" xr:uid="{00000000-0005-0000-0000-00008B010000}"/>
    <cellStyle name="Afjusted 8 2 4 3 2" xfId="47656" xr:uid="{00000000-0005-0000-0000-00008B010000}"/>
    <cellStyle name="Afjusted 8 2 4 4" xfId="20096" xr:uid="{00000000-0005-0000-0000-00008B010000}"/>
    <cellStyle name="Afjusted 8 2 4 5" xfId="38502" xr:uid="{00000000-0005-0000-0000-00008B010000}"/>
    <cellStyle name="Afjusted 8 2 5" xfId="9969" xr:uid="{00000000-0005-0000-0000-00008B010000}"/>
    <cellStyle name="Afjusted 8 2 5 2" xfId="28681" xr:uid="{00000000-0005-0000-0000-00008B010000}"/>
    <cellStyle name="Afjusted 8 2 5 3" xfId="47044" xr:uid="{00000000-0005-0000-0000-00008B010000}"/>
    <cellStyle name="Afjusted 8 2 6" xfId="14026" xr:uid="{00000000-0005-0000-0000-00008B010000}"/>
    <cellStyle name="Afjusted 8 2 6 2" xfId="32443" xr:uid="{00000000-0005-0000-0000-00008B010000}"/>
    <cellStyle name="Afjusted 8 2 6 3" xfId="50806" xr:uid="{00000000-0005-0000-0000-00008B010000}"/>
    <cellStyle name="Afjusted 8 2 7" xfId="23777" xr:uid="{00000000-0005-0000-0000-00008B010000}"/>
    <cellStyle name="Afjusted 8 2 7 2" xfId="42146" xr:uid="{00000000-0005-0000-0000-00008B010000}"/>
    <cellStyle name="Afjusted 8 2 8" xfId="19306" xr:uid="{00000000-0005-0000-0000-00008B010000}"/>
    <cellStyle name="Afjusted 8 2 9" xfId="37713" xr:uid="{00000000-0005-0000-0000-00008B010000}"/>
    <cellStyle name="Afjusted 8 3" xfId="5390" xr:uid="{00000000-0005-0000-0000-00008B010000}"/>
    <cellStyle name="Afjusted 8 3 2" xfId="11807" xr:uid="{00000000-0005-0000-0000-00008B010000}"/>
    <cellStyle name="Afjusted 8 3 2 2" xfId="30280" xr:uid="{00000000-0005-0000-0000-00008B010000}"/>
    <cellStyle name="Afjusted 8 3 2 3" xfId="48643" xr:uid="{00000000-0005-0000-0000-00008B010000}"/>
    <cellStyle name="Afjusted 8 3 3" xfId="16082" xr:uid="{00000000-0005-0000-0000-00008B010000}"/>
    <cellStyle name="Afjusted 8 3 3 2" xfId="34454" xr:uid="{00000000-0005-0000-0000-00008B010000}"/>
    <cellStyle name="Afjusted 8 3 3 3" xfId="52817" xr:uid="{00000000-0005-0000-0000-00008B010000}"/>
    <cellStyle name="Afjusted 8 3 4" xfId="25201" xr:uid="{00000000-0005-0000-0000-00008B010000}"/>
    <cellStyle name="Afjusted 8 3 4 2" xfId="43570" xr:uid="{00000000-0005-0000-0000-00008B010000}"/>
    <cellStyle name="Afjusted 8 3 5" xfId="21522" xr:uid="{00000000-0005-0000-0000-00008B010000}"/>
    <cellStyle name="Afjusted 8 3 6" xfId="39901" xr:uid="{00000000-0005-0000-0000-00008B010000}"/>
    <cellStyle name="Afjusted 8 4" xfId="6283" xr:uid="{00000000-0005-0000-0000-00008B010000}"/>
    <cellStyle name="Afjusted 8 4 2" xfId="12585" xr:uid="{00000000-0005-0000-0000-00008B010000}"/>
    <cellStyle name="Afjusted 8 4 2 2" xfId="31014" xr:uid="{00000000-0005-0000-0000-00008B010000}"/>
    <cellStyle name="Afjusted 8 4 2 3" xfId="49377" xr:uid="{00000000-0005-0000-0000-00008B010000}"/>
    <cellStyle name="Afjusted 8 4 3" xfId="16898" xr:uid="{00000000-0005-0000-0000-00008B010000}"/>
    <cellStyle name="Afjusted 8 4 3 2" xfId="35253" xr:uid="{00000000-0005-0000-0000-00008B010000}"/>
    <cellStyle name="Afjusted 8 4 3 3" xfId="53616" xr:uid="{00000000-0005-0000-0000-00008B010000}"/>
    <cellStyle name="Afjusted 8 4 4" xfId="26033" xr:uid="{00000000-0005-0000-0000-00008B010000}"/>
    <cellStyle name="Afjusted 8 4 4 2" xfId="44402" xr:uid="{00000000-0005-0000-0000-00008B010000}"/>
    <cellStyle name="Afjusted 8 4 5" xfId="22330" xr:uid="{00000000-0005-0000-0000-00008B010000}"/>
    <cellStyle name="Afjusted 8 4 6" xfId="40700" xr:uid="{00000000-0005-0000-0000-00008B010000}"/>
    <cellStyle name="Afjusted 8 5" xfId="8917" xr:uid="{00000000-0005-0000-0000-00008B010000}"/>
    <cellStyle name="Afjusted 8 5 2" xfId="27692" xr:uid="{00000000-0005-0000-0000-00008B010000}"/>
    <cellStyle name="Afjusted 8 5 3" xfId="46055" xr:uid="{00000000-0005-0000-0000-00008B010000}"/>
    <cellStyle name="Afjusted 8 6" xfId="12452" xr:uid="{00000000-0005-0000-0000-00008B010000}"/>
    <cellStyle name="Afjusted 8 6 2" xfId="30893" xr:uid="{00000000-0005-0000-0000-00008B010000}"/>
    <cellStyle name="Afjusted 8 6 3" xfId="49256" xr:uid="{00000000-0005-0000-0000-00008B010000}"/>
    <cellStyle name="Afjusted 8 7" xfId="23130" xr:uid="{00000000-0005-0000-0000-00008B010000}"/>
    <cellStyle name="Afjusted 8 7 2" xfId="41499" xr:uid="{00000000-0005-0000-0000-00008B010000}"/>
    <cellStyle name="Afjusted 8 8" xfId="17710" xr:uid="{00000000-0005-0000-0000-00008B010000}"/>
    <cellStyle name="Afjusted 8 9" xfId="36132" xr:uid="{00000000-0005-0000-0000-00008B010000}"/>
    <cellStyle name="Afjusted 9" xfId="3293" xr:uid="{00000000-0005-0000-0000-00008C010000}"/>
    <cellStyle name="Afjusted 9 2" xfId="3884" xr:uid="{00000000-0005-0000-0000-00008C010000}"/>
    <cellStyle name="Afjusted 9 2 2" xfId="6057" xr:uid="{00000000-0005-0000-0000-00008C010000}"/>
    <cellStyle name="Afjusted 9 2 2 2" xfId="12421" xr:uid="{00000000-0005-0000-0000-00008C010000}"/>
    <cellStyle name="Afjusted 9 2 2 2 2" xfId="30868" xr:uid="{00000000-0005-0000-0000-00008C010000}"/>
    <cellStyle name="Afjusted 9 2 2 2 3" xfId="49231" xr:uid="{00000000-0005-0000-0000-00008C010000}"/>
    <cellStyle name="Afjusted 9 2 2 3" xfId="16747" xr:uid="{00000000-0005-0000-0000-00008C010000}"/>
    <cellStyle name="Afjusted 9 2 2 3 2" xfId="35119" xr:uid="{00000000-0005-0000-0000-00008C010000}"/>
    <cellStyle name="Afjusted 9 2 2 3 3" xfId="53482" xr:uid="{00000000-0005-0000-0000-00008C010000}"/>
    <cellStyle name="Afjusted 9 2 2 4" xfId="25866" xr:uid="{00000000-0005-0000-0000-00008C010000}"/>
    <cellStyle name="Afjusted 9 2 2 4 2" xfId="44235" xr:uid="{00000000-0005-0000-0000-00008C010000}"/>
    <cellStyle name="Afjusted 9 2 2 5" xfId="22187" xr:uid="{00000000-0005-0000-0000-00008C010000}"/>
    <cellStyle name="Afjusted 9 2 2 6" xfId="40566" xr:uid="{00000000-0005-0000-0000-00008C010000}"/>
    <cellStyle name="Afjusted 9 2 3" xfId="6883" xr:uid="{00000000-0005-0000-0000-00008C010000}"/>
    <cellStyle name="Afjusted 9 2 3 2" xfId="13174" xr:uid="{00000000-0005-0000-0000-00008C010000}"/>
    <cellStyle name="Afjusted 9 2 3 2 2" xfId="31600" xr:uid="{00000000-0005-0000-0000-00008C010000}"/>
    <cellStyle name="Afjusted 9 2 3 2 3" xfId="49963" xr:uid="{00000000-0005-0000-0000-00008C010000}"/>
    <cellStyle name="Afjusted 9 2 3 3" xfId="17485" xr:uid="{00000000-0005-0000-0000-00008C010000}"/>
    <cellStyle name="Afjusted 9 2 3 3 2" xfId="35833" xr:uid="{00000000-0005-0000-0000-00008C010000}"/>
    <cellStyle name="Afjusted 9 2 3 3 3" xfId="54196" xr:uid="{00000000-0005-0000-0000-00008C010000}"/>
    <cellStyle name="Afjusted 9 2 3 4" xfId="26618" xr:uid="{00000000-0005-0000-0000-00008C010000}"/>
    <cellStyle name="Afjusted 9 2 3 4 2" xfId="44987" xr:uid="{00000000-0005-0000-0000-00008C010000}"/>
    <cellStyle name="Afjusted 9 2 3 5" xfId="22911" xr:uid="{00000000-0005-0000-0000-00008C010000}"/>
    <cellStyle name="Afjusted 9 2 3 6" xfId="41280" xr:uid="{00000000-0005-0000-0000-00008C010000}"/>
    <cellStyle name="Afjusted 9 2 4" xfId="10597" xr:uid="{00000000-0005-0000-0000-00008C010000}"/>
    <cellStyle name="Afjusted 9 2 4 2" xfId="14654" xr:uid="{00000000-0005-0000-0000-00008C010000}"/>
    <cellStyle name="Afjusted 9 2 4 2 2" xfId="33070" xr:uid="{00000000-0005-0000-0000-00008C010000}"/>
    <cellStyle name="Afjusted 9 2 4 2 3" xfId="51433" xr:uid="{00000000-0005-0000-0000-00008C010000}"/>
    <cellStyle name="Afjusted 9 2 4 3" xfId="29308" xr:uid="{00000000-0005-0000-0000-00008C010000}"/>
    <cellStyle name="Afjusted 9 2 4 3 2" xfId="47671" xr:uid="{00000000-0005-0000-0000-00008C010000}"/>
    <cellStyle name="Afjusted 9 2 4 4" xfId="20111" xr:uid="{00000000-0005-0000-0000-00008C010000}"/>
    <cellStyle name="Afjusted 9 2 4 5" xfId="38517" xr:uid="{00000000-0005-0000-0000-00008C010000}"/>
    <cellStyle name="Afjusted 9 2 5" xfId="9991" xr:uid="{00000000-0005-0000-0000-00008C010000}"/>
    <cellStyle name="Afjusted 9 2 5 2" xfId="28703" xr:uid="{00000000-0005-0000-0000-00008C010000}"/>
    <cellStyle name="Afjusted 9 2 5 3" xfId="47066" xr:uid="{00000000-0005-0000-0000-00008C010000}"/>
    <cellStyle name="Afjusted 9 2 6" xfId="14048" xr:uid="{00000000-0005-0000-0000-00008C010000}"/>
    <cellStyle name="Afjusted 9 2 6 2" xfId="32465" xr:uid="{00000000-0005-0000-0000-00008C010000}"/>
    <cellStyle name="Afjusted 9 2 6 3" xfId="50828" xr:uid="{00000000-0005-0000-0000-00008C010000}"/>
    <cellStyle name="Afjusted 9 2 7" xfId="23792" xr:uid="{00000000-0005-0000-0000-00008C010000}"/>
    <cellStyle name="Afjusted 9 2 7 2" xfId="42161" xr:uid="{00000000-0005-0000-0000-00008C010000}"/>
    <cellStyle name="Afjusted 9 2 8" xfId="19359" xr:uid="{00000000-0005-0000-0000-00008C010000}"/>
    <cellStyle name="Afjusted 9 2 9" xfId="37766" xr:uid="{00000000-0005-0000-0000-00008C010000}"/>
    <cellStyle name="Afjusted 9 3" xfId="5485" xr:uid="{00000000-0005-0000-0000-00008C010000}"/>
    <cellStyle name="Afjusted 9 3 2" xfId="11853" xr:uid="{00000000-0005-0000-0000-00008C010000}"/>
    <cellStyle name="Afjusted 9 3 2 2" xfId="30301" xr:uid="{00000000-0005-0000-0000-00008C010000}"/>
    <cellStyle name="Afjusted 9 3 2 3" xfId="48664" xr:uid="{00000000-0005-0000-0000-00008C010000}"/>
    <cellStyle name="Afjusted 9 3 3" xfId="16176" xr:uid="{00000000-0005-0000-0000-00008C010000}"/>
    <cellStyle name="Afjusted 9 3 3 2" xfId="34548" xr:uid="{00000000-0005-0000-0000-00008C010000}"/>
    <cellStyle name="Afjusted 9 3 3 3" xfId="52911" xr:uid="{00000000-0005-0000-0000-00008C010000}"/>
    <cellStyle name="Afjusted 9 3 4" xfId="25295" xr:uid="{00000000-0005-0000-0000-00008C010000}"/>
    <cellStyle name="Afjusted 9 3 4 2" xfId="43664" xr:uid="{00000000-0005-0000-0000-00008C010000}"/>
    <cellStyle name="Afjusted 9 3 5" xfId="21616" xr:uid="{00000000-0005-0000-0000-00008C010000}"/>
    <cellStyle name="Afjusted 9 3 6" xfId="39995" xr:uid="{00000000-0005-0000-0000-00008C010000}"/>
    <cellStyle name="Afjusted 9 4" xfId="6315" xr:uid="{00000000-0005-0000-0000-00008C010000}"/>
    <cellStyle name="Afjusted 9 4 2" xfId="12606" xr:uid="{00000000-0005-0000-0000-00008C010000}"/>
    <cellStyle name="Afjusted 9 4 2 2" xfId="31032" xr:uid="{00000000-0005-0000-0000-00008C010000}"/>
    <cellStyle name="Afjusted 9 4 2 3" xfId="49395" xr:uid="{00000000-0005-0000-0000-00008C010000}"/>
    <cellStyle name="Afjusted 9 4 3" xfId="16918" xr:uid="{00000000-0005-0000-0000-00008C010000}"/>
    <cellStyle name="Afjusted 9 4 3 2" xfId="35268" xr:uid="{00000000-0005-0000-0000-00008C010000}"/>
    <cellStyle name="Afjusted 9 4 3 3" xfId="53631" xr:uid="{00000000-0005-0000-0000-00008C010000}"/>
    <cellStyle name="Afjusted 9 4 4" xfId="26053" xr:uid="{00000000-0005-0000-0000-00008C010000}"/>
    <cellStyle name="Afjusted 9 4 4 2" xfId="44422" xr:uid="{00000000-0005-0000-0000-00008C010000}"/>
    <cellStyle name="Afjusted 9 4 5" xfId="22346" xr:uid="{00000000-0005-0000-0000-00008C010000}"/>
    <cellStyle name="Afjusted 9 4 6" xfId="40715" xr:uid="{00000000-0005-0000-0000-00008C010000}"/>
    <cellStyle name="Afjusted 9 5" xfId="8984" xr:uid="{00000000-0005-0000-0000-00008C010000}"/>
    <cellStyle name="Afjusted 9 5 2" xfId="27715" xr:uid="{00000000-0005-0000-0000-00008C010000}"/>
    <cellStyle name="Afjusted 9 5 3" xfId="46078" xr:uid="{00000000-0005-0000-0000-00008C010000}"/>
    <cellStyle name="Afjusted 9 6" xfId="8155" xr:uid="{00000000-0005-0000-0000-00008C010000}"/>
    <cellStyle name="Afjusted 9 6 2" xfId="27359" xr:uid="{00000000-0005-0000-0000-00008C010000}"/>
    <cellStyle name="Afjusted 9 6 3" xfId="45724" xr:uid="{00000000-0005-0000-0000-00008C010000}"/>
    <cellStyle name="Afjusted 9 7" xfId="23223" xr:uid="{00000000-0005-0000-0000-00008C010000}"/>
    <cellStyle name="Afjusted 9 7 2" xfId="41592" xr:uid="{00000000-0005-0000-0000-00008C010000}"/>
    <cellStyle name="Afjusted 9 8" xfId="17809" xr:uid="{00000000-0005-0000-0000-00008C010000}"/>
    <cellStyle name="Afjusted 9 9" xfId="36225" xr:uid="{00000000-0005-0000-0000-00008C010000}"/>
    <cellStyle name="Arial" xfId="258" xr:uid="{00000000-0005-0000-0000-00008D010000}"/>
    <cellStyle name="Arial 10" xfId="259" xr:uid="{00000000-0005-0000-0000-00008E010000}"/>
    <cellStyle name="Arial 10 2" xfId="1989" xr:uid="{00000000-0005-0000-0000-00008F010000}"/>
    <cellStyle name="Arial 10 3" xfId="2442" xr:uid="{00000000-0005-0000-0000-000090010000}"/>
    <cellStyle name="Arial 12" xfId="260" xr:uid="{00000000-0005-0000-0000-000091010000}"/>
    <cellStyle name="Arial 12 2" xfId="1990" xr:uid="{00000000-0005-0000-0000-000092010000}"/>
    <cellStyle name="Arial 12 3" xfId="2443" xr:uid="{00000000-0005-0000-0000-000093010000}"/>
    <cellStyle name="Arial 2" xfId="1988" xr:uid="{00000000-0005-0000-0000-000094010000}"/>
    <cellStyle name="Arial 3" xfId="2441" xr:uid="{00000000-0005-0000-0000-000095010000}"/>
    <cellStyle name="Arial6Bold" xfId="261" xr:uid="{00000000-0005-0000-0000-000096010000}"/>
    <cellStyle name="Arial6Bold 10" xfId="11611" xr:uid="{00000000-0005-0000-0000-000096010000}"/>
    <cellStyle name="Arial6Bold 10 2" xfId="8507" xr:uid="{00000000-0005-0000-0000-000096010000}"/>
    <cellStyle name="Arial6Bold 11" xfId="7523" xr:uid="{00000000-0005-0000-0000-000096010000}"/>
    <cellStyle name="Arial6Bold 12" xfId="9165" xr:uid="{00000000-0005-0000-0000-000096010000}"/>
    <cellStyle name="Arial6Bold 2" xfId="1117" xr:uid="{00000000-0005-0000-0000-000097010000}"/>
    <cellStyle name="Arial6Bold 2 2" xfId="4217" xr:uid="{00000000-0005-0000-0000-000097010000}"/>
    <cellStyle name="Arial6Bold 2 2 2" xfId="14962" xr:uid="{00000000-0005-0000-0000-000097010000}"/>
    <cellStyle name="Arial6Bold 2 2 2 2" xfId="33366" xr:uid="{00000000-0005-0000-0000-000097010000}"/>
    <cellStyle name="Arial6Bold 2 2 2 3" xfId="51729" xr:uid="{00000000-0005-0000-0000-000097010000}"/>
    <cellStyle name="Arial6Bold 2 2 3" xfId="24095" xr:uid="{00000000-0005-0000-0000-000097010000}"/>
    <cellStyle name="Arial6Bold 2 2 3 2" xfId="42464" xr:uid="{00000000-0005-0000-0000-000097010000}"/>
    <cellStyle name="Arial6Bold 2 2 4" xfId="20415" xr:uid="{00000000-0005-0000-0000-000097010000}"/>
    <cellStyle name="Arial6Bold 2 2 5" xfId="38813" xr:uid="{00000000-0005-0000-0000-000097010000}"/>
    <cellStyle name="Arial6Bold 2 3" xfId="18245" xr:uid="{00000000-0005-0000-0000-000097010000}"/>
    <cellStyle name="Arial6Bold 2 3 2" xfId="36651" xr:uid="{00000000-0005-0000-0000-000097010000}"/>
    <cellStyle name="Arial6Bold 2 4" xfId="8225" xr:uid="{00000000-0005-0000-0000-000097010000}"/>
    <cellStyle name="Arial6Bold 2 5" xfId="8279" xr:uid="{00000000-0005-0000-0000-000097010000}"/>
    <cellStyle name="Arial6Bold 3" xfId="1873" xr:uid="{00000000-0005-0000-0000-000098010000}"/>
    <cellStyle name="Arial6Bold 3 2" xfId="4797" xr:uid="{00000000-0005-0000-0000-000098010000}"/>
    <cellStyle name="Arial6Bold 3 2 2" xfId="15523" xr:uid="{00000000-0005-0000-0000-000098010000}"/>
    <cellStyle name="Arial6Bold 3 2 2 2" xfId="33916" xr:uid="{00000000-0005-0000-0000-000098010000}"/>
    <cellStyle name="Arial6Bold 3 2 2 3" xfId="52279" xr:uid="{00000000-0005-0000-0000-000098010000}"/>
    <cellStyle name="Arial6Bold 3 2 3" xfId="24647" xr:uid="{00000000-0005-0000-0000-000098010000}"/>
    <cellStyle name="Arial6Bold 3 2 3 2" xfId="43016" xr:uid="{00000000-0005-0000-0000-000098010000}"/>
    <cellStyle name="Arial6Bold 3 2 4" xfId="20974" xr:uid="{00000000-0005-0000-0000-000098010000}"/>
    <cellStyle name="Arial6Bold 3 2 5" xfId="39363" xr:uid="{00000000-0005-0000-0000-000098010000}"/>
    <cellStyle name="Arial6Bold 3 3" xfId="18113" xr:uid="{00000000-0005-0000-0000-000098010000}"/>
    <cellStyle name="Arial6Bold 3 3 2" xfId="36520" xr:uid="{00000000-0005-0000-0000-000098010000}"/>
    <cellStyle name="Arial6Bold 3 4" xfId="11598" xr:uid="{00000000-0005-0000-0000-000098010000}"/>
    <cellStyle name="Arial6Bold 3 5" xfId="5080" xr:uid="{00000000-0005-0000-0000-000098010000}"/>
    <cellStyle name="Arial6Bold 4" xfId="1991" xr:uid="{00000000-0005-0000-0000-000099010000}"/>
    <cellStyle name="Arial6Bold 4 2" xfId="4847" xr:uid="{00000000-0005-0000-0000-000099010000}"/>
    <cellStyle name="Arial6Bold 4 2 2" xfId="15573" xr:uid="{00000000-0005-0000-0000-000099010000}"/>
    <cellStyle name="Arial6Bold 4 2 2 2" xfId="33965" xr:uid="{00000000-0005-0000-0000-000099010000}"/>
    <cellStyle name="Arial6Bold 4 2 2 3" xfId="52328" xr:uid="{00000000-0005-0000-0000-000099010000}"/>
    <cellStyle name="Arial6Bold 4 2 3" xfId="24696" xr:uid="{00000000-0005-0000-0000-000099010000}"/>
    <cellStyle name="Arial6Bold 4 2 3 2" xfId="43065" xr:uid="{00000000-0005-0000-0000-000099010000}"/>
    <cellStyle name="Arial6Bold 4 2 4" xfId="21023" xr:uid="{00000000-0005-0000-0000-000099010000}"/>
    <cellStyle name="Arial6Bold 4 2 5" xfId="39412" xr:uid="{00000000-0005-0000-0000-000099010000}"/>
    <cellStyle name="Arial6Bold 4 3" xfId="19265" xr:uid="{00000000-0005-0000-0000-000099010000}"/>
    <cellStyle name="Arial6Bold 4 3 2" xfId="37672" xr:uid="{00000000-0005-0000-0000-000099010000}"/>
    <cellStyle name="Arial6Bold 4 4" xfId="11708" xr:uid="{00000000-0005-0000-0000-000099010000}"/>
    <cellStyle name="Arial6Bold 4 5" xfId="7330" xr:uid="{00000000-0005-0000-0000-000099010000}"/>
    <cellStyle name="Arial6Bold 5" xfId="2444" xr:uid="{00000000-0005-0000-0000-00009A010000}"/>
    <cellStyle name="Arial6Bold 5 2" xfId="5007" xr:uid="{00000000-0005-0000-0000-00009A010000}"/>
    <cellStyle name="Arial6Bold 5 2 2" xfId="15721" xr:uid="{00000000-0005-0000-0000-00009A010000}"/>
    <cellStyle name="Arial6Bold 5 2 2 2" xfId="34109" xr:uid="{00000000-0005-0000-0000-00009A010000}"/>
    <cellStyle name="Arial6Bold 5 2 2 3" xfId="52472" xr:uid="{00000000-0005-0000-0000-00009A010000}"/>
    <cellStyle name="Arial6Bold 5 2 3" xfId="24845" xr:uid="{00000000-0005-0000-0000-00009A010000}"/>
    <cellStyle name="Arial6Bold 5 2 3 2" xfId="43214" xr:uid="{00000000-0005-0000-0000-00009A010000}"/>
    <cellStyle name="Arial6Bold 5 2 4" xfId="21169" xr:uid="{00000000-0005-0000-0000-00009A010000}"/>
    <cellStyle name="Arial6Bold 5 2 5" xfId="39556" xr:uid="{00000000-0005-0000-0000-00009A010000}"/>
    <cellStyle name="Arial6Bold 5 3" xfId="19555" xr:uid="{00000000-0005-0000-0000-00009A010000}"/>
    <cellStyle name="Arial6Bold 5 3 2" xfId="37961" xr:uid="{00000000-0005-0000-0000-00009A010000}"/>
    <cellStyle name="Arial6Bold 5 4" xfId="8156" xr:uid="{00000000-0005-0000-0000-00009A010000}"/>
    <cellStyle name="Arial6Bold 5 5" xfId="35853" xr:uid="{00000000-0005-0000-0000-00009A010000}"/>
    <cellStyle name="Arial6Bold 6" xfId="3042" xr:uid="{00000000-0005-0000-0000-00009B010000}"/>
    <cellStyle name="Arial6Bold 6 2" xfId="5294" xr:uid="{00000000-0005-0000-0000-00009B010000}"/>
    <cellStyle name="Arial6Bold 6 2 2" xfId="15986" xr:uid="{00000000-0005-0000-0000-00009B010000}"/>
    <cellStyle name="Arial6Bold 6 2 2 2" xfId="34360" xr:uid="{00000000-0005-0000-0000-00009B010000}"/>
    <cellStyle name="Arial6Bold 6 2 2 3" xfId="52723" xr:uid="{00000000-0005-0000-0000-00009B010000}"/>
    <cellStyle name="Arial6Bold 6 2 3" xfId="25107" xr:uid="{00000000-0005-0000-0000-00009B010000}"/>
    <cellStyle name="Arial6Bold 6 2 3 2" xfId="43476" xr:uid="{00000000-0005-0000-0000-00009B010000}"/>
    <cellStyle name="Arial6Bold 6 2 4" xfId="21428" xr:uid="{00000000-0005-0000-0000-00009B010000}"/>
    <cellStyle name="Arial6Bold 6 2 5" xfId="39807" xr:uid="{00000000-0005-0000-0000-00009B010000}"/>
    <cellStyle name="Arial6Bold 6 3" xfId="23044" xr:uid="{00000000-0005-0000-0000-00009B010000}"/>
    <cellStyle name="Arial6Bold 6 3 2" xfId="41413" xr:uid="{00000000-0005-0000-0000-00009B010000}"/>
    <cellStyle name="Arial6Bold 6 4" xfId="17604" xr:uid="{00000000-0005-0000-0000-00009B010000}"/>
    <cellStyle name="Arial6Bold 6 5" xfId="36046" xr:uid="{00000000-0005-0000-0000-00009B010000}"/>
    <cellStyle name="Arial6Bold 7" xfId="2982" xr:uid="{00000000-0005-0000-0000-00009C010000}"/>
    <cellStyle name="Arial6Bold 7 2" xfId="5246" xr:uid="{00000000-0005-0000-0000-00009C010000}"/>
    <cellStyle name="Arial6Bold 7 2 2" xfId="15938" xr:uid="{00000000-0005-0000-0000-00009C010000}"/>
    <cellStyle name="Arial6Bold 7 2 2 2" xfId="34312" xr:uid="{00000000-0005-0000-0000-00009C010000}"/>
    <cellStyle name="Arial6Bold 7 2 2 3" xfId="52675" xr:uid="{00000000-0005-0000-0000-00009C010000}"/>
    <cellStyle name="Arial6Bold 7 2 3" xfId="25059" xr:uid="{00000000-0005-0000-0000-00009C010000}"/>
    <cellStyle name="Arial6Bold 7 2 3 2" xfId="43428" xr:uid="{00000000-0005-0000-0000-00009C010000}"/>
    <cellStyle name="Arial6Bold 7 2 4" xfId="21380" xr:uid="{00000000-0005-0000-0000-00009C010000}"/>
    <cellStyle name="Arial6Bold 7 2 5" xfId="39759" xr:uid="{00000000-0005-0000-0000-00009C010000}"/>
    <cellStyle name="Arial6Bold 7 3" xfId="22999" xr:uid="{00000000-0005-0000-0000-00009C010000}"/>
    <cellStyle name="Arial6Bold 7 3 2" xfId="41368" xr:uid="{00000000-0005-0000-0000-00009C010000}"/>
    <cellStyle name="Arial6Bold 7 4" xfId="17557" xr:uid="{00000000-0005-0000-0000-00009C010000}"/>
    <cellStyle name="Arial6Bold 7 5" xfId="36001" xr:uid="{00000000-0005-0000-0000-00009C010000}"/>
    <cellStyle name="Arial6Bold 8" xfId="3292" xr:uid="{00000000-0005-0000-0000-00009D010000}"/>
    <cellStyle name="Arial6Bold 8 2" xfId="5484" xr:uid="{00000000-0005-0000-0000-00009D010000}"/>
    <cellStyle name="Arial6Bold 8 2 2" xfId="16175" xr:uid="{00000000-0005-0000-0000-00009D010000}"/>
    <cellStyle name="Arial6Bold 8 2 2 2" xfId="34547" xr:uid="{00000000-0005-0000-0000-00009D010000}"/>
    <cellStyle name="Arial6Bold 8 2 2 3" xfId="52910" xr:uid="{00000000-0005-0000-0000-00009D010000}"/>
    <cellStyle name="Arial6Bold 8 2 3" xfId="25294" xr:uid="{00000000-0005-0000-0000-00009D010000}"/>
    <cellStyle name="Arial6Bold 8 2 3 2" xfId="43663" xr:uid="{00000000-0005-0000-0000-00009D010000}"/>
    <cellStyle name="Arial6Bold 8 2 4" xfId="21615" xr:uid="{00000000-0005-0000-0000-00009D010000}"/>
    <cellStyle name="Arial6Bold 8 2 5" xfId="39994" xr:uid="{00000000-0005-0000-0000-00009D010000}"/>
    <cellStyle name="Arial6Bold 8 3" xfId="23222" xr:uid="{00000000-0005-0000-0000-00009D010000}"/>
    <cellStyle name="Arial6Bold 8 3 2" xfId="41591" xr:uid="{00000000-0005-0000-0000-00009D010000}"/>
    <cellStyle name="Arial6Bold 8 4" xfId="17808" xr:uid="{00000000-0005-0000-0000-00009D010000}"/>
    <cellStyle name="Arial6Bold 8 5" xfId="36224" xr:uid="{00000000-0005-0000-0000-00009D010000}"/>
    <cellStyle name="Arial6Bold 9" xfId="3926" xr:uid="{00000000-0005-0000-0000-000096010000}"/>
    <cellStyle name="Arial6Bold 9 2" xfId="14691" xr:uid="{00000000-0005-0000-0000-000096010000}"/>
    <cellStyle name="Arial6Bold 9 2 2" xfId="33104" xr:uid="{00000000-0005-0000-0000-000096010000}"/>
    <cellStyle name="Arial6Bold 9 2 3" xfId="51467" xr:uid="{00000000-0005-0000-0000-000096010000}"/>
    <cellStyle name="Arial6Bold 9 3" xfId="23828" xr:uid="{00000000-0005-0000-0000-000096010000}"/>
    <cellStyle name="Arial6Bold 9 3 2" xfId="42197" xr:uid="{00000000-0005-0000-0000-000096010000}"/>
    <cellStyle name="Arial6Bold 9 4" xfId="20146" xr:uid="{00000000-0005-0000-0000-000096010000}"/>
    <cellStyle name="Arial6Bold 9 5" xfId="38551" xr:uid="{00000000-0005-0000-0000-000096010000}"/>
    <cellStyle name="Arial8Bold" xfId="262" xr:uid="{00000000-0005-0000-0000-00009E010000}"/>
    <cellStyle name="Arial8Bold 10" xfId="18992" xr:uid="{00000000-0005-0000-0000-00009E010000}"/>
    <cellStyle name="Arial8Bold 10 2" xfId="37401" xr:uid="{00000000-0005-0000-0000-00009E010000}"/>
    <cellStyle name="Arial8Bold 11" xfId="10886" xr:uid="{00000000-0005-0000-0000-00009E010000}"/>
    <cellStyle name="Arial8Bold 12" xfId="14836" xr:uid="{00000000-0005-0000-0000-00009E010000}"/>
    <cellStyle name="Arial8Bold 2" xfId="1118" xr:uid="{00000000-0005-0000-0000-00009F010000}"/>
    <cellStyle name="Arial8Bold 2 2" xfId="4218" xr:uid="{00000000-0005-0000-0000-00009F010000}"/>
    <cellStyle name="Arial8Bold 2 2 2" xfId="14963" xr:uid="{00000000-0005-0000-0000-00009F010000}"/>
    <cellStyle name="Arial8Bold 2 2 2 2" xfId="33367" xr:uid="{00000000-0005-0000-0000-00009F010000}"/>
    <cellStyle name="Arial8Bold 2 2 2 3" xfId="51730" xr:uid="{00000000-0005-0000-0000-00009F010000}"/>
    <cellStyle name="Arial8Bold 2 2 3" xfId="24096" xr:uid="{00000000-0005-0000-0000-00009F010000}"/>
    <cellStyle name="Arial8Bold 2 2 3 2" xfId="42465" xr:uid="{00000000-0005-0000-0000-00009F010000}"/>
    <cellStyle name="Arial8Bold 2 2 4" xfId="20416" xr:uid="{00000000-0005-0000-0000-00009F010000}"/>
    <cellStyle name="Arial8Bold 2 2 5" xfId="38814" xr:uid="{00000000-0005-0000-0000-00009F010000}"/>
    <cellStyle name="Arial8Bold 2 3" xfId="19206" xr:uid="{00000000-0005-0000-0000-00009F010000}"/>
    <cellStyle name="Arial8Bold 2 3 2" xfId="37613" xr:uid="{00000000-0005-0000-0000-00009F010000}"/>
    <cellStyle name="Arial8Bold 2 4" xfId="11772" xr:uid="{00000000-0005-0000-0000-00009F010000}"/>
    <cellStyle name="Arial8Bold 2 5" xfId="7527" xr:uid="{00000000-0005-0000-0000-00009F010000}"/>
    <cellStyle name="Arial8Bold 3" xfId="1872" xr:uid="{00000000-0005-0000-0000-0000A0010000}"/>
    <cellStyle name="Arial8Bold 3 2" xfId="4796" xr:uid="{00000000-0005-0000-0000-0000A0010000}"/>
    <cellStyle name="Arial8Bold 3 2 2" xfId="15522" xr:uid="{00000000-0005-0000-0000-0000A0010000}"/>
    <cellStyle name="Arial8Bold 3 2 2 2" xfId="33915" xr:uid="{00000000-0005-0000-0000-0000A0010000}"/>
    <cellStyle name="Arial8Bold 3 2 2 3" xfId="52278" xr:uid="{00000000-0005-0000-0000-0000A0010000}"/>
    <cellStyle name="Arial8Bold 3 2 3" xfId="24646" xr:uid="{00000000-0005-0000-0000-0000A0010000}"/>
    <cellStyle name="Arial8Bold 3 2 3 2" xfId="43015" xr:uid="{00000000-0005-0000-0000-0000A0010000}"/>
    <cellStyle name="Arial8Bold 3 2 4" xfId="20973" xr:uid="{00000000-0005-0000-0000-0000A0010000}"/>
    <cellStyle name="Arial8Bold 3 2 5" xfId="39362" xr:uid="{00000000-0005-0000-0000-0000A0010000}"/>
    <cellStyle name="Arial8Bold 3 3" xfId="19322" xr:uid="{00000000-0005-0000-0000-0000A0010000}"/>
    <cellStyle name="Arial8Bold 3 3 2" xfId="37729" xr:uid="{00000000-0005-0000-0000-0000A0010000}"/>
    <cellStyle name="Arial8Bold 3 4" xfId="7551" xr:uid="{00000000-0005-0000-0000-0000A0010000}"/>
    <cellStyle name="Arial8Bold 3 5" xfId="10972" xr:uid="{00000000-0005-0000-0000-0000A0010000}"/>
    <cellStyle name="Arial8Bold 4" xfId="1992" xr:uid="{00000000-0005-0000-0000-0000A1010000}"/>
    <cellStyle name="Arial8Bold 4 2" xfId="4848" xr:uid="{00000000-0005-0000-0000-0000A1010000}"/>
    <cellStyle name="Arial8Bold 4 2 2" xfId="15574" xr:uid="{00000000-0005-0000-0000-0000A1010000}"/>
    <cellStyle name="Arial8Bold 4 2 2 2" xfId="33966" xr:uid="{00000000-0005-0000-0000-0000A1010000}"/>
    <cellStyle name="Arial8Bold 4 2 2 3" xfId="52329" xr:uid="{00000000-0005-0000-0000-0000A1010000}"/>
    <cellStyle name="Arial8Bold 4 2 3" xfId="24697" xr:uid="{00000000-0005-0000-0000-0000A1010000}"/>
    <cellStyle name="Arial8Bold 4 2 3 2" xfId="43066" xr:uid="{00000000-0005-0000-0000-0000A1010000}"/>
    <cellStyle name="Arial8Bold 4 2 4" xfId="21024" xr:uid="{00000000-0005-0000-0000-0000A1010000}"/>
    <cellStyle name="Arial8Bold 4 2 5" xfId="39413" xr:uid="{00000000-0005-0000-0000-0000A1010000}"/>
    <cellStyle name="Arial8Bold 4 3" xfId="19318" xr:uid="{00000000-0005-0000-0000-0000A1010000}"/>
    <cellStyle name="Arial8Bold 4 3 2" xfId="37725" xr:uid="{00000000-0005-0000-0000-0000A1010000}"/>
    <cellStyle name="Arial8Bold 4 4" xfId="8556" xr:uid="{00000000-0005-0000-0000-0000A1010000}"/>
    <cellStyle name="Arial8Bold 4 5" xfId="11825" xr:uid="{00000000-0005-0000-0000-0000A1010000}"/>
    <cellStyle name="Arial8Bold 5" xfId="2445" xr:uid="{00000000-0005-0000-0000-0000A2010000}"/>
    <cellStyle name="Arial8Bold 5 2" xfId="5008" xr:uid="{00000000-0005-0000-0000-0000A2010000}"/>
    <cellStyle name="Arial8Bold 5 2 2" xfId="15722" xr:uid="{00000000-0005-0000-0000-0000A2010000}"/>
    <cellStyle name="Arial8Bold 5 2 2 2" xfId="34110" xr:uid="{00000000-0005-0000-0000-0000A2010000}"/>
    <cellStyle name="Arial8Bold 5 2 2 3" xfId="52473" xr:uid="{00000000-0005-0000-0000-0000A2010000}"/>
    <cellStyle name="Arial8Bold 5 2 3" xfId="24846" xr:uid="{00000000-0005-0000-0000-0000A2010000}"/>
    <cellStyle name="Arial8Bold 5 2 3 2" xfId="43215" xr:uid="{00000000-0005-0000-0000-0000A2010000}"/>
    <cellStyle name="Arial8Bold 5 2 4" xfId="21170" xr:uid="{00000000-0005-0000-0000-0000A2010000}"/>
    <cellStyle name="Arial8Bold 5 2 5" xfId="39557" xr:uid="{00000000-0005-0000-0000-0000A2010000}"/>
    <cellStyle name="Arial8Bold 5 3" xfId="19477" xr:uid="{00000000-0005-0000-0000-0000A2010000}"/>
    <cellStyle name="Arial8Bold 5 3 2" xfId="37883" xr:uid="{00000000-0005-0000-0000-0000A2010000}"/>
    <cellStyle name="Arial8Bold 5 4" xfId="8447" xr:uid="{00000000-0005-0000-0000-0000A2010000}"/>
    <cellStyle name="Arial8Bold 5 5" xfId="35854" xr:uid="{00000000-0005-0000-0000-0000A2010000}"/>
    <cellStyle name="Arial8Bold 6" xfId="3041" xr:uid="{00000000-0005-0000-0000-0000A3010000}"/>
    <cellStyle name="Arial8Bold 6 2" xfId="5293" xr:uid="{00000000-0005-0000-0000-0000A3010000}"/>
    <cellStyle name="Arial8Bold 6 2 2" xfId="15985" xr:uid="{00000000-0005-0000-0000-0000A3010000}"/>
    <cellStyle name="Arial8Bold 6 2 2 2" xfId="34359" xr:uid="{00000000-0005-0000-0000-0000A3010000}"/>
    <cellStyle name="Arial8Bold 6 2 2 3" xfId="52722" xr:uid="{00000000-0005-0000-0000-0000A3010000}"/>
    <cellStyle name="Arial8Bold 6 2 3" xfId="25106" xr:uid="{00000000-0005-0000-0000-0000A3010000}"/>
    <cellStyle name="Arial8Bold 6 2 3 2" xfId="43475" xr:uid="{00000000-0005-0000-0000-0000A3010000}"/>
    <cellStyle name="Arial8Bold 6 2 4" xfId="21427" xr:uid="{00000000-0005-0000-0000-0000A3010000}"/>
    <cellStyle name="Arial8Bold 6 2 5" xfId="39806" xr:uid="{00000000-0005-0000-0000-0000A3010000}"/>
    <cellStyle name="Arial8Bold 6 3" xfId="23043" xr:uid="{00000000-0005-0000-0000-0000A3010000}"/>
    <cellStyle name="Arial8Bold 6 3 2" xfId="41412" xr:uid="{00000000-0005-0000-0000-0000A3010000}"/>
    <cellStyle name="Arial8Bold 6 4" xfId="17603" xr:uid="{00000000-0005-0000-0000-0000A3010000}"/>
    <cellStyle name="Arial8Bold 6 5" xfId="36045" xr:uid="{00000000-0005-0000-0000-0000A3010000}"/>
    <cellStyle name="Arial8Bold 7" xfId="2984" xr:uid="{00000000-0005-0000-0000-0000A4010000}"/>
    <cellStyle name="Arial8Bold 7 2" xfId="5247" xr:uid="{00000000-0005-0000-0000-0000A4010000}"/>
    <cellStyle name="Arial8Bold 7 2 2" xfId="15939" xr:uid="{00000000-0005-0000-0000-0000A4010000}"/>
    <cellStyle name="Arial8Bold 7 2 2 2" xfId="34313" xr:uid="{00000000-0005-0000-0000-0000A4010000}"/>
    <cellStyle name="Arial8Bold 7 2 2 3" xfId="52676" xr:uid="{00000000-0005-0000-0000-0000A4010000}"/>
    <cellStyle name="Arial8Bold 7 2 3" xfId="25060" xr:uid="{00000000-0005-0000-0000-0000A4010000}"/>
    <cellStyle name="Arial8Bold 7 2 3 2" xfId="43429" xr:uid="{00000000-0005-0000-0000-0000A4010000}"/>
    <cellStyle name="Arial8Bold 7 2 4" xfId="21381" xr:uid="{00000000-0005-0000-0000-0000A4010000}"/>
    <cellStyle name="Arial8Bold 7 2 5" xfId="39760" xr:uid="{00000000-0005-0000-0000-0000A4010000}"/>
    <cellStyle name="Arial8Bold 7 3" xfId="23000" xr:uid="{00000000-0005-0000-0000-0000A4010000}"/>
    <cellStyle name="Arial8Bold 7 3 2" xfId="41369" xr:uid="{00000000-0005-0000-0000-0000A4010000}"/>
    <cellStyle name="Arial8Bold 7 4" xfId="17559" xr:uid="{00000000-0005-0000-0000-0000A4010000}"/>
    <cellStyle name="Arial8Bold 7 5" xfId="36002" xr:uid="{00000000-0005-0000-0000-0000A4010000}"/>
    <cellStyle name="Arial8Bold 8" xfId="3291" xr:uid="{00000000-0005-0000-0000-0000A5010000}"/>
    <cellStyle name="Arial8Bold 8 2" xfId="5483" xr:uid="{00000000-0005-0000-0000-0000A5010000}"/>
    <cellStyle name="Arial8Bold 8 2 2" xfId="16174" xr:uid="{00000000-0005-0000-0000-0000A5010000}"/>
    <cellStyle name="Arial8Bold 8 2 2 2" xfId="34546" xr:uid="{00000000-0005-0000-0000-0000A5010000}"/>
    <cellStyle name="Arial8Bold 8 2 2 3" xfId="52909" xr:uid="{00000000-0005-0000-0000-0000A5010000}"/>
    <cellStyle name="Arial8Bold 8 2 3" xfId="25293" xr:uid="{00000000-0005-0000-0000-0000A5010000}"/>
    <cellStyle name="Arial8Bold 8 2 3 2" xfId="43662" xr:uid="{00000000-0005-0000-0000-0000A5010000}"/>
    <cellStyle name="Arial8Bold 8 2 4" xfId="21614" xr:uid="{00000000-0005-0000-0000-0000A5010000}"/>
    <cellStyle name="Arial8Bold 8 2 5" xfId="39993" xr:uid="{00000000-0005-0000-0000-0000A5010000}"/>
    <cellStyle name="Arial8Bold 8 3" xfId="23221" xr:uid="{00000000-0005-0000-0000-0000A5010000}"/>
    <cellStyle name="Arial8Bold 8 3 2" xfId="41590" xr:uid="{00000000-0005-0000-0000-0000A5010000}"/>
    <cellStyle name="Arial8Bold 8 4" xfId="17807" xr:uid="{00000000-0005-0000-0000-0000A5010000}"/>
    <cellStyle name="Arial8Bold 8 5" xfId="36223" xr:uid="{00000000-0005-0000-0000-0000A5010000}"/>
    <cellStyle name="Arial8Bold 9" xfId="3927" xr:uid="{00000000-0005-0000-0000-00009E010000}"/>
    <cellStyle name="Arial8Bold 9 2" xfId="14692" xr:uid="{00000000-0005-0000-0000-00009E010000}"/>
    <cellStyle name="Arial8Bold 9 2 2" xfId="33105" xr:uid="{00000000-0005-0000-0000-00009E010000}"/>
    <cellStyle name="Arial8Bold 9 2 3" xfId="51468" xr:uid="{00000000-0005-0000-0000-00009E010000}"/>
    <cellStyle name="Arial8Bold 9 3" xfId="23829" xr:uid="{00000000-0005-0000-0000-00009E010000}"/>
    <cellStyle name="Arial8Bold 9 3 2" xfId="42198" xr:uid="{00000000-0005-0000-0000-00009E010000}"/>
    <cellStyle name="Arial8Bold 9 4" xfId="20147" xr:uid="{00000000-0005-0000-0000-00009E010000}"/>
    <cellStyle name="Arial8Bold 9 5" xfId="38552" xr:uid="{00000000-0005-0000-0000-00009E010000}"/>
    <cellStyle name="Arial8Italic" xfId="263" xr:uid="{00000000-0005-0000-0000-0000A6010000}"/>
    <cellStyle name="Arial8Italic 10" xfId="18079" xr:uid="{00000000-0005-0000-0000-0000A6010000}"/>
    <cellStyle name="Arial8Italic 10 2" xfId="36486" xr:uid="{00000000-0005-0000-0000-0000A6010000}"/>
    <cellStyle name="Arial8Italic 11" xfId="7564" xr:uid="{00000000-0005-0000-0000-0000A6010000}"/>
    <cellStyle name="Arial8Italic 12" xfId="13209" xr:uid="{00000000-0005-0000-0000-0000A6010000}"/>
    <cellStyle name="Arial8Italic 2" xfId="1119" xr:uid="{00000000-0005-0000-0000-0000A7010000}"/>
    <cellStyle name="Arial8Italic 2 2" xfId="4219" xr:uid="{00000000-0005-0000-0000-0000A7010000}"/>
    <cellStyle name="Arial8Italic 2 2 2" xfId="14964" xr:uid="{00000000-0005-0000-0000-0000A7010000}"/>
    <cellStyle name="Arial8Italic 2 2 2 2" xfId="33368" xr:uid="{00000000-0005-0000-0000-0000A7010000}"/>
    <cellStyle name="Arial8Italic 2 2 2 3" xfId="51731" xr:uid="{00000000-0005-0000-0000-0000A7010000}"/>
    <cellStyle name="Arial8Italic 2 2 3" xfId="24097" xr:uid="{00000000-0005-0000-0000-0000A7010000}"/>
    <cellStyle name="Arial8Italic 2 2 3 2" xfId="42466" xr:uid="{00000000-0005-0000-0000-0000A7010000}"/>
    <cellStyle name="Arial8Italic 2 2 4" xfId="20417" xr:uid="{00000000-0005-0000-0000-0000A7010000}"/>
    <cellStyle name="Arial8Italic 2 2 5" xfId="38815" xr:uid="{00000000-0005-0000-0000-0000A7010000}"/>
    <cellStyle name="Arial8Italic 2 3" xfId="19250" xr:uid="{00000000-0005-0000-0000-0000A7010000}"/>
    <cellStyle name="Arial8Italic 2 3 2" xfId="37657" xr:uid="{00000000-0005-0000-0000-0000A7010000}"/>
    <cellStyle name="Arial8Italic 2 4" xfId="8193" xr:uid="{00000000-0005-0000-0000-0000A7010000}"/>
    <cellStyle name="Arial8Italic 2 5" xfId="17680" xr:uid="{00000000-0005-0000-0000-0000A7010000}"/>
    <cellStyle name="Arial8Italic 3" xfId="1871" xr:uid="{00000000-0005-0000-0000-0000A8010000}"/>
    <cellStyle name="Arial8Italic 3 2" xfId="4795" xr:uid="{00000000-0005-0000-0000-0000A8010000}"/>
    <cellStyle name="Arial8Italic 3 2 2" xfId="15521" xr:uid="{00000000-0005-0000-0000-0000A8010000}"/>
    <cellStyle name="Arial8Italic 3 2 2 2" xfId="33914" xr:uid="{00000000-0005-0000-0000-0000A8010000}"/>
    <cellStyle name="Arial8Italic 3 2 2 3" xfId="52277" xr:uid="{00000000-0005-0000-0000-0000A8010000}"/>
    <cellStyle name="Arial8Italic 3 2 3" xfId="24645" xr:uid="{00000000-0005-0000-0000-0000A8010000}"/>
    <cellStyle name="Arial8Italic 3 2 3 2" xfId="43014" xr:uid="{00000000-0005-0000-0000-0000A8010000}"/>
    <cellStyle name="Arial8Italic 3 2 4" xfId="20972" xr:uid="{00000000-0005-0000-0000-0000A8010000}"/>
    <cellStyle name="Arial8Italic 3 2 5" xfId="39361" xr:uid="{00000000-0005-0000-0000-0000A8010000}"/>
    <cellStyle name="Arial8Italic 3 3" xfId="19264" xr:uid="{00000000-0005-0000-0000-0000A8010000}"/>
    <cellStyle name="Arial8Italic 3 3 2" xfId="37671" xr:uid="{00000000-0005-0000-0000-0000A8010000}"/>
    <cellStyle name="Arial8Italic 3 4" xfId="8053" xr:uid="{00000000-0005-0000-0000-0000A8010000}"/>
    <cellStyle name="Arial8Italic 3 5" xfId="6979" xr:uid="{00000000-0005-0000-0000-0000A8010000}"/>
    <cellStyle name="Arial8Italic 4" xfId="1993" xr:uid="{00000000-0005-0000-0000-0000A9010000}"/>
    <cellStyle name="Arial8Italic 4 2" xfId="4849" xr:uid="{00000000-0005-0000-0000-0000A9010000}"/>
    <cellStyle name="Arial8Italic 4 2 2" xfId="15575" xr:uid="{00000000-0005-0000-0000-0000A9010000}"/>
    <cellStyle name="Arial8Italic 4 2 2 2" xfId="33967" xr:uid="{00000000-0005-0000-0000-0000A9010000}"/>
    <cellStyle name="Arial8Italic 4 2 2 3" xfId="52330" xr:uid="{00000000-0005-0000-0000-0000A9010000}"/>
    <cellStyle name="Arial8Italic 4 2 3" xfId="24698" xr:uid="{00000000-0005-0000-0000-0000A9010000}"/>
    <cellStyle name="Arial8Italic 4 2 3 2" xfId="43067" xr:uid="{00000000-0005-0000-0000-0000A9010000}"/>
    <cellStyle name="Arial8Italic 4 2 4" xfId="21025" xr:uid="{00000000-0005-0000-0000-0000A9010000}"/>
    <cellStyle name="Arial8Italic 4 2 5" xfId="39414" xr:uid="{00000000-0005-0000-0000-0000A9010000}"/>
    <cellStyle name="Arial8Italic 4 3" xfId="18118" xr:uid="{00000000-0005-0000-0000-0000A9010000}"/>
    <cellStyle name="Arial8Italic 4 3 2" xfId="36525" xr:uid="{00000000-0005-0000-0000-0000A9010000}"/>
    <cellStyle name="Arial8Italic 4 4" xfId="11681" xr:uid="{00000000-0005-0000-0000-0000A9010000}"/>
    <cellStyle name="Arial8Italic 4 5" xfId="7168" xr:uid="{00000000-0005-0000-0000-0000A9010000}"/>
    <cellStyle name="Arial8Italic 5" xfId="2446" xr:uid="{00000000-0005-0000-0000-0000AA010000}"/>
    <cellStyle name="Arial8Italic 5 2" xfId="5009" xr:uid="{00000000-0005-0000-0000-0000AA010000}"/>
    <cellStyle name="Arial8Italic 5 2 2" xfId="15723" xr:uid="{00000000-0005-0000-0000-0000AA010000}"/>
    <cellStyle name="Arial8Italic 5 2 2 2" xfId="34111" xr:uid="{00000000-0005-0000-0000-0000AA010000}"/>
    <cellStyle name="Arial8Italic 5 2 2 3" xfId="52474" xr:uid="{00000000-0005-0000-0000-0000AA010000}"/>
    <cellStyle name="Arial8Italic 5 2 3" xfId="24847" xr:uid="{00000000-0005-0000-0000-0000AA010000}"/>
    <cellStyle name="Arial8Italic 5 2 3 2" xfId="43216" xr:uid="{00000000-0005-0000-0000-0000AA010000}"/>
    <cellStyle name="Arial8Italic 5 2 4" xfId="21171" xr:uid="{00000000-0005-0000-0000-0000AA010000}"/>
    <cellStyle name="Arial8Italic 5 2 5" xfId="39558" xr:uid="{00000000-0005-0000-0000-0000AA010000}"/>
    <cellStyle name="Arial8Italic 5 3" xfId="19501" xr:uid="{00000000-0005-0000-0000-0000AA010000}"/>
    <cellStyle name="Arial8Italic 5 3 2" xfId="37907" xr:uid="{00000000-0005-0000-0000-0000AA010000}"/>
    <cellStyle name="Arial8Italic 5 4" xfId="8828" xr:uid="{00000000-0005-0000-0000-0000AA010000}"/>
    <cellStyle name="Arial8Italic 5 5" xfId="35855" xr:uid="{00000000-0005-0000-0000-0000AA010000}"/>
    <cellStyle name="Arial8Italic 6" xfId="3040" xr:uid="{00000000-0005-0000-0000-0000AB010000}"/>
    <cellStyle name="Arial8Italic 6 2" xfId="5292" xr:uid="{00000000-0005-0000-0000-0000AB010000}"/>
    <cellStyle name="Arial8Italic 6 2 2" xfId="15984" xr:uid="{00000000-0005-0000-0000-0000AB010000}"/>
    <cellStyle name="Arial8Italic 6 2 2 2" xfId="34358" xr:uid="{00000000-0005-0000-0000-0000AB010000}"/>
    <cellStyle name="Arial8Italic 6 2 2 3" xfId="52721" xr:uid="{00000000-0005-0000-0000-0000AB010000}"/>
    <cellStyle name="Arial8Italic 6 2 3" xfId="25105" xr:uid="{00000000-0005-0000-0000-0000AB010000}"/>
    <cellStyle name="Arial8Italic 6 2 3 2" xfId="43474" xr:uid="{00000000-0005-0000-0000-0000AB010000}"/>
    <cellStyle name="Arial8Italic 6 2 4" xfId="21426" xr:uid="{00000000-0005-0000-0000-0000AB010000}"/>
    <cellStyle name="Arial8Italic 6 2 5" xfId="39805" xr:uid="{00000000-0005-0000-0000-0000AB010000}"/>
    <cellStyle name="Arial8Italic 6 3" xfId="23042" xr:uid="{00000000-0005-0000-0000-0000AB010000}"/>
    <cellStyle name="Arial8Italic 6 3 2" xfId="41411" xr:uid="{00000000-0005-0000-0000-0000AB010000}"/>
    <cellStyle name="Arial8Italic 6 4" xfId="17602" xr:uid="{00000000-0005-0000-0000-0000AB010000}"/>
    <cellStyle name="Arial8Italic 6 5" xfId="36044" xr:uid="{00000000-0005-0000-0000-0000AB010000}"/>
    <cellStyle name="Arial8Italic 7" xfId="2985" xr:uid="{00000000-0005-0000-0000-0000AC010000}"/>
    <cellStyle name="Arial8Italic 7 2" xfId="5248" xr:uid="{00000000-0005-0000-0000-0000AC010000}"/>
    <cellStyle name="Arial8Italic 7 2 2" xfId="15940" xr:uid="{00000000-0005-0000-0000-0000AC010000}"/>
    <cellStyle name="Arial8Italic 7 2 2 2" xfId="34314" xr:uid="{00000000-0005-0000-0000-0000AC010000}"/>
    <cellStyle name="Arial8Italic 7 2 2 3" xfId="52677" xr:uid="{00000000-0005-0000-0000-0000AC010000}"/>
    <cellStyle name="Arial8Italic 7 2 3" xfId="25061" xr:uid="{00000000-0005-0000-0000-0000AC010000}"/>
    <cellStyle name="Arial8Italic 7 2 3 2" xfId="43430" xr:uid="{00000000-0005-0000-0000-0000AC010000}"/>
    <cellStyle name="Arial8Italic 7 2 4" xfId="21382" xr:uid="{00000000-0005-0000-0000-0000AC010000}"/>
    <cellStyle name="Arial8Italic 7 2 5" xfId="39761" xr:uid="{00000000-0005-0000-0000-0000AC010000}"/>
    <cellStyle name="Arial8Italic 7 3" xfId="23001" xr:uid="{00000000-0005-0000-0000-0000AC010000}"/>
    <cellStyle name="Arial8Italic 7 3 2" xfId="41370" xr:uid="{00000000-0005-0000-0000-0000AC010000}"/>
    <cellStyle name="Arial8Italic 7 4" xfId="17560" xr:uid="{00000000-0005-0000-0000-0000AC010000}"/>
    <cellStyle name="Arial8Italic 7 5" xfId="36003" xr:uid="{00000000-0005-0000-0000-0000AC010000}"/>
    <cellStyle name="Arial8Italic 8" xfId="3290" xr:uid="{00000000-0005-0000-0000-0000AD010000}"/>
    <cellStyle name="Arial8Italic 8 2" xfId="5482" xr:uid="{00000000-0005-0000-0000-0000AD010000}"/>
    <cellStyle name="Arial8Italic 8 2 2" xfId="16173" xr:uid="{00000000-0005-0000-0000-0000AD010000}"/>
    <cellStyle name="Arial8Italic 8 2 2 2" xfId="34545" xr:uid="{00000000-0005-0000-0000-0000AD010000}"/>
    <cellStyle name="Arial8Italic 8 2 2 3" xfId="52908" xr:uid="{00000000-0005-0000-0000-0000AD010000}"/>
    <cellStyle name="Arial8Italic 8 2 3" xfId="25292" xr:uid="{00000000-0005-0000-0000-0000AD010000}"/>
    <cellStyle name="Arial8Italic 8 2 3 2" xfId="43661" xr:uid="{00000000-0005-0000-0000-0000AD010000}"/>
    <cellStyle name="Arial8Italic 8 2 4" xfId="21613" xr:uid="{00000000-0005-0000-0000-0000AD010000}"/>
    <cellStyle name="Arial8Italic 8 2 5" xfId="39992" xr:uid="{00000000-0005-0000-0000-0000AD010000}"/>
    <cellStyle name="Arial8Italic 8 3" xfId="23220" xr:uid="{00000000-0005-0000-0000-0000AD010000}"/>
    <cellStyle name="Arial8Italic 8 3 2" xfId="41589" xr:uid="{00000000-0005-0000-0000-0000AD010000}"/>
    <cellStyle name="Arial8Italic 8 4" xfId="17806" xr:uid="{00000000-0005-0000-0000-0000AD010000}"/>
    <cellStyle name="Arial8Italic 8 5" xfId="36222" xr:uid="{00000000-0005-0000-0000-0000AD010000}"/>
    <cellStyle name="Arial8Italic 9" xfId="3928" xr:uid="{00000000-0005-0000-0000-0000A6010000}"/>
    <cellStyle name="Arial8Italic 9 2" xfId="14693" xr:uid="{00000000-0005-0000-0000-0000A6010000}"/>
    <cellStyle name="Arial8Italic 9 2 2" xfId="33106" xr:uid="{00000000-0005-0000-0000-0000A6010000}"/>
    <cellStyle name="Arial8Italic 9 2 3" xfId="51469" xr:uid="{00000000-0005-0000-0000-0000A6010000}"/>
    <cellStyle name="Arial8Italic 9 3" xfId="23830" xr:uid="{00000000-0005-0000-0000-0000A6010000}"/>
    <cellStyle name="Arial8Italic 9 3 2" xfId="42199" xr:uid="{00000000-0005-0000-0000-0000A6010000}"/>
    <cellStyle name="Arial8Italic 9 4" xfId="20148" xr:uid="{00000000-0005-0000-0000-0000A6010000}"/>
    <cellStyle name="Arial8Italic 9 5" xfId="38553" xr:uid="{00000000-0005-0000-0000-0000A6010000}"/>
    <cellStyle name="ArialNormal" xfId="264" xr:uid="{00000000-0005-0000-0000-0000AE010000}"/>
    <cellStyle name="ArialNormal 10" xfId="19557" xr:uid="{00000000-0005-0000-0000-0000AE010000}"/>
    <cellStyle name="ArialNormal 10 2" xfId="37963" xr:uid="{00000000-0005-0000-0000-0000AE010000}"/>
    <cellStyle name="ArialNormal 11" xfId="7110" xr:uid="{00000000-0005-0000-0000-0000AE010000}"/>
    <cellStyle name="ArialNormal 12" xfId="8970" xr:uid="{00000000-0005-0000-0000-0000AE010000}"/>
    <cellStyle name="ArialNormal 2" xfId="1120" xr:uid="{00000000-0005-0000-0000-0000AF010000}"/>
    <cellStyle name="ArialNormal 2 2" xfId="4220" xr:uid="{00000000-0005-0000-0000-0000AF010000}"/>
    <cellStyle name="ArialNormal 2 2 2" xfId="14965" xr:uid="{00000000-0005-0000-0000-0000AF010000}"/>
    <cellStyle name="ArialNormal 2 2 2 2" xfId="33369" xr:uid="{00000000-0005-0000-0000-0000AF010000}"/>
    <cellStyle name="ArialNormal 2 2 2 3" xfId="51732" xr:uid="{00000000-0005-0000-0000-0000AF010000}"/>
    <cellStyle name="ArialNormal 2 2 3" xfId="24098" xr:uid="{00000000-0005-0000-0000-0000AF010000}"/>
    <cellStyle name="ArialNormal 2 2 3 2" xfId="42467" xr:uid="{00000000-0005-0000-0000-0000AF010000}"/>
    <cellStyle name="ArialNormal 2 2 4" xfId="20418" xr:uid="{00000000-0005-0000-0000-0000AF010000}"/>
    <cellStyle name="ArialNormal 2 2 5" xfId="38816" xr:uid="{00000000-0005-0000-0000-0000AF010000}"/>
    <cellStyle name="ArialNormal 2 3" xfId="17846" xr:uid="{00000000-0005-0000-0000-0000AF010000}"/>
    <cellStyle name="ArialNormal 2 3 2" xfId="36256" xr:uid="{00000000-0005-0000-0000-0000AF010000}"/>
    <cellStyle name="ArialNormal 2 4" xfId="8493" xr:uid="{00000000-0005-0000-0000-0000AF010000}"/>
    <cellStyle name="ArialNormal 2 5" xfId="8620" xr:uid="{00000000-0005-0000-0000-0000AF010000}"/>
    <cellStyle name="ArialNormal 3" xfId="1870" xr:uid="{00000000-0005-0000-0000-0000B0010000}"/>
    <cellStyle name="ArialNormal 3 2" xfId="4794" xr:uid="{00000000-0005-0000-0000-0000B0010000}"/>
    <cellStyle name="ArialNormal 3 2 2" xfId="15520" xr:uid="{00000000-0005-0000-0000-0000B0010000}"/>
    <cellStyle name="ArialNormal 3 2 2 2" xfId="33913" xr:uid="{00000000-0005-0000-0000-0000B0010000}"/>
    <cellStyle name="ArialNormal 3 2 2 3" xfId="52276" xr:uid="{00000000-0005-0000-0000-0000B0010000}"/>
    <cellStyle name="ArialNormal 3 2 3" xfId="24644" xr:uid="{00000000-0005-0000-0000-0000B0010000}"/>
    <cellStyle name="ArialNormal 3 2 3 2" xfId="43013" xr:uid="{00000000-0005-0000-0000-0000B0010000}"/>
    <cellStyle name="ArialNormal 3 2 4" xfId="20971" xr:uid="{00000000-0005-0000-0000-0000B0010000}"/>
    <cellStyle name="ArialNormal 3 2 5" xfId="39360" xr:uid="{00000000-0005-0000-0000-0000B0010000}"/>
    <cellStyle name="ArialNormal 3 3" xfId="18372" xr:uid="{00000000-0005-0000-0000-0000B0010000}"/>
    <cellStyle name="ArialNormal 3 3 2" xfId="36778" xr:uid="{00000000-0005-0000-0000-0000B0010000}"/>
    <cellStyle name="ArialNormal 3 4" xfId="8503" xr:uid="{00000000-0005-0000-0000-0000B0010000}"/>
    <cellStyle name="ArialNormal 3 5" xfId="8775" xr:uid="{00000000-0005-0000-0000-0000B0010000}"/>
    <cellStyle name="ArialNormal 4" xfId="1994" xr:uid="{00000000-0005-0000-0000-0000B1010000}"/>
    <cellStyle name="ArialNormal 4 2" xfId="4850" xr:uid="{00000000-0005-0000-0000-0000B1010000}"/>
    <cellStyle name="ArialNormal 4 2 2" xfId="15576" xr:uid="{00000000-0005-0000-0000-0000B1010000}"/>
    <cellStyle name="ArialNormal 4 2 2 2" xfId="33968" xr:uid="{00000000-0005-0000-0000-0000B1010000}"/>
    <cellStyle name="ArialNormal 4 2 2 3" xfId="52331" xr:uid="{00000000-0005-0000-0000-0000B1010000}"/>
    <cellStyle name="ArialNormal 4 2 3" xfId="24699" xr:uid="{00000000-0005-0000-0000-0000B1010000}"/>
    <cellStyle name="ArialNormal 4 2 3 2" xfId="43068" xr:uid="{00000000-0005-0000-0000-0000B1010000}"/>
    <cellStyle name="ArialNormal 4 2 4" xfId="21026" xr:uid="{00000000-0005-0000-0000-0000B1010000}"/>
    <cellStyle name="ArialNormal 4 2 5" xfId="39415" xr:uid="{00000000-0005-0000-0000-0000B1010000}"/>
    <cellStyle name="ArialNormal 4 3" xfId="18186" xr:uid="{00000000-0005-0000-0000-0000B1010000}"/>
    <cellStyle name="ArialNormal 4 3 2" xfId="36592" xr:uid="{00000000-0005-0000-0000-0000B1010000}"/>
    <cellStyle name="ArialNormal 4 4" xfId="8861" xr:uid="{00000000-0005-0000-0000-0000B1010000}"/>
    <cellStyle name="ArialNormal 4 5" xfId="8805" xr:uid="{00000000-0005-0000-0000-0000B1010000}"/>
    <cellStyle name="ArialNormal 5" xfId="2447" xr:uid="{00000000-0005-0000-0000-0000B2010000}"/>
    <cellStyle name="ArialNormal 5 2" xfId="5010" xr:uid="{00000000-0005-0000-0000-0000B2010000}"/>
    <cellStyle name="ArialNormal 5 2 2" xfId="15724" xr:uid="{00000000-0005-0000-0000-0000B2010000}"/>
    <cellStyle name="ArialNormal 5 2 2 2" xfId="34112" xr:uid="{00000000-0005-0000-0000-0000B2010000}"/>
    <cellStyle name="ArialNormal 5 2 2 3" xfId="52475" xr:uid="{00000000-0005-0000-0000-0000B2010000}"/>
    <cellStyle name="ArialNormal 5 2 3" xfId="24848" xr:uid="{00000000-0005-0000-0000-0000B2010000}"/>
    <cellStyle name="ArialNormal 5 2 3 2" xfId="43217" xr:uid="{00000000-0005-0000-0000-0000B2010000}"/>
    <cellStyle name="ArialNormal 5 2 4" xfId="21172" xr:uid="{00000000-0005-0000-0000-0000B2010000}"/>
    <cellStyle name="ArialNormal 5 2 5" xfId="39559" xr:uid="{00000000-0005-0000-0000-0000B2010000}"/>
    <cellStyle name="ArialNormal 5 3" xfId="18816" xr:uid="{00000000-0005-0000-0000-0000B2010000}"/>
    <cellStyle name="ArialNormal 5 3 2" xfId="37225" xr:uid="{00000000-0005-0000-0000-0000B2010000}"/>
    <cellStyle name="ArialNormal 5 4" xfId="8688" xr:uid="{00000000-0005-0000-0000-0000B2010000}"/>
    <cellStyle name="ArialNormal 5 5" xfId="35856" xr:uid="{00000000-0005-0000-0000-0000B2010000}"/>
    <cellStyle name="ArialNormal 6" xfId="3039" xr:uid="{00000000-0005-0000-0000-0000B3010000}"/>
    <cellStyle name="ArialNormal 6 2" xfId="5291" xr:uid="{00000000-0005-0000-0000-0000B3010000}"/>
    <cellStyle name="ArialNormal 6 2 2" xfId="15983" xr:uid="{00000000-0005-0000-0000-0000B3010000}"/>
    <cellStyle name="ArialNormal 6 2 2 2" xfId="34357" xr:uid="{00000000-0005-0000-0000-0000B3010000}"/>
    <cellStyle name="ArialNormal 6 2 2 3" xfId="52720" xr:uid="{00000000-0005-0000-0000-0000B3010000}"/>
    <cellStyle name="ArialNormal 6 2 3" xfId="25104" xr:uid="{00000000-0005-0000-0000-0000B3010000}"/>
    <cellStyle name="ArialNormal 6 2 3 2" xfId="43473" xr:uid="{00000000-0005-0000-0000-0000B3010000}"/>
    <cellStyle name="ArialNormal 6 2 4" xfId="21425" xr:uid="{00000000-0005-0000-0000-0000B3010000}"/>
    <cellStyle name="ArialNormal 6 2 5" xfId="39804" xr:uid="{00000000-0005-0000-0000-0000B3010000}"/>
    <cellStyle name="ArialNormal 6 3" xfId="23041" xr:uid="{00000000-0005-0000-0000-0000B3010000}"/>
    <cellStyle name="ArialNormal 6 3 2" xfId="41410" xr:uid="{00000000-0005-0000-0000-0000B3010000}"/>
    <cellStyle name="ArialNormal 6 4" xfId="17601" xr:uid="{00000000-0005-0000-0000-0000B3010000}"/>
    <cellStyle name="ArialNormal 6 5" xfId="36043" xr:uid="{00000000-0005-0000-0000-0000B3010000}"/>
    <cellStyle name="ArialNormal 7" xfId="2986" xr:uid="{00000000-0005-0000-0000-0000B4010000}"/>
    <cellStyle name="ArialNormal 7 2" xfId="5249" xr:uid="{00000000-0005-0000-0000-0000B4010000}"/>
    <cellStyle name="ArialNormal 7 2 2" xfId="15941" xr:uid="{00000000-0005-0000-0000-0000B4010000}"/>
    <cellStyle name="ArialNormal 7 2 2 2" xfId="34315" xr:uid="{00000000-0005-0000-0000-0000B4010000}"/>
    <cellStyle name="ArialNormal 7 2 2 3" xfId="52678" xr:uid="{00000000-0005-0000-0000-0000B4010000}"/>
    <cellStyle name="ArialNormal 7 2 3" xfId="25062" xr:uid="{00000000-0005-0000-0000-0000B4010000}"/>
    <cellStyle name="ArialNormal 7 2 3 2" xfId="43431" xr:uid="{00000000-0005-0000-0000-0000B4010000}"/>
    <cellStyle name="ArialNormal 7 2 4" xfId="21383" xr:uid="{00000000-0005-0000-0000-0000B4010000}"/>
    <cellStyle name="ArialNormal 7 2 5" xfId="39762" xr:uid="{00000000-0005-0000-0000-0000B4010000}"/>
    <cellStyle name="ArialNormal 7 3" xfId="23002" xr:uid="{00000000-0005-0000-0000-0000B4010000}"/>
    <cellStyle name="ArialNormal 7 3 2" xfId="41371" xr:uid="{00000000-0005-0000-0000-0000B4010000}"/>
    <cellStyle name="ArialNormal 7 4" xfId="17561" xr:uid="{00000000-0005-0000-0000-0000B4010000}"/>
    <cellStyle name="ArialNormal 7 5" xfId="36004" xr:uid="{00000000-0005-0000-0000-0000B4010000}"/>
    <cellStyle name="ArialNormal 8" xfId="3289" xr:uid="{00000000-0005-0000-0000-0000B5010000}"/>
    <cellStyle name="ArialNormal 8 2" xfId="5481" xr:uid="{00000000-0005-0000-0000-0000B5010000}"/>
    <cellStyle name="ArialNormal 8 2 2" xfId="16172" xr:uid="{00000000-0005-0000-0000-0000B5010000}"/>
    <cellStyle name="ArialNormal 8 2 2 2" xfId="34544" xr:uid="{00000000-0005-0000-0000-0000B5010000}"/>
    <cellStyle name="ArialNormal 8 2 2 3" xfId="52907" xr:uid="{00000000-0005-0000-0000-0000B5010000}"/>
    <cellStyle name="ArialNormal 8 2 3" xfId="25291" xr:uid="{00000000-0005-0000-0000-0000B5010000}"/>
    <cellStyle name="ArialNormal 8 2 3 2" xfId="43660" xr:uid="{00000000-0005-0000-0000-0000B5010000}"/>
    <cellStyle name="ArialNormal 8 2 4" xfId="21612" xr:uid="{00000000-0005-0000-0000-0000B5010000}"/>
    <cellStyle name="ArialNormal 8 2 5" xfId="39991" xr:uid="{00000000-0005-0000-0000-0000B5010000}"/>
    <cellStyle name="ArialNormal 8 3" xfId="23219" xr:uid="{00000000-0005-0000-0000-0000B5010000}"/>
    <cellStyle name="ArialNormal 8 3 2" xfId="41588" xr:uid="{00000000-0005-0000-0000-0000B5010000}"/>
    <cellStyle name="ArialNormal 8 4" xfId="17805" xr:uid="{00000000-0005-0000-0000-0000B5010000}"/>
    <cellStyle name="ArialNormal 8 5" xfId="36221" xr:uid="{00000000-0005-0000-0000-0000B5010000}"/>
    <cellStyle name="ArialNormal 9" xfId="3929" xr:uid="{00000000-0005-0000-0000-0000AE010000}"/>
    <cellStyle name="ArialNormal 9 2" xfId="14694" xr:uid="{00000000-0005-0000-0000-0000AE010000}"/>
    <cellStyle name="ArialNormal 9 2 2" xfId="33107" xr:uid="{00000000-0005-0000-0000-0000AE010000}"/>
    <cellStyle name="ArialNormal 9 2 3" xfId="51470" xr:uid="{00000000-0005-0000-0000-0000AE010000}"/>
    <cellStyle name="ArialNormal 9 3" xfId="23831" xr:uid="{00000000-0005-0000-0000-0000AE010000}"/>
    <cellStyle name="ArialNormal 9 3 2" xfId="42200" xr:uid="{00000000-0005-0000-0000-0000AE010000}"/>
    <cellStyle name="ArialNormal 9 4" xfId="20149" xr:uid="{00000000-0005-0000-0000-0000AE010000}"/>
    <cellStyle name="ArialNormal 9 5" xfId="38554" xr:uid="{00000000-0005-0000-0000-0000AE010000}"/>
    <cellStyle name="Array" xfId="265" xr:uid="{00000000-0005-0000-0000-0000B6010000}"/>
    <cellStyle name="Array 2" xfId="977" xr:uid="{00000000-0005-0000-0000-0000B7010000}"/>
    <cellStyle name="Array 3" xfId="1539" xr:uid="{00000000-0005-0000-0000-0000B8010000}"/>
    <cellStyle name="Array 4" xfId="1995" xr:uid="{00000000-0005-0000-0000-0000B9010000}"/>
    <cellStyle name="Array 5" xfId="2448" xr:uid="{00000000-0005-0000-0000-0000BA010000}"/>
    <cellStyle name="Array 6" xfId="3329" xr:uid="{00000000-0005-0000-0000-0000B6010000}"/>
    <cellStyle name="Array Enter" xfId="266" xr:uid="{00000000-0005-0000-0000-0000BB010000}"/>
    <cellStyle name="Array Enter 2" xfId="978" xr:uid="{00000000-0005-0000-0000-0000BC010000}"/>
    <cellStyle name="Array Enter 3" xfId="1540" xr:uid="{00000000-0005-0000-0000-0000BD010000}"/>
    <cellStyle name="Array Enter 4" xfId="1996" xr:uid="{00000000-0005-0000-0000-0000BE010000}"/>
    <cellStyle name="Array Enter 5" xfId="2449" xr:uid="{00000000-0005-0000-0000-0000BF010000}"/>
    <cellStyle name="Array Enter 6" xfId="3330" xr:uid="{00000000-0005-0000-0000-0000BB010000}"/>
    <cellStyle name="Array_Comps Output" xfId="2808" xr:uid="{00000000-0005-0000-0000-0000C0010000}"/>
    <cellStyle name="Austral." xfId="267" xr:uid="{00000000-0005-0000-0000-0000C1010000}"/>
    <cellStyle name="Bad" xfId="18" builtinId="27" customBuiltin="1"/>
    <cellStyle name="Bad 2" xfId="1554" xr:uid="{00000000-0005-0000-0000-0000C3010000}"/>
    <cellStyle name="Bad 2 2" xfId="4342" xr:uid="{00000000-0005-0000-0000-00003C000000}"/>
    <cellStyle name="Bad 3" xfId="4511" xr:uid="{00000000-0005-0000-0000-00006F1A0000}"/>
    <cellStyle name="Balance Sheet" xfId="268" xr:uid="{00000000-0005-0000-0000-0000C4010000}"/>
    <cellStyle name="BalanceSheet" xfId="269" xr:uid="{00000000-0005-0000-0000-0000C5010000}"/>
    <cellStyle name="Band 2" xfId="270" xr:uid="{00000000-0005-0000-0000-0000C6010000}"/>
    <cellStyle name="Band 2 2" xfId="979" xr:uid="{00000000-0005-0000-0000-0000C7010000}"/>
    <cellStyle name="Band 2 2 2" xfId="4154" xr:uid="{00000000-0005-0000-0000-0000C7010000}"/>
    <cellStyle name="Band 2 3" xfId="1070" xr:uid="{00000000-0005-0000-0000-0000C8010000}"/>
    <cellStyle name="Band 2 3 2" xfId="1445" xr:uid="{00000000-0005-0000-0000-0000C9010000}"/>
    <cellStyle name="Band 2 3 2 2" xfId="4462" xr:uid="{00000000-0005-0000-0000-0000C9010000}"/>
    <cellStyle name="BB_Date_mmm" xfId="271" xr:uid="{00000000-0005-0000-0000-0000CA010000}"/>
    <cellStyle name="BLACK" xfId="272" xr:uid="{00000000-0005-0000-0000-0000CB010000}"/>
    <cellStyle name="BLACK 2" xfId="1997" xr:uid="{00000000-0005-0000-0000-0000CC010000}"/>
    <cellStyle name="BLACK 3" xfId="2450" xr:uid="{00000000-0005-0000-0000-0000CD010000}"/>
    <cellStyle name="blank" xfId="273" xr:uid="{00000000-0005-0000-0000-0000CE010000}"/>
    <cellStyle name="blank 2" xfId="1998" xr:uid="{00000000-0005-0000-0000-0000CF010000}"/>
    <cellStyle name="blank 3" xfId="2451" xr:uid="{00000000-0005-0000-0000-0000D0010000}"/>
    <cellStyle name="Blue" xfId="274" xr:uid="{00000000-0005-0000-0000-0000D1010000}"/>
    <cellStyle name="blue$00" xfId="275" xr:uid="{00000000-0005-0000-0000-0000D2010000}"/>
    <cellStyle name="Blue_AV Model_MS_012505" xfId="991" xr:uid="{00000000-0005-0000-0000-0000D3010000}"/>
    <cellStyle name="bold big" xfId="276" xr:uid="{00000000-0005-0000-0000-0000D4010000}"/>
    <cellStyle name="bold big 2" xfId="1999" xr:uid="{00000000-0005-0000-0000-0000D5010000}"/>
    <cellStyle name="bold big 3" xfId="2452" xr:uid="{00000000-0005-0000-0000-0000D6010000}"/>
    <cellStyle name="Bold/Border" xfId="277" xr:uid="{00000000-0005-0000-0000-0000D7010000}"/>
    <cellStyle name="Bold/Border 10" xfId="6992" xr:uid="{00000000-0005-0000-0000-0000D7010000}"/>
    <cellStyle name="Bold/Border 10 2" xfId="26697" xr:uid="{00000000-0005-0000-0000-0000D7010000}"/>
    <cellStyle name="Bold/Border 10 3" xfId="45066" xr:uid="{00000000-0005-0000-0000-0000D7010000}"/>
    <cellStyle name="Bold/Border 2" xfId="1039" xr:uid="{00000000-0005-0000-0000-0000D8010000}"/>
    <cellStyle name="Bold/Border 2 10" xfId="7436" xr:uid="{00000000-0005-0000-0000-0000D8010000}"/>
    <cellStyle name="Bold/Border 2 10 2" xfId="26822" xr:uid="{00000000-0005-0000-0000-0000D8010000}"/>
    <cellStyle name="Bold/Border 2 10 3" xfId="45190" xr:uid="{00000000-0005-0000-0000-0000D8010000}"/>
    <cellStyle name="Bold/Border 2 11" xfId="11474" xr:uid="{00000000-0005-0000-0000-0000D8010000}"/>
    <cellStyle name="Bold/Border 2 11 2" xfId="30057" xr:uid="{00000000-0005-0000-0000-0000D8010000}"/>
    <cellStyle name="Bold/Border 2 11 3" xfId="48420" xr:uid="{00000000-0005-0000-0000-0000D8010000}"/>
    <cellStyle name="Bold/Border 2 12" xfId="7167" xr:uid="{00000000-0005-0000-0000-0000D8010000}"/>
    <cellStyle name="Bold/Border 2 2" xfId="1235" xr:uid="{00000000-0005-0000-0000-0000D9010000}"/>
    <cellStyle name="Bold/Border 2 2 10" xfId="11476" xr:uid="{00000000-0005-0000-0000-0000D9010000}"/>
    <cellStyle name="Bold/Border 2 2 2" xfId="1641" xr:uid="{00000000-0005-0000-0000-0000DA010000}"/>
    <cellStyle name="Bold/Border 2 2 2 10" xfId="18806" xr:uid="{00000000-0005-0000-0000-0000DA010000}"/>
    <cellStyle name="Bold/Border 2 2 2 10 2" xfId="37215" xr:uid="{00000000-0005-0000-0000-0000DA010000}"/>
    <cellStyle name="Bold/Border 2 2 2 11" xfId="7129" xr:uid="{00000000-0005-0000-0000-0000DA010000}"/>
    <cellStyle name="Bold/Border 2 2 2 12" xfId="7259" xr:uid="{00000000-0005-0000-0000-0000DA010000}"/>
    <cellStyle name="Bold/Border 2 2 2 2" xfId="1722" xr:uid="{00000000-0005-0000-0000-0000DB010000}"/>
    <cellStyle name="Bold/Border 2 2 2 2 10" xfId="7076" xr:uid="{00000000-0005-0000-0000-0000DB010000}"/>
    <cellStyle name="Bold/Border 2 2 2 2 2" xfId="3619" xr:uid="{00000000-0005-0000-0000-0000DB010000}"/>
    <cellStyle name="Bold/Border 2 2 2 2 2 2" xfId="5792" xr:uid="{00000000-0005-0000-0000-0000DB010000}"/>
    <cellStyle name="Bold/Border 2 2 2 2 2 2 2" xfId="12156" xr:uid="{00000000-0005-0000-0000-0000DB010000}"/>
    <cellStyle name="Bold/Border 2 2 2 2 2 2 2 2" xfId="30603" xr:uid="{00000000-0005-0000-0000-0000DB010000}"/>
    <cellStyle name="Bold/Border 2 2 2 2 2 2 2 3" xfId="48966" xr:uid="{00000000-0005-0000-0000-0000DB010000}"/>
    <cellStyle name="Bold/Border 2 2 2 2 2 2 3" xfId="16482" xr:uid="{00000000-0005-0000-0000-0000DB010000}"/>
    <cellStyle name="Bold/Border 2 2 2 2 2 2 3 2" xfId="34854" xr:uid="{00000000-0005-0000-0000-0000DB010000}"/>
    <cellStyle name="Bold/Border 2 2 2 2 2 2 3 3" xfId="53217" xr:uid="{00000000-0005-0000-0000-0000DB010000}"/>
    <cellStyle name="Bold/Border 2 2 2 2 2 2 4" xfId="25601" xr:uid="{00000000-0005-0000-0000-0000DB010000}"/>
    <cellStyle name="Bold/Border 2 2 2 2 2 2 4 2" xfId="43970" xr:uid="{00000000-0005-0000-0000-0000DB010000}"/>
    <cellStyle name="Bold/Border 2 2 2 2 2 2 5" xfId="21922" xr:uid="{00000000-0005-0000-0000-0000DB010000}"/>
    <cellStyle name="Bold/Border 2 2 2 2 2 2 6" xfId="40301" xr:uid="{00000000-0005-0000-0000-0000DB010000}"/>
    <cellStyle name="Bold/Border 2 2 2 2 2 3" xfId="6618" xr:uid="{00000000-0005-0000-0000-0000DB010000}"/>
    <cellStyle name="Bold/Border 2 2 2 2 2 3 2" xfId="12909" xr:uid="{00000000-0005-0000-0000-0000DB010000}"/>
    <cellStyle name="Bold/Border 2 2 2 2 2 3 2 2" xfId="31335" xr:uid="{00000000-0005-0000-0000-0000DB010000}"/>
    <cellStyle name="Bold/Border 2 2 2 2 2 3 2 3" xfId="49698" xr:uid="{00000000-0005-0000-0000-0000DB010000}"/>
    <cellStyle name="Bold/Border 2 2 2 2 2 3 3" xfId="17220" xr:uid="{00000000-0005-0000-0000-0000DB010000}"/>
    <cellStyle name="Bold/Border 2 2 2 2 2 3 3 2" xfId="35568" xr:uid="{00000000-0005-0000-0000-0000DB010000}"/>
    <cellStyle name="Bold/Border 2 2 2 2 2 3 3 3" xfId="53931" xr:uid="{00000000-0005-0000-0000-0000DB010000}"/>
    <cellStyle name="Bold/Border 2 2 2 2 2 3 4" xfId="26353" xr:uid="{00000000-0005-0000-0000-0000DB010000}"/>
    <cellStyle name="Bold/Border 2 2 2 2 2 3 4 2" xfId="44722" xr:uid="{00000000-0005-0000-0000-0000DB010000}"/>
    <cellStyle name="Bold/Border 2 2 2 2 2 3 5" xfId="22646" xr:uid="{00000000-0005-0000-0000-0000DB010000}"/>
    <cellStyle name="Bold/Border 2 2 2 2 2 3 6" xfId="41015" xr:uid="{00000000-0005-0000-0000-0000DB010000}"/>
    <cellStyle name="Bold/Border 2 2 2 2 2 4" xfId="10332" xr:uid="{00000000-0005-0000-0000-0000DB010000}"/>
    <cellStyle name="Bold/Border 2 2 2 2 2 4 2" xfId="14389" xr:uid="{00000000-0005-0000-0000-0000DB010000}"/>
    <cellStyle name="Bold/Border 2 2 2 2 2 4 2 2" xfId="32805" xr:uid="{00000000-0005-0000-0000-0000DB010000}"/>
    <cellStyle name="Bold/Border 2 2 2 2 2 4 2 3" xfId="51168" xr:uid="{00000000-0005-0000-0000-0000DB010000}"/>
    <cellStyle name="Bold/Border 2 2 2 2 2 4 3" xfId="29043" xr:uid="{00000000-0005-0000-0000-0000DB010000}"/>
    <cellStyle name="Bold/Border 2 2 2 2 2 4 3 2" xfId="47406" xr:uid="{00000000-0005-0000-0000-0000DB010000}"/>
    <cellStyle name="Bold/Border 2 2 2 2 2 4 4" xfId="19846" xr:uid="{00000000-0005-0000-0000-0000DB010000}"/>
    <cellStyle name="Bold/Border 2 2 2 2 2 4 5" xfId="38252" xr:uid="{00000000-0005-0000-0000-0000DB010000}"/>
    <cellStyle name="Bold/Border 2 2 2 2 2 5" xfId="9540" xr:uid="{00000000-0005-0000-0000-0000DB010000}"/>
    <cellStyle name="Bold/Border 2 2 2 2 2 5 2" xfId="28257" xr:uid="{00000000-0005-0000-0000-0000DB010000}"/>
    <cellStyle name="Bold/Border 2 2 2 2 2 5 3" xfId="46620" xr:uid="{00000000-0005-0000-0000-0000DB010000}"/>
    <cellStyle name="Bold/Border 2 2 2 2 2 6" xfId="13598" xr:uid="{00000000-0005-0000-0000-0000DB010000}"/>
    <cellStyle name="Bold/Border 2 2 2 2 2 6 2" xfId="32019" xr:uid="{00000000-0005-0000-0000-0000DB010000}"/>
    <cellStyle name="Bold/Border 2 2 2 2 2 6 3" xfId="50382" xr:uid="{00000000-0005-0000-0000-0000DB010000}"/>
    <cellStyle name="Bold/Border 2 2 2 2 2 7" xfId="23527" xr:uid="{00000000-0005-0000-0000-0000DB010000}"/>
    <cellStyle name="Bold/Border 2 2 2 2 2 7 2" xfId="41896" xr:uid="{00000000-0005-0000-0000-0000DB010000}"/>
    <cellStyle name="Bold/Border 2 2 2 2 2 8" xfId="18639" xr:uid="{00000000-0005-0000-0000-0000DB010000}"/>
    <cellStyle name="Bold/Border 2 2 2 2 2 9" xfId="37049" xr:uid="{00000000-0005-0000-0000-0000DB010000}"/>
    <cellStyle name="Bold/Border 2 2 2 2 3" xfId="4659" xr:uid="{00000000-0005-0000-0000-0000DB010000}"/>
    <cellStyle name="Bold/Border 2 2 2 2 3 2" xfId="11243" xr:uid="{00000000-0005-0000-0000-0000DB010000}"/>
    <cellStyle name="Bold/Border 2 2 2 2 3 2 2" xfId="29855" xr:uid="{00000000-0005-0000-0000-0000DB010000}"/>
    <cellStyle name="Bold/Border 2 2 2 2 3 2 3" xfId="48218" xr:uid="{00000000-0005-0000-0000-0000DB010000}"/>
    <cellStyle name="Bold/Border 2 2 2 2 3 3" xfId="15385" xr:uid="{00000000-0005-0000-0000-0000DB010000}"/>
    <cellStyle name="Bold/Border 2 2 2 2 3 3 2" xfId="33778" xr:uid="{00000000-0005-0000-0000-0000DB010000}"/>
    <cellStyle name="Bold/Border 2 2 2 2 3 3 3" xfId="52141" xr:uid="{00000000-0005-0000-0000-0000DB010000}"/>
    <cellStyle name="Bold/Border 2 2 2 2 3 4" xfId="24509" xr:uid="{00000000-0005-0000-0000-0000DB010000}"/>
    <cellStyle name="Bold/Border 2 2 2 2 3 4 2" xfId="42878" xr:uid="{00000000-0005-0000-0000-0000DB010000}"/>
    <cellStyle name="Bold/Border 2 2 2 2 3 5" xfId="20836" xr:uid="{00000000-0005-0000-0000-0000DB010000}"/>
    <cellStyle name="Bold/Border 2 2 2 2 3 6" xfId="39225" xr:uid="{00000000-0005-0000-0000-0000DB010000}"/>
    <cellStyle name="Bold/Border 2 2 2 2 4" xfId="3904" xr:uid="{00000000-0005-0000-0000-0000DB010000}"/>
    <cellStyle name="Bold/Border 2 2 2 2 4 2" xfId="10617" xr:uid="{00000000-0005-0000-0000-0000DB010000}"/>
    <cellStyle name="Bold/Border 2 2 2 2 4 2 2" xfId="29328" xr:uid="{00000000-0005-0000-0000-0000DB010000}"/>
    <cellStyle name="Bold/Border 2 2 2 2 4 2 3" xfId="47691" xr:uid="{00000000-0005-0000-0000-0000DB010000}"/>
    <cellStyle name="Bold/Border 2 2 2 2 4 3" xfId="14674" xr:uid="{00000000-0005-0000-0000-0000DB010000}"/>
    <cellStyle name="Bold/Border 2 2 2 2 4 3 2" xfId="33090" xr:uid="{00000000-0005-0000-0000-0000DB010000}"/>
    <cellStyle name="Bold/Border 2 2 2 2 4 3 3" xfId="51453" xr:uid="{00000000-0005-0000-0000-0000DB010000}"/>
    <cellStyle name="Bold/Border 2 2 2 2 4 4" xfId="23812" xr:uid="{00000000-0005-0000-0000-0000DB010000}"/>
    <cellStyle name="Bold/Border 2 2 2 2 4 4 2" xfId="42181" xr:uid="{00000000-0005-0000-0000-0000DB010000}"/>
    <cellStyle name="Bold/Border 2 2 2 2 4 5" xfId="20131" xr:uid="{00000000-0005-0000-0000-0000DB010000}"/>
    <cellStyle name="Bold/Border 2 2 2 2 4 6" xfId="38537" xr:uid="{00000000-0005-0000-0000-0000DB010000}"/>
    <cellStyle name="Bold/Border 2 2 2 2 5" xfId="9080" xr:uid="{00000000-0005-0000-0000-0000DB010000}"/>
    <cellStyle name="Bold/Border 2 2 2 2 5 2" xfId="4351" xr:uid="{00000000-0005-0000-0000-0000DB010000}"/>
    <cellStyle name="Bold/Border 2 2 2 2 5 2 2" xfId="24221" xr:uid="{00000000-0005-0000-0000-0000DB010000}"/>
    <cellStyle name="Bold/Border 2 2 2 2 5 2 3" xfId="42590" xr:uid="{00000000-0005-0000-0000-0000DB010000}"/>
    <cellStyle name="Bold/Border 2 2 2 2 5 3" xfId="27806" xr:uid="{00000000-0005-0000-0000-0000DB010000}"/>
    <cellStyle name="Bold/Border 2 2 2 2 5 3 2" xfId="46169" xr:uid="{00000000-0005-0000-0000-0000DB010000}"/>
    <cellStyle name="Bold/Border 2 2 2 2 5 4" xfId="17980" xr:uid="{00000000-0005-0000-0000-0000DB010000}"/>
    <cellStyle name="Bold/Border 2 2 2 2 5 5" xfId="36388" xr:uid="{00000000-0005-0000-0000-0000DB010000}"/>
    <cellStyle name="Bold/Border 2 2 2 2 6" xfId="7953" xr:uid="{00000000-0005-0000-0000-0000DB010000}"/>
    <cellStyle name="Bold/Border 2 2 2 2 6 2" xfId="27183" xr:uid="{00000000-0005-0000-0000-0000DB010000}"/>
    <cellStyle name="Bold/Border 2 2 2 2 6 3" xfId="45548" xr:uid="{00000000-0005-0000-0000-0000DB010000}"/>
    <cellStyle name="Bold/Border 2 2 2 2 7" xfId="8673" xr:uid="{00000000-0005-0000-0000-0000DB010000}"/>
    <cellStyle name="Bold/Border 2 2 2 2 7 2" xfId="27578" xr:uid="{00000000-0005-0000-0000-0000DB010000}"/>
    <cellStyle name="Bold/Border 2 2 2 2 7 3" xfId="45941" xr:uid="{00000000-0005-0000-0000-0000DB010000}"/>
    <cellStyle name="Bold/Border 2 2 2 2 8" xfId="19544" xr:uid="{00000000-0005-0000-0000-0000DB010000}"/>
    <cellStyle name="Bold/Border 2 2 2 2 8 2" xfId="37950" xr:uid="{00000000-0005-0000-0000-0000DB010000}"/>
    <cellStyle name="Bold/Border 2 2 2 2 9" xfId="7533" xr:uid="{00000000-0005-0000-0000-0000DB010000}"/>
    <cellStyle name="Bold/Border 2 2 2 3" xfId="1752" xr:uid="{00000000-0005-0000-0000-0000DC010000}"/>
    <cellStyle name="Bold/Border 2 2 2 3 10" xfId="7558" xr:uid="{00000000-0005-0000-0000-0000DC010000}"/>
    <cellStyle name="Bold/Border 2 2 2 3 2" xfId="3649" xr:uid="{00000000-0005-0000-0000-0000DC010000}"/>
    <cellStyle name="Bold/Border 2 2 2 3 2 2" xfId="5822" xr:uid="{00000000-0005-0000-0000-0000DC010000}"/>
    <cellStyle name="Bold/Border 2 2 2 3 2 2 2" xfId="12186" xr:uid="{00000000-0005-0000-0000-0000DC010000}"/>
    <cellStyle name="Bold/Border 2 2 2 3 2 2 2 2" xfId="30633" xr:uid="{00000000-0005-0000-0000-0000DC010000}"/>
    <cellStyle name="Bold/Border 2 2 2 3 2 2 2 3" xfId="48996" xr:uid="{00000000-0005-0000-0000-0000DC010000}"/>
    <cellStyle name="Bold/Border 2 2 2 3 2 2 3" xfId="16512" xr:uid="{00000000-0005-0000-0000-0000DC010000}"/>
    <cellStyle name="Bold/Border 2 2 2 3 2 2 3 2" xfId="34884" xr:uid="{00000000-0005-0000-0000-0000DC010000}"/>
    <cellStyle name="Bold/Border 2 2 2 3 2 2 3 3" xfId="53247" xr:uid="{00000000-0005-0000-0000-0000DC010000}"/>
    <cellStyle name="Bold/Border 2 2 2 3 2 2 4" xfId="25631" xr:uid="{00000000-0005-0000-0000-0000DC010000}"/>
    <cellStyle name="Bold/Border 2 2 2 3 2 2 4 2" xfId="44000" xr:uid="{00000000-0005-0000-0000-0000DC010000}"/>
    <cellStyle name="Bold/Border 2 2 2 3 2 2 5" xfId="21952" xr:uid="{00000000-0005-0000-0000-0000DC010000}"/>
    <cellStyle name="Bold/Border 2 2 2 3 2 2 6" xfId="40331" xr:uid="{00000000-0005-0000-0000-0000DC010000}"/>
    <cellStyle name="Bold/Border 2 2 2 3 2 3" xfId="6648" xr:uid="{00000000-0005-0000-0000-0000DC010000}"/>
    <cellStyle name="Bold/Border 2 2 2 3 2 3 2" xfId="12939" xr:uid="{00000000-0005-0000-0000-0000DC010000}"/>
    <cellStyle name="Bold/Border 2 2 2 3 2 3 2 2" xfId="31365" xr:uid="{00000000-0005-0000-0000-0000DC010000}"/>
    <cellStyle name="Bold/Border 2 2 2 3 2 3 2 3" xfId="49728" xr:uid="{00000000-0005-0000-0000-0000DC010000}"/>
    <cellStyle name="Bold/Border 2 2 2 3 2 3 3" xfId="17250" xr:uid="{00000000-0005-0000-0000-0000DC010000}"/>
    <cellStyle name="Bold/Border 2 2 2 3 2 3 3 2" xfId="35598" xr:uid="{00000000-0005-0000-0000-0000DC010000}"/>
    <cellStyle name="Bold/Border 2 2 2 3 2 3 3 3" xfId="53961" xr:uid="{00000000-0005-0000-0000-0000DC010000}"/>
    <cellStyle name="Bold/Border 2 2 2 3 2 3 4" xfId="26383" xr:uid="{00000000-0005-0000-0000-0000DC010000}"/>
    <cellStyle name="Bold/Border 2 2 2 3 2 3 4 2" xfId="44752" xr:uid="{00000000-0005-0000-0000-0000DC010000}"/>
    <cellStyle name="Bold/Border 2 2 2 3 2 3 5" xfId="22676" xr:uid="{00000000-0005-0000-0000-0000DC010000}"/>
    <cellStyle name="Bold/Border 2 2 2 3 2 3 6" xfId="41045" xr:uid="{00000000-0005-0000-0000-0000DC010000}"/>
    <cellStyle name="Bold/Border 2 2 2 3 2 4" xfId="10362" xr:uid="{00000000-0005-0000-0000-0000DC010000}"/>
    <cellStyle name="Bold/Border 2 2 2 3 2 4 2" xfId="14419" xr:uid="{00000000-0005-0000-0000-0000DC010000}"/>
    <cellStyle name="Bold/Border 2 2 2 3 2 4 2 2" xfId="32835" xr:uid="{00000000-0005-0000-0000-0000DC010000}"/>
    <cellStyle name="Bold/Border 2 2 2 3 2 4 2 3" xfId="51198" xr:uid="{00000000-0005-0000-0000-0000DC010000}"/>
    <cellStyle name="Bold/Border 2 2 2 3 2 4 3" xfId="29073" xr:uid="{00000000-0005-0000-0000-0000DC010000}"/>
    <cellStyle name="Bold/Border 2 2 2 3 2 4 3 2" xfId="47436" xr:uid="{00000000-0005-0000-0000-0000DC010000}"/>
    <cellStyle name="Bold/Border 2 2 2 3 2 4 4" xfId="19876" xr:uid="{00000000-0005-0000-0000-0000DC010000}"/>
    <cellStyle name="Bold/Border 2 2 2 3 2 4 5" xfId="38282" xr:uid="{00000000-0005-0000-0000-0000DC010000}"/>
    <cellStyle name="Bold/Border 2 2 2 3 2 5" xfId="9570" xr:uid="{00000000-0005-0000-0000-0000DC010000}"/>
    <cellStyle name="Bold/Border 2 2 2 3 2 5 2" xfId="28287" xr:uid="{00000000-0005-0000-0000-0000DC010000}"/>
    <cellStyle name="Bold/Border 2 2 2 3 2 5 3" xfId="46650" xr:uid="{00000000-0005-0000-0000-0000DC010000}"/>
    <cellStyle name="Bold/Border 2 2 2 3 2 6" xfId="13628" xr:uid="{00000000-0005-0000-0000-0000DC010000}"/>
    <cellStyle name="Bold/Border 2 2 2 3 2 6 2" xfId="32049" xr:uid="{00000000-0005-0000-0000-0000DC010000}"/>
    <cellStyle name="Bold/Border 2 2 2 3 2 6 3" xfId="50412" xr:uid="{00000000-0005-0000-0000-0000DC010000}"/>
    <cellStyle name="Bold/Border 2 2 2 3 2 7" xfId="23557" xr:uid="{00000000-0005-0000-0000-0000DC010000}"/>
    <cellStyle name="Bold/Border 2 2 2 3 2 7 2" xfId="41926" xr:uid="{00000000-0005-0000-0000-0000DC010000}"/>
    <cellStyle name="Bold/Border 2 2 2 3 2 8" xfId="18669" xr:uid="{00000000-0005-0000-0000-0000DC010000}"/>
    <cellStyle name="Bold/Border 2 2 2 3 2 9" xfId="37079" xr:uid="{00000000-0005-0000-0000-0000DC010000}"/>
    <cellStyle name="Bold/Border 2 2 2 3 3" xfId="4689" xr:uid="{00000000-0005-0000-0000-0000DC010000}"/>
    <cellStyle name="Bold/Border 2 2 2 3 3 2" xfId="11273" xr:uid="{00000000-0005-0000-0000-0000DC010000}"/>
    <cellStyle name="Bold/Border 2 2 2 3 3 2 2" xfId="29885" xr:uid="{00000000-0005-0000-0000-0000DC010000}"/>
    <cellStyle name="Bold/Border 2 2 2 3 3 2 3" xfId="48248" xr:uid="{00000000-0005-0000-0000-0000DC010000}"/>
    <cellStyle name="Bold/Border 2 2 2 3 3 3" xfId="15415" xr:uid="{00000000-0005-0000-0000-0000DC010000}"/>
    <cellStyle name="Bold/Border 2 2 2 3 3 3 2" xfId="33808" xr:uid="{00000000-0005-0000-0000-0000DC010000}"/>
    <cellStyle name="Bold/Border 2 2 2 3 3 3 3" xfId="52171" xr:uid="{00000000-0005-0000-0000-0000DC010000}"/>
    <cellStyle name="Bold/Border 2 2 2 3 3 4" xfId="24539" xr:uid="{00000000-0005-0000-0000-0000DC010000}"/>
    <cellStyle name="Bold/Border 2 2 2 3 3 4 2" xfId="42908" xr:uid="{00000000-0005-0000-0000-0000DC010000}"/>
    <cellStyle name="Bold/Border 2 2 2 3 3 5" xfId="20866" xr:uid="{00000000-0005-0000-0000-0000DC010000}"/>
    <cellStyle name="Bold/Border 2 2 2 3 3 6" xfId="39255" xr:uid="{00000000-0005-0000-0000-0000DC010000}"/>
    <cellStyle name="Bold/Border 2 2 2 3 4" xfId="3957" xr:uid="{00000000-0005-0000-0000-0000DC010000}"/>
    <cellStyle name="Bold/Border 2 2 2 3 4 2" xfId="10662" xr:uid="{00000000-0005-0000-0000-0000DC010000}"/>
    <cellStyle name="Bold/Border 2 2 2 3 4 2 2" xfId="29368" xr:uid="{00000000-0005-0000-0000-0000DC010000}"/>
    <cellStyle name="Bold/Border 2 2 2 3 4 2 3" xfId="47731" xr:uid="{00000000-0005-0000-0000-0000DC010000}"/>
    <cellStyle name="Bold/Border 2 2 2 3 4 3" xfId="14720" xr:uid="{00000000-0005-0000-0000-0000DC010000}"/>
    <cellStyle name="Bold/Border 2 2 2 3 4 3 2" xfId="33132" xr:uid="{00000000-0005-0000-0000-0000DC010000}"/>
    <cellStyle name="Bold/Border 2 2 2 3 4 3 3" xfId="51495" xr:uid="{00000000-0005-0000-0000-0000DC010000}"/>
    <cellStyle name="Bold/Border 2 2 2 3 4 4" xfId="23856" xr:uid="{00000000-0005-0000-0000-0000DC010000}"/>
    <cellStyle name="Bold/Border 2 2 2 3 4 4 2" xfId="42225" xr:uid="{00000000-0005-0000-0000-0000DC010000}"/>
    <cellStyle name="Bold/Border 2 2 2 3 4 5" xfId="20174" xr:uid="{00000000-0005-0000-0000-0000DC010000}"/>
    <cellStyle name="Bold/Border 2 2 2 3 4 6" xfId="38579" xr:uid="{00000000-0005-0000-0000-0000DC010000}"/>
    <cellStyle name="Bold/Border 2 2 2 3 5" xfId="9803" xr:uid="{00000000-0005-0000-0000-0000DC010000}"/>
    <cellStyle name="Bold/Border 2 2 2 3 5 2" xfId="13860" xr:uid="{00000000-0005-0000-0000-0000DC010000}"/>
    <cellStyle name="Bold/Border 2 2 2 3 5 2 2" xfId="32280" xr:uid="{00000000-0005-0000-0000-0000DC010000}"/>
    <cellStyle name="Bold/Border 2 2 2 3 5 2 3" xfId="50643" xr:uid="{00000000-0005-0000-0000-0000DC010000}"/>
    <cellStyle name="Bold/Border 2 2 2 3 5 3" xfId="28518" xr:uid="{00000000-0005-0000-0000-0000DC010000}"/>
    <cellStyle name="Bold/Border 2 2 2 3 5 3 2" xfId="46881" xr:uid="{00000000-0005-0000-0000-0000DC010000}"/>
    <cellStyle name="Bold/Border 2 2 2 3 5 4" xfId="19018" xr:uid="{00000000-0005-0000-0000-0000DC010000}"/>
    <cellStyle name="Bold/Border 2 2 2 3 5 5" xfId="37427" xr:uid="{00000000-0005-0000-0000-0000DC010000}"/>
    <cellStyle name="Bold/Border 2 2 2 3 6" xfId="7983" xr:uid="{00000000-0005-0000-0000-0000DC010000}"/>
    <cellStyle name="Bold/Border 2 2 2 3 6 2" xfId="27213" xr:uid="{00000000-0005-0000-0000-0000DC010000}"/>
    <cellStyle name="Bold/Border 2 2 2 3 6 3" xfId="45578" xr:uid="{00000000-0005-0000-0000-0000DC010000}"/>
    <cellStyle name="Bold/Border 2 2 2 3 7" xfId="8243" xr:uid="{00000000-0005-0000-0000-0000DC010000}"/>
    <cellStyle name="Bold/Border 2 2 2 3 7 2" xfId="27380" xr:uid="{00000000-0005-0000-0000-0000DC010000}"/>
    <cellStyle name="Bold/Border 2 2 2 3 7 3" xfId="45745" xr:uid="{00000000-0005-0000-0000-0000DC010000}"/>
    <cellStyle name="Bold/Border 2 2 2 3 8" xfId="19073" xr:uid="{00000000-0005-0000-0000-0000DC010000}"/>
    <cellStyle name="Bold/Border 2 2 2 3 8 2" xfId="37481" xr:uid="{00000000-0005-0000-0000-0000DC010000}"/>
    <cellStyle name="Bold/Border 2 2 2 3 9" xfId="8044" xr:uid="{00000000-0005-0000-0000-0000DC010000}"/>
    <cellStyle name="Bold/Border 2 2 2 4" xfId="1780" xr:uid="{00000000-0005-0000-0000-0000DD010000}"/>
    <cellStyle name="Bold/Border 2 2 2 4 10" xfId="7027" xr:uid="{00000000-0005-0000-0000-0000DD010000}"/>
    <cellStyle name="Bold/Border 2 2 2 4 2" xfId="3677" xr:uid="{00000000-0005-0000-0000-0000DD010000}"/>
    <cellStyle name="Bold/Border 2 2 2 4 2 2" xfId="5850" xr:uid="{00000000-0005-0000-0000-0000DD010000}"/>
    <cellStyle name="Bold/Border 2 2 2 4 2 2 2" xfId="12214" xr:uid="{00000000-0005-0000-0000-0000DD010000}"/>
    <cellStyle name="Bold/Border 2 2 2 4 2 2 2 2" xfId="30661" xr:uid="{00000000-0005-0000-0000-0000DD010000}"/>
    <cellStyle name="Bold/Border 2 2 2 4 2 2 2 3" xfId="49024" xr:uid="{00000000-0005-0000-0000-0000DD010000}"/>
    <cellStyle name="Bold/Border 2 2 2 4 2 2 3" xfId="16540" xr:uid="{00000000-0005-0000-0000-0000DD010000}"/>
    <cellStyle name="Bold/Border 2 2 2 4 2 2 3 2" xfId="34912" xr:uid="{00000000-0005-0000-0000-0000DD010000}"/>
    <cellStyle name="Bold/Border 2 2 2 4 2 2 3 3" xfId="53275" xr:uid="{00000000-0005-0000-0000-0000DD010000}"/>
    <cellStyle name="Bold/Border 2 2 2 4 2 2 4" xfId="25659" xr:uid="{00000000-0005-0000-0000-0000DD010000}"/>
    <cellStyle name="Bold/Border 2 2 2 4 2 2 4 2" xfId="44028" xr:uid="{00000000-0005-0000-0000-0000DD010000}"/>
    <cellStyle name="Bold/Border 2 2 2 4 2 2 5" xfId="21980" xr:uid="{00000000-0005-0000-0000-0000DD010000}"/>
    <cellStyle name="Bold/Border 2 2 2 4 2 2 6" xfId="40359" xr:uid="{00000000-0005-0000-0000-0000DD010000}"/>
    <cellStyle name="Bold/Border 2 2 2 4 2 3" xfId="6676" xr:uid="{00000000-0005-0000-0000-0000DD010000}"/>
    <cellStyle name="Bold/Border 2 2 2 4 2 3 2" xfId="12967" xr:uid="{00000000-0005-0000-0000-0000DD010000}"/>
    <cellStyle name="Bold/Border 2 2 2 4 2 3 2 2" xfId="31393" xr:uid="{00000000-0005-0000-0000-0000DD010000}"/>
    <cellStyle name="Bold/Border 2 2 2 4 2 3 2 3" xfId="49756" xr:uid="{00000000-0005-0000-0000-0000DD010000}"/>
    <cellStyle name="Bold/Border 2 2 2 4 2 3 3" xfId="17278" xr:uid="{00000000-0005-0000-0000-0000DD010000}"/>
    <cellStyle name="Bold/Border 2 2 2 4 2 3 3 2" xfId="35626" xr:uid="{00000000-0005-0000-0000-0000DD010000}"/>
    <cellStyle name="Bold/Border 2 2 2 4 2 3 3 3" xfId="53989" xr:uid="{00000000-0005-0000-0000-0000DD010000}"/>
    <cellStyle name="Bold/Border 2 2 2 4 2 3 4" xfId="26411" xr:uid="{00000000-0005-0000-0000-0000DD010000}"/>
    <cellStyle name="Bold/Border 2 2 2 4 2 3 4 2" xfId="44780" xr:uid="{00000000-0005-0000-0000-0000DD010000}"/>
    <cellStyle name="Bold/Border 2 2 2 4 2 3 5" xfId="22704" xr:uid="{00000000-0005-0000-0000-0000DD010000}"/>
    <cellStyle name="Bold/Border 2 2 2 4 2 3 6" xfId="41073" xr:uid="{00000000-0005-0000-0000-0000DD010000}"/>
    <cellStyle name="Bold/Border 2 2 2 4 2 4" xfId="10390" xr:uid="{00000000-0005-0000-0000-0000DD010000}"/>
    <cellStyle name="Bold/Border 2 2 2 4 2 4 2" xfId="14447" xr:uid="{00000000-0005-0000-0000-0000DD010000}"/>
    <cellStyle name="Bold/Border 2 2 2 4 2 4 2 2" xfId="32863" xr:uid="{00000000-0005-0000-0000-0000DD010000}"/>
    <cellStyle name="Bold/Border 2 2 2 4 2 4 2 3" xfId="51226" xr:uid="{00000000-0005-0000-0000-0000DD010000}"/>
    <cellStyle name="Bold/Border 2 2 2 4 2 4 3" xfId="29101" xr:uid="{00000000-0005-0000-0000-0000DD010000}"/>
    <cellStyle name="Bold/Border 2 2 2 4 2 4 3 2" xfId="47464" xr:uid="{00000000-0005-0000-0000-0000DD010000}"/>
    <cellStyle name="Bold/Border 2 2 2 4 2 4 4" xfId="19904" xr:uid="{00000000-0005-0000-0000-0000DD010000}"/>
    <cellStyle name="Bold/Border 2 2 2 4 2 4 5" xfId="38310" xr:uid="{00000000-0005-0000-0000-0000DD010000}"/>
    <cellStyle name="Bold/Border 2 2 2 4 2 5" xfId="9598" xr:uid="{00000000-0005-0000-0000-0000DD010000}"/>
    <cellStyle name="Bold/Border 2 2 2 4 2 5 2" xfId="28315" xr:uid="{00000000-0005-0000-0000-0000DD010000}"/>
    <cellStyle name="Bold/Border 2 2 2 4 2 5 3" xfId="46678" xr:uid="{00000000-0005-0000-0000-0000DD010000}"/>
    <cellStyle name="Bold/Border 2 2 2 4 2 6" xfId="13656" xr:uid="{00000000-0005-0000-0000-0000DD010000}"/>
    <cellStyle name="Bold/Border 2 2 2 4 2 6 2" xfId="32077" xr:uid="{00000000-0005-0000-0000-0000DD010000}"/>
    <cellStyle name="Bold/Border 2 2 2 4 2 6 3" xfId="50440" xr:uid="{00000000-0005-0000-0000-0000DD010000}"/>
    <cellStyle name="Bold/Border 2 2 2 4 2 7" xfId="23585" xr:uid="{00000000-0005-0000-0000-0000DD010000}"/>
    <cellStyle name="Bold/Border 2 2 2 4 2 7 2" xfId="41954" xr:uid="{00000000-0005-0000-0000-0000DD010000}"/>
    <cellStyle name="Bold/Border 2 2 2 4 2 8" xfId="18697" xr:uid="{00000000-0005-0000-0000-0000DD010000}"/>
    <cellStyle name="Bold/Border 2 2 2 4 2 9" xfId="37107" xr:uid="{00000000-0005-0000-0000-0000DD010000}"/>
    <cellStyle name="Bold/Border 2 2 2 4 3" xfId="4717" xr:uid="{00000000-0005-0000-0000-0000DD010000}"/>
    <cellStyle name="Bold/Border 2 2 2 4 3 2" xfId="11301" xr:uid="{00000000-0005-0000-0000-0000DD010000}"/>
    <cellStyle name="Bold/Border 2 2 2 4 3 2 2" xfId="29913" xr:uid="{00000000-0005-0000-0000-0000DD010000}"/>
    <cellStyle name="Bold/Border 2 2 2 4 3 2 3" xfId="48276" xr:uid="{00000000-0005-0000-0000-0000DD010000}"/>
    <cellStyle name="Bold/Border 2 2 2 4 3 3" xfId="15443" xr:uid="{00000000-0005-0000-0000-0000DD010000}"/>
    <cellStyle name="Bold/Border 2 2 2 4 3 3 2" xfId="33836" xr:uid="{00000000-0005-0000-0000-0000DD010000}"/>
    <cellStyle name="Bold/Border 2 2 2 4 3 3 3" xfId="52199" xr:uid="{00000000-0005-0000-0000-0000DD010000}"/>
    <cellStyle name="Bold/Border 2 2 2 4 3 4" xfId="24567" xr:uid="{00000000-0005-0000-0000-0000DD010000}"/>
    <cellStyle name="Bold/Border 2 2 2 4 3 4 2" xfId="42936" xr:uid="{00000000-0005-0000-0000-0000DD010000}"/>
    <cellStyle name="Bold/Border 2 2 2 4 3 5" xfId="20894" xr:uid="{00000000-0005-0000-0000-0000DD010000}"/>
    <cellStyle name="Bold/Border 2 2 2 4 3 6" xfId="39283" xr:uid="{00000000-0005-0000-0000-0000DD010000}"/>
    <cellStyle name="Bold/Border 2 2 2 4 4" xfId="3944" xr:uid="{00000000-0005-0000-0000-0000DD010000}"/>
    <cellStyle name="Bold/Border 2 2 2 4 4 2" xfId="10649" xr:uid="{00000000-0005-0000-0000-0000DD010000}"/>
    <cellStyle name="Bold/Border 2 2 2 4 4 2 2" xfId="29355" xr:uid="{00000000-0005-0000-0000-0000DD010000}"/>
    <cellStyle name="Bold/Border 2 2 2 4 4 2 3" xfId="47718" xr:uid="{00000000-0005-0000-0000-0000DD010000}"/>
    <cellStyle name="Bold/Border 2 2 2 4 4 3" xfId="14707" xr:uid="{00000000-0005-0000-0000-0000DD010000}"/>
    <cellStyle name="Bold/Border 2 2 2 4 4 3 2" xfId="33119" xr:uid="{00000000-0005-0000-0000-0000DD010000}"/>
    <cellStyle name="Bold/Border 2 2 2 4 4 3 3" xfId="51482" xr:uid="{00000000-0005-0000-0000-0000DD010000}"/>
    <cellStyle name="Bold/Border 2 2 2 4 4 4" xfId="23843" xr:uid="{00000000-0005-0000-0000-0000DD010000}"/>
    <cellStyle name="Bold/Border 2 2 2 4 4 4 2" xfId="42212" xr:uid="{00000000-0005-0000-0000-0000DD010000}"/>
    <cellStyle name="Bold/Border 2 2 2 4 4 5" xfId="20161" xr:uid="{00000000-0005-0000-0000-0000DD010000}"/>
    <cellStyle name="Bold/Border 2 2 2 4 4 6" xfId="38566" xr:uid="{00000000-0005-0000-0000-0000DD010000}"/>
    <cellStyle name="Bold/Border 2 2 2 4 5" xfId="9060" xr:uid="{00000000-0005-0000-0000-0000DD010000}"/>
    <cellStyle name="Bold/Border 2 2 2 4 5 2" xfId="8417" xr:uid="{00000000-0005-0000-0000-0000DD010000}"/>
    <cellStyle name="Bold/Border 2 2 2 4 5 2 2" xfId="27478" xr:uid="{00000000-0005-0000-0000-0000DD010000}"/>
    <cellStyle name="Bold/Border 2 2 2 4 5 2 3" xfId="45842" xr:uid="{00000000-0005-0000-0000-0000DD010000}"/>
    <cellStyle name="Bold/Border 2 2 2 4 5 3" xfId="27786" xr:uid="{00000000-0005-0000-0000-0000DD010000}"/>
    <cellStyle name="Bold/Border 2 2 2 4 5 3 2" xfId="46149" xr:uid="{00000000-0005-0000-0000-0000DD010000}"/>
    <cellStyle name="Bold/Border 2 2 2 4 5 4" xfId="17960" xr:uid="{00000000-0005-0000-0000-0000DD010000}"/>
    <cellStyle name="Bold/Border 2 2 2 4 5 5" xfId="36368" xr:uid="{00000000-0005-0000-0000-0000DD010000}"/>
    <cellStyle name="Bold/Border 2 2 2 4 6" xfId="8011" xr:uid="{00000000-0005-0000-0000-0000DD010000}"/>
    <cellStyle name="Bold/Border 2 2 2 4 6 2" xfId="27241" xr:uid="{00000000-0005-0000-0000-0000DD010000}"/>
    <cellStyle name="Bold/Border 2 2 2 4 6 3" xfId="45606" xr:uid="{00000000-0005-0000-0000-0000DD010000}"/>
    <cellStyle name="Bold/Border 2 2 2 4 7" xfId="8869" xr:uid="{00000000-0005-0000-0000-0000DD010000}"/>
    <cellStyle name="Bold/Border 2 2 2 4 7 2" xfId="27660" xr:uid="{00000000-0005-0000-0000-0000DD010000}"/>
    <cellStyle name="Bold/Border 2 2 2 4 7 3" xfId="46023" xr:uid="{00000000-0005-0000-0000-0000DD010000}"/>
    <cellStyle name="Bold/Border 2 2 2 4 8" xfId="19482" xr:uid="{00000000-0005-0000-0000-0000DD010000}"/>
    <cellStyle name="Bold/Border 2 2 2 4 8 2" xfId="37888" xr:uid="{00000000-0005-0000-0000-0000DD010000}"/>
    <cellStyle name="Bold/Border 2 2 2 4 9" xfId="15081" xr:uid="{00000000-0005-0000-0000-0000DD010000}"/>
    <cellStyle name="Bold/Border 2 2 2 5" xfId="3553" xr:uid="{00000000-0005-0000-0000-0000DA010000}"/>
    <cellStyle name="Bold/Border 2 2 2 5 2" xfId="5726" xr:uid="{00000000-0005-0000-0000-0000DA010000}"/>
    <cellStyle name="Bold/Border 2 2 2 5 2 2" xfId="12090" xr:uid="{00000000-0005-0000-0000-0000DA010000}"/>
    <cellStyle name="Bold/Border 2 2 2 5 2 2 2" xfId="30537" xr:uid="{00000000-0005-0000-0000-0000DA010000}"/>
    <cellStyle name="Bold/Border 2 2 2 5 2 2 3" xfId="48900" xr:uid="{00000000-0005-0000-0000-0000DA010000}"/>
    <cellStyle name="Bold/Border 2 2 2 5 2 3" xfId="16416" xr:uid="{00000000-0005-0000-0000-0000DA010000}"/>
    <cellStyle name="Bold/Border 2 2 2 5 2 3 2" xfId="34788" xr:uid="{00000000-0005-0000-0000-0000DA010000}"/>
    <cellStyle name="Bold/Border 2 2 2 5 2 3 3" xfId="53151" xr:uid="{00000000-0005-0000-0000-0000DA010000}"/>
    <cellStyle name="Bold/Border 2 2 2 5 2 4" xfId="25535" xr:uid="{00000000-0005-0000-0000-0000DA010000}"/>
    <cellStyle name="Bold/Border 2 2 2 5 2 4 2" xfId="43904" xr:uid="{00000000-0005-0000-0000-0000DA010000}"/>
    <cellStyle name="Bold/Border 2 2 2 5 2 5" xfId="21856" xr:uid="{00000000-0005-0000-0000-0000DA010000}"/>
    <cellStyle name="Bold/Border 2 2 2 5 2 6" xfId="40235" xr:uid="{00000000-0005-0000-0000-0000DA010000}"/>
    <cellStyle name="Bold/Border 2 2 2 5 3" xfId="6552" xr:uid="{00000000-0005-0000-0000-0000DA010000}"/>
    <cellStyle name="Bold/Border 2 2 2 5 3 2" xfId="12843" xr:uid="{00000000-0005-0000-0000-0000DA010000}"/>
    <cellStyle name="Bold/Border 2 2 2 5 3 2 2" xfId="31269" xr:uid="{00000000-0005-0000-0000-0000DA010000}"/>
    <cellStyle name="Bold/Border 2 2 2 5 3 2 3" xfId="49632" xr:uid="{00000000-0005-0000-0000-0000DA010000}"/>
    <cellStyle name="Bold/Border 2 2 2 5 3 3" xfId="17154" xr:uid="{00000000-0005-0000-0000-0000DA010000}"/>
    <cellStyle name="Bold/Border 2 2 2 5 3 3 2" xfId="35502" xr:uid="{00000000-0005-0000-0000-0000DA010000}"/>
    <cellStyle name="Bold/Border 2 2 2 5 3 3 3" xfId="53865" xr:uid="{00000000-0005-0000-0000-0000DA010000}"/>
    <cellStyle name="Bold/Border 2 2 2 5 3 4" xfId="26287" xr:uid="{00000000-0005-0000-0000-0000DA010000}"/>
    <cellStyle name="Bold/Border 2 2 2 5 3 4 2" xfId="44656" xr:uid="{00000000-0005-0000-0000-0000DA010000}"/>
    <cellStyle name="Bold/Border 2 2 2 5 3 5" xfId="22580" xr:uid="{00000000-0005-0000-0000-0000DA010000}"/>
    <cellStyle name="Bold/Border 2 2 2 5 3 6" xfId="40949" xr:uid="{00000000-0005-0000-0000-0000DA010000}"/>
    <cellStyle name="Bold/Border 2 2 2 5 4" xfId="10266" xr:uid="{00000000-0005-0000-0000-0000DA010000}"/>
    <cellStyle name="Bold/Border 2 2 2 5 4 2" xfId="14323" xr:uid="{00000000-0005-0000-0000-0000DA010000}"/>
    <cellStyle name="Bold/Border 2 2 2 5 4 2 2" xfId="32739" xr:uid="{00000000-0005-0000-0000-0000DA010000}"/>
    <cellStyle name="Bold/Border 2 2 2 5 4 2 3" xfId="51102" xr:uid="{00000000-0005-0000-0000-0000DA010000}"/>
    <cellStyle name="Bold/Border 2 2 2 5 4 3" xfId="28977" xr:uid="{00000000-0005-0000-0000-0000DA010000}"/>
    <cellStyle name="Bold/Border 2 2 2 5 4 3 2" xfId="47340" xr:uid="{00000000-0005-0000-0000-0000DA010000}"/>
    <cellStyle name="Bold/Border 2 2 2 5 4 4" xfId="19780" xr:uid="{00000000-0005-0000-0000-0000DA010000}"/>
    <cellStyle name="Bold/Border 2 2 2 5 4 5" xfId="38186" xr:uid="{00000000-0005-0000-0000-0000DA010000}"/>
    <cellStyle name="Bold/Border 2 2 2 5 5" xfId="9474" xr:uid="{00000000-0005-0000-0000-0000DA010000}"/>
    <cellStyle name="Bold/Border 2 2 2 5 5 2" xfId="28191" xr:uid="{00000000-0005-0000-0000-0000DA010000}"/>
    <cellStyle name="Bold/Border 2 2 2 5 5 3" xfId="46554" xr:uid="{00000000-0005-0000-0000-0000DA010000}"/>
    <cellStyle name="Bold/Border 2 2 2 5 6" xfId="13532" xr:uid="{00000000-0005-0000-0000-0000DA010000}"/>
    <cellStyle name="Bold/Border 2 2 2 5 6 2" xfId="31953" xr:uid="{00000000-0005-0000-0000-0000DA010000}"/>
    <cellStyle name="Bold/Border 2 2 2 5 6 3" xfId="50316" xr:uid="{00000000-0005-0000-0000-0000DA010000}"/>
    <cellStyle name="Bold/Border 2 2 2 5 7" xfId="23461" xr:uid="{00000000-0005-0000-0000-0000DA010000}"/>
    <cellStyle name="Bold/Border 2 2 2 5 7 2" xfId="41830" xr:uid="{00000000-0005-0000-0000-0000DA010000}"/>
    <cellStyle name="Bold/Border 2 2 2 5 8" xfId="18571" xr:uid="{00000000-0005-0000-0000-0000DA010000}"/>
    <cellStyle name="Bold/Border 2 2 2 5 9" xfId="36981" xr:uid="{00000000-0005-0000-0000-0000DA010000}"/>
    <cellStyle name="Bold/Border 2 2 2 6" xfId="4584" xr:uid="{00000000-0005-0000-0000-0000DA010000}"/>
    <cellStyle name="Bold/Border 2 2 2 6 2" xfId="11169" xr:uid="{00000000-0005-0000-0000-0000DA010000}"/>
    <cellStyle name="Bold/Border 2 2 2 6 2 2" xfId="29783" xr:uid="{00000000-0005-0000-0000-0000DA010000}"/>
    <cellStyle name="Bold/Border 2 2 2 6 2 3" xfId="48146" xr:uid="{00000000-0005-0000-0000-0000DA010000}"/>
    <cellStyle name="Bold/Border 2 2 2 6 3" xfId="15310" xr:uid="{00000000-0005-0000-0000-0000DA010000}"/>
    <cellStyle name="Bold/Border 2 2 2 6 3 2" xfId="33704" xr:uid="{00000000-0005-0000-0000-0000DA010000}"/>
    <cellStyle name="Bold/Border 2 2 2 6 3 3" xfId="52067" xr:uid="{00000000-0005-0000-0000-0000DA010000}"/>
    <cellStyle name="Bold/Border 2 2 2 6 4" xfId="24435" xr:uid="{00000000-0005-0000-0000-0000DA010000}"/>
    <cellStyle name="Bold/Border 2 2 2 6 4 2" xfId="42804" xr:uid="{00000000-0005-0000-0000-0000DA010000}"/>
    <cellStyle name="Bold/Border 2 2 2 6 5" xfId="20761" xr:uid="{00000000-0005-0000-0000-0000DA010000}"/>
    <cellStyle name="Bold/Border 2 2 2 6 6" xfId="39151" xr:uid="{00000000-0005-0000-0000-0000DA010000}"/>
    <cellStyle name="Bold/Border 2 2 2 7" xfId="4874" xr:uid="{00000000-0005-0000-0000-0000DA010000}"/>
    <cellStyle name="Bold/Border 2 2 2 7 2" xfId="11432" xr:uid="{00000000-0005-0000-0000-0000DA010000}"/>
    <cellStyle name="Bold/Border 2 2 2 7 2 2" xfId="30022" xr:uid="{00000000-0005-0000-0000-0000DA010000}"/>
    <cellStyle name="Bold/Border 2 2 2 7 2 3" xfId="48385" xr:uid="{00000000-0005-0000-0000-0000DA010000}"/>
    <cellStyle name="Bold/Border 2 2 2 7 3" xfId="15600" xr:uid="{00000000-0005-0000-0000-0000DA010000}"/>
    <cellStyle name="Bold/Border 2 2 2 7 3 2" xfId="33991" xr:uid="{00000000-0005-0000-0000-0000DA010000}"/>
    <cellStyle name="Bold/Border 2 2 2 7 3 3" xfId="52354" xr:uid="{00000000-0005-0000-0000-0000DA010000}"/>
    <cellStyle name="Bold/Border 2 2 2 7 4" xfId="24722" xr:uid="{00000000-0005-0000-0000-0000DA010000}"/>
    <cellStyle name="Bold/Border 2 2 2 7 4 2" xfId="43091" xr:uid="{00000000-0005-0000-0000-0000DA010000}"/>
    <cellStyle name="Bold/Border 2 2 2 7 5" xfId="21049" xr:uid="{00000000-0005-0000-0000-0000DA010000}"/>
    <cellStyle name="Bold/Border 2 2 2 7 6" xfId="39438" xr:uid="{00000000-0005-0000-0000-0000DA010000}"/>
    <cellStyle name="Bold/Border 2 2 2 8" xfId="7880" xr:uid="{00000000-0005-0000-0000-0000DA010000}"/>
    <cellStyle name="Bold/Border 2 2 2 8 2" xfId="27117" xr:uid="{00000000-0005-0000-0000-0000DA010000}"/>
    <cellStyle name="Bold/Border 2 2 2 8 3" xfId="45482" xr:uid="{00000000-0005-0000-0000-0000DA010000}"/>
    <cellStyle name="Bold/Border 2 2 2 9" xfId="6151" xr:uid="{00000000-0005-0000-0000-0000DA010000}"/>
    <cellStyle name="Bold/Border 2 2 2 9 2" xfId="25940" xr:uid="{00000000-0005-0000-0000-0000DA010000}"/>
    <cellStyle name="Bold/Border 2 2 2 9 3" xfId="44309" xr:uid="{00000000-0005-0000-0000-0000DA010000}"/>
    <cellStyle name="Bold/Border 2 2 3" xfId="1517" xr:uid="{00000000-0005-0000-0000-0000DE010000}"/>
    <cellStyle name="Bold/Border 2 2 3 10" xfId="8526" xr:uid="{00000000-0005-0000-0000-0000DE010000}"/>
    <cellStyle name="Bold/Border 2 2 3 10 2" xfId="27513" xr:uid="{00000000-0005-0000-0000-0000DE010000}"/>
    <cellStyle name="Bold/Border 2 2 3 10 3" xfId="45877" xr:uid="{00000000-0005-0000-0000-0000DE010000}"/>
    <cellStyle name="Bold/Border 2 2 3 11" xfId="7609" xr:uid="{00000000-0005-0000-0000-0000DE010000}"/>
    <cellStyle name="Bold/Border 2 2 3 12" xfId="7512" xr:uid="{00000000-0005-0000-0000-0000DE010000}"/>
    <cellStyle name="Bold/Border 2 2 3 2" xfId="1686" xr:uid="{00000000-0005-0000-0000-0000DF010000}"/>
    <cellStyle name="Bold/Border 2 2 3 2 10" xfId="9903" xr:uid="{00000000-0005-0000-0000-0000DF010000}"/>
    <cellStyle name="Bold/Border 2 2 3 2 2" xfId="3584" xr:uid="{00000000-0005-0000-0000-0000DF010000}"/>
    <cellStyle name="Bold/Border 2 2 3 2 2 2" xfId="5757" xr:uid="{00000000-0005-0000-0000-0000DF010000}"/>
    <cellStyle name="Bold/Border 2 2 3 2 2 2 2" xfId="12121" xr:uid="{00000000-0005-0000-0000-0000DF010000}"/>
    <cellStyle name="Bold/Border 2 2 3 2 2 2 2 2" xfId="30568" xr:uid="{00000000-0005-0000-0000-0000DF010000}"/>
    <cellStyle name="Bold/Border 2 2 3 2 2 2 2 3" xfId="48931" xr:uid="{00000000-0005-0000-0000-0000DF010000}"/>
    <cellStyle name="Bold/Border 2 2 3 2 2 2 3" xfId="16447" xr:uid="{00000000-0005-0000-0000-0000DF010000}"/>
    <cellStyle name="Bold/Border 2 2 3 2 2 2 3 2" xfId="34819" xr:uid="{00000000-0005-0000-0000-0000DF010000}"/>
    <cellStyle name="Bold/Border 2 2 3 2 2 2 3 3" xfId="53182" xr:uid="{00000000-0005-0000-0000-0000DF010000}"/>
    <cellStyle name="Bold/Border 2 2 3 2 2 2 4" xfId="25566" xr:uid="{00000000-0005-0000-0000-0000DF010000}"/>
    <cellStyle name="Bold/Border 2 2 3 2 2 2 4 2" xfId="43935" xr:uid="{00000000-0005-0000-0000-0000DF010000}"/>
    <cellStyle name="Bold/Border 2 2 3 2 2 2 5" xfId="21887" xr:uid="{00000000-0005-0000-0000-0000DF010000}"/>
    <cellStyle name="Bold/Border 2 2 3 2 2 2 6" xfId="40266" xr:uid="{00000000-0005-0000-0000-0000DF010000}"/>
    <cellStyle name="Bold/Border 2 2 3 2 2 3" xfId="6583" xr:uid="{00000000-0005-0000-0000-0000DF010000}"/>
    <cellStyle name="Bold/Border 2 2 3 2 2 3 2" xfId="12874" xr:uid="{00000000-0005-0000-0000-0000DF010000}"/>
    <cellStyle name="Bold/Border 2 2 3 2 2 3 2 2" xfId="31300" xr:uid="{00000000-0005-0000-0000-0000DF010000}"/>
    <cellStyle name="Bold/Border 2 2 3 2 2 3 2 3" xfId="49663" xr:uid="{00000000-0005-0000-0000-0000DF010000}"/>
    <cellStyle name="Bold/Border 2 2 3 2 2 3 3" xfId="17185" xr:uid="{00000000-0005-0000-0000-0000DF010000}"/>
    <cellStyle name="Bold/Border 2 2 3 2 2 3 3 2" xfId="35533" xr:uid="{00000000-0005-0000-0000-0000DF010000}"/>
    <cellStyle name="Bold/Border 2 2 3 2 2 3 3 3" xfId="53896" xr:uid="{00000000-0005-0000-0000-0000DF010000}"/>
    <cellStyle name="Bold/Border 2 2 3 2 2 3 4" xfId="26318" xr:uid="{00000000-0005-0000-0000-0000DF010000}"/>
    <cellStyle name="Bold/Border 2 2 3 2 2 3 4 2" xfId="44687" xr:uid="{00000000-0005-0000-0000-0000DF010000}"/>
    <cellStyle name="Bold/Border 2 2 3 2 2 3 5" xfId="22611" xr:uid="{00000000-0005-0000-0000-0000DF010000}"/>
    <cellStyle name="Bold/Border 2 2 3 2 2 3 6" xfId="40980" xr:uid="{00000000-0005-0000-0000-0000DF010000}"/>
    <cellStyle name="Bold/Border 2 2 3 2 2 4" xfId="10297" xr:uid="{00000000-0005-0000-0000-0000DF010000}"/>
    <cellStyle name="Bold/Border 2 2 3 2 2 4 2" xfId="14354" xr:uid="{00000000-0005-0000-0000-0000DF010000}"/>
    <cellStyle name="Bold/Border 2 2 3 2 2 4 2 2" xfId="32770" xr:uid="{00000000-0005-0000-0000-0000DF010000}"/>
    <cellStyle name="Bold/Border 2 2 3 2 2 4 2 3" xfId="51133" xr:uid="{00000000-0005-0000-0000-0000DF010000}"/>
    <cellStyle name="Bold/Border 2 2 3 2 2 4 3" xfId="29008" xr:uid="{00000000-0005-0000-0000-0000DF010000}"/>
    <cellStyle name="Bold/Border 2 2 3 2 2 4 3 2" xfId="47371" xr:uid="{00000000-0005-0000-0000-0000DF010000}"/>
    <cellStyle name="Bold/Border 2 2 3 2 2 4 4" xfId="19811" xr:uid="{00000000-0005-0000-0000-0000DF010000}"/>
    <cellStyle name="Bold/Border 2 2 3 2 2 4 5" xfId="38217" xr:uid="{00000000-0005-0000-0000-0000DF010000}"/>
    <cellStyle name="Bold/Border 2 2 3 2 2 5" xfId="9505" xr:uid="{00000000-0005-0000-0000-0000DF010000}"/>
    <cellStyle name="Bold/Border 2 2 3 2 2 5 2" xfId="28222" xr:uid="{00000000-0005-0000-0000-0000DF010000}"/>
    <cellStyle name="Bold/Border 2 2 3 2 2 5 3" xfId="46585" xr:uid="{00000000-0005-0000-0000-0000DF010000}"/>
    <cellStyle name="Bold/Border 2 2 3 2 2 6" xfId="13563" xr:uid="{00000000-0005-0000-0000-0000DF010000}"/>
    <cellStyle name="Bold/Border 2 2 3 2 2 6 2" xfId="31984" xr:uid="{00000000-0005-0000-0000-0000DF010000}"/>
    <cellStyle name="Bold/Border 2 2 3 2 2 6 3" xfId="50347" xr:uid="{00000000-0005-0000-0000-0000DF010000}"/>
    <cellStyle name="Bold/Border 2 2 3 2 2 7" xfId="23492" xr:uid="{00000000-0005-0000-0000-0000DF010000}"/>
    <cellStyle name="Bold/Border 2 2 3 2 2 7 2" xfId="41861" xr:uid="{00000000-0005-0000-0000-0000DF010000}"/>
    <cellStyle name="Bold/Border 2 2 3 2 2 8" xfId="18603" xr:uid="{00000000-0005-0000-0000-0000DF010000}"/>
    <cellStyle name="Bold/Border 2 2 3 2 2 9" xfId="37013" xr:uid="{00000000-0005-0000-0000-0000DF010000}"/>
    <cellStyle name="Bold/Border 2 2 3 2 3" xfId="4625" xr:uid="{00000000-0005-0000-0000-0000DF010000}"/>
    <cellStyle name="Bold/Border 2 2 3 2 3 2" xfId="11209" xr:uid="{00000000-0005-0000-0000-0000DF010000}"/>
    <cellStyle name="Bold/Border 2 2 3 2 3 2 2" xfId="29821" xr:uid="{00000000-0005-0000-0000-0000DF010000}"/>
    <cellStyle name="Bold/Border 2 2 3 2 3 2 3" xfId="48184" xr:uid="{00000000-0005-0000-0000-0000DF010000}"/>
    <cellStyle name="Bold/Border 2 2 3 2 3 3" xfId="15351" xr:uid="{00000000-0005-0000-0000-0000DF010000}"/>
    <cellStyle name="Bold/Border 2 2 3 2 3 3 2" xfId="33744" xr:uid="{00000000-0005-0000-0000-0000DF010000}"/>
    <cellStyle name="Bold/Border 2 2 3 2 3 3 3" xfId="52107" xr:uid="{00000000-0005-0000-0000-0000DF010000}"/>
    <cellStyle name="Bold/Border 2 2 3 2 3 4" xfId="24475" xr:uid="{00000000-0005-0000-0000-0000DF010000}"/>
    <cellStyle name="Bold/Border 2 2 3 2 3 4 2" xfId="42844" xr:uid="{00000000-0005-0000-0000-0000DF010000}"/>
    <cellStyle name="Bold/Border 2 2 3 2 3 5" xfId="20802" xr:uid="{00000000-0005-0000-0000-0000DF010000}"/>
    <cellStyle name="Bold/Border 2 2 3 2 3 6" xfId="39191" xr:uid="{00000000-0005-0000-0000-0000DF010000}"/>
    <cellStyle name="Bold/Border 2 2 3 2 4" xfId="4731" xr:uid="{00000000-0005-0000-0000-0000DF010000}"/>
    <cellStyle name="Bold/Border 2 2 3 2 4 2" xfId="11315" xr:uid="{00000000-0005-0000-0000-0000DF010000}"/>
    <cellStyle name="Bold/Border 2 2 3 2 4 2 2" xfId="29927" xr:uid="{00000000-0005-0000-0000-0000DF010000}"/>
    <cellStyle name="Bold/Border 2 2 3 2 4 2 3" xfId="48290" xr:uid="{00000000-0005-0000-0000-0000DF010000}"/>
    <cellStyle name="Bold/Border 2 2 3 2 4 3" xfId="15457" xr:uid="{00000000-0005-0000-0000-0000DF010000}"/>
    <cellStyle name="Bold/Border 2 2 3 2 4 3 2" xfId="33850" xr:uid="{00000000-0005-0000-0000-0000DF010000}"/>
    <cellStyle name="Bold/Border 2 2 3 2 4 3 3" xfId="52213" xr:uid="{00000000-0005-0000-0000-0000DF010000}"/>
    <cellStyle name="Bold/Border 2 2 3 2 4 4" xfId="24581" xr:uid="{00000000-0005-0000-0000-0000DF010000}"/>
    <cellStyle name="Bold/Border 2 2 3 2 4 4 2" xfId="42950" xr:uid="{00000000-0005-0000-0000-0000DF010000}"/>
    <cellStyle name="Bold/Border 2 2 3 2 4 5" xfId="20908" xr:uid="{00000000-0005-0000-0000-0000DF010000}"/>
    <cellStyle name="Bold/Border 2 2 3 2 4 6" xfId="39297" xr:uid="{00000000-0005-0000-0000-0000DF010000}"/>
    <cellStyle name="Bold/Border 2 2 3 2 5" xfId="9855" xr:uid="{00000000-0005-0000-0000-0000DF010000}"/>
    <cellStyle name="Bold/Border 2 2 3 2 5 2" xfId="13913" xr:uid="{00000000-0005-0000-0000-0000DF010000}"/>
    <cellStyle name="Bold/Border 2 2 3 2 5 2 2" xfId="32331" xr:uid="{00000000-0005-0000-0000-0000DF010000}"/>
    <cellStyle name="Bold/Border 2 2 3 2 5 2 3" xfId="50694" xr:uid="{00000000-0005-0000-0000-0000DF010000}"/>
    <cellStyle name="Bold/Border 2 2 3 2 5 3" xfId="28569" xr:uid="{00000000-0005-0000-0000-0000DF010000}"/>
    <cellStyle name="Bold/Border 2 2 3 2 5 3 2" xfId="46932" xr:uid="{00000000-0005-0000-0000-0000DF010000}"/>
    <cellStyle name="Bold/Border 2 2 3 2 5 4" xfId="19109" xr:uid="{00000000-0005-0000-0000-0000DF010000}"/>
    <cellStyle name="Bold/Border 2 2 3 2 5 5" xfId="37517" xr:uid="{00000000-0005-0000-0000-0000DF010000}"/>
    <cellStyle name="Bold/Border 2 2 3 2 6" xfId="7919" xr:uid="{00000000-0005-0000-0000-0000DF010000}"/>
    <cellStyle name="Bold/Border 2 2 3 2 6 2" xfId="27151" xr:uid="{00000000-0005-0000-0000-0000DF010000}"/>
    <cellStyle name="Bold/Border 2 2 3 2 6 3" xfId="45516" xr:uid="{00000000-0005-0000-0000-0000DF010000}"/>
    <cellStyle name="Bold/Border 2 2 3 2 7" xfId="8885" xr:uid="{00000000-0005-0000-0000-0000DF010000}"/>
    <cellStyle name="Bold/Border 2 2 3 2 7 2" xfId="27669" xr:uid="{00000000-0005-0000-0000-0000DF010000}"/>
    <cellStyle name="Bold/Border 2 2 3 2 7 3" xfId="46032" xr:uid="{00000000-0005-0000-0000-0000DF010000}"/>
    <cellStyle name="Bold/Border 2 2 3 2 8" xfId="18100" xr:uid="{00000000-0005-0000-0000-0000DF010000}"/>
    <cellStyle name="Bold/Border 2 2 3 2 8 2" xfId="36507" xr:uid="{00000000-0005-0000-0000-0000DF010000}"/>
    <cellStyle name="Bold/Border 2 2 3 2 9" xfId="6986" xr:uid="{00000000-0005-0000-0000-0000DF010000}"/>
    <cellStyle name="Bold/Border 2 2 3 3" xfId="1452" xr:uid="{00000000-0005-0000-0000-0000E0010000}"/>
    <cellStyle name="Bold/Border 2 2 3 3 10" xfId="11707" xr:uid="{00000000-0005-0000-0000-0000E0010000}"/>
    <cellStyle name="Bold/Border 2 2 3 3 2" xfId="3471" xr:uid="{00000000-0005-0000-0000-0000E0010000}"/>
    <cellStyle name="Bold/Border 2 2 3 3 2 2" xfId="5646" xr:uid="{00000000-0005-0000-0000-0000E0010000}"/>
    <cellStyle name="Bold/Border 2 2 3 3 2 2 2" xfId="12010" xr:uid="{00000000-0005-0000-0000-0000E0010000}"/>
    <cellStyle name="Bold/Border 2 2 3 3 2 2 2 2" xfId="30457" xr:uid="{00000000-0005-0000-0000-0000E0010000}"/>
    <cellStyle name="Bold/Border 2 2 3 3 2 2 2 3" xfId="48820" xr:uid="{00000000-0005-0000-0000-0000E0010000}"/>
    <cellStyle name="Bold/Border 2 2 3 3 2 2 3" xfId="16336" xr:uid="{00000000-0005-0000-0000-0000E0010000}"/>
    <cellStyle name="Bold/Border 2 2 3 3 2 2 3 2" xfId="34708" xr:uid="{00000000-0005-0000-0000-0000E0010000}"/>
    <cellStyle name="Bold/Border 2 2 3 3 2 2 3 3" xfId="53071" xr:uid="{00000000-0005-0000-0000-0000E0010000}"/>
    <cellStyle name="Bold/Border 2 2 3 3 2 2 4" xfId="25455" xr:uid="{00000000-0005-0000-0000-0000E0010000}"/>
    <cellStyle name="Bold/Border 2 2 3 3 2 2 4 2" xfId="43824" xr:uid="{00000000-0005-0000-0000-0000E0010000}"/>
    <cellStyle name="Bold/Border 2 2 3 3 2 2 5" xfId="21776" xr:uid="{00000000-0005-0000-0000-0000E0010000}"/>
    <cellStyle name="Bold/Border 2 2 3 3 2 2 6" xfId="40155" xr:uid="{00000000-0005-0000-0000-0000E0010000}"/>
    <cellStyle name="Bold/Border 2 2 3 3 2 3" xfId="6470" xr:uid="{00000000-0005-0000-0000-0000E0010000}"/>
    <cellStyle name="Bold/Border 2 2 3 3 2 3 2" xfId="12761" xr:uid="{00000000-0005-0000-0000-0000E0010000}"/>
    <cellStyle name="Bold/Border 2 2 3 3 2 3 2 2" xfId="31187" xr:uid="{00000000-0005-0000-0000-0000E0010000}"/>
    <cellStyle name="Bold/Border 2 2 3 3 2 3 2 3" xfId="49550" xr:uid="{00000000-0005-0000-0000-0000E0010000}"/>
    <cellStyle name="Bold/Border 2 2 3 3 2 3 3" xfId="17072" xr:uid="{00000000-0005-0000-0000-0000E0010000}"/>
    <cellStyle name="Bold/Border 2 2 3 3 2 3 3 2" xfId="35420" xr:uid="{00000000-0005-0000-0000-0000E0010000}"/>
    <cellStyle name="Bold/Border 2 2 3 3 2 3 3 3" xfId="53783" xr:uid="{00000000-0005-0000-0000-0000E0010000}"/>
    <cellStyle name="Bold/Border 2 2 3 3 2 3 4" xfId="26205" xr:uid="{00000000-0005-0000-0000-0000E0010000}"/>
    <cellStyle name="Bold/Border 2 2 3 3 2 3 4 2" xfId="44574" xr:uid="{00000000-0005-0000-0000-0000E0010000}"/>
    <cellStyle name="Bold/Border 2 2 3 3 2 3 5" xfId="22498" xr:uid="{00000000-0005-0000-0000-0000E0010000}"/>
    <cellStyle name="Bold/Border 2 2 3 3 2 3 6" xfId="40867" xr:uid="{00000000-0005-0000-0000-0000E0010000}"/>
    <cellStyle name="Bold/Border 2 2 3 3 2 4" xfId="10184" xr:uid="{00000000-0005-0000-0000-0000E0010000}"/>
    <cellStyle name="Bold/Border 2 2 3 3 2 4 2" xfId="14241" xr:uid="{00000000-0005-0000-0000-0000E0010000}"/>
    <cellStyle name="Bold/Border 2 2 3 3 2 4 2 2" xfId="32657" xr:uid="{00000000-0005-0000-0000-0000E0010000}"/>
    <cellStyle name="Bold/Border 2 2 3 3 2 4 2 3" xfId="51020" xr:uid="{00000000-0005-0000-0000-0000E0010000}"/>
    <cellStyle name="Bold/Border 2 2 3 3 2 4 3" xfId="28895" xr:uid="{00000000-0005-0000-0000-0000E0010000}"/>
    <cellStyle name="Bold/Border 2 2 3 3 2 4 3 2" xfId="47258" xr:uid="{00000000-0005-0000-0000-0000E0010000}"/>
    <cellStyle name="Bold/Border 2 2 3 3 2 4 4" xfId="19698" xr:uid="{00000000-0005-0000-0000-0000E0010000}"/>
    <cellStyle name="Bold/Border 2 2 3 3 2 4 5" xfId="38104" xr:uid="{00000000-0005-0000-0000-0000E0010000}"/>
    <cellStyle name="Bold/Border 2 2 3 3 2 5" xfId="9375" xr:uid="{00000000-0005-0000-0000-0000E0010000}"/>
    <cellStyle name="Bold/Border 2 2 3 3 2 5 2" xfId="28094" xr:uid="{00000000-0005-0000-0000-0000E0010000}"/>
    <cellStyle name="Bold/Border 2 2 3 3 2 5 3" xfId="46457" xr:uid="{00000000-0005-0000-0000-0000E0010000}"/>
    <cellStyle name="Bold/Border 2 2 3 3 2 6" xfId="13431" xr:uid="{00000000-0005-0000-0000-0000E0010000}"/>
    <cellStyle name="Bold/Border 2 2 3 3 2 6 2" xfId="31852" xr:uid="{00000000-0005-0000-0000-0000E0010000}"/>
    <cellStyle name="Bold/Border 2 2 3 3 2 6 3" xfId="50215" xr:uid="{00000000-0005-0000-0000-0000E0010000}"/>
    <cellStyle name="Bold/Border 2 2 3 3 2 7" xfId="23379" xr:uid="{00000000-0005-0000-0000-0000E0010000}"/>
    <cellStyle name="Bold/Border 2 2 3 3 2 7 2" xfId="41748" xr:uid="{00000000-0005-0000-0000-0000E0010000}"/>
    <cellStyle name="Bold/Border 2 2 3 3 2 8" xfId="18457" xr:uid="{00000000-0005-0000-0000-0000E0010000}"/>
    <cellStyle name="Bold/Border 2 2 3 3 2 9" xfId="36863" xr:uid="{00000000-0005-0000-0000-0000E0010000}"/>
    <cellStyle name="Bold/Border 2 2 3 3 3" xfId="4469" xr:uid="{00000000-0005-0000-0000-0000E0010000}"/>
    <cellStyle name="Bold/Border 2 2 3 3 3 2" xfId="11065" xr:uid="{00000000-0005-0000-0000-0000E0010000}"/>
    <cellStyle name="Bold/Border 2 2 3 3 3 2 2" xfId="29685" xr:uid="{00000000-0005-0000-0000-0000E0010000}"/>
    <cellStyle name="Bold/Border 2 2 3 3 3 2 3" xfId="48048" xr:uid="{00000000-0005-0000-0000-0000E0010000}"/>
    <cellStyle name="Bold/Border 2 2 3 3 3 3" xfId="15203" xr:uid="{00000000-0005-0000-0000-0000E0010000}"/>
    <cellStyle name="Bold/Border 2 2 3 3 3 3 2" xfId="33598" xr:uid="{00000000-0005-0000-0000-0000E0010000}"/>
    <cellStyle name="Bold/Border 2 2 3 3 3 3 3" xfId="51961" xr:uid="{00000000-0005-0000-0000-0000E0010000}"/>
    <cellStyle name="Bold/Border 2 2 3 3 3 4" xfId="24329" xr:uid="{00000000-0005-0000-0000-0000E0010000}"/>
    <cellStyle name="Bold/Border 2 2 3 3 3 4 2" xfId="42698" xr:uid="{00000000-0005-0000-0000-0000E0010000}"/>
    <cellStyle name="Bold/Border 2 2 3 3 3 5" xfId="20653" xr:uid="{00000000-0005-0000-0000-0000E0010000}"/>
    <cellStyle name="Bold/Border 2 2 3 3 3 6" xfId="39045" xr:uid="{00000000-0005-0000-0000-0000E0010000}"/>
    <cellStyle name="Bold/Border 2 2 3 3 4" xfId="5131" xr:uid="{00000000-0005-0000-0000-0000E0010000}"/>
    <cellStyle name="Bold/Border 2 2 3 3 4 2" xfId="11636" xr:uid="{00000000-0005-0000-0000-0000E0010000}"/>
    <cellStyle name="Bold/Border 2 2 3 3 4 2 2" xfId="30185" xr:uid="{00000000-0005-0000-0000-0000E0010000}"/>
    <cellStyle name="Bold/Border 2 2 3 3 4 2 3" xfId="48548" xr:uid="{00000000-0005-0000-0000-0000E0010000}"/>
    <cellStyle name="Bold/Border 2 2 3 3 4 3" xfId="15835" xr:uid="{00000000-0005-0000-0000-0000E0010000}"/>
    <cellStyle name="Bold/Border 2 2 3 3 4 3 2" xfId="34219" xr:uid="{00000000-0005-0000-0000-0000E0010000}"/>
    <cellStyle name="Bold/Border 2 2 3 3 4 3 3" xfId="52582" xr:uid="{00000000-0005-0000-0000-0000E0010000}"/>
    <cellStyle name="Bold/Border 2 2 3 3 4 4" xfId="24958" xr:uid="{00000000-0005-0000-0000-0000E0010000}"/>
    <cellStyle name="Bold/Border 2 2 3 3 4 4 2" xfId="43327" xr:uid="{00000000-0005-0000-0000-0000E0010000}"/>
    <cellStyle name="Bold/Border 2 2 3 3 4 5" xfId="21281" xr:uid="{00000000-0005-0000-0000-0000E0010000}"/>
    <cellStyle name="Bold/Border 2 2 3 3 4 6" xfId="39666" xr:uid="{00000000-0005-0000-0000-0000E0010000}"/>
    <cellStyle name="Bold/Border 2 2 3 3 5" xfId="9727" xr:uid="{00000000-0005-0000-0000-0000E0010000}"/>
    <cellStyle name="Bold/Border 2 2 3 3 5 2" xfId="13784" xr:uid="{00000000-0005-0000-0000-0000E0010000}"/>
    <cellStyle name="Bold/Border 2 2 3 3 5 2 2" xfId="32205" xr:uid="{00000000-0005-0000-0000-0000E0010000}"/>
    <cellStyle name="Bold/Border 2 2 3 3 5 2 3" xfId="50568" xr:uid="{00000000-0005-0000-0000-0000E0010000}"/>
    <cellStyle name="Bold/Border 2 2 3 3 5 3" xfId="28443" xr:uid="{00000000-0005-0000-0000-0000E0010000}"/>
    <cellStyle name="Bold/Border 2 2 3 3 5 3 2" xfId="46806" xr:uid="{00000000-0005-0000-0000-0000E0010000}"/>
    <cellStyle name="Bold/Border 2 2 3 3 5 4" xfId="18879" xr:uid="{00000000-0005-0000-0000-0000E0010000}"/>
    <cellStyle name="Bold/Border 2 2 3 3 5 5" xfId="37288" xr:uid="{00000000-0005-0000-0000-0000E0010000}"/>
    <cellStyle name="Bold/Border 2 2 3 3 6" xfId="7739" xr:uid="{00000000-0005-0000-0000-0000E0010000}"/>
    <cellStyle name="Bold/Border 2 2 3 3 6 2" xfId="27016" xr:uid="{00000000-0005-0000-0000-0000E0010000}"/>
    <cellStyle name="Bold/Border 2 2 3 3 6 3" xfId="45381" xr:uid="{00000000-0005-0000-0000-0000E0010000}"/>
    <cellStyle name="Bold/Border 2 2 3 3 7" xfId="7854" xr:uid="{00000000-0005-0000-0000-0000E0010000}"/>
    <cellStyle name="Bold/Border 2 2 3 3 7 2" xfId="27105" xr:uid="{00000000-0005-0000-0000-0000E0010000}"/>
    <cellStyle name="Bold/Border 2 2 3 3 7 3" xfId="45470" xr:uid="{00000000-0005-0000-0000-0000E0010000}"/>
    <cellStyle name="Bold/Border 2 2 3 3 8" xfId="19460" xr:uid="{00000000-0005-0000-0000-0000E0010000}"/>
    <cellStyle name="Bold/Border 2 2 3 3 8 2" xfId="37866" xr:uid="{00000000-0005-0000-0000-0000E0010000}"/>
    <cellStyle name="Bold/Border 2 2 3 3 9" xfId="8733" xr:uid="{00000000-0005-0000-0000-0000E0010000}"/>
    <cellStyle name="Bold/Border 2 2 3 4" xfId="1336" xr:uid="{00000000-0005-0000-0000-0000E1010000}"/>
    <cellStyle name="Bold/Border 2 2 3 4 10" xfId="7337" xr:uid="{00000000-0005-0000-0000-0000E1010000}"/>
    <cellStyle name="Bold/Border 2 2 3 4 2" xfId="3384" xr:uid="{00000000-0005-0000-0000-0000E1010000}"/>
    <cellStyle name="Bold/Border 2 2 3 4 2 2" xfId="5559" xr:uid="{00000000-0005-0000-0000-0000E1010000}"/>
    <cellStyle name="Bold/Border 2 2 3 4 2 2 2" xfId="11923" xr:uid="{00000000-0005-0000-0000-0000E1010000}"/>
    <cellStyle name="Bold/Border 2 2 3 4 2 2 2 2" xfId="30370" xr:uid="{00000000-0005-0000-0000-0000E1010000}"/>
    <cellStyle name="Bold/Border 2 2 3 4 2 2 2 3" xfId="48733" xr:uid="{00000000-0005-0000-0000-0000E1010000}"/>
    <cellStyle name="Bold/Border 2 2 3 4 2 2 3" xfId="16249" xr:uid="{00000000-0005-0000-0000-0000E1010000}"/>
    <cellStyle name="Bold/Border 2 2 3 4 2 2 3 2" xfId="34621" xr:uid="{00000000-0005-0000-0000-0000E1010000}"/>
    <cellStyle name="Bold/Border 2 2 3 4 2 2 3 3" xfId="52984" xr:uid="{00000000-0005-0000-0000-0000E1010000}"/>
    <cellStyle name="Bold/Border 2 2 3 4 2 2 4" xfId="25368" xr:uid="{00000000-0005-0000-0000-0000E1010000}"/>
    <cellStyle name="Bold/Border 2 2 3 4 2 2 4 2" xfId="43737" xr:uid="{00000000-0005-0000-0000-0000E1010000}"/>
    <cellStyle name="Bold/Border 2 2 3 4 2 2 5" xfId="21689" xr:uid="{00000000-0005-0000-0000-0000E1010000}"/>
    <cellStyle name="Bold/Border 2 2 3 4 2 2 6" xfId="40068" xr:uid="{00000000-0005-0000-0000-0000E1010000}"/>
    <cellStyle name="Bold/Border 2 2 3 4 2 3" xfId="6383" xr:uid="{00000000-0005-0000-0000-0000E1010000}"/>
    <cellStyle name="Bold/Border 2 2 3 4 2 3 2" xfId="12674" xr:uid="{00000000-0005-0000-0000-0000E1010000}"/>
    <cellStyle name="Bold/Border 2 2 3 4 2 3 2 2" xfId="31100" xr:uid="{00000000-0005-0000-0000-0000E1010000}"/>
    <cellStyle name="Bold/Border 2 2 3 4 2 3 2 3" xfId="49463" xr:uid="{00000000-0005-0000-0000-0000E1010000}"/>
    <cellStyle name="Bold/Border 2 2 3 4 2 3 3" xfId="16985" xr:uid="{00000000-0005-0000-0000-0000E1010000}"/>
    <cellStyle name="Bold/Border 2 2 3 4 2 3 3 2" xfId="35333" xr:uid="{00000000-0005-0000-0000-0000E1010000}"/>
    <cellStyle name="Bold/Border 2 2 3 4 2 3 3 3" xfId="53696" xr:uid="{00000000-0005-0000-0000-0000E1010000}"/>
    <cellStyle name="Bold/Border 2 2 3 4 2 3 4" xfId="26118" xr:uid="{00000000-0005-0000-0000-0000E1010000}"/>
    <cellStyle name="Bold/Border 2 2 3 4 2 3 4 2" xfId="44487" xr:uid="{00000000-0005-0000-0000-0000E1010000}"/>
    <cellStyle name="Bold/Border 2 2 3 4 2 3 5" xfId="22411" xr:uid="{00000000-0005-0000-0000-0000E1010000}"/>
    <cellStyle name="Bold/Border 2 2 3 4 2 3 6" xfId="40780" xr:uid="{00000000-0005-0000-0000-0000E1010000}"/>
    <cellStyle name="Bold/Border 2 2 3 4 2 4" xfId="10097" xr:uid="{00000000-0005-0000-0000-0000E1010000}"/>
    <cellStyle name="Bold/Border 2 2 3 4 2 4 2" xfId="14154" xr:uid="{00000000-0005-0000-0000-0000E1010000}"/>
    <cellStyle name="Bold/Border 2 2 3 4 2 4 2 2" xfId="32570" xr:uid="{00000000-0005-0000-0000-0000E1010000}"/>
    <cellStyle name="Bold/Border 2 2 3 4 2 4 2 3" xfId="50933" xr:uid="{00000000-0005-0000-0000-0000E1010000}"/>
    <cellStyle name="Bold/Border 2 2 3 4 2 4 3" xfId="28808" xr:uid="{00000000-0005-0000-0000-0000E1010000}"/>
    <cellStyle name="Bold/Border 2 2 3 4 2 4 3 2" xfId="47171" xr:uid="{00000000-0005-0000-0000-0000E1010000}"/>
    <cellStyle name="Bold/Border 2 2 3 4 2 4 4" xfId="19611" xr:uid="{00000000-0005-0000-0000-0000E1010000}"/>
    <cellStyle name="Bold/Border 2 2 3 4 2 4 5" xfId="38017" xr:uid="{00000000-0005-0000-0000-0000E1010000}"/>
    <cellStyle name="Bold/Border 2 2 3 4 2 5" xfId="9284" xr:uid="{00000000-0005-0000-0000-0000E1010000}"/>
    <cellStyle name="Bold/Border 2 2 3 4 2 5 2" xfId="28003" xr:uid="{00000000-0005-0000-0000-0000E1010000}"/>
    <cellStyle name="Bold/Border 2 2 3 4 2 5 3" xfId="46366" xr:uid="{00000000-0005-0000-0000-0000E1010000}"/>
    <cellStyle name="Bold/Border 2 2 3 4 2 6" xfId="13340" xr:uid="{00000000-0005-0000-0000-0000E1010000}"/>
    <cellStyle name="Bold/Border 2 2 3 4 2 6 2" xfId="31761" xr:uid="{00000000-0005-0000-0000-0000E1010000}"/>
    <cellStyle name="Bold/Border 2 2 3 4 2 6 3" xfId="50124" xr:uid="{00000000-0005-0000-0000-0000E1010000}"/>
    <cellStyle name="Bold/Border 2 2 3 4 2 7" xfId="23292" xr:uid="{00000000-0005-0000-0000-0000E1010000}"/>
    <cellStyle name="Bold/Border 2 2 3 4 2 7 2" xfId="41661" xr:uid="{00000000-0005-0000-0000-0000E1010000}"/>
    <cellStyle name="Bold/Border 2 2 3 4 2 8" xfId="18357" xr:uid="{00000000-0005-0000-0000-0000E1010000}"/>
    <cellStyle name="Bold/Border 2 2 3 4 2 9" xfId="36763" xr:uid="{00000000-0005-0000-0000-0000E1010000}"/>
    <cellStyle name="Bold/Border 2 2 3 4 3" xfId="4373" xr:uid="{00000000-0005-0000-0000-0000E1010000}"/>
    <cellStyle name="Bold/Border 2 2 3 4 3 2" xfId="10973" xr:uid="{00000000-0005-0000-0000-0000E1010000}"/>
    <cellStyle name="Bold/Border 2 2 3 4 3 2 2" xfId="29595" xr:uid="{00000000-0005-0000-0000-0000E1010000}"/>
    <cellStyle name="Bold/Border 2 2 3 4 3 2 3" xfId="47958" xr:uid="{00000000-0005-0000-0000-0000E1010000}"/>
    <cellStyle name="Bold/Border 2 2 3 4 3 3" xfId="15109" xr:uid="{00000000-0005-0000-0000-0000E1010000}"/>
    <cellStyle name="Bold/Border 2 2 3 4 3 3 2" xfId="33506" xr:uid="{00000000-0005-0000-0000-0000E1010000}"/>
    <cellStyle name="Bold/Border 2 2 3 4 3 3 3" xfId="51869" xr:uid="{00000000-0005-0000-0000-0000E1010000}"/>
    <cellStyle name="Bold/Border 2 2 3 4 3 4" xfId="24237" xr:uid="{00000000-0005-0000-0000-0000E1010000}"/>
    <cellStyle name="Bold/Border 2 2 3 4 3 4 2" xfId="42606" xr:uid="{00000000-0005-0000-0000-0000E1010000}"/>
    <cellStyle name="Bold/Border 2 2 3 4 3 5" xfId="20560" xr:uid="{00000000-0005-0000-0000-0000E1010000}"/>
    <cellStyle name="Bold/Border 2 2 3 4 3 6" xfId="38953" xr:uid="{00000000-0005-0000-0000-0000E1010000}"/>
    <cellStyle name="Bold/Border 2 2 3 4 4" xfId="4900" xr:uid="{00000000-0005-0000-0000-0000E1010000}"/>
    <cellStyle name="Bold/Border 2 2 3 4 4 2" xfId="11456" xr:uid="{00000000-0005-0000-0000-0000E1010000}"/>
    <cellStyle name="Bold/Border 2 2 3 4 4 2 2" xfId="30044" xr:uid="{00000000-0005-0000-0000-0000E1010000}"/>
    <cellStyle name="Bold/Border 2 2 3 4 4 2 3" xfId="48407" xr:uid="{00000000-0005-0000-0000-0000E1010000}"/>
    <cellStyle name="Bold/Border 2 2 3 4 4 3" xfId="15626" xr:uid="{00000000-0005-0000-0000-0000E1010000}"/>
    <cellStyle name="Bold/Border 2 2 3 4 4 3 2" xfId="34017" xr:uid="{00000000-0005-0000-0000-0000E1010000}"/>
    <cellStyle name="Bold/Border 2 2 3 4 4 3 3" xfId="52380" xr:uid="{00000000-0005-0000-0000-0000E1010000}"/>
    <cellStyle name="Bold/Border 2 2 3 4 4 4" xfId="24748" xr:uid="{00000000-0005-0000-0000-0000E1010000}"/>
    <cellStyle name="Bold/Border 2 2 3 4 4 4 2" xfId="43117" xr:uid="{00000000-0005-0000-0000-0000E1010000}"/>
    <cellStyle name="Bold/Border 2 2 3 4 4 5" xfId="21075" xr:uid="{00000000-0005-0000-0000-0000E1010000}"/>
    <cellStyle name="Bold/Border 2 2 3 4 4 6" xfId="39464" xr:uid="{00000000-0005-0000-0000-0000E1010000}"/>
    <cellStyle name="Bold/Border 2 2 3 4 5" xfId="9255" xr:uid="{00000000-0005-0000-0000-0000E1010000}"/>
    <cellStyle name="Bold/Border 2 2 3 4 5 2" xfId="13312" xr:uid="{00000000-0005-0000-0000-0000E1010000}"/>
    <cellStyle name="Bold/Border 2 2 3 4 5 2 2" xfId="31733" xr:uid="{00000000-0005-0000-0000-0000E1010000}"/>
    <cellStyle name="Bold/Border 2 2 3 4 5 2 3" xfId="50096" xr:uid="{00000000-0005-0000-0000-0000E1010000}"/>
    <cellStyle name="Bold/Border 2 2 3 4 5 3" xfId="27975" xr:uid="{00000000-0005-0000-0000-0000E1010000}"/>
    <cellStyle name="Bold/Border 2 2 3 4 5 3 2" xfId="46338" xr:uid="{00000000-0005-0000-0000-0000E1010000}"/>
    <cellStyle name="Bold/Border 2 2 3 4 5 4" xfId="18315" xr:uid="{00000000-0005-0000-0000-0000E1010000}"/>
    <cellStyle name="Bold/Border 2 2 3 4 5 5" xfId="36721" xr:uid="{00000000-0005-0000-0000-0000E1010000}"/>
    <cellStyle name="Bold/Border 2 2 3 4 6" xfId="7634" xr:uid="{00000000-0005-0000-0000-0000E1010000}"/>
    <cellStyle name="Bold/Border 2 2 3 4 6 2" xfId="26921" xr:uid="{00000000-0005-0000-0000-0000E1010000}"/>
    <cellStyle name="Bold/Border 2 2 3 4 6 3" xfId="45286" xr:uid="{00000000-0005-0000-0000-0000E1010000}"/>
    <cellStyle name="Bold/Border 2 2 3 4 7" xfId="7231" xr:uid="{00000000-0005-0000-0000-0000E1010000}"/>
    <cellStyle name="Bold/Border 2 2 3 4 7 2" xfId="26774" xr:uid="{00000000-0005-0000-0000-0000E1010000}"/>
    <cellStyle name="Bold/Border 2 2 3 4 7 3" xfId="45142" xr:uid="{00000000-0005-0000-0000-0000E1010000}"/>
    <cellStyle name="Bold/Border 2 2 3 4 8" xfId="18189" xr:uid="{00000000-0005-0000-0000-0000E1010000}"/>
    <cellStyle name="Bold/Border 2 2 3 4 8 2" xfId="36595" xr:uid="{00000000-0005-0000-0000-0000E1010000}"/>
    <cellStyle name="Bold/Border 2 2 3 4 9" xfId="11465" xr:uid="{00000000-0005-0000-0000-0000E1010000}"/>
    <cellStyle name="Bold/Border 2 2 3 5" xfId="3523" xr:uid="{00000000-0005-0000-0000-0000DE010000}"/>
    <cellStyle name="Bold/Border 2 2 3 5 2" xfId="5697" xr:uid="{00000000-0005-0000-0000-0000DE010000}"/>
    <cellStyle name="Bold/Border 2 2 3 5 2 2" xfId="12061" xr:uid="{00000000-0005-0000-0000-0000DE010000}"/>
    <cellStyle name="Bold/Border 2 2 3 5 2 2 2" xfId="30508" xr:uid="{00000000-0005-0000-0000-0000DE010000}"/>
    <cellStyle name="Bold/Border 2 2 3 5 2 2 3" xfId="48871" xr:uid="{00000000-0005-0000-0000-0000DE010000}"/>
    <cellStyle name="Bold/Border 2 2 3 5 2 3" xfId="16387" xr:uid="{00000000-0005-0000-0000-0000DE010000}"/>
    <cellStyle name="Bold/Border 2 2 3 5 2 3 2" xfId="34759" xr:uid="{00000000-0005-0000-0000-0000DE010000}"/>
    <cellStyle name="Bold/Border 2 2 3 5 2 3 3" xfId="53122" xr:uid="{00000000-0005-0000-0000-0000DE010000}"/>
    <cellStyle name="Bold/Border 2 2 3 5 2 4" xfId="25506" xr:uid="{00000000-0005-0000-0000-0000DE010000}"/>
    <cellStyle name="Bold/Border 2 2 3 5 2 4 2" xfId="43875" xr:uid="{00000000-0005-0000-0000-0000DE010000}"/>
    <cellStyle name="Bold/Border 2 2 3 5 2 5" xfId="21827" xr:uid="{00000000-0005-0000-0000-0000DE010000}"/>
    <cellStyle name="Bold/Border 2 2 3 5 2 6" xfId="40206" xr:uid="{00000000-0005-0000-0000-0000DE010000}"/>
    <cellStyle name="Bold/Border 2 2 3 5 3" xfId="6522" xr:uid="{00000000-0005-0000-0000-0000DE010000}"/>
    <cellStyle name="Bold/Border 2 2 3 5 3 2" xfId="12813" xr:uid="{00000000-0005-0000-0000-0000DE010000}"/>
    <cellStyle name="Bold/Border 2 2 3 5 3 2 2" xfId="31239" xr:uid="{00000000-0005-0000-0000-0000DE010000}"/>
    <cellStyle name="Bold/Border 2 2 3 5 3 2 3" xfId="49602" xr:uid="{00000000-0005-0000-0000-0000DE010000}"/>
    <cellStyle name="Bold/Border 2 2 3 5 3 3" xfId="17124" xr:uid="{00000000-0005-0000-0000-0000DE010000}"/>
    <cellStyle name="Bold/Border 2 2 3 5 3 3 2" xfId="35472" xr:uid="{00000000-0005-0000-0000-0000DE010000}"/>
    <cellStyle name="Bold/Border 2 2 3 5 3 3 3" xfId="53835" xr:uid="{00000000-0005-0000-0000-0000DE010000}"/>
    <cellStyle name="Bold/Border 2 2 3 5 3 4" xfId="26257" xr:uid="{00000000-0005-0000-0000-0000DE010000}"/>
    <cellStyle name="Bold/Border 2 2 3 5 3 4 2" xfId="44626" xr:uid="{00000000-0005-0000-0000-0000DE010000}"/>
    <cellStyle name="Bold/Border 2 2 3 5 3 5" xfId="22550" xr:uid="{00000000-0005-0000-0000-0000DE010000}"/>
    <cellStyle name="Bold/Border 2 2 3 5 3 6" xfId="40919" xr:uid="{00000000-0005-0000-0000-0000DE010000}"/>
    <cellStyle name="Bold/Border 2 2 3 5 4" xfId="10236" xr:uid="{00000000-0005-0000-0000-0000DE010000}"/>
    <cellStyle name="Bold/Border 2 2 3 5 4 2" xfId="14293" xr:uid="{00000000-0005-0000-0000-0000DE010000}"/>
    <cellStyle name="Bold/Border 2 2 3 5 4 2 2" xfId="32709" xr:uid="{00000000-0005-0000-0000-0000DE010000}"/>
    <cellStyle name="Bold/Border 2 2 3 5 4 2 3" xfId="51072" xr:uid="{00000000-0005-0000-0000-0000DE010000}"/>
    <cellStyle name="Bold/Border 2 2 3 5 4 3" xfId="28947" xr:uid="{00000000-0005-0000-0000-0000DE010000}"/>
    <cellStyle name="Bold/Border 2 2 3 5 4 3 2" xfId="47310" xr:uid="{00000000-0005-0000-0000-0000DE010000}"/>
    <cellStyle name="Bold/Border 2 2 3 5 4 4" xfId="19750" xr:uid="{00000000-0005-0000-0000-0000DE010000}"/>
    <cellStyle name="Bold/Border 2 2 3 5 4 5" xfId="38156" xr:uid="{00000000-0005-0000-0000-0000DE010000}"/>
    <cellStyle name="Bold/Border 2 2 3 5 5" xfId="9431" xr:uid="{00000000-0005-0000-0000-0000DE010000}"/>
    <cellStyle name="Bold/Border 2 2 3 5 5 2" xfId="28148" xr:uid="{00000000-0005-0000-0000-0000DE010000}"/>
    <cellStyle name="Bold/Border 2 2 3 5 5 3" xfId="46511" xr:uid="{00000000-0005-0000-0000-0000DE010000}"/>
    <cellStyle name="Bold/Border 2 2 3 5 6" xfId="13488" xr:uid="{00000000-0005-0000-0000-0000DE010000}"/>
    <cellStyle name="Bold/Border 2 2 3 5 6 2" xfId="31909" xr:uid="{00000000-0005-0000-0000-0000DE010000}"/>
    <cellStyle name="Bold/Border 2 2 3 5 6 3" xfId="50272" xr:uid="{00000000-0005-0000-0000-0000DE010000}"/>
    <cellStyle name="Bold/Border 2 2 3 5 7" xfId="23431" xr:uid="{00000000-0005-0000-0000-0000DE010000}"/>
    <cellStyle name="Bold/Border 2 2 3 5 7 2" xfId="41800" xr:uid="{00000000-0005-0000-0000-0000DE010000}"/>
    <cellStyle name="Bold/Border 2 2 3 5 8" xfId="18516" xr:uid="{00000000-0005-0000-0000-0000DE010000}"/>
    <cellStyle name="Bold/Border 2 2 3 5 9" xfId="36925" xr:uid="{00000000-0005-0000-0000-0000DE010000}"/>
    <cellStyle name="Bold/Border 2 2 3 6" xfId="4527" xr:uid="{00000000-0005-0000-0000-0000DE010000}"/>
    <cellStyle name="Bold/Border 2 2 3 6 2" xfId="11118" xr:uid="{00000000-0005-0000-0000-0000DE010000}"/>
    <cellStyle name="Bold/Border 2 2 3 6 2 2" xfId="29736" xr:uid="{00000000-0005-0000-0000-0000DE010000}"/>
    <cellStyle name="Bold/Border 2 2 3 6 2 3" xfId="48099" xr:uid="{00000000-0005-0000-0000-0000DE010000}"/>
    <cellStyle name="Bold/Border 2 2 3 6 3" xfId="15256" xr:uid="{00000000-0005-0000-0000-0000DE010000}"/>
    <cellStyle name="Bold/Border 2 2 3 6 3 2" xfId="33650" xr:uid="{00000000-0005-0000-0000-0000DE010000}"/>
    <cellStyle name="Bold/Border 2 2 3 6 3 3" xfId="52013" xr:uid="{00000000-0005-0000-0000-0000DE010000}"/>
    <cellStyle name="Bold/Border 2 2 3 6 4" xfId="24381" xr:uid="{00000000-0005-0000-0000-0000DE010000}"/>
    <cellStyle name="Bold/Border 2 2 3 6 4 2" xfId="42750" xr:uid="{00000000-0005-0000-0000-0000DE010000}"/>
    <cellStyle name="Bold/Border 2 2 3 6 5" xfId="20705" xr:uid="{00000000-0005-0000-0000-0000DE010000}"/>
    <cellStyle name="Bold/Border 2 2 3 6 6" xfId="39097" xr:uid="{00000000-0005-0000-0000-0000DE010000}"/>
    <cellStyle name="Bold/Border 2 2 3 7" xfId="4878" xr:uid="{00000000-0005-0000-0000-0000DE010000}"/>
    <cellStyle name="Bold/Border 2 2 3 7 2" xfId="11436" xr:uid="{00000000-0005-0000-0000-0000DE010000}"/>
    <cellStyle name="Bold/Border 2 2 3 7 2 2" xfId="30026" xr:uid="{00000000-0005-0000-0000-0000DE010000}"/>
    <cellStyle name="Bold/Border 2 2 3 7 2 3" xfId="48389" xr:uid="{00000000-0005-0000-0000-0000DE010000}"/>
    <cellStyle name="Bold/Border 2 2 3 7 3" xfId="15604" xr:uid="{00000000-0005-0000-0000-0000DE010000}"/>
    <cellStyle name="Bold/Border 2 2 3 7 3 2" xfId="33995" xr:uid="{00000000-0005-0000-0000-0000DE010000}"/>
    <cellStyle name="Bold/Border 2 2 3 7 3 3" xfId="52358" xr:uid="{00000000-0005-0000-0000-0000DE010000}"/>
    <cellStyle name="Bold/Border 2 2 3 7 4" xfId="24726" xr:uid="{00000000-0005-0000-0000-0000DE010000}"/>
    <cellStyle name="Bold/Border 2 2 3 7 4 2" xfId="43095" xr:uid="{00000000-0005-0000-0000-0000DE010000}"/>
    <cellStyle name="Bold/Border 2 2 3 7 5" xfId="21053" xr:uid="{00000000-0005-0000-0000-0000DE010000}"/>
    <cellStyle name="Bold/Border 2 2 3 7 6" xfId="39442" xr:uid="{00000000-0005-0000-0000-0000DE010000}"/>
    <cellStyle name="Bold/Border 2 2 3 8" xfId="9106" xr:uid="{00000000-0005-0000-0000-0000DE010000}"/>
    <cellStyle name="Bold/Border 2 2 3 8 2" xfId="6076" xr:uid="{00000000-0005-0000-0000-0000DE010000}"/>
    <cellStyle name="Bold/Border 2 2 3 8 2 2" xfId="25885" xr:uid="{00000000-0005-0000-0000-0000DE010000}"/>
    <cellStyle name="Bold/Border 2 2 3 8 2 3" xfId="44254" xr:uid="{00000000-0005-0000-0000-0000DE010000}"/>
    <cellStyle name="Bold/Border 2 2 3 8 3" xfId="27832" xr:uid="{00000000-0005-0000-0000-0000DE010000}"/>
    <cellStyle name="Bold/Border 2 2 3 8 3 2" xfId="46195" xr:uid="{00000000-0005-0000-0000-0000DE010000}"/>
    <cellStyle name="Bold/Border 2 2 3 8 4" xfId="18018" xr:uid="{00000000-0005-0000-0000-0000DE010000}"/>
    <cellStyle name="Bold/Border 2 2 3 8 5" xfId="36426" xr:uid="{00000000-0005-0000-0000-0000DE010000}"/>
    <cellStyle name="Bold/Border 2 2 3 9" xfId="7796" xr:uid="{00000000-0005-0000-0000-0000DE010000}"/>
    <cellStyle name="Bold/Border 2 2 3 9 2" xfId="27067" xr:uid="{00000000-0005-0000-0000-0000DE010000}"/>
    <cellStyle name="Bold/Border 2 2 3 9 3" xfId="45432" xr:uid="{00000000-0005-0000-0000-0000DE010000}"/>
    <cellStyle name="Bold/Border 2 2 4" xfId="1391" xr:uid="{00000000-0005-0000-0000-0000E2010000}"/>
    <cellStyle name="Bold/Border 2 2 4 10" xfId="11814" xr:uid="{00000000-0005-0000-0000-0000E2010000}"/>
    <cellStyle name="Bold/Border 2 2 4 2" xfId="3424" xr:uid="{00000000-0005-0000-0000-0000E2010000}"/>
    <cellStyle name="Bold/Border 2 2 4 2 2" xfId="5599" xr:uid="{00000000-0005-0000-0000-0000E2010000}"/>
    <cellStyle name="Bold/Border 2 2 4 2 2 2" xfId="11963" xr:uid="{00000000-0005-0000-0000-0000E2010000}"/>
    <cellStyle name="Bold/Border 2 2 4 2 2 2 2" xfId="30410" xr:uid="{00000000-0005-0000-0000-0000E2010000}"/>
    <cellStyle name="Bold/Border 2 2 4 2 2 2 3" xfId="48773" xr:uid="{00000000-0005-0000-0000-0000E2010000}"/>
    <cellStyle name="Bold/Border 2 2 4 2 2 3" xfId="16289" xr:uid="{00000000-0005-0000-0000-0000E2010000}"/>
    <cellStyle name="Bold/Border 2 2 4 2 2 3 2" xfId="34661" xr:uid="{00000000-0005-0000-0000-0000E2010000}"/>
    <cellStyle name="Bold/Border 2 2 4 2 2 3 3" xfId="53024" xr:uid="{00000000-0005-0000-0000-0000E2010000}"/>
    <cellStyle name="Bold/Border 2 2 4 2 2 4" xfId="25408" xr:uid="{00000000-0005-0000-0000-0000E2010000}"/>
    <cellStyle name="Bold/Border 2 2 4 2 2 4 2" xfId="43777" xr:uid="{00000000-0005-0000-0000-0000E2010000}"/>
    <cellStyle name="Bold/Border 2 2 4 2 2 5" xfId="21729" xr:uid="{00000000-0005-0000-0000-0000E2010000}"/>
    <cellStyle name="Bold/Border 2 2 4 2 2 6" xfId="40108" xr:uid="{00000000-0005-0000-0000-0000E2010000}"/>
    <cellStyle name="Bold/Border 2 2 4 2 3" xfId="6423" xr:uid="{00000000-0005-0000-0000-0000E2010000}"/>
    <cellStyle name="Bold/Border 2 2 4 2 3 2" xfId="12714" xr:uid="{00000000-0005-0000-0000-0000E2010000}"/>
    <cellStyle name="Bold/Border 2 2 4 2 3 2 2" xfId="31140" xr:uid="{00000000-0005-0000-0000-0000E2010000}"/>
    <cellStyle name="Bold/Border 2 2 4 2 3 2 3" xfId="49503" xr:uid="{00000000-0005-0000-0000-0000E2010000}"/>
    <cellStyle name="Bold/Border 2 2 4 2 3 3" xfId="17025" xr:uid="{00000000-0005-0000-0000-0000E2010000}"/>
    <cellStyle name="Bold/Border 2 2 4 2 3 3 2" xfId="35373" xr:uid="{00000000-0005-0000-0000-0000E2010000}"/>
    <cellStyle name="Bold/Border 2 2 4 2 3 3 3" xfId="53736" xr:uid="{00000000-0005-0000-0000-0000E2010000}"/>
    <cellStyle name="Bold/Border 2 2 4 2 3 4" xfId="26158" xr:uid="{00000000-0005-0000-0000-0000E2010000}"/>
    <cellStyle name="Bold/Border 2 2 4 2 3 4 2" xfId="44527" xr:uid="{00000000-0005-0000-0000-0000E2010000}"/>
    <cellStyle name="Bold/Border 2 2 4 2 3 5" xfId="22451" xr:uid="{00000000-0005-0000-0000-0000E2010000}"/>
    <cellStyle name="Bold/Border 2 2 4 2 3 6" xfId="40820" xr:uid="{00000000-0005-0000-0000-0000E2010000}"/>
    <cellStyle name="Bold/Border 2 2 4 2 4" xfId="10137" xr:uid="{00000000-0005-0000-0000-0000E2010000}"/>
    <cellStyle name="Bold/Border 2 2 4 2 4 2" xfId="14194" xr:uid="{00000000-0005-0000-0000-0000E2010000}"/>
    <cellStyle name="Bold/Border 2 2 4 2 4 2 2" xfId="32610" xr:uid="{00000000-0005-0000-0000-0000E2010000}"/>
    <cellStyle name="Bold/Border 2 2 4 2 4 2 3" xfId="50973" xr:uid="{00000000-0005-0000-0000-0000E2010000}"/>
    <cellStyle name="Bold/Border 2 2 4 2 4 3" xfId="28848" xr:uid="{00000000-0005-0000-0000-0000E2010000}"/>
    <cellStyle name="Bold/Border 2 2 4 2 4 3 2" xfId="47211" xr:uid="{00000000-0005-0000-0000-0000E2010000}"/>
    <cellStyle name="Bold/Border 2 2 4 2 4 4" xfId="19651" xr:uid="{00000000-0005-0000-0000-0000E2010000}"/>
    <cellStyle name="Bold/Border 2 2 4 2 4 5" xfId="38057" xr:uid="{00000000-0005-0000-0000-0000E2010000}"/>
    <cellStyle name="Bold/Border 2 2 4 2 5" xfId="9324" xr:uid="{00000000-0005-0000-0000-0000E2010000}"/>
    <cellStyle name="Bold/Border 2 2 4 2 5 2" xfId="28043" xr:uid="{00000000-0005-0000-0000-0000E2010000}"/>
    <cellStyle name="Bold/Border 2 2 4 2 5 3" xfId="46406" xr:uid="{00000000-0005-0000-0000-0000E2010000}"/>
    <cellStyle name="Bold/Border 2 2 4 2 6" xfId="13380" xr:uid="{00000000-0005-0000-0000-0000E2010000}"/>
    <cellStyle name="Bold/Border 2 2 4 2 6 2" xfId="31801" xr:uid="{00000000-0005-0000-0000-0000E2010000}"/>
    <cellStyle name="Bold/Border 2 2 4 2 6 3" xfId="50164" xr:uid="{00000000-0005-0000-0000-0000E2010000}"/>
    <cellStyle name="Bold/Border 2 2 4 2 7" xfId="23332" xr:uid="{00000000-0005-0000-0000-0000E2010000}"/>
    <cellStyle name="Bold/Border 2 2 4 2 7 2" xfId="41701" xr:uid="{00000000-0005-0000-0000-0000E2010000}"/>
    <cellStyle name="Bold/Border 2 2 4 2 8" xfId="18403" xr:uid="{00000000-0005-0000-0000-0000E2010000}"/>
    <cellStyle name="Bold/Border 2 2 4 2 9" xfId="36809" xr:uid="{00000000-0005-0000-0000-0000E2010000}"/>
    <cellStyle name="Bold/Border 2 2 4 3" xfId="4417" xr:uid="{00000000-0005-0000-0000-0000E2010000}"/>
    <cellStyle name="Bold/Border 2 2 4 3 2" xfId="11016" xr:uid="{00000000-0005-0000-0000-0000E2010000}"/>
    <cellStyle name="Bold/Border 2 2 4 3 2 2" xfId="29636" xr:uid="{00000000-0005-0000-0000-0000E2010000}"/>
    <cellStyle name="Bold/Border 2 2 4 3 2 3" xfId="47999" xr:uid="{00000000-0005-0000-0000-0000E2010000}"/>
    <cellStyle name="Bold/Border 2 2 4 3 3" xfId="15151" xr:uid="{00000000-0005-0000-0000-0000E2010000}"/>
    <cellStyle name="Bold/Border 2 2 4 3 3 2" xfId="33548" xr:uid="{00000000-0005-0000-0000-0000E2010000}"/>
    <cellStyle name="Bold/Border 2 2 4 3 3 3" xfId="51911" xr:uid="{00000000-0005-0000-0000-0000E2010000}"/>
    <cellStyle name="Bold/Border 2 2 4 3 4" xfId="24279" xr:uid="{00000000-0005-0000-0000-0000E2010000}"/>
    <cellStyle name="Bold/Border 2 2 4 3 4 2" xfId="42648" xr:uid="{00000000-0005-0000-0000-0000E2010000}"/>
    <cellStyle name="Bold/Border 2 2 4 3 5" xfId="20602" xr:uid="{00000000-0005-0000-0000-0000E2010000}"/>
    <cellStyle name="Bold/Border 2 2 4 3 6" xfId="38995" xr:uid="{00000000-0005-0000-0000-0000E2010000}"/>
    <cellStyle name="Bold/Border 2 2 4 4" xfId="4049" xr:uid="{00000000-0005-0000-0000-0000E2010000}"/>
    <cellStyle name="Bold/Border 2 2 4 4 2" xfId="10750" xr:uid="{00000000-0005-0000-0000-0000E2010000}"/>
    <cellStyle name="Bold/Border 2 2 4 4 2 2" xfId="29453" xr:uid="{00000000-0005-0000-0000-0000E2010000}"/>
    <cellStyle name="Bold/Border 2 2 4 4 2 3" xfId="47816" xr:uid="{00000000-0005-0000-0000-0000E2010000}"/>
    <cellStyle name="Bold/Border 2 2 4 4 3" xfId="14810" xr:uid="{00000000-0005-0000-0000-0000E2010000}"/>
    <cellStyle name="Bold/Border 2 2 4 4 3 2" xfId="33222" xr:uid="{00000000-0005-0000-0000-0000E2010000}"/>
    <cellStyle name="Bold/Border 2 2 4 4 3 3" xfId="51585" xr:uid="{00000000-0005-0000-0000-0000E2010000}"/>
    <cellStyle name="Bold/Border 2 2 4 4 4" xfId="23946" xr:uid="{00000000-0005-0000-0000-0000E2010000}"/>
    <cellStyle name="Bold/Border 2 2 4 4 4 2" xfId="42315" xr:uid="{00000000-0005-0000-0000-0000E2010000}"/>
    <cellStyle name="Bold/Border 2 2 4 4 5" xfId="20266" xr:uid="{00000000-0005-0000-0000-0000E2010000}"/>
    <cellStyle name="Bold/Border 2 2 4 4 6" xfId="38669" xr:uid="{00000000-0005-0000-0000-0000E2010000}"/>
    <cellStyle name="Bold/Border 2 2 4 5" xfId="9251" xr:uid="{00000000-0005-0000-0000-0000E2010000}"/>
    <cellStyle name="Bold/Border 2 2 4 5 2" xfId="13308" xr:uid="{00000000-0005-0000-0000-0000E2010000}"/>
    <cellStyle name="Bold/Border 2 2 4 5 2 2" xfId="31729" xr:uid="{00000000-0005-0000-0000-0000E2010000}"/>
    <cellStyle name="Bold/Border 2 2 4 5 2 3" xfId="50092" xr:uid="{00000000-0005-0000-0000-0000E2010000}"/>
    <cellStyle name="Bold/Border 2 2 4 5 3" xfId="27971" xr:uid="{00000000-0005-0000-0000-0000E2010000}"/>
    <cellStyle name="Bold/Border 2 2 4 5 3 2" xfId="46334" xr:uid="{00000000-0005-0000-0000-0000E2010000}"/>
    <cellStyle name="Bold/Border 2 2 4 5 4" xfId="18303" xr:uid="{00000000-0005-0000-0000-0000E2010000}"/>
    <cellStyle name="Bold/Border 2 2 4 5 5" xfId="36709" xr:uid="{00000000-0005-0000-0000-0000E2010000}"/>
    <cellStyle name="Bold/Border 2 2 4 6" xfId="7683" xr:uid="{00000000-0005-0000-0000-0000E2010000}"/>
    <cellStyle name="Bold/Border 2 2 4 6 2" xfId="26965" xr:uid="{00000000-0005-0000-0000-0000E2010000}"/>
    <cellStyle name="Bold/Border 2 2 4 6 3" xfId="45330" xr:uid="{00000000-0005-0000-0000-0000E2010000}"/>
    <cellStyle name="Bold/Border 2 2 4 7" xfId="6217" xr:uid="{00000000-0005-0000-0000-0000E2010000}"/>
    <cellStyle name="Bold/Border 2 2 4 7 2" xfId="25990" xr:uid="{00000000-0005-0000-0000-0000E2010000}"/>
    <cellStyle name="Bold/Border 2 2 4 7 3" xfId="44359" xr:uid="{00000000-0005-0000-0000-0000E2010000}"/>
    <cellStyle name="Bold/Border 2 2 4 8" xfId="18500" xr:uid="{00000000-0005-0000-0000-0000E2010000}"/>
    <cellStyle name="Bold/Border 2 2 4 8 2" xfId="36909" xr:uid="{00000000-0005-0000-0000-0000E2010000}"/>
    <cellStyle name="Bold/Border 2 2 4 9" xfId="7184" xr:uid="{00000000-0005-0000-0000-0000E2010000}"/>
    <cellStyle name="Bold/Border 2 2 5" xfId="3368" xr:uid="{00000000-0005-0000-0000-0000D9010000}"/>
    <cellStyle name="Bold/Border 2 2 5 2" xfId="5543" xr:uid="{00000000-0005-0000-0000-0000D9010000}"/>
    <cellStyle name="Bold/Border 2 2 5 2 2" xfId="11907" xr:uid="{00000000-0005-0000-0000-0000D9010000}"/>
    <cellStyle name="Bold/Border 2 2 5 2 2 2" xfId="30354" xr:uid="{00000000-0005-0000-0000-0000D9010000}"/>
    <cellStyle name="Bold/Border 2 2 5 2 2 3" xfId="48717" xr:uid="{00000000-0005-0000-0000-0000D9010000}"/>
    <cellStyle name="Bold/Border 2 2 5 2 3" xfId="16233" xr:uid="{00000000-0005-0000-0000-0000D9010000}"/>
    <cellStyle name="Bold/Border 2 2 5 2 3 2" xfId="34605" xr:uid="{00000000-0005-0000-0000-0000D9010000}"/>
    <cellStyle name="Bold/Border 2 2 5 2 3 3" xfId="52968" xr:uid="{00000000-0005-0000-0000-0000D9010000}"/>
    <cellStyle name="Bold/Border 2 2 5 2 4" xfId="25352" xr:uid="{00000000-0005-0000-0000-0000D9010000}"/>
    <cellStyle name="Bold/Border 2 2 5 2 4 2" xfId="43721" xr:uid="{00000000-0005-0000-0000-0000D9010000}"/>
    <cellStyle name="Bold/Border 2 2 5 2 5" xfId="21673" xr:uid="{00000000-0005-0000-0000-0000D9010000}"/>
    <cellStyle name="Bold/Border 2 2 5 2 6" xfId="40052" xr:uid="{00000000-0005-0000-0000-0000D9010000}"/>
    <cellStyle name="Bold/Border 2 2 5 3" xfId="6367" xr:uid="{00000000-0005-0000-0000-0000D9010000}"/>
    <cellStyle name="Bold/Border 2 2 5 3 2" xfId="12658" xr:uid="{00000000-0005-0000-0000-0000D9010000}"/>
    <cellStyle name="Bold/Border 2 2 5 3 2 2" xfId="31084" xr:uid="{00000000-0005-0000-0000-0000D9010000}"/>
    <cellStyle name="Bold/Border 2 2 5 3 2 3" xfId="49447" xr:uid="{00000000-0005-0000-0000-0000D9010000}"/>
    <cellStyle name="Bold/Border 2 2 5 3 3" xfId="16969" xr:uid="{00000000-0005-0000-0000-0000D9010000}"/>
    <cellStyle name="Bold/Border 2 2 5 3 3 2" xfId="35317" xr:uid="{00000000-0005-0000-0000-0000D9010000}"/>
    <cellStyle name="Bold/Border 2 2 5 3 3 3" xfId="53680" xr:uid="{00000000-0005-0000-0000-0000D9010000}"/>
    <cellStyle name="Bold/Border 2 2 5 3 4" xfId="26102" xr:uid="{00000000-0005-0000-0000-0000D9010000}"/>
    <cellStyle name="Bold/Border 2 2 5 3 4 2" xfId="44471" xr:uid="{00000000-0005-0000-0000-0000D9010000}"/>
    <cellStyle name="Bold/Border 2 2 5 3 5" xfId="22395" xr:uid="{00000000-0005-0000-0000-0000D9010000}"/>
    <cellStyle name="Bold/Border 2 2 5 3 6" xfId="40764" xr:uid="{00000000-0005-0000-0000-0000D9010000}"/>
    <cellStyle name="Bold/Border 2 2 5 4" xfId="10081" xr:uid="{00000000-0005-0000-0000-0000D9010000}"/>
    <cellStyle name="Bold/Border 2 2 5 4 2" xfId="14138" xr:uid="{00000000-0005-0000-0000-0000D9010000}"/>
    <cellStyle name="Bold/Border 2 2 5 4 2 2" xfId="32554" xr:uid="{00000000-0005-0000-0000-0000D9010000}"/>
    <cellStyle name="Bold/Border 2 2 5 4 2 3" xfId="50917" xr:uid="{00000000-0005-0000-0000-0000D9010000}"/>
    <cellStyle name="Bold/Border 2 2 5 4 3" xfId="28792" xr:uid="{00000000-0005-0000-0000-0000D9010000}"/>
    <cellStyle name="Bold/Border 2 2 5 4 3 2" xfId="47155" xr:uid="{00000000-0005-0000-0000-0000D9010000}"/>
    <cellStyle name="Bold/Border 2 2 5 4 4" xfId="19595" xr:uid="{00000000-0005-0000-0000-0000D9010000}"/>
    <cellStyle name="Bold/Border 2 2 5 4 5" xfId="38001" xr:uid="{00000000-0005-0000-0000-0000D9010000}"/>
    <cellStyle name="Bold/Border 2 2 5 5" xfId="9231" xr:uid="{00000000-0005-0000-0000-0000D9010000}"/>
    <cellStyle name="Bold/Border 2 2 5 5 2" xfId="27951" xr:uid="{00000000-0005-0000-0000-0000D9010000}"/>
    <cellStyle name="Bold/Border 2 2 5 5 3" xfId="46314" xr:uid="{00000000-0005-0000-0000-0000D9010000}"/>
    <cellStyle name="Bold/Border 2 2 5 6" xfId="13288" xr:uid="{00000000-0005-0000-0000-0000D9010000}"/>
    <cellStyle name="Bold/Border 2 2 5 6 2" xfId="31709" xr:uid="{00000000-0005-0000-0000-0000D9010000}"/>
    <cellStyle name="Bold/Border 2 2 5 6 3" xfId="50072" xr:uid="{00000000-0005-0000-0000-0000D9010000}"/>
    <cellStyle name="Bold/Border 2 2 5 7" xfId="23276" xr:uid="{00000000-0005-0000-0000-0000D9010000}"/>
    <cellStyle name="Bold/Border 2 2 5 7 2" xfId="41645" xr:uid="{00000000-0005-0000-0000-0000D9010000}"/>
    <cellStyle name="Bold/Border 2 2 5 8" xfId="18282" xr:uid="{00000000-0005-0000-0000-0000D9010000}"/>
    <cellStyle name="Bold/Border 2 2 5 9" xfId="36688" xr:uid="{00000000-0005-0000-0000-0000D9010000}"/>
    <cellStyle name="Bold/Border 2 2 6" xfId="4315" xr:uid="{00000000-0005-0000-0000-0000D9010000}"/>
    <cellStyle name="Bold/Border 2 2 6 2" xfId="10923" xr:uid="{00000000-0005-0000-0000-0000D9010000}"/>
    <cellStyle name="Bold/Border 2 2 6 2 2" xfId="29553" xr:uid="{00000000-0005-0000-0000-0000D9010000}"/>
    <cellStyle name="Bold/Border 2 2 6 2 3" xfId="47916" xr:uid="{00000000-0005-0000-0000-0000D9010000}"/>
    <cellStyle name="Bold/Border 2 2 6 3" xfId="15059" xr:uid="{00000000-0005-0000-0000-0000D9010000}"/>
    <cellStyle name="Bold/Border 2 2 6 3 2" xfId="33461" xr:uid="{00000000-0005-0000-0000-0000D9010000}"/>
    <cellStyle name="Bold/Border 2 2 6 3 3" xfId="51824" xr:uid="{00000000-0005-0000-0000-0000D9010000}"/>
    <cellStyle name="Bold/Border 2 2 6 4" xfId="24190" xr:uid="{00000000-0005-0000-0000-0000D9010000}"/>
    <cellStyle name="Bold/Border 2 2 6 4 2" xfId="42559" xr:uid="{00000000-0005-0000-0000-0000D9010000}"/>
    <cellStyle name="Bold/Border 2 2 6 5" xfId="20511" xr:uid="{00000000-0005-0000-0000-0000D9010000}"/>
    <cellStyle name="Bold/Border 2 2 6 6" xfId="38908" xr:uid="{00000000-0005-0000-0000-0000D9010000}"/>
    <cellStyle name="Bold/Border 2 2 7" xfId="5073" xr:uid="{00000000-0005-0000-0000-0000D9010000}"/>
    <cellStyle name="Bold/Border 2 2 7 2" xfId="11595" xr:uid="{00000000-0005-0000-0000-0000D9010000}"/>
    <cellStyle name="Bold/Border 2 2 7 2 2" xfId="30162" xr:uid="{00000000-0005-0000-0000-0000D9010000}"/>
    <cellStyle name="Bold/Border 2 2 7 2 3" xfId="48525" xr:uid="{00000000-0005-0000-0000-0000D9010000}"/>
    <cellStyle name="Bold/Border 2 2 7 3" xfId="15786" xr:uid="{00000000-0005-0000-0000-0000D9010000}"/>
    <cellStyle name="Bold/Border 2 2 7 3 2" xfId="34173" xr:uid="{00000000-0005-0000-0000-0000D9010000}"/>
    <cellStyle name="Bold/Border 2 2 7 3 3" xfId="52536" xr:uid="{00000000-0005-0000-0000-0000D9010000}"/>
    <cellStyle name="Bold/Border 2 2 7 4" xfId="24909" xr:uid="{00000000-0005-0000-0000-0000D9010000}"/>
    <cellStyle name="Bold/Border 2 2 7 4 2" xfId="43278" xr:uid="{00000000-0005-0000-0000-0000D9010000}"/>
    <cellStyle name="Bold/Border 2 2 7 5" xfId="21234" xr:uid="{00000000-0005-0000-0000-0000D9010000}"/>
    <cellStyle name="Bold/Border 2 2 7 6" xfId="39620" xr:uid="{00000000-0005-0000-0000-0000D9010000}"/>
    <cellStyle name="Bold/Border 2 2 8" xfId="7567" xr:uid="{00000000-0005-0000-0000-0000D9010000}"/>
    <cellStyle name="Bold/Border 2 2 8 2" xfId="26878" xr:uid="{00000000-0005-0000-0000-0000D9010000}"/>
    <cellStyle name="Bold/Border 2 2 8 3" xfId="45243" xr:uid="{00000000-0005-0000-0000-0000D9010000}"/>
    <cellStyle name="Bold/Border 2 2 9" xfId="11710" xr:uid="{00000000-0005-0000-0000-0000D9010000}"/>
    <cellStyle name="Bold/Border 2 2 9 2" xfId="30223" xr:uid="{00000000-0005-0000-0000-0000D9010000}"/>
    <cellStyle name="Bold/Border 2 2 9 3" xfId="48586" xr:uid="{00000000-0005-0000-0000-0000D9010000}"/>
    <cellStyle name="Bold/Border 2 3" xfId="1435" xr:uid="{00000000-0005-0000-0000-0000E3010000}"/>
    <cellStyle name="Bold/Border 2 3 10" xfId="8607" xr:uid="{00000000-0005-0000-0000-0000E3010000}"/>
    <cellStyle name="Bold/Border 2 3 2" xfId="3455" xr:uid="{00000000-0005-0000-0000-0000E3010000}"/>
    <cellStyle name="Bold/Border 2 3 2 2" xfId="5630" xr:uid="{00000000-0005-0000-0000-0000E3010000}"/>
    <cellStyle name="Bold/Border 2 3 2 2 2" xfId="11994" xr:uid="{00000000-0005-0000-0000-0000E3010000}"/>
    <cellStyle name="Bold/Border 2 3 2 2 2 2" xfId="30441" xr:uid="{00000000-0005-0000-0000-0000E3010000}"/>
    <cellStyle name="Bold/Border 2 3 2 2 2 3" xfId="48804" xr:uid="{00000000-0005-0000-0000-0000E3010000}"/>
    <cellStyle name="Bold/Border 2 3 2 2 3" xfId="16320" xr:uid="{00000000-0005-0000-0000-0000E3010000}"/>
    <cellStyle name="Bold/Border 2 3 2 2 3 2" xfId="34692" xr:uid="{00000000-0005-0000-0000-0000E3010000}"/>
    <cellStyle name="Bold/Border 2 3 2 2 3 3" xfId="53055" xr:uid="{00000000-0005-0000-0000-0000E3010000}"/>
    <cellStyle name="Bold/Border 2 3 2 2 4" xfId="25439" xr:uid="{00000000-0005-0000-0000-0000E3010000}"/>
    <cellStyle name="Bold/Border 2 3 2 2 4 2" xfId="43808" xr:uid="{00000000-0005-0000-0000-0000E3010000}"/>
    <cellStyle name="Bold/Border 2 3 2 2 5" xfId="21760" xr:uid="{00000000-0005-0000-0000-0000E3010000}"/>
    <cellStyle name="Bold/Border 2 3 2 2 6" xfId="40139" xr:uid="{00000000-0005-0000-0000-0000E3010000}"/>
    <cellStyle name="Bold/Border 2 3 2 3" xfId="6454" xr:uid="{00000000-0005-0000-0000-0000E3010000}"/>
    <cellStyle name="Bold/Border 2 3 2 3 2" xfId="12745" xr:uid="{00000000-0005-0000-0000-0000E3010000}"/>
    <cellStyle name="Bold/Border 2 3 2 3 2 2" xfId="31171" xr:uid="{00000000-0005-0000-0000-0000E3010000}"/>
    <cellStyle name="Bold/Border 2 3 2 3 2 3" xfId="49534" xr:uid="{00000000-0005-0000-0000-0000E3010000}"/>
    <cellStyle name="Bold/Border 2 3 2 3 3" xfId="17056" xr:uid="{00000000-0005-0000-0000-0000E3010000}"/>
    <cellStyle name="Bold/Border 2 3 2 3 3 2" xfId="35404" xr:uid="{00000000-0005-0000-0000-0000E3010000}"/>
    <cellStyle name="Bold/Border 2 3 2 3 3 3" xfId="53767" xr:uid="{00000000-0005-0000-0000-0000E3010000}"/>
    <cellStyle name="Bold/Border 2 3 2 3 4" xfId="26189" xr:uid="{00000000-0005-0000-0000-0000E3010000}"/>
    <cellStyle name="Bold/Border 2 3 2 3 4 2" xfId="44558" xr:uid="{00000000-0005-0000-0000-0000E3010000}"/>
    <cellStyle name="Bold/Border 2 3 2 3 5" xfId="22482" xr:uid="{00000000-0005-0000-0000-0000E3010000}"/>
    <cellStyle name="Bold/Border 2 3 2 3 6" xfId="40851" xr:uid="{00000000-0005-0000-0000-0000E3010000}"/>
    <cellStyle name="Bold/Border 2 3 2 4" xfId="10168" xr:uid="{00000000-0005-0000-0000-0000E3010000}"/>
    <cellStyle name="Bold/Border 2 3 2 4 2" xfId="14225" xr:uid="{00000000-0005-0000-0000-0000E3010000}"/>
    <cellStyle name="Bold/Border 2 3 2 4 2 2" xfId="32641" xr:uid="{00000000-0005-0000-0000-0000E3010000}"/>
    <cellStyle name="Bold/Border 2 3 2 4 2 3" xfId="51004" xr:uid="{00000000-0005-0000-0000-0000E3010000}"/>
    <cellStyle name="Bold/Border 2 3 2 4 3" xfId="28879" xr:uid="{00000000-0005-0000-0000-0000E3010000}"/>
    <cellStyle name="Bold/Border 2 3 2 4 3 2" xfId="47242" xr:uid="{00000000-0005-0000-0000-0000E3010000}"/>
    <cellStyle name="Bold/Border 2 3 2 4 4" xfId="19682" xr:uid="{00000000-0005-0000-0000-0000E3010000}"/>
    <cellStyle name="Bold/Border 2 3 2 4 5" xfId="38088" xr:uid="{00000000-0005-0000-0000-0000E3010000}"/>
    <cellStyle name="Bold/Border 2 3 2 5" xfId="9358" xr:uid="{00000000-0005-0000-0000-0000E3010000}"/>
    <cellStyle name="Bold/Border 2 3 2 5 2" xfId="28077" xr:uid="{00000000-0005-0000-0000-0000E3010000}"/>
    <cellStyle name="Bold/Border 2 3 2 5 3" xfId="46440" xr:uid="{00000000-0005-0000-0000-0000E3010000}"/>
    <cellStyle name="Bold/Border 2 3 2 6" xfId="13414" xr:uid="{00000000-0005-0000-0000-0000E3010000}"/>
    <cellStyle name="Bold/Border 2 3 2 6 2" xfId="31835" xr:uid="{00000000-0005-0000-0000-0000E3010000}"/>
    <cellStyle name="Bold/Border 2 3 2 6 3" xfId="50198" xr:uid="{00000000-0005-0000-0000-0000E3010000}"/>
    <cellStyle name="Bold/Border 2 3 2 7" xfId="23363" xr:uid="{00000000-0005-0000-0000-0000E3010000}"/>
    <cellStyle name="Bold/Border 2 3 2 7 2" xfId="41732" xr:uid="{00000000-0005-0000-0000-0000E3010000}"/>
    <cellStyle name="Bold/Border 2 3 2 8" xfId="18440" xr:uid="{00000000-0005-0000-0000-0000E3010000}"/>
    <cellStyle name="Bold/Border 2 3 2 9" xfId="36846" xr:uid="{00000000-0005-0000-0000-0000E3010000}"/>
    <cellStyle name="Bold/Border 2 3 3" xfId="4452" xr:uid="{00000000-0005-0000-0000-0000E3010000}"/>
    <cellStyle name="Bold/Border 2 3 3 2" xfId="11049" xr:uid="{00000000-0005-0000-0000-0000E3010000}"/>
    <cellStyle name="Bold/Border 2 3 3 2 2" xfId="29669" xr:uid="{00000000-0005-0000-0000-0000E3010000}"/>
    <cellStyle name="Bold/Border 2 3 3 2 3" xfId="48032" xr:uid="{00000000-0005-0000-0000-0000E3010000}"/>
    <cellStyle name="Bold/Border 2 3 3 3" xfId="15186" xr:uid="{00000000-0005-0000-0000-0000E3010000}"/>
    <cellStyle name="Bold/Border 2 3 3 3 2" xfId="33582" xr:uid="{00000000-0005-0000-0000-0000E3010000}"/>
    <cellStyle name="Bold/Border 2 3 3 3 3" xfId="51945" xr:uid="{00000000-0005-0000-0000-0000E3010000}"/>
    <cellStyle name="Bold/Border 2 3 3 4" xfId="24313" xr:uid="{00000000-0005-0000-0000-0000E3010000}"/>
    <cellStyle name="Bold/Border 2 3 3 4 2" xfId="42682" xr:uid="{00000000-0005-0000-0000-0000E3010000}"/>
    <cellStyle name="Bold/Border 2 3 3 5" xfId="20637" xr:uid="{00000000-0005-0000-0000-0000E3010000}"/>
    <cellStyle name="Bold/Border 2 3 3 6" xfId="39029" xr:uid="{00000000-0005-0000-0000-0000E3010000}"/>
    <cellStyle name="Bold/Border 2 3 4" xfId="4300" xr:uid="{00000000-0005-0000-0000-0000E3010000}"/>
    <cellStyle name="Bold/Border 2 3 4 2" xfId="10911" xr:uid="{00000000-0005-0000-0000-0000E3010000}"/>
    <cellStyle name="Bold/Border 2 3 4 2 2" xfId="29543" xr:uid="{00000000-0005-0000-0000-0000E3010000}"/>
    <cellStyle name="Bold/Border 2 3 4 2 3" xfId="47906" xr:uid="{00000000-0005-0000-0000-0000E3010000}"/>
    <cellStyle name="Bold/Border 2 3 4 3" xfId="15045" xr:uid="{00000000-0005-0000-0000-0000E3010000}"/>
    <cellStyle name="Bold/Border 2 3 4 3 2" xfId="33448" xr:uid="{00000000-0005-0000-0000-0000E3010000}"/>
    <cellStyle name="Bold/Border 2 3 4 3 3" xfId="51811" xr:uid="{00000000-0005-0000-0000-0000E3010000}"/>
    <cellStyle name="Bold/Border 2 3 4 4" xfId="24177" xr:uid="{00000000-0005-0000-0000-0000E3010000}"/>
    <cellStyle name="Bold/Border 2 3 4 4 2" xfId="42546" xr:uid="{00000000-0005-0000-0000-0000E3010000}"/>
    <cellStyle name="Bold/Border 2 3 4 5" xfId="20497" xr:uid="{00000000-0005-0000-0000-0000E3010000}"/>
    <cellStyle name="Bold/Border 2 3 4 6" xfId="38895" xr:uid="{00000000-0005-0000-0000-0000E3010000}"/>
    <cellStyle name="Bold/Border 2 3 5" xfId="9871" xr:uid="{00000000-0005-0000-0000-0000E3010000}"/>
    <cellStyle name="Bold/Border 2 3 5 2" xfId="13929" xr:uid="{00000000-0005-0000-0000-0000E3010000}"/>
    <cellStyle name="Bold/Border 2 3 5 2 2" xfId="32347" xr:uid="{00000000-0005-0000-0000-0000E3010000}"/>
    <cellStyle name="Bold/Border 2 3 5 2 3" xfId="50710" xr:uid="{00000000-0005-0000-0000-0000E3010000}"/>
    <cellStyle name="Bold/Border 2 3 5 3" xfId="28585" xr:uid="{00000000-0005-0000-0000-0000E3010000}"/>
    <cellStyle name="Bold/Border 2 3 5 3 2" xfId="46948" xr:uid="{00000000-0005-0000-0000-0000E3010000}"/>
    <cellStyle name="Bold/Border 2 3 5 4" xfId="19125" xr:uid="{00000000-0005-0000-0000-0000E3010000}"/>
    <cellStyle name="Bold/Border 2 3 5 5" xfId="37533" xr:uid="{00000000-0005-0000-0000-0000E3010000}"/>
    <cellStyle name="Bold/Border 2 3 6" xfId="7723" xr:uid="{00000000-0005-0000-0000-0000E3010000}"/>
    <cellStyle name="Bold/Border 2 3 6 2" xfId="27000" xr:uid="{00000000-0005-0000-0000-0000E3010000}"/>
    <cellStyle name="Bold/Border 2 3 6 3" xfId="45365" xr:uid="{00000000-0005-0000-0000-0000E3010000}"/>
    <cellStyle name="Bold/Border 2 3 7" xfId="8714" xr:uid="{00000000-0005-0000-0000-0000E3010000}"/>
    <cellStyle name="Bold/Border 2 3 7 2" xfId="27599" xr:uid="{00000000-0005-0000-0000-0000E3010000}"/>
    <cellStyle name="Bold/Border 2 3 7 3" xfId="45962" xr:uid="{00000000-0005-0000-0000-0000E3010000}"/>
    <cellStyle name="Bold/Border 2 3 8" xfId="19516" xr:uid="{00000000-0005-0000-0000-0000E3010000}"/>
    <cellStyle name="Bold/Border 2 3 8 2" xfId="37922" xr:uid="{00000000-0005-0000-0000-0000E3010000}"/>
    <cellStyle name="Bold/Border 2 3 9" xfId="7403" xr:uid="{00000000-0005-0000-0000-0000E3010000}"/>
    <cellStyle name="Bold/Border 2 4" xfId="1901" xr:uid="{00000000-0005-0000-0000-0000E4010000}"/>
    <cellStyle name="Bold/Border 2 4 10" xfId="8560" xr:uid="{00000000-0005-0000-0000-0000E4010000}"/>
    <cellStyle name="Bold/Border 2 4 2" xfId="3719" xr:uid="{00000000-0005-0000-0000-0000E4010000}"/>
    <cellStyle name="Bold/Border 2 4 2 2" xfId="5892" xr:uid="{00000000-0005-0000-0000-0000E4010000}"/>
    <cellStyle name="Bold/Border 2 4 2 2 2" xfId="12256" xr:uid="{00000000-0005-0000-0000-0000E4010000}"/>
    <cellStyle name="Bold/Border 2 4 2 2 2 2" xfId="30703" xr:uid="{00000000-0005-0000-0000-0000E4010000}"/>
    <cellStyle name="Bold/Border 2 4 2 2 2 3" xfId="49066" xr:uid="{00000000-0005-0000-0000-0000E4010000}"/>
    <cellStyle name="Bold/Border 2 4 2 2 3" xfId="16582" xr:uid="{00000000-0005-0000-0000-0000E4010000}"/>
    <cellStyle name="Bold/Border 2 4 2 2 3 2" xfId="34954" xr:uid="{00000000-0005-0000-0000-0000E4010000}"/>
    <cellStyle name="Bold/Border 2 4 2 2 3 3" xfId="53317" xr:uid="{00000000-0005-0000-0000-0000E4010000}"/>
    <cellStyle name="Bold/Border 2 4 2 2 4" xfId="25701" xr:uid="{00000000-0005-0000-0000-0000E4010000}"/>
    <cellStyle name="Bold/Border 2 4 2 2 4 2" xfId="44070" xr:uid="{00000000-0005-0000-0000-0000E4010000}"/>
    <cellStyle name="Bold/Border 2 4 2 2 5" xfId="22022" xr:uid="{00000000-0005-0000-0000-0000E4010000}"/>
    <cellStyle name="Bold/Border 2 4 2 2 6" xfId="40401" xr:uid="{00000000-0005-0000-0000-0000E4010000}"/>
    <cellStyle name="Bold/Border 2 4 2 3" xfId="6718" xr:uid="{00000000-0005-0000-0000-0000E4010000}"/>
    <cellStyle name="Bold/Border 2 4 2 3 2" xfId="13009" xr:uid="{00000000-0005-0000-0000-0000E4010000}"/>
    <cellStyle name="Bold/Border 2 4 2 3 2 2" xfId="31435" xr:uid="{00000000-0005-0000-0000-0000E4010000}"/>
    <cellStyle name="Bold/Border 2 4 2 3 2 3" xfId="49798" xr:uid="{00000000-0005-0000-0000-0000E4010000}"/>
    <cellStyle name="Bold/Border 2 4 2 3 3" xfId="17320" xr:uid="{00000000-0005-0000-0000-0000E4010000}"/>
    <cellStyle name="Bold/Border 2 4 2 3 3 2" xfId="35668" xr:uid="{00000000-0005-0000-0000-0000E4010000}"/>
    <cellStyle name="Bold/Border 2 4 2 3 3 3" xfId="54031" xr:uid="{00000000-0005-0000-0000-0000E4010000}"/>
    <cellStyle name="Bold/Border 2 4 2 3 4" xfId="26453" xr:uid="{00000000-0005-0000-0000-0000E4010000}"/>
    <cellStyle name="Bold/Border 2 4 2 3 4 2" xfId="44822" xr:uid="{00000000-0005-0000-0000-0000E4010000}"/>
    <cellStyle name="Bold/Border 2 4 2 3 5" xfId="22746" xr:uid="{00000000-0005-0000-0000-0000E4010000}"/>
    <cellStyle name="Bold/Border 2 4 2 3 6" xfId="41115" xr:uid="{00000000-0005-0000-0000-0000E4010000}"/>
    <cellStyle name="Bold/Border 2 4 2 4" xfId="10432" xr:uid="{00000000-0005-0000-0000-0000E4010000}"/>
    <cellStyle name="Bold/Border 2 4 2 4 2" xfId="14489" xr:uid="{00000000-0005-0000-0000-0000E4010000}"/>
    <cellStyle name="Bold/Border 2 4 2 4 2 2" xfId="32905" xr:uid="{00000000-0005-0000-0000-0000E4010000}"/>
    <cellStyle name="Bold/Border 2 4 2 4 2 3" xfId="51268" xr:uid="{00000000-0005-0000-0000-0000E4010000}"/>
    <cellStyle name="Bold/Border 2 4 2 4 3" xfId="29143" xr:uid="{00000000-0005-0000-0000-0000E4010000}"/>
    <cellStyle name="Bold/Border 2 4 2 4 3 2" xfId="47506" xr:uid="{00000000-0005-0000-0000-0000E4010000}"/>
    <cellStyle name="Bold/Border 2 4 2 4 4" xfId="19946" xr:uid="{00000000-0005-0000-0000-0000E4010000}"/>
    <cellStyle name="Bold/Border 2 4 2 4 5" xfId="38352" xr:uid="{00000000-0005-0000-0000-0000E4010000}"/>
    <cellStyle name="Bold/Border 2 4 2 5" xfId="9648" xr:uid="{00000000-0005-0000-0000-0000E4010000}"/>
    <cellStyle name="Bold/Border 2 4 2 5 2" xfId="28364" xr:uid="{00000000-0005-0000-0000-0000E4010000}"/>
    <cellStyle name="Bold/Border 2 4 2 5 3" xfId="46727" xr:uid="{00000000-0005-0000-0000-0000E4010000}"/>
    <cellStyle name="Bold/Border 2 4 2 6" xfId="13705" xr:uid="{00000000-0005-0000-0000-0000E4010000}"/>
    <cellStyle name="Bold/Border 2 4 2 6 2" xfId="32126" xr:uid="{00000000-0005-0000-0000-0000E4010000}"/>
    <cellStyle name="Bold/Border 2 4 2 6 3" xfId="50489" xr:uid="{00000000-0005-0000-0000-0000E4010000}"/>
    <cellStyle name="Bold/Border 2 4 2 7" xfId="23627" xr:uid="{00000000-0005-0000-0000-0000E4010000}"/>
    <cellStyle name="Bold/Border 2 4 2 7 2" xfId="41996" xr:uid="{00000000-0005-0000-0000-0000E4010000}"/>
    <cellStyle name="Bold/Border 2 4 2 8" xfId="18773" xr:uid="{00000000-0005-0000-0000-0000E4010000}"/>
    <cellStyle name="Bold/Border 2 4 2 9" xfId="37182" xr:uid="{00000000-0005-0000-0000-0000E4010000}"/>
    <cellStyle name="Bold/Border 2 4 3" xfId="4812" xr:uid="{00000000-0005-0000-0000-0000E4010000}"/>
    <cellStyle name="Bold/Border 2 4 3 2" xfId="11373" xr:uid="{00000000-0005-0000-0000-0000E4010000}"/>
    <cellStyle name="Bold/Border 2 4 3 2 2" xfId="29965" xr:uid="{00000000-0005-0000-0000-0000E4010000}"/>
    <cellStyle name="Bold/Border 2 4 3 2 3" xfId="48328" xr:uid="{00000000-0005-0000-0000-0000E4010000}"/>
    <cellStyle name="Bold/Border 2 4 3 3" xfId="15538" xr:uid="{00000000-0005-0000-0000-0000E4010000}"/>
    <cellStyle name="Bold/Border 2 4 3 3 2" xfId="33931" xr:uid="{00000000-0005-0000-0000-0000E4010000}"/>
    <cellStyle name="Bold/Border 2 4 3 3 3" xfId="52294" xr:uid="{00000000-0005-0000-0000-0000E4010000}"/>
    <cellStyle name="Bold/Border 2 4 3 4" xfId="24662" xr:uid="{00000000-0005-0000-0000-0000E4010000}"/>
    <cellStyle name="Bold/Border 2 4 3 4 2" xfId="43031" xr:uid="{00000000-0005-0000-0000-0000E4010000}"/>
    <cellStyle name="Bold/Border 2 4 3 5" xfId="20989" xr:uid="{00000000-0005-0000-0000-0000E4010000}"/>
    <cellStyle name="Bold/Border 2 4 3 6" xfId="39378" xr:uid="{00000000-0005-0000-0000-0000E4010000}"/>
    <cellStyle name="Bold/Border 2 4 4" xfId="68" xr:uid="{00000000-0005-0000-0000-0000E4010000}"/>
    <cellStyle name="Bold/Border 2 4 4 2" xfId="9156" xr:uid="{00000000-0005-0000-0000-0000E4010000}"/>
    <cellStyle name="Bold/Border 2 4 4 2 2" xfId="27878" xr:uid="{00000000-0005-0000-0000-0000E4010000}"/>
    <cellStyle name="Bold/Border 2 4 4 2 3" xfId="46241" xr:uid="{00000000-0005-0000-0000-0000E4010000}"/>
    <cellStyle name="Bold/Border 2 4 4 3" xfId="13215" xr:uid="{00000000-0005-0000-0000-0000E4010000}"/>
    <cellStyle name="Bold/Border 2 4 4 3 2" xfId="31636" xr:uid="{00000000-0005-0000-0000-0000E4010000}"/>
    <cellStyle name="Bold/Border 2 4 4 3 3" xfId="49999" xr:uid="{00000000-0005-0000-0000-0000E4010000}"/>
    <cellStyle name="Bold/Border 2 4 4 4" xfId="18224" xr:uid="{00000000-0005-0000-0000-0000E4010000}"/>
    <cellStyle name="Bold/Border 2 4 4 4 2" xfId="36630" xr:uid="{00000000-0005-0000-0000-0000E4010000}"/>
    <cellStyle name="Bold/Border 2 4 4 5" xfId="18148" xr:uid="{00000000-0005-0000-0000-0000E4010000}"/>
    <cellStyle name="Bold/Border 2 4 4 6" xfId="36555" xr:uid="{00000000-0005-0000-0000-0000E4010000}"/>
    <cellStyle name="Bold/Border 2 4 5" xfId="9235" xr:uid="{00000000-0005-0000-0000-0000E4010000}"/>
    <cellStyle name="Bold/Border 2 4 5 2" xfId="13292" xr:uid="{00000000-0005-0000-0000-0000E4010000}"/>
    <cellStyle name="Bold/Border 2 4 5 2 2" xfId="31713" xr:uid="{00000000-0005-0000-0000-0000E4010000}"/>
    <cellStyle name="Bold/Border 2 4 5 2 3" xfId="50076" xr:uid="{00000000-0005-0000-0000-0000E4010000}"/>
    <cellStyle name="Bold/Border 2 4 5 3" xfId="27955" xr:uid="{00000000-0005-0000-0000-0000E4010000}"/>
    <cellStyle name="Bold/Border 2 4 5 3 2" xfId="46318" xr:uid="{00000000-0005-0000-0000-0000E4010000}"/>
    <cellStyle name="Bold/Border 2 4 5 4" xfId="18286" xr:uid="{00000000-0005-0000-0000-0000E4010000}"/>
    <cellStyle name="Bold/Border 2 4 5 5" xfId="36692" xr:uid="{00000000-0005-0000-0000-0000E4010000}"/>
    <cellStyle name="Bold/Border 2 4 6" xfId="8100" xr:uid="{00000000-0005-0000-0000-0000E4010000}"/>
    <cellStyle name="Bold/Border 2 4 6 2" xfId="27305" xr:uid="{00000000-0005-0000-0000-0000E4010000}"/>
    <cellStyle name="Bold/Border 2 4 6 3" xfId="45670" xr:uid="{00000000-0005-0000-0000-0000E4010000}"/>
    <cellStyle name="Bold/Border 2 4 7" xfId="7774" xr:uid="{00000000-0005-0000-0000-0000E4010000}"/>
    <cellStyle name="Bold/Border 2 4 7 2" xfId="27047" xr:uid="{00000000-0005-0000-0000-0000E4010000}"/>
    <cellStyle name="Bold/Border 2 4 7 3" xfId="45412" xr:uid="{00000000-0005-0000-0000-0000E4010000}"/>
    <cellStyle name="Bold/Border 2 4 8" xfId="18116" xr:uid="{00000000-0005-0000-0000-0000E4010000}"/>
    <cellStyle name="Bold/Border 2 4 8 2" xfId="36523" xr:uid="{00000000-0005-0000-0000-0000E4010000}"/>
    <cellStyle name="Bold/Border 2 4 9" xfId="7077" xr:uid="{00000000-0005-0000-0000-0000E4010000}"/>
    <cellStyle name="Bold/Border 2 5" xfId="2316" xr:uid="{00000000-0005-0000-0000-0000E5010000}"/>
    <cellStyle name="Bold/Border 2 5 10" xfId="8617" xr:uid="{00000000-0005-0000-0000-0000E5010000}"/>
    <cellStyle name="Bold/Border 2 5 2" xfId="3764" xr:uid="{00000000-0005-0000-0000-0000E5010000}"/>
    <cellStyle name="Bold/Border 2 5 2 2" xfId="5937" xr:uid="{00000000-0005-0000-0000-0000E5010000}"/>
    <cellStyle name="Bold/Border 2 5 2 2 2" xfId="12301" xr:uid="{00000000-0005-0000-0000-0000E5010000}"/>
    <cellStyle name="Bold/Border 2 5 2 2 2 2" xfId="30748" xr:uid="{00000000-0005-0000-0000-0000E5010000}"/>
    <cellStyle name="Bold/Border 2 5 2 2 2 3" xfId="49111" xr:uid="{00000000-0005-0000-0000-0000E5010000}"/>
    <cellStyle name="Bold/Border 2 5 2 2 3" xfId="16627" xr:uid="{00000000-0005-0000-0000-0000E5010000}"/>
    <cellStyle name="Bold/Border 2 5 2 2 3 2" xfId="34999" xr:uid="{00000000-0005-0000-0000-0000E5010000}"/>
    <cellStyle name="Bold/Border 2 5 2 2 3 3" xfId="53362" xr:uid="{00000000-0005-0000-0000-0000E5010000}"/>
    <cellStyle name="Bold/Border 2 5 2 2 4" xfId="25746" xr:uid="{00000000-0005-0000-0000-0000E5010000}"/>
    <cellStyle name="Bold/Border 2 5 2 2 4 2" xfId="44115" xr:uid="{00000000-0005-0000-0000-0000E5010000}"/>
    <cellStyle name="Bold/Border 2 5 2 2 5" xfId="22067" xr:uid="{00000000-0005-0000-0000-0000E5010000}"/>
    <cellStyle name="Bold/Border 2 5 2 2 6" xfId="40446" xr:uid="{00000000-0005-0000-0000-0000E5010000}"/>
    <cellStyle name="Bold/Border 2 5 2 3" xfId="6763" xr:uid="{00000000-0005-0000-0000-0000E5010000}"/>
    <cellStyle name="Bold/Border 2 5 2 3 2" xfId="13054" xr:uid="{00000000-0005-0000-0000-0000E5010000}"/>
    <cellStyle name="Bold/Border 2 5 2 3 2 2" xfId="31480" xr:uid="{00000000-0005-0000-0000-0000E5010000}"/>
    <cellStyle name="Bold/Border 2 5 2 3 2 3" xfId="49843" xr:uid="{00000000-0005-0000-0000-0000E5010000}"/>
    <cellStyle name="Bold/Border 2 5 2 3 3" xfId="17365" xr:uid="{00000000-0005-0000-0000-0000E5010000}"/>
    <cellStyle name="Bold/Border 2 5 2 3 3 2" xfId="35713" xr:uid="{00000000-0005-0000-0000-0000E5010000}"/>
    <cellStyle name="Bold/Border 2 5 2 3 3 3" xfId="54076" xr:uid="{00000000-0005-0000-0000-0000E5010000}"/>
    <cellStyle name="Bold/Border 2 5 2 3 4" xfId="26498" xr:uid="{00000000-0005-0000-0000-0000E5010000}"/>
    <cellStyle name="Bold/Border 2 5 2 3 4 2" xfId="44867" xr:uid="{00000000-0005-0000-0000-0000E5010000}"/>
    <cellStyle name="Bold/Border 2 5 2 3 5" xfId="22791" xr:uid="{00000000-0005-0000-0000-0000E5010000}"/>
    <cellStyle name="Bold/Border 2 5 2 3 6" xfId="41160" xr:uid="{00000000-0005-0000-0000-0000E5010000}"/>
    <cellStyle name="Bold/Border 2 5 2 4" xfId="10477" xr:uid="{00000000-0005-0000-0000-0000E5010000}"/>
    <cellStyle name="Bold/Border 2 5 2 4 2" xfId="14534" xr:uid="{00000000-0005-0000-0000-0000E5010000}"/>
    <cellStyle name="Bold/Border 2 5 2 4 2 2" xfId="32950" xr:uid="{00000000-0005-0000-0000-0000E5010000}"/>
    <cellStyle name="Bold/Border 2 5 2 4 2 3" xfId="51313" xr:uid="{00000000-0005-0000-0000-0000E5010000}"/>
    <cellStyle name="Bold/Border 2 5 2 4 3" xfId="29188" xr:uid="{00000000-0005-0000-0000-0000E5010000}"/>
    <cellStyle name="Bold/Border 2 5 2 4 3 2" xfId="47551" xr:uid="{00000000-0005-0000-0000-0000E5010000}"/>
    <cellStyle name="Bold/Border 2 5 2 4 4" xfId="19991" xr:uid="{00000000-0005-0000-0000-0000E5010000}"/>
    <cellStyle name="Bold/Border 2 5 2 4 5" xfId="38397" xr:uid="{00000000-0005-0000-0000-0000E5010000}"/>
    <cellStyle name="Bold/Border 2 5 2 5" xfId="9748" xr:uid="{00000000-0005-0000-0000-0000E5010000}"/>
    <cellStyle name="Bold/Border 2 5 2 5 2" xfId="28463" xr:uid="{00000000-0005-0000-0000-0000E5010000}"/>
    <cellStyle name="Bold/Border 2 5 2 5 3" xfId="46826" xr:uid="{00000000-0005-0000-0000-0000E5010000}"/>
    <cellStyle name="Bold/Border 2 5 2 6" xfId="13805" xr:uid="{00000000-0005-0000-0000-0000E5010000}"/>
    <cellStyle name="Bold/Border 2 5 2 6 2" xfId="32225" xr:uid="{00000000-0005-0000-0000-0000E5010000}"/>
    <cellStyle name="Bold/Border 2 5 2 6 3" xfId="50588" xr:uid="{00000000-0005-0000-0000-0000E5010000}"/>
    <cellStyle name="Bold/Border 2 5 2 7" xfId="23672" xr:uid="{00000000-0005-0000-0000-0000E5010000}"/>
    <cellStyle name="Bold/Border 2 5 2 7 2" xfId="42041" xr:uid="{00000000-0005-0000-0000-0000E5010000}"/>
    <cellStyle name="Bold/Border 2 5 2 8" xfId="18930" xr:uid="{00000000-0005-0000-0000-0000E5010000}"/>
    <cellStyle name="Bold/Border 2 5 2 9" xfId="37339" xr:uid="{00000000-0005-0000-0000-0000E5010000}"/>
    <cellStyle name="Bold/Border 2 5 3" xfId="4964" xr:uid="{00000000-0005-0000-0000-0000E5010000}"/>
    <cellStyle name="Bold/Border 2 5 3 2" xfId="11494" xr:uid="{00000000-0005-0000-0000-0000E5010000}"/>
    <cellStyle name="Bold/Border 2 5 3 2 2" xfId="30067" xr:uid="{00000000-0005-0000-0000-0000E5010000}"/>
    <cellStyle name="Bold/Border 2 5 3 2 3" xfId="48430" xr:uid="{00000000-0005-0000-0000-0000E5010000}"/>
    <cellStyle name="Bold/Border 2 5 3 3" xfId="15680" xr:uid="{00000000-0005-0000-0000-0000E5010000}"/>
    <cellStyle name="Bold/Border 2 5 3 3 2" xfId="34069" xr:uid="{00000000-0005-0000-0000-0000E5010000}"/>
    <cellStyle name="Bold/Border 2 5 3 3 3" xfId="52432" xr:uid="{00000000-0005-0000-0000-0000E5010000}"/>
    <cellStyle name="Bold/Border 2 5 3 4" xfId="24804" xr:uid="{00000000-0005-0000-0000-0000E5010000}"/>
    <cellStyle name="Bold/Border 2 5 3 4 2" xfId="43173" xr:uid="{00000000-0005-0000-0000-0000E5010000}"/>
    <cellStyle name="Bold/Border 2 5 3 5" xfId="21129" xr:uid="{00000000-0005-0000-0000-0000E5010000}"/>
    <cellStyle name="Bold/Border 2 5 3 6" xfId="39516" xr:uid="{00000000-0005-0000-0000-0000E5010000}"/>
    <cellStyle name="Bold/Border 2 5 4" xfId="6104" xr:uid="{00000000-0005-0000-0000-0000E5010000}"/>
    <cellStyle name="Bold/Border 2 5 4 2" xfId="12458" xr:uid="{00000000-0005-0000-0000-0000E5010000}"/>
    <cellStyle name="Bold/Border 2 5 4 2 2" xfId="30898" xr:uid="{00000000-0005-0000-0000-0000E5010000}"/>
    <cellStyle name="Bold/Border 2 5 4 2 3" xfId="49261" xr:uid="{00000000-0005-0000-0000-0000E5010000}"/>
    <cellStyle name="Bold/Border 2 5 4 3" xfId="16777" xr:uid="{00000000-0005-0000-0000-0000E5010000}"/>
    <cellStyle name="Bold/Border 2 5 4 3 2" xfId="35146" xr:uid="{00000000-0005-0000-0000-0000E5010000}"/>
    <cellStyle name="Bold/Border 2 5 4 3 3" xfId="53509" xr:uid="{00000000-0005-0000-0000-0000E5010000}"/>
    <cellStyle name="Bold/Border 2 5 4 4" xfId="25900" xr:uid="{00000000-0005-0000-0000-0000E5010000}"/>
    <cellStyle name="Bold/Border 2 5 4 4 2" xfId="44269" xr:uid="{00000000-0005-0000-0000-0000E5010000}"/>
    <cellStyle name="Bold/Border 2 5 4 5" xfId="22216" xr:uid="{00000000-0005-0000-0000-0000E5010000}"/>
    <cellStyle name="Bold/Border 2 5 4 6" xfId="40593" xr:uid="{00000000-0005-0000-0000-0000E5010000}"/>
    <cellStyle name="Bold/Border 2 5 5" xfId="9018" xr:uid="{00000000-0005-0000-0000-0000E5010000}"/>
    <cellStyle name="Bold/Border 2 5 5 2" xfId="6930" xr:uid="{00000000-0005-0000-0000-0000E5010000}"/>
    <cellStyle name="Bold/Border 2 5 5 2 2" xfId="26665" xr:uid="{00000000-0005-0000-0000-0000E5010000}"/>
    <cellStyle name="Bold/Border 2 5 5 2 3" xfId="45034" xr:uid="{00000000-0005-0000-0000-0000E5010000}"/>
    <cellStyle name="Bold/Border 2 5 5 3" xfId="27745" xr:uid="{00000000-0005-0000-0000-0000E5010000}"/>
    <cellStyle name="Bold/Border 2 5 5 3 2" xfId="46108" xr:uid="{00000000-0005-0000-0000-0000E5010000}"/>
    <cellStyle name="Bold/Border 2 5 5 4" xfId="17895" xr:uid="{00000000-0005-0000-0000-0000E5010000}"/>
    <cellStyle name="Bold/Border 2 5 5 5" xfId="36305" xr:uid="{00000000-0005-0000-0000-0000E5010000}"/>
    <cellStyle name="Bold/Border 2 5 6" xfId="8357" xr:uid="{00000000-0005-0000-0000-0000E5010000}"/>
    <cellStyle name="Bold/Border 2 5 6 2" xfId="27424" xr:uid="{00000000-0005-0000-0000-0000E5010000}"/>
    <cellStyle name="Bold/Border 2 5 6 3" xfId="45788" xr:uid="{00000000-0005-0000-0000-0000E5010000}"/>
    <cellStyle name="Bold/Border 2 5 7" xfId="11724" xr:uid="{00000000-0005-0000-0000-0000E5010000}"/>
    <cellStyle name="Bold/Border 2 5 7 2" xfId="30233" xr:uid="{00000000-0005-0000-0000-0000E5010000}"/>
    <cellStyle name="Bold/Border 2 5 7 3" xfId="48596" xr:uid="{00000000-0005-0000-0000-0000E5010000}"/>
    <cellStyle name="Bold/Border 2 5 8" xfId="18770" xr:uid="{00000000-0005-0000-0000-0000E5010000}"/>
    <cellStyle name="Bold/Border 2 5 8 2" xfId="37179" xr:uid="{00000000-0005-0000-0000-0000E5010000}"/>
    <cellStyle name="Bold/Border 2 5 9" xfId="12568" xr:uid="{00000000-0005-0000-0000-0000E5010000}"/>
    <cellStyle name="Bold/Border 2 6" xfId="2766" xr:uid="{00000000-0005-0000-0000-0000E6010000}"/>
    <cellStyle name="Bold/Border 2 6 10" xfId="35909" xr:uid="{00000000-0005-0000-0000-0000E6010000}"/>
    <cellStyle name="Bold/Border 2 6 2" xfId="3807" xr:uid="{00000000-0005-0000-0000-0000E6010000}"/>
    <cellStyle name="Bold/Border 2 6 2 2" xfId="5980" xr:uid="{00000000-0005-0000-0000-0000E6010000}"/>
    <cellStyle name="Bold/Border 2 6 2 2 2" xfId="12344" xr:uid="{00000000-0005-0000-0000-0000E6010000}"/>
    <cellStyle name="Bold/Border 2 6 2 2 2 2" xfId="30791" xr:uid="{00000000-0005-0000-0000-0000E6010000}"/>
    <cellStyle name="Bold/Border 2 6 2 2 2 3" xfId="49154" xr:uid="{00000000-0005-0000-0000-0000E6010000}"/>
    <cellStyle name="Bold/Border 2 6 2 2 3" xfId="16670" xr:uid="{00000000-0005-0000-0000-0000E6010000}"/>
    <cellStyle name="Bold/Border 2 6 2 2 3 2" xfId="35042" xr:uid="{00000000-0005-0000-0000-0000E6010000}"/>
    <cellStyle name="Bold/Border 2 6 2 2 3 3" xfId="53405" xr:uid="{00000000-0005-0000-0000-0000E6010000}"/>
    <cellStyle name="Bold/Border 2 6 2 2 4" xfId="25789" xr:uid="{00000000-0005-0000-0000-0000E6010000}"/>
    <cellStyle name="Bold/Border 2 6 2 2 4 2" xfId="44158" xr:uid="{00000000-0005-0000-0000-0000E6010000}"/>
    <cellStyle name="Bold/Border 2 6 2 2 5" xfId="22110" xr:uid="{00000000-0005-0000-0000-0000E6010000}"/>
    <cellStyle name="Bold/Border 2 6 2 2 6" xfId="40489" xr:uid="{00000000-0005-0000-0000-0000E6010000}"/>
    <cellStyle name="Bold/Border 2 6 2 3" xfId="6806" xr:uid="{00000000-0005-0000-0000-0000E6010000}"/>
    <cellStyle name="Bold/Border 2 6 2 3 2" xfId="13097" xr:uid="{00000000-0005-0000-0000-0000E6010000}"/>
    <cellStyle name="Bold/Border 2 6 2 3 2 2" xfId="31523" xr:uid="{00000000-0005-0000-0000-0000E6010000}"/>
    <cellStyle name="Bold/Border 2 6 2 3 2 3" xfId="49886" xr:uid="{00000000-0005-0000-0000-0000E6010000}"/>
    <cellStyle name="Bold/Border 2 6 2 3 3" xfId="17408" xr:uid="{00000000-0005-0000-0000-0000E6010000}"/>
    <cellStyle name="Bold/Border 2 6 2 3 3 2" xfId="35756" xr:uid="{00000000-0005-0000-0000-0000E6010000}"/>
    <cellStyle name="Bold/Border 2 6 2 3 3 3" xfId="54119" xr:uid="{00000000-0005-0000-0000-0000E6010000}"/>
    <cellStyle name="Bold/Border 2 6 2 3 4" xfId="26541" xr:uid="{00000000-0005-0000-0000-0000E6010000}"/>
    <cellStyle name="Bold/Border 2 6 2 3 4 2" xfId="44910" xr:uid="{00000000-0005-0000-0000-0000E6010000}"/>
    <cellStyle name="Bold/Border 2 6 2 3 5" xfId="22834" xr:uid="{00000000-0005-0000-0000-0000E6010000}"/>
    <cellStyle name="Bold/Border 2 6 2 3 6" xfId="41203" xr:uid="{00000000-0005-0000-0000-0000E6010000}"/>
    <cellStyle name="Bold/Border 2 6 2 4" xfId="10520" xr:uid="{00000000-0005-0000-0000-0000E6010000}"/>
    <cellStyle name="Bold/Border 2 6 2 4 2" xfId="14577" xr:uid="{00000000-0005-0000-0000-0000E6010000}"/>
    <cellStyle name="Bold/Border 2 6 2 4 2 2" xfId="32993" xr:uid="{00000000-0005-0000-0000-0000E6010000}"/>
    <cellStyle name="Bold/Border 2 6 2 4 2 3" xfId="51356" xr:uid="{00000000-0005-0000-0000-0000E6010000}"/>
    <cellStyle name="Bold/Border 2 6 2 4 3" xfId="29231" xr:uid="{00000000-0005-0000-0000-0000E6010000}"/>
    <cellStyle name="Bold/Border 2 6 2 4 3 2" xfId="47594" xr:uid="{00000000-0005-0000-0000-0000E6010000}"/>
    <cellStyle name="Bold/Border 2 6 2 4 4" xfId="20034" xr:uid="{00000000-0005-0000-0000-0000E6010000}"/>
    <cellStyle name="Bold/Border 2 6 2 4 5" xfId="38440" xr:uid="{00000000-0005-0000-0000-0000E6010000}"/>
    <cellStyle name="Bold/Border 2 6 2 5" xfId="9851" xr:uid="{00000000-0005-0000-0000-0000E6010000}"/>
    <cellStyle name="Bold/Border 2 6 2 5 2" xfId="28565" xr:uid="{00000000-0005-0000-0000-0000E6010000}"/>
    <cellStyle name="Bold/Border 2 6 2 5 3" xfId="46928" xr:uid="{00000000-0005-0000-0000-0000E6010000}"/>
    <cellStyle name="Bold/Border 2 6 2 6" xfId="13909" xr:uid="{00000000-0005-0000-0000-0000E6010000}"/>
    <cellStyle name="Bold/Border 2 6 2 6 2" xfId="32327" xr:uid="{00000000-0005-0000-0000-0000E6010000}"/>
    <cellStyle name="Bold/Border 2 6 2 6 3" xfId="50690" xr:uid="{00000000-0005-0000-0000-0000E6010000}"/>
    <cellStyle name="Bold/Border 2 6 2 7" xfId="23715" xr:uid="{00000000-0005-0000-0000-0000E6010000}"/>
    <cellStyle name="Bold/Border 2 6 2 7 2" xfId="42084" xr:uid="{00000000-0005-0000-0000-0000E6010000}"/>
    <cellStyle name="Bold/Border 2 6 2 8" xfId="19105" xr:uid="{00000000-0005-0000-0000-0000E6010000}"/>
    <cellStyle name="Bold/Border 2 6 2 9" xfId="37513" xr:uid="{00000000-0005-0000-0000-0000E6010000}"/>
    <cellStyle name="Bold/Border 2 6 3" xfId="5127" xr:uid="{00000000-0005-0000-0000-0000E6010000}"/>
    <cellStyle name="Bold/Border 2 6 3 2" xfId="11632" xr:uid="{00000000-0005-0000-0000-0000E6010000}"/>
    <cellStyle name="Bold/Border 2 6 3 2 2" xfId="30181" xr:uid="{00000000-0005-0000-0000-0000E6010000}"/>
    <cellStyle name="Bold/Border 2 6 3 2 3" xfId="48544" xr:uid="{00000000-0005-0000-0000-0000E6010000}"/>
    <cellStyle name="Bold/Border 2 6 3 3" xfId="15831" xr:uid="{00000000-0005-0000-0000-0000E6010000}"/>
    <cellStyle name="Bold/Border 2 6 3 3 2" xfId="34215" xr:uid="{00000000-0005-0000-0000-0000E6010000}"/>
    <cellStyle name="Bold/Border 2 6 3 3 3" xfId="52578" xr:uid="{00000000-0005-0000-0000-0000E6010000}"/>
    <cellStyle name="Bold/Border 2 6 3 4" xfId="24954" xr:uid="{00000000-0005-0000-0000-0000E6010000}"/>
    <cellStyle name="Bold/Border 2 6 3 4 2" xfId="43323" xr:uid="{00000000-0005-0000-0000-0000E6010000}"/>
    <cellStyle name="Bold/Border 2 6 3 5" xfId="21277" xr:uid="{00000000-0005-0000-0000-0000E6010000}"/>
    <cellStyle name="Bold/Border 2 6 3 6" xfId="39662" xr:uid="{00000000-0005-0000-0000-0000E6010000}"/>
    <cellStyle name="Bold/Border 2 6 4" xfId="6180" xr:uid="{00000000-0005-0000-0000-0000E6010000}"/>
    <cellStyle name="Bold/Border 2 6 4 2" xfId="12515" xr:uid="{00000000-0005-0000-0000-0000E6010000}"/>
    <cellStyle name="Bold/Border 2 6 4 2 2" xfId="30947" xr:uid="{00000000-0005-0000-0000-0000E6010000}"/>
    <cellStyle name="Bold/Border 2 6 4 2 3" xfId="49310" xr:uid="{00000000-0005-0000-0000-0000E6010000}"/>
    <cellStyle name="Bold/Border 2 6 4 3" xfId="16830" xr:uid="{00000000-0005-0000-0000-0000E6010000}"/>
    <cellStyle name="Bold/Border 2 6 4 3 2" xfId="35190" xr:uid="{00000000-0005-0000-0000-0000E6010000}"/>
    <cellStyle name="Bold/Border 2 6 4 3 3" xfId="53553" xr:uid="{00000000-0005-0000-0000-0000E6010000}"/>
    <cellStyle name="Bold/Border 2 6 4 4" xfId="25957" xr:uid="{00000000-0005-0000-0000-0000E6010000}"/>
    <cellStyle name="Bold/Border 2 6 4 4 2" xfId="44326" xr:uid="{00000000-0005-0000-0000-0000E6010000}"/>
    <cellStyle name="Bold/Border 2 6 4 5" xfId="22264" xr:uid="{00000000-0005-0000-0000-0000E6010000}"/>
    <cellStyle name="Bold/Border 2 6 4 6" xfId="40637" xr:uid="{00000000-0005-0000-0000-0000E6010000}"/>
    <cellStyle name="Bold/Border 2 6 5" xfId="10012" xr:uid="{00000000-0005-0000-0000-0000E6010000}"/>
    <cellStyle name="Bold/Border 2 6 5 2" xfId="14069" xr:uid="{00000000-0005-0000-0000-0000E6010000}"/>
    <cellStyle name="Bold/Border 2 6 5 2 2" xfId="32486" xr:uid="{00000000-0005-0000-0000-0000E6010000}"/>
    <cellStyle name="Bold/Border 2 6 5 2 3" xfId="50849" xr:uid="{00000000-0005-0000-0000-0000E6010000}"/>
    <cellStyle name="Bold/Border 2 6 5 3" xfId="28724" xr:uid="{00000000-0005-0000-0000-0000E6010000}"/>
    <cellStyle name="Bold/Border 2 6 5 3 2" xfId="47087" xr:uid="{00000000-0005-0000-0000-0000E6010000}"/>
    <cellStyle name="Bold/Border 2 6 5 4" xfId="19390" xr:uid="{00000000-0005-0000-0000-0000E6010000}"/>
    <cellStyle name="Bold/Border 2 6 5 5" xfId="37797" xr:uid="{00000000-0005-0000-0000-0000E6010000}"/>
    <cellStyle name="Bold/Border 2 6 6" xfId="8636" xr:uid="{00000000-0005-0000-0000-0000E6010000}"/>
    <cellStyle name="Bold/Border 2 6 6 2" xfId="27546" xr:uid="{00000000-0005-0000-0000-0000E6010000}"/>
    <cellStyle name="Bold/Border 2 6 6 3" xfId="45910" xr:uid="{00000000-0005-0000-0000-0000E6010000}"/>
    <cellStyle name="Bold/Border 2 6 7" xfId="8712" xr:uid="{00000000-0005-0000-0000-0000E6010000}"/>
    <cellStyle name="Bold/Border 2 6 7 2" xfId="27598" xr:uid="{00000000-0005-0000-0000-0000E6010000}"/>
    <cellStyle name="Bold/Border 2 6 7 3" xfId="45961" xr:uid="{00000000-0005-0000-0000-0000E6010000}"/>
    <cellStyle name="Bold/Border 2 6 8" xfId="18138" xr:uid="{00000000-0005-0000-0000-0000E6010000}"/>
    <cellStyle name="Bold/Border 2 6 8 2" xfId="36545" xr:uid="{00000000-0005-0000-0000-0000E6010000}"/>
    <cellStyle name="Bold/Border 2 6 9" xfId="7094" xr:uid="{00000000-0005-0000-0000-0000E6010000}"/>
    <cellStyle name="Bold/Border 2 7" xfId="3341" xr:uid="{00000000-0005-0000-0000-0000D8010000}"/>
    <cellStyle name="Bold/Border 2 7 2" xfId="5516" xr:uid="{00000000-0005-0000-0000-0000D8010000}"/>
    <cellStyle name="Bold/Border 2 7 2 2" xfId="11880" xr:uid="{00000000-0005-0000-0000-0000D8010000}"/>
    <cellStyle name="Bold/Border 2 7 2 2 2" xfId="30327" xr:uid="{00000000-0005-0000-0000-0000D8010000}"/>
    <cellStyle name="Bold/Border 2 7 2 2 3" xfId="48690" xr:uid="{00000000-0005-0000-0000-0000D8010000}"/>
    <cellStyle name="Bold/Border 2 7 2 3" xfId="16206" xr:uid="{00000000-0005-0000-0000-0000D8010000}"/>
    <cellStyle name="Bold/Border 2 7 2 3 2" xfId="34578" xr:uid="{00000000-0005-0000-0000-0000D8010000}"/>
    <cellStyle name="Bold/Border 2 7 2 3 3" xfId="52941" xr:uid="{00000000-0005-0000-0000-0000D8010000}"/>
    <cellStyle name="Bold/Border 2 7 2 4" xfId="25325" xr:uid="{00000000-0005-0000-0000-0000D8010000}"/>
    <cellStyle name="Bold/Border 2 7 2 4 2" xfId="43694" xr:uid="{00000000-0005-0000-0000-0000D8010000}"/>
    <cellStyle name="Bold/Border 2 7 2 5" xfId="21646" xr:uid="{00000000-0005-0000-0000-0000D8010000}"/>
    <cellStyle name="Bold/Border 2 7 2 6" xfId="40025" xr:uid="{00000000-0005-0000-0000-0000D8010000}"/>
    <cellStyle name="Bold/Border 2 7 3" xfId="6340" xr:uid="{00000000-0005-0000-0000-0000D8010000}"/>
    <cellStyle name="Bold/Border 2 7 3 2" xfId="12631" xr:uid="{00000000-0005-0000-0000-0000D8010000}"/>
    <cellStyle name="Bold/Border 2 7 3 2 2" xfId="31057" xr:uid="{00000000-0005-0000-0000-0000D8010000}"/>
    <cellStyle name="Bold/Border 2 7 3 2 3" xfId="49420" xr:uid="{00000000-0005-0000-0000-0000D8010000}"/>
    <cellStyle name="Bold/Border 2 7 3 3" xfId="16942" xr:uid="{00000000-0005-0000-0000-0000D8010000}"/>
    <cellStyle name="Bold/Border 2 7 3 3 2" xfId="35290" xr:uid="{00000000-0005-0000-0000-0000D8010000}"/>
    <cellStyle name="Bold/Border 2 7 3 3 3" xfId="53653" xr:uid="{00000000-0005-0000-0000-0000D8010000}"/>
    <cellStyle name="Bold/Border 2 7 3 4" xfId="26075" xr:uid="{00000000-0005-0000-0000-0000D8010000}"/>
    <cellStyle name="Bold/Border 2 7 3 4 2" xfId="44444" xr:uid="{00000000-0005-0000-0000-0000D8010000}"/>
    <cellStyle name="Bold/Border 2 7 3 5" xfId="22368" xr:uid="{00000000-0005-0000-0000-0000D8010000}"/>
    <cellStyle name="Bold/Border 2 7 3 6" xfId="40737" xr:uid="{00000000-0005-0000-0000-0000D8010000}"/>
    <cellStyle name="Bold/Border 2 7 4" xfId="10054" xr:uid="{00000000-0005-0000-0000-0000D8010000}"/>
    <cellStyle name="Bold/Border 2 7 4 2" xfId="14111" xr:uid="{00000000-0005-0000-0000-0000D8010000}"/>
    <cellStyle name="Bold/Border 2 7 4 2 2" xfId="32527" xr:uid="{00000000-0005-0000-0000-0000D8010000}"/>
    <cellStyle name="Bold/Border 2 7 4 2 3" xfId="50890" xr:uid="{00000000-0005-0000-0000-0000D8010000}"/>
    <cellStyle name="Bold/Border 2 7 4 3" xfId="28765" xr:uid="{00000000-0005-0000-0000-0000D8010000}"/>
    <cellStyle name="Bold/Border 2 7 4 3 2" xfId="47128" xr:uid="{00000000-0005-0000-0000-0000D8010000}"/>
    <cellStyle name="Bold/Border 2 7 4 4" xfId="19568" xr:uid="{00000000-0005-0000-0000-0000D8010000}"/>
    <cellStyle name="Bold/Border 2 7 4 5" xfId="37974" xr:uid="{00000000-0005-0000-0000-0000D8010000}"/>
    <cellStyle name="Bold/Border 2 7 5" xfId="9179" xr:uid="{00000000-0005-0000-0000-0000D8010000}"/>
    <cellStyle name="Bold/Border 2 7 5 2" xfId="27900" xr:uid="{00000000-0005-0000-0000-0000D8010000}"/>
    <cellStyle name="Bold/Border 2 7 5 3" xfId="46263" xr:uid="{00000000-0005-0000-0000-0000D8010000}"/>
    <cellStyle name="Bold/Border 2 7 6" xfId="13237" xr:uid="{00000000-0005-0000-0000-0000D8010000}"/>
    <cellStyle name="Bold/Border 2 7 6 2" xfId="31658" xr:uid="{00000000-0005-0000-0000-0000D8010000}"/>
    <cellStyle name="Bold/Border 2 7 6 3" xfId="50021" xr:uid="{00000000-0005-0000-0000-0000D8010000}"/>
    <cellStyle name="Bold/Border 2 7 7" xfId="23249" xr:uid="{00000000-0005-0000-0000-0000D8010000}"/>
    <cellStyle name="Bold/Border 2 7 7 2" xfId="41618" xr:uid="{00000000-0005-0000-0000-0000D8010000}"/>
    <cellStyle name="Bold/Border 2 7 8" xfId="18194" xr:uid="{00000000-0005-0000-0000-0000D8010000}"/>
    <cellStyle name="Bold/Border 2 7 9" xfId="36600" xr:uid="{00000000-0005-0000-0000-0000D8010000}"/>
    <cellStyle name="Bold/Border 2 8" xfId="4173" xr:uid="{00000000-0005-0000-0000-0000D8010000}"/>
    <cellStyle name="Bold/Border 2 8 2" xfId="10825" xr:uid="{00000000-0005-0000-0000-0000D8010000}"/>
    <cellStyle name="Bold/Border 2 8 2 2" xfId="29497" xr:uid="{00000000-0005-0000-0000-0000D8010000}"/>
    <cellStyle name="Bold/Border 2 8 2 3" xfId="47860" xr:uid="{00000000-0005-0000-0000-0000D8010000}"/>
    <cellStyle name="Bold/Border 2 8 3" xfId="14919" xr:uid="{00000000-0005-0000-0000-0000D8010000}"/>
    <cellStyle name="Bold/Border 2 8 3 2" xfId="33323" xr:uid="{00000000-0005-0000-0000-0000D8010000}"/>
    <cellStyle name="Bold/Border 2 8 3 3" xfId="51686" xr:uid="{00000000-0005-0000-0000-0000D8010000}"/>
    <cellStyle name="Bold/Border 2 8 4" xfId="24052" xr:uid="{00000000-0005-0000-0000-0000D8010000}"/>
    <cellStyle name="Bold/Border 2 8 4 2" xfId="42421" xr:uid="{00000000-0005-0000-0000-0000D8010000}"/>
    <cellStyle name="Bold/Border 2 8 5" xfId="20372" xr:uid="{00000000-0005-0000-0000-0000D8010000}"/>
    <cellStyle name="Bold/Border 2 8 6" xfId="38770" xr:uid="{00000000-0005-0000-0000-0000D8010000}"/>
    <cellStyle name="Bold/Border 2 9" xfId="5358" xr:uid="{00000000-0005-0000-0000-0000D8010000}"/>
    <cellStyle name="Bold/Border 2 9 2" xfId="11781" xr:uid="{00000000-0005-0000-0000-0000D8010000}"/>
    <cellStyle name="Bold/Border 2 9 2 2" xfId="30258" xr:uid="{00000000-0005-0000-0000-0000D8010000}"/>
    <cellStyle name="Bold/Border 2 9 2 3" xfId="48621" xr:uid="{00000000-0005-0000-0000-0000D8010000}"/>
    <cellStyle name="Bold/Border 2 9 3" xfId="16050" xr:uid="{00000000-0005-0000-0000-0000D8010000}"/>
    <cellStyle name="Bold/Border 2 9 3 2" xfId="34424" xr:uid="{00000000-0005-0000-0000-0000D8010000}"/>
    <cellStyle name="Bold/Border 2 9 3 3" xfId="52787" xr:uid="{00000000-0005-0000-0000-0000D8010000}"/>
    <cellStyle name="Bold/Border 2 9 4" xfId="25171" xr:uid="{00000000-0005-0000-0000-0000D8010000}"/>
    <cellStyle name="Bold/Border 2 9 4 2" xfId="43540" xr:uid="{00000000-0005-0000-0000-0000D8010000}"/>
    <cellStyle name="Bold/Border 2 9 5" xfId="21492" xr:uid="{00000000-0005-0000-0000-0000D8010000}"/>
    <cellStyle name="Bold/Border 2 9 6" xfId="39871" xr:uid="{00000000-0005-0000-0000-0000D8010000}"/>
    <cellStyle name="Bold/Border 3" xfId="1869" xr:uid="{00000000-0005-0000-0000-0000E7010000}"/>
    <cellStyle name="Bold/Border 3 10" xfId="11350" xr:uid="{00000000-0005-0000-0000-0000E7010000}"/>
    <cellStyle name="Bold/Border 3 2" xfId="3713" xr:uid="{00000000-0005-0000-0000-0000E7010000}"/>
    <cellStyle name="Bold/Border 3 2 2" xfId="5886" xr:uid="{00000000-0005-0000-0000-0000E7010000}"/>
    <cellStyle name="Bold/Border 3 2 2 2" xfId="12250" xr:uid="{00000000-0005-0000-0000-0000E7010000}"/>
    <cellStyle name="Bold/Border 3 2 2 2 2" xfId="30697" xr:uid="{00000000-0005-0000-0000-0000E7010000}"/>
    <cellStyle name="Bold/Border 3 2 2 2 3" xfId="49060" xr:uid="{00000000-0005-0000-0000-0000E7010000}"/>
    <cellStyle name="Bold/Border 3 2 2 3" xfId="16576" xr:uid="{00000000-0005-0000-0000-0000E7010000}"/>
    <cellStyle name="Bold/Border 3 2 2 3 2" xfId="34948" xr:uid="{00000000-0005-0000-0000-0000E7010000}"/>
    <cellStyle name="Bold/Border 3 2 2 3 3" xfId="53311" xr:uid="{00000000-0005-0000-0000-0000E7010000}"/>
    <cellStyle name="Bold/Border 3 2 2 4" xfId="25695" xr:uid="{00000000-0005-0000-0000-0000E7010000}"/>
    <cellStyle name="Bold/Border 3 2 2 4 2" xfId="44064" xr:uid="{00000000-0005-0000-0000-0000E7010000}"/>
    <cellStyle name="Bold/Border 3 2 2 5" xfId="22016" xr:uid="{00000000-0005-0000-0000-0000E7010000}"/>
    <cellStyle name="Bold/Border 3 2 2 6" xfId="40395" xr:uid="{00000000-0005-0000-0000-0000E7010000}"/>
    <cellStyle name="Bold/Border 3 2 3" xfId="6712" xr:uid="{00000000-0005-0000-0000-0000E7010000}"/>
    <cellStyle name="Bold/Border 3 2 3 2" xfId="13003" xr:uid="{00000000-0005-0000-0000-0000E7010000}"/>
    <cellStyle name="Bold/Border 3 2 3 2 2" xfId="31429" xr:uid="{00000000-0005-0000-0000-0000E7010000}"/>
    <cellStyle name="Bold/Border 3 2 3 2 3" xfId="49792" xr:uid="{00000000-0005-0000-0000-0000E7010000}"/>
    <cellStyle name="Bold/Border 3 2 3 3" xfId="17314" xr:uid="{00000000-0005-0000-0000-0000E7010000}"/>
    <cellStyle name="Bold/Border 3 2 3 3 2" xfId="35662" xr:uid="{00000000-0005-0000-0000-0000E7010000}"/>
    <cellStyle name="Bold/Border 3 2 3 3 3" xfId="54025" xr:uid="{00000000-0005-0000-0000-0000E7010000}"/>
    <cellStyle name="Bold/Border 3 2 3 4" xfId="26447" xr:uid="{00000000-0005-0000-0000-0000E7010000}"/>
    <cellStyle name="Bold/Border 3 2 3 4 2" xfId="44816" xr:uid="{00000000-0005-0000-0000-0000E7010000}"/>
    <cellStyle name="Bold/Border 3 2 3 5" xfId="22740" xr:uid="{00000000-0005-0000-0000-0000E7010000}"/>
    <cellStyle name="Bold/Border 3 2 3 6" xfId="41109" xr:uid="{00000000-0005-0000-0000-0000E7010000}"/>
    <cellStyle name="Bold/Border 3 2 4" xfId="10426" xr:uid="{00000000-0005-0000-0000-0000E7010000}"/>
    <cellStyle name="Bold/Border 3 2 4 2" xfId="14483" xr:uid="{00000000-0005-0000-0000-0000E7010000}"/>
    <cellStyle name="Bold/Border 3 2 4 2 2" xfId="32899" xr:uid="{00000000-0005-0000-0000-0000E7010000}"/>
    <cellStyle name="Bold/Border 3 2 4 2 3" xfId="51262" xr:uid="{00000000-0005-0000-0000-0000E7010000}"/>
    <cellStyle name="Bold/Border 3 2 4 3" xfId="29137" xr:uid="{00000000-0005-0000-0000-0000E7010000}"/>
    <cellStyle name="Bold/Border 3 2 4 3 2" xfId="47500" xr:uid="{00000000-0005-0000-0000-0000E7010000}"/>
    <cellStyle name="Bold/Border 3 2 4 4" xfId="19940" xr:uid="{00000000-0005-0000-0000-0000E7010000}"/>
    <cellStyle name="Bold/Border 3 2 4 5" xfId="38346" xr:uid="{00000000-0005-0000-0000-0000E7010000}"/>
    <cellStyle name="Bold/Border 3 2 5" xfId="9640" xr:uid="{00000000-0005-0000-0000-0000E7010000}"/>
    <cellStyle name="Bold/Border 3 2 5 2" xfId="28356" xr:uid="{00000000-0005-0000-0000-0000E7010000}"/>
    <cellStyle name="Bold/Border 3 2 5 3" xfId="46719" xr:uid="{00000000-0005-0000-0000-0000E7010000}"/>
    <cellStyle name="Bold/Border 3 2 6" xfId="13697" xr:uid="{00000000-0005-0000-0000-0000E7010000}"/>
    <cellStyle name="Bold/Border 3 2 6 2" xfId="32118" xr:uid="{00000000-0005-0000-0000-0000E7010000}"/>
    <cellStyle name="Bold/Border 3 2 6 3" xfId="50481" xr:uid="{00000000-0005-0000-0000-0000E7010000}"/>
    <cellStyle name="Bold/Border 3 2 7" xfId="23621" xr:uid="{00000000-0005-0000-0000-0000E7010000}"/>
    <cellStyle name="Bold/Border 3 2 7 2" xfId="41990" xr:uid="{00000000-0005-0000-0000-0000E7010000}"/>
    <cellStyle name="Bold/Border 3 2 8" xfId="18757" xr:uid="{00000000-0005-0000-0000-0000E7010000}"/>
    <cellStyle name="Bold/Border 3 2 9" xfId="37166" xr:uid="{00000000-0005-0000-0000-0000E7010000}"/>
    <cellStyle name="Bold/Border 3 3" xfId="4793" xr:uid="{00000000-0005-0000-0000-0000E7010000}"/>
    <cellStyle name="Bold/Border 3 3 2" xfId="11359" xr:uid="{00000000-0005-0000-0000-0000E7010000}"/>
    <cellStyle name="Bold/Border 3 3 2 2" xfId="29954" xr:uid="{00000000-0005-0000-0000-0000E7010000}"/>
    <cellStyle name="Bold/Border 3 3 2 3" xfId="48317" xr:uid="{00000000-0005-0000-0000-0000E7010000}"/>
    <cellStyle name="Bold/Border 3 3 3" xfId="15519" xr:uid="{00000000-0005-0000-0000-0000E7010000}"/>
    <cellStyle name="Bold/Border 3 3 3 2" xfId="33912" xr:uid="{00000000-0005-0000-0000-0000E7010000}"/>
    <cellStyle name="Bold/Border 3 3 3 3" xfId="52275" xr:uid="{00000000-0005-0000-0000-0000E7010000}"/>
    <cellStyle name="Bold/Border 3 3 4" xfId="24643" xr:uid="{00000000-0005-0000-0000-0000E7010000}"/>
    <cellStyle name="Bold/Border 3 3 4 2" xfId="43012" xr:uid="{00000000-0005-0000-0000-0000E7010000}"/>
    <cellStyle name="Bold/Border 3 3 5" xfId="20970" xr:uid="{00000000-0005-0000-0000-0000E7010000}"/>
    <cellStyle name="Bold/Border 3 3 6" xfId="39359" xr:uid="{00000000-0005-0000-0000-0000E7010000}"/>
    <cellStyle name="Bold/Border 3 4" xfId="5005" xr:uid="{00000000-0005-0000-0000-0000E7010000}"/>
    <cellStyle name="Bold/Border 3 4 2" xfId="11530" xr:uid="{00000000-0005-0000-0000-0000E7010000}"/>
    <cellStyle name="Bold/Border 3 4 2 2" xfId="30103" xr:uid="{00000000-0005-0000-0000-0000E7010000}"/>
    <cellStyle name="Bold/Border 3 4 2 3" xfId="48466" xr:uid="{00000000-0005-0000-0000-0000E7010000}"/>
    <cellStyle name="Bold/Border 3 4 3" xfId="15719" xr:uid="{00000000-0005-0000-0000-0000E7010000}"/>
    <cellStyle name="Bold/Border 3 4 3 2" xfId="34107" xr:uid="{00000000-0005-0000-0000-0000E7010000}"/>
    <cellStyle name="Bold/Border 3 4 3 3" xfId="52470" xr:uid="{00000000-0005-0000-0000-0000E7010000}"/>
    <cellStyle name="Bold/Border 3 4 4" xfId="24843" xr:uid="{00000000-0005-0000-0000-0000E7010000}"/>
    <cellStyle name="Bold/Border 3 4 4 2" xfId="43212" xr:uid="{00000000-0005-0000-0000-0000E7010000}"/>
    <cellStyle name="Bold/Border 3 4 5" xfId="21167" xr:uid="{00000000-0005-0000-0000-0000E7010000}"/>
    <cellStyle name="Bold/Border 3 4 6" xfId="39554" xr:uid="{00000000-0005-0000-0000-0000E7010000}"/>
    <cellStyle name="Bold/Border 3 5" xfId="9047" xr:uid="{00000000-0005-0000-0000-0000E7010000}"/>
    <cellStyle name="Bold/Border 3 5 2" xfId="6910" xr:uid="{00000000-0005-0000-0000-0000E7010000}"/>
    <cellStyle name="Bold/Border 3 5 2 2" xfId="26645" xr:uid="{00000000-0005-0000-0000-0000E7010000}"/>
    <cellStyle name="Bold/Border 3 5 2 3" xfId="45014" xr:uid="{00000000-0005-0000-0000-0000E7010000}"/>
    <cellStyle name="Bold/Border 3 5 3" xfId="27773" xr:uid="{00000000-0005-0000-0000-0000E7010000}"/>
    <cellStyle name="Bold/Border 3 5 3 2" xfId="46136" xr:uid="{00000000-0005-0000-0000-0000E7010000}"/>
    <cellStyle name="Bold/Border 3 5 4" xfId="17943" xr:uid="{00000000-0005-0000-0000-0000E7010000}"/>
    <cellStyle name="Bold/Border 3 5 5" xfId="36351" xr:uid="{00000000-0005-0000-0000-0000E7010000}"/>
    <cellStyle name="Bold/Border 3 6" xfId="8077" xr:uid="{00000000-0005-0000-0000-0000E7010000}"/>
    <cellStyle name="Bold/Border 3 6 2" xfId="27287" xr:uid="{00000000-0005-0000-0000-0000E7010000}"/>
    <cellStyle name="Bold/Border 3 6 3" xfId="45652" xr:uid="{00000000-0005-0000-0000-0000E7010000}"/>
    <cellStyle name="Bold/Border 3 7" xfId="7714" xr:uid="{00000000-0005-0000-0000-0000E7010000}"/>
    <cellStyle name="Bold/Border 3 7 2" xfId="26995" xr:uid="{00000000-0005-0000-0000-0000E7010000}"/>
    <cellStyle name="Bold/Border 3 7 3" xfId="45360" xr:uid="{00000000-0005-0000-0000-0000E7010000}"/>
    <cellStyle name="Bold/Border 3 8" xfId="18813" xr:uid="{00000000-0005-0000-0000-0000E7010000}"/>
    <cellStyle name="Bold/Border 3 8 2" xfId="37222" xr:uid="{00000000-0005-0000-0000-0000E7010000}"/>
    <cellStyle name="Bold/Border 3 9" xfId="8640" xr:uid="{00000000-0005-0000-0000-0000E7010000}"/>
    <cellStyle name="Bold/Border 4" xfId="2000" xr:uid="{00000000-0005-0000-0000-0000E8010000}"/>
    <cellStyle name="Bold/Border 4 10" xfId="11815" xr:uid="{00000000-0005-0000-0000-0000E8010000}"/>
    <cellStyle name="Bold/Border 4 2" xfId="3747" xr:uid="{00000000-0005-0000-0000-0000E8010000}"/>
    <cellStyle name="Bold/Border 4 2 2" xfId="5920" xr:uid="{00000000-0005-0000-0000-0000E8010000}"/>
    <cellStyle name="Bold/Border 4 2 2 2" xfId="12284" xr:uid="{00000000-0005-0000-0000-0000E8010000}"/>
    <cellStyle name="Bold/Border 4 2 2 2 2" xfId="30731" xr:uid="{00000000-0005-0000-0000-0000E8010000}"/>
    <cellStyle name="Bold/Border 4 2 2 2 3" xfId="49094" xr:uid="{00000000-0005-0000-0000-0000E8010000}"/>
    <cellStyle name="Bold/Border 4 2 2 3" xfId="16610" xr:uid="{00000000-0005-0000-0000-0000E8010000}"/>
    <cellStyle name="Bold/Border 4 2 2 3 2" xfId="34982" xr:uid="{00000000-0005-0000-0000-0000E8010000}"/>
    <cellStyle name="Bold/Border 4 2 2 3 3" xfId="53345" xr:uid="{00000000-0005-0000-0000-0000E8010000}"/>
    <cellStyle name="Bold/Border 4 2 2 4" xfId="25729" xr:uid="{00000000-0005-0000-0000-0000E8010000}"/>
    <cellStyle name="Bold/Border 4 2 2 4 2" xfId="44098" xr:uid="{00000000-0005-0000-0000-0000E8010000}"/>
    <cellStyle name="Bold/Border 4 2 2 5" xfId="22050" xr:uid="{00000000-0005-0000-0000-0000E8010000}"/>
    <cellStyle name="Bold/Border 4 2 2 6" xfId="40429" xr:uid="{00000000-0005-0000-0000-0000E8010000}"/>
    <cellStyle name="Bold/Border 4 2 3" xfId="6746" xr:uid="{00000000-0005-0000-0000-0000E8010000}"/>
    <cellStyle name="Bold/Border 4 2 3 2" xfId="13037" xr:uid="{00000000-0005-0000-0000-0000E8010000}"/>
    <cellStyle name="Bold/Border 4 2 3 2 2" xfId="31463" xr:uid="{00000000-0005-0000-0000-0000E8010000}"/>
    <cellStyle name="Bold/Border 4 2 3 2 3" xfId="49826" xr:uid="{00000000-0005-0000-0000-0000E8010000}"/>
    <cellStyle name="Bold/Border 4 2 3 3" xfId="17348" xr:uid="{00000000-0005-0000-0000-0000E8010000}"/>
    <cellStyle name="Bold/Border 4 2 3 3 2" xfId="35696" xr:uid="{00000000-0005-0000-0000-0000E8010000}"/>
    <cellStyle name="Bold/Border 4 2 3 3 3" xfId="54059" xr:uid="{00000000-0005-0000-0000-0000E8010000}"/>
    <cellStyle name="Bold/Border 4 2 3 4" xfId="26481" xr:uid="{00000000-0005-0000-0000-0000E8010000}"/>
    <cellStyle name="Bold/Border 4 2 3 4 2" xfId="44850" xr:uid="{00000000-0005-0000-0000-0000E8010000}"/>
    <cellStyle name="Bold/Border 4 2 3 5" xfId="22774" xr:uid="{00000000-0005-0000-0000-0000E8010000}"/>
    <cellStyle name="Bold/Border 4 2 3 6" xfId="41143" xr:uid="{00000000-0005-0000-0000-0000E8010000}"/>
    <cellStyle name="Bold/Border 4 2 4" xfId="10460" xr:uid="{00000000-0005-0000-0000-0000E8010000}"/>
    <cellStyle name="Bold/Border 4 2 4 2" xfId="14517" xr:uid="{00000000-0005-0000-0000-0000E8010000}"/>
    <cellStyle name="Bold/Border 4 2 4 2 2" xfId="32933" xr:uid="{00000000-0005-0000-0000-0000E8010000}"/>
    <cellStyle name="Bold/Border 4 2 4 2 3" xfId="51296" xr:uid="{00000000-0005-0000-0000-0000E8010000}"/>
    <cellStyle name="Bold/Border 4 2 4 3" xfId="29171" xr:uid="{00000000-0005-0000-0000-0000E8010000}"/>
    <cellStyle name="Bold/Border 4 2 4 3 2" xfId="47534" xr:uid="{00000000-0005-0000-0000-0000E8010000}"/>
    <cellStyle name="Bold/Border 4 2 4 4" xfId="19974" xr:uid="{00000000-0005-0000-0000-0000E8010000}"/>
    <cellStyle name="Bold/Border 4 2 4 5" xfId="38380" xr:uid="{00000000-0005-0000-0000-0000E8010000}"/>
    <cellStyle name="Bold/Border 4 2 5" xfId="9682" xr:uid="{00000000-0005-0000-0000-0000E8010000}"/>
    <cellStyle name="Bold/Border 4 2 5 2" xfId="28398" xr:uid="{00000000-0005-0000-0000-0000E8010000}"/>
    <cellStyle name="Bold/Border 4 2 5 3" xfId="46761" xr:uid="{00000000-0005-0000-0000-0000E8010000}"/>
    <cellStyle name="Bold/Border 4 2 6" xfId="13739" xr:uid="{00000000-0005-0000-0000-0000E8010000}"/>
    <cellStyle name="Bold/Border 4 2 6 2" xfId="32160" xr:uid="{00000000-0005-0000-0000-0000E8010000}"/>
    <cellStyle name="Bold/Border 4 2 6 3" xfId="50523" xr:uid="{00000000-0005-0000-0000-0000E8010000}"/>
    <cellStyle name="Bold/Border 4 2 7" xfId="23655" xr:uid="{00000000-0005-0000-0000-0000E8010000}"/>
    <cellStyle name="Bold/Border 4 2 7 2" xfId="42024" xr:uid="{00000000-0005-0000-0000-0000E8010000}"/>
    <cellStyle name="Bold/Border 4 2 8" xfId="18824" xr:uid="{00000000-0005-0000-0000-0000E8010000}"/>
    <cellStyle name="Bold/Border 4 2 9" xfId="37233" xr:uid="{00000000-0005-0000-0000-0000E8010000}"/>
    <cellStyle name="Bold/Border 4 3" xfId="4853" xr:uid="{00000000-0005-0000-0000-0000E8010000}"/>
    <cellStyle name="Bold/Border 4 3 2" xfId="11411" xr:uid="{00000000-0005-0000-0000-0000E8010000}"/>
    <cellStyle name="Bold/Border 4 3 2 2" xfId="30002" xr:uid="{00000000-0005-0000-0000-0000E8010000}"/>
    <cellStyle name="Bold/Border 4 3 2 3" xfId="48365" xr:uid="{00000000-0005-0000-0000-0000E8010000}"/>
    <cellStyle name="Bold/Border 4 3 3" xfId="15579" xr:uid="{00000000-0005-0000-0000-0000E8010000}"/>
    <cellStyle name="Bold/Border 4 3 3 2" xfId="33971" xr:uid="{00000000-0005-0000-0000-0000E8010000}"/>
    <cellStyle name="Bold/Border 4 3 3 3" xfId="52334" xr:uid="{00000000-0005-0000-0000-0000E8010000}"/>
    <cellStyle name="Bold/Border 4 3 4" xfId="24702" xr:uid="{00000000-0005-0000-0000-0000E8010000}"/>
    <cellStyle name="Bold/Border 4 3 4 2" xfId="43071" xr:uid="{00000000-0005-0000-0000-0000E8010000}"/>
    <cellStyle name="Bold/Border 4 3 5" xfId="21029" xr:uid="{00000000-0005-0000-0000-0000E8010000}"/>
    <cellStyle name="Bold/Border 4 3 6" xfId="39418" xr:uid="{00000000-0005-0000-0000-0000E8010000}"/>
    <cellStyle name="Bold/Border 4 4" xfId="4312" xr:uid="{00000000-0005-0000-0000-0000E8010000}"/>
    <cellStyle name="Bold/Border 4 4 2" xfId="10920" xr:uid="{00000000-0005-0000-0000-0000E8010000}"/>
    <cellStyle name="Bold/Border 4 4 2 2" xfId="29550" xr:uid="{00000000-0005-0000-0000-0000E8010000}"/>
    <cellStyle name="Bold/Border 4 4 2 3" xfId="47913" xr:uid="{00000000-0005-0000-0000-0000E8010000}"/>
    <cellStyle name="Bold/Border 4 4 3" xfId="15056" xr:uid="{00000000-0005-0000-0000-0000E8010000}"/>
    <cellStyle name="Bold/Border 4 4 3 2" xfId="33458" xr:uid="{00000000-0005-0000-0000-0000E8010000}"/>
    <cellStyle name="Bold/Border 4 4 3 3" xfId="51821" xr:uid="{00000000-0005-0000-0000-0000E8010000}"/>
    <cellStyle name="Bold/Border 4 4 4" xfId="24187" xr:uid="{00000000-0005-0000-0000-0000E8010000}"/>
    <cellStyle name="Bold/Border 4 4 4 2" xfId="42556" xr:uid="{00000000-0005-0000-0000-0000E8010000}"/>
    <cellStyle name="Bold/Border 4 4 5" xfId="20508" xr:uid="{00000000-0005-0000-0000-0000E8010000}"/>
    <cellStyle name="Bold/Border 4 4 6" xfId="38905" xr:uid="{00000000-0005-0000-0000-0000E8010000}"/>
    <cellStyle name="Bold/Border 4 5" xfId="9025" xr:uid="{00000000-0005-0000-0000-0000E8010000}"/>
    <cellStyle name="Bold/Border 4 5 2" xfId="6924" xr:uid="{00000000-0005-0000-0000-0000E8010000}"/>
    <cellStyle name="Bold/Border 4 5 2 2" xfId="26659" xr:uid="{00000000-0005-0000-0000-0000E8010000}"/>
    <cellStyle name="Bold/Border 4 5 2 3" xfId="45028" xr:uid="{00000000-0005-0000-0000-0000E8010000}"/>
    <cellStyle name="Bold/Border 4 5 3" xfId="27751" xr:uid="{00000000-0005-0000-0000-0000E8010000}"/>
    <cellStyle name="Bold/Border 4 5 3 2" xfId="46114" xr:uid="{00000000-0005-0000-0000-0000E8010000}"/>
    <cellStyle name="Bold/Border 4 5 4" xfId="17915" xr:uid="{00000000-0005-0000-0000-0000E8010000}"/>
    <cellStyle name="Bold/Border 4 5 5" xfId="36323" xr:uid="{00000000-0005-0000-0000-0000E8010000}"/>
    <cellStyle name="Bold/Border 4 6" xfId="8171" xr:uid="{00000000-0005-0000-0000-0000E8010000}"/>
    <cellStyle name="Bold/Border 4 6 2" xfId="27363" xr:uid="{00000000-0005-0000-0000-0000E8010000}"/>
    <cellStyle name="Bold/Border 4 6 3" xfId="45728" xr:uid="{00000000-0005-0000-0000-0000E8010000}"/>
    <cellStyle name="Bold/Border 4 7" xfId="7153" xr:uid="{00000000-0005-0000-0000-0000E8010000}"/>
    <cellStyle name="Bold/Border 4 7 2" xfId="26731" xr:uid="{00000000-0005-0000-0000-0000E8010000}"/>
    <cellStyle name="Bold/Border 4 7 3" xfId="45099" xr:uid="{00000000-0005-0000-0000-0000E8010000}"/>
    <cellStyle name="Bold/Border 4 8" xfId="18119" xr:uid="{00000000-0005-0000-0000-0000E8010000}"/>
    <cellStyle name="Bold/Border 4 8 2" xfId="36526" xr:uid="{00000000-0005-0000-0000-0000E8010000}"/>
    <cellStyle name="Bold/Border 4 9" xfId="7331" xr:uid="{00000000-0005-0000-0000-0000E8010000}"/>
    <cellStyle name="Bold/Border 5" xfId="2453" xr:uid="{00000000-0005-0000-0000-0000E9010000}"/>
    <cellStyle name="Bold/Border 5 10" xfId="35857" xr:uid="{00000000-0005-0000-0000-0000E9010000}"/>
    <cellStyle name="Bold/Border 5 2" xfId="3792" xr:uid="{00000000-0005-0000-0000-0000E9010000}"/>
    <cellStyle name="Bold/Border 5 2 2" xfId="5965" xr:uid="{00000000-0005-0000-0000-0000E9010000}"/>
    <cellStyle name="Bold/Border 5 2 2 2" xfId="12329" xr:uid="{00000000-0005-0000-0000-0000E9010000}"/>
    <cellStyle name="Bold/Border 5 2 2 2 2" xfId="30776" xr:uid="{00000000-0005-0000-0000-0000E9010000}"/>
    <cellStyle name="Bold/Border 5 2 2 2 3" xfId="49139" xr:uid="{00000000-0005-0000-0000-0000E9010000}"/>
    <cellStyle name="Bold/Border 5 2 2 3" xfId="16655" xr:uid="{00000000-0005-0000-0000-0000E9010000}"/>
    <cellStyle name="Bold/Border 5 2 2 3 2" xfId="35027" xr:uid="{00000000-0005-0000-0000-0000E9010000}"/>
    <cellStyle name="Bold/Border 5 2 2 3 3" xfId="53390" xr:uid="{00000000-0005-0000-0000-0000E9010000}"/>
    <cellStyle name="Bold/Border 5 2 2 4" xfId="25774" xr:uid="{00000000-0005-0000-0000-0000E9010000}"/>
    <cellStyle name="Bold/Border 5 2 2 4 2" xfId="44143" xr:uid="{00000000-0005-0000-0000-0000E9010000}"/>
    <cellStyle name="Bold/Border 5 2 2 5" xfId="22095" xr:uid="{00000000-0005-0000-0000-0000E9010000}"/>
    <cellStyle name="Bold/Border 5 2 2 6" xfId="40474" xr:uid="{00000000-0005-0000-0000-0000E9010000}"/>
    <cellStyle name="Bold/Border 5 2 3" xfId="6791" xr:uid="{00000000-0005-0000-0000-0000E9010000}"/>
    <cellStyle name="Bold/Border 5 2 3 2" xfId="13082" xr:uid="{00000000-0005-0000-0000-0000E9010000}"/>
    <cellStyle name="Bold/Border 5 2 3 2 2" xfId="31508" xr:uid="{00000000-0005-0000-0000-0000E9010000}"/>
    <cellStyle name="Bold/Border 5 2 3 2 3" xfId="49871" xr:uid="{00000000-0005-0000-0000-0000E9010000}"/>
    <cellStyle name="Bold/Border 5 2 3 3" xfId="17393" xr:uid="{00000000-0005-0000-0000-0000E9010000}"/>
    <cellStyle name="Bold/Border 5 2 3 3 2" xfId="35741" xr:uid="{00000000-0005-0000-0000-0000E9010000}"/>
    <cellStyle name="Bold/Border 5 2 3 3 3" xfId="54104" xr:uid="{00000000-0005-0000-0000-0000E9010000}"/>
    <cellStyle name="Bold/Border 5 2 3 4" xfId="26526" xr:uid="{00000000-0005-0000-0000-0000E9010000}"/>
    <cellStyle name="Bold/Border 5 2 3 4 2" xfId="44895" xr:uid="{00000000-0005-0000-0000-0000E9010000}"/>
    <cellStyle name="Bold/Border 5 2 3 5" xfId="22819" xr:uid="{00000000-0005-0000-0000-0000E9010000}"/>
    <cellStyle name="Bold/Border 5 2 3 6" xfId="41188" xr:uid="{00000000-0005-0000-0000-0000E9010000}"/>
    <cellStyle name="Bold/Border 5 2 4" xfId="10505" xr:uid="{00000000-0005-0000-0000-0000E9010000}"/>
    <cellStyle name="Bold/Border 5 2 4 2" xfId="14562" xr:uid="{00000000-0005-0000-0000-0000E9010000}"/>
    <cellStyle name="Bold/Border 5 2 4 2 2" xfId="32978" xr:uid="{00000000-0005-0000-0000-0000E9010000}"/>
    <cellStyle name="Bold/Border 5 2 4 2 3" xfId="51341" xr:uid="{00000000-0005-0000-0000-0000E9010000}"/>
    <cellStyle name="Bold/Border 5 2 4 3" xfId="29216" xr:uid="{00000000-0005-0000-0000-0000E9010000}"/>
    <cellStyle name="Bold/Border 5 2 4 3 2" xfId="47579" xr:uid="{00000000-0005-0000-0000-0000E9010000}"/>
    <cellStyle name="Bold/Border 5 2 4 4" xfId="20019" xr:uid="{00000000-0005-0000-0000-0000E9010000}"/>
    <cellStyle name="Bold/Border 5 2 4 5" xfId="38425" xr:uid="{00000000-0005-0000-0000-0000E9010000}"/>
    <cellStyle name="Bold/Border 5 2 5" xfId="9786" xr:uid="{00000000-0005-0000-0000-0000E9010000}"/>
    <cellStyle name="Bold/Border 5 2 5 2" xfId="28501" xr:uid="{00000000-0005-0000-0000-0000E9010000}"/>
    <cellStyle name="Bold/Border 5 2 5 3" xfId="46864" xr:uid="{00000000-0005-0000-0000-0000E9010000}"/>
    <cellStyle name="Bold/Border 5 2 6" xfId="13843" xr:uid="{00000000-0005-0000-0000-0000E9010000}"/>
    <cellStyle name="Bold/Border 5 2 6 2" xfId="32263" xr:uid="{00000000-0005-0000-0000-0000E9010000}"/>
    <cellStyle name="Bold/Border 5 2 6 3" xfId="50626" xr:uid="{00000000-0005-0000-0000-0000E9010000}"/>
    <cellStyle name="Bold/Border 5 2 7" xfId="23700" xr:uid="{00000000-0005-0000-0000-0000E9010000}"/>
    <cellStyle name="Bold/Border 5 2 7 2" xfId="42069" xr:uid="{00000000-0005-0000-0000-0000E9010000}"/>
    <cellStyle name="Bold/Border 5 2 8" xfId="18990" xr:uid="{00000000-0005-0000-0000-0000E9010000}"/>
    <cellStyle name="Bold/Border 5 2 9" xfId="37399" xr:uid="{00000000-0005-0000-0000-0000E9010000}"/>
    <cellStyle name="Bold/Border 5 3" xfId="5013" xr:uid="{00000000-0005-0000-0000-0000E9010000}"/>
    <cellStyle name="Bold/Border 5 3 2" xfId="11537" xr:uid="{00000000-0005-0000-0000-0000E9010000}"/>
    <cellStyle name="Bold/Border 5 3 2 2" xfId="30109" xr:uid="{00000000-0005-0000-0000-0000E9010000}"/>
    <cellStyle name="Bold/Border 5 3 2 3" xfId="48472" xr:uid="{00000000-0005-0000-0000-0000E9010000}"/>
    <cellStyle name="Bold/Border 5 3 3" xfId="15727" xr:uid="{00000000-0005-0000-0000-0000E9010000}"/>
    <cellStyle name="Bold/Border 5 3 3 2" xfId="34115" xr:uid="{00000000-0005-0000-0000-0000E9010000}"/>
    <cellStyle name="Bold/Border 5 3 3 3" xfId="52478" xr:uid="{00000000-0005-0000-0000-0000E9010000}"/>
    <cellStyle name="Bold/Border 5 3 4" xfId="24851" xr:uid="{00000000-0005-0000-0000-0000E9010000}"/>
    <cellStyle name="Bold/Border 5 3 4 2" xfId="43220" xr:uid="{00000000-0005-0000-0000-0000E9010000}"/>
    <cellStyle name="Bold/Border 5 3 5" xfId="21175" xr:uid="{00000000-0005-0000-0000-0000E9010000}"/>
    <cellStyle name="Bold/Border 5 3 6" xfId="39562" xr:uid="{00000000-0005-0000-0000-0000E9010000}"/>
    <cellStyle name="Bold/Border 5 4" xfId="6135" xr:uid="{00000000-0005-0000-0000-0000E9010000}"/>
    <cellStyle name="Bold/Border 5 4 2" xfId="12489" xr:uid="{00000000-0005-0000-0000-0000E9010000}"/>
    <cellStyle name="Bold/Border 5 4 2 2" xfId="30927" xr:uid="{00000000-0005-0000-0000-0000E9010000}"/>
    <cellStyle name="Bold/Border 5 4 2 3" xfId="49290" xr:uid="{00000000-0005-0000-0000-0000E9010000}"/>
    <cellStyle name="Bold/Border 5 4 3" xfId="16807" xr:uid="{00000000-0005-0000-0000-0000E9010000}"/>
    <cellStyle name="Bold/Border 5 4 3 2" xfId="35174" xr:uid="{00000000-0005-0000-0000-0000E9010000}"/>
    <cellStyle name="Bold/Border 5 4 3 3" xfId="53537" xr:uid="{00000000-0005-0000-0000-0000E9010000}"/>
    <cellStyle name="Bold/Border 5 4 4" xfId="25928" xr:uid="{00000000-0005-0000-0000-0000E9010000}"/>
    <cellStyle name="Bold/Border 5 4 4 2" xfId="44297" xr:uid="{00000000-0005-0000-0000-0000E9010000}"/>
    <cellStyle name="Bold/Border 5 4 5" xfId="22244" xr:uid="{00000000-0005-0000-0000-0000E9010000}"/>
    <cellStyle name="Bold/Border 5 4 6" xfId="40621" xr:uid="{00000000-0005-0000-0000-0000E9010000}"/>
    <cellStyle name="Bold/Border 5 5" xfId="9015" xr:uid="{00000000-0005-0000-0000-0000E9010000}"/>
    <cellStyle name="Bold/Border 5 5 2" xfId="6935" xr:uid="{00000000-0005-0000-0000-0000E9010000}"/>
    <cellStyle name="Bold/Border 5 5 2 2" xfId="26668" xr:uid="{00000000-0005-0000-0000-0000E9010000}"/>
    <cellStyle name="Bold/Border 5 5 2 3" xfId="45037" xr:uid="{00000000-0005-0000-0000-0000E9010000}"/>
    <cellStyle name="Bold/Border 5 5 3" xfId="27742" xr:uid="{00000000-0005-0000-0000-0000E9010000}"/>
    <cellStyle name="Bold/Border 5 5 3 2" xfId="46105" xr:uid="{00000000-0005-0000-0000-0000E9010000}"/>
    <cellStyle name="Bold/Border 5 5 4" xfId="17889" xr:uid="{00000000-0005-0000-0000-0000E9010000}"/>
    <cellStyle name="Bold/Border 5 5 5" xfId="36299" xr:uid="{00000000-0005-0000-0000-0000E9010000}"/>
    <cellStyle name="Bold/Border 5 6" xfId="8449" xr:uid="{00000000-0005-0000-0000-0000E9010000}"/>
    <cellStyle name="Bold/Border 5 6 2" xfId="27490" xr:uid="{00000000-0005-0000-0000-0000E9010000}"/>
    <cellStyle name="Bold/Border 5 6 3" xfId="45854" xr:uid="{00000000-0005-0000-0000-0000E9010000}"/>
    <cellStyle name="Bold/Border 5 7" xfId="10869" xr:uid="{00000000-0005-0000-0000-0000E9010000}"/>
    <cellStyle name="Bold/Border 5 7 2" xfId="29535" xr:uid="{00000000-0005-0000-0000-0000E9010000}"/>
    <cellStyle name="Bold/Border 5 7 3" xfId="47898" xr:uid="{00000000-0005-0000-0000-0000E9010000}"/>
    <cellStyle name="Bold/Border 5 8" xfId="19476" xr:uid="{00000000-0005-0000-0000-0000E9010000}"/>
    <cellStyle name="Bold/Border 5 8 2" xfId="37882" xr:uid="{00000000-0005-0000-0000-0000E9010000}"/>
    <cellStyle name="Bold/Border 5 9" xfId="7843" xr:uid="{00000000-0005-0000-0000-0000E9010000}"/>
    <cellStyle name="Bold/Border 6" xfId="3038" xr:uid="{00000000-0005-0000-0000-0000EA010000}"/>
    <cellStyle name="Bold/Border 6 10" xfId="36042" xr:uid="{00000000-0005-0000-0000-0000EA010000}"/>
    <cellStyle name="Bold/Border 6 2" xfId="3848" xr:uid="{00000000-0005-0000-0000-0000EA010000}"/>
    <cellStyle name="Bold/Border 6 2 2" xfId="6021" xr:uid="{00000000-0005-0000-0000-0000EA010000}"/>
    <cellStyle name="Bold/Border 6 2 2 2" xfId="12385" xr:uid="{00000000-0005-0000-0000-0000EA010000}"/>
    <cellStyle name="Bold/Border 6 2 2 2 2" xfId="30832" xr:uid="{00000000-0005-0000-0000-0000EA010000}"/>
    <cellStyle name="Bold/Border 6 2 2 2 3" xfId="49195" xr:uid="{00000000-0005-0000-0000-0000EA010000}"/>
    <cellStyle name="Bold/Border 6 2 2 3" xfId="16711" xr:uid="{00000000-0005-0000-0000-0000EA010000}"/>
    <cellStyle name="Bold/Border 6 2 2 3 2" xfId="35083" xr:uid="{00000000-0005-0000-0000-0000EA010000}"/>
    <cellStyle name="Bold/Border 6 2 2 3 3" xfId="53446" xr:uid="{00000000-0005-0000-0000-0000EA010000}"/>
    <cellStyle name="Bold/Border 6 2 2 4" xfId="25830" xr:uid="{00000000-0005-0000-0000-0000EA010000}"/>
    <cellStyle name="Bold/Border 6 2 2 4 2" xfId="44199" xr:uid="{00000000-0005-0000-0000-0000EA010000}"/>
    <cellStyle name="Bold/Border 6 2 2 5" xfId="22151" xr:uid="{00000000-0005-0000-0000-0000EA010000}"/>
    <cellStyle name="Bold/Border 6 2 2 6" xfId="40530" xr:uid="{00000000-0005-0000-0000-0000EA010000}"/>
    <cellStyle name="Bold/Border 6 2 3" xfId="6847" xr:uid="{00000000-0005-0000-0000-0000EA010000}"/>
    <cellStyle name="Bold/Border 6 2 3 2" xfId="13138" xr:uid="{00000000-0005-0000-0000-0000EA010000}"/>
    <cellStyle name="Bold/Border 6 2 3 2 2" xfId="31564" xr:uid="{00000000-0005-0000-0000-0000EA010000}"/>
    <cellStyle name="Bold/Border 6 2 3 2 3" xfId="49927" xr:uid="{00000000-0005-0000-0000-0000EA010000}"/>
    <cellStyle name="Bold/Border 6 2 3 3" xfId="17449" xr:uid="{00000000-0005-0000-0000-0000EA010000}"/>
    <cellStyle name="Bold/Border 6 2 3 3 2" xfId="35797" xr:uid="{00000000-0005-0000-0000-0000EA010000}"/>
    <cellStyle name="Bold/Border 6 2 3 3 3" xfId="54160" xr:uid="{00000000-0005-0000-0000-0000EA010000}"/>
    <cellStyle name="Bold/Border 6 2 3 4" xfId="26582" xr:uid="{00000000-0005-0000-0000-0000EA010000}"/>
    <cellStyle name="Bold/Border 6 2 3 4 2" xfId="44951" xr:uid="{00000000-0005-0000-0000-0000EA010000}"/>
    <cellStyle name="Bold/Border 6 2 3 5" xfId="22875" xr:uid="{00000000-0005-0000-0000-0000EA010000}"/>
    <cellStyle name="Bold/Border 6 2 3 6" xfId="41244" xr:uid="{00000000-0005-0000-0000-0000EA010000}"/>
    <cellStyle name="Bold/Border 6 2 4" xfId="10561" xr:uid="{00000000-0005-0000-0000-0000EA010000}"/>
    <cellStyle name="Bold/Border 6 2 4 2" xfId="14618" xr:uid="{00000000-0005-0000-0000-0000EA010000}"/>
    <cellStyle name="Bold/Border 6 2 4 2 2" xfId="33034" xr:uid="{00000000-0005-0000-0000-0000EA010000}"/>
    <cellStyle name="Bold/Border 6 2 4 2 3" xfId="51397" xr:uid="{00000000-0005-0000-0000-0000EA010000}"/>
    <cellStyle name="Bold/Border 6 2 4 3" xfId="29272" xr:uid="{00000000-0005-0000-0000-0000EA010000}"/>
    <cellStyle name="Bold/Border 6 2 4 3 2" xfId="47635" xr:uid="{00000000-0005-0000-0000-0000EA010000}"/>
    <cellStyle name="Bold/Border 6 2 4 4" xfId="20075" xr:uid="{00000000-0005-0000-0000-0000EA010000}"/>
    <cellStyle name="Bold/Border 6 2 4 5" xfId="38481" xr:uid="{00000000-0005-0000-0000-0000EA010000}"/>
    <cellStyle name="Bold/Border 6 2 5" xfId="9933" xr:uid="{00000000-0005-0000-0000-0000EA010000}"/>
    <cellStyle name="Bold/Border 6 2 5 2" xfId="28645" xr:uid="{00000000-0005-0000-0000-0000EA010000}"/>
    <cellStyle name="Bold/Border 6 2 5 3" xfId="47008" xr:uid="{00000000-0005-0000-0000-0000EA010000}"/>
    <cellStyle name="Bold/Border 6 2 6" xfId="13990" xr:uid="{00000000-0005-0000-0000-0000EA010000}"/>
    <cellStyle name="Bold/Border 6 2 6 2" xfId="32407" xr:uid="{00000000-0005-0000-0000-0000EA010000}"/>
    <cellStyle name="Bold/Border 6 2 6 3" xfId="50770" xr:uid="{00000000-0005-0000-0000-0000EA010000}"/>
    <cellStyle name="Bold/Border 6 2 7" xfId="23756" xr:uid="{00000000-0005-0000-0000-0000EA010000}"/>
    <cellStyle name="Bold/Border 6 2 7 2" xfId="42125" xr:uid="{00000000-0005-0000-0000-0000EA010000}"/>
    <cellStyle name="Bold/Border 6 2 8" xfId="19239" xr:uid="{00000000-0005-0000-0000-0000EA010000}"/>
    <cellStyle name="Bold/Border 6 2 9" xfId="37646" xr:uid="{00000000-0005-0000-0000-0000EA010000}"/>
    <cellStyle name="Bold/Border 6 3" xfId="5290" xr:uid="{00000000-0005-0000-0000-0000EA010000}"/>
    <cellStyle name="Bold/Border 6 3 2" xfId="11744" xr:uid="{00000000-0005-0000-0000-0000EA010000}"/>
    <cellStyle name="Bold/Border 6 3 2 2" xfId="30247" xr:uid="{00000000-0005-0000-0000-0000EA010000}"/>
    <cellStyle name="Bold/Border 6 3 2 3" xfId="48610" xr:uid="{00000000-0005-0000-0000-0000EA010000}"/>
    <cellStyle name="Bold/Border 6 3 3" xfId="15982" xr:uid="{00000000-0005-0000-0000-0000EA010000}"/>
    <cellStyle name="Bold/Border 6 3 3 2" xfId="34356" xr:uid="{00000000-0005-0000-0000-0000EA010000}"/>
    <cellStyle name="Bold/Border 6 3 3 3" xfId="52719" xr:uid="{00000000-0005-0000-0000-0000EA010000}"/>
    <cellStyle name="Bold/Border 6 3 4" xfId="25103" xr:uid="{00000000-0005-0000-0000-0000EA010000}"/>
    <cellStyle name="Bold/Border 6 3 4 2" xfId="43472" xr:uid="{00000000-0005-0000-0000-0000EA010000}"/>
    <cellStyle name="Bold/Border 6 3 5" xfId="21424" xr:uid="{00000000-0005-0000-0000-0000EA010000}"/>
    <cellStyle name="Bold/Border 6 3 6" xfId="39803" xr:uid="{00000000-0005-0000-0000-0000EA010000}"/>
    <cellStyle name="Bold/Border 6 4" xfId="6244" xr:uid="{00000000-0005-0000-0000-0000EA010000}"/>
    <cellStyle name="Bold/Border 6 4 2" xfId="12559" xr:uid="{00000000-0005-0000-0000-0000EA010000}"/>
    <cellStyle name="Bold/Border 6 4 2 2" xfId="30991" xr:uid="{00000000-0005-0000-0000-0000EA010000}"/>
    <cellStyle name="Bold/Border 6 4 2 3" xfId="49354" xr:uid="{00000000-0005-0000-0000-0000EA010000}"/>
    <cellStyle name="Bold/Border 6 4 3" xfId="16875" xr:uid="{00000000-0005-0000-0000-0000EA010000}"/>
    <cellStyle name="Bold/Border 6 4 3 2" xfId="35232" xr:uid="{00000000-0005-0000-0000-0000EA010000}"/>
    <cellStyle name="Bold/Border 6 4 3 3" xfId="53595" xr:uid="{00000000-0005-0000-0000-0000EA010000}"/>
    <cellStyle name="Bold/Border 6 4 4" xfId="26007" xr:uid="{00000000-0005-0000-0000-0000EA010000}"/>
    <cellStyle name="Bold/Border 6 4 4 2" xfId="44376" xr:uid="{00000000-0005-0000-0000-0000EA010000}"/>
    <cellStyle name="Bold/Border 6 4 5" xfId="22306" xr:uid="{00000000-0005-0000-0000-0000EA010000}"/>
    <cellStyle name="Bold/Border 6 4 6" xfId="40679" xr:uid="{00000000-0005-0000-0000-0000EA010000}"/>
    <cellStyle name="Bold/Border 6 5" xfId="10044" xr:uid="{00000000-0005-0000-0000-0000EA010000}"/>
    <cellStyle name="Bold/Border 6 5 2" xfId="14101" xr:uid="{00000000-0005-0000-0000-0000EA010000}"/>
    <cellStyle name="Bold/Border 6 5 2 2" xfId="32517" xr:uid="{00000000-0005-0000-0000-0000EA010000}"/>
    <cellStyle name="Bold/Border 6 5 2 3" xfId="50880" xr:uid="{00000000-0005-0000-0000-0000EA010000}"/>
    <cellStyle name="Bold/Border 6 5 3" xfId="28755" xr:uid="{00000000-0005-0000-0000-0000EA010000}"/>
    <cellStyle name="Bold/Border 6 5 3 2" xfId="47118" xr:uid="{00000000-0005-0000-0000-0000EA010000}"/>
    <cellStyle name="Bold/Border 6 5 4" xfId="19500" xr:uid="{00000000-0005-0000-0000-0000EA010000}"/>
    <cellStyle name="Bold/Border 6 5 5" xfId="37906" xr:uid="{00000000-0005-0000-0000-0000EA010000}"/>
    <cellStyle name="Bold/Border 6 6" xfId="8825" xr:uid="{00000000-0005-0000-0000-0000EA010000}"/>
    <cellStyle name="Bold/Border 6 6 2" xfId="27647" xr:uid="{00000000-0005-0000-0000-0000EA010000}"/>
    <cellStyle name="Bold/Border 6 6 3" xfId="46010" xr:uid="{00000000-0005-0000-0000-0000EA010000}"/>
    <cellStyle name="Bold/Border 6 7" xfId="11532" xr:uid="{00000000-0005-0000-0000-0000EA010000}"/>
    <cellStyle name="Bold/Border 6 7 2" xfId="30105" xr:uid="{00000000-0005-0000-0000-0000EA010000}"/>
    <cellStyle name="Bold/Border 6 7 3" xfId="48468" xr:uid="{00000000-0005-0000-0000-0000EA010000}"/>
    <cellStyle name="Bold/Border 6 8" xfId="23040" xr:uid="{00000000-0005-0000-0000-0000EA010000}"/>
    <cellStyle name="Bold/Border 6 8 2" xfId="41409" xr:uid="{00000000-0005-0000-0000-0000EA010000}"/>
    <cellStyle name="Bold/Border 6 9" xfId="17600" xr:uid="{00000000-0005-0000-0000-0000EA010000}"/>
    <cellStyle name="Bold/Border 7" xfId="3175" xr:uid="{00000000-0005-0000-0000-0000EB010000}"/>
    <cellStyle name="Bold/Border 7 2" xfId="3868" xr:uid="{00000000-0005-0000-0000-0000EB010000}"/>
    <cellStyle name="Bold/Border 7 2 2" xfId="6041" xr:uid="{00000000-0005-0000-0000-0000EB010000}"/>
    <cellStyle name="Bold/Border 7 2 2 2" xfId="12405" xr:uid="{00000000-0005-0000-0000-0000EB010000}"/>
    <cellStyle name="Bold/Border 7 2 2 2 2" xfId="30852" xr:uid="{00000000-0005-0000-0000-0000EB010000}"/>
    <cellStyle name="Bold/Border 7 2 2 2 3" xfId="49215" xr:uid="{00000000-0005-0000-0000-0000EB010000}"/>
    <cellStyle name="Bold/Border 7 2 2 3" xfId="16731" xr:uid="{00000000-0005-0000-0000-0000EB010000}"/>
    <cellStyle name="Bold/Border 7 2 2 3 2" xfId="35103" xr:uid="{00000000-0005-0000-0000-0000EB010000}"/>
    <cellStyle name="Bold/Border 7 2 2 3 3" xfId="53466" xr:uid="{00000000-0005-0000-0000-0000EB010000}"/>
    <cellStyle name="Bold/Border 7 2 2 4" xfId="25850" xr:uid="{00000000-0005-0000-0000-0000EB010000}"/>
    <cellStyle name="Bold/Border 7 2 2 4 2" xfId="44219" xr:uid="{00000000-0005-0000-0000-0000EB010000}"/>
    <cellStyle name="Bold/Border 7 2 2 5" xfId="22171" xr:uid="{00000000-0005-0000-0000-0000EB010000}"/>
    <cellStyle name="Bold/Border 7 2 2 6" xfId="40550" xr:uid="{00000000-0005-0000-0000-0000EB010000}"/>
    <cellStyle name="Bold/Border 7 2 3" xfId="6867" xr:uid="{00000000-0005-0000-0000-0000EB010000}"/>
    <cellStyle name="Bold/Border 7 2 3 2" xfId="13158" xr:uid="{00000000-0005-0000-0000-0000EB010000}"/>
    <cellStyle name="Bold/Border 7 2 3 2 2" xfId="31584" xr:uid="{00000000-0005-0000-0000-0000EB010000}"/>
    <cellStyle name="Bold/Border 7 2 3 2 3" xfId="49947" xr:uid="{00000000-0005-0000-0000-0000EB010000}"/>
    <cellStyle name="Bold/Border 7 2 3 3" xfId="17469" xr:uid="{00000000-0005-0000-0000-0000EB010000}"/>
    <cellStyle name="Bold/Border 7 2 3 3 2" xfId="35817" xr:uid="{00000000-0005-0000-0000-0000EB010000}"/>
    <cellStyle name="Bold/Border 7 2 3 3 3" xfId="54180" xr:uid="{00000000-0005-0000-0000-0000EB010000}"/>
    <cellStyle name="Bold/Border 7 2 3 4" xfId="26602" xr:uid="{00000000-0005-0000-0000-0000EB010000}"/>
    <cellStyle name="Bold/Border 7 2 3 4 2" xfId="44971" xr:uid="{00000000-0005-0000-0000-0000EB010000}"/>
    <cellStyle name="Bold/Border 7 2 3 5" xfId="22895" xr:uid="{00000000-0005-0000-0000-0000EB010000}"/>
    <cellStyle name="Bold/Border 7 2 3 6" xfId="41264" xr:uid="{00000000-0005-0000-0000-0000EB010000}"/>
    <cellStyle name="Bold/Border 7 2 4" xfId="10581" xr:uid="{00000000-0005-0000-0000-0000EB010000}"/>
    <cellStyle name="Bold/Border 7 2 4 2" xfId="14638" xr:uid="{00000000-0005-0000-0000-0000EB010000}"/>
    <cellStyle name="Bold/Border 7 2 4 2 2" xfId="33054" xr:uid="{00000000-0005-0000-0000-0000EB010000}"/>
    <cellStyle name="Bold/Border 7 2 4 2 3" xfId="51417" xr:uid="{00000000-0005-0000-0000-0000EB010000}"/>
    <cellStyle name="Bold/Border 7 2 4 3" xfId="29292" xr:uid="{00000000-0005-0000-0000-0000EB010000}"/>
    <cellStyle name="Bold/Border 7 2 4 3 2" xfId="47655" xr:uid="{00000000-0005-0000-0000-0000EB010000}"/>
    <cellStyle name="Bold/Border 7 2 4 4" xfId="20095" xr:uid="{00000000-0005-0000-0000-0000EB010000}"/>
    <cellStyle name="Bold/Border 7 2 4 5" xfId="38501" xr:uid="{00000000-0005-0000-0000-0000EB010000}"/>
    <cellStyle name="Bold/Border 7 2 5" xfId="9968" xr:uid="{00000000-0005-0000-0000-0000EB010000}"/>
    <cellStyle name="Bold/Border 7 2 5 2" xfId="28680" xr:uid="{00000000-0005-0000-0000-0000EB010000}"/>
    <cellStyle name="Bold/Border 7 2 5 3" xfId="47043" xr:uid="{00000000-0005-0000-0000-0000EB010000}"/>
    <cellStyle name="Bold/Border 7 2 6" xfId="14025" xr:uid="{00000000-0005-0000-0000-0000EB010000}"/>
    <cellStyle name="Bold/Border 7 2 6 2" xfId="32442" xr:uid="{00000000-0005-0000-0000-0000EB010000}"/>
    <cellStyle name="Bold/Border 7 2 6 3" xfId="50805" xr:uid="{00000000-0005-0000-0000-0000EB010000}"/>
    <cellStyle name="Bold/Border 7 2 7" xfId="23776" xr:uid="{00000000-0005-0000-0000-0000EB010000}"/>
    <cellStyle name="Bold/Border 7 2 7 2" xfId="42145" xr:uid="{00000000-0005-0000-0000-0000EB010000}"/>
    <cellStyle name="Bold/Border 7 2 8" xfId="19305" xr:uid="{00000000-0005-0000-0000-0000EB010000}"/>
    <cellStyle name="Bold/Border 7 2 9" xfId="37712" xr:uid="{00000000-0005-0000-0000-0000EB010000}"/>
    <cellStyle name="Bold/Border 7 3" xfId="5389" xr:uid="{00000000-0005-0000-0000-0000EB010000}"/>
    <cellStyle name="Bold/Border 7 3 2" xfId="11806" xr:uid="{00000000-0005-0000-0000-0000EB010000}"/>
    <cellStyle name="Bold/Border 7 3 2 2" xfId="30279" xr:uid="{00000000-0005-0000-0000-0000EB010000}"/>
    <cellStyle name="Bold/Border 7 3 2 3" xfId="48642" xr:uid="{00000000-0005-0000-0000-0000EB010000}"/>
    <cellStyle name="Bold/Border 7 3 3" xfId="16081" xr:uid="{00000000-0005-0000-0000-0000EB010000}"/>
    <cellStyle name="Bold/Border 7 3 3 2" xfId="34453" xr:uid="{00000000-0005-0000-0000-0000EB010000}"/>
    <cellStyle name="Bold/Border 7 3 3 3" xfId="52816" xr:uid="{00000000-0005-0000-0000-0000EB010000}"/>
    <cellStyle name="Bold/Border 7 3 4" xfId="25200" xr:uid="{00000000-0005-0000-0000-0000EB010000}"/>
    <cellStyle name="Bold/Border 7 3 4 2" xfId="43569" xr:uid="{00000000-0005-0000-0000-0000EB010000}"/>
    <cellStyle name="Bold/Border 7 3 5" xfId="21521" xr:uid="{00000000-0005-0000-0000-0000EB010000}"/>
    <cellStyle name="Bold/Border 7 3 6" xfId="39900" xr:uid="{00000000-0005-0000-0000-0000EB010000}"/>
    <cellStyle name="Bold/Border 7 4" xfId="6282" xr:uid="{00000000-0005-0000-0000-0000EB010000}"/>
    <cellStyle name="Bold/Border 7 4 2" xfId="12584" xr:uid="{00000000-0005-0000-0000-0000EB010000}"/>
    <cellStyle name="Bold/Border 7 4 2 2" xfId="31013" xr:uid="{00000000-0005-0000-0000-0000EB010000}"/>
    <cellStyle name="Bold/Border 7 4 2 3" xfId="49376" xr:uid="{00000000-0005-0000-0000-0000EB010000}"/>
    <cellStyle name="Bold/Border 7 4 3" xfId="16897" xr:uid="{00000000-0005-0000-0000-0000EB010000}"/>
    <cellStyle name="Bold/Border 7 4 3 2" xfId="35252" xr:uid="{00000000-0005-0000-0000-0000EB010000}"/>
    <cellStyle name="Bold/Border 7 4 3 3" xfId="53615" xr:uid="{00000000-0005-0000-0000-0000EB010000}"/>
    <cellStyle name="Bold/Border 7 4 4" xfId="26032" xr:uid="{00000000-0005-0000-0000-0000EB010000}"/>
    <cellStyle name="Bold/Border 7 4 4 2" xfId="44401" xr:uid="{00000000-0005-0000-0000-0000EB010000}"/>
    <cellStyle name="Bold/Border 7 4 5" xfId="22329" xr:uid="{00000000-0005-0000-0000-0000EB010000}"/>
    <cellStyle name="Bold/Border 7 4 6" xfId="40699" xr:uid="{00000000-0005-0000-0000-0000EB010000}"/>
    <cellStyle name="Bold/Border 7 5" xfId="8916" xr:uid="{00000000-0005-0000-0000-0000EB010000}"/>
    <cellStyle name="Bold/Border 7 5 2" xfId="27691" xr:uid="{00000000-0005-0000-0000-0000EB010000}"/>
    <cellStyle name="Bold/Border 7 5 3" xfId="46054" xr:uid="{00000000-0005-0000-0000-0000EB010000}"/>
    <cellStyle name="Bold/Border 7 6" xfId="12512" xr:uid="{00000000-0005-0000-0000-0000EB010000}"/>
    <cellStyle name="Bold/Border 7 6 2" xfId="30944" xr:uid="{00000000-0005-0000-0000-0000EB010000}"/>
    <cellStyle name="Bold/Border 7 6 3" xfId="49307" xr:uid="{00000000-0005-0000-0000-0000EB010000}"/>
    <cellStyle name="Bold/Border 7 7" xfId="23129" xr:uid="{00000000-0005-0000-0000-0000EB010000}"/>
    <cellStyle name="Bold/Border 7 7 2" xfId="41498" xr:uid="{00000000-0005-0000-0000-0000EB010000}"/>
    <cellStyle name="Bold/Border 7 8" xfId="17709" xr:uid="{00000000-0005-0000-0000-0000EB010000}"/>
    <cellStyle name="Bold/Border 7 9" xfId="36131" xr:uid="{00000000-0005-0000-0000-0000EB010000}"/>
    <cellStyle name="Bold/Border 8" xfId="3288" xr:uid="{00000000-0005-0000-0000-0000EC010000}"/>
    <cellStyle name="Bold/Border 8 2" xfId="3883" xr:uid="{00000000-0005-0000-0000-0000EC010000}"/>
    <cellStyle name="Bold/Border 8 2 2" xfId="6056" xr:uid="{00000000-0005-0000-0000-0000EC010000}"/>
    <cellStyle name="Bold/Border 8 2 2 2" xfId="12420" xr:uid="{00000000-0005-0000-0000-0000EC010000}"/>
    <cellStyle name="Bold/Border 8 2 2 2 2" xfId="30867" xr:uid="{00000000-0005-0000-0000-0000EC010000}"/>
    <cellStyle name="Bold/Border 8 2 2 2 3" xfId="49230" xr:uid="{00000000-0005-0000-0000-0000EC010000}"/>
    <cellStyle name="Bold/Border 8 2 2 3" xfId="16746" xr:uid="{00000000-0005-0000-0000-0000EC010000}"/>
    <cellStyle name="Bold/Border 8 2 2 3 2" xfId="35118" xr:uid="{00000000-0005-0000-0000-0000EC010000}"/>
    <cellStyle name="Bold/Border 8 2 2 3 3" xfId="53481" xr:uid="{00000000-0005-0000-0000-0000EC010000}"/>
    <cellStyle name="Bold/Border 8 2 2 4" xfId="25865" xr:uid="{00000000-0005-0000-0000-0000EC010000}"/>
    <cellStyle name="Bold/Border 8 2 2 4 2" xfId="44234" xr:uid="{00000000-0005-0000-0000-0000EC010000}"/>
    <cellStyle name="Bold/Border 8 2 2 5" xfId="22186" xr:uid="{00000000-0005-0000-0000-0000EC010000}"/>
    <cellStyle name="Bold/Border 8 2 2 6" xfId="40565" xr:uid="{00000000-0005-0000-0000-0000EC010000}"/>
    <cellStyle name="Bold/Border 8 2 3" xfId="6882" xr:uid="{00000000-0005-0000-0000-0000EC010000}"/>
    <cellStyle name="Bold/Border 8 2 3 2" xfId="13173" xr:uid="{00000000-0005-0000-0000-0000EC010000}"/>
    <cellStyle name="Bold/Border 8 2 3 2 2" xfId="31599" xr:uid="{00000000-0005-0000-0000-0000EC010000}"/>
    <cellStyle name="Bold/Border 8 2 3 2 3" xfId="49962" xr:uid="{00000000-0005-0000-0000-0000EC010000}"/>
    <cellStyle name="Bold/Border 8 2 3 3" xfId="17484" xr:uid="{00000000-0005-0000-0000-0000EC010000}"/>
    <cellStyle name="Bold/Border 8 2 3 3 2" xfId="35832" xr:uid="{00000000-0005-0000-0000-0000EC010000}"/>
    <cellStyle name="Bold/Border 8 2 3 3 3" xfId="54195" xr:uid="{00000000-0005-0000-0000-0000EC010000}"/>
    <cellStyle name="Bold/Border 8 2 3 4" xfId="26617" xr:uid="{00000000-0005-0000-0000-0000EC010000}"/>
    <cellStyle name="Bold/Border 8 2 3 4 2" xfId="44986" xr:uid="{00000000-0005-0000-0000-0000EC010000}"/>
    <cellStyle name="Bold/Border 8 2 3 5" xfId="22910" xr:uid="{00000000-0005-0000-0000-0000EC010000}"/>
    <cellStyle name="Bold/Border 8 2 3 6" xfId="41279" xr:uid="{00000000-0005-0000-0000-0000EC010000}"/>
    <cellStyle name="Bold/Border 8 2 4" xfId="10596" xr:uid="{00000000-0005-0000-0000-0000EC010000}"/>
    <cellStyle name="Bold/Border 8 2 4 2" xfId="14653" xr:uid="{00000000-0005-0000-0000-0000EC010000}"/>
    <cellStyle name="Bold/Border 8 2 4 2 2" xfId="33069" xr:uid="{00000000-0005-0000-0000-0000EC010000}"/>
    <cellStyle name="Bold/Border 8 2 4 2 3" xfId="51432" xr:uid="{00000000-0005-0000-0000-0000EC010000}"/>
    <cellStyle name="Bold/Border 8 2 4 3" xfId="29307" xr:uid="{00000000-0005-0000-0000-0000EC010000}"/>
    <cellStyle name="Bold/Border 8 2 4 3 2" xfId="47670" xr:uid="{00000000-0005-0000-0000-0000EC010000}"/>
    <cellStyle name="Bold/Border 8 2 4 4" xfId="20110" xr:uid="{00000000-0005-0000-0000-0000EC010000}"/>
    <cellStyle name="Bold/Border 8 2 4 5" xfId="38516" xr:uid="{00000000-0005-0000-0000-0000EC010000}"/>
    <cellStyle name="Bold/Border 8 2 5" xfId="9988" xr:uid="{00000000-0005-0000-0000-0000EC010000}"/>
    <cellStyle name="Bold/Border 8 2 5 2" xfId="28700" xr:uid="{00000000-0005-0000-0000-0000EC010000}"/>
    <cellStyle name="Bold/Border 8 2 5 3" xfId="47063" xr:uid="{00000000-0005-0000-0000-0000EC010000}"/>
    <cellStyle name="Bold/Border 8 2 6" xfId="14045" xr:uid="{00000000-0005-0000-0000-0000EC010000}"/>
    <cellStyle name="Bold/Border 8 2 6 2" xfId="32462" xr:uid="{00000000-0005-0000-0000-0000EC010000}"/>
    <cellStyle name="Bold/Border 8 2 6 3" xfId="50825" xr:uid="{00000000-0005-0000-0000-0000EC010000}"/>
    <cellStyle name="Bold/Border 8 2 7" xfId="23791" xr:uid="{00000000-0005-0000-0000-0000EC010000}"/>
    <cellStyle name="Bold/Border 8 2 7 2" xfId="42160" xr:uid="{00000000-0005-0000-0000-0000EC010000}"/>
    <cellStyle name="Bold/Border 8 2 8" xfId="19356" xr:uid="{00000000-0005-0000-0000-0000EC010000}"/>
    <cellStyle name="Bold/Border 8 2 9" xfId="37763" xr:uid="{00000000-0005-0000-0000-0000EC010000}"/>
    <cellStyle name="Bold/Border 8 3" xfId="5480" xr:uid="{00000000-0005-0000-0000-0000EC010000}"/>
    <cellStyle name="Bold/Border 8 3 2" xfId="11849" xr:uid="{00000000-0005-0000-0000-0000EC010000}"/>
    <cellStyle name="Bold/Border 8 3 2 2" xfId="30298" xr:uid="{00000000-0005-0000-0000-0000EC010000}"/>
    <cellStyle name="Bold/Border 8 3 2 3" xfId="48661" xr:uid="{00000000-0005-0000-0000-0000EC010000}"/>
    <cellStyle name="Bold/Border 8 3 3" xfId="16171" xr:uid="{00000000-0005-0000-0000-0000EC010000}"/>
    <cellStyle name="Bold/Border 8 3 3 2" xfId="34543" xr:uid="{00000000-0005-0000-0000-0000EC010000}"/>
    <cellStyle name="Bold/Border 8 3 3 3" xfId="52906" xr:uid="{00000000-0005-0000-0000-0000EC010000}"/>
    <cellStyle name="Bold/Border 8 3 4" xfId="25290" xr:uid="{00000000-0005-0000-0000-0000EC010000}"/>
    <cellStyle name="Bold/Border 8 3 4 2" xfId="43659" xr:uid="{00000000-0005-0000-0000-0000EC010000}"/>
    <cellStyle name="Bold/Border 8 3 5" xfId="21611" xr:uid="{00000000-0005-0000-0000-0000EC010000}"/>
    <cellStyle name="Bold/Border 8 3 6" xfId="39990" xr:uid="{00000000-0005-0000-0000-0000EC010000}"/>
    <cellStyle name="Bold/Border 8 4" xfId="6314" xr:uid="{00000000-0005-0000-0000-0000EC010000}"/>
    <cellStyle name="Bold/Border 8 4 2" xfId="12605" xr:uid="{00000000-0005-0000-0000-0000EC010000}"/>
    <cellStyle name="Bold/Border 8 4 2 2" xfId="31031" xr:uid="{00000000-0005-0000-0000-0000EC010000}"/>
    <cellStyle name="Bold/Border 8 4 2 3" xfId="49394" xr:uid="{00000000-0005-0000-0000-0000EC010000}"/>
    <cellStyle name="Bold/Border 8 4 3" xfId="16917" xr:uid="{00000000-0005-0000-0000-0000EC010000}"/>
    <cellStyle name="Bold/Border 8 4 3 2" xfId="35267" xr:uid="{00000000-0005-0000-0000-0000EC010000}"/>
    <cellStyle name="Bold/Border 8 4 3 3" xfId="53630" xr:uid="{00000000-0005-0000-0000-0000EC010000}"/>
    <cellStyle name="Bold/Border 8 4 4" xfId="26052" xr:uid="{00000000-0005-0000-0000-0000EC010000}"/>
    <cellStyle name="Bold/Border 8 4 4 2" xfId="44421" xr:uid="{00000000-0005-0000-0000-0000EC010000}"/>
    <cellStyle name="Bold/Border 8 4 5" xfId="22345" xr:uid="{00000000-0005-0000-0000-0000EC010000}"/>
    <cellStyle name="Bold/Border 8 4 6" xfId="40714" xr:uid="{00000000-0005-0000-0000-0000EC010000}"/>
    <cellStyle name="Bold/Border 8 5" xfId="8979" xr:uid="{00000000-0005-0000-0000-0000EC010000}"/>
    <cellStyle name="Bold/Border 8 5 2" xfId="27714" xr:uid="{00000000-0005-0000-0000-0000EC010000}"/>
    <cellStyle name="Bold/Border 8 5 3" xfId="46077" xr:uid="{00000000-0005-0000-0000-0000EC010000}"/>
    <cellStyle name="Bold/Border 8 6" xfId="6951" xr:uid="{00000000-0005-0000-0000-0000EC010000}"/>
    <cellStyle name="Bold/Border 8 6 2" xfId="26682" xr:uid="{00000000-0005-0000-0000-0000EC010000}"/>
    <cellStyle name="Bold/Border 8 6 3" xfId="45051" xr:uid="{00000000-0005-0000-0000-0000EC010000}"/>
    <cellStyle name="Bold/Border 8 7" xfId="23218" xr:uid="{00000000-0005-0000-0000-0000EC010000}"/>
    <cellStyle name="Bold/Border 8 7 2" xfId="41587" xr:uid="{00000000-0005-0000-0000-0000EC010000}"/>
    <cellStyle name="Bold/Border 8 8" xfId="17804" xr:uid="{00000000-0005-0000-0000-0000EC010000}"/>
    <cellStyle name="Bold/Border 8 9" xfId="36220" xr:uid="{00000000-0005-0000-0000-0000EC010000}"/>
    <cellStyle name="Bold/Border 9" xfId="3321" xr:uid="{00000000-0005-0000-0000-0000ED010000}"/>
    <cellStyle name="Bold/Border 9 2" xfId="3900" xr:uid="{00000000-0005-0000-0000-0000ED010000}"/>
    <cellStyle name="Bold/Border 9 2 2" xfId="6073" xr:uid="{00000000-0005-0000-0000-0000ED010000}"/>
    <cellStyle name="Bold/Border 9 2 2 2" xfId="12437" xr:uid="{00000000-0005-0000-0000-0000ED010000}"/>
    <cellStyle name="Bold/Border 9 2 2 2 2" xfId="30884" xr:uid="{00000000-0005-0000-0000-0000ED010000}"/>
    <cellStyle name="Bold/Border 9 2 2 2 3" xfId="49247" xr:uid="{00000000-0005-0000-0000-0000ED010000}"/>
    <cellStyle name="Bold/Border 9 2 2 3" xfId="16763" xr:uid="{00000000-0005-0000-0000-0000ED010000}"/>
    <cellStyle name="Bold/Border 9 2 2 3 2" xfId="35135" xr:uid="{00000000-0005-0000-0000-0000ED010000}"/>
    <cellStyle name="Bold/Border 9 2 2 3 3" xfId="53498" xr:uid="{00000000-0005-0000-0000-0000ED010000}"/>
    <cellStyle name="Bold/Border 9 2 2 4" xfId="25882" xr:uid="{00000000-0005-0000-0000-0000ED010000}"/>
    <cellStyle name="Bold/Border 9 2 2 4 2" xfId="44251" xr:uid="{00000000-0005-0000-0000-0000ED010000}"/>
    <cellStyle name="Bold/Border 9 2 2 5" xfId="22203" xr:uid="{00000000-0005-0000-0000-0000ED010000}"/>
    <cellStyle name="Bold/Border 9 2 2 6" xfId="40582" xr:uid="{00000000-0005-0000-0000-0000ED010000}"/>
    <cellStyle name="Bold/Border 9 2 3" xfId="6899" xr:uid="{00000000-0005-0000-0000-0000ED010000}"/>
    <cellStyle name="Bold/Border 9 2 3 2" xfId="13190" xr:uid="{00000000-0005-0000-0000-0000ED010000}"/>
    <cellStyle name="Bold/Border 9 2 3 2 2" xfId="31616" xr:uid="{00000000-0005-0000-0000-0000ED010000}"/>
    <cellStyle name="Bold/Border 9 2 3 2 3" xfId="49979" xr:uid="{00000000-0005-0000-0000-0000ED010000}"/>
    <cellStyle name="Bold/Border 9 2 3 3" xfId="17501" xr:uid="{00000000-0005-0000-0000-0000ED010000}"/>
    <cellStyle name="Bold/Border 9 2 3 3 2" xfId="35849" xr:uid="{00000000-0005-0000-0000-0000ED010000}"/>
    <cellStyle name="Bold/Border 9 2 3 3 3" xfId="54212" xr:uid="{00000000-0005-0000-0000-0000ED010000}"/>
    <cellStyle name="Bold/Border 9 2 3 4" xfId="26634" xr:uid="{00000000-0005-0000-0000-0000ED010000}"/>
    <cellStyle name="Bold/Border 9 2 3 4 2" xfId="45003" xr:uid="{00000000-0005-0000-0000-0000ED010000}"/>
    <cellStyle name="Bold/Border 9 2 3 5" xfId="22927" xr:uid="{00000000-0005-0000-0000-0000ED010000}"/>
    <cellStyle name="Bold/Border 9 2 3 6" xfId="41296" xr:uid="{00000000-0005-0000-0000-0000ED010000}"/>
    <cellStyle name="Bold/Border 9 2 4" xfId="10613" xr:uid="{00000000-0005-0000-0000-0000ED010000}"/>
    <cellStyle name="Bold/Border 9 2 4 2" xfId="14670" xr:uid="{00000000-0005-0000-0000-0000ED010000}"/>
    <cellStyle name="Bold/Border 9 2 4 2 2" xfId="33086" xr:uid="{00000000-0005-0000-0000-0000ED010000}"/>
    <cellStyle name="Bold/Border 9 2 4 2 3" xfId="51449" xr:uid="{00000000-0005-0000-0000-0000ED010000}"/>
    <cellStyle name="Bold/Border 9 2 4 3" xfId="29324" xr:uid="{00000000-0005-0000-0000-0000ED010000}"/>
    <cellStyle name="Bold/Border 9 2 4 3 2" xfId="47687" xr:uid="{00000000-0005-0000-0000-0000ED010000}"/>
    <cellStyle name="Bold/Border 9 2 4 4" xfId="20127" xr:uid="{00000000-0005-0000-0000-0000ED010000}"/>
    <cellStyle name="Bold/Border 9 2 4 5" xfId="38533" xr:uid="{00000000-0005-0000-0000-0000ED010000}"/>
    <cellStyle name="Bold/Border 9 2 5" xfId="10007" xr:uid="{00000000-0005-0000-0000-0000ED010000}"/>
    <cellStyle name="Bold/Border 9 2 5 2" xfId="28719" xr:uid="{00000000-0005-0000-0000-0000ED010000}"/>
    <cellStyle name="Bold/Border 9 2 5 3" xfId="47082" xr:uid="{00000000-0005-0000-0000-0000ED010000}"/>
    <cellStyle name="Bold/Border 9 2 6" xfId="14064" xr:uid="{00000000-0005-0000-0000-0000ED010000}"/>
    <cellStyle name="Bold/Border 9 2 6 2" xfId="32481" xr:uid="{00000000-0005-0000-0000-0000ED010000}"/>
    <cellStyle name="Bold/Border 9 2 6 3" xfId="50844" xr:uid="{00000000-0005-0000-0000-0000ED010000}"/>
    <cellStyle name="Bold/Border 9 2 7" xfId="23808" xr:uid="{00000000-0005-0000-0000-0000ED010000}"/>
    <cellStyle name="Bold/Border 9 2 7 2" xfId="42177" xr:uid="{00000000-0005-0000-0000-0000ED010000}"/>
    <cellStyle name="Bold/Border 9 2 8" xfId="19377" xr:uid="{00000000-0005-0000-0000-0000ED010000}"/>
    <cellStyle name="Bold/Border 9 2 9" xfId="37784" xr:uid="{00000000-0005-0000-0000-0000ED010000}"/>
    <cellStyle name="Bold/Border 9 3" xfId="5505" xr:uid="{00000000-0005-0000-0000-0000ED010000}"/>
    <cellStyle name="Bold/Border 9 3 2" xfId="11870" xr:uid="{00000000-0005-0000-0000-0000ED010000}"/>
    <cellStyle name="Bold/Border 9 3 2 2" xfId="30317" xr:uid="{00000000-0005-0000-0000-0000ED010000}"/>
    <cellStyle name="Bold/Border 9 3 2 3" xfId="48680" xr:uid="{00000000-0005-0000-0000-0000ED010000}"/>
    <cellStyle name="Bold/Border 9 3 3" xfId="16196" xr:uid="{00000000-0005-0000-0000-0000ED010000}"/>
    <cellStyle name="Bold/Border 9 3 3 2" xfId="34568" xr:uid="{00000000-0005-0000-0000-0000ED010000}"/>
    <cellStyle name="Bold/Border 9 3 3 3" xfId="52931" xr:uid="{00000000-0005-0000-0000-0000ED010000}"/>
    <cellStyle name="Bold/Border 9 3 4" xfId="25315" xr:uid="{00000000-0005-0000-0000-0000ED010000}"/>
    <cellStyle name="Bold/Border 9 3 4 2" xfId="43684" xr:uid="{00000000-0005-0000-0000-0000ED010000}"/>
    <cellStyle name="Bold/Border 9 3 5" xfId="21636" xr:uid="{00000000-0005-0000-0000-0000ED010000}"/>
    <cellStyle name="Bold/Border 9 3 6" xfId="40015" xr:uid="{00000000-0005-0000-0000-0000ED010000}"/>
    <cellStyle name="Bold/Border 9 4" xfId="6333" xr:uid="{00000000-0005-0000-0000-0000ED010000}"/>
    <cellStyle name="Bold/Border 9 4 2" xfId="12624" xr:uid="{00000000-0005-0000-0000-0000ED010000}"/>
    <cellStyle name="Bold/Border 9 4 2 2" xfId="31050" xr:uid="{00000000-0005-0000-0000-0000ED010000}"/>
    <cellStyle name="Bold/Border 9 4 2 3" xfId="49413" xr:uid="{00000000-0005-0000-0000-0000ED010000}"/>
    <cellStyle name="Bold/Border 9 4 3" xfId="16935" xr:uid="{00000000-0005-0000-0000-0000ED010000}"/>
    <cellStyle name="Bold/Border 9 4 3 2" xfId="35284" xr:uid="{00000000-0005-0000-0000-0000ED010000}"/>
    <cellStyle name="Bold/Border 9 4 3 3" xfId="53647" xr:uid="{00000000-0005-0000-0000-0000ED010000}"/>
    <cellStyle name="Bold/Border 9 4 4" xfId="26069" xr:uid="{00000000-0005-0000-0000-0000ED010000}"/>
    <cellStyle name="Bold/Border 9 4 4 2" xfId="44438" xr:uid="{00000000-0005-0000-0000-0000ED010000}"/>
    <cellStyle name="Bold/Border 9 4 5" xfId="22362" xr:uid="{00000000-0005-0000-0000-0000ED010000}"/>
    <cellStyle name="Bold/Border 9 4 6" xfId="40731" xr:uid="{00000000-0005-0000-0000-0000ED010000}"/>
    <cellStyle name="Bold/Border 9 5" xfId="9005" xr:uid="{00000000-0005-0000-0000-0000ED010000}"/>
    <cellStyle name="Bold/Border 9 5 2" xfId="27733" xr:uid="{00000000-0005-0000-0000-0000ED010000}"/>
    <cellStyle name="Bold/Border 9 5 3" xfId="46096" xr:uid="{00000000-0005-0000-0000-0000ED010000}"/>
    <cellStyle name="Bold/Border 9 6" xfId="6944" xr:uid="{00000000-0005-0000-0000-0000ED010000}"/>
    <cellStyle name="Bold/Border 9 6 2" xfId="26676" xr:uid="{00000000-0005-0000-0000-0000ED010000}"/>
    <cellStyle name="Bold/Border 9 6 3" xfId="45045" xr:uid="{00000000-0005-0000-0000-0000ED010000}"/>
    <cellStyle name="Bold/Border 9 7" xfId="23242" xr:uid="{00000000-0005-0000-0000-0000ED010000}"/>
    <cellStyle name="Bold/Border 9 7 2" xfId="41611" xr:uid="{00000000-0005-0000-0000-0000ED010000}"/>
    <cellStyle name="Bold/Border 9 8" xfId="17832" xr:uid="{00000000-0005-0000-0000-0000ED010000}"/>
    <cellStyle name="Bold/Border 9 9" xfId="36244" xr:uid="{00000000-0005-0000-0000-0000ED010000}"/>
    <cellStyle name="Bold/Border_Summary" xfId="2345" xr:uid="{00000000-0005-0000-0000-0000EE010000}"/>
    <cellStyle name="Border" xfId="278" xr:uid="{00000000-0005-0000-0000-0000EF010000}"/>
    <cellStyle name="Border 10" xfId="11704" xr:uid="{00000000-0005-0000-0000-0000EF010000}"/>
    <cellStyle name="Border 2" xfId="1121" xr:uid="{00000000-0005-0000-0000-0000F0010000}"/>
    <cellStyle name="Border 2 2" xfId="4221" xr:uid="{00000000-0005-0000-0000-0000F0010000}"/>
    <cellStyle name="Border 2 2 2" xfId="14966" xr:uid="{00000000-0005-0000-0000-0000F0010000}"/>
    <cellStyle name="Border 2 2 2 2" xfId="33370" xr:uid="{00000000-0005-0000-0000-0000F0010000}"/>
    <cellStyle name="Border 2 2 2 3" xfId="51733" xr:uid="{00000000-0005-0000-0000-0000F0010000}"/>
    <cellStyle name="Border 2 2 3" xfId="24099" xr:uid="{00000000-0005-0000-0000-0000F0010000}"/>
    <cellStyle name="Border 2 2 3 2" xfId="42468" xr:uid="{00000000-0005-0000-0000-0000F0010000}"/>
    <cellStyle name="Border 2 2 4" xfId="20419" xr:uid="{00000000-0005-0000-0000-0000F0010000}"/>
    <cellStyle name="Border 2 2 5" xfId="38817" xr:uid="{00000000-0005-0000-0000-0000F0010000}"/>
    <cellStyle name="Border 2 3" xfId="7520" xr:uid="{00000000-0005-0000-0000-0000F0010000}"/>
    <cellStyle name="Border 2 3 2" xfId="8743" xr:uid="{00000000-0005-0000-0000-0000F0010000}"/>
    <cellStyle name="Border 2 4" xfId="8939" xr:uid="{00000000-0005-0000-0000-0000F0010000}"/>
    <cellStyle name="Border 2 5" xfId="4145" xr:uid="{00000000-0005-0000-0000-0000F0010000}"/>
    <cellStyle name="Border 3" xfId="1868" xr:uid="{00000000-0005-0000-0000-0000F1010000}"/>
    <cellStyle name="Border 3 2" xfId="4792" xr:uid="{00000000-0005-0000-0000-0000F1010000}"/>
    <cellStyle name="Border 3 2 2" xfId="15518" xr:uid="{00000000-0005-0000-0000-0000F1010000}"/>
    <cellStyle name="Border 3 2 2 2" xfId="33911" xr:uid="{00000000-0005-0000-0000-0000F1010000}"/>
    <cellStyle name="Border 3 2 2 3" xfId="52274" xr:uid="{00000000-0005-0000-0000-0000F1010000}"/>
    <cellStyle name="Border 3 2 3" xfId="24642" xr:uid="{00000000-0005-0000-0000-0000F1010000}"/>
    <cellStyle name="Border 3 2 3 2" xfId="43011" xr:uid="{00000000-0005-0000-0000-0000F1010000}"/>
    <cellStyle name="Border 3 2 4" xfId="20969" xr:uid="{00000000-0005-0000-0000-0000F1010000}"/>
    <cellStyle name="Border 3 2 5" xfId="39358" xr:uid="{00000000-0005-0000-0000-0000F1010000}"/>
    <cellStyle name="Border 3 3" xfId="19194" xr:uid="{00000000-0005-0000-0000-0000F1010000}"/>
    <cellStyle name="Border 3 3 2" xfId="37601" xr:uid="{00000000-0005-0000-0000-0000F1010000}"/>
    <cellStyle name="Border 3 4" xfId="10899" xr:uid="{00000000-0005-0000-0000-0000F1010000}"/>
    <cellStyle name="Border 3 5" xfId="12510" xr:uid="{00000000-0005-0000-0000-0000F1010000}"/>
    <cellStyle name="Border 4" xfId="3037" xr:uid="{00000000-0005-0000-0000-0000F2010000}"/>
    <cellStyle name="Border 4 2" xfId="5289" xr:uid="{00000000-0005-0000-0000-0000F2010000}"/>
    <cellStyle name="Border 4 2 2" xfId="15981" xr:uid="{00000000-0005-0000-0000-0000F2010000}"/>
    <cellStyle name="Border 4 2 2 2" xfId="34355" xr:uid="{00000000-0005-0000-0000-0000F2010000}"/>
    <cellStyle name="Border 4 2 2 3" xfId="52718" xr:uid="{00000000-0005-0000-0000-0000F2010000}"/>
    <cellStyle name="Border 4 2 3" xfId="25102" xr:uid="{00000000-0005-0000-0000-0000F2010000}"/>
    <cellStyle name="Border 4 2 3 2" xfId="43471" xr:uid="{00000000-0005-0000-0000-0000F2010000}"/>
    <cellStyle name="Border 4 2 4" xfId="21423" xr:uid="{00000000-0005-0000-0000-0000F2010000}"/>
    <cellStyle name="Border 4 2 5" xfId="39802" xr:uid="{00000000-0005-0000-0000-0000F2010000}"/>
    <cellStyle name="Border 4 3" xfId="23039" xr:uid="{00000000-0005-0000-0000-0000F2010000}"/>
    <cellStyle name="Border 4 3 2" xfId="41408" xr:uid="{00000000-0005-0000-0000-0000F2010000}"/>
    <cellStyle name="Border 4 4" xfId="17599" xr:uid="{00000000-0005-0000-0000-0000F2010000}"/>
    <cellStyle name="Border 4 5" xfId="36041" xr:uid="{00000000-0005-0000-0000-0000F2010000}"/>
    <cellStyle name="Border 5" xfId="2988" xr:uid="{00000000-0005-0000-0000-0000F3010000}"/>
    <cellStyle name="Border 5 2" xfId="5250" xr:uid="{00000000-0005-0000-0000-0000F3010000}"/>
    <cellStyle name="Border 5 2 2" xfId="15942" xr:uid="{00000000-0005-0000-0000-0000F3010000}"/>
    <cellStyle name="Border 5 2 2 2" xfId="34316" xr:uid="{00000000-0005-0000-0000-0000F3010000}"/>
    <cellStyle name="Border 5 2 2 3" xfId="52679" xr:uid="{00000000-0005-0000-0000-0000F3010000}"/>
    <cellStyle name="Border 5 2 3" xfId="25063" xr:uid="{00000000-0005-0000-0000-0000F3010000}"/>
    <cellStyle name="Border 5 2 3 2" xfId="43432" xr:uid="{00000000-0005-0000-0000-0000F3010000}"/>
    <cellStyle name="Border 5 2 4" xfId="21384" xr:uid="{00000000-0005-0000-0000-0000F3010000}"/>
    <cellStyle name="Border 5 2 5" xfId="39763" xr:uid="{00000000-0005-0000-0000-0000F3010000}"/>
    <cellStyle name="Border 5 3" xfId="23003" xr:uid="{00000000-0005-0000-0000-0000F3010000}"/>
    <cellStyle name="Border 5 3 2" xfId="41372" xr:uid="{00000000-0005-0000-0000-0000F3010000}"/>
    <cellStyle name="Border 5 4" xfId="17562" xr:uid="{00000000-0005-0000-0000-0000F3010000}"/>
    <cellStyle name="Border 5 5" xfId="36005" xr:uid="{00000000-0005-0000-0000-0000F3010000}"/>
    <cellStyle name="Border 6" xfId="3287" xr:uid="{00000000-0005-0000-0000-0000F4010000}"/>
    <cellStyle name="Border 6 2" xfId="5479" xr:uid="{00000000-0005-0000-0000-0000F4010000}"/>
    <cellStyle name="Border 6 2 2" xfId="16170" xr:uid="{00000000-0005-0000-0000-0000F4010000}"/>
    <cellStyle name="Border 6 2 2 2" xfId="34542" xr:uid="{00000000-0005-0000-0000-0000F4010000}"/>
    <cellStyle name="Border 6 2 2 3" xfId="52905" xr:uid="{00000000-0005-0000-0000-0000F4010000}"/>
    <cellStyle name="Border 6 2 3" xfId="25289" xr:uid="{00000000-0005-0000-0000-0000F4010000}"/>
    <cellStyle name="Border 6 2 3 2" xfId="43658" xr:uid="{00000000-0005-0000-0000-0000F4010000}"/>
    <cellStyle name="Border 6 2 4" xfId="21610" xr:uid="{00000000-0005-0000-0000-0000F4010000}"/>
    <cellStyle name="Border 6 2 5" xfId="39989" xr:uid="{00000000-0005-0000-0000-0000F4010000}"/>
    <cellStyle name="Border 6 3" xfId="23217" xr:uid="{00000000-0005-0000-0000-0000F4010000}"/>
    <cellStyle name="Border 6 3 2" xfId="41586" xr:uid="{00000000-0005-0000-0000-0000F4010000}"/>
    <cellStyle name="Border 6 4" xfId="17803" xr:uid="{00000000-0005-0000-0000-0000F4010000}"/>
    <cellStyle name="Border 6 5" xfId="36219" xr:uid="{00000000-0005-0000-0000-0000F4010000}"/>
    <cellStyle name="Border 7" xfId="3932" xr:uid="{00000000-0005-0000-0000-0000EF010000}"/>
    <cellStyle name="Border 7 2" xfId="14697" xr:uid="{00000000-0005-0000-0000-0000EF010000}"/>
    <cellStyle name="Border 7 2 2" xfId="33109" xr:uid="{00000000-0005-0000-0000-0000EF010000}"/>
    <cellStyle name="Border 7 2 3" xfId="51472" xr:uid="{00000000-0005-0000-0000-0000EF010000}"/>
    <cellStyle name="Border 7 3" xfId="23833" xr:uid="{00000000-0005-0000-0000-0000EF010000}"/>
    <cellStyle name="Border 7 3 2" xfId="42202" xr:uid="{00000000-0005-0000-0000-0000EF010000}"/>
    <cellStyle name="Border 7 4" xfId="20151" xr:uid="{00000000-0005-0000-0000-0000EF010000}"/>
    <cellStyle name="Border 7 5" xfId="38556" xr:uid="{00000000-0005-0000-0000-0000EF010000}"/>
    <cellStyle name="Border 8" xfId="18993" xr:uid="{00000000-0005-0000-0000-0000EF010000}"/>
    <cellStyle name="Border 8 2" xfId="37402" xr:uid="{00000000-0005-0000-0000-0000EF010000}"/>
    <cellStyle name="Border 9" xfId="8968" xr:uid="{00000000-0005-0000-0000-0000EF010000}"/>
    <cellStyle name="Border Heavy" xfId="279" xr:uid="{00000000-0005-0000-0000-0000F5010000}"/>
    <cellStyle name="Border Heavy 2" xfId="2001" xr:uid="{00000000-0005-0000-0000-0000F6010000}"/>
    <cellStyle name="Border Heavy 3" xfId="2454" xr:uid="{00000000-0005-0000-0000-0000F7010000}"/>
    <cellStyle name="Border Thin" xfId="280" xr:uid="{00000000-0005-0000-0000-0000F8010000}"/>
    <cellStyle name="Border Thin 2" xfId="1040" xr:uid="{00000000-0005-0000-0000-0000F9010000}"/>
    <cellStyle name="Border Thin 2 2" xfId="1312" xr:uid="{00000000-0005-0000-0000-0000FA010000}"/>
    <cellStyle name="Border Thin 2 2 2" xfId="3383" xr:uid="{00000000-0005-0000-0000-0000FA010000}"/>
    <cellStyle name="Border Thin 2 2 2 2" xfId="5558" xr:uid="{00000000-0005-0000-0000-0000FA010000}"/>
    <cellStyle name="Border Thin 2 2 2 2 2" xfId="11922" xr:uid="{00000000-0005-0000-0000-0000FA010000}"/>
    <cellStyle name="Border Thin 2 2 2 2 2 2" xfId="30369" xr:uid="{00000000-0005-0000-0000-0000FA010000}"/>
    <cellStyle name="Border Thin 2 2 2 2 2 3" xfId="48732" xr:uid="{00000000-0005-0000-0000-0000FA010000}"/>
    <cellStyle name="Border Thin 2 2 2 2 3" xfId="16248" xr:uid="{00000000-0005-0000-0000-0000FA010000}"/>
    <cellStyle name="Border Thin 2 2 2 2 3 2" xfId="34620" xr:uid="{00000000-0005-0000-0000-0000FA010000}"/>
    <cellStyle name="Border Thin 2 2 2 2 3 3" xfId="52983" xr:uid="{00000000-0005-0000-0000-0000FA010000}"/>
    <cellStyle name="Border Thin 2 2 2 2 4" xfId="25367" xr:uid="{00000000-0005-0000-0000-0000FA010000}"/>
    <cellStyle name="Border Thin 2 2 2 2 4 2" xfId="43736" xr:uid="{00000000-0005-0000-0000-0000FA010000}"/>
    <cellStyle name="Border Thin 2 2 2 2 5" xfId="21688" xr:uid="{00000000-0005-0000-0000-0000FA010000}"/>
    <cellStyle name="Border Thin 2 2 2 2 6" xfId="40067" xr:uid="{00000000-0005-0000-0000-0000FA010000}"/>
    <cellStyle name="Border Thin 2 2 2 3" xfId="6382" xr:uid="{00000000-0005-0000-0000-0000FA010000}"/>
    <cellStyle name="Border Thin 2 2 2 3 2" xfId="12673" xr:uid="{00000000-0005-0000-0000-0000FA010000}"/>
    <cellStyle name="Border Thin 2 2 2 3 2 2" xfId="31099" xr:uid="{00000000-0005-0000-0000-0000FA010000}"/>
    <cellStyle name="Border Thin 2 2 2 3 2 3" xfId="49462" xr:uid="{00000000-0005-0000-0000-0000FA010000}"/>
    <cellStyle name="Border Thin 2 2 2 3 3" xfId="16984" xr:uid="{00000000-0005-0000-0000-0000FA010000}"/>
    <cellStyle name="Border Thin 2 2 2 3 3 2" xfId="35332" xr:uid="{00000000-0005-0000-0000-0000FA010000}"/>
    <cellStyle name="Border Thin 2 2 2 3 3 3" xfId="53695" xr:uid="{00000000-0005-0000-0000-0000FA010000}"/>
    <cellStyle name="Border Thin 2 2 2 3 4" xfId="26117" xr:uid="{00000000-0005-0000-0000-0000FA010000}"/>
    <cellStyle name="Border Thin 2 2 2 3 4 2" xfId="44486" xr:uid="{00000000-0005-0000-0000-0000FA010000}"/>
    <cellStyle name="Border Thin 2 2 2 3 5" xfId="22410" xr:uid="{00000000-0005-0000-0000-0000FA010000}"/>
    <cellStyle name="Border Thin 2 2 2 3 6" xfId="40779" xr:uid="{00000000-0005-0000-0000-0000FA010000}"/>
    <cellStyle name="Border Thin 2 2 2 4" xfId="10096" xr:uid="{00000000-0005-0000-0000-0000FA010000}"/>
    <cellStyle name="Border Thin 2 2 2 4 2" xfId="14153" xr:uid="{00000000-0005-0000-0000-0000FA010000}"/>
    <cellStyle name="Border Thin 2 2 2 4 2 2" xfId="32569" xr:uid="{00000000-0005-0000-0000-0000FA010000}"/>
    <cellStyle name="Border Thin 2 2 2 4 2 3" xfId="50932" xr:uid="{00000000-0005-0000-0000-0000FA010000}"/>
    <cellStyle name="Border Thin 2 2 2 4 3" xfId="28807" xr:uid="{00000000-0005-0000-0000-0000FA010000}"/>
    <cellStyle name="Border Thin 2 2 2 4 3 2" xfId="47170" xr:uid="{00000000-0005-0000-0000-0000FA010000}"/>
    <cellStyle name="Border Thin 2 2 2 4 4" xfId="19610" xr:uid="{00000000-0005-0000-0000-0000FA010000}"/>
    <cellStyle name="Border Thin 2 2 2 4 5" xfId="38016" xr:uid="{00000000-0005-0000-0000-0000FA010000}"/>
    <cellStyle name="Border Thin 2 2 2 5" xfId="9280" xr:uid="{00000000-0005-0000-0000-0000FA010000}"/>
    <cellStyle name="Border Thin 2 2 2 5 2" xfId="27999" xr:uid="{00000000-0005-0000-0000-0000FA010000}"/>
    <cellStyle name="Border Thin 2 2 2 5 3" xfId="46362" xr:uid="{00000000-0005-0000-0000-0000FA010000}"/>
    <cellStyle name="Border Thin 2 2 2 6" xfId="13336" xr:uid="{00000000-0005-0000-0000-0000FA010000}"/>
    <cellStyle name="Border Thin 2 2 2 6 2" xfId="31757" xr:uid="{00000000-0005-0000-0000-0000FA010000}"/>
    <cellStyle name="Border Thin 2 2 2 6 3" xfId="50120" xr:uid="{00000000-0005-0000-0000-0000FA010000}"/>
    <cellStyle name="Border Thin 2 2 2 7" xfId="23291" xr:uid="{00000000-0005-0000-0000-0000FA010000}"/>
    <cellStyle name="Border Thin 2 2 2 7 2" xfId="41660" xr:uid="{00000000-0005-0000-0000-0000FA010000}"/>
    <cellStyle name="Border Thin 2 2 2 8" xfId="18346" xr:uid="{00000000-0005-0000-0000-0000FA010000}"/>
    <cellStyle name="Border Thin 2 2 2 9" xfId="36752" xr:uid="{00000000-0005-0000-0000-0000FA010000}"/>
    <cellStyle name="Border Thin 2 2 3" xfId="4360" xr:uid="{00000000-0005-0000-0000-0000FA010000}"/>
    <cellStyle name="Border Thin 2 2 3 2" xfId="10963" xr:uid="{00000000-0005-0000-0000-0000FA010000}"/>
    <cellStyle name="Border Thin 2 2 3 2 2" xfId="29588" xr:uid="{00000000-0005-0000-0000-0000FA010000}"/>
    <cellStyle name="Border Thin 2 2 3 2 3" xfId="47951" xr:uid="{00000000-0005-0000-0000-0000FA010000}"/>
    <cellStyle name="Border Thin 2 2 3 3" xfId="15099" xr:uid="{00000000-0005-0000-0000-0000FA010000}"/>
    <cellStyle name="Border Thin 2 2 3 3 2" xfId="33499" xr:uid="{00000000-0005-0000-0000-0000FA010000}"/>
    <cellStyle name="Border Thin 2 2 3 3 3" xfId="51862" xr:uid="{00000000-0005-0000-0000-0000FA010000}"/>
    <cellStyle name="Border Thin 2 2 3 4" xfId="24229" xr:uid="{00000000-0005-0000-0000-0000FA010000}"/>
    <cellStyle name="Border Thin 2 2 3 4 2" xfId="42598" xr:uid="{00000000-0005-0000-0000-0000FA010000}"/>
    <cellStyle name="Border Thin 2 2 3 5" xfId="20552" xr:uid="{00000000-0005-0000-0000-0000FA010000}"/>
    <cellStyle name="Border Thin 2 2 3 6" xfId="38946" xr:uid="{00000000-0005-0000-0000-0000FA010000}"/>
    <cellStyle name="Border Thin 2 2 4" xfId="4064" xr:uid="{00000000-0005-0000-0000-0000FA010000}"/>
    <cellStyle name="Border Thin 2 2 4 2" xfId="10764" xr:uid="{00000000-0005-0000-0000-0000FA010000}"/>
    <cellStyle name="Border Thin 2 2 4 2 2" xfId="29467" xr:uid="{00000000-0005-0000-0000-0000FA010000}"/>
    <cellStyle name="Border Thin 2 2 4 2 3" xfId="47830" xr:uid="{00000000-0005-0000-0000-0000FA010000}"/>
    <cellStyle name="Border Thin 2 2 4 3" xfId="14825" xr:uid="{00000000-0005-0000-0000-0000FA010000}"/>
    <cellStyle name="Border Thin 2 2 4 3 2" xfId="33237" xr:uid="{00000000-0005-0000-0000-0000FA010000}"/>
    <cellStyle name="Border Thin 2 2 4 3 3" xfId="51600" xr:uid="{00000000-0005-0000-0000-0000FA010000}"/>
    <cellStyle name="Border Thin 2 2 4 4" xfId="23961" xr:uid="{00000000-0005-0000-0000-0000FA010000}"/>
    <cellStyle name="Border Thin 2 2 4 4 2" xfId="42330" xr:uid="{00000000-0005-0000-0000-0000FA010000}"/>
    <cellStyle name="Border Thin 2 2 4 5" xfId="20281" xr:uid="{00000000-0005-0000-0000-0000FA010000}"/>
    <cellStyle name="Border Thin 2 2 4 6" xfId="38684" xr:uid="{00000000-0005-0000-0000-0000FA010000}"/>
    <cellStyle name="Border Thin 2 2 5" xfId="9413" xr:uid="{00000000-0005-0000-0000-0000FA010000}"/>
    <cellStyle name="Border Thin 2 2 5 2" xfId="13470" xr:uid="{00000000-0005-0000-0000-0000FA010000}"/>
    <cellStyle name="Border Thin 2 2 5 2 2" xfId="31891" xr:uid="{00000000-0005-0000-0000-0000FA010000}"/>
    <cellStyle name="Border Thin 2 2 5 2 3" xfId="50254" xr:uid="{00000000-0005-0000-0000-0000FA010000}"/>
    <cellStyle name="Border Thin 2 2 5 3" xfId="28130" xr:uid="{00000000-0005-0000-0000-0000FA010000}"/>
    <cellStyle name="Border Thin 2 2 5 3 2" xfId="46493" xr:uid="{00000000-0005-0000-0000-0000FA010000}"/>
    <cellStyle name="Border Thin 2 2 5 4" xfId="18494" xr:uid="{00000000-0005-0000-0000-0000FA010000}"/>
    <cellStyle name="Border Thin 2 2 5 5" xfId="36903" xr:uid="{00000000-0005-0000-0000-0000FA010000}"/>
    <cellStyle name="Border Thin 2 2 6" xfId="7619" xr:uid="{00000000-0005-0000-0000-0000FA010000}"/>
    <cellStyle name="Border Thin 2 2 6 2" xfId="26914" xr:uid="{00000000-0005-0000-0000-0000FA010000}"/>
    <cellStyle name="Border Thin 2 2 6 3" xfId="45279" xr:uid="{00000000-0005-0000-0000-0000FA010000}"/>
    <cellStyle name="Border Thin 2 2 7" xfId="7240" xr:uid="{00000000-0005-0000-0000-0000FA010000}"/>
    <cellStyle name="Border Thin 2 2 7 2" xfId="26775" xr:uid="{00000000-0005-0000-0000-0000FA010000}"/>
    <cellStyle name="Border Thin 2 2 7 3" xfId="45143" xr:uid="{00000000-0005-0000-0000-0000FA010000}"/>
    <cellStyle name="Border Thin 2 2 8" xfId="7495" xr:uid="{00000000-0005-0000-0000-0000FA010000}"/>
    <cellStyle name="Border Thin 2 2 9" xfId="8914" xr:uid="{00000000-0005-0000-0000-0000FA010000}"/>
    <cellStyle name="Border Thin 2 3" xfId="1466" xr:uid="{00000000-0005-0000-0000-0000FB010000}"/>
    <cellStyle name="Border Thin 2 3 2" xfId="3482" xr:uid="{00000000-0005-0000-0000-0000FB010000}"/>
    <cellStyle name="Border Thin 2 3 2 2" xfId="5657" xr:uid="{00000000-0005-0000-0000-0000FB010000}"/>
    <cellStyle name="Border Thin 2 3 2 2 2" xfId="12021" xr:uid="{00000000-0005-0000-0000-0000FB010000}"/>
    <cellStyle name="Border Thin 2 3 2 2 2 2" xfId="30468" xr:uid="{00000000-0005-0000-0000-0000FB010000}"/>
    <cellStyle name="Border Thin 2 3 2 2 2 3" xfId="48831" xr:uid="{00000000-0005-0000-0000-0000FB010000}"/>
    <cellStyle name="Border Thin 2 3 2 2 3" xfId="16347" xr:uid="{00000000-0005-0000-0000-0000FB010000}"/>
    <cellStyle name="Border Thin 2 3 2 2 3 2" xfId="34719" xr:uid="{00000000-0005-0000-0000-0000FB010000}"/>
    <cellStyle name="Border Thin 2 3 2 2 3 3" xfId="53082" xr:uid="{00000000-0005-0000-0000-0000FB010000}"/>
    <cellStyle name="Border Thin 2 3 2 2 4" xfId="25466" xr:uid="{00000000-0005-0000-0000-0000FB010000}"/>
    <cellStyle name="Border Thin 2 3 2 2 4 2" xfId="43835" xr:uid="{00000000-0005-0000-0000-0000FB010000}"/>
    <cellStyle name="Border Thin 2 3 2 2 5" xfId="21787" xr:uid="{00000000-0005-0000-0000-0000FB010000}"/>
    <cellStyle name="Border Thin 2 3 2 2 6" xfId="40166" xr:uid="{00000000-0005-0000-0000-0000FB010000}"/>
    <cellStyle name="Border Thin 2 3 2 3" xfId="6481" xr:uid="{00000000-0005-0000-0000-0000FB010000}"/>
    <cellStyle name="Border Thin 2 3 2 3 2" xfId="12772" xr:uid="{00000000-0005-0000-0000-0000FB010000}"/>
    <cellStyle name="Border Thin 2 3 2 3 2 2" xfId="31198" xr:uid="{00000000-0005-0000-0000-0000FB010000}"/>
    <cellStyle name="Border Thin 2 3 2 3 2 3" xfId="49561" xr:uid="{00000000-0005-0000-0000-0000FB010000}"/>
    <cellStyle name="Border Thin 2 3 2 3 3" xfId="17083" xr:uid="{00000000-0005-0000-0000-0000FB010000}"/>
    <cellStyle name="Border Thin 2 3 2 3 3 2" xfId="35431" xr:uid="{00000000-0005-0000-0000-0000FB010000}"/>
    <cellStyle name="Border Thin 2 3 2 3 3 3" xfId="53794" xr:uid="{00000000-0005-0000-0000-0000FB010000}"/>
    <cellStyle name="Border Thin 2 3 2 3 4" xfId="26216" xr:uid="{00000000-0005-0000-0000-0000FB010000}"/>
    <cellStyle name="Border Thin 2 3 2 3 4 2" xfId="44585" xr:uid="{00000000-0005-0000-0000-0000FB010000}"/>
    <cellStyle name="Border Thin 2 3 2 3 5" xfId="22509" xr:uid="{00000000-0005-0000-0000-0000FB010000}"/>
    <cellStyle name="Border Thin 2 3 2 3 6" xfId="40878" xr:uid="{00000000-0005-0000-0000-0000FB010000}"/>
    <cellStyle name="Border Thin 2 3 2 4" xfId="10195" xr:uid="{00000000-0005-0000-0000-0000FB010000}"/>
    <cellStyle name="Border Thin 2 3 2 4 2" xfId="14252" xr:uid="{00000000-0005-0000-0000-0000FB010000}"/>
    <cellStyle name="Border Thin 2 3 2 4 2 2" xfId="32668" xr:uid="{00000000-0005-0000-0000-0000FB010000}"/>
    <cellStyle name="Border Thin 2 3 2 4 2 3" xfId="51031" xr:uid="{00000000-0005-0000-0000-0000FB010000}"/>
    <cellStyle name="Border Thin 2 3 2 4 3" xfId="28906" xr:uid="{00000000-0005-0000-0000-0000FB010000}"/>
    <cellStyle name="Border Thin 2 3 2 4 3 2" xfId="47269" xr:uid="{00000000-0005-0000-0000-0000FB010000}"/>
    <cellStyle name="Border Thin 2 3 2 4 4" xfId="19709" xr:uid="{00000000-0005-0000-0000-0000FB010000}"/>
    <cellStyle name="Border Thin 2 3 2 4 5" xfId="38115" xr:uid="{00000000-0005-0000-0000-0000FB010000}"/>
    <cellStyle name="Border Thin 2 3 2 5" xfId="9388" xr:uid="{00000000-0005-0000-0000-0000FB010000}"/>
    <cellStyle name="Border Thin 2 3 2 5 2" xfId="28107" xr:uid="{00000000-0005-0000-0000-0000FB010000}"/>
    <cellStyle name="Border Thin 2 3 2 5 3" xfId="46470" xr:uid="{00000000-0005-0000-0000-0000FB010000}"/>
    <cellStyle name="Border Thin 2 3 2 6" xfId="13444" xr:uid="{00000000-0005-0000-0000-0000FB010000}"/>
    <cellStyle name="Border Thin 2 3 2 6 2" xfId="31865" xr:uid="{00000000-0005-0000-0000-0000FB010000}"/>
    <cellStyle name="Border Thin 2 3 2 6 3" xfId="50228" xr:uid="{00000000-0005-0000-0000-0000FB010000}"/>
    <cellStyle name="Border Thin 2 3 2 7" xfId="23390" xr:uid="{00000000-0005-0000-0000-0000FB010000}"/>
    <cellStyle name="Border Thin 2 3 2 7 2" xfId="41759" xr:uid="{00000000-0005-0000-0000-0000FB010000}"/>
    <cellStyle name="Border Thin 2 3 2 8" xfId="18471" xr:uid="{00000000-0005-0000-0000-0000FB010000}"/>
    <cellStyle name="Border Thin 2 3 2 9" xfId="36877" xr:uid="{00000000-0005-0000-0000-0000FB010000}"/>
    <cellStyle name="Border Thin 2 3 3" xfId="4481" xr:uid="{00000000-0005-0000-0000-0000FB010000}"/>
    <cellStyle name="Border Thin 2 3 3 2" xfId="11076" xr:uid="{00000000-0005-0000-0000-0000FB010000}"/>
    <cellStyle name="Border Thin 2 3 3 2 2" xfId="29696" xr:uid="{00000000-0005-0000-0000-0000FB010000}"/>
    <cellStyle name="Border Thin 2 3 3 2 3" xfId="48059" xr:uid="{00000000-0005-0000-0000-0000FB010000}"/>
    <cellStyle name="Border Thin 2 3 3 3" xfId="15215" xr:uid="{00000000-0005-0000-0000-0000FB010000}"/>
    <cellStyle name="Border Thin 2 3 3 3 2" xfId="33610" xr:uid="{00000000-0005-0000-0000-0000FB010000}"/>
    <cellStyle name="Border Thin 2 3 3 3 3" xfId="51973" xr:uid="{00000000-0005-0000-0000-0000FB010000}"/>
    <cellStyle name="Border Thin 2 3 3 4" xfId="24341" xr:uid="{00000000-0005-0000-0000-0000FB010000}"/>
    <cellStyle name="Border Thin 2 3 3 4 2" xfId="42710" xr:uid="{00000000-0005-0000-0000-0000FB010000}"/>
    <cellStyle name="Border Thin 2 3 3 5" xfId="20665" xr:uid="{00000000-0005-0000-0000-0000FB010000}"/>
    <cellStyle name="Border Thin 2 3 3 6" xfId="39057" xr:uid="{00000000-0005-0000-0000-0000FB010000}"/>
    <cellStyle name="Border Thin 2 3 4" xfId="4016" xr:uid="{00000000-0005-0000-0000-0000FB010000}"/>
    <cellStyle name="Border Thin 2 3 4 2" xfId="10720" xr:uid="{00000000-0005-0000-0000-0000FB010000}"/>
    <cellStyle name="Border Thin 2 3 4 2 2" xfId="29424" xr:uid="{00000000-0005-0000-0000-0000FB010000}"/>
    <cellStyle name="Border Thin 2 3 4 2 3" xfId="47787" xr:uid="{00000000-0005-0000-0000-0000FB010000}"/>
    <cellStyle name="Border Thin 2 3 4 3" xfId="14777" xr:uid="{00000000-0005-0000-0000-0000FB010000}"/>
    <cellStyle name="Border Thin 2 3 4 3 2" xfId="33189" xr:uid="{00000000-0005-0000-0000-0000FB010000}"/>
    <cellStyle name="Border Thin 2 3 4 3 3" xfId="51552" xr:uid="{00000000-0005-0000-0000-0000FB010000}"/>
    <cellStyle name="Border Thin 2 3 4 4" xfId="23913" xr:uid="{00000000-0005-0000-0000-0000FB010000}"/>
    <cellStyle name="Border Thin 2 3 4 4 2" xfId="42282" xr:uid="{00000000-0005-0000-0000-0000FB010000}"/>
    <cellStyle name="Border Thin 2 3 4 5" xfId="20233" xr:uid="{00000000-0005-0000-0000-0000FB010000}"/>
    <cellStyle name="Border Thin 2 3 4 6" xfId="38636" xr:uid="{00000000-0005-0000-0000-0000FB010000}"/>
    <cellStyle name="Border Thin 2 3 5" xfId="9282" xr:uid="{00000000-0005-0000-0000-0000FB010000}"/>
    <cellStyle name="Border Thin 2 3 5 2" xfId="13338" xr:uid="{00000000-0005-0000-0000-0000FB010000}"/>
    <cellStyle name="Border Thin 2 3 5 2 2" xfId="31759" xr:uid="{00000000-0005-0000-0000-0000FB010000}"/>
    <cellStyle name="Border Thin 2 3 5 2 3" xfId="50122" xr:uid="{00000000-0005-0000-0000-0000FB010000}"/>
    <cellStyle name="Border Thin 2 3 5 3" xfId="28001" xr:uid="{00000000-0005-0000-0000-0000FB010000}"/>
    <cellStyle name="Border Thin 2 3 5 3 2" xfId="46364" xr:uid="{00000000-0005-0000-0000-0000FB010000}"/>
    <cellStyle name="Border Thin 2 3 5 4" xfId="18349" xr:uid="{00000000-0005-0000-0000-0000FB010000}"/>
    <cellStyle name="Border Thin 2 3 5 5" xfId="36755" xr:uid="{00000000-0005-0000-0000-0000FB010000}"/>
    <cellStyle name="Border Thin 2 3 6" xfId="7405" xr:uid="{00000000-0005-0000-0000-0000FB010000}"/>
    <cellStyle name="Border Thin 2 3 6 2" xfId="26798" xr:uid="{00000000-0005-0000-0000-0000FB010000}"/>
    <cellStyle name="Border Thin 2 3 6 3" xfId="45166" xr:uid="{00000000-0005-0000-0000-0000FB010000}"/>
    <cellStyle name="Border Thin 2 3 7" xfId="18313" xr:uid="{00000000-0005-0000-0000-0000FB010000}"/>
    <cellStyle name="Border Thin 2 3 7 2" xfId="36719" xr:uid="{00000000-0005-0000-0000-0000FB010000}"/>
    <cellStyle name="Border Thin 2 3 8" xfId="6970" xr:uid="{00000000-0005-0000-0000-0000FB010000}"/>
    <cellStyle name="Border Thin 2 4" xfId="1902" xr:uid="{00000000-0005-0000-0000-0000FC010000}"/>
    <cellStyle name="Border Thin 2 4 10" xfId="7354" xr:uid="{00000000-0005-0000-0000-0000FC010000}"/>
    <cellStyle name="Border Thin 2 4 2" xfId="3720" xr:uid="{00000000-0005-0000-0000-0000FC010000}"/>
    <cellStyle name="Border Thin 2 4 2 2" xfId="5893" xr:uid="{00000000-0005-0000-0000-0000FC010000}"/>
    <cellStyle name="Border Thin 2 4 2 2 2" xfId="12257" xr:uid="{00000000-0005-0000-0000-0000FC010000}"/>
    <cellStyle name="Border Thin 2 4 2 2 2 2" xfId="30704" xr:uid="{00000000-0005-0000-0000-0000FC010000}"/>
    <cellStyle name="Border Thin 2 4 2 2 2 3" xfId="49067" xr:uid="{00000000-0005-0000-0000-0000FC010000}"/>
    <cellStyle name="Border Thin 2 4 2 2 3" xfId="16583" xr:uid="{00000000-0005-0000-0000-0000FC010000}"/>
    <cellStyle name="Border Thin 2 4 2 2 3 2" xfId="34955" xr:uid="{00000000-0005-0000-0000-0000FC010000}"/>
    <cellStyle name="Border Thin 2 4 2 2 3 3" xfId="53318" xr:uid="{00000000-0005-0000-0000-0000FC010000}"/>
    <cellStyle name="Border Thin 2 4 2 2 4" xfId="25702" xr:uid="{00000000-0005-0000-0000-0000FC010000}"/>
    <cellStyle name="Border Thin 2 4 2 2 4 2" xfId="44071" xr:uid="{00000000-0005-0000-0000-0000FC010000}"/>
    <cellStyle name="Border Thin 2 4 2 2 5" xfId="22023" xr:uid="{00000000-0005-0000-0000-0000FC010000}"/>
    <cellStyle name="Border Thin 2 4 2 2 6" xfId="40402" xr:uid="{00000000-0005-0000-0000-0000FC010000}"/>
    <cellStyle name="Border Thin 2 4 2 3" xfId="6719" xr:uid="{00000000-0005-0000-0000-0000FC010000}"/>
    <cellStyle name="Border Thin 2 4 2 3 2" xfId="13010" xr:uid="{00000000-0005-0000-0000-0000FC010000}"/>
    <cellStyle name="Border Thin 2 4 2 3 2 2" xfId="31436" xr:uid="{00000000-0005-0000-0000-0000FC010000}"/>
    <cellStyle name="Border Thin 2 4 2 3 2 3" xfId="49799" xr:uid="{00000000-0005-0000-0000-0000FC010000}"/>
    <cellStyle name="Border Thin 2 4 2 3 3" xfId="17321" xr:uid="{00000000-0005-0000-0000-0000FC010000}"/>
    <cellStyle name="Border Thin 2 4 2 3 3 2" xfId="35669" xr:uid="{00000000-0005-0000-0000-0000FC010000}"/>
    <cellStyle name="Border Thin 2 4 2 3 3 3" xfId="54032" xr:uid="{00000000-0005-0000-0000-0000FC010000}"/>
    <cellStyle name="Border Thin 2 4 2 3 4" xfId="26454" xr:uid="{00000000-0005-0000-0000-0000FC010000}"/>
    <cellStyle name="Border Thin 2 4 2 3 4 2" xfId="44823" xr:uid="{00000000-0005-0000-0000-0000FC010000}"/>
    <cellStyle name="Border Thin 2 4 2 3 5" xfId="22747" xr:uid="{00000000-0005-0000-0000-0000FC010000}"/>
    <cellStyle name="Border Thin 2 4 2 3 6" xfId="41116" xr:uid="{00000000-0005-0000-0000-0000FC010000}"/>
    <cellStyle name="Border Thin 2 4 2 4" xfId="10433" xr:uid="{00000000-0005-0000-0000-0000FC010000}"/>
    <cellStyle name="Border Thin 2 4 2 4 2" xfId="14490" xr:uid="{00000000-0005-0000-0000-0000FC010000}"/>
    <cellStyle name="Border Thin 2 4 2 4 2 2" xfId="32906" xr:uid="{00000000-0005-0000-0000-0000FC010000}"/>
    <cellStyle name="Border Thin 2 4 2 4 2 3" xfId="51269" xr:uid="{00000000-0005-0000-0000-0000FC010000}"/>
    <cellStyle name="Border Thin 2 4 2 4 3" xfId="29144" xr:uid="{00000000-0005-0000-0000-0000FC010000}"/>
    <cellStyle name="Border Thin 2 4 2 4 3 2" xfId="47507" xr:uid="{00000000-0005-0000-0000-0000FC010000}"/>
    <cellStyle name="Border Thin 2 4 2 4 4" xfId="19947" xr:uid="{00000000-0005-0000-0000-0000FC010000}"/>
    <cellStyle name="Border Thin 2 4 2 4 5" xfId="38353" xr:uid="{00000000-0005-0000-0000-0000FC010000}"/>
    <cellStyle name="Border Thin 2 4 2 5" xfId="9649" xr:uid="{00000000-0005-0000-0000-0000FC010000}"/>
    <cellStyle name="Border Thin 2 4 2 5 2" xfId="28365" xr:uid="{00000000-0005-0000-0000-0000FC010000}"/>
    <cellStyle name="Border Thin 2 4 2 5 3" xfId="46728" xr:uid="{00000000-0005-0000-0000-0000FC010000}"/>
    <cellStyle name="Border Thin 2 4 2 6" xfId="13706" xr:uid="{00000000-0005-0000-0000-0000FC010000}"/>
    <cellStyle name="Border Thin 2 4 2 6 2" xfId="32127" xr:uid="{00000000-0005-0000-0000-0000FC010000}"/>
    <cellStyle name="Border Thin 2 4 2 6 3" xfId="50490" xr:uid="{00000000-0005-0000-0000-0000FC010000}"/>
    <cellStyle name="Border Thin 2 4 2 7" xfId="23628" xr:uid="{00000000-0005-0000-0000-0000FC010000}"/>
    <cellStyle name="Border Thin 2 4 2 7 2" xfId="41997" xr:uid="{00000000-0005-0000-0000-0000FC010000}"/>
    <cellStyle name="Border Thin 2 4 2 8" xfId="18774" xr:uid="{00000000-0005-0000-0000-0000FC010000}"/>
    <cellStyle name="Border Thin 2 4 2 9" xfId="37183" xr:uid="{00000000-0005-0000-0000-0000FC010000}"/>
    <cellStyle name="Border Thin 2 4 3" xfId="4813" xr:uid="{00000000-0005-0000-0000-0000FC010000}"/>
    <cellStyle name="Border Thin 2 4 3 2" xfId="11374" xr:uid="{00000000-0005-0000-0000-0000FC010000}"/>
    <cellStyle name="Border Thin 2 4 3 2 2" xfId="29966" xr:uid="{00000000-0005-0000-0000-0000FC010000}"/>
    <cellStyle name="Border Thin 2 4 3 2 3" xfId="48329" xr:uid="{00000000-0005-0000-0000-0000FC010000}"/>
    <cellStyle name="Border Thin 2 4 3 3" xfId="15539" xr:uid="{00000000-0005-0000-0000-0000FC010000}"/>
    <cellStyle name="Border Thin 2 4 3 3 2" xfId="33932" xr:uid="{00000000-0005-0000-0000-0000FC010000}"/>
    <cellStyle name="Border Thin 2 4 3 3 3" xfId="52295" xr:uid="{00000000-0005-0000-0000-0000FC010000}"/>
    <cellStyle name="Border Thin 2 4 3 4" xfId="24663" xr:uid="{00000000-0005-0000-0000-0000FC010000}"/>
    <cellStyle name="Border Thin 2 4 3 4 2" xfId="43032" xr:uid="{00000000-0005-0000-0000-0000FC010000}"/>
    <cellStyle name="Border Thin 2 4 3 5" xfId="20990" xr:uid="{00000000-0005-0000-0000-0000FC010000}"/>
    <cellStyle name="Border Thin 2 4 3 6" xfId="39379" xr:uid="{00000000-0005-0000-0000-0000FC010000}"/>
    <cellStyle name="Border Thin 2 4 4" xfId="4544" xr:uid="{00000000-0005-0000-0000-0000FC010000}"/>
    <cellStyle name="Border Thin 2 4 4 2" xfId="11135" xr:uid="{00000000-0005-0000-0000-0000FC010000}"/>
    <cellStyle name="Border Thin 2 4 4 2 2" xfId="29753" xr:uid="{00000000-0005-0000-0000-0000FC010000}"/>
    <cellStyle name="Border Thin 2 4 4 2 3" xfId="48116" xr:uid="{00000000-0005-0000-0000-0000FC010000}"/>
    <cellStyle name="Border Thin 2 4 4 3" xfId="15273" xr:uid="{00000000-0005-0000-0000-0000FC010000}"/>
    <cellStyle name="Border Thin 2 4 4 3 2" xfId="33667" xr:uid="{00000000-0005-0000-0000-0000FC010000}"/>
    <cellStyle name="Border Thin 2 4 4 3 3" xfId="52030" xr:uid="{00000000-0005-0000-0000-0000FC010000}"/>
    <cellStyle name="Border Thin 2 4 4 4" xfId="24398" xr:uid="{00000000-0005-0000-0000-0000FC010000}"/>
    <cellStyle name="Border Thin 2 4 4 4 2" xfId="42767" xr:uid="{00000000-0005-0000-0000-0000FC010000}"/>
    <cellStyle name="Border Thin 2 4 4 5" xfId="20722" xr:uid="{00000000-0005-0000-0000-0000FC010000}"/>
    <cellStyle name="Border Thin 2 4 4 6" xfId="39114" xr:uid="{00000000-0005-0000-0000-0000FC010000}"/>
    <cellStyle name="Border Thin 2 4 5" xfId="9183" xr:uid="{00000000-0005-0000-0000-0000FC010000}"/>
    <cellStyle name="Border Thin 2 4 5 2" xfId="13241" xr:uid="{00000000-0005-0000-0000-0000FC010000}"/>
    <cellStyle name="Border Thin 2 4 5 2 2" xfId="31662" xr:uid="{00000000-0005-0000-0000-0000FC010000}"/>
    <cellStyle name="Border Thin 2 4 5 2 3" xfId="50025" xr:uid="{00000000-0005-0000-0000-0000FC010000}"/>
    <cellStyle name="Border Thin 2 4 5 3" xfId="27904" xr:uid="{00000000-0005-0000-0000-0000FC010000}"/>
    <cellStyle name="Border Thin 2 4 5 3 2" xfId="46267" xr:uid="{00000000-0005-0000-0000-0000FC010000}"/>
    <cellStyle name="Border Thin 2 4 5 4" xfId="18198" xr:uid="{00000000-0005-0000-0000-0000FC010000}"/>
    <cellStyle name="Border Thin 2 4 5 5" xfId="36604" xr:uid="{00000000-0005-0000-0000-0000FC010000}"/>
    <cellStyle name="Border Thin 2 4 6" xfId="8101" xr:uid="{00000000-0005-0000-0000-0000FC010000}"/>
    <cellStyle name="Border Thin 2 4 6 2" xfId="27306" xr:uid="{00000000-0005-0000-0000-0000FC010000}"/>
    <cellStyle name="Border Thin 2 4 6 3" xfId="45671" xr:uid="{00000000-0005-0000-0000-0000FC010000}"/>
    <cellStyle name="Border Thin 2 4 7" xfId="7557" xr:uid="{00000000-0005-0000-0000-0000FC010000}"/>
    <cellStyle name="Border Thin 2 4 7 2" xfId="26872" xr:uid="{00000000-0005-0000-0000-0000FC010000}"/>
    <cellStyle name="Border Thin 2 4 7 3" xfId="45237" xr:uid="{00000000-0005-0000-0000-0000FC010000}"/>
    <cellStyle name="Border Thin 2 4 8" xfId="18906" xr:uid="{00000000-0005-0000-0000-0000FC010000}"/>
    <cellStyle name="Border Thin 2 4 8 2" xfId="37315" xr:uid="{00000000-0005-0000-0000-0000FC010000}"/>
    <cellStyle name="Border Thin 2 4 9" xfId="8232" xr:uid="{00000000-0005-0000-0000-0000FC010000}"/>
    <cellStyle name="Border Thin 2 5" xfId="2317" xr:uid="{00000000-0005-0000-0000-0000FD010000}"/>
    <cellStyle name="Border Thin 2 5 10" xfId="8872" xr:uid="{00000000-0005-0000-0000-0000FD010000}"/>
    <cellStyle name="Border Thin 2 5 2" xfId="3765" xr:uid="{00000000-0005-0000-0000-0000FD010000}"/>
    <cellStyle name="Border Thin 2 5 2 2" xfId="5938" xr:uid="{00000000-0005-0000-0000-0000FD010000}"/>
    <cellStyle name="Border Thin 2 5 2 2 2" xfId="12302" xr:uid="{00000000-0005-0000-0000-0000FD010000}"/>
    <cellStyle name="Border Thin 2 5 2 2 2 2" xfId="30749" xr:uid="{00000000-0005-0000-0000-0000FD010000}"/>
    <cellStyle name="Border Thin 2 5 2 2 2 3" xfId="49112" xr:uid="{00000000-0005-0000-0000-0000FD010000}"/>
    <cellStyle name="Border Thin 2 5 2 2 3" xfId="16628" xr:uid="{00000000-0005-0000-0000-0000FD010000}"/>
    <cellStyle name="Border Thin 2 5 2 2 3 2" xfId="35000" xr:uid="{00000000-0005-0000-0000-0000FD010000}"/>
    <cellStyle name="Border Thin 2 5 2 2 3 3" xfId="53363" xr:uid="{00000000-0005-0000-0000-0000FD010000}"/>
    <cellStyle name="Border Thin 2 5 2 2 4" xfId="25747" xr:uid="{00000000-0005-0000-0000-0000FD010000}"/>
    <cellStyle name="Border Thin 2 5 2 2 4 2" xfId="44116" xr:uid="{00000000-0005-0000-0000-0000FD010000}"/>
    <cellStyle name="Border Thin 2 5 2 2 5" xfId="22068" xr:uid="{00000000-0005-0000-0000-0000FD010000}"/>
    <cellStyle name="Border Thin 2 5 2 2 6" xfId="40447" xr:uid="{00000000-0005-0000-0000-0000FD010000}"/>
    <cellStyle name="Border Thin 2 5 2 3" xfId="6764" xr:uid="{00000000-0005-0000-0000-0000FD010000}"/>
    <cellStyle name="Border Thin 2 5 2 3 2" xfId="13055" xr:uid="{00000000-0005-0000-0000-0000FD010000}"/>
    <cellStyle name="Border Thin 2 5 2 3 2 2" xfId="31481" xr:uid="{00000000-0005-0000-0000-0000FD010000}"/>
    <cellStyle name="Border Thin 2 5 2 3 2 3" xfId="49844" xr:uid="{00000000-0005-0000-0000-0000FD010000}"/>
    <cellStyle name="Border Thin 2 5 2 3 3" xfId="17366" xr:uid="{00000000-0005-0000-0000-0000FD010000}"/>
    <cellStyle name="Border Thin 2 5 2 3 3 2" xfId="35714" xr:uid="{00000000-0005-0000-0000-0000FD010000}"/>
    <cellStyle name="Border Thin 2 5 2 3 3 3" xfId="54077" xr:uid="{00000000-0005-0000-0000-0000FD010000}"/>
    <cellStyle name="Border Thin 2 5 2 3 4" xfId="26499" xr:uid="{00000000-0005-0000-0000-0000FD010000}"/>
    <cellStyle name="Border Thin 2 5 2 3 4 2" xfId="44868" xr:uid="{00000000-0005-0000-0000-0000FD010000}"/>
    <cellStyle name="Border Thin 2 5 2 3 5" xfId="22792" xr:uid="{00000000-0005-0000-0000-0000FD010000}"/>
    <cellStyle name="Border Thin 2 5 2 3 6" xfId="41161" xr:uid="{00000000-0005-0000-0000-0000FD010000}"/>
    <cellStyle name="Border Thin 2 5 2 4" xfId="10478" xr:uid="{00000000-0005-0000-0000-0000FD010000}"/>
    <cellStyle name="Border Thin 2 5 2 4 2" xfId="14535" xr:uid="{00000000-0005-0000-0000-0000FD010000}"/>
    <cellStyle name="Border Thin 2 5 2 4 2 2" xfId="32951" xr:uid="{00000000-0005-0000-0000-0000FD010000}"/>
    <cellStyle name="Border Thin 2 5 2 4 2 3" xfId="51314" xr:uid="{00000000-0005-0000-0000-0000FD010000}"/>
    <cellStyle name="Border Thin 2 5 2 4 3" xfId="29189" xr:uid="{00000000-0005-0000-0000-0000FD010000}"/>
    <cellStyle name="Border Thin 2 5 2 4 3 2" xfId="47552" xr:uid="{00000000-0005-0000-0000-0000FD010000}"/>
    <cellStyle name="Border Thin 2 5 2 4 4" xfId="19992" xr:uid="{00000000-0005-0000-0000-0000FD010000}"/>
    <cellStyle name="Border Thin 2 5 2 4 5" xfId="38398" xr:uid="{00000000-0005-0000-0000-0000FD010000}"/>
    <cellStyle name="Border Thin 2 5 2 5" xfId="9749" xr:uid="{00000000-0005-0000-0000-0000FD010000}"/>
    <cellStyle name="Border Thin 2 5 2 5 2" xfId="28464" xr:uid="{00000000-0005-0000-0000-0000FD010000}"/>
    <cellStyle name="Border Thin 2 5 2 5 3" xfId="46827" xr:uid="{00000000-0005-0000-0000-0000FD010000}"/>
    <cellStyle name="Border Thin 2 5 2 6" xfId="13806" xr:uid="{00000000-0005-0000-0000-0000FD010000}"/>
    <cellStyle name="Border Thin 2 5 2 6 2" xfId="32226" xr:uid="{00000000-0005-0000-0000-0000FD010000}"/>
    <cellStyle name="Border Thin 2 5 2 6 3" xfId="50589" xr:uid="{00000000-0005-0000-0000-0000FD010000}"/>
    <cellStyle name="Border Thin 2 5 2 7" xfId="23673" xr:uid="{00000000-0005-0000-0000-0000FD010000}"/>
    <cellStyle name="Border Thin 2 5 2 7 2" xfId="42042" xr:uid="{00000000-0005-0000-0000-0000FD010000}"/>
    <cellStyle name="Border Thin 2 5 2 8" xfId="18931" xr:uid="{00000000-0005-0000-0000-0000FD010000}"/>
    <cellStyle name="Border Thin 2 5 2 9" xfId="37340" xr:uid="{00000000-0005-0000-0000-0000FD010000}"/>
    <cellStyle name="Border Thin 2 5 3" xfId="4965" xr:uid="{00000000-0005-0000-0000-0000FD010000}"/>
    <cellStyle name="Border Thin 2 5 3 2" xfId="11495" xr:uid="{00000000-0005-0000-0000-0000FD010000}"/>
    <cellStyle name="Border Thin 2 5 3 2 2" xfId="30068" xr:uid="{00000000-0005-0000-0000-0000FD010000}"/>
    <cellStyle name="Border Thin 2 5 3 2 3" xfId="48431" xr:uid="{00000000-0005-0000-0000-0000FD010000}"/>
    <cellStyle name="Border Thin 2 5 3 3" xfId="15681" xr:uid="{00000000-0005-0000-0000-0000FD010000}"/>
    <cellStyle name="Border Thin 2 5 3 3 2" xfId="34070" xr:uid="{00000000-0005-0000-0000-0000FD010000}"/>
    <cellStyle name="Border Thin 2 5 3 3 3" xfId="52433" xr:uid="{00000000-0005-0000-0000-0000FD010000}"/>
    <cellStyle name="Border Thin 2 5 3 4" xfId="24805" xr:uid="{00000000-0005-0000-0000-0000FD010000}"/>
    <cellStyle name="Border Thin 2 5 3 4 2" xfId="43174" xr:uid="{00000000-0005-0000-0000-0000FD010000}"/>
    <cellStyle name="Border Thin 2 5 3 5" xfId="21130" xr:uid="{00000000-0005-0000-0000-0000FD010000}"/>
    <cellStyle name="Border Thin 2 5 3 6" xfId="39517" xr:uid="{00000000-0005-0000-0000-0000FD010000}"/>
    <cellStyle name="Border Thin 2 5 4" xfId="6105" xr:uid="{00000000-0005-0000-0000-0000FD010000}"/>
    <cellStyle name="Border Thin 2 5 4 2" xfId="12459" xr:uid="{00000000-0005-0000-0000-0000FD010000}"/>
    <cellStyle name="Border Thin 2 5 4 2 2" xfId="30899" xr:uid="{00000000-0005-0000-0000-0000FD010000}"/>
    <cellStyle name="Border Thin 2 5 4 2 3" xfId="49262" xr:uid="{00000000-0005-0000-0000-0000FD010000}"/>
    <cellStyle name="Border Thin 2 5 4 3" xfId="16778" xr:uid="{00000000-0005-0000-0000-0000FD010000}"/>
    <cellStyle name="Border Thin 2 5 4 3 2" xfId="35147" xr:uid="{00000000-0005-0000-0000-0000FD010000}"/>
    <cellStyle name="Border Thin 2 5 4 3 3" xfId="53510" xr:uid="{00000000-0005-0000-0000-0000FD010000}"/>
    <cellStyle name="Border Thin 2 5 4 4" xfId="25901" xr:uid="{00000000-0005-0000-0000-0000FD010000}"/>
    <cellStyle name="Border Thin 2 5 4 4 2" xfId="44270" xr:uid="{00000000-0005-0000-0000-0000FD010000}"/>
    <cellStyle name="Border Thin 2 5 4 5" xfId="22217" xr:uid="{00000000-0005-0000-0000-0000FD010000}"/>
    <cellStyle name="Border Thin 2 5 4 6" xfId="40594" xr:uid="{00000000-0005-0000-0000-0000FD010000}"/>
    <cellStyle name="Border Thin 2 5 5" xfId="9451" xr:uid="{00000000-0005-0000-0000-0000FD010000}"/>
    <cellStyle name="Border Thin 2 5 5 2" xfId="13508" xr:uid="{00000000-0005-0000-0000-0000FD010000}"/>
    <cellStyle name="Border Thin 2 5 5 2 2" xfId="31929" xr:uid="{00000000-0005-0000-0000-0000FD010000}"/>
    <cellStyle name="Border Thin 2 5 5 2 3" xfId="50292" xr:uid="{00000000-0005-0000-0000-0000FD010000}"/>
    <cellStyle name="Border Thin 2 5 5 3" xfId="28168" xr:uid="{00000000-0005-0000-0000-0000FD010000}"/>
    <cellStyle name="Border Thin 2 5 5 3 2" xfId="46531" xr:uid="{00000000-0005-0000-0000-0000FD010000}"/>
    <cellStyle name="Border Thin 2 5 5 4" xfId="18539" xr:uid="{00000000-0005-0000-0000-0000FD010000}"/>
    <cellStyle name="Border Thin 2 5 5 5" xfId="36948" xr:uid="{00000000-0005-0000-0000-0000FD010000}"/>
    <cellStyle name="Border Thin 2 5 6" xfId="8358" xr:uid="{00000000-0005-0000-0000-0000FD010000}"/>
    <cellStyle name="Border Thin 2 5 6 2" xfId="27425" xr:uid="{00000000-0005-0000-0000-0000FD010000}"/>
    <cellStyle name="Border Thin 2 5 6 3" xfId="45789" xr:uid="{00000000-0005-0000-0000-0000FD010000}"/>
    <cellStyle name="Border Thin 2 5 7" xfId="8807" xr:uid="{00000000-0005-0000-0000-0000FD010000}"/>
    <cellStyle name="Border Thin 2 5 7 2" xfId="27639" xr:uid="{00000000-0005-0000-0000-0000FD010000}"/>
    <cellStyle name="Border Thin 2 5 7 3" xfId="46002" xr:uid="{00000000-0005-0000-0000-0000FD010000}"/>
    <cellStyle name="Border Thin 2 5 8" xfId="18056" xr:uid="{00000000-0005-0000-0000-0000FD010000}"/>
    <cellStyle name="Border Thin 2 5 8 2" xfId="36463" xr:uid="{00000000-0005-0000-0000-0000FD010000}"/>
    <cellStyle name="Border Thin 2 5 9" xfId="7009" xr:uid="{00000000-0005-0000-0000-0000FD010000}"/>
    <cellStyle name="Border Thin 2 6" xfId="2767" xr:uid="{00000000-0005-0000-0000-0000FE010000}"/>
    <cellStyle name="Border Thin 2 6 10" xfId="35910" xr:uid="{00000000-0005-0000-0000-0000FE010000}"/>
    <cellStyle name="Border Thin 2 6 2" xfId="3808" xr:uid="{00000000-0005-0000-0000-0000FE010000}"/>
    <cellStyle name="Border Thin 2 6 2 2" xfId="5981" xr:uid="{00000000-0005-0000-0000-0000FE010000}"/>
    <cellStyle name="Border Thin 2 6 2 2 2" xfId="12345" xr:uid="{00000000-0005-0000-0000-0000FE010000}"/>
    <cellStyle name="Border Thin 2 6 2 2 2 2" xfId="30792" xr:uid="{00000000-0005-0000-0000-0000FE010000}"/>
    <cellStyle name="Border Thin 2 6 2 2 2 3" xfId="49155" xr:uid="{00000000-0005-0000-0000-0000FE010000}"/>
    <cellStyle name="Border Thin 2 6 2 2 3" xfId="16671" xr:uid="{00000000-0005-0000-0000-0000FE010000}"/>
    <cellStyle name="Border Thin 2 6 2 2 3 2" xfId="35043" xr:uid="{00000000-0005-0000-0000-0000FE010000}"/>
    <cellStyle name="Border Thin 2 6 2 2 3 3" xfId="53406" xr:uid="{00000000-0005-0000-0000-0000FE010000}"/>
    <cellStyle name="Border Thin 2 6 2 2 4" xfId="25790" xr:uid="{00000000-0005-0000-0000-0000FE010000}"/>
    <cellStyle name="Border Thin 2 6 2 2 4 2" xfId="44159" xr:uid="{00000000-0005-0000-0000-0000FE010000}"/>
    <cellStyle name="Border Thin 2 6 2 2 5" xfId="22111" xr:uid="{00000000-0005-0000-0000-0000FE010000}"/>
    <cellStyle name="Border Thin 2 6 2 2 6" xfId="40490" xr:uid="{00000000-0005-0000-0000-0000FE010000}"/>
    <cellStyle name="Border Thin 2 6 2 3" xfId="6807" xr:uid="{00000000-0005-0000-0000-0000FE010000}"/>
    <cellStyle name="Border Thin 2 6 2 3 2" xfId="13098" xr:uid="{00000000-0005-0000-0000-0000FE010000}"/>
    <cellStyle name="Border Thin 2 6 2 3 2 2" xfId="31524" xr:uid="{00000000-0005-0000-0000-0000FE010000}"/>
    <cellStyle name="Border Thin 2 6 2 3 2 3" xfId="49887" xr:uid="{00000000-0005-0000-0000-0000FE010000}"/>
    <cellStyle name="Border Thin 2 6 2 3 3" xfId="17409" xr:uid="{00000000-0005-0000-0000-0000FE010000}"/>
    <cellStyle name="Border Thin 2 6 2 3 3 2" xfId="35757" xr:uid="{00000000-0005-0000-0000-0000FE010000}"/>
    <cellStyle name="Border Thin 2 6 2 3 3 3" xfId="54120" xr:uid="{00000000-0005-0000-0000-0000FE010000}"/>
    <cellStyle name="Border Thin 2 6 2 3 4" xfId="26542" xr:uid="{00000000-0005-0000-0000-0000FE010000}"/>
    <cellStyle name="Border Thin 2 6 2 3 4 2" xfId="44911" xr:uid="{00000000-0005-0000-0000-0000FE010000}"/>
    <cellStyle name="Border Thin 2 6 2 3 5" xfId="22835" xr:uid="{00000000-0005-0000-0000-0000FE010000}"/>
    <cellStyle name="Border Thin 2 6 2 3 6" xfId="41204" xr:uid="{00000000-0005-0000-0000-0000FE010000}"/>
    <cellStyle name="Border Thin 2 6 2 4" xfId="10521" xr:uid="{00000000-0005-0000-0000-0000FE010000}"/>
    <cellStyle name="Border Thin 2 6 2 4 2" xfId="14578" xr:uid="{00000000-0005-0000-0000-0000FE010000}"/>
    <cellStyle name="Border Thin 2 6 2 4 2 2" xfId="32994" xr:uid="{00000000-0005-0000-0000-0000FE010000}"/>
    <cellStyle name="Border Thin 2 6 2 4 2 3" xfId="51357" xr:uid="{00000000-0005-0000-0000-0000FE010000}"/>
    <cellStyle name="Border Thin 2 6 2 4 3" xfId="29232" xr:uid="{00000000-0005-0000-0000-0000FE010000}"/>
    <cellStyle name="Border Thin 2 6 2 4 3 2" xfId="47595" xr:uid="{00000000-0005-0000-0000-0000FE010000}"/>
    <cellStyle name="Border Thin 2 6 2 4 4" xfId="20035" xr:uid="{00000000-0005-0000-0000-0000FE010000}"/>
    <cellStyle name="Border Thin 2 6 2 4 5" xfId="38441" xr:uid="{00000000-0005-0000-0000-0000FE010000}"/>
    <cellStyle name="Border Thin 2 6 2 5" xfId="9852" xr:uid="{00000000-0005-0000-0000-0000FE010000}"/>
    <cellStyle name="Border Thin 2 6 2 5 2" xfId="28566" xr:uid="{00000000-0005-0000-0000-0000FE010000}"/>
    <cellStyle name="Border Thin 2 6 2 5 3" xfId="46929" xr:uid="{00000000-0005-0000-0000-0000FE010000}"/>
    <cellStyle name="Border Thin 2 6 2 6" xfId="13910" xr:uid="{00000000-0005-0000-0000-0000FE010000}"/>
    <cellStyle name="Border Thin 2 6 2 6 2" xfId="32328" xr:uid="{00000000-0005-0000-0000-0000FE010000}"/>
    <cellStyle name="Border Thin 2 6 2 6 3" xfId="50691" xr:uid="{00000000-0005-0000-0000-0000FE010000}"/>
    <cellStyle name="Border Thin 2 6 2 7" xfId="23716" xr:uid="{00000000-0005-0000-0000-0000FE010000}"/>
    <cellStyle name="Border Thin 2 6 2 7 2" xfId="42085" xr:uid="{00000000-0005-0000-0000-0000FE010000}"/>
    <cellStyle name="Border Thin 2 6 2 8" xfId="19106" xr:uid="{00000000-0005-0000-0000-0000FE010000}"/>
    <cellStyle name="Border Thin 2 6 2 9" xfId="37514" xr:uid="{00000000-0005-0000-0000-0000FE010000}"/>
    <cellStyle name="Border Thin 2 6 3" xfId="5128" xr:uid="{00000000-0005-0000-0000-0000FE010000}"/>
    <cellStyle name="Border Thin 2 6 3 2" xfId="11633" xr:uid="{00000000-0005-0000-0000-0000FE010000}"/>
    <cellStyle name="Border Thin 2 6 3 2 2" xfId="30182" xr:uid="{00000000-0005-0000-0000-0000FE010000}"/>
    <cellStyle name="Border Thin 2 6 3 2 3" xfId="48545" xr:uid="{00000000-0005-0000-0000-0000FE010000}"/>
    <cellStyle name="Border Thin 2 6 3 3" xfId="15832" xr:uid="{00000000-0005-0000-0000-0000FE010000}"/>
    <cellStyle name="Border Thin 2 6 3 3 2" xfId="34216" xr:uid="{00000000-0005-0000-0000-0000FE010000}"/>
    <cellStyle name="Border Thin 2 6 3 3 3" xfId="52579" xr:uid="{00000000-0005-0000-0000-0000FE010000}"/>
    <cellStyle name="Border Thin 2 6 3 4" xfId="24955" xr:uid="{00000000-0005-0000-0000-0000FE010000}"/>
    <cellStyle name="Border Thin 2 6 3 4 2" xfId="43324" xr:uid="{00000000-0005-0000-0000-0000FE010000}"/>
    <cellStyle name="Border Thin 2 6 3 5" xfId="21278" xr:uid="{00000000-0005-0000-0000-0000FE010000}"/>
    <cellStyle name="Border Thin 2 6 3 6" xfId="39663" xr:uid="{00000000-0005-0000-0000-0000FE010000}"/>
    <cellStyle name="Border Thin 2 6 4" xfId="6181" xr:uid="{00000000-0005-0000-0000-0000FE010000}"/>
    <cellStyle name="Border Thin 2 6 4 2" xfId="12516" xr:uid="{00000000-0005-0000-0000-0000FE010000}"/>
    <cellStyle name="Border Thin 2 6 4 2 2" xfId="30948" xr:uid="{00000000-0005-0000-0000-0000FE010000}"/>
    <cellStyle name="Border Thin 2 6 4 2 3" xfId="49311" xr:uid="{00000000-0005-0000-0000-0000FE010000}"/>
    <cellStyle name="Border Thin 2 6 4 3" xfId="16831" xr:uid="{00000000-0005-0000-0000-0000FE010000}"/>
    <cellStyle name="Border Thin 2 6 4 3 2" xfId="35191" xr:uid="{00000000-0005-0000-0000-0000FE010000}"/>
    <cellStyle name="Border Thin 2 6 4 3 3" xfId="53554" xr:uid="{00000000-0005-0000-0000-0000FE010000}"/>
    <cellStyle name="Border Thin 2 6 4 4" xfId="25958" xr:uid="{00000000-0005-0000-0000-0000FE010000}"/>
    <cellStyle name="Border Thin 2 6 4 4 2" xfId="44327" xr:uid="{00000000-0005-0000-0000-0000FE010000}"/>
    <cellStyle name="Border Thin 2 6 4 5" xfId="22265" xr:uid="{00000000-0005-0000-0000-0000FE010000}"/>
    <cellStyle name="Border Thin 2 6 4 6" xfId="40638" xr:uid="{00000000-0005-0000-0000-0000FE010000}"/>
    <cellStyle name="Border Thin 2 6 5" xfId="10013" xr:uid="{00000000-0005-0000-0000-0000FE010000}"/>
    <cellStyle name="Border Thin 2 6 5 2" xfId="14070" xr:uid="{00000000-0005-0000-0000-0000FE010000}"/>
    <cellStyle name="Border Thin 2 6 5 2 2" xfId="32487" xr:uid="{00000000-0005-0000-0000-0000FE010000}"/>
    <cellStyle name="Border Thin 2 6 5 2 3" xfId="50850" xr:uid="{00000000-0005-0000-0000-0000FE010000}"/>
    <cellStyle name="Border Thin 2 6 5 3" xfId="28725" xr:uid="{00000000-0005-0000-0000-0000FE010000}"/>
    <cellStyle name="Border Thin 2 6 5 3 2" xfId="47088" xr:uid="{00000000-0005-0000-0000-0000FE010000}"/>
    <cellStyle name="Border Thin 2 6 5 4" xfId="19391" xr:uid="{00000000-0005-0000-0000-0000FE010000}"/>
    <cellStyle name="Border Thin 2 6 5 5" xfId="37798" xr:uid="{00000000-0005-0000-0000-0000FE010000}"/>
    <cellStyle name="Border Thin 2 6 6" xfId="8637" xr:uid="{00000000-0005-0000-0000-0000FE010000}"/>
    <cellStyle name="Border Thin 2 6 6 2" xfId="27547" xr:uid="{00000000-0005-0000-0000-0000FE010000}"/>
    <cellStyle name="Border Thin 2 6 6 3" xfId="45911" xr:uid="{00000000-0005-0000-0000-0000FE010000}"/>
    <cellStyle name="Border Thin 2 6 7" xfId="7402" xr:uid="{00000000-0005-0000-0000-0000FE010000}"/>
    <cellStyle name="Border Thin 2 6 7 2" xfId="26796" xr:uid="{00000000-0005-0000-0000-0000FE010000}"/>
    <cellStyle name="Border Thin 2 6 7 3" xfId="45164" xr:uid="{00000000-0005-0000-0000-0000FE010000}"/>
    <cellStyle name="Border Thin 2 6 8" xfId="18139" xr:uid="{00000000-0005-0000-0000-0000FE010000}"/>
    <cellStyle name="Border Thin 2 6 8 2" xfId="36546" xr:uid="{00000000-0005-0000-0000-0000FE010000}"/>
    <cellStyle name="Border Thin 2 6 9" xfId="8238" xr:uid="{00000000-0005-0000-0000-0000FE010000}"/>
    <cellStyle name="Border Thin 2 7" xfId="9147" xr:uid="{00000000-0005-0000-0000-0000F9010000}"/>
    <cellStyle name="Border Thin 2 7 2" xfId="13207" xr:uid="{00000000-0005-0000-0000-0000F9010000}"/>
    <cellStyle name="Border Thin 2 7 2 2" xfId="31632" xr:uid="{00000000-0005-0000-0000-0000F9010000}"/>
    <cellStyle name="Border Thin 2 7 2 3" xfId="49995" xr:uid="{00000000-0005-0000-0000-0000F9010000}"/>
    <cellStyle name="Border Thin 2 7 3" xfId="27873" xr:uid="{00000000-0005-0000-0000-0000F9010000}"/>
    <cellStyle name="Border Thin 2 7 3 2" xfId="46236" xr:uid="{00000000-0005-0000-0000-0000F9010000}"/>
    <cellStyle name="Border Thin 2 7 4" xfId="18074" xr:uid="{00000000-0005-0000-0000-0000F9010000}"/>
    <cellStyle name="Border Thin 2 7 5" xfId="36481" xr:uid="{00000000-0005-0000-0000-0000F9010000}"/>
    <cellStyle name="Border Thin 3" xfId="1216" xr:uid="{00000000-0005-0000-0000-0000FF010000}"/>
    <cellStyle name="Border Thin 3 2" xfId="1635" xr:uid="{00000000-0005-0000-0000-000000020000}"/>
    <cellStyle name="Border Thin 3 2 2" xfId="1718" xr:uid="{00000000-0005-0000-0000-000001020000}"/>
    <cellStyle name="Border Thin 3 2 2 2" xfId="3615" xr:uid="{00000000-0005-0000-0000-000001020000}"/>
    <cellStyle name="Border Thin 3 2 2 2 2" xfId="5788" xr:uid="{00000000-0005-0000-0000-000001020000}"/>
    <cellStyle name="Border Thin 3 2 2 2 2 2" xfId="12152" xr:uid="{00000000-0005-0000-0000-000001020000}"/>
    <cellStyle name="Border Thin 3 2 2 2 2 2 2" xfId="30599" xr:uid="{00000000-0005-0000-0000-000001020000}"/>
    <cellStyle name="Border Thin 3 2 2 2 2 2 3" xfId="48962" xr:uid="{00000000-0005-0000-0000-000001020000}"/>
    <cellStyle name="Border Thin 3 2 2 2 2 3" xfId="16478" xr:uid="{00000000-0005-0000-0000-000001020000}"/>
    <cellStyle name="Border Thin 3 2 2 2 2 3 2" xfId="34850" xr:uid="{00000000-0005-0000-0000-000001020000}"/>
    <cellStyle name="Border Thin 3 2 2 2 2 3 3" xfId="53213" xr:uid="{00000000-0005-0000-0000-000001020000}"/>
    <cellStyle name="Border Thin 3 2 2 2 2 4" xfId="25597" xr:uid="{00000000-0005-0000-0000-000001020000}"/>
    <cellStyle name="Border Thin 3 2 2 2 2 4 2" xfId="43966" xr:uid="{00000000-0005-0000-0000-000001020000}"/>
    <cellStyle name="Border Thin 3 2 2 2 2 5" xfId="21918" xr:uid="{00000000-0005-0000-0000-000001020000}"/>
    <cellStyle name="Border Thin 3 2 2 2 2 6" xfId="40297" xr:uid="{00000000-0005-0000-0000-000001020000}"/>
    <cellStyle name="Border Thin 3 2 2 2 3" xfId="6614" xr:uid="{00000000-0005-0000-0000-000001020000}"/>
    <cellStyle name="Border Thin 3 2 2 2 3 2" xfId="12905" xr:uid="{00000000-0005-0000-0000-000001020000}"/>
    <cellStyle name="Border Thin 3 2 2 2 3 2 2" xfId="31331" xr:uid="{00000000-0005-0000-0000-000001020000}"/>
    <cellStyle name="Border Thin 3 2 2 2 3 2 3" xfId="49694" xr:uid="{00000000-0005-0000-0000-000001020000}"/>
    <cellStyle name="Border Thin 3 2 2 2 3 3" xfId="17216" xr:uid="{00000000-0005-0000-0000-000001020000}"/>
    <cellStyle name="Border Thin 3 2 2 2 3 3 2" xfId="35564" xr:uid="{00000000-0005-0000-0000-000001020000}"/>
    <cellStyle name="Border Thin 3 2 2 2 3 3 3" xfId="53927" xr:uid="{00000000-0005-0000-0000-000001020000}"/>
    <cellStyle name="Border Thin 3 2 2 2 3 4" xfId="26349" xr:uid="{00000000-0005-0000-0000-000001020000}"/>
    <cellStyle name="Border Thin 3 2 2 2 3 4 2" xfId="44718" xr:uid="{00000000-0005-0000-0000-000001020000}"/>
    <cellStyle name="Border Thin 3 2 2 2 3 5" xfId="22642" xr:uid="{00000000-0005-0000-0000-000001020000}"/>
    <cellStyle name="Border Thin 3 2 2 2 3 6" xfId="41011" xr:uid="{00000000-0005-0000-0000-000001020000}"/>
    <cellStyle name="Border Thin 3 2 2 2 4" xfId="10328" xr:uid="{00000000-0005-0000-0000-000001020000}"/>
    <cellStyle name="Border Thin 3 2 2 2 4 2" xfId="14385" xr:uid="{00000000-0005-0000-0000-000001020000}"/>
    <cellStyle name="Border Thin 3 2 2 2 4 2 2" xfId="32801" xr:uid="{00000000-0005-0000-0000-000001020000}"/>
    <cellStyle name="Border Thin 3 2 2 2 4 2 3" xfId="51164" xr:uid="{00000000-0005-0000-0000-000001020000}"/>
    <cellStyle name="Border Thin 3 2 2 2 4 3" xfId="29039" xr:uid="{00000000-0005-0000-0000-000001020000}"/>
    <cellStyle name="Border Thin 3 2 2 2 4 3 2" xfId="47402" xr:uid="{00000000-0005-0000-0000-000001020000}"/>
    <cellStyle name="Border Thin 3 2 2 2 4 4" xfId="19842" xr:uid="{00000000-0005-0000-0000-000001020000}"/>
    <cellStyle name="Border Thin 3 2 2 2 4 5" xfId="38248" xr:uid="{00000000-0005-0000-0000-000001020000}"/>
    <cellStyle name="Border Thin 3 2 2 2 5" xfId="9536" xr:uid="{00000000-0005-0000-0000-000001020000}"/>
    <cellStyle name="Border Thin 3 2 2 2 5 2" xfId="28253" xr:uid="{00000000-0005-0000-0000-000001020000}"/>
    <cellStyle name="Border Thin 3 2 2 2 5 3" xfId="46616" xr:uid="{00000000-0005-0000-0000-000001020000}"/>
    <cellStyle name="Border Thin 3 2 2 2 6" xfId="13594" xr:uid="{00000000-0005-0000-0000-000001020000}"/>
    <cellStyle name="Border Thin 3 2 2 2 6 2" xfId="32015" xr:uid="{00000000-0005-0000-0000-000001020000}"/>
    <cellStyle name="Border Thin 3 2 2 2 6 3" xfId="50378" xr:uid="{00000000-0005-0000-0000-000001020000}"/>
    <cellStyle name="Border Thin 3 2 2 2 7" xfId="23523" xr:uid="{00000000-0005-0000-0000-000001020000}"/>
    <cellStyle name="Border Thin 3 2 2 2 7 2" xfId="41892" xr:uid="{00000000-0005-0000-0000-000001020000}"/>
    <cellStyle name="Border Thin 3 2 2 2 8" xfId="18635" xr:uid="{00000000-0005-0000-0000-000001020000}"/>
    <cellStyle name="Border Thin 3 2 2 2 9" xfId="37045" xr:uid="{00000000-0005-0000-0000-000001020000}"/>
    <cellStyle name="Border Thin 3 2 2 3" xfId="4655" xr:uid="{00000000-0005-0000-0000-000001020000}"/>
    <cellStyle name="Border Thin 3 2 2 3 2" xfId="11239" xr:uid="{00000000-0005-0000-0000-000001020000}"/>
    <cellStyle name="Border Thin 3 2 2 3 2 2" xfId="29851" xr:uid="{00000000-0005-0000-0000-000001020000}"/>
    <cellStyle name="Border Thin 3 2 2 3 2 3" xfId="48214" xr:uid="{00000000-0005-0000-0000-000001020000}"/>
    <cellStyle name="Border Thin 3 2 2 3 3" xfId="15381" xr:uid="{00000000-0005-0000-0000-000001020000}"/>
    <cellStyle name="Border Thin 3 2 2 3 3 2" xfId="33774" xr:uid="{00000000-0005-0000-0000-000001020000}"/>
    <cellStyle name="Border Thin 3 2 2 3 3 3" xfId="52137" xr:uid="{00000000-0005-0000-0000-000001020000}"/>
    <cellStyle name="Border Thin 3 2 2 3 4" xfId="24505" xr:uid="{00000000-0005-0000-0000-000001020000}"/>
    <cellStyle name="Border Thin 3 2 2 3 4 2" xfId="42874" xr:uid="{00000000-0005-0000-0000-000001020000}"/>
    <cellStyle name="Border Thin 3 2 2 3 5" xfId="20832" xr:uid="{00000000-0005-0000-0000-000001020000}"/>
    <cellStyle name="Border Thin 3 2 2 3 6" xfId="39221" xr:uid="{00000000-0005-0000-0000-000001020000}"/>
    <cellStyle name="Border Thin 3 2 2 4" xfId="4601" xr:uid="{00000000-0005-0000-0000-000001020000}"/>
    <cellStyle name="Border Thin 3 2 2 4 2" xfId="11186" xr:uid="{00000000-0005-0000-0000-000001020000}"/>
    <cellStyle name="Border Thin 3 2 2 4 2 2" xfId="29798" xr:uid="{00000000-0005-0000-0000-000001020000}"/>
    <cellStyle name="Border Thin 3 2 2 4 2 3" xfId="48161" xr:uid="{00000000-0005-0000-0000-000001020000}"/>
    <cellStyle name="Border Thin 3 2 2 4 3" xfId="15327" xr:uid="{00000000-0005-0000-0000-000001020000}"/>
    <cellStyle name="Border Thin 3 2 2 4 3 2" xfId="33720" xr:uid="{00000000-0005-0000-0000-000001020000}"/>
    <cellStyle name="Border Thin 3 2 2 4 3 3" xfId="52083" xr:uid="{00000000-0005-0000-0000-000001020000}"/>
    <cellStyle name="Border Thin 3 2 2 4 4" xfId="24451" xr:uid="{00000000-0005-0000-0000-000001020000}"/>
    <cellStyle name="Border Thin 3 2 2 4 4 2" xfId="42820" xr:uid="{00000000-0005-0000-0000-000001020000}"/>
    <cellStyle name="Border Thin 3 2 2 4 5" xfId="20778" xr:uid="{00000000-0005-0000-0000-000001020000}"/>
    <cellStyle name="Border Thin 3 2 2 4 6" xfId="39167" xr:uid="{00000000-0005-0000-0000-000001020000}"/>
    <cellStyle name="Border Thin 3 2 2 5" xfId="9452" xr:uid="{00000000-0005-0000-0000-000001020000}"/>
    <cellStyle name="Border Thin 3 2 2 5 2" xfId="13509" xr:uid="{00000000-0005-0000-0000-000001020000}"/>
    <cellStyle name="Border Thin 3 2 2 5 2 2" xfId="31930" xr:uid="{00000000-0005-0000-0000-000001020000}"/>
    <cellStyle name="Border Thin 3 2 2 5 2 3" xfId="50293" xr:uid="{00000000-0005-0000-0000-000001020000}"/>
    <cellStyle name="Border Thin 3 2 2 5 3" xfId="28169" xr:uid="{00000000-0005-0000-0000-000001020000}"/>
    <cellStyle name="Border Thin 3 2 2 5 3 2" xfId="46532" xr:uid="{00000000-0005-0000-0000-000001020000}"/>
    <cellStyle name="Border Thin 3 2 2 5 4" xfId="18540" xr:uid="{00000000-0005-0000-0000-000001020000}"/>
    <cellStyle name="Border Thin 3 2 2 5 5" xfId="36949" xr:uid="{00000000-0005-0000-0000-000001020000}"/>
    <cellStyle name="Border Thin 3 2 2 6" xfId="7949" xr:uid="{00000000-0005-0000-0000-000001020000}"/>
    <cellStyle name="Border Thin 3 2 2 6 2" xfId="27179" xr:uid="{00000000-0005-0000-0000-000001020000}"/>
    <cellStyle name="Border Thin 3 2 2 6 3" xfId="45544" xr:uid="{00000000-0005-0000-0000-000001020000}"/>
    <cellStyle name="Border Thin 3 2 2 7" xfId="6257" xr:uid="{00000000-0005-0000-0000-000001020000}"/>
    <cellStyle name="Border Thin 3 2 2 7 2" xfId="26012" xr:uid="{00000000-0005-0000-0000-000001020000}"/>
    <cellStyle name="Border Thin 3 2 2 7 3" xfId="44381" xr:uid="{00000000-0005-0000-0000-000001020000}"/>
    <cellStyle name="Border Thin 3 2 2 8" xfId="10803" xr:uid="{00000000-0005-0000-0000-000001020000}"/>
    <cellStyle name="Border Thin 3 2 2 9" xfId="8333" xr:uid="{00000000-0005-0000-0000-000001020000}"/>
    <cellStyle name="Border Thin 3 2 3" xfId="1748" xr:uid="{00000000-0005-0000-0000-000002020000}"/>
    <cellStyle name="Border Thin 3 2 3 10" xfId="17691" xr:uid="{00000000-0005-0000-0000-000002020000}"/>
    <cellStyle name="Border Thin 3 2 3 2" xfId="3645" xr:uid="{00000000-0005-0000-0000-000002020000}"/>
    <cellStyle name="Border Thin 3 2 3 2 2" xfId="5818" xr:uid="{00000000-0005-0000-0000-000002020000}"/>
    <cellStyle name="Border Thin 3 2 3 2 2 2" xfId="12182" xr:uid="{00000000-0005-0000-0000-000002020000}"/>
    <cellStyle name="Border Thin 3 2 3 2 2 2 2" xfId="30629" xr:uid="{00000000-0005-0000-0000-000002020000}"/>
    <cellStyle name="Border Thin 3 2 3 2 2 2 3" xfId="48992" xr:uid="{00000000-0005-0000-0000-000002020000}"/>
    <cellStyle name="Border Thin 3 2 3 2 2 3" xfId="16508" xr:uid="{00000000-0005-0000-0000-000002020000}"/>
    <cellStyle name="Border Thin 3 2 3 2 2 3 2" xfId="34880" xr:uid="{00000000-0005-0000-0000-000002020000}"/>
    <cellStyle name="Border Thin 3 2 3 2 2 3 3" xfId="53243" xr:uid="{00000000-0005-0000-0000-000002020000}"/>
    <cellStyle name="Border Thin 3 2 3 2 2 4" xfId="25627" xr:uid="{00000000-0005-0000-0000-000002020000}"/>
    <cellStyle name="Border Thin 3 2 3 2 2 4 2" xfId="43996" xr:uid="{00000000-0005-0000-0000-000002020000}"/>
    <cellStyle name="Border Thin 3 2 3 2 2 5" xfId="21948" xr:uid="{00000000-0005-0000-0000-000002020000}"/>
    <cellStyle name="Border Thin 3 2 3 2 2 6" xfId="40327" xr:uid="{00000000-0005-0000-0000-000002020000}"/>
    <cellStyle name="Border Thin 3 2 3 2 3" xfId="6644" xr:uid="{00000000-0005-0000-0000-000002020000}"/>
    <cellStyle name="Border Thin 3 2 3 2 3 2" xfId="12935" xr:uid="{00000000-0005-0000-0000-000002020000}"/>
    <cellStyle name="Border Thin 3 2 3 2 3 2 2" xfId="31361" xr:uid="{00000000-0005-0000-0000-000002020000}"/>
    <cellStyle name="Border Thin 3 2 3 2 3 2 3" xfId="49724" xr:uid="{00000000-0005-0000-0000-000002020000}"/>
    <cellStyle name="Border Thin 3 2 3 2 3 3" xfId="17246" xr:uid="{00000000-0005-0000-0000-000002020000}"/>
    <cellStyle name="Border Thin 3 2 3 2 3 3 2" xfId="35594" xr:uid="{00000000-0005-0000-0000-000002020000}"/>
    <cellStyle name="Border Thin 3 2 3 2 3 3 3" xfId="53957" xr:uid="{00000000-0005-0000-0000-000002020000}"/>
    <cellStyle name="Border Thin 3 2 3 2 3 4" xfId="26379" xr:uid="{00000000-0005-0000-0000-000002020000}"/>
    <cellStyle name="Border Thin 3 2 3 2 3 4 2" xfId="44748" xr:uid="{00000000-0005-0000-0000-000002020000}"/>
    <cellStyle name="Border Thin 3 2 3 2 3 5" xfId="22672" xr:uid="{00000000-0005-0000-0000-000002020000}"/>
    <cellStyle name="Border Thin 3 2 3 2 3 6" xfId="41041" xr:uid="{00000000-0005-0000-0000-000002020000}"/>
    <cellStyle name="Border Thin 3 2 3 2 4" xfId="10358" xr:uid="{00000000-0005-0000-0000-000002020000}"/>
    <cellStyle name="Border Thin 3 2 3 2 4 2" xfId="14415" xr:uid="{00000000-0005-0000-0000-000002020000}"/>
    <cellStyle name="Border Thin 3 2 3 2 4 2 2" xfId="32831" xr:uid="{00000000-0005-0000-0000-000002020000}"/>
    <cellStyle name="Border Thin 3 2 3 2 4 2 3" xfId="51194" xr:uid="{00000000-0005-0000-0000-000002020000}"/>
    <cellStyle name="Border Thin 3 2 3 2 4 3" xfId="29069" xr:uid="{00000000-0005-0000-0000-000002020000}"/>
    <cellStyle name="Border Thin 3 2 3 2 4 3 2" xfId="47432" xr:uid="{00000000-0005-0000-0000-000002020000}"/>
    <cellStyle name="Border Thin 3 2 3 2 4 4" xfId="19872" xr:uid="{00000000-0005-0000-0000-000002020000}"/>
    <cellStyle name="Border Thin 3 2 3 2 4 5" xfId="38278" xr:uid="{00000000-0005-0000-0000-000002020000}"/>
    <cellStyle name="Border Thin 3 2 3 2 5" xfId="9566" xr:uid="{00000000-0005-0000-0000-000002020000}"/>
    <cellStyle name="Border Thin 3 2 3 2 5 2" xfId="28283" xr:uid="{00000000-0005-0000-0000-000002020000}"/>
    <cellStyle name="Border Thin 3 2 3 2 5 3" xfId="46646" xr:uid="{00000000-0005-0000-0000-000002020000}"/>
    <cellStyle name="Border Thin 3 2 3 2 6" xfId="13624" xr:uid="{00000000-0005-0000-0000-000002020000}"/>
    <cellStyle name="Border Thin 3 2 3 2 6 2" xfId="32045" xr:uid="{00000000-0005-0000-0000-000002020000}"/>
    <cellStyle name="Border Thin 3 2 3 2 6 3" xfId="50408" xr:uid="{00000000-0005-0000-0000-000002020000}"/>
    <cellStyle name="Border Thin 3 2 3 2 7" xfId="23553" xr:uid="{00000000-0005-0000-0000-000002020000}"/>
    <cellStyle name="Border Thin 3 2 3 2 7 2" xfId="41922" xr:uid="{00000000-0005-0000-0000-000002020000}"/>
    <cellStyle name="Border Thin 3 2 3 2 8" xfId="18665" xr:uid="{00000000-0005-0000-0000-000002020000}"/>
    <cellStyle name="Border Thin 3 2 3 2 9" xfId="37075" xr:uid="{00000000-0005-0000-0000-000002020000}"/>
    <cellStyle name="Border Thin 3 2 3 3" xfId="4685" xr:uid="{00000000-0005-0000-0000-000002020000}"/>
    <cellStyle name="Border Thin 3 2 3 3 2" xfId="11269" xr:uid="{00000000-0005-0000-0000-000002020000}"/>
    <cellStyle name="Border Thin 3 2 3 3 2 2" xfId="29881" xr:uid="{00000000-0005-0000-0000-000002020000}"/>
    <cellStyle name="Border Thin 3 2 3 3 2 3" xfId="48244" xr:uid="{00000000-0005-0000-0000-000002020000}"/>
    <cellStyle name="Border Thin 3 2 3 3 3" xfId="15411" xr:uid="{00000000-0005-0000-0000-000002020000}"/>
    <cellStyle name="Border Thin 3 2 3 3 3 2" xfId="33804" xr:uid="{00000000-0005-0000-0000-000002020000}"/>
    <cellStyle name="Border Thin 3 2 3 3 3 3" xfId="52167" xr:uid="{00000000-0005-0000-0000-000002020000}"/>
    <cellStyle name="Border Thin 3 2 3 3 4" xfId="24535" xr:uid="{00000000-0005-0000-0000-000002020000}"/>
    <cellStyle name="Border Thin 3 2 3 3 4 2" xfId="42904" xr:uid="{00000000-0005-0000-0000-000002020000}"/>
    <cellStyle name="Border Thin 3 2 3 3 5" xfId="20862" xr:uid="{00000000-0005-0000-0000-000002020000}"/>
    <cellStyle name="Border Thin 3 2 3 3 6" xfId="39251" xr:uid="{00000000-0005-0000-0000-000002020000}"/>
    <cellStyle name="Border Thin 3 2 3 4" xfId="4869" xr:uid="{00000000-0005-0000-0000-000002020000}"/>
    <cellStyle name="Border Thin 3 2 3 4 2" xfId="11427" xr:uid="{00000000-0005-0000-0000-000002020000}"/>
    <cellStyle name="Border Thin 3 2 3 4 2 2" xfId="30017" xr:uid="{00000000-0005-0000-0000-000002020000}"/>
    <cellStyle name="Border Thin 3 2 3 4 2 3" xfId="48380" xr:uid="{00000000-0005-0000-0000-000002020000}"/>
    <cellStyle name="Border Thin 3 2 3 4 3" xfId="15595" xr:uid="{00000000-0005-0000-0000-000002020000}"/>
    <cellStyle name="Border Thin 3 2 3 4 3 2" xfId="33986" xr:uid="{00000000-0005-0000-0000-000002020000}"/>
    <cellStyle name="Border Thin 3 2 3 4 3 3" xfId="52349" xr:uid="{00000000-0005-0000-0000-000002020000}"/>
    <cellStyle name="Border Thin 3 2 3 4 4" xfId="24717" xr:uid="{00000000-0005-0000-0000-000002020000}"/>
    <cellStyle name="Border Thin 3 2 3 4 4 2" xfId="43086" xr:uid="{00000000-0005-0000-0000-000002020000}"/>
    <cellStyle name="Border Thin 3 2 3 4 5" xfId="21044" xr:uid="{00000000-0005-0000-0000-000002020000}"/>
    <cellStyle name="Border Thin 3 2 3 4 6" xfId="39433" xr:uid="{00000000-0005-0000-0000-000002020000}"/>
    <cellStyle name="Border Thin 3 2 3 5" xfId="9072" xr:uid="{00000000-0005-0000-0000-000002020000}"/>
    <cellStyle name="Border Thin 3 2 3 5 2" xfId="4166" xr:uid="{00000000-0005-0000-0000-000002020000}"/>
    <cellStyle name="Border Thin 3 2 3 5 2 2" xfId="24046" xr:uid="{00000000-0005-0000-0000-000002020000}"/>
    <cellStyle name="Border Thin 3 2 3 5 2 3" xfId="42415" xr:uid="{00000000-0005-0000-0000-000002020000}"/>
    <cellStyle name="Border Thin 3 2 3 5 3" xfId="27798" xr:uid="{00000000-0005-0000-0000-000002020000}"/>
    <cellStyle name="Border Thin 3 2 3 5 3 2" xfId="46161" xr:uid="{00000000-0005-0000-0000-000002020000}"/>
    <cellStyle name="Border Thin 3 2 3 5 4" xfId="17972" xr:uid="{00000000-0005-0000-0000-000002020000}"/>
    <cellStyle name="Border Thin 3 2 3 5 5" xfId="36380" xr:uid="{00000000-0005-0000-0000-000002020000}"/>
    <cellStyle name="Border Thin 3 2 3 6" xfId="7979" xr:uid="{00000000-0005-0000-0000-000002020000}"/>
    <cellStyle name="Border Thin 3 2 3 6 2" xfId="27209" xr:uid="{00000000-0005-0000-0000-000002020000}"/>
    <cellStyle name="Border Thin 3 2 3 6 3" xfId="45574" xr:uid="{00000000-0005-0000-0000-000002020000}"/>
    <cellStyle name="Border Thin 3 2 3 7" xfId="7716" xr:uid="{00000000-0005-0000-0000-000002020000}"/>
    <cellStyle name="Border Thin 3 2 3 7 2" xfId="26996" xr:uid="{00000000-0005-0000-0000-000002020000}"/>
    <cellStyle name="Border Thin 3 2 3 7 3" xfId="45361" xr:uid="{00000000-0005-0000-0000-000002020000}"/>
    <cellStyle name="Border Thin 3 2 3 8" xfId="19486" xr:uid="{00000000-0005-0000-0000-000002020000}"/>
    <cellStyle name="Border Thin 3 2 3 8 2" xfId="37892" xr:uid="{00000000-0005-0000-0000-000002020000}"/>
    <cellStyle name="Border Thin 3 2 3 9" xfId="10777" xr:uid="{00000000-0005-0000-0000-000002020000}"/>
    <cellStyle name="Border Thin 3 2 4" xfId="1776" xr:uid="{00000000-0005-0000-0000-000003020000}"/>
    <cellStyle name="Border Thin 3 2 4 10" xfId="6932" xr:uid="{00000000-0005-0000-0000-000003020000}"/>
    <cellStyle name="Border Thin 3 2 4 2" xfId="3673" xr:uid="{00000000-0005-0000-0000-000003020000}"/>
    <cellStyle name="Border Thin 3 2 4 2 2" xfId="5846" xr:uid="{00000000-0005-0000-0000-000003020000}"/>
    <cellStyle name="Border Thin 3 2 4 2 2 2" xfId="12210" xr:uid="{00000000-0005-0000-0000-000003020000}"/>
    <cellStyle name="Border Thin 3 2 4 2 2 2 2" xfId="30657" xr:uid="{00000000-0005-0000-0000-000003020000}"/>
    <cellStyle name="Border Thin 3 2 4 2 2 2 3" xfId="49020" xr:uid="{00000000-0005-0000-0000-000003020000}"/>
    <cellStyle name="Border Thin 3 2 4 2 2 3" xfId="16536" xr:uid="{00000000-0005-0000-0000-000003020000}"/>
    <cellStyle name="Border Thin 3 2 4 2 2 3 2" xfId="34908" xr:uid="{00000000-0005-0000-0000-000003020000}"/>
    <cellStyle name="Border Thin 3 2 4 2 2 3 3" xfId="53271" xr:uid="{00000000-0005-0000-0000-000003020000}"/>
    <cellStyle name="Border Thin 3 2 4 2 2 4" xfId="25655" xr:uid="{00000000-0005-0000-0000-000003020000}"/>
    <cellStyle name="Border Thin 3 2 4 2 2 4 2" xfId="44024" xr:uid="{00000000-0005-0000-0000-000003020000}"/>
    <cellStyle name="Border Thin 3 2 4 2 2 5" xfId="21976" xr:uid="{00000000-0005-0000-0000-000003020000}"/>
    <cellStyle name="Border Thin 3 2 4 2 2 6" xfId="40355" xr:uid="{00000000-0005-0000-0000-000003020000}"/>
    <cellStyle name="Border Thin 3 2 4 2 3" xfId="6672" xr:uid="{00000000-0005-0000-0000-000003020000}"/>
    <cellStyle name="Border Thin 3 2 4 2 3 2" xfId="12963" xr:uid="{00000000-0005-0000-0000-000003020000}"/>
    <cellStyle name="Border Thin 3 2 4 2 3 2 2" xfId="31389" xr:uid="{00000000-0005-0000-0000-000003020000}"/>
    <cellStyle name="Border Thin 3 2 4 2 3 2 3" xfId="49752" xr:uid="{00000000-0005-0000-0000-000003020000}"/>
    <cellStyle name="Border Thin 3 2 4 2 3 3" xfId="17274" xr:uid="{00000000-0005-0000-0000-000003020000}"/>
    <cellStyle name="Border Thin 3 2 4 2 3 3 2" xfId="35622" xr:uid="{00000000-0005-0000-0000-000003020000}"/>
    <cellStyle name="Border Thin 3 2 4 2 3 3 3" xfId="53985" xr:uid="{00000000-0005-0000-0000-000003020000}"/>
    <cellStyle name="Border Thin 3 2 4 2 3 4" xfId="26407" xr:uid="{00000000-0005-0000-0000-000003020000}"/>
    <cellStyle name="Border Thin 3 2 4 2 3 4 2" xfId="44776" xr:uid="{00000000-0005-0000-0000-000003020000}"/>
    <cellStyle name="Border Thin 3 2 4 2 3 5" xfId="22700" xr:uid="{00000000-0005-0000-0000-000003020000}"/>
    <cellStyle name="Border Thin 3 2 4 2 3 6" xfId="41069" xr:uid="{00000000-0005-0000-0000-000003020000}"/>
    <cellStyle name="Border Thin 3 2 4 2 4" xfId="10386" xr:uid="{00000000-0005-0000-0000-000003020000}"/>
    <cellStyle name="Border Thin 3 2 4 2 4 2" xfId="14443" xr:uid="{00000000-0005-0000-0000-000003020000}"/>
    <cellStyle name="Border Thin 3 2 4 2 4 2 2" xfId="32859" xr:uid="{00000000-0005-0000-0000-000003020000}"/>
    <cellStyle name="Border Thin 3 2 4 2 4 2 3" xfId="51222" xr:uid="{00000000-0005-0000-0000-000003020000}"/>
    <cellStyle name="Border Thin 3 2 4 2 4 3" xfId="29097" xr:uid="{00000000-0005-0000-0000-000003020000}"/>
    <cellStyle name="Border Thin 3 2 4 2 4 3 2" xfId="47460" xr:uid="{00000000-0005-0000-0000-000003020000}"/>
    <cellStyle name="Border Thin 3 2 4 2 4 4" xfId="19900" xr:uid="{00000000-0005-0000-0000-000003020000}"/>
    <cellStyle name="Border Thin 3 2 4 2 4 5" xfId="38306" xr:uid="{00000000-0005-0000-0000-000003020000}"/>
    <cellStyle name="Border Thin 3 2 4 2 5" xfId="9594" xr:uid="{00000000-0005-0000-0000-000003020000}"/>
    <cellStyle name="Border Thin 3 2 4 2 5 2" xfId="28311" xr:uid="{00000000-0005-0000-0000-000003020000}"/>
    <cellStyle name="Border Thin 3 2 4 2 5 3" xfId="46674" xr:uid="{00000000-0005-0000-0000-000003020000}"/>
    <cellStyle name="Border Thin 3 2 4 2 6" xfId="13652" xr:uid="{00000000-0005-0000-0000-000003020000}"/>
    <cellStyle name="Border Thin 3 2 4 2 6 2" xfId="32073" xr:uid="{00000000-0005-0000-0000-000003020000}"/>
    <cellStyle name="Border Thin 3 2 4 2 6 3" xfId="50436" xr:uid="{00000000-0005-0000-0000-000003020000}"/>
    <cellStyle name="Border Thin 3 2 4 2 7" xfId="23581" xr:uid="{00000000-0005-0000-0000-000003020000}"/>
    <cellStyle name="Border Thin 3 2 4 2 7 2" xfId="41950" xr:uid="{00000000-0005-0000-0000-000003020000}"/>
    <cellStyle name="Border Thin 3 2 4 2 8" xfId="18693" xr:uid="{00000000-0005-0000-0000-000003020000}"/>
    <cellStyle name="Border Thin 3 2 4 2 9" xfId="37103" xr:uid="{00000000-0005-0000-0000-000003020000}"/>
    <cellStyle name="Border Thin 3 2 4 3" xfId="4713" xr:uid="{00000000-0005-0000-0000-000003020000}"/>
    <cellStyle name="Border Thin 3 2 4 3 2" xfId="11297" xr:uid="{00000000-0005-0000-0000-000003020000}"/>
    <cellStyle name="Border Thin 3 2 4 3 2 2" xfId="29909" xr:uid="{00000000-0005-0000-0000-000003020000}"/>
    <cellStyle name="Border Thin 3 2 4 3 2 3" xfId="48272" xr:uid="{00000000-0005-0000-0000-000003020000}"/>
    <cellStyle name="Border Thin 3 2 4 3 3" xfId="15439" xr:uid="{00000000-0005-0000-0000-000003020000}"/>
    <cellStyle name="Border Thin 3 2 4 3 3 2" xfId="33832" xr:uid="{00000000-0005-0000-0000-000003020000}"/>
    <cellStyle name="Border Thin 3 2 4 3 3 3" xfId="52195" xr:uid="{00000000-0005-0000-0000-000003020000}"/>
    <cellStyle name="Border Thin 3 2 4 3 4" xfId="24563" xr:uid="{00000000-0005-0000-0000-000003020000}"/>
    <cellStyle name="Border Thin 3 2 4 3 4 2" xfId="42932" xr:uid="{00000000-0005-0000-0000-000003020000}"/>
    <cellStyle name="Border Thin 3 2 4 3 5" xfId="20890" xr:uid="{00000000-0005-0000-0000-000003020000}"/>
    <cellStyle name="Border Thin 3 2 4 3 6" xfId="39279" xr:uid="{00000000-0005-0000-0000-000003020000}"/>
    <cellStyle name="Border Thin 3 2 4 4" xfId="3946" xr:uid="{00000000-0005-0000-0000-000003020000}"/>
    <cellStyle name="Border Thin 3 2 4 4 2" xfId="10651" xr:uid="{00000000-0005-0000-0000-000003020000}"/>
    <cellStyle name="Border Thin 3 2 4 4 2 2" xfId="29357" xr:uid="{00000000-0005-0000-0000-000003020000}"/>
    <cellStyle name="Border Thin 3 2 4 4 2 3" xfId="47720" xr:uid="{00000000-0005-0000-0000-000003020000}"/>
    <cellStyle name="Border Thin 3 2 4 4 3" xfId="14709" xr:uid="{00000000-0005-0000-0000-000003020000}"/>
    <cellStyle name="Border Thin 3 2 4 4 3 2" xfId="33121" xr:uid="{00000000-0005-0000-0000-000003020000}"/>
    <cellStyle name="Border Thin 3 2 4 4 3 3" xfId="51484" xr:uid="{00000000-0005-0000-0000-000003020000}"/>
    <cellStyle name="Border Thin 3 2 4 4 4" xfId="23845" xr:uid="{00000000-0005-0000-0000-000003020000}"/>
    <cellStyle name="Border Thin 3 2 4 4 4 2" xfId="42214" xr:uid="{00000000-0005-0000-0000-000003020000}"/>
    <cellStyle name="Border Thin 3 2 4 4 5" xfId="20163" xr:uid="{00000000-0005-0000-0000-000003020000}"/>
    <cellStyle name="Border Thin 3 2 4 4 6" xfId="38568" xr:uid="{00000000-0005-0000-0000-000003020000}"/>
    <cellStyle name="Border Thin 3 2 4 5" xfId="9795" xr:uid="{00000000-0005-0000-0000-000003020000}"/>
    <cellStyle name="Border Thin 3 2 4 5 2" xfId="13852" xr:uid="{00000000-0005-0000-0000-000003020000}"/>
    <cellStyle name="Border Thin 3 2 4 5 2 2" xfId="32272" xr:uid="{00000000-0005-0000-0000-000003020000}"/>
    <cellStyle name="Border Thin 3 2 4 5 2 3" xfId="50635" xr:uid="{00000000-0005-0000-0000-000003020000}"/>
    <cellStyle name="Border Thin 3 2 4 5 3" xfId="28510" xr:uid="{00000000-0005-0000-0000-000003020000}"/>
    <cellStyle name="Border Thin 3 2 4 5 3 2" xfId="46873" xr:uid="{00000000-0005-0000-0000-000003020000}"/>
    <cellStyle name="Border Thin 3 2 4 5 4" xfId="19010" xr:uid="{00000000-0005-0000-0000-000003020000}"/>
    <cellStyle name="Border Thin 3 2 4 5 5" xfId="37419" xr:uid="{00000000-0005-0000-0000-000003020000}"/>
    <cellStyle name="Border Thin 3 2 4 6" xfId="8007" xr:uid="{00000000-0005-0000-0000-000003020000}"/>
    <cellStyle name="Border Thin 3 2 4 6 2" xfId="27237" xr:uid="{00000000-0005-0000-0000-000003020000}"/>
    <cellStyle name="Border Thin 3 2 4 6 3" xfId="45602" xr:uid="{00000000-0005-0000-0000-000003020000}"/>
    <cellStyle name="Border Thin 3 2 4 7" xfId="7616" xr:uid="{00000000-0005-0000-0000-000003020000}"/>
    <cellStyle name="Border Thin 3 2 4 7 2" xfId="26912" xr:uid="{00000000-0005-0000-0000-000003020000}"/>
    <cellStyle name="Border Thin 3 2 4 7 3" xfId="45277" xr:uid="{00000000-0005-0000-0000-000003020000}"/>
    <cellStyle name="Border Thin 3 2 4 8" xfId="17875" xr:uid="{00000000-0005-0000-0000-000003020000}"/>
    <cellStyle name="Border Thin 3 2 4 8 2" xfId="36285" xr:uid="{00000000-0005-0000-0000-000003020000}"/>
    <cellStyle name="Border Thin 3 2 4 9" xfId="7324" xr:uid="{00000000-0005-0000-0000-000003020000}"/>
    <cellStyle name="Border Thin 3 2 5" xfId="3549" xr:uid="{00000000-0005-0000-0000-000000020000}"/>
    <cellStyle name="Border Thin 3 2 5 2" xfId="5722" xr:uid="{00000000-0005-0000-0000-000000020000}"/>
    <cellStyle name="Border Thin 3 2 5 2 2" xfId="12086" xr:uid="{00000000-0005-0000-0000-000000020000}"/>
    <cellStyle name="Border Thin 3 2 5 2 2 2" xfId="30533" xr:uid="{00000000-0005-0000-0000-000000020000}"/>
    <cellStyle name="Border Thin 3 2 5 2 2 3" xfId="48896" xr:uid="{00000000-0005-0000-0000-000000020000}"/>
    <cellStyle name="Border Thin 3 2 5 2 3" xfId="16412" xr:uid="{00000000-0005-0000-0000-000000020000}"/>
    <cellStyle name="Border Thin 3 2 5 2 3 2" xfId="34784" xr:uid="{00000000-0005-0000-0000-000000020000}"/>
    <cellStyle name="Border Thin 3 2 5 2 3 3" xfId="53147" xr:uid="{00000000-0005-0000-0000-000000020000}"/>
    <cellStyle name="Border Thin 3 2 5 2 4" xfId="25531" xr:uid="{00000000-0005-0000-0000-000000020000}"/>
    <cellStyle name="Border Thin 3 2 5 2 4 2" xfId="43900" xr:uid="{00000000-0005-0000-0000-000000020000}"/>
    <cellStyle name="Border Thin 3 2 5 2 5" xfId="21852" xr:uid="{00000000-0005-0000-0000-000000020000}"/>
    <cellStyle name="Border Thin 3 2 5 2 6" xfId="40231" xr:uid="{00000000-0005-0000-0000-000000020000}"/>
    <cellStyle name="Border Thin 3 2 5 3" xfId="6548" xr:uid="{00000000-0005-0000-0000-000000020000}"/>
    <cellStyle name="Border Thin 3 2 5 3 2" xfId="12839" xr:uid="{00000000-0005-0000-0000-000000020000}"/>
    <cellStyle name="Border Thin 3 2 5 3 2 2" xfId="31265" xr:uid="{00000000-0005-0000-0000-000000020000}"/>
    <cellStyle name="Border Thin 3 2 5 3 2 3" xfId="49628" xr:uid="{00000000-0005-0000-0000-000000020000}"/>
    <cellStyle name="Border Thin 3 2 5 3 3" xfId="17150" xr:uid="{00000000-0005-0000-0000-000000020000}"/>
    <cellStyle name="Border Thin 3 2 5 3 3 2" xfId="35498" xr:uid="{00000000-0005-0000-0000-000000020000}"/>
    <cellStyle name="Border Thin 3 2 5 3 3 3" xfId="53861" xr:uid="{00000000-0005-0000-0000-000000020000}"/>
    <cellStyle name="Border Thin 3 2 5 3 4" xfId="26283" xr:uid="{00000000-0005-0000-0000-000000020000}"/>
    <cellStyle name="Border Thin 3 2 5 3 4 2" xfId="44652" xr:uid="{00000000-0005-0000-0000-000000020000}"/>
    <cellStyle name="Border Thin 3 2 5 3 5" xfId="22576" xr:uid="{00000000-0005-0000-0000-000000020000}"/>
    <cellStyle name="Border Thin 3 2 5 3 6" xfId="40945" xr:uid="{00000000-0005-0000-0000-000000020000}"/>
    <cellStyle name="Border Thin 3 2 5 4" xfId="10262" xr:uid="{00000000-0005-0000-0000-000000020000}"/>
    <cellStyle name="Border Thin 3 2 5 4 2" xfId="14319" xr:uid="{00000000-0005-0000-0000-000000020000}"/>
    <cellStyle name="Border Thin 3 2 5 4 2 2" xfId="32735" xr:uid="{00000000-0005-0000-0000-000000020000}"/>
    <cellStyle name="Border Thin 3 2 5 4 2 3" xfId="51098" xr:uid="{00000000-0005-0000-0000-000000020000}"/>
    <cellStyle name="Border Thin 3 2 5 4 3" xfId="28973" xr:uid="{00000000-0005-0000-0000-000000020000}"/>
    <cellStyle name="Border Thin 3 2 5 4 3 2" xfId="47336" xr:uid="{00000000-0005-0000-0000-000000020000}"/>
    <cellStyle name="Border Thin 3 2 5 4 4" xfId="19776" xr:uid="{00000000-0005-0000-0000-000000020000}"/>
    <cellStyle name="Border Thin 3 2 5 4 5" xfId="38182" xr:uid="{00000000-0005-0000-0000-000000020000}"/>
    <cellStyle name="Border Thin 3 2 5 5" xfId="9470" xr:uid="{00000000-0005-0000-0000-000000020000}"/>
    <cellStyle name="Border Thin 3 2 5 5 2" xfId="28187" xr:uid="{00000000-0005-0000-0000-000000020000}"/>
    <cellStyle name="Border Thin 3 2 5 5 3" xfId="46550" xr:uid="{00000000-0005-0000-0000-000000020000}"/>
    <cellStyle name="Border Thin 3 2 5 6" xfId="13528" xr:uid="{00000000-0005-0000-0000-000000020000}"/>
    <cellStyle name="Border Thin 3 2 5 6 2" xfId="31949" xr:uid="{00000000-0005-0000-0000-000000020000}"/>
    <cellStyle name="Border Thin 3 2 5 6 3" xfId="50312" xr:uid="{00000000-0005-0000-0000-000000020000}"/>
    <cellStyle name="Border Thin 3 2 5 7" xfId="23457" xr:uid="{00000000-0005-0000-0000-000000020000}"/>
    <cellStyle name="Border Thin 3 2 5 7 2" xfId="41826" xr:uid="{00000000-0005-0000-0000-000000020000}"/>
    <cellStyle name="Border Thin 3 2 5 8" xfId="18566" xr:uid="{00000000-0005-0000-0000-000000020000}"/>
    <cellStyle name="Border Thin 3 2 5 9" xfId="36976" xr:uid="{00000000-0005-0000-0000-000000020000}"/>
    <cellStyle name="Border Thin 3 2 6" xfId="4579" xr:uid="{00000000-0005-0000-0000-000000020000}"/>
    <cellStyle name="Border Thin 3 2 6 2" xfId="11164" xr:uid="{00000000-0005-0000-0000-000000020000}"/>
    <cellStyle name="Border Thin 3 2 6 2 2" xfId="29778" xr:uid="{00000000-0005-0000-0000-000000020000}"/>
    <cellStyle name="Border Thin 3 2 6 2 3" xfId="48141" xr:uid="{00000000-0005-0000-0000-000000020000}"/>
    <cellStyle name="Border Thin 3 2 6 3" xfId="15305" xr:uid="{00000000-0005-0000-0000-000000020000}"/>
    <cellStyle name="Border Thin 3 2 6 3 2" xfId="33699" xr:uid="{00000000-0005-0000-0000-000000020000}"/>
    <cellStyle name="Border Thin 3 2 6 3 3" xfId="52062" xr:uid="{00000000-0005-0000-0000-000000020000}"/>
    <cellStyle name="Border Thin 3 2 6 4" xfId="24430" xr:uid="{00000000-0005-0000-0000-000000020000}"/>
    <cellStyle name="Border Thin 3 2 6 4 2" xfId="42799" xr:uid="{00000000-0005-0000-0000-000000020000}"/>
    <cellStyle name="Border Thin 3 2 6 5" xfId="20756" xr:uid="{00000000-0005-0000-0000-000000020000}"/>
    <cellStyle name="Border Thin 3 2 6 6" xfId="39146" xr:uid="{00000000-0005-0000-0000-000000020000}"/>
    <cellStyle name="Border Thin 3 2 7" xfId="9916" xr:uid="{00000000-0005-0000-0000-000000020000}"/>
    <cellStyle name="Border Thin 3 2 7 2" xfId="13973" xr:uid="{00000000-0005-0000-0000-000000020000}"/>
    <cellStyle name="Border Thin 3 2 7 2 2" xfId="32390" xr:uid="{00000000-0005-0000-0000-000000020000}"/>
    <cellStyle name="Border Thin 3 2 7 2 3" xfId="50753" xr:uid="{00000000-0005-0000-0000-000000020000}"/>
    <cellStyle name="Border Thin 3 2 7 3" xfId="28628" xr:uid="{00000000-0005-0000-0000-000000020000}"/>
    <cellStyle name="Border Thin 3 2 7 3 2" xfId="46991" xr:uid="{00000000-0005-0000-0000-000000020000}"/>
    <cellStyle name="Border Thin 3 2 7 4" xfId="19219" xr:uid="{00000000-0005-0000-0000-000000020000}"/>
    <cellStyle name="Border Thin 3 2 7 5" xfId="37626" xr:uid="{00000000-0005-0000-0000-000000020000}"/>
    <cellStyle name="Border Thin 3 2 8" xfId="8950" xr:uid="{00000000-0005-0000-0000-000000020000}"/>
    <cellStyle name="Border Thin 3 3" xfId="1524" xr:uid="{00000000-0005-0000-0000-000004020000}"/>
    <cellStyle name="Border Thin 3 3 10" xfId="14832" xr:uid="{00000000-0005-0000-0000-000004020000}"/>
    <cellStyle name="Border Thin 3 3 11" xfId="6963" xr:uid="{00000000-0005-0000-0000-000004020000}"/>
    <cellStyle name="Border Thin 3 3 2" xfId="1690" xr:uid="{00000000-0005-0000-0000-000005020000}"/>
    <cellStyle name="Border Thin 3 3 2 2" xfId="3588" xr:uid="{00000000-0005-0000-0000-000005020000}"/>
    <cellStyle name="Border Thin 3 3 2 2 2" xfId="5761" xr:uid="{00000000-0005-0000-0000-000005020000}"/>
    <cellStyle name="Border Thin 3 3 2 2 2 2" xfId="12125" xr:uid="{00000000-0005-0000-0000-000005020000}"/>
    <cellStyle name="Border Thin 3 3 2 2 2 2 2" xfId="30572" xr:uid="{00000000-0005-0000-0000-000005020000}"/>
    <cellStyle name="Border Thin 3 3 2 2 2 2 3" xfId="48935" xr:uid="{00000000-0005-0000-0000-000005020000}"/>
    <cellStyle name="Border Thin 3 3 2 2 2 3" xfId="16451" xr:uid="{00000000-0005-0000-0000-000005020000}"/>
    <cellStyle name="Border Thin 3 3 2 2 2 3 2" xfId="34823" xr:uid="{00000000-0005-0000-0000-000005020000}"/>
    <cellStyle name="Border Thin 3 3 2 2 2 3 3" xfId="53186" xr:uid="{00000000-0005-0000-0000-000005020000}"/>
    <cellStyle name="Border Thin 3 3 2 2 2 4" xfId="25570" xr:uid="{00000000-0005-0000-0000-000005020000}"/>
    <cellStyle name="Border Thin 3 3 2 2 2 4 2" xfId="43939" xr:uid="{00000000-0005-0000-0000-000005020000}"/>
    <cellStyle name="Border Thin 3 3 2 2 2 5" xfId="21891" xr:uid="{00000000-0005-0000-0000-000005020000}"/>
    <cellStyle name="Border Thin 3 3 2 2 2 6" xfId="40270" xr:uid="{00000000-0005-0000-0000-000005020000}"/>
    <cellStyle name="Border Thin 3 3 2 2 3" xfId="6587" xr:uid="{00000000-0005-0000-0000-000005020000}"/>
    <cellStyle name="Border Thin 3 3 2 2 3 2" xfId="12878" xr:uid="{00000000-0005-0000-0000-000005020000}"/>
    <cellStyle name="Border Thin 3 3 2 2 3 2 2" xfId="31304" xr:uid="{00000000-0005-0000-0000-000005020000}"/>
    <cellStyle name="Border Thin 3 3 2 2 3 2 3" xfId="49667" xr:uid="{00000000-0005-0000-0000-000005020000}"/>
    <cellStyle name="Border Thin 3 3 2 2 3 3" xfId="17189" xr:uid="{00000000-0005-0000-0000-000005020000}"/>
    <cellStyle name="Border Thin 3 3 2 2 3 3 2" xfId="35537" xr:uid="{00000000-0005-0000-0000-000005020000}"/>
    <cellStyle name="Border Thin 3 3 2 2 3 3 3" xfId="53900" xr:uid="{00000000-0005-0000-0000-000005020000}"/>
    <cellStyle name="Border Thin 3 3 2 2 3 4" xfId="26322" xr:uid="{00000000-0005-0000-0000-000005020000}"/>
    <cellStyle name="Border Thin 3 3 2 2 3 4 2" xfId="44691" xr:uid="{00000000-0005-0000-0000-000005020000}"/>
    <cellStyle name="Border Thin 3 3 2 2 3 5" xfId="22615" xr:uid="{00000000-0005-0000-0000-000005020000}"/>
    <cellStyle name="Border Thin 3 3 2 2 3 6" xfId="40984" xr:uid="{00000000-0005-0000-0000-000005020000}"/>
    <cellStyle name="Border Thin 3 3 2 2 4" xfId="10301" xr:uid="{00000000-0005-0000-0000-000005020000}"/>
    <cellStyle name="Border Thin 3 3 2 2 4 2" xfId="14358" xr:uid="{00000000-0005-0000-0000-000005020000}"/>
    <cellStyle name="Border Thin 3 3 2 2 4 2 2" xfId="32774" xr:uid="{00000000-0005-0000-0000-000005020000}"/>
    <cellStyle name="Border Thin 3 3 2 2 4 2 3" xfId="51137" xr:uid="{00000000-0005-0000-0000-000005020000}"/>
    <cellStyle name="Border Thin 3 3 2 2 4 3" xfId="29012" xr:uid="{00000000-0005-0000-0000-000005020000}"/>
    <cellStyle name="Border Thin 3 3 2 2 4 3 2" xfId="47375" xr:uid="{00000000-0005-0000-0000-000005020000}"/>
    <cellStyle name="Border Thin 3 3 2 2 4 4" xfId="19815" xr:uid="{00000000-0005-0000-0000-000005020000}"/>
    <cellStyle name="Border Thin 3 3 2 2 4 5" xfId="38221" xr:uid="{00000000-0005-0000-0000-000005020000}"/>
    <cellStyle name="Border Thin 3 3 2 2 5" xfId="9509" xr:uid="{00000000-0005-0000-0000-000005020000}"/>
    <cellStyle name="Border Thin 3 3 2 2 5 2" xfId="28226" xr:uid="{00000000-0005-0000-0000-000005020000}"/>
    <cellStyle name="Border Thin 3 3 2 2 5 3" xfId="46589" xr:uid="{00000000-0005-0000-0000-000005020000}"/>
    <cellStyle name="Border Thin 3 3 2 2 6" xfId="13567" xr:uid="{00000000-0005-0000-0000-000005020000}"/>
    <cellStyle name="Border Thin 3 3 2 2 6 2" xfId="31988" xr:uid="{00000000-0005-0000-0000-000005020000}"/>
    <cellStyle name="Border Thin 3 3 2 2 6 3" xfId="50351" xr:uid="{00000000-0005-0000-0000-000005020000}"/>
    <cellStyle name="Border Thin 3 3 2 2 7" xfId="23496" xr:uid="{00000000-0005-0000-0000-000005020000}"/>
    <cellStyle name="Border Thin 3 3 2 2 7 2" xfId="41865" xr:uid="{00000000-0005-0000-0000-000005020000}"/>
    <cellStyle name="Border Thin 3 3 2 2 8" xfId="18607" xr:uid="{00000000-0005-0000-0000-000005020000}"/>
    <cellStyle name="Border Thin 3 3 2 2 9" xfId="37017" xr:uid="{00000000-0005-0000-0000-000005020000}"/>
    <cellStyle name="Border Thin 3 3 2 3" xfId="4629" xr:uid="{00000000-0005-0000-0000-000005020000}"/>
    <cellStyle name="Border Thin 3 3 2 3 2" xfId="11213" xr:uid="{00000000-0005-0000-0000-000005020000}"/>
    <cellStyle name="Border Thin 3 3 2 3 2 2" xfId="29825" xr:uid="{00000000-0005-0000-0000-000005020000}"/>
    <cellStyle name="Border Thin 3 3 2 3 2 3" xfId="48188" xr:uid="{00000000-0005-0000-0000-000005020000}"/>
    <cellStyle name="Border Thin 3 3 2 3 3" xfId="15355" xr:uid="{00000000-0005-0000-0000-000005020000}"/>
    <cellStyle name="Border Thin 3 3 2 3 3 2" xfId="33748" xr:uid="{00000000-0005-0000-0000-000005020000}"/>
    <cellStyle name="Border Thin 3 3 2 3 3 3" xfId="52111" xr:uid="{00000000-0005-0000-0000-000005020000}"/>
    <cellStyle name="Border Thin 3 3 2 3 4" xfId="24479" xr:uid="{00000000-0005-0000-0000-000005020000}"/>
    <cellStyle name="Border Thin 3 3 2 3 4 2" xfId="42848" xr:uid="{00000000-0005-0000-0000-000005020000}"/>
    <cellStyle name="Border Thin 3 3 2 3 5" xfId="20806" xr:uid="{00000000-0005-0000-0000-000005020000}"/>
    <cellStyle name="Border Thin 3 3 2 3 6" xfId="39195" xr:uid="{00000000-0005-0000-0000-000005020000}"/>
    <cellStyle name="Border Thin 3 3 2 4" xfId="4175" xr:uid="{00000000-0005-0000-0000-000005020000}"/>
    <cellStyle name="Border Thin 3 3 2 4 2" xfId="10827" xr:uid="{00000000-0005-0000-0000-000005020000}"/>
    <cellStyle name="Border Thin 3 3 2 4 2 2" xfId="29499" xr:uid="{00000000-0005-0000-0000-000005020000}"/>
    <cellStyle name="Border Thin 3 3 2 4 2 3" xfId="47862" xr:uid="{00000000-0005-0000-0000-000005020000}"/>
    <cellStyle name="Border Thin 3 3 2 4 3" xfId="14921" xr:uid="{00000000-0005-0000-0000-000005020000}"/>
    <cellStyle name="Border Thin 3 3 2 4 3 2" xfId="33325" xr:uid="{00000000-0005-0000-0000-000005020000}"/>
    <cellStyle name="Border Thin 3 3 2 4 3 3" xfId="51688" xr:uid="{00000000-0005-0000-0000-000005020000}"/>
    <cellStyle name="Border Thin 3 3 2 4 4" xfId="24054" xr:uid="{00000000-0005-0000-0000-000005020000}"/>
    <cellStyle name="Border Thin 3 3 2 4 4 2" xfId="42423" xr:uid="{00000000-0005-0000-0000-000005020000}"/>
    <cellStyle name="Border Thin 3 3 2 4 5" xfId="20374" xr:uid="{00000000-0005-0000-0000-000005020000}"/>
    <cellStyle name="Border Thin 3 3 2 4 6" xfId="38772" xr:uid="{00000000-0005-0000-0000-000005020000}"/>
    <cellStyle name="Border Thin 3 3 2 5" xfId="9710" xr:uid="{00000000-0005-0000-0000-000005020000}"/>
    <cellStyle name="Border Thin 3 3 2 5 2" xfId="13767" xr:uid="{00000000-0005-0000-0000-000005020000}"/>
    <cellStyle name="Border Thin 3 3 2 5 2 2" xfId="32188" xr:uid="{00000000-0005-0000-0000-000005020000}"/>
    <cellStyle name="Border Thin 3 3 2 5 2 3" xfId="50551" xr:uid="{00000000-0005-0000-0000-000005020000}"/>
    <cellStyle name="Border Thin 3 3 2 5 3" xfId="28426" xr:uid="{00000000-0005-0000-0000-000005020000}"/>
    <cellStyle name="Border Thin 3 3 2 5 3 2" xfId="46789" xr:uid="{00000000-0005-0000-0000-000005020000}"/>
    <cellStyle name="Border Thin 3 3 2 5 4" xfId="18857" xr:uid="{00000000-0005-0000-0000-000005020000}"/>
    <cellStyle name="Border Thin 3 3 2 5 5" xfId="37266" xr:uid="{00000000-0005-0000-0000-000005020000}"/>
    <cellStyle name="Border Thin 3 3 2 6" xfId="7486" xr:uid="{00000000-0005-0000-0000-000005020000}"/>
    <cellStyle name="Border Thin 3 3 2 6 2" xfId="26852" xr:uid="{00000000-0005-0000-0000-000005020000}"/>
    <cellStyle name="Border Thin 3 3 2 6 3" xfId="45217" xr:uid="{00000000-0005-0000-0000-000005020000}"/>
    <cellStyle name="Border Thin 3 3 2 7" xfId="18809" xr:uid="{00000000-0005-0000-0000-000005020000}"/>
    <cellStyle name="Border Thin 3 3 2 7 2" xfId="37218" xr:uid="{00000000-0005-0000-0000-000005020000}"/>
    <cellStyle name="Border Thin 3 3 2 8" xfId="15858" xr:uid="{00000000-0005-0000-0000-000005020000}"/>
    <cellStyle name="Border Thin 3 3 3" xfId="1411" xr:uid="{00000000-0005-0000-0000-000006020000}"/>
    <cellStyle name="Border Thin 3 3 3 10" xfId="7177" xr:uid="{00000000-0005-0000-0000-000006020000}"/>
    <cellStyle name="Border Thin 3 3 3 2" xfId="3444" xr:uid="{00000000-0005-0000-0000-000006020000}"/>
    <cellStyle name="Border Thin 3 3 3 2 2" xfId="5619" xr:uid="{00000000-0005-0000-0000-000006020000}"/>
    <cellStyle name="Border Thin 3 3 3 2 2 2" xfId="11983" xr:uid="{00000000-0005-0000-0000-000006020000}"/>
    <cellStyle name="Border Thin 3 3 3 2 2 2 2" xfId="30430" xr:uid="{00000000-0005-0000-0000-000006020000}"/>
    <cellStyle name="Border Thin 3 3 3 2 2 2 3" xfId="48793" xr:uid="{00000000-0005-0000-0000-000006020000}"/>
    <cellStyle name="Border Thin 3 3 3 2 2 3" xfId="16309" xr:uid="{00000000-0005-0000-0000-000006020000}"/>
    <cellStyle name="Border Thin 3 3 3 2 2 3 2" xfId="34681" xr:uid="{00000000-0005-0000-0000-000006020000}"/>
    <cellStyle name="Border Thin 3 3 3 2 2 3 3" xfId="53044" xr:uid="{00000000-0005-0000-0000-000006020000}"/>
    <cellStyle name="Border Thin 3 3 3 2 2 4" xfId="25428" xr:uid="{00000000-0005-0000-0000-000006020000}"/>
    <cellStyle name="Border Thin 3 3 3 2 2 4 2" xfId="43797" xr:uid="{00000000-0005-0000-0000-000006020000}"/>
    <cellStyle name="Border Thin 3 3 3 2 2 5" xfId="21749" xr:uid="{00000000-0005-0000-0000-000006020000}"/>
    <cellStyle name="Border Thin 3 3 3 2 2 6" xfId="40128" xr:uid="{00000000-0005-0000-0000-000006020000}"/>
    <cellStyle name="Border Thin 3 3 3 2 3" xfId="6443" xr:uid="{00000000-0005-0000-0000-000006020000}"/>
    <cellStyle name="Border Thin 3 3 3 2 3 2" xfId="12734" xr:uid="{00000000-0005-0000-0000-000006020000}"/>
    <cellStyle name="Border Thin 3 3 3 2 3 2 2" xfId="31160" xr:uid="{00000000-0005-0000-0000-000006020000}"/>
    <cellStyle name="Border Thin 3 3 3 2 3 2 3" xfId="49523" xr:uid="{00000000-0005-0000-0000-000006020000}"/>
    <cellStyle name="Border Thin 3 3 3 2 3 3" xfId="17045" xr:uid="{00000000-0005-0000-0000-000006020000}"/>
    <cellStyle name="Border Thin 3 3 3 2 3 3 2" xfId="35393" xr:uid="{00000000-0005-0000-0000-000006020000}"/>
    <cellStyle name="Border Thin 3 3 3 2 3 3 3" xfId="53756" xr:uid="{00000000-0005-0000-0000-000006020000}"/>
    <cellStyle name="Border Thin 3 3 3 2 3 4" xfId="26178" xr:uid="{00000000-0005-0000-0000-000006020000}"/>
    <cellStyle name="Border Thin 3 3 3 2 3 4 2" xfId="44547" xr:uid="{00000000-0005-0000-0000-000006020000}"/>
    <cellStyle name="Border Thin 3 3 3 2 3 5" xfId="22471" xr:uid="{00000000-0005-0000-0000-000006020000}"/>
    <cellStyle name="Border Thin 3 3 3 2 3 6" xfId="40840" xr:uid="{00000000-0005-0000-0000-000006020000}"/>
    <cellStyle name="Border Thin 3 3 3 2 4" xfId="10157" xr:uid="{00000000-0005-0000-0000-000006020000}"/>
    <cellStyle name="Border Thin 3 3 3 2 4 2" xfId="14214" xr:uid="{00000000-0005-0000-0000-000006020000}"/>
    <cellStyle name="Border Thin 3 3 3 2 4 2 2" xfId="32630" xr:uid="{00000000-0005-0000-0000-000006020000}"/>
    <cellStyle name="Border Thin 3 3 3 2 4 2 3" xfId="50993" xr:uid="{00000000-0005-0000-0000-000006020000}"/>
    <cellStyle name="Border Thin 3 3 3 2 4 3" xfId="28868" xr:uid="{00000000-0005-0000-0000-000006020000}"/>
    <cellStyle name="Border Thin 3 3 3 2 4 3 2" xfId="47231" xr:uid="{00000000-0005-0000-0000-000006020000}"/>
    <cellStyle name="Border Thin 3 3 3 2 4 4" xfId="19671" xr:uid="{00000000-0005-0000-0000-000006020000}"/>
    <cellStyle name="Border Thin 3 3 3 2 4 5" xfId="38077" xr:uid="{00000000-0005-0000-0000-000006020000}"/>
    <cellStyle name="Border Thin 3 3 3 2 5" xfId="9344" xr:uid="{00000000-0005-0000-0000-000006020000}"/>
    <cellStyle name="Border Thin 3 3 3 2 5 2" xfId="28063" xr:uid="{00000000-0005-0000-0000-000006020000}"/>
    <cellStyle name="Border Thin 3 3 3 2 5 3" xfId="46426" xr:uid="{00000000-0005-0000-0000-000006020000}"/>
    <cellStyle name="Border Thin 3 3 3 2 6" xfId="13400" xr:uid="{00000000-0005-0000-0000-000006020000}"/>
    <cellStyle name="Border Thin 3 3 3 2 6 2" xfId="31821" xr:uid="{00000000-0005-0000-0000-000006020000}"/>
    <cellStyle name="Border Thin 3 3 3 2 6 3" xfId="50184" xr:uid="{00000000-0005-0000-0000-000006020000}"/>
    <cellStyle name="Border Thin 3 3 3 2 7" xfId="23352" xr:uid="{00000000-0005-0000-0000-000006020000}"/>
    <cellStyle name="Border Thin 3 3 3 2 7 2" xfId="41721" xr:uid="{00000000-0005-0000-0000-000006020000}"/>
    <cellStyle name="Border Thin 3 3 3 2 8" xfId="18423" xr:uid="{00000000-0005-0000-0000-000006020000}"/>
    <cellStyle name="Border Thin 3 3 3 2 9" xfId="36829" xr:uid="{00000000-0005-0000-0000-000006020000}"/>
    <cellStyle name="Border Thin 3 3 3 3" xfId="4437" xr:uid="{00000000-0005-0000-0000-000006020000}"/>
    <cellStyle name="Border Thin 3 3 3 3 2" xfId="11036" xr:uid="{00000000-0005-0000-0000-000006020000}"/>
    <cellStyle name="Border Thin 3 3 3 3 2 2" xfId="29656" xr:uid="{00000000-0005-0000-0000-000006020000}"/>
    <cellStyle name="Border Thin 3 3 3 3 2 3" xfId="48019" xr:uid="{00000000-0005-0000-0000-000006020000}"/>
    <cellStyle name="Border Thin 3 3 3 3 3" xfId="15171" xr:uid="{00000000-0005-0000-0000-000006020000}"/>
    <cellStyle name="Border Thin 3 3 3 3 3 2" xfId="33568" xr:uid="{00000000-0005-0000-0000-000006020000}"/>
    <cellStyle name="Border Thin 3 3 3 3 3 3" xfId="51931" xr:uid="{00000000-0005-0000-0000-000006020000}"/>
    <cellStyle name="Border Thin 3 3 3 3 4" xfId="24299" xr:uid="{00000000-0005-0000-0000-000006020000}"/>
    <cellStyle name="Border Thin 3 3 3 3 4 2" xfId="42668" xr:uid="{00000000-0005-0000-0000-000006020000}"/>
    <cellStyle name="Border Thin 3 3 3 3 5" xfId="20622" xr:uid="{00000000-0005-0000-0000-000006020000}"/>
    <cellStyle name="Border Thin 3 3 3 3 6" xfId="39015" xr:uid="{00000000-0005-0000-0000-000006020000}"/>
    <cellStyle name="Border Thin 3 3 3 4" xfId="5053" xr:uid="{00000000-0005-0000-0000-000006020000}"/>
    <cellStyle name="Border Thin 3 3 3 4 2" xfId="11575" xr:uid="{00000000-0005-0000-0000-000006020000}"/>
    <cellStyle name="Border Thin 3 3 3 4 2 2" xfId="30143" xr:uid="{00000000-0005-0000-0000-000006020000}"/>
    <cellStyle name="Border Thin 3 3 3 4 2 3" xfId="48506" xr:uid="{00000000-0005-0000-0000-000006020000}"/>
    <cellStyle name="Border Thin 3 3 3 4 3" xfId="15766" xr:uid="{00000000-0005-0000-0000-000006020000}"/>
    <cellStyle name="Border Thin 3 3 3 4 3 2" xfId="34153" xr:uid="{00000000-0005-0000-0000-000006020000}"/>
    <cellStyle name="Border Thin 3 3 3 4 3 3" xfId="52516" xr:uid="{00000000-0005-0000-0000-000006020000}"/>
    <cellStyle name="Border Thin 3 3 3 4 4" xfId="24889" xr:uid="{00000000-0005-0000-0000-000006020000}"/>
    <cellStyle name="Border Thin 3 3 3 4 4 2" xfId="43258" xr:uid="{00000000-0005-0000-0000-000006020000}"/>
    <cellStyle name="Border Thin 3 3 3 4 5" xfId="21214" xr:uid="{00000000-0005-0000-0000-000006020000}"/>
    <cellStyle name="Border Thin 3 3 3 4 6" xfId="39600" xr:uid="{00000000-0005-0000-0000-000006020000}"/>
    <cellStyle name="Border Thin 3 3 3 5" xfId="9382" xr:uid="{00000000-0005-0000-0000-000006020000}"/>
    <cellStyle name="Border Thin 3 3 3 5 2" xfId="13438" xr:uid="{00000000-0005-0000-0000-000006020000}"/>
    <cellStyle name="Border Thin 3 3 3 5 2 2" xfId="31859" xr:uid="{00000000-0005-0000-0000-000006020000}"/>
    <cellStyle name="Border Thin 3 3 3 5 2 3" xfId="50222" xr:uid="{00000000-0005-0000-0000-000006020000}"/>
    <cellStyle name="Border Thin 3 3 3 5 3" xfId="28101" xr:uid="{00000000-0005-0000-0000-000006020000}"/>
    <cellStyle name="Border Thin 3 3 3 5 3 2" xfId="46464" xr:uid="{00000000-0005-0000-0000-000006020000}"/>
    <cellStyle name="Border Thin 3 3 3 5 4" xfId="18464" xr:uid="{00000000-0005-0000-0000-000006020000}"/>
    <cellStyle name="Border Thin 3 3 3 5 5" xfId="36870" xr:uid="{00000000-0005-0000-0000-000006020000}"/>
    <cellStyle name="Border Thin 3 3 3 6" xfId="7703" xr:uid="{00000000-0005-0000-0000-000006020000}"/>
    <cellStyle name="Border Thin 3 3 3 6 2" xfId="26985" xr:uid="{00000000-0005-0000-0000-000006020000}"/>
    <cellStyle name="Border Thin 3 3 3 6 3" xfId="45350" xr:uid="{00000000-0005-0000-0000-000006020000}"/>
    <cellStyle name="Border Thin 3 3 3 7" xfId="7424" xr:uid="{00000000-0005-0000-0000-000006020000}"/>
    <cellStyle name="Border Thin 3 3 3 7 2" xfId="26812" xr:uid="{00000000-0005-0000-0000-000006020000}"/>
    <cellStyle name="Border Thin 3 3 3 7 3" xfId="45180" xr:uid="{00000000-0005-0000-0000-000006020000}"/>
    <cellStyle name="Border Thin 3 3 3 8" xfId="18311" xr:uid="{00000000-0005-0000-0000-000006020000}"/>
    <cellStyle name="Border Thin 3 3 3 8 2" xfId="36717" xr:uid="{00000000-0005-0000-0000-000006020000}"/>
    <cellStyle name="Border Thin 3 3 3 9" xfId="8458" xr:uid="{00000000-0005-0000-0000-000006020000}"/>
    <cellStyle name="Border Thin 3 3 4" xfId="1494" xr:uid="{00000000-0005-0000-0000-000007020000}"/>
    <cellStyle name="Border Thin 3 3 4 10" xfId="7292" xr:uid="{00000000-0005-0000-0000-000007020000}"/>
    <cellStyle name="Border Thin 3 3 4 2" xfId="3505" xr:uid="{00000000-0005-0000-0000-000007020000}"/>
    <cellStyle name="Border Thin 3 3 4 2 2" xfId="5679" xr:uid="{00000000-0005-0000-0000-000007020000}"/>
    <cellStyle name="Border Thin 3 3 4 2 2 2" xfId="12043" xr:uid="{00000000-0005-0000-0000-000007020000}"/>
    <cellStyle name="Border Thin 3 3 4 2 2 2 2" xfId="30490" xr:uid="{00000000-0005-0000-0000-000007020000}"/>
    <cellStyle name="Border Thin 3 3 4 2 2 2 3" xfId="48853" xr:uid="{00000000-0005-0000-0000-000007020000}"/>
    <cellStyle name="Border Thin 3 3 4 2 2 3" xfId="16369" xr:uid="{00000000-0005-0000-0000-000007020000}"/>
    <cellStyle name="Border Thin 3 3 4 2 2 3 2" xfId="34741" xr:uid="{00000000-0005-0000-0000-000007020000}"/>
    <cellStyle name="Border Thin 3 3 4 2 2 3 3" xfId="53104" xr:uid="{00000000-0005-0000-0000-000007020000}"/>
    <cellStyle name="Border Thin 3 3 4 2 2 4" xfId="25488" xr:uid="{00000000-0005-0000-0000-000007020000}"/>
    <cellStyle name="Border Thin 3 3 4 2 2 4 2" xfId="43857" xr:uid="{00000000-0005-0000-0000-000007020000}"/>
    <cellStyle name="Border Thin 3 3 4 2 2 5" xfId="21809" xr:uid="{00000000-0005-0000-0000-000007020000}"/>
    <cellStyle name="Border Thin 3 3 4 2 2 6" xfId="40188" xr:uid="{00000000-0005-0000-0000-000007020000}"/>
    <cellStyle name="Border Thin 3 3 4 2 3" xfId="6504" xr:uid="{00000000-0005-0000-0000-000007020000}"/>
    <cellStyle name="Border Thin 3 3 4 2 3 2" xfId="12795" xr:uid="{00000000-0005-0000-0000-000007020000}"/>
    <cellStyle name="Border Thin 3 3 4 2 3 2 2" xfId="31221" xr:uid="{00000000-0005-0000-0000-000007020000}"/>
    <cellStyle name="Border Thin 3 3 4 2 3 2 3" xfId="49584" xr:uid="{00000000-0005-0000-0000-000007020000}"/>
    <cellStyle name="Border Thin 3 3 4 2 3 3" xfId="17106" xr:uid="{00000000-0005-0000-0000-000007020000}"/>
    <cellStyle name="Border Thin 3 3 4 2 3 3 2" xfId="35454" xr:uid="{00000000-0005-0000-0000-000007020000}"/>
    <cellStyle name="Border Thin 3 3 4 2 3 3 3" xfId="53817" xr:uid="{00000000-0005-0000-0000-000007020000}"/>
    <cellStyle name="Border Thin 3 3 4 2 3 4" xfId="26239" xr:uid="{00000000-0005-0000-0000-000007020000}"/>
    <cellStyle name="Border Thin 3 3 4 2 3 4 2" xfId="44608" xr:uid="{00000000-0005-0000-0000-000007020000}"/>
    <cellStyle name="Border Thin 3 3 4 2 3 5" xfId="22532" xr:uid="{00000000-0005-0000-0000-000007020000}"/>
    <cellStyle name="Border Thin 3 3 4 2 3 6" xfId="40901" xr:uid="{00000000-0005-0000-0000-000007020000}"/>
    <cellStyle name="Border Thin 3 3 4 2 4" xfId="10218" xr:uid="{00000000-0005-0000-0000-000007020000}"/>
    <cellStyle name="Border Thin 3 3 4 2 4 2" xfId="14275" xr:uid="{00000000-0005-0000-0000-000007020000}"/>
    <cellStyle name="Border Thin 3 3 4 2 4 2 2" xfId="32691" xr:uid="{00000000-0005-0000-0000-000007020000}"/>
    <cellStyle name="Border Thin 3 3 4 2 4 2 3" xfId="51054" xr:uid="{00000000-0005-0000-0000-000007020000}"/>
    <cellStyle name="Border Thin 3 3 4 2 4 3" xfId="28929" xr:uid="{00000000-0005-0000-0000-000007020000}"/>
    <cellStyle name="Border Thin 3 3 4 2 4 3 2" xfId="47292" xr:uid="{00000000-0005-0000-0000-000007020000}"/>
    <cellStyle name="Border Thin 3 3 4 2 4 4" xfId="19732" xr:uid="{00000000-0005-0000-0000-000007020000}"/>
    <cellStyle name="Border Thin 3 3 4 2 4 5" xfId="38138" xr:uid="{00000000-0005-0000-0000-000007020000}"/>
    <cellStyle name="Border Thin 3 3 4 2 5" xfId="9412" xr:uid="{00000000-0005-0000-0000-000007020000}"/>
    <cellStyle name="Border Thin 3 3 4 2 5 2" xfId="28129" xr:uid="{00000000-0005-0000-0000-000007020000}"/>
    <cellStyle name="Border Thin 3 3 4 2 5 3" xfId="46492" xr:uid="{00000000-0005-0000-0000-000007020000}"/>
    <cellStyle name="Border Thin 3 3 4 2 6" xfId="13469" xr:uid="{00000000-0005-0000-0000-000007020000}"/>
    <cellStyle name="Border Thin 3 3 4 2 6 2" xfId="31890" xr:uid="{00000000-0005-0000-0000-000007020000}"/>
    <cellStyle name="Border Thin 3 3 4 2 6 3" xfId="50253" xr:uid="{00000000-0005-0000-0000-000007020000}"/>
    <cellStyle name="Border Thin 3 3 4 2 7" xfId="23413" xr:uid="{00000000-0005-0000-0000-000007020000}"/>
    <cellStyle name="Border Thin 3 3 4 2 7 2" xfId="41782" xr:uid="{00000000-0005-0000-0000-000007020000}"/>
    <cellStyle name="Border Thin 3 3 4 2 8" xfId="18493" xr:uid="{00000000-0005-0000-0000-000007020000}"/>
    <cellStyle name="Border Thin 3 3 4 2 9" xfId="36902" xr:uid="{00000000-0005-0000-0000-000007020000}"/>
    <cellStyle name="Border Thin 3 3 4 3" xfId="4506" xr:uid="{00000000-0005-0000-0000-000007020000}"/>
    <cellStyle name="Border Thin 3 3 4 3 2" xfId="11100" xr:uid="{00000000-0005-0000-0000-000007020000}"/>
    <cellStyle name="Border Thin 3 3 4 3 2 2" xfId="29718" xr:uid="{00000000-0005-0000-0000-000007020000}"/>
    <cellStyle name="Border Thin 3 3 4 3 2 3" xfId="48081" xr:uid="{00000000-0005-0000-0000-000007020000}"/>
    <cellStyle name="Border Thin 3 3 4 3 3" xfId="15237" xr:uid="{00000000-0005-0000-0000-000007020000}"/>
    <cellStyle name="Border Thin 3 3 4 3 3 2" xfId="33632" xr:uid="{00000000-0005-0000-0000-000007020000}"/>
    <cellStyle name="Border Thin 3 3 4 3 3 3" xfId="51995" xr:uid="{00000000-0005-0000-0000-000007020000}"/>
    <cellStyle name="Border Thin 3 3 4 3 4" xfId="24363" xr:uid="{00000000-0005-0000-0000-000007020000}"/>
    <cellStyle name="Border Thin 3 3 4 3 4 2" xfId="42732" xr:uid="{00000000-0005-0000-0000-000007020000}"/>
    <cellStyle name="Border Thin 3 3 4 3 5" xfId="20687" xr:uid="{00000000-0005-0000-0000-000007020000}"/>
    <cellStyle name="Border Thin 3 3 4 3 6" xfId="39079" xr:uid="{00000000-0005-0000-0000-000007020000}"/>
    <cellStyle name="Border Thin 3 3 4 4" xfId="5047" xr:uid="{00000000-0005-0000-0000-000007020000}"/>
    <cellStyle name="Border Thin 3 3 4 4 2" xfId="11569" xr:uid="{00000000-0005-0000-0000-000007020000}"/>
    <cellStyle name="Border Thin 3 3 4 4 2 2" xfId="30140" xr:uid="{00000000-0005-0000-0000-000007020000}"/>
    <cellStyle name="Border Thin 3 3 4 4 2 3" xfId="48503" xr:uid="{00000000-0005-0000-0000-000007020000}"/>
    <cellStyle name="Border Thin 3 3 4 4 3" xfId="15760" xr:uid="{00000000-0005-0000-0000-000007020000}"/>
    <cellStyle name="Border Thin 3 3 4 4 3 2" xfId="34148" xr:uid="{00000000-0005-0000-0000-000007020000}"/>
    <cellStyle name="Border Thin 3 3 4 4 3 3" xfId="52511" xr:uid="{00000000-0005-0000-0000-000007020000}"/>
    <cellStyle name="Border Thin 3 3 4 4 4" xfId="24884" xr:uid="{00000000-0005-0000-0000-000007020000}"/>
    <cellStyle name="Border Thin 3 3 4 4 4 2" xfId="43253" xr:uid="{00000000-0005-0000-0000-000007020000}"/>
    <cellStyle name="Border Thin 3 3 4 4 5" xfId="21208" xr:uid="{00000000-0005-0000-0000-000007020000}"/>
    <cellStyle name="Border Thin 3 3 4 4 6" xfId="39595" xr:uid="{00000000-0005-0000-0000-000007020000}"/>
    <cellStyle name="Border Thin 3 3 4 5" xfId="9222" xr:uid="{00000000-0005-0000-0000-000007020000}"/>
    <cellStyle name="Border Thin 3 3 4 5 2" xfId="13279" xr:uid="{00000000-0005-0000-0000-000007020000}"/>
    <cellStyle name="Border Thin 3 3 4 5 2 2" xfId="31700" xr:uid="{00000000-0005-0000-0000-000007020000}"/>
    <cellStyle name="Border Thin 3 3 4 5 2 3" xfId="50063" xr:uid="{00000000-0005-0000-0000-000007020000}"/>
    <cellStyle name="Border Thin 3 3 4 5 3" xfId="27942" xr:uid="{00000000-0005-0000-0000-000007020000}"/>
    <cellStyle name="Border Thin 3 3 4 5 3 2" xfId="46305" xr:uid="{00000000-0005-0000-0000-000007020000}"/>
    <cellStyle name="Border Thin 3 3 4 5 4" xfId="18269" xr:uid="{00000000-0005-0000-0000-000007020000}"/>
    <cellStyle name="Border Thin 3 3 4 5 5" xfId="36675" xr:uid="{00000000-0005-0000-0000-000007020000}"/>
    <cellStyle name="Border Thin 3 3 4 6" xfId="7775" xr:uid="{00000000-0005-0000-0000-000007020000}"/>
    <cellStyle name="Border Thin 3 3 4 6 2" xfId="27048" xr:uid="{00000000-0005-0000-0000-000007020000}"/>
    <cellStyle name="Border Thin 3 3 4 6 3" xfId="45413" xr:uid="{00000000-0005-0000-0000-000007020000}"/>
    <cellStyle name="Border Thin 3 3 4 7" xfId="7904" xr:uid="{00000000-0005-0000-0000-000007020000}"/>
    <cellStyle name="Border Thin 3 3 4 7 2" xfId="27136" xr:uid="{00000000-0005-0000-0000-000007020000}"/>
    <cellStyle name="Border Thin 3 3 4 7 3" xfId="45501" xr:uid="{00000000-0005-0000-0000-000007020000}"/>
    <cellStyle name="Border Thin 3 3 4 8" xfId="19330" xr:uid="{00000000-0005-0000-0000-000007020000}"/>
    <cellStyle name="Border Thin 3 3 4 8 2" xfId="37737" xr:uid="{00000000-0005-0000-0000-000007020000}"/>
    <cellStyle name="Border Thin 3 3 4 9" xfId="7270" xr:uid="{00000000-0005-0000-0000-000007020000}"/>
    <cellStyle name="Border Thin 3 3 5" xfId="3527" xr:uid="{00000000-0005-0000-0000-000004020000}"/>
    <cellStyle name="Border Thin 3 3 5 2" xfId="5701" xr:uid="{00000000-0005-0000-0000-000004020000}"/>
    <cellStyle name="Border Thin 3 3 5 2 2" xfId="12065" xr:uid="{00000000-0005-0000-0000-000004020000}"/>
    <cellStyle name="Border Thin 3 3 5 2 2 2" xfId="30512" xr:uid="{00000000-0005-0000-0000-000004020000}"/>
    <cellStyle name="Border Thin 3 3 5 2 2 3" xfId="48875" xr:uid="{00000000-0005-0000-0000-000004020000}"/>
    <cellStyle name="Border Thin 3 3 5 2 3" xfId="16391" xr:uid="{00000000-0005-0000-0000-000004020000}"/>
    <cellStyle name="Border Thin 3 3 5 2 3 2" xfId="34763" xr:uid="{00000000-0005-0000-0000-000004020000}"/>
    <cellStyle name="Border Thin 3 3 5 2 3 3" xfId="53126" xr:uid="{00000000-0005-0000-0000-000004020000}"/>
    <cellStyle name="Border Thin 3 3 5 2 4" xfId="25510" xr:uid="{00000000-0005-0000-0000-000004020000}"/>
    <cellStyle name="Border Thin 3 3 5 2 4 2" xfId="43879" xr:uid="{00000000-0005-0000-0000-000004020000}"/>
    <cellStyle name="Border Thin 3 3 5 2 5" xfId="21831" xr:uid="{00000000-0005-0000-0000-000004020000}"/>
    <cellStyle name="Border Thin 3 3 5 2 6" xfId="40210" xr:uid="{00000000-0005-0000-0000-000004020000}"/>
    <cellStyle name="Border Thin 3 3 5 3" xfId="6526" xr:uid="{00000000-0005-0000-0000-000004020000}"/>
    <cellStyle name="Border Thin 3 3 5 3 2" xfId="12817" xr:uid="{00000000-0005-0000-0000-000004020000}"/>
    <cellStyle name="Border Thin 3 3 5 3 2 2" xfId="31243" xr:uid="{00000000-0005-0000-0000-000004020000}"/>
    <cellStyle name="Border Thin 3 3 5 3 2 3" xfId="49606" xr:uid="{00000000-0005-0000-0000-000004020000}"/>
    <cellStyle name="Border Thin 3 3 5 3 3" xfId="17128" xr:uid="{00000000-0005-0000-0000-000004020000}"/>
    <cellStyle name="Border Thin 3 3 5 3 3 2" xfId="35476" xr:uid="{00000000-0005-0000-0000-000004020000}"/>
    <cellStyle name="Border Thin 3 3 5 3 3 3" xfId="53839" xr:uid="{00000000-0005-0000-0000-000004020000}"/>
    <cellStyle name="Border Thin 3 3 5 3 4" xfId="26261" xr:uid="{00000000-0005-0000-0000-000004020000}"/>
    <cellStyle name="Border Thin 3 3 5 3 4 2" xfId="44630" xr:uid="{00000000-0005-0000-0000-000004020000}"/>
    <cellStyle name="Border Thin 3 3 5 3 5" xfId="22554" xr:uid="{00000000-0005-0000-0000-000004020000}"/>
    <cellStyle name="Border Thin 3 3 5 3 6" xfId="40923" xr:uid="{00000000-0005-0000-0000-000004020000}"/>
    <cellStyle name="Border Thin 3 3 5 4" xfId="10240" xr:uid="{00000000-0005-0000-0000-000004020000}"/>
    <cellStyle name="Border Thin 3 3 5 4 2" xfId="14297" xr:uid="{00000000-0005-0000-0000-000004020000}"/>
    <cellStyle name="Border Thin 3 3 5 4 2 2" xfId="32713" xr:uid="{00000000-0005-0000-0000-000004020000}"/>
    <cellStyle name="Border Thin 3 3 5 4 2 3" xfId="51076" xr:uid="{00000000-0005-0000-0000-000004020000}"/>
    <cellStyle name="Border Thin 3 3 5 4 3" xfId="28951" xr:uid="{00000000-0005-0000-0000-000004020000}"/>
    <cellStyle name="Border Thin 3 3 5 4 3 2" xfId="47314" xr:uid="{00000000-0005-0000-0000-000004020000}"/>
    <cellStyle name="Border Thin 3 3 5 4 4" xfId="19754" xr:uid="{00000000-0005-0000-0000-000004020000}"/>
    <cellStyle name="Border Thin 3 3 5 4 5" xfId="38160" xr:uid="{00000000-0005-0000-0000-000004020000}"/>
    <cellStyle name="Border Thin 3 3 5 5" xfId="9436" xr:uid="{00000000-0005-0000-0000-000004020000}"/>
    <cellStyle name="Border Thin 3 3 5 5 2" xfId="28153" xr:uid="{00000000-0005-0000-0000-000004020000}"/>
    <cellStyle name="Border Thin 3 3 5 5 3" xfId="46516" xr:uid="{00000000-0005-0000-0000-000004020000}"/>
    <cellStyle name="Border Thin 3 3 5 6" xfId="13493" xr:uid="{00000000-0005-0000-0000-000004020000}"/>
    <cellStyle name="Border Thin 3 3 5 6 2" xfId="31914" xr:uid="{00000000-0005-0000-0000-000004020000}"/>
    <cellStyle name="Border Thin 3 3 5 6 3" xfId="50277" xr:uid="{00000000-0005-0000-0000-000004020000}"/>
    <cellStyle name="Border Thin 3 3 5 7" xfId="23435" xr:uid="{00000000-0005-0000-0000-000004020000}"/>
    <cellStyle name="Border Thin 3 3 5 7 2" xfId="41804" xr:uid="{00000000-0005-0000-0000-000004020000}"/>
    <cellStyle name="Border Thin 3 3 5 8" xfId="18521" xr:uid="{00000000-0005-0000-0000-000004020000}"/>
    <cellStyle name="Border Thin 3 3 5 9" xfId="36930" xr:uid="{00000000-0005-0000-0000-000004020000}"/>
    <cellStyle name="Border Thin 3 3 6" xfId="4531" xr:uid="{00000000-0005-0000-0000-000004020000}"/>
    <cellStyle name="Border Thin 3 3 6 2" xfId="11122" xr:uid="{00000000-0005-0000-0000-000004020000}"/>
    <cellStyle name="Border Thin 3 3 6 2 2" xfId="29740" xr:uid="{00000000-0005-0000-0000-000004020000}"/>
    <cellStyle name="Border Thin 3 3 6 2 3" xfId="48103" xr:uid="{00000000-0005-0000-0000-000004020000}"/>
    <cellStyle name="Border Thin 3 3 6 3" xfId="15260" xr:uid="{00000000-0005-0000-0000-000004020000}"/>
    <cellStyle name="Border Thin 3 3 6 3 2" xfId="33654" xr:uid="{00000000-0005-0000-0000-000004020000}"/>
    <cellStyle name="Border Thin 3 3 6 3 3" xfId="52017" xr:uid="{00000000-0005-0000-0000-000004020000}"/>
    <cellStyle name="Border Thin 3 3 6 4" xfId="24385" xr:uid="{00000000-0005-0000-0000-000004020000}"/>
    <cellStyle name="Border Thin 3 3 6 4 2" xfId="42754" xr:uid="{00000000-0005-0000-0000-000004020000}"/>
    <cellStyle name="Border Thin 3 3 6 5" xfId="20709" xr:uid="{00000000-0005-0000-0000-000004020000}"/>
    <cellStyle name="Border Thin 3 3 6 6" xfId="39101" xr:uid="{00000000-0005-0000-0000-000004020000}"/>
    <cellStyle name="Border Thin 3 3 7" xfId="3983" xr:uid="{00000000-0005-0000-0000-000004020000}"/>
    <cellStyle name="Border Thin 3 3 7 2" xfId="10688" xr:uid="{00000000-0005-0000-0000-000004020000}"/>
    <cellStyle name="Border Thin 3 3 7 2 2" xfId="29393" xr:uid="{00000000-0005-0000-0000-000004020000}"/>
    <cellStyle name="Border Thin 3 3 7 2 3" xfId="47756" xr:uid="{00000000-0005-0000-0000-000004020000}"/>
    <cellStyle name="Border Thin 3 3 7 3" xfId="14745" xr:uid="{00000000-0005-0000-0000-000004020000}"/>
    <cellStyle name="Border Thin 3 3 7 3 2" xfId="33157" xr:uid="{00000000-0005-0000-0000-000004020000}"/>
    <cellStyle name="Border Thin 3 3 7 3 3" xfId="51520" xr:uid="{00000000-0005-0000-0000-000004020000}"/>
    <cellStyle name="Border Thin 3 3 7 4" xfId="23881" xr:uid="{00000000-0005-0000-0000-000004020000}"/>
    <cellStyle name="Border Thin 3 3 7 4 2" xfId="42250" xr:uid="{00000000-0005-0000-0000-000004020000}"/>
    <cellStyle name="Border Thin 3 3 7 5" xfId="20200" xr:uid="{00000000-0005-0000-0000-000004020000}"/>
    <cellStyle name="Border Thin 3 3 7 6" xfId="38604" xr:uid="{00000000-0005-0000-0000-000004020000}"/>
    <cellStyle name="Border Thin 3 3 8" xfId="7801" xr:uid="{00000000-0005-0000-0000-000004020000}"/>
    <cellStyle name="Border Thin 3 3 8 2" xfId="27071" xr:uid="{00000000-0005-0000-0000-000004020000}"/>
    <cellStyle name="Border Thin 3 3 8 3" xfId="45436" xr:uid="{00000000-0005-0000-0000-000004020000}"/>
    <cellStyle name="Border Thin 3 3 9" xfId="7196" xr:uid="{00000000-0005-0000-0000-000004020000}"/>
    <cellStyle name="Border Thin 3 3 9 2" xfId="26740" xr:uid="{00000000-0005-0000-0000-000004020000}"/>
    <cellStyle name="Border Thin 3 3 9 3" xfId="45108" xr:uid="{00000000-0005-0000-0000-000004020000}"/>
    <cellStyle name="Border Thin 3 4" xfId="1491" xr:uid="{00000000-0005-0000-0000-000008020000}"/>
    <cellStyle name="Border Thin 3 4 2" xfId="3504" xr:uid="{00000000-0005-0000-0000-000008020000}"/>
    <cellStyle name="Border Thin 3 4 2 2" xfId="5678" xr:uid="{00000000-0005-0000-0000-000008020000}"/>
    <cellStyle name="Border Thin 3 4 2 2 2" xfId="12042" xr:uid="{00000000-0005-0000-0000-000008020000}"/>
    <cellStyle name="Border Thin 3 4 2 2 2 2" xfId="30489" xr:uid="{00000000-0005-0000-0000-000008020000}"/>
    <cellStyle name="Border Thin 3 4 2 2 2 3" xfId="48852" xr:uid="{00000000-0005-0000-0000-000008020000}"/>
    <cellStyle name="Border Thin 3 4 2 2 3" xfId="16368" xr:uid="{00000000-0005-0000-0000-000008020000}"/>
    <cellStyle name="Border Thin 3 4 2 2 3 2" xfId="34740" xr:uid="{00000000-0005-0000-0000-000008020000}"/>
    <cellStyle name="Border Thin 3 4 2 2 3 3" xfId="53103" xr:uid="{00000000-0005-0000-0000-000008020000}"/>
    <cellStyle name="Border Thin 3 4 2 2 4" xfId="25487" xr:uid="{00000000-0005-0000-0000-000008020000}"/>
    <cellStyle name="Border Thin 3 4 2 2 4 2" xfId="43856" xr:uid="{00000000-0005-0000-0000-000008020000}"/>
    <cellStyle name="Border Thin 3 4 2 2 5" xfId="21808" xr:uid="{00000000-0005-0000-0000-000008020000}"/>
    <cellStyle name="Border Thin 3 4 2 2 6" xfId="40187" xr:uid="{00000000-0005-0000-0000-000008020000}"/>
    <cellStyle name="Border Thin 3 4 2 3" xfId="6503" xr:uid="{00000000-0005-0000-0000-000008020000}"/>
    <cellStyle name="Border Thin 3 4 2 3 2" xfId="12794" xr:uid="{00000000-0005-0000-0000-000008020000}"/>
    <cellStyle name="Border Thin 3 4 2 3 2 2" xfId="31220" xr:uid="{00000000-0005-0000-0000-000008020000}"/>
    <cellStyle name="Border Thin 3 4 2 3 2 3" xfId="49583" xr:uid="{00000000-0005-0000-0000-000008020000}"/>
    <cellStyle name="Border Thin 3 4 2 3 3" xfId="17105" xr:uid="{00000000-0005-0000-0000-000008020000}"/>
    <cellStyle name="Border Thin 3 4 2 3 3 2" xfId="35453" xr:uid="{00000000-0005-0000-0000-000008020000}"/>
    <cellStyle name="Border Thin 3 4 2 3 3 3" xfId="53816" xr:uid="{00000000-0005-0000-0000-000008020000}"/>
    <cellStyle name="Border Thin 3 4 2 3 4" xfId="26238" xr:uid="{00000000-0005-0000-0000-000008020000}"/>
    <cellStyle name="Border Thin 3 4 2 3 4 2" xfId="44607" xr:uid="{00000000-0005-0000-0000-000008020000}"/>
    <cellStyle name="Border Thin 3 4 2 3 5" xfId="22531" xr:uid="{00000000-0005-0000-0000-000008020000}"/>
    <cellStyle name="Border Thin 3 4 2 3 6" xfId="40900" xr:uid="{00000000-0005-0000-0000-000008020000}"/>
    <cellStyle name="Border Thin 3 4 2 4" xfId="10217" xr:uid="{00000000-0005-0000-0000-000008020000}"/>
    <cellStyle name="Border Thin 3 4 2 4 2" xfId="14274" xr:uid="{00000000-0005-0000-0000-000008020000}"/>
    <cellStyle name="Border Thin 3 4 2 4 2 2" xfId="32690" xr:uid="{00000000-0005-0000-0000-000008020000}"/>
    <cellStyle name="Border Thin 3 4 2 4 2 3" xfId="51053" xr:uid="{00000000-0005-0000-0000-000008020000}"/>
    <cellStyle name="Border Thin 3 4 2 4 3" xfId="28928" xr:uid="{00000000-0005-0000-0000-000008020000}"/>
    <cellStyle name="Border Thin 3 4 2 4 3 2" xfId="47291" xr:uid="{00000000-0005-0000-0000-000008020000}"/>
    <cellStyle name="Border Thin 3 4 2 4 4" xfId="19731" xr:uid="{00000000-0005-0000-0000-000008020000}"/>
    <cellStyle name="Border Thin 3 4 2 4 5" xfId="38137" xr:uid="{00000000-0005-0000-0000-000008020000}"/>
    <cellStyle name="Border Thin 3 4 2 5" xfId="13467" xr:uid="{00000000-0005-0000-0000-000008020000}"/>
    <cellStyle name="Border Thin 3 4 2 5 2" xfId="31888" xr:uid="{00000000-0005-0000-0000-000008020000}"/>
    <cellStyle name="Border Thin 3 4 2 5 3" xfId="50251" xr:uid="{00000000-0005-0000-0000-000008020000}"/>
    <cellStyle name="Border Thin 3 4 2 6" xfId="23412" xr:uid="{00000000-0005-0000-0000-000008020000}"/>
    <cellStyle name="Border Thin 3 4 2 6 2" xfId="41781" xr:uid="{00000000-0005-0000-0000-000008020000}"/>
    <cellStyle name="Border Thin 3 4 2 7" xfId="36900" xr:uid="{00000000-0005-0000-0000-000008020000}"/>
    <cellStyle name="Border Thin 3 4 3" xfId="4504" xr:uid="{00000000-0005-0000-0000-000008020000}"/>
    <cellStyle name="Border Thin 3 4 3 2" xfId="11098" xr:uid="{00000000-0005-0000-0000-000008020000}"/>
    <cellStyle name="Border Thin 3 4 3 2 2" xfId="29717" xr:uid="{00000000-0005-0000-0000-000008020000}"/>
    <cellStyle name="Border Thin 3 4 3 2 3" xfId="48080" xr:uid="{00000000-0005-0000-0000-000008020000}"/>
    <cellStyle name="Border Thin 3 4 3 3" xfId="15236" xr:uid="{00000000-0005-0000-0000-000008020000}"/>
    <cellStyle name="Border Thin 3 4 3 3 2" xfId="33631" xr:uid="{00000000-0005-0000-0000-000008020000}"/>
    <cellStyle name="Border Thin 3 4 3 3 3" xfId="51994" xr:uid="{00000000-0005-0000-0000-000008020000}"/>
    <cellStyle name="Border Thin 3 4 3 4" xfId="24362" xr:uid="{00000000-0005-0000-0000-000008020000}"/>
    <cellStyle name="Border Thin 3 4 3 4 2" xfId="42731" xr:uid="{00000000-0005-0000-0000-000008020000}"/>
    <cellStyle name="Border Thin 3 4 3 5" xfId="20686" xr:uid="{00000000-0005-0000-0000-000008020000}"/>
    <cellStyle name="Border Thin 3 4 3 6" xfId="39078" xr:uid="{00000000-0005-0000-0000-000008020000}"/>
    <cellStyle name="Border Thin 3 4 4" xfId="9116" xr:uid="{00000000-0005-0000-0000-000008020000}"/>
    <cellStyle name="Border Thin 3 4 4 2" xfId="8408" xr:uid="{00000000-0005-0000-0000-000008020000}"/>
    <cellStyle name="Border Thin 3 4 4 2 2" xfId="27469" xr:uid="{00000000-0005-0000-0000-000008020000}"/>
    <cellStyle name="Border Thin 3 4 4 2 3" xfId="45833" xr:uid="{00000000-0005-0000-0000-000008020000}"/>
    <cellStyle name="Border Thin 3 4 4 3" xfId="27842" xr:uid="{00000000-0005-0000-0000-000008020000}"/>
    <cellStyle name="Border Thin 3 4 4 3 2" xfId="46205" xr:uid="{00000000-0005-0000-0000-000008020000}"/>
    <cellStyle name="Border Thin 3 4 4 4" xfId="18028" xr:uid="{00000000-0005-0000-0000-000008020000}"/>
    <cellStyle name="Border Thin 3 4 4 5" xfId="36436" xr:uid="{00000000-0005-0000-0000-000008020000}"/>
    <cellStyle name="Border Thin 3 4 5" xfId="19201" xr:uid="{00000000-0005-0000-0000-000008020000}"/>
    <cellStyle name="Border Thin 3 4 5 2" xfId="37608" xr:uid="{00000000-0005-0000-0000-000008020000}"/>
    <cellStyle name="Border Thin 3 4 6" xfId="11612" xr:uid="{00000000-0005-0000-0000-000008020000}"/>
    <cellStyle name="Border Thin 3 5" xfId="1388" xr:uid="{00000000-0005-0000-0000-000009020000}"/>
    <cellStyle name="Border Thin 3 5 2" xfId="3421" xr:uid="{00000000-0005-0000-0000-000009020000}"/>
    <cellStyle name="Border Thin 3 5 2 2" xfId="5596" xr:uid="{00000000-0005-0000-0000-000009020000}"/>
    <cellStyle name="Border Thin 3 5 2 2 2" xfId="11960" xr:uid="{00000000-0005-0000-0000-000009020000}"/>
    <cellStyle name="Border Thin 3 5 2 2 2 2" xfId="30407" xr:uid="{00000000-0005-0000-0000-000009020000}"/>
    <cellStyle name="Border Thin 3 5 2 2 2 3" xfId="48770" xr:uid="{00000000-0005-0000-0000-000009020000}"/>
    <cellStyle name="Border Thin 3 5 2 2 3" xfId="16286" xr:uid="{00000000-0005-0000-0000-000009020000}"/>
    <cellStyle name="Border Thin 3 5 2 2 3 2" xfId="34658" xr:uid="{00000000-0005-0000-0000-000009020000}"/>
    <cellStyle name="Border Thin 3 5 2 2 3 3" xfId="53021" xr:uid="{00000000-0005-0000-0000-000009020000}"/>
    <cellStyle name="Border Thin 3 5 2 2 4" xfId="25405" xr:uid="{00000000-0005-0000-0000-000009020000}"/>
    <cellStyle name="Border Thin 3 5 2 2 4 2" xfId="43774" xr:uid="{00000000-0005-0000-0000-000009020000}"/>
    <cellStyle name="Border Thin 3 5 2 2 5" xfId="21726" xr:uid="{00000000-0005-0000-0000-000009020000}"/>
    <cellStyle name="Border Thin 3 5 2 2 6" xfId="40105" xr:uid="{00000000-0005-0000-0000-000009020000}"/>
    <cellStyle name="Border Thin 3 5 2 3" xfId="6420" xr:uid="{00000000-0005-0000-0000-000009020000}"/>
    <cellStyle name="Border Thin 3 5 2 3 2" xfId="12711" xr:uid="{00000000-0005-0000-0000-000009020000}"/>
    <cellStyle name="Border Thin 3 5 2 3 2 2" xfId="31137" xr:uid="{00000000-0005-0000-0000-000009020000}"/>
    <cellStyle name="Border Thin 3 5 2 3 2 3" xfId="49500" xr:uid="{00000000-0005-0000-0000-000009020000}"/>
    <cellStyle name="Border Thin 3 5 2 3 3" xfId="17022" xr:uid="{00000000-0005-0000-0000-000009020000}"/>
    <cellStyle name="Border Thin 3 5 2 3 3 2" xfId="35370" xr:uid="{00000000-0005-0000-0000-000009020000}"/>
    <cellStyle name="Border Thin 3 5 2 3 3 3" xfId="53733" xr:uid="{00000000-0005-0000-0000-000009020000}"/>
    <cellStyle name="Border Thin 3 5 2 3 4" xfId="26155" xr:uid="{00000000-0005-0000-0000-000009020000}"/>
    <cellStyle name="Border Thin 3 5 2 3 4 2" xfId="44524" xr:uid="{00000000-0005-0000-0000-000009020000}"/>
    <cellStyle name="Border Thin 3 5 2 3 5" xfId="22448" xr:uid="{00000000-0005-0000-0000-000009020000}"/>
    <cellStyle name="Border Thin 3 5 2 3 6" xfId="40817" xr:uid="{00000000-0005-0000-0000-000009020000}"/>
    <cellStyle name="Border Thin 3 5 2 4" xfId="10134" xr:uid="{00000000-0005-0000-0000-000009020000}"/>
    <cellStyle name="Border Thin 3 5 2 4 2" xfId="14191" xr:uid="{00000000-0005-0000-0000-000009020000}"/>
    <cellStyle name="Border Thin 3 5 2 4 2 2" xfId="32607" xr:uid="{00000000-0005-0000-0000-000009020000}"/>
    <cellStyle name="Border Thin 3 5 2 4 2 3" xfId="50970" xr:uid="{00000000-0005-0000-0000-000009020000}"/>
    <cellStyle name="Border Thin 3 5 2 4 3" xfId="28845" xr:uid="{00000000-0005-0000-0000-000009020000}"/>
    <cellStyle name="Border Thin 3 5 2 4 3 2" xfId="47208" xr:uid="{00000000-0005-0000-0000-000009020000}"/>
    <cellStyle name="Border Thin 3 5 2 4 4" xfId="19648" xr:uid="{00000000-0005-0000-0000-000009020000}"/>
    <cellStyle name="Border Thin 3 5 2 4 5" xfId="38054" xr:uid="{00000000-0005-0000-0000-000009020000}"/>
    <cellStyle name="Border Thin 3 5 2 5" xfId="9321" xr:uid="{00000000-0005-0000-0000-000009020000}"/>
    <cellStyle name="Border Thin 3 5 2 5 2" xfId="28040" xr:uid="{00000000-0005-0000-0000-000009020000}"/>
    <cellStyle name="Border Thin 3 5 2 5 3" xfId="46403" xr:uid="{00000000-0005-0000-0000-000009020000}"/>
    <cellStyle name="Border Thin 3 5 2 6" xfId="13377" xr:uid="{00000000-0005-0000-0000-000009020000}"/>
    <cellStyle name="Border Thin 3 5 2 6 2" xfId="31798" xr:uid="{00000000-0005-0000-0000-000009020000}"/>
    <cellStyle name="Border Thin 3 5 2 6 3" xfId="50161" xr:uid="{00000000-0005-0000-0000-000009020000}"/>
    <cellStyle name="Border Thin 3 5 2 7" xfId="23329" xr:uid="{00000000-0005-0000-0000-000009020000}"/>
    <cellStyle name="Border Thin 3 5 2 7 2" xfId="41698" xr:uid="{00000000-0005-0000-0000-000009020000}"/>
    <cellStyle name="Border Thin 3 5 2 8" xfId="18400" xr:uid="{00000000-0005-0000-0000-000009020000}"/>
    <cellStyle name="Border Thin 3 5 2 9" xfId="36806" xr:uid="{00000000-0005-0000-0000-000009020000}"/>
    <cellStyle name="Border Thin 3 5 3" xfId="4414" xr:uid="{00000000-0005-0000-0000-000009020000}"/>
    <cellStyle name="Border Thin 3 5 3 2" xfId="11013" xr:uid="{00000000-0005-0000-0000-000009020000}"/>
    <cellStyle name="Border Thin 3 5 3 2 2" xfId="29633" xr:uid="{00000000-0005-0000-0000-000009020000}"/>
    <cellStyle name="Border Thin 3 5 3 2 3" xfId="47996" xr:uid="{00000000-0005-0000-0000-000009020000}"/>
    <cellStyle name="Border Thin 3 5 3 3" xfId="15148" xr:uid="{00000000-0005-0000-0000-000009020000}"/>
    <cellStyle name="Border Thin 3 5 3 3 2" xfId="33545" xr:uid="{00000000-0005-0000-0000-000009020000}"/>
    <cellStyle name="Border Thin 3 5 3 3 3" xfId="51908" xr:uid="{00000000-0005-0000-0000-000009020000}"/>
    <cellStyle name="Border Thin 3 5 3 4" xfId="24276" xr:uid="{00000000-0005-0000-0000-000009020000}"/>
    <cellStyle name="Border Thin 3 5 3 4 2" xfId="42645" xr:uid="{00000000-0005-0000-0000-000009020000}"/>
    <cellStyle name="Border Thin 3 5 3 5" xfId="20599" xr:uid="{00000000-0005-0000-0000-000009020000}"/>
    <cellStyle name="Border Thin 3 5 3 6" xfId="38992" xr:uid="{00000000-0005-0000-0000-000009020000}"/>
    <cellStyle name="Border Thin 3 5 4" xfId="4350" xr:uid="{00000000-0005-0000-0000-000009020000}"/>
    <cellStyle name="Border Thin 3 5 4 2" xfId="10954" xr:uid="{00000000-0005-0000-0000-000009020000}"/>
    <cellStyle name="Border Thin 3 5 4 2 2" xfId="29581" xr:uid="{00000000-0005-0000-0000-000009020000}"/>
    <cellStyle name="Border Thin 3 5 4 2 3" xfId="47944" xr:uid="{00000000-0005-0000-0000-000009020000}"/>
    <cellStyle name="Border Thin 3 5 4 3" xfId="15091" xr:uid="{00000000-0005-0000-0000-000009020000}"/>
    <cellStyle name="Border Thin 3 5 4 3 2" xfId="33491" xr:uid="{00000000-0005-0000-0000-000009020000}"/>
    <cellStyle name="Border Thin 3 5 4 3 3" xfId="51854" xr:uid="{00000000-0005-0000-0000-000009020000}"/>
    <cellStyle name="Border Thin 3 5 4 4" xfId="24220" xr:uid="{00000000-0005-0000-0000-000009020000}"/>
    <cellStyle name="Border Thin 3 5 4 4 2" xfId="42589" xr:uid="{00000000-0005-0000-0000-000009020000}"/>
    <cellStyle name="Border Thin 3 5 4 5" xfId="20543" xr:uid="{00000000-0005-0000-0000-000009020000}"/>
    <cellStyle name="Border Thin 3 5 4 6" xfId="38938" xr:uid="{00000000-0005-0000-0000-000009020000}"/>
    <cellStyle name="Border Thin 3 5 5" xfId="8671" xr:uid="{00000000-0005-0000-0000-000009020000}"/>
    <cellStyle name="Border Thin 3 5 5 2" xfId="7898" xr:uid="{00000000-0005-0000-0000-000009020000}"/>
    <cellStyle name="Border Thin 3 5 5 2 2" xfId="27131" xr:uid="{00000000-0005-0000-0000-000009020000}"/>
    <cellStyle name="Border Thin 3 5 5 2 3" xfId="45496" xr:uid="{00000000-0005-0000-0000-000009020000}"/>
    <cellStyle name="Border Thin 3 5 5 3" xfId="27576" xr:uid="{00000000-0005-0000-0000-000009020000}"/>
    <cellStyle name="Border Thin 3 5 5 3 2" xfId="45939" xr:uid="{00000000-0005-0000-0000-000009020000}"/>
    <cellStyle name="Border Thin 3 5 5 4" xfId="11780" xr:uid="{00000000-0005-0000-0000-000009020000}"/>
    <cellStyle name="Border Thin 3 5 5 5" xfId="35929" xr:uid="{00000000-0005-0000-0000-000009020000}"/>
    <cellStyle name="Border Thin 3 5 6" xfId="7680" xr:uid="{00000000-0005-0000-0000-000009020000}"/>
    <cellStyle name="Border Thin 3 5 6 2" xfId="26962" xr:uid="{00000000-0005-0000-0000-000009020000}"/>
    <cellStyle name="Border Thin 3 5 6 3" xfId="45327" xr:uid="{00000000-0005-0000-0000-000009020000}"/>
    <cellStyle name="Border Thin 3 5 7" xfId="8888" xr:uid="{00000000-0005-0000-0000-000009020000}"/>
    <cellStyle name="Border Thin 3 5 7 2" xfId="27672" xr:uid="{00000000-0005-0000-0000-000009020000}"/>
    <cellStyle name="Border Thin 3 5 7 3" xfId="46035" xr:uid="{00000000-0005-0000-0000-000009020000}"/>
    <cellStyle name="Border Thin 3 5 8" xfId="11697" xr:uid="{00000000-0005-0000-0000-000009020000}"/>
    <cellStyle name="Border Thin 3 5 9" xfId="7572" xr:uid="{00000000-0005-0000-0000-000009020000}"/>
    <cellStyle name="Border Thin 3 6" xfId="3364" xr:uid="{00000000-0005-0000-0000-0000FF010000}"/>
    <cellStyle name="Border Thin 3 6 2" xfId="5539" xr:uid="{00000000-0005-0000-0000-0000FF010000}"/>
    <cellStyle name="Border Thin 3 6 2 2" xfId="11903" xr:uid="{00000000-0005-0000-0000-0000FF010000}"/>
    <cellStyle name="Border Thin 3 6 2 2 2" xfId="30350" xr:uid="{00000000-0005-0000-0000-0000FF010000}"/>
    <cellStyle name="Border Thin 3 6 2 2 3" xfId="48713" xr:uid="{00000000-0005-0000-0000-0000FF010000}"/>
    <cellStyle name="Border Thin 3 6 2 3" xfId="16229" xr:uid="{00000000-0005-0000-0000-0000FF010000}"/>
    <cellStyle name="Border Thin 3 6 2 3 2" xfId="34601" xr:uid="{00000000-0005-0000-0000-0000FF010000}"/>
    <cellStyle name="Border Thin 3 6 2 3 3" xfId="52964" xr:uid="{00000000-0005-0000-0000-0000FF010000}"/>
    <cellStyle name="Border Thin 3 6 2 4" xfId="25348" xr:uid="{00000000-0005-0000-0000-0000FF010000}"/>
    <cellStyle name="Border Thin 3 6 2 4 2" xfId="43717" xr:uid="{00000000-0005-0000-0000-0000FF010000}"/>
    <cellStyle name="Border Thin 3 6 2 5" xfId="21669" xr:uid="{00000000-0005-0000-0000-0000FF010000}"/>
    <cellStyle name="Border Thin 3 6 2 6" xfId="40048" xr:uid="{00000000-0005-0000-0000-0000FF010000}"/>
    <cellStyle name="Border Thin 3 6 3" xfId="6363" xr:uid="{00000000-0005-0000-0000-0000FF010000}"/>
    <cellStyle name="Border Thin 3 6 3 2" xfId="12654" xr:uid="{00000000-0005-0000-0000-0000FF010000}"/>
    <cellStyle name="Border Thin 3 6 3 2 2" xfId="31080" xr:uid="{00000000-0005-0000-0000-0000FF010000}"/>
    <cellStyle name="Border Thin 3 6 3 2 3" xfId="49443" xr:uid="{00000000-0005-0000-0000-0000FF010000}"/>
    <cellStyle name="Border Thin 3 6 3 3" xfId="16965" xr:uid="{00000000-0005-0000-0000-0000FF010000}"/>
    <cellStyle name="Border Thin 3 6 3 3 2" xfId="35313" xr:uid="{00000000-0005-0000-0000-0000FF010000}"/>
    <cellStyle name="Border Thin 3 6 3 3 3" xfId="53676" xr:uid="{00000000-0005-0000-0000-0000FF010000}"/>
    <cellStyle name="Border Thin 3 6 3 4" xfId="26098" xr:uid="{00000000-0005-0000-0000-0000FF010000}"/>
    <cellStyle name="Border Thin 3 6 3 4 2" xfId="44467" xr:uid="{00000000-0005-0000-0000-0000FF010000}"/>
    <cellStyle name="Border Thin 3 6 3 5" xfId="22391" xr:uid="{00000000-0005-0000-0000-0000FF010000}"/>
    <cellStyle name="Border Thin 3 6 3 6" xfId="40760" xr:uid="{00000000-0005-0000-0000-0000FF010000}"/>
    <cellStyle name="Border Thin 3 6 4" xfId="10077" xr:uid="{00000000-0005-0000-0000-0000FF010000}"/>
    <cellStyle name="Border Thin 3 6 4 2" xfId="14134" xr:uid="{00000000-0005-0000-0000-0000FF010000}"/>
    <cellStyle name="Border Thin 3 6 4 2 2" xfId="32550" xr:uid="{00000000-0005-0000-0000-0000FF010000}"/>
    <cellStyle name="Border Thin 3 6 4 2 3" xfId="50913" xr:uid="{00000000-0005-0000-0000-0000FF010000}"/>
    <cellStyle name="Border Thin 3 6 4 3" xfId="28788" xr:uid="{00000000-0005-0000-0000-0000FF010000}"/>
    <cellStyle name="Border Thin 3 6 4 3 2" xfId="47151" xr:uid="{00000000-0005-0000-0000-0000FF010000}"/>
    <cellStyle name="Border Thin 3 6 4 4" xfId="19591" xr:uid="{00000000-0005-0000-0000-0000FF010000}"/>
    <cellStyle name="Border Thin 3 6 4 5" xfId="37997" xr:uid="{00000000-0005-0000-0000-0000FF010000}"/>
    <cellStyle name="Border Thin 3 6 5" xfId="9226" xr:uid="{00000000-0005-0000-0000-0000FF010000}"/>
    <cellStyle name="Border Thin 3 6 5 2" xfId="27946" xr:uid="{00000000-0005-0000-0000-0000FF010000}"/>
    <cellStyle name="Border Thin 3 6 5 3" xfId="46309" xr:uid="{00000000-0005-0000-0000-0000FF010000}"/>
    <cellStyle name="Border Thin 3 6 6" xfId="13283" xr:uid="{00000000-0005-0000-0000-0000FF010000}"/>
    <cellStyle name="Border Thin 3 6 6 2" xfId="31704" xr:uid="{00000000-0005-0000-0000-0000FF010000}"/>
    <cellStyle name="Border Thin 3 6 6 3" xfId="50067" xr:uid="{00000000-0005-0000-0000-0000FF010000}"/>
    <cellStyle name="Border Thin 3 6 7" xfId="23272" xr:uid="{00000000-0005-0000-0000-0000FF010000}"/>
    <cellStyle name="Border Thin 3 6 7 2" xfId="41641" xr:uid="{00000000-0005-0000-0000-0000FF010000}"/>
    <cellStyle name="Border Thin 3 6 8" xfId="18274" xr:uid="{00000000-0005-0000-0000-0000FF010000}"/>
    <cellStyle name="Border Thin 3 6 9" xfId="36680" xr:uid="{00000000-0005-0000-0000-0000FF010000}"/>
    <cellStyle name="Border Thin 3 7" xfId="4303" xr:uid="{00000000-0005-0000-0000-0000FF010000}"/>
    <cellStyle name="Border Thin 3 7 2" xfId="10914" xr:uid="{00000000-0005-0000-0000-0000FF010000}"/>
    <cellStyle name="Border Thin 3 7 2 2" xfId="29546" xr:uid="{00000000-0005-0000-0000-0000FF010000}"/>
    <cellStyle name="Border Thin 3 7 2 3" xfId="47909" xr:uid="{00000000-0005-0000-0000-0000FF010000}"/>
    <cellStyle name="Border Thin 3 7 3" xfId="15048" xr:uid="{00000000-0005-0000-0000-0000FF010000}"/>
    <cellStyle name="Border Thin 3 7 3 2" xfId="33451" xr:uid="{00000000-0005-0000-0000-0000FF010000}"/>
    <cellStyle name="Border Thin 3 7 3 3" xfId="51814" xr:uid="{00000000-0005-0000-0000-0000FF010000}"/>
    <cellStyle name="Border Thin 3 7 4" xfId="24180" xr:uid="{00000000-0005-0000-0000-0000FF010000}"/>
    <cellStyle name="Border Thin 3 7 4 2" xfId="42549" xr:uid="{00000000-0005-0000-0000-0000FF010000}"/>
    <cellStyle name="Border Thin 3 7 5" xfId="20500" xr:uid="{00000000-0005-0000-0000-0000FF010000}"/>
    <cellStyle name="Border Thin 3 7 6" xfId="38898" xr:uid="{00000000-0005-0000-0000-0000FF010000}"/>
    <cellStyle name="Border Thin 3 8" xfId="11768" xr:uid="{00000000-0005-0000-0000-0000FF010000}"/>
    <cellStyle name="Border Thin 4" xfId="1797" xr:uid="{00000000-0005-0000-0000-00000A020000}"/>
    <cellStyle name="Border Thin 4 10" xfId="20532" xr:uid="{00000000-0005-0000-0000-00000A020000}"/>
    <cellStyle name="Border Thin 4 2" xfId="3691" xr:uid="{00000000-0005-0000-0000-00000A020000}"/>
    <cellStyle name="Border Thin 4 2 2" xfId="5864" xr:uid="{00000000-0005-0000-0000-00000A020000}"/>
    <cellStyle name="Border Thin 4 2 2 2" xfId="12228" xr:uid="{00000000-0005-0000-0000-00000A020000}"/>
    <cellStyle name="Border Thin 4 2 2 2 2" xfId="30675" xr:uid="{00000000-0005-0000-0000-00000A020000}"/>
    <cellStyle name="Border Thin 4 2 2 2 3" xfId="49038" xr:uid="{00000000-0005-0000-0000-00000A020000}"/>
    <cellStyle name="Border Thin 4 2 2 3" xfId="16554" xr:uid="{00000000-0005-0000-0000-00000A020000}"/>
    <cellStyle name="Border Thin 4 2 2 3 2" xfId="34926" xr:uid="{00000000-0005-0000-0000-00000A020000}"/>
    <cellStyle name="Border Thin 4 2 2 3 3" xfId="53289" xr:uid="{00000000-0005-0000-0000-00000A020000}"/>
    <cellStyle name="Border Thin 4 2 2 4" xfId="25673" xr:uid="{00000000-0005-0000-0000-00000A020000}"/>
    <cellStyle name="Border Thin 4 2 2 4 2" xfId="44042" xr:uid="{00000000-0005-0000-0000-00000A020000}"/>
    <cellStyle name="Border Thin 4 2 2 5" xfId="21994" xr:uid="{00000000-0005-0000-0000-00000A020000}"/>
    <cellStyle name="Border Thin 4 2 2 6" xfId="40373" xr:uid="{00000000-0005-0000-0000-00000A020000}"/>
    <cellStyle name="Border Thin 4 2 3" xfId="6690" xr:uid="{00000000-0005-0000-0000-00000A020000}"/>
    <cellStyle name="Border Thin 4 2 3 2" xfId="12981" xr:uid="{00000000-0005-0000-0000-00000A020000}"/>
    <cellStyle name="Border Thin 4 2 3 2 2" xfId="31407" xr:uid="{00000000-0005-0000-0000-00000A020000}"/>
    <cellStyle name="Border Thin 4 2 3 2 3" xfId="49770" xr:uid="{00000000-0005-0000-0000-00000A020000}"/>
    <cellStyle name="Border Thin 4 2 3 3" xfId="17292" xr:uid="{00000000-0005-0000-0000-00000A020000}"/>
    <cellStyle name="Border Thin 4 2 3 3 2" xfId="35640" xr:uid="{00000000-0005-0000-0000-00000A020000}"/>
    <cellStyle name="Border Thin 4 2 3 3 3" xfId="54003" xr:uid="{00000000-0005-0000-0000-00000A020000}"/>
    <cellStyle name="Border Thin 4 2 3 4" xfId="26425" xr:uid="{00000000-0005-0000-0000-00000A020000}"/>
    <cellStyle name="Border Thin 4 2 3 4 2" xfId="44794" xr:uid="{00000000-0005-0000-0000-00000A020000}"/>
    <cellStyle name="Border Thin 4 2 3 5" xfId="22718" xr:uid="{00000000-0005-0000-0000-00000A020000}"/>
    <cellStyle name="Border Thin 4 2 3 6" xfId="41087" xr:uid="{00000000-0005-0000-0000-00000A020000}"/>
    <cellStyle name="Border Thin 4 2 4" xfId="10404" xr:uid="{00000000-0005-0000-0000-00000A020000}"/>
    <cellStyle name="Border Thin 4 2 4 2" xfId="14461" xr:uid="{00000000-0005-0000-0000-00000A020000}"/>
    <cellStyle name="Border Thin 4 2 4 2 2" xfId="32877" xr:uid="{00000000-0005-0000-0000-00000A020000}"/>
    <cellStyle name="Border Thin 4 2 4 2 3" xfId="51240" xr:uid="{00000000-0005-0000-0000-00000A020000}"/>
    <cellStyle name="Border Thin 4 2 4 3" xfId="29115" xr:uid="{00000000-0005-0000-0000-00000A020000}"/>
    <cellStyle name="Border Thin 4 2 4 3 2" xfId="47478" xr:uid="{00000000-0005-0000-0000-00000A020000}"/>
    <cellStyle name="Border Thin 4 2 4 4" xfId="19918" xr:uid="{00000000-0005-0000-0000-00000A020000}"/>
    <cellStyle name="Border Thin 4 2 4 5" xfId="38324" xr:uid="{00000000-0005-0000-0000-00000A020000}"/>
    <cellStyle name="Border Thin 4 2 5" xfId="9612" xr:uid="{00000000-0005-0000-0000-00000A020000}"/>
    <cellStyle name="Border Thin 4 2 5 2" xfId="28329" xr:uid="{00000000-0005-0000-0000-00000A020000}"/>
    <cellStyle name="Border Thin 4 2 5 3" xfId="46692" xr:uid="{00000000-0005-0000-0000-00000A020000}"/>
    <cellStyle name="Border Thin 4 2 6" xfId="13670" xr:uid="{00000000-0005-0000-0000-00000A020000}"/>
    <cellStyle name="Border Thin 4 2 6 2" xfId="32091" xr:uid="{00000000-0005-0000-0000-00000A020000}"/>
    <cellStyle name="Border Thin 4 2 6 3" xfId="50454" xr:uid="{00000000-0005-0000-0000-00000A020000}"/>
    <cellStyle name="Border Thin 4 2 7" xfId="23599" xr:uid="{00000000-0005-0000-0000-00000A020000}"/>
    <cellStyle name="Border Thin 4 2 7 2" xfId="41968" xr:uid="{00000000-0005-0000-0000-00000A020000}"/>
    <cellStyle name="Border Thin 4 2 8" xfId="18711" xr:uid="{00000000-0005-0000-0000-00000A020000}"/>
    <cellStyle name="Border Thin 4 2 9" xfId="37121" xr:uid="{00000000-0005-0000-0000-00000A020000}"/>
    <cellStyle name="Border Thin 4 3" xfId="4732" xr:uid="{00000000-0005-0000-0000-00000A020000}"/>
    <cellStyle name="Border Thin 4 3 2" xfId="11316" xr:uid="{00000000-0005-0000-0000-00000A020000}"/>
    <cellStyle name="Border Thin 4 3 2 2" xfId="29928" xr:uid="{00000000-0005-0000-0000-00000A020000}"/>
    <cellStyle name="Border Thin 4 3 2 3" xfId="48291" xr:uid="{00000000-0005-0000-0000-00000A020000}"/>
    <cellStyle name="Border Thin 4 3 3" xfId="15458" xr:uid="{00000000-0005-0000-0000-00000A020000}"/>
    <cellStyle name="Border Thin 4 3 3 2" xfId="33851" xr:uid="{00000000-0005-0000-0000-00000A020000}"/>
    <cellStyle name="Border Thin 4 3 3 3" xfId="52214" xr:uid="{00000000-0005-0000-0000-00000A020000}"/>
    <cellStyle name="Border Thin 4 3 4" xfId="24582" xr:uid="{00000000-0005-0000-0000-00000A020000}"/>
    <cellStyle name="Border Thin 4 3 4 2" xfId="42951" xr:uid="{00000000-0005-0000-0000-00000A020000}"/>
    <cellStyle name="Border Thin 4 3 5" xfId="20909" xr:uid="{00000000-0005-0000-0000-00000A020000}"/>
    <cellStyle name="Border Thin 4 3 6" xfId="39298" xr:uid="{00000000-0005-0000-0000-00000A020000}"/>
    <cellStyle name="Border Thin 4 4" xfId="53" xr:uid="{00000000-0005-0000-0000-00000A020000}"/>
    <cellStyle name="Border Thin 4 4 2" xfId="9742" xr:uid="{00000000-0005-0000-0000-00000A020000}"/>
    <cellStyle name="Border Thin 4 4 2 2" xfId="28457" xr:uid="{00000000-0005-0000-0000-00000A020000}"/>
    <cellStyle name="Border Thin 4 4 2 3" xfId="46820" xr:uid="{00000000-0005-0000-0000-00000A020000}"/>
    <cellStyle name="Border Thin 4 4 3" xfId="13799" xr:uid="{00000000-0005-0000-0000-00000A020000}"/>
    <cellStyle name="Border Thin 4 4 3 2" xfId="32219" xr:uid="{00000000-0005-0000-0000-00000A020000}"/>
    <cellStyle name="Border Thin 4 4 3 3" xfId="50582" xr:uid="{00000000-0005-0000-0000-00000A020000}"/>
    <cellStyle name="Border Thin 4 4 4" xfId="18729" xr:uid="{00000000-0005-0000-0000-00000A020000}"/>
    <cellStyle name="Border Thin 4 4 4 2" xfId="37139" xr:uid="{00000000-0005-0000-0000-00000A020000}"/>
    <cellStyle name="Border Thin 4 4 5" xfId="18922" xr:uid="{00000000-0005-0000-0000-00000A020000}"/>
    <cellStyle name="Border Thin 4 4 6" xfId="37331" xr:uid="{00000000-0005-0000-0000-00000A020000}"/>
    <cellStyle name="Border Thin 4 5" xfId="9792" xr:uid="{00000000-0005-0000-0000-00000A020000}"/>
    <cellStyle name="Border Thin 4 5 2" xfId="13849" xr:uid="{00000000-0005-0000-0000-00000A020000}"/>
    <cellStyle name="Border Thin 4 5 2 2" xfId="32269" xr:uid="{00000000-0005-0000-0000-00000A020000}"/>
    <cellStyle name="Border Thin 4 5 2 3" xfId="50632" xr:uid="{00000000-0005-0000-0000-00000A020000}"/>
    <cellStyle name="Border Thin 4 5 3" xfId="28507" xr:uid="{00000000-0005-0000-0000-00000A020000}"/>
    <cellStyle name="Border Thin 4 5 3 2" xfId="46870" xr:uid="{00000000-0005-0000-0000-00000A020000}"/>
    <cellStyle name="Border Thin 4 5 4" xfId="19007" xr:uid="{00000000-0005-0000-0000-00000A020000}"/>
    <cellStyle name="Border Thin 4 5 5" xfId="37416" xr:uid="{00000000-0005-0000-0000-00000A020000}"/>
    <cellStyle name="Border Thin 4 6" xfId="8028" xr:uid="{00000000-0005-0000-0000-00000A020000}"/>
    <cellStyle name="Border Thin 4 6 2" xfId="27257" xr:uid="{00000000-0005-0000-0000-00000A020000}"/>
    <cellStyle name="Border Thin 4 6 3" xfId="45622" xr:uid="{00000000-0005-0000-0000-00000A020000}"/>
    <cellStyle name="Border Thin 4 7" xfId="8242" xr:uid="{00000000-0005-0000-0000-00000A020000}"/>
    <cellStyle name="Border Thin 4 7 2" xfId="27379" xr:uid="{00000000-0005-0000-0000-00000A020000}"/>
    <cellStyle name="Border Thin 4 7 3" xfId="45744" xr:uid="{00000000-0005-0000-0000-00000A020000}"/>
    <cellStyle name="Border Thin 4 8" xfId="19076" xr:uid="{00000000-0005-0000-0000-00000A020000}"/>
    <cellStyle name="Border Thin 4 8 2" xfId="37484" xr:uid="{00000000-0005-0000-0000-00000A020000}"/>
    <cellStyle name="Border Thin 4 9" xfId="8314" xr:uid="{00000000-0005-0000-0000-00000A020000}"/>
    <cellStyle name="Border Thin 5" xfId="2002" xr:uid="{00000000-0005-0000-0000-00000B020000}"/>
    <cellStyle name="Border Thin 5 10" xfId="7111" xr:uid="{00000000-0005-0000-0000-00000B020000}"/>
    <cellStyle name="Border Thin 5 2" xfId="3748" xr:uid="{00000000-0005-0000-0000-00000B020000}"/>
    <cellStyle name="Border Thin 5 2 2" xfId="5921" xr:uid="{00000000-0005-0000-0000-00000B020000}"/>
    <cellStyle name="Border Thin 5 2 2 2" xfId="12285" xr:uid="{00000000-0005-0000-0000-00000B020000}"/>
    <cellStyle name="Border Thin 5 2 2 2 2" xfId="30732" xr:uid="{00000000-0005-0000-0000-00000B020000}"/>
    <cellStyle name="Border Thin 5 2 2 2 3" xfId="49095" xr:uid="{00000000-0005-0000-0000-00000B020000}"/>
    <cellStyle name="Border Thin 5 2 2 3" xfId="16611" xr:uid="{00000000-0005-0000-0000-00000B020000}"/>
    <cellStyle name="Border Thin 5 2 2 3 2" xfId="34983" xr:uid="{00000000-0005-0000-0000-00000B020000}"/>
    <cellStyle name="Border Thin 5 2 2 3 3" xfId="53346" xr:uid="{00000000-0005-0000-0000-00000B020000}"/>
    <cellStyle name="Border Thin 5 2 2 4" xfId="25730" xr:uid="{00000000-0005-0000-0000-00000B020000}"/>
    <cellStyle name="Border Thin 5 2 2 4 2" xfId="44099" xr:uid="{00000000-0005-0000-0000-00000B020000}"/>
    <cellStyle name="Border Thin 5 2 2 5" xfId="22051" xr:uid="{00000000-0005-0000-0000-00000B020000}"/>
    <cellStyle name="Border Thin 5 2 2 6" xfId="40430" xr:uid="{00000000-0005-0000-0000-00000B020000}"/>
    <cellStyle name="Border Thin 5 2 3" xfId="6747" xr:uid="{00000000-0005-0000-0000-00000B020000}"/>
    <cellStyle name="Border Thin 5 2 3 2" xfId="13038" xr:uid="{00000000-0005-0000-0000-00000B020000}"/>
    <cellStyle name="Border Thin 5 2 3 2 2" xfId="31464" xr:uid="{00000000-0005-0000-0000-00000B020000}"/>
    <cellStyle name="Border Thin 5 2 3 2 3" xfId="49827" xr:uid="{00000000-0005-0000-0000-00000B020000}"/>
    <cellStyle name="Border Thin 5 2 3 3" xfId="17349" xr:uid="{00000000-0005-0000-0000-00000B020000}"/>
    <cellStyle name="Border Thin 5 2 3 3 2" xfId="35697" xr:uid="{00000000-0005-0000-0000-00000B020000}"/>
    <cellStyle name="Border Thin 5 2 3 3 3" xfId="54060" xr:uid="{00000000-0005-0000-0000-00000B020000}"/>
    <cellStyle name="Border Thin 5 2 3 4" xfId="26482" xr:uid="{00000000-0005-0000-0000-00000B020000}"/>
    <cellStyle name="Border Thin 5 2 3 4 2" xfId="44851" xr:uid="{00000000-0005-0000-0000-00000B020000}"/>
    <cellStyle name="Border Thin 5 2 3 5" xfId="22775" xr:uid="{00000000-0005-0000-0000-00000B020000}"/>
    <cellStyle name="Border Thin 5 2 3 6" xfId="41144" xr:uid="{00000000-0005-0000-0000-00000B020000}"/>
    <cellStyle name="Border Thin 5 2 4" xfId="10461" xr:uid="{00000000-0005-0000-0000-00000B020000}"/>
    <cellStyle name="Border Thin 5 2 4 2" xfId="14518" xr:uid="{00000000-0005-0000-0000-00000B020000}"/>
    <cellStyle name="Border Thin 5 2 4 2 2" xfId="32934" xr:uid="{00000000-0005-0000-0000-00000B020000}"/>
    <cellStyle name="Border Thin 5 2 4 2 3" xfId="51297" xr:uid="{00000000-0005-0000-0000-00000B020000}"/>
    <cellStyle name="Border Thin 5 2 4 3" xfId="29172" xr:uid="{00000000-0005-0000-0000-00000B020000}"/>
    <cellStyle name="Border Thin 5 2 4 3 2" xfId="47535" xr:uid="{00000000-0005-0000-0000-00000B020000}"/>
    <cellStyle name="Border Thin 5 2 4 4" xfId="19975" xr:uid="{00000000-0005-0000-0000-00000B020000}"/>
    <cellStyle name="Border Thin 5 2 4 5" xfId="38381" xr:uid="{00000000-0005-0000-0000-00000B020000}"/>
    <cellStyle name="Border Thin 5 2 5" xfId="9683" xr:uid="{00000000-0005-0000-0000-00000B020000}"/>
    <cellStyle name="Border Thin 5 2 5 2" xfId="28399" xr:uid="{00000000-0005-0000-0000-00000B020000}"/>
    <cellStyle name="Border Thin 5 2 5 3" xfId="46762" xr:uid="{00000000-0005-0000-0000-00000B020000}"/>
    <cellStyle name="Border Thin 5 2 6" xfId="13740" xr:uid="{00000000-0005-0000-0000-00000B020000}"/>
    <cellStyle name="Border Thin 5 2 6 2" xfId="32161" xr:uid="{00000000-0005-0000-0000-00000B020000}"/>
    <cellStyle name="Border Thin 5 2 6 3" xfId="50524" xr:uid="{00000000-0005-0000-0000-00000B020000}"/>
    <cellStyle name="Border Thin 5 2 7" xfId="23656" xr:uid="{00000000-0005-0000-0000-00000B020000}"/>
    <cellStyle name="Border Thin 5 2 7 2" xfId="42025" xr:uid="{00000000-0005-0000-0000-00000B020000}"/>
    <cellStyle name="Border Thin 5 2 8" xfId="18825" xr:uid="{00000000-0005-0000-0000-00000B020000}"/>
    <cellStyle name="Border Thin 5 2 9" xfId="37234" xr:uid="{00000000-0005-0000-0000-00000B020000}"/>
    <cellStyle name="Border Thin 5 3" xfId="4855" xr:uid="{00000000-0005-0000-0000-00000B020000}"/>
    <cellStyle name="Border Thin 5 3 2" xfId="11413" xr:uid="{00000000-0005-0000-0000-00000B020000}"/>
    <cellStyle name="Border Thin 5 3 2 2" xfId="30003" xr:uid="{00000000-0005-0000-0000-00000B020000}"/>
    <cellStyle name="Border Thin 5 3 2 3" xfId="48366" xr:uid="{00000000-0005-0000-0000-00000B020000}"/>
    <cellStyle name="Border Thin 5 3 3" xfId="15581" xr:uid="{00000000-0005-0000-0000-00000B020000}"/>
    <cellStyle name="Border Thin 5 3 3 2" xfId="33972" xr:uid="{00000000-0005-0000-0000-00000B020000}"/>
    <cellStyle name="Border Thin 5 3 3 3" xfId="52335" xr:uid="{00000000-0005-0000-0000-00000B020000}"/>
    <cellStyle name="Border Thin 5 3 4" xfId="24703" xr:uid="{00000000-0005-0000-0000-00000B020000}"/>
    <cellStyle name="Border Thin 5 3 4 2" xfId="43072" xr:uid="{00000000-0005-0000-0000-00000B020000}"/>
    <cellStyle name="Border Thin 5 3 5" xfId="21030" xr:uid="{00000000-0005-0000-0000-00000B020000}"/>
    <cellStyle name="Border Thin 5 3 6" xfId="39419" xr:uid="{00000000-0005-0000-0000-00000B020000}"/>
    <cellStyle name="Border Thin 5 4" xfId="3919" xr:uid="{00000000-0005-0000-0000-00000B020000}"/>
    <cellStyle name="Border Thin 5 4 2" xfId="10627" xr:uid="{00000000-0005-0000-0000-00000B020000}"/>
    <cellStyle name="Border Thin 5 4 2 2" xfId="29337" xr:uid="{00000000-0005-0000-0000-00000B020000}"/>
    <cellStyle name="Border Thin 5 4 2 3" xfId="47700" xr:uid="{00000000-0005-0000-0000-00000B020000}"/>
    <cellStyle name="Border Thin 5 4 3" xfId="14684" xr:uid="{00000000-0005-0000-0000-00000B020000}"/>
    <cellStyle name="Border Thin 5 4 3 2" xfId="33098" xr:uid="{00000000-0005-0000-0000-00000B020000}"/>
    <cellStyle name="Border Thin 5 4 3 3" xfId="51461" xr:uid="{00000000-0005-0000-0000-00000B020000}"/>
    <cellStyle name="Border Thin 5 4 4" xfId="23822" xr:uid="{00000000-0005-0000-0000-00000B020000}"/>
    <cellStyle name="Border Thin 5 4 4 2" xfId="42191" xr:uid="{00000000-0005-0000-0000-00000B020000}"/>
    <cellStyle name="Border Thin 5 4 5" xfId="20140" xr:uid="{00000000-0005-0000-0000-00000B020000}"/>
    <cellStyle name="Border Thin 5 4 6" xfId="38545" xr:uid="{00000000-0005-0000-0000-00000B020000}"/>
    <cellStyle name="Border Thin 5 5" xfId="9687" xr:uid="{00000000-0005-0000-0000-00000B020000}"/>
    <cellStyle name="Border Thin 5 5 2" xfId="13744" xr:uid="{00000000-0005-0000-0000-00000B020000}"/>
    <cellStyle name="Border Thin 5 5 2 2" xfId="32165" xr:uid="{00000000-0005-0000-0000-00000B020000}"/>
    <cellStyle name="Border Thin 5 5 2 3" xfId="50528" xr:uid="{00000000-0005-0000-0000-00000B020000}"/>
    <cellStyle name="Border Thin 5 5 3" xfId="28403" xr:uid="{00000000-0005-0000-0000-00000B020000}"/>
    <cellStyle name="Border Thin 5 5 3 2" xfId="46766" xr:uid="{00000000-0005-0000-0000-00000B020000}"/>
    <cellStyle name="Border Thin 5 5 4" xfId="18832" xr:uid="{00000000-0005-0000-0000-00000B020000}"/>
    <cellStyle name="Border Thin 5 5 5" xfId="37241" xr:uid="{00000000-0005-0000-0000-00000B020000}"/>
    <cellStyle name="Border Thin 5 6" xfId="8173" xr:uid="{00000000-0005-0000-0000-00000B020000}"/>
    <cellStyle name="Border Thin 5 6 2" xfId="27364" xr:uid="{00000000-0005-0000-0000-00000B020000}"/>
    <cellStyle name="Border Thin 5 6 3" xfId="45729" xr:uid="{00000000-0005-0000-0000-00000B020000}"/>
    <cellStyle name="Border Thin 5 7" xfId="7152" xr:uid="{00000000-0005-0000-0000-00000B020000}"/>
    <cellStyle name="Border Thin 5 7 2" xfId="26730" xr:uid="{00000000-0005-0000-0000-00000B020000}"/>
    <cellStyle name="Border Thin 5 7 3" xfId="45098" xr:uid="{00000000-0005-0000-0000-00000B020000}"/>
    <cellStyle name="Border Thin 5 8" xfId="19079" xr:uid="{00000000-0005-0000-0000-00000B020000}"/>
    <cellStyle name="Border Thin 5 8 2" xfId="37487" xr:uid="{00000000-0005-0000-0000-00000B020000}"/>
    <cellStyle name="Border Thin 5 9" xfId="8405" xr:uid="{00000000-0005-0000-0000-00000B020000}"/>
    <cellStyle name="Border Thin 6" xfId="2455" xr:uid="{00000000-0005-0000-0000-00000C020000}"/>
    <cellStyle name="Border Thin 6 10" xfId="35858" xr:uid="{00000000-0005-0000-0000-00000C020000}"/>
    <cellStyle name="Border Thin 6 2" xfId="3793" xr:uid="{00000000-0005-0000-0000-00000C020000}"/>
    <cellStyle name="Border Thin 6 2 2" xfId="5966" xr:uid="{00000000-0005-0000-0000-00000C020000}"/>
    <cellStyle name="Border Thin 6 2 2 2" xfId="12330" xr:uid="{00000000-0005-0000-0000-00000C020000}"/>
    <cellStyle name="Border Thin 6 2 2 2 2" xfId="30777" xr:uid="{00000000-0005-0000-0000-00000C020000}"/>
    <cellStyle name="Border Thin 6 2 2 2 3" xfId="49140" xr:uid="{00000000-0005-0000-0000-00000C020000}"/>
    <cellStyle name="Border Thin 6 2 2 3" xfId="16656" xr:uid="{00000000-0005-0000-0000-00000C020000}"/>
    <cellStyle name="Border Thin 6 2 2 3 2" xfId="35028" xr:uid="{00000000-0005-0000-0000-00000C020000}"/>
    <cellStyle name="Border Thin 6 2 2 3 3" xfId="53391" xr:uid="{00000000-0005-0000-0000-00000C020000}"/>
    <cellStyle name="Border Thin 6 2 2 4" xfId="25775" xr:uid="{00000000-0005-0000-0000-00000C020000}"/>
    <cellStyle name="Border Thin 6 2 2 4 2" xfId="44144" xr:uid="{00000000-0005-0000-0000-00000C020000}"/>
    <cellStyle name="Border Thin 6 2 2 5" xfId="22096" xr:uid="{00000000-0005-0000-0000-00000C020000}"/>
    <cellStyle name="Border Thin 6 2 2 6" xfId="40475" xr:uid="{00000000-0005-0000-0000-00000C020000}"/>
    <cellStyle name="Border Thin 6 2 3" xfId="6792" xr:uid="{00000000-0005-0000-0000-00000C020000}"/>
    <cellStyle name="Border Thin 6 2 3 2" xfId="13083" xr:uid="{00000000-0005-0000-0000-00000C020000}"/>
    <cellStyle name="Border Thin 6 2 3 2 2" xfId="31509" xr:uid="{00000000-0005-0000-0000-00000C020000}"/>
    <cellStyle name="Border Thin 6 2 3 2 3" xfId="49872" xr:uid="{00000000-0005-0000-0000-00000C020000}"/>
    <cellStyle name="Border Thin 6 2 3 3" xfId="17394" xr:uid="{00000000-0005-0000-0000-00000C020000}"/>
    <cellStyle name="Border Thin 6 2 3 3 2" xfId="35742" xr:uid="{00000000-0005-0000-0000-00000C020000}"/>
    <cellStyle name="Border Thin 6 2 3 3 3" xfId="54105" xr:uid="{00000000-0005-0000-0000-00000C020000}"/>
    <cellStyle name="Border Thin 6 2 3 4" xfId="26527" xr:uid="{00000000-0005-0000-0000-00000C020000}"/>
    <cellStyle name="Border Thin 6 2 3 4 2" xfId="44896" xr:uid="{00000000-0005-0000-0000-00000C020000}"/>
    <cellStyle name="Border Thin 6 2 3 5" xfId="22820" xr:uid="{00000000-0005-0000-0000-00000C020000}"/>
    <cellStyle name="Border Thin 6 2 3 6" xfId="41189" xr:uid="{00000000-0005-0000-0000-00000C020000}"/>
    <cellStyle name="Border Thin 6 2 4" xfId="10506" xr:uid="{00000000-0005-0000-0000-00000C020000}"/>
    <cellStyle name="Border Thin 6 2 4 2" xfId="14563" xr:uid="{00000000-0005-0000-0000-00000C020000}"/>
    <cellStyle name="Border Thin 6 2 4 2 2" xfId="32979" xr:uid="{00000000-0005-0000-0000-00000C020000}"/>
    <cellStyle name="Border Thin 6 2 4 2 3" xfId="51342" xr:uid="{00000000-0005-0000-0000-00000C020000}"/>
    <cellStyle name="Border Thin 6 2 4 3" xfId="29217" xr:uid="{00000000-0005-0000-0000-00000C020000}"/>
    <cellStyle name="Border Thin 6 2 4 3 2" xfId="47580" xr:uid="{00000000-0005-0000-0000-00000C020000}"/>
    <cellStyle name="Border Thin 6 2 4 4" xfId="20020" xr:uid="{00000000-0005-0000-0000-00000C020000}"/>
    <cellStyle name="Border Thin 6 2 4 5" xfId="38426" xr:uid="{00000000-0005-0000-0000-00000C020000}"/>
    <cellStyle name="Border Thin 6 2 5" xfId="9787" xr:uid="{00000000-0005-0000-0000-00000C020000}"/>
    <cellStyle name="Border Thin 6 2 5 2" xfId="28502" xr:uid="{00000000-0005-0000-0000-00000C020000}"/>
    <cellStyle name="Border Thin 6 2 5 3" xfId="46865" xr:uid="{00000000-0005-0000-0000-00000C020000}"/>
    <cellStyle name="Border Thin 6 2 6" xfId="13844" xr:uid="{00000000-0005-0000-0000-00000C020000}"/>
    <cellStyle name="Border Thin 6 2 6 2" xfId="32264" xr:uid="{00000000-0005-0000-0000-00000C020000}"/>
    <cellStyle name="Border Thin 6 2 6 3" xfId="50627" xr:uid="{00000000-0005-0000-0000-00000C020000}"/>
    <cellStyle name="Border Thin 6 2 7" xfId="23701" xr:uid="{00000000-0005-0000-0000-00000C020000}"/>
    <cellStyle name="Border Thin 6 2 7 2" xfId="42070" xr:uid="{00000000-0005-0000-0000-00000C020000}"/>
    <cellStyle name="Border Thin 6 2 8" xfId="18991" xr:uid="{00000000-0005-0000-0000-00000C020000}"/>
    <cellStyle name="Border Thin 6 2 9" xfId="37400" xr:uid="{00000000-0005-0000-0000-00000C020000}"/>
    <cellStyle name="Border Thin 6 3" xfId="5015" xr:uid="{00000000-0005-0000-0000-00000C020000}"/>
    <cellStyle name="Border Thin 6 3 2" xfId="11538" xr:uid="{00000000-0005-0000-0000-00000C020000}"/>
    <cellStyle name="Border Thin 6 3 2 2" xfId="30110" xr:uid="{00000000-0005-0000-0000-00000C020000}"/>
    <cellStyle name="Border Thin 6 3 2 3" xfId="48473" xr:uid="{00000000-0005-0000-0000-00000C020000}"/>
    <cellStyle name="Border Thin 6 3 3" xfId="15728" xr:uid="{00000000-0005-0000-0000-00000C020000}"/>
    <cellStyle name="Border Thin 6 3 3 2" xfId="34116" xr:uid="{00000000-0005-0000-0000-00000C020000}"/>
    <cellStyle name="Border Thin 6 3 3 3" xfId="52479" xr:uid="{00000000-0005-0000-0000-00000C020000}"/>
    <cellStyle name="Border Thin 6 3 4" xfId="24852" xr:uid="{00000000-0005-0000-0000-00000C020000}"/>
    <cellStyle name="Border Thin 6 3 4 2" xfId="43221" xr:uid="{00000000-0005-0000-0000-00000C020000}"/>
    <cellStyle name="Border Thin 6 3 5" xfId="21176" xr:uid="{00000000-0005-0000-0000-00000C020000}"/>
    <cellStyle name="Border Thin 6 3 6" xfId="39563" xr:uid="{00000000-0005-0000-0000-00000C020000}"/>
    <cellStyle name="Border Thin 6 4" xfId="6136" xr:uid="{00000000-0005-0000-0000-00000C020000}"/>
    <cellStyle name="Border Thin 6 4 2" xfId="12490" xr:uid="{00000000-0005-0000-0000-00000C020000}"/>
    <cellStyle name="Border Thin 6 4 2 2" xfId="30928" xr:uid="{00000000-0005-0000-0000-00000C020000}"/>
    <cellStyle name="Border Thin 6 4 2 3" xfId="49291" xr:uid="{00000000-0005-0000-0000-00000C020000}"/>
    <cellStyle name="Border Thin 6 4 3" xfId="16808" xr:uid="{00000000-0005-0000-0000-00000C020000}"/>
    <cellStyle name="Border Thin 6 4 3 2" xfId="35175" xr:uid="{00000000-0005-0000-0000-00000C020000}"/>
    <cellStyle name="Border Thin 6 4 3 3" xfId="53538" xr:uid="{00000000-0005-0000-0000-00000C020000}"/>
    <cellStyle name="Border Thin 6 4 4" xfId="25929" xr:uid="{00000000-0005-0000-0000-00000C020000}"/>
    <cellStyle name="Border Thin 6 4 4 2" xfId="44298" xr:uid="{00000000-0005-0000-0000-00000C020000}"/>
    <cellStyle name="Border Thin 6 4 5" xfId="22245" xr:uid="{00000000-0005-0000-0000-00000C020000}"/>
    <cellStyle name="Border Thin 6 4 6" xfId="40622" xr:uid="{00000000-0005-0000-0000-00000C020000}"/>
    <cellStyle name="Border Thin 6 5" xfId="9780" xr:uid="{00000000-0005-0000-0000-00000C020000}"/>
    <cellStyle name="Border Thin 6 5 2" xfId="13837" xr:uid="{00000000-0005-0000-0000-00000C020000}"/>
    <cellStyle name="Border Thin 6 5 2 2" xfId="32257" xr:uid="{00000000-0005-0000-0000-00000C020000}"/>
    <cellStyle name="Border Thin 6 5 2 3" xfId="50620" xr:uid="{00000000-0005-0000-0000-00000C020000}"/>
    <cellStyle name="Border Thin 6 5 3" xfId="28495" xr:uid="{00000000-0005-0000-0000-00000C020000}"/>
    <cellStyle name="Border Thin 6 5 3 2" xfId="46858" xr:uid="{00000000-0005-0000-0000-00000C020000}"/>
    <cellStyle name="Border Thin 6 5 4" xfId="18981" xr:uid="{00000000-0005-0000-0000-00000C020000}"/>
    <cellStyle name="Border Thin 6 5 5" xfId="37390" xr:uid="{00000000-0005-0000-0000-00000C020000}"/>
    <cellStyle name="Border Thin 6 6" xfId="8451" xr:uid="{00000000-0005-0000-0000-00000C020000}"/>
    <cellStyle name="Border Thin 6 6 2" xfId="27491" xr:uid="{00000000-0005-0000-0000-00000C020000}"/>
    <cellStyle name="Border Thin 6 6 3" xfId="45855" xr:uid="{00000000-0005-0000-0000-00000C020000}"/>
    <cellStyle name="Border Thin 6 7" xfId="7091" xr:uid="{00000000-0005-0000-0000-00000C020000}"/>
    <cellStyle name="Border Thin 6 7 2" xfId="26715" xr:uid="{00000000-0005-0000-0000-00000C020000}"/>
    <cellStyle name="Border Thin 6 7 3" xfId="45083" xr:uid="{00000000-0005-0000-0000-00000C020000}"/>
    <cellStyle name="Border Thin 6 8" xfId="18982" xr:uid="{00000000-0005-0000-0000-00000C020000}"/>
    <cellStyle name="Border Thin 6 8 2" xfId="37391" xr:uid="{00000000-0005-0000-0000-00000C020000}"/>
    <cellStyle name="Border Thin 6 9" xfId="7849" xr:uid="{00000000-0005-0000-0000-00000C020000}"/>
    <cellStyle name="Border Thin 7" xfId="3036" xr:uid="{00000000-0005-0000-0000-00000D020000}"/>
    <cellStyle name="Border Thin 7 2" xfId="3847" xr:uid="{00000000-0005-0000-0000-00000D020000}"/>
    <cellStyle name="Border Thin 7 2 2" xfId="6020" xr:uid="{00000000-0005-0000-0000-00000D020000}"/>
    <cellStyle name="Border Thin 7 2 2 2" xfId="12384" xr:uid="{00000000-0005-0000-0000-00000D020000}"/>
    <cellStyle name="Border Thin 7 2 2 2 2" xfId="30831" xr:uid="{00000000-0005-0000-0000-00000D020000}"/>
    <cellStyle name="Border Thin 7 2 2 2 3" xfId="49194" xr:uid="{00000000-0005-0000-0000-00000D020000}"/>
    <cellStyle name="Border Thin 7 2 2 3" xfId="16710" xr:uid="{00000000-0005-0000-0000-00000D020000}"/>
    <cellStyle name="Border Thin 7 2 2 3 2" xfId="35082" xr:uid="{00000000-0005-0000-0000-00000D020000}"/>
    <cellStyle name="Border Thin 7 2 2 3 3" xfId="53445" xr:uid="{00000000-0005-0000-0000-00000D020000}"/>
    <cellStyle name="Border Thin 7 2 2 4" xfId="25829" xr:uid="{00000000-0005-0000-0000-00000D020000}"/>
    <cellStyle name="Border Thin 7 2 2 4 2" xfId="44198" xr:uid="{00000000-0005-0000-0000-00000D020000}"/>
    <cellStyle name="Border Thin 7 2 2 5" xfId="22150" xr:uid="{00000000-0005-0000-0000-00000D020000}"/>
    <cellStyle name="Border Thin 7 2 2 6" xfId="40529" xr:uid="{00000000-0005-0000-0000-00000D020000}"/>
    <cellStyle name="Border Thin 7 2 3" xfId="6846" xr:uid="{00000000-0005-0000-0000-00000D020000}"/>
    <cellStyle name="Border Thin 7 2 3 2" xfId="13137" xr:uid="{00000000-0005-0000-0000-00000D020000}"/>
    <cellStyle name="Border Thin 7 2 3 2 2" xfId="31563" xr:uid="{00000000-0005-0000-0000-00000D020000}"/>
    <cellStyle name="Border Thin 7 2 3 2 3" xfId="49926" xr:uid="{00000000-0005-0000-0000-00000D020000}"/>
    <cellStyle name="Border Thin 7 2 3 3" xfId="17448" xr:uid="{00000000-0005-0000-0000-00000D020000}"/>
    <cellStyle name="Border Thin 7 2 3 3 2" xfId="35796" xr:uid="{00000000-0005-0000-0000-00000D020000}"/>
    <cellStyle name="Border Thin 7 2 3 3 3" xfId="54159" xr:uid="{00000000-0005-0000-0000-00000D020000}"/>
    <cellStyle name="Border Thin 7 2 3 4" xfId="26581" xr:uid="{00000000-0005-0000-0000-00000D020000}"/>
    <cellStyle name="Border Thin 7 2 3 4 2" xfId="44950" xr:uid="{00000000-0005-0000-0000-00000D020000}"/>
    <cellStyle name="Border Thin 7 2 3 5" xfId="22874" xr:uid="{00000000-0005-0000-0000-00000D020000}"/>
    <cellStyle name="Border Thin 7 2 3 6" xfId="41243" xr:uid="{00000000-0005-0000-0000-00000D020000}"/>
    <cellStyle name="Border Thin 7 2 4" xfId="10560" xr:uid="{00000000-0005-0000-0000-00000D020000}"/>
    <cellStyle name="Border Thin 7 2 4 2" xfId="14617" xr:uid="{00000000-0005-0000-0000-00000D020000}"/>
    <cellStyle name="Border Thin 7 2 4 2 2" xfId="33033" xr:uid="{00000000-0005-0000-0000-00000D020000}"/>
    <cellStyle name="Border Thin 7 2 4 2 3" xfId="51396" xr:uid="{00000000-0005-0000-0000-00000D020000}"/>
    <cellStyle name="Border Thin 7 2 4 3" xfId="29271" xr:uid="{00000000-0005-0000-0000-00000D020000}"/>
    <cellStyle name="Border Thin 7 2 4 3 2" xfId="47634" xr:uid="{00000000-0005-0000-0000-00000D020000}"/>
    <cellStyle name="Border Thin 7 2 4 4" xfId="20074" xr:uid="{00000000-0005-0000-0000-00000D020000}"/>
    <cellStyle name="Border Thin 7 2 4 5" xfId="38480" xr:uid="{00000000-0005-0000-0000-00000D020000}"/>
    <cellStyle name="Border Thin 7 2 5" xfId="9932" xr:uid="{00000000-0005-0000-0000-00000D020000}"/>
    <cellStyle name="Border Thin 7 2 5 2" xfId="28644" xr:uid="{00000000-0005-0000-0000-00000D020000}"/>
    <cellStyle name="Border Thin 7 2 5 3" xfId="47007" xr:uid="{00000000-0005-0000-0000-00000D020000}"/>
    <cellStyle name="Border Thin 7 2 6" xfId="13989" xr:uid="{00000000-0005-0000-0000-00000D020000}"/>
    <cellStyle name="Border Thin 7 2 6 2" xfId="32406" xr:uid="{00000000-0005-0000-0000-00000D020000}"/>
    <cellStyle name="Border Thin 7 2 6 3" xfId="50769" xr:uid="{00000000-0005-0000-0000-00000D020000}"/>
    <cellStyle name="Border Thin 7 2 7" xfId="23755" xr:uid="{00000000-0005-0000-0000-00000D020000}"/>
    <cellStyle name="Border Thin 7 2 7 2" xfId="42124" xr:uid="{00000000-0005-0000-0000-00000D020000}"/>
    <cellStyle name="Border Thin 7 2 8" xfId="19238" xr:uid="{00000000-0005-0000-0000-00000D020000}"/>
    <cellStyle name="Border Thin 7 2 9" xfId="37645" xr:uid="{00000000-0005-0000-0000-00000D020000}"/>
    <cellStyle name="Border Thin 7 3" xfId="5288" xr:uid="{00000000-0005-0000-0000-00000D020000}"/>
    <cellStyle name="Border Thin 7 3 2" xfId="11743" xr:uid="{00000000-0005-0000-0000-00000D020000}"/>
    <cellStyle name="Border Thin 7 3 2 2" xfId="30246" xr:uid="{00000000-0005-0000-0000-00000D020000}"/>
    <cellStyle name="Border Thin 7 3 2 3" xfId="48609" xr:uid="{00000000-0005-0000-0000-00000D020000}"/>
    <cellStyle name="Border Thin 7 3 3" xfId="15980" xr:uid="{00000000-0005-0000-0000-00000D020000}"/>
    <cellStyle name="Border Thin 7 3 3 2" xfId="34354" xr:uid="{00000000-0005-0000-0000-00000D020000}"/>
    <cellStyle name="Border Thin 7 3 3 3" xfId="52717" xr:uid="{00000000-0005-0000-0000-00000D020000}"/>
    <cellStyle name="Border Thin 7 3 4" xfId="25101" xr:uid="{00000000-0005-0000-0000-00000D020000}"/>
    <cellStyle name="Border Thin 7 3 4 2" xfId="43470" xr:uid="{00000000-0005-0000-0000-00000D020000}"/>
    <cellStyle name="Border Thin 7 3 5" xfId="21422" xr:uid="{00000000-0005-0000-0000-00000D020000}"/>
    <cellStyle name="Border Thin 7 3 6" xfId="39801" xr:uid="{00000000-0005-0000-0000-00000D020000}"/>
    <cellStyle name="Border Thin 7 4" xfId="6243" xr:uid="{00000000-0005-0000-0000-00000D020000}"/>
    <cellStyle name="Border Thin 7 4 2" xfId="12558" xr:uid="{00000000-0005-0000-0000-00000D020000}"/>
    <cellStyle name="Border Thin 7 4 2 2" xfId="30990" xr:uid="{00000000-0005-0000-0000-00000D020000}"/>
    <cellStyle name="Border Thin 7 4 2 3" xfId="49353" xr:uid="{00000000-0005-0000-0000-00000D020000}"/>
    <cellStyle name="Border Thin 7 4 3" xfId="16874" xr:uid="{00000000-0005-0000-0000-00000D020000}"/>
    <cellStyle name="Border Thin 7 4 3 2" xfId="35231" xr:uid="{00000000-0005-0000-0000-00000D020000}"/>
    <cellStyle name="Border Thin 7 4 3 3" xfId="53594" xr:uid="{00000000-0005-0000-0000-00000D020000}"/>
    <cellStyle name="Border Thin 7 4 4" xfId="26006" xr:uid="{00000000-0005-0000-0000-00000D020000}"/>
    <cellStyle name="Border Thin 7 4 4 2" xfId="44375" xr:uid="{00000000-0005-0000-0000-00000D020000}"/>
    <cellStyle name="Border Thin 7 4 5" xfId="22305" xr:uid="{00000000-0005-0000-0000-00000D020000}"/>
    <cellStyle name="Border Thin 7 4 6" xfId="40678" xr:uid="{00000000-0005-0000-0000-00000D020000}"/>
    <cellStyle name="Border Thin 7 5" xfId="11747" xr:uid="{00000000-0005-0000-0000-00000D020000}"/>
    <cellStyle name="Border Thin 7 5 2" xfId="30249" xr:uid="{00000000-0005-0000-0000-00000D020000}"/>
    <cellStyle name="Border Thin 7 5 3" xfId="48612" xr:uid="{00000000-0005-0000-0000-00000D020000}"/>
    <cellStyle name="Border Thin 7 6" xfId="23038" xr:uid="{00000000-0005-0000-0000-00000D020000}"/>
    <cellStyle name="Border Thin 7 6 2" xfId="41407" xr:uid="{00000000-0005-0000-0000-00000D020000}"/>
    <cellStyle name="Border Thin 7 7" xfId="36040" xr:uid="{00000000-0005-0000-0000-00000D020000}"/>
    <cellStyle name="Border Thin_Summary" xfId="2346" xr:uid="{00000000-0005-0000-0000-00000E020000}"/>
    <cellStyle name="Border_AV Model_MS_012505" xfId="281" xr:uid="{00000000-0005-0000-0000-00000F020000}"/>
    <cellStyle name="bp--" xfId="282" xr:uid="{00000000-0005-0000-0000-000010020000}"/>
    <cellStyle name="British Pound" xfId="283" xr:uid="{00000000-0005-0000-0000-000011020000}"/>
    <cellStyle name="Bullet" xfId="284" xr:uid="{00000000-0005-0000-0000-000012020000}"/>
    <cellStyle name="Bullet 2" xfId="2003" xr:uid="{00000000-0005-0000-0000-000013020000}"/>
    <cellStyle name="Bullet 3" xfId="2456" xr:uid="{00000000-0005-0000-0000-000014020000}"/>
    <cellStyle name="c" xfId="285" xr:uid="{00000000-0005-0000-0000-000015020000}"/>
    <cellStyle name="C05_Style E Text" xfId="286" xr:uid="{00000000-0005-0000-0000-000016020000}"/>
    <cellStyle name="c1" xfId="287" xr:uid="{00000000-0005-0000-0000-000017020000}"/>
    <cellStyle name="Calc Currency (0)" xfId="288" xr:uid="{00000000-0005-0000-0000-000018020000}"/>
    <cellStyle name="Calc Currency (0) 2" xfId="2004" xr:uid="{00000000-0005-0000-0000-000019020000}"/>
    <cellStyle name="Calc Currency (0) 3" xfId="2457" xr:uid="{00000000-0005-0000-0000-00001A020000}"/>
    <cellStyle name="Calc Currency (2)" xfId="289" xr:uid="{00000000-0005-0000-0000-00001B020000}"/>
    <cellStyle name="Calc Percent (0)" xfId="290" xr:uid="{00000000-0005-0000-0000-00001C020000}"/>
    <cellStyle name="Calc Percent (1)" xfId="291" xr:uid="{00000000-0005-0000-0000-00001D020000}"/>
    <cellStyle name="Calc Percent (2)" xfId="292" xr:uid="{00000000-0005-0000-0000-00001E020000}"/>
    <cellStyle name="Calc Units (0)" xfId="293" xr:uid="{00000000-0005-0000-0000-00001F020000}"/>
    <cellStyle name="Calc Units (0) 2" xfId="2005" xr:uid="{00000000-0005-0000-0000-000020020000}"/>
    <cellStyle name="Calc Units (0) 3" xfId="2458" xr:uid="{00000000-0005-0000-0000-000021020000}"/>
    <cellStyle name="Calc Units (1)" xfId="294" xr:uid="{00000000-0005-0000-0000-000022020000}"/>
    <cellStyle name="Calc Units (1) 2" xfId="2006" xr:uid="{00000000-0005-0000-0000-000023020000}"/>
    <cellStyle name="Calc Units (1) 3" xfId="2459" xr:uid="{00000000-0005-0000-0000-000024020000}"/>
    <cellStyle name="Calc Units (2)" xfId="295" xr:uid="{00000000-0005-0000-0000-000025020000}"/>
    <cellStyle name="Calculation" xfId="22" builtinId="22" customBuiltin="1"/>
    <cellStyle name="Calculation 2" xfId="1555" xr:uid="{00000000-0005-0000-0000-000027020000}"/>
    <cellStyle name="Calculation 2 2" xfId="1591" xr:uid="{00000000-0005-0000-0000-000028020000}"/>
    <cellStyle name="Calculation 2 2 2" xfId="4557" xr:uid="{00000000-0005-0000-0000-000028020000}"/>
    <cellStyle name="Calculation 2 2 2 2" xfId="15284" xr:uid="{00000000-0005-0000-0000-000028020000}"/>
    <cellStyle name="Calculation 2 2 2 2 2" xfId="33678" xr:uid="{00000000-0005-0000-0000-000028020000}"/>
    <cellStyle name="Calculation 2 2 2 2 3" xfId="52041" xr:uid="{00000000-0005-0000-0000-000028020000}"/>
    <cellStyle name="Calculation 2 2 2 3" xfId="24409" xr:uid="{00000000-0005-0000-0000-000028020000}"/>
    <cellStyle name="Calculation 2 2 2 3 2" xfId="42778" xr:uid="{00000000-0005-0000-0000-000028020000}"/>
    <cellStyle name="Calculation 2 2 2 4" xfId="20734" xr:uid="{00000000-0005-0000-0000-000028020000}"/>
    <cellStyle name="Calculation 2 2 2 5" xfId="39125" xr:uid="{00000000-0005-0000-0000-000028020000}"/>
    <cellStyle name="Calculation 2 2 3" xfId="18896" xr:uid="{00000000-0005-0000-0000-000028020000}"/>
    <cellStyle name="Calculation 2 2 3 2" xfId="37305" xr:uid="{00000000-0005-0000-0000-000028020000}"/>
    <cellStyle name="Calculation 2 2 4" xfId="8840" xr:uid="{00000000-0005-0000-0000-000028020000}"/>
    <cellStyle name="Calculation 2 2 5" xfId="8437" xr:uid="{00000000-0005-0000-0000-000028020000}"/>
    <cellStyle name="Calculation 2 3" xfId="4546" xr:uid="{00000000-0005-0000-0000-000027020000}"/>
    <cellStyle name="Calculation 2 3 2" xfId="15274" xr:uid="{00000000-0005-0000-0000-000027020000}"/>
    <cellStyle name="Calculation 2 3 2 2" xfId="33668" xr:uid="{00000000-0005-0000-0000-000027020000}"/>
    <cellStyle name="Calculation 2 3 2 3" xfId="52031" xr:uid="{00000000-0005-0000-0000-000027020000}"/>
    <cellStyle name="Calculation 2 3 3" xfId="24399" xr:uid="{00000000-0005-0000-0000-000027020000}"/>
    <cellStyle name="Calculation 2 3 3 2" xfId="42768" xr:uid="{00000000-0005-0000-0000-000027020000}"/>
    <cellStyle name="Calculation 2 3 4" xfId="20723" xr:uid="{00000000-0005-0000-0000-000027020000}"/>
    <cellStyle name="Calculation 2 3 5" xfId="39115" xr:uid="{00000000-0005-0000-0000-000027020000}"/>
    <cellStyle name="Calculation 2 4" xfId="4345" xr:uid="{00000000-0005-0000-0000-00003E000000}"/>
    <cellStyle name="Calculation 2 5" xfId="18805" xr:uid="{00000000-0005-0000-0000-000027020000}"/>
    <cellStyle name="Calculation 2 5 2" xfId="37214" xr:uid="{00000000-0005-0000-0000-000027020000}"/>
    <cellStyle name="Calculation 2 6" xfId="11737" xr:uid="{00000000-0005-0000-0000-000027020000}"/>
    <cellStyle name="Calculation 2 7" xfId="7506" xr:uid="{00000000-0005-0000-0000-000027020000}"/>
    <cellStyle name="Calculation 3" xfId="4512" xr:uid="{00000000-0005-0000-0000-0000711A0000}"/>
    <cellStyle name="Canada" xfId="296" xr:uid="{00000000-0005-0000-0000-000029020000}"/>
    <cellStyle name="Case" xfId="297" xr:uid="{00000000-0005-0000-0000-00002A020000}"/>
    <cellStyle name="Case 2" xfId="2007" xr:uid="{00000000-0005-0000-0000-00002B020000}"/>
    <cellStyle name="Case 3" xfId="2460" xr:uid="{00000000-0005-0000-0000-00002C020000}"/>
    <cellStyle name="Cash Flow Statement" xfId="298" xr:uid="{00000000-0005-0000-0000-00002D020000}"/>
    <cellStyle name="Cash Flow Statement 2" xfId="2008" xr:uid="{00000000-0005-0000-0000-00002E020000}"/>
    <cellStyle name="Cash Flow Statement 3" xfId="2461" xr:uid="{00000000-0005-0000-0000-00002F020000}"/>
    <cellStyle name="CashFlow" xfId="299" xr:uid="{00000000-0005-0000-0000-000030020000}"/>
    <cellStyle name="Category Name" xfId="300" xr:uid="{00000000-0005-0000-0000-000031020000}"/>
    <cellStyle name="Category Name 2" xfId="2009" xr:uid="{00000000-0005-0000-0000-000032020000}"/>
    <cellStyle name="Category Name 3" xfId="2462" xr:uid="{00000000-0005-0000-0000-000033020000}"/>
    <cellStyle name="Category Name 4" xfId="3035" xr:uid="{00000000-0005-0000-0000-000034020000}"/>
    <cellStyle name="Category Name 5" xfId="3286" xr:uid="{00000000-0005-0000-0000-000035020000}"/>
    <cellStyle name="Cents" xfId="301" xr:uid="{00000000-0005-0000-0000-000036020000}"/>
    <cellStyle name="Cents 2" xfId="2010" xr:uid="{00000000-0005-0000-0000-000037020000}"/>
    <cellStyle name="Cents 3" xfId="2463" xr:uid="{00000000-0005-0000-0000-000038020000}"/>
    <cellStyle name="Change" xfId="302" xr:uid="{00000000-0005-0000-0000-000039020000}"/>
    <cellStyle name="Changeable" xfId="303" xr:uid="{00000000-0005-0000-0000-00003A020000}"/>
    <cellStyle name="Check Cell" xfId="24" builtinId="23" customBuiltin="1"/>
    <cellStyle name="Check Cell 2" xfId="1556" xr:uid="{00000000-0005-0000-0000-00003C020000}"/>
    <cellStyle name="Check Cell 2 2" xfId="4370" xr:uid="{00000000-0005-0000-0000-000040000000}"/>
    <cellStyle name="Check Cell 3" xfId="4369" xr:uid="{00000000-0005-0000-0000-0000731A0000}"/>
    <cellStyle name="Co. Names" xfId="304" xr:uid="{00000000-0005-0000-0000-00003D020000}"/>
    <cellStyle name="Co. Names - Bold" xfId="305" xr:uid="{00000000-0005-0000-0000-00003E020000}"/>
    <cellStyle name="Co. Names - Bold 2" xfId="2012" xr:uid="{00000000-0005-0000-0000-00003F020000}"/>
    <cellStyle name="Co. Names - Bold 3" xfId="2465" xr:uid="{00000000-0005-0000-0000-000040020000}"/>
    <cellStyle name="Co. Names 2" xfId="2011" xr:uid="{00000000-0005-0000-0000-000041020000}"/>
    <cellStyle name="Co. Names 3" xfId="2464" xr:uid="{00000000-0005-0000-0000-000042020000}"/>
    <cellStyle name="Co. Names_Merrill_WACC" xfId="306" xr:uid="{00000000-0005-0000-0000-000043020000}"/>
    <cellStyle name="COL HEADINGS" xfId="307" xr:uid="{00000000-0005-0000-0000-000044020000}"/>
    <cellStyle name="COL HEADINGS 10" xfId="7013" xr:uid="{00000000-0005-0000-0000-000044020000}"/>
    <cellStyle name="COL HEADINGS 10 2" xfId="26703" xr:uid="{00000000-0005-0000-0000-000044020000}"/>
    <cellStyle name="COL HEADINGS 10 3" xfId="45072" xr:uid="{00000000-0005-0000-0000-000044020000}"/>
    <cellStyle name="COL HEADINGS 2" xfId="1041" xr:uid="{00000000-0005-0000-0000-000045020000}"/>
    <cellStyle name="COL HEADINGS 2 10" xfId="7438" xr:uid="{00000000-0005-0000-0000-000045020000}"/>
    <cellStyle name="COL HEADINGS 2 10 2" xfId="26823" xr:uid="{00000000-0005-0000-0000-000045020000}"/>
    <cellStyle name="COL HEADINGS 2 10 3" xfId="45191" xr:uid="{00000000-0005-0000-0000-000045020000}"/>
    <cellStyle name="COL HEADINGS 2 11" xfId="10881" xr:uid="{00000000-0005-0000-0000-000045020000}"/>
    <cellStyle name="COL HEADINGS 2 11 2" xfId="29539" xr:uid="{00000000-0005-0000-0000-000045020000}"/>
    <cellStyle name="COL HEADINGS 2 11 3" xfId="47902" xr:uid="{00000000-0005-0000-0000-000045020000}"/>
    <cellStyle name="COL HEADINGS 2 12" xfId="4077" xr:uid="{00000000-0005-0000-0000-000045020000}"/>
    <cellStyle name="COL HEADINGS 2 2" xfId="1236" xr:uid="{00000000-0005-0000-0000-000046020000}"/>
    <cellStyle name="COL HEADINGS 2 2 10" xfId="9009" xr:uid="{00000000-0005-0000-0000-000046020000}"/>
    <cellStyle name="COL HEADINGS 2 2 2" xfId="1642" xr:uid="{00000000-0005-0000-0000-000047020000}"/>
    <cellStyle name="COL HEADINGS 2 2 2 10" xfId="17903" xr:uid="{00000000-0005-0000-0000-000047020000}"/>
    <cellStyle name="COL HEADINGS 2 2 2 10 2" xfId="36313" xr:uid="{00000000-0005-0000-0000-000047020000}"/>
    <cellStyle name="COL HEADINGS 2 2 2 11" xfId="8577" xr:uid="{00000000-0005-0000-0000-000047020000}"/>
    <cellStyle name="COL HEADINGS 2 2 2 12" xfId="11754" xr:uid="{00000000-0005-0000-0000-000047020000}"/>
    <cellStyle name="COL HEADINGS 2 2 2 2" xfId="1723" xr:uid="{00000000-0005-0000-0000-000048020000}"/>
    <cellStyle name="COL HEADINGS 2 2 2 2 10" xfId="11838" xr:uid="{00000000-0005-0000-0000-000048020000}"/>
    <cellStyle name="COL HEADINGS 2 2 2 2 2" xfId="3620" xr:uid="{00000000-0005-0000-0000-000048020000}"/>
    <cellStyle name="COL HEADINGS 2 2 2 2 2 2" xfId="5793" xr:uid="{00000000-0005-0000-0000-000048020000}"/>
    <cellStyle name="COL HEADINGS 2 2 2 2 2 2 2" xfId="12157" xr:uid="{00000000-0005-0000-0000-000048020000}"/>
    <cellStyle name="COL HEADINGS 2 2 2 2 2 2 2 2" xfId="30604" xr:uid="{00000000-0005-0000-0000-000048020000}"/>
    <cellStyle name="COL HEADINGS 2 2 2 2 2 2 2 3" xfId="48967" xr:uid="{00000000-0005-0000-0000-000048020000}"/>
    <cellStyle name="COL HEADINGS 2 2 2 2 2 2 3" xfId="16483" xr:uid="{00000000-0005-0000-0000-000048020000}"/>
    <cellStyle name="COL HEADINGS 2 2 2 2 2 2 3 2" xfId="34855" xr:uid="{00000000-0005-0000-0000-000048020000}"/>
    <cellStyle name="COL HEADINGS 2 2 2 2 2 2 3 3" xfId="53218" xr:uid="{00000000-0005-0000-0000-000048020000}"/>
    <cellStyle name="COL HEADINGS 2 2 2 2 2 2 4" xfId="25602" xr:uid="{00000000-0005-0000-0000-000048020000}"/>
    <cellStyle name="COL HEADINGS 2 2 2 2 2 2 4 2" xfId="43971" xr:uid="{00000000-0005-0000-0000-000048020000}"/>
    <cellStyle name="COL HEADINGS 2 2 2 2 2 2 5" xfId="21923" xr:uid="{00000000-0005-0000-0000-000048020000}"/>
    <cellStyle name="COL HEADINGS 2 2 2 2 2 2 6" xfId="40302" xr:uid="{00000000-0005-0000-0000-000048020000}"/>
    <cellStyle name="COL HEADINGS 2 2 2 2 2 3" xfId="6619" xr:uid="{00000000-0005-0000-0000-000048020000}"/>
    <cellStyle name="COL HEADINGS 2 2 2 2 2 3 2" xfId="12910" xr:uid="{00000000-0005-0000-0000-000048020000}"/>
    <cellStyle name="COL HEADINGS 2 2 2 2 2 3 2 2" xfId="31336" xr:uid="{00000000-0005-0000-0000-000048020000}"/>
    <cellStyle name="COL HEADINGS 2 2 2 2 2 3 2 3" xfId="49699" xr:uid="{00000000-0005-0000-0000-000048020000}"/>
    <cellStyle name="COL HEADINGS 2 2 2 2 2 3 3" xfId="17221" xr:uid="{00000000-0005-0000-0000-000048020000}"/>
    <cellStyle name="COL HEADINGS 2 2 2 2 2 3 3 2" xfId="35569" xr:uid="{00000000-0005-0000-0000-000048020000}"/>
    <cellStyle name="COL HEADINGS 2 2 2 2 2 3 3 3" xfId="53932" xr:uid="{00000000-0005-0000-0000-000048020000}"/>
    <cellStyle name="COL HEADINGS 2 2 2 2 2 3 4" xfId="26354" xr:uid="{00000000-0005-0000-0000-000048020000}"/>
    <cellStyle name="COL HEADINGS 2 2 2 2 2 3 4 2" xfId="44723" xr:uid="{00000000-0005-0000-0000-000048020000}"/>
    <cellStyle name="COL HEADINGS 2 2 2 2 2 3 5" xfId="22647" xr:uid="{00000000-0005-0000-0000-000048020000}"/>
    <cellStyle name="COL HEADINGS 2 2 2 2 2 3 6" xfId="41016" xr:uid="{00000000-0005-0000-0000-000048020000}"/>
    <cellStyle name="COL HEADINGS 2 2 2 2 2 4" xfId="10333" xr:uid="{00000000-0005-0000-0000-000048020000}"/>
    <cellStyle name="COL HEADINGS 2 2 2 2 2 4 2" xfId="14390" xr:uid="{00000000-0005-0000-0000-000048020000}"/>
    <cellStyle name="COL HEADINGS 2 2 2 2 2 4 2 2" xfId="32806" xr:uid="{00000000-0005-0000-0000-000048020000}"/>
    <cellStyle name="COL HEADINGS 2 2 2 2 2 4 2 3" xfId="51169" xr:uid="{00000000-0005-0000-0000-000048020000}"/>
    <cellStyle name="COL HEADINGS 2 2 2 2 2 4 3" xfId="29044" xr:uid="{00000000-0005-0000-0000-000048020000}"/>
    <cellStyle name="COL HEADINGS 2 2 2 2 2 4 3 2" xfId="47407" xr:uid="{00000000-0005-0000-0000-000048020000}"/>
    <cellStyle name="COL HEADINGS 2 2 2 2 2 4 4" xfId="19847" xr:uid="{00000000-0005-0000-0000-000048020000}"/>
    <cellStyle name="COL HEADINGS 2 2 2 2 2 4 5" xfId="38253" xr:uid="{00000000-0005-0000-0000-000048020000}"/>
    <cellStyle name="COL HEADINGS 2 2 2 2 2 5" xfId="9541" xr:uid="{00000000-0005-0000-0000-000048020000}"/>
    <cellStyle name="COL HEADINGS 2 2 2 2 2 5 2" xfId="28258" xr:uid="{00000000-0005-0000-0000-000048020000}"/>
    <cellStyle name="COL HEADINGS 2 2 2 2 2 5 3" xfId="46621" xr:uid="{00000000-0005-0000-0000-000048020000}"/>
    <cellStyle name="COL HEADINGS 2 2 2 2 2 6" xfId="13599" xr:uid="{00000000-0005-0000-0000-000048020000}"/>
    <cellStyle name="COL HEADINGS 2 2 2 2 2 6 2" xfId="32020" xr:uid="{00000000-0005-0000-0000-000048020000}"/>
    <cellStyle name="COL HEADINGS 2 2 2 2 2 6 3" xfId="50383" xr:uid="{00000000-0005-0000-0000-000048020000}"/>
    <cellStyle name="COL HEADINGS 2 2 2 2 2 7" xfId="23528" xr:uid="{00000000-0005-0000-0000-000048020000}"/>
    <cellStyle name="COL HEADINGS 2 2 2 2 2 7 2" xfId="41897" xr:uid="{00000000-0005-0000-0000-000048020000}"/>
    <cellStyle name="COL HEADINGS 2 2 2 2 2 8" xfId="18640" xr:uid="{00000000-0005-0000-0000-000048020000}"/>
    <cellStyle name="COL HEADINGS 2 2 2 2 2 9" xfId="37050" xr:uid="{00000000-0005-0000-0000-000048020000}"/>
    <cellStyle name="COL HEADINGS 2 2 2 2 3" xfId="4660" xr:uid="{00000000-0005-0000-0000-000048020000}"/>
    <cellStyle name="COL HEADINGS 2 2 2 2 3 2" xfId="11244" xr:uid="{00000000-0005-0000-0000-000048020000}"/>
    <cellStyle name="COL HEADINGS 2 2 2 2 3 2 2" xfId="29856" xr:uid="{00000000-0005-0000-0000-000048020000}"/>
    <cellStyle name="COL HEADINGS 2 2 2 2 3 2 3" xfId="48219" xr:uid="{00000000-0005-0000-0000-000048020000}"/>
    <cellStyle name="COL HEADINGS 2 2 2 2 3 3" xfId="15386" xr:uid="{00000000-0005-0000-0000-000048020000}"/>
    <cellStyle name="COL HEADINGS 2 2 2 2 3 3 2" xfId="33779" xr:uid="{00000000-0005-0000-0000-000048020000}"/>
    <cellStyle name="COL HEADINGS 2 2 2 2 3 3 3" xfId="52142" xr:uid="{00000000-0005-0000-0000-000048020000}"/>
    <cellStyle name="COL HEADINGS 2 2 2 2 3 4" xfId="24510" xr:uid="{00000000-0005-0000-0000-000048020000}"/>
    <cellStyle name="COL HEADINGS 2 2 2 2 3 4 2" xfId="42879" xr:uid="{00000000-0005-0000-0000-000048020000}"/>
    <cellStyle name="COL HEADINGS 2 2 2 2 3 5" xfId="20837" xr:uid="{00000000-0005-0000-0000-000048020000}"/>
    <cellStyle name="COL HEADINGS 2 2 2 2 3 6" xfId="39226" xr:uid="{00000000-0005-0000-0000-000048020000}"/>
    <cellStyle name="COL HEADINGS 2 2 2 2 4" xfId="4333" xr:uid="{00000000-0005-0000-0000-000048020000}"/>
    <cellStyle name="COL HEADINGS 2 2 2 2 4 2" xfId="10941" xr:uid="{00000000-0005-0000-0000-000048020000}"/>
    <cellStyle name="COL HEADINGS 2 2 2 2 4 2 2" xfId="29571" xr:uid="{00000000-0005-0000-0000-000048020000}"/>
    <cellStyle name="COL HEADINGS 2 2 2 2 4 2 3" xfId="47934" xr:uid="{00000000-0005-0000-0000-000048020000}"/>
    <cellStyle name="COL HEADINGS 2 2 2 2 4 3" xfId="15077" xr:uid="{00000000-0005-0000-0000-000048020000}"/>
    <cellStyle name="COL HEADINGS 2 2 2 2 4 3 2" xfId="33479" xr:uid="{00000000-0005-0000-0000-000048020000}"/>
    <cellStyle name="COL HEADINGS 2 2 2 2 4 3 3" xfId="51842" xr:uid="{00000000-0005-0000-0000-000048020000}"/>
    <cellStyle name="COL HEADINGS 2 2 2 2 4 4" xfId="24208" xr:uid="{00000000-0005-0000-0000-000048020000}"/>
    <cellStyle name="COL HEADINGS 2 2 2 2 4 4 2" xfId="42577" xr:uid="{00000000-0005-0000-0000-000048020000}"/>
    <cellStyle name="COL HEADINGS 2 2 2 2 4 5" xfId="20529" xr:uid="{00000000-0005-0000-0000-000048020000}"/>
    <cellStyle name="COL HEADINGS 2 2 2 2 4 6" xfId="38926" xr:uid="{00000000-0005-0000-0000-000048020000}"/>
    <cellStyle name="COL HEADINGS 2 2 2 2 5" xfId="9079" xr:uid="{00000000-0005-0000-0000-000048020000}"/>
    <cellStyle name="COL HEADINGS 2 2 2 2 5 2" xfId="6083" xr:uid="{00000000-0005-0000-0000-000048020000}"/>
    <cellStyle name="COL HEADINGS 2 2 2 2 5 2 2" xfId="25891" xr:uid="{00000000-0005-0000-0000-000048020000}"/>
    <cellStyle name="COL HEADINGS 2 2 2 2 5 2 3" xfId="44260" xr:uid="{00000000-0005-0000-0000-000048020000}"/>
    <cellStyle name="COL HEADINGS 2 2 2 2 5 3" xfId="27805" xr:uid="{00000000-0005-0000-0000-000048020000}"/>
    <cellStyle name="COL HEADINGS 2 2 2 2 5 3 2" xfId="46168" xr:uid="{00000000-0005-0000-0000-000048020000}"/>
    <cellStyle name="COL HEADINGS 2 2 2 2 5 4" xfId="17979" xr:uid="{00000000-0005-0000-0000-000048020000}"/>
    <cellStyle name="COL HEADINGS 2 2 2 2 5 5" xfId="36387" xr:uid="{00000000-0005-0000-0000-000048020000}"/>
    <cellStyle name="COL HEADINGS 2 2 2 2 6" xfId="7954" xr:uid="{00000000-0005-0000-0000-000048020000}"/>
    <cellStyle name="COL HEADINGS 2 2 2 2 6 2" xfId="27184" xr:uid="{00000000-0005-0000-0000-000048020000}"/>
    <cellStyle name="COL HEADINGS 2 2 2 2 6 3" xfId="45549" xr:uid="{00000000-0005-0000-0000-000048020000}"/>
    <cellStyle name="COL HEADINGS 2 2 2 2 7" xfId="8403" xr:uid="{00000000-0005-0000-0000-000048020000}"/>
    <cellStyle name="COL HEADINGS 2 2 2 2 7 2" xfId="27465" xr:uid="{00000000-0005-0000-0000-000048020000}"/>
    <cellStyle name="COL HEADINGS 2 2 2 2 7 3" xfId="45829" xr:uid="{00000000-0005-0000-0000-000048020000}"/>
    <cellStyle name="COL HEADINGS 2 2 2 2 8" xfId="19526" xr:uid="{00000000-0005-0000-0000-000048020000}"/>
    <cellStyle name="COL HEADINGS 2 2 2 2 8 2" xfId="37932" xr:uid="{00000000-0005-0000-0000-000048020000}"/>
    <cellStyle name="COL HEADINGS 2 2 2 2 9" xfId="7059" xr:uid="{00000000-0005-0000-0000-000048020000}"/>
    <cellStyle name="COL HEADINGS 2 2 2 3" xfId="1753" xr:uid="{00000000-0005-0000-0000-000049020000}"/>
    <cellStyle name="COL HEADINGS 2 2 2 3 10" xfId="17911" xr:uid="{00000000-0005-0000-0000-000049020000}"/>
    <cellStyle name="COL HEADINGS 2 2 2 3 2" xfId="3650" xr:uid="{00000000-0005-0000-0000-000049020000}"/>
    <cellStyle name="COL HEADINGS 2 2 2 3 2 2" xfId="5823" xr:uid="{00000000-0005-0000-0000-000049020000}"/>
    <cellStyle name="COL HEADINGS 2 2 2 3 2 2 2" xfId="12187" xr:uid="{00000000-0005-0000-0000-000049020000}"/>
    <cellStyle name="COL HEADINGS 2 2 2 3 2 2 2 2" xfId="30634" xr:uid="{00000000-0005-0000-0000-000049020000}"/>
    <cellStyle name="COL HEADINGS 2 2 2 3 2 2 2 3" xfId="48997" xr:uid="{00000000-0005-0000-0000-000049020000}"/>
    <cellStyle name="COL HEADINGS 2 2 2 3 2 2 3" xfId="16513" xr:uid="{00000000-0005-0000-0000-000049020000}"/>
    <cellStyle name="COL HEADINGS 2 2 2 3 2 2 3 2" xfId="34885" xr:uid="{00000000-0005-0000-0000-000049020000}"/>
    <cellStyle name="COL HEADINGS 2 2 2 3 2 2 3 3" xfId="53248" xr:uid="{00000000-0005-0000-0000-000049020000}"/>
    <cellStyle name="COL HEADINGS 2 2 2 3 2 2 4" xfId="25632" xr:uid="{00000000-0005-0000-0000-000049020000}"/>
    <cellStyle name="COL HEADINGS 2 2 2 3 2 2 4 2" xfId="44001" xr:uid="{00000000-0005-0000-0000-000049020000}"/>
    <cellStyle name="COL HEADINGS 2 2 2 3 2 2 5" xfId="21953" xr:uid="{00000000-0005-0000-0000-000049020000}"/>
    <cellStyle name="COL HEADINGS 2 2 2 3 2 2 6" xfId="40332" xr:uid="{00000000-0005-0000-0000-000049020000}"/>
    <cellStyle name="COL HEADINGS 2 2 2 3 2 3" xfId="6649" xr:uid="{00000000-0005-0000-0000-000049020000}"/>
    <cellStyle name="COL HEADINGS 2 2 2 3 2 3 2" xfId="12940" xr:uid="{00000000-0005-0000-0000-000049020000}"/>
    <cellStyle name="COL HEADINGS 2 2 2 3 2 3 2 2" xfId="31366" xr:uid="{00000000-0005-0000-0000-000049020000}"/>
    <cellStyle name="COL HEADINGS 2 2 2 3 2 3 2 3" xfId="49729" xr:uid="{00000000-0005-0000-0000-000049020000}"/>
    <cellStyle name="COL HEADINGS 2 2 2 3 2 3 3" xfId="17251" xr:uid="{00000000-0005-0000-0000-000049020000}"/>
    <cellStyle name="COL HEADINGS 2 2 2 3 2 3 3 2" xfId="35599" xr:uid="{00000000-0005-0000-0000-000049020000}"/>
    <cellStyle name="COL HEADINGS 2 2 2 3 2 3 3 3" xfId="53962" xr:uid="{00000000-0005-0000-0000-000049020000}"/>
    <cellStyle name="COL HEADINGS 2 2 2 3 2 3 4" xfId="26384" xr:uid="{00000000-0005-0000-0000-000049020000}"/>
    <cellStyle name="COL HEADINGS 2 2 2 3 2 3 4 2" xfId="44753" xr:uid="{00000000-0005-0000-0000-000049020000}"/>
    <cellStyle name="COL HEADINGS 2 2 2 3 2 3 5" xfId="22677" xr:uid="{00000000-0005-0000-0000-000049020000}"/>
    <cellStyle name="COL HEADINGS 2 2 2 3 2 3 6" xfId="41046" xr:uid="{00000000-0005-0000-0000-000049020000}"/>
    <cellStyle name="COL HEADINGS 2 2 2 3 2 4" xfId="10363" xr:uid="{00000000-0005-0000-0000-000049020000}"/>
    <cellStyle name="COL HEADINGS 2 2 2 3 2 4 2" xfId="14420" xr:uid="{00000000-0005-0000-0000-000049020000}"/>
    <cellStyle name="COL HEADINGS 2 2 2 3 2 4 2 2" xfId="32836" xr:uid="{00000000-0005-0000-0000-000049020000}"/>
    <cellStyle name="COL HEADINGS 2 2 2 3 2 4 2 3" xfId="51199" xr:uid="{00000000-0005-0000-0000-000049020000}"/>
    <cellStyle name="COL HEADINGS 2 2 2 3 2 4 3" xfId="29074" xr:uid="{00000000-0005-0000-0000-000049020000}"/>
    <cellStyle name="COL HEADINGS 2 2 2 3 2 4 3 2" xfId="47437" xr:uid="{00000000-0005-0000-0000-000049020000}"/>
    <cellStyle name="COL HEADINGS 2 2 2 3 2 4 4" xfId="19877" xr:uid="{00000000-0005-0000-0000-000049020000}"/>
    <cellStyle name="COL HEADINGS 2 2 2 3 2 4 5" xfId="38283" xr:uid="{00000000-0005-0000-0000-000049020000}"/>
    <cellStyle name="COL HEADINGS 2 2 2 3 2 5" xfId="9571" xr:uid="{00000000-0005-0000-0000-000049020000}"/>
    <cellStyle name="COL HEADINGS 2 2 2 3 2 5 2" xfId="28288" xr:uid="{00000000-0005-0000-0000-000049020000}"/>
    <cellStyle name="COL HEADINGS 2 2 2 3 2 5 3" xfId="46651" xr:uid="{00000000-0005-0000-0000-000049020000}"/>
    <cellStyle name="COL HEADINGS 2 2 2 3 2 6" xfId="13629" xr:uid="{00000000-0005-0000-0000-000049020000}"/>
    <cellStyle name="COL HEADINGS 2 2 2 3 2 6 2" xfId="32050" xr:uid="{00000000-0005-0000-0000-000049020000}"/>
    <cellStyle name="COL HEADINGS 2 2 2 3 2 6 3" xfId="50413" xr:uid="{00000000-0005-0000-0000-000049020000}"/>
    <cellStyle name="COL HEADINGS 2 2 2 3 2 7" xfId="23558" xr:uid="{00000000-0005-0000-0000-000049020000}"/>
    <cellStyle name="COL HEADINGS 2 2 2 3 2 7 2" xfId="41927" xr:uid="{00000000-0005-0000-0000-000049020000}"/>
    <cellStyle name="COL HEADINGS 2 2 2 3 2 8" xfId="18670" xr:uid="{00000000-0005-0000-0000-000049020000}"/>
    <cellStyle name="COL HEADINGS 2 2 2 3 2 9" xfId="37080" xr:uid="{00000000-0005-0000-0000-000049020000}"/>
    <cellStyle name="COL HEADINGS 2 2 2 3 3" xfId="4690" xr:uid="{00000000-0005-0000-0000-000049020000}"/>
    <cellStyle name="COL HEADINGS 2 2 2 3 3 2" xfId="11274" xr:uid="{00000000-0005-0000-0000-000049020000}"/>
    <cellStyle name="COL HEADINGS 2 2 2 3 3 2 2" xfId="29886" xr:uid="{00000000-0005-0000-0000-000049020000}"/>
    <cellStyle name="COL HEADINGS 2 2 2 3 3 2 3" xfId="48249" xr:uid="{00000000-0005-0000-0000-000049020000}"/>
    <cellStyle name="COL HEADINGS 2 2 2 3 3 3" xfId="15416" xr:uid="{00000000-0005-0000-0000-000049020000}"/>
    <cellStyle name="COL HEADINGS 2 2 2 3 3 3 2" xfId="33809" xr:uid="{00000000-0005-0000-0000-000049020000}"/>
    <cellStyle name="COL HEADINGS 2 2 2 3 3 3 3" xfId="52172" xr:uid="{00000000-0005-0000-0000-000049020000}"/>
    <cellStyle name="COL HEADINGS 2 2 2 3 3 4" xfId="24540" xr:uid="{00000000-0005-0000-0000-000049020000}"/>
    <cellStyle name="COL HEADINGS 2 2 2 3 3 4 2" xfId="42909" xr:uid="{00000000-0005-0000-0000-000049020000}"/>
    <cellStyle name="COL HEADINGS 2 2 2 3 3 5" xfId="20867" xr:uid="{00000000-0005-0000-0000-000049020000}"/>
    <cellStyle name="COL HEADINGS 2 2 2 3 3 6" xfId="39256" xr:uid="{00000000-0005-0000-0000-000049020000}"/>
    <cellStyle name="COL HEADINGS 2 2 2 3 4" xfId="5028" xr:uid="{00000000-0005-0000-0000-000049020000}"/>
    <cellStyle name="COL HEADINGS 2 2 2 3 4 2" xfId="11551" xr:uid="{00000000-0005-0000-0000-000049020000}"/>
    <cellStyle name="COL HEADINGS 2 2 2 3 4 2 2" xfId="30123" xr:uid="{00000000-0005-0000-0000-000049020000}"/>
    <cellStyle name="COL HEADINGS 2 2 2 3 4 2 3" xfId="48486" xr:uid="{00000000-0005-0000-0000-000049020000}"/>
    <cellStyle name="COL HEADINGS 2 2 2 3 4 3" xfId="15741" xr:uid="{00000000-0005-0000-0000-000049020000}"/>
    <cellStyle name="COL HEADINGS 2 2 2 3 4 3 2" xfId="34129" xr:uid="{00000000-0005-0000-0000-000049020000}"/>
    <cellStyle name="COL HEADINGS 2 2 2 3 4 3 3" xfId="52492" xr:uid="{00000000-0005-0000-0000-000049020000}"/>
    <cellStyle name="COL HEADINGS 2 2 2 3 4 4" xfId="24865" xr:uid="{00000000-0005-0000-0000-000049020000}"/>
    <cellStyle name="COL HEADINGS 2 2 2 3 4 4 2" xfId="43234" xr:uid="{00000000-0005-0000-0000-000049020000}"/>
    <cellStyle name="COL HEADINGS 2 2 2 3 4 5" xfId="21189" xr:uid="{00000000-0005-0000-0000-000049020000}"/>
    <cellStyle name="COL HEADINGS 2 2 2 3 4 6" xfId="39576" xr:uid="{00000000-0005-0000-0000-000049020000}"/>
    <cellStyle name="COL HEADINGS 2 2 2 3 5" xfId="9701" xr:uid="{00000000-0005-0000-0000-000049020000}"/>
    <cellStyle name="COL HEADINGS 2 2 2 3 5 2" xfId="13758" xr:uid="{00000000-0005-0000-0000-000049020000}"/>
    <cellStyle name="COL HEADINGS 2 2 2 3 5 2 2" xfId="32179" xr:uid="{00000000-0005-0000-0000-000049020000}"/>
    <cellStyle name="COL HEADINGS 2 2 2 3 5 2 3" xfId="50542" xr:uid="{00000000-0005-0000-0000-000049020000}"/>
    <cellStyle name="COL HEADINGS 2 2 2 3 5 3" xfId="28417" xr:uid="{00000000-0005-0000-0000-000049020000}"/>
    <cellStyle name="COL HEADINGS 2 2 2 3 5 3 2" xfId="46780" xr:uid="{00000000-0005-0000-0000-000049020000}"/>
    <cellStyle name="COL HEADINGS 2 2 2 3 5 4" xfId="18848" xr:uid="{00000000-0005-0000-0000-000049020000}"/>
    <cellStyle name="COL HEADINGS 2 2 2 3 5 5" xfId="37257" xr:uid="{00000000-0005-0000-0000-000049020000}"/>
    <cellStyle name="COL HEADINGS 2 2 2 3 6" xfId="7984" xr:uid="{00000000-0005-0000-0000-000049020000}"/>
    <cellStyle name="COL HEADINGS 2 2 2 3 6 2" xfId="27214" xr:uid="{00000000-0005-0000-0000-000049020000}"/>
    <cellStyle name="COL HEADINGS 2 2 2 3 6 3" xfId="45579" xr:uid="{00000000-0005-0000-0000-000049020000}"/>
    <cellStyle name="COL HEADINGS 2 2 2 3 7" xfId="8683" xr:uid="{00000000-0005-0000-0000-000049020000}"/>
    <cellStyle name="COL HEADINGS 2 2 2 3 7 2" xfId="27582" xr:uid="{00000000-0005-0000-0000-000049020000}"/>
    <cellStyle name="COL HEADINGS 2 2 2 3 7 3" xfId="45945" xr:uid="{00000000-0005-0000-0000-000049020000}"/>
    <cellStyle name="COL HEADINGS 2 2 2 3 8" xfId="18106" xr:uid="{00000000-0005-0000-0000-000049020000}"/>
    <cellStyle name="COL HEADINGS 2 2 2 3 8 2" xfId="36513" xr:uid="{00000000-0005-0000-0000-000049020000}"/>
    <cellStyle name="COL HEADINGS 2 2 2 3 9" xfId="7063" xr:uid="{00000000-0005-0000-0000-000049020000}"/>
    <cellStyle name="COL HEADINGS 2 2 2 4" xfId="1781" xr:uid="{00000000-0005-0000-0000-00004A020000}"/>
    <cellStyle name="COL HEADINGS 2 2 2 4 10" xfId="11845" xr:uid="{00000000-0005-0000-0000-00004A020000}"/>
    <cellStyle name="COL HEADINGS 2 2 2 4 2" xfId="3678" xr:uid="{00000000-0005-0000-0000-00004A020000}"/>
    <cellStyle name="COL HEADINGS 2 2 2 4 2 2" xfId="5851" xr:uid="{00000000-0005-0000-0000-00004A020000}"/>
    <cellStyle name="COL HEADINGS 2 2 2 4 2 2 2" xfId="12215" xr:uid="{00000000-0005-0000-0000-00004A020000}"/>
    <cellStyle name="COL HEADINGS 2 2 2 4 2 2 2 2" xfId="30662" xr:uid="{00000000-0005-0000-0000-00004A020000}"/>
    <cellStyle name="COL HEADINGS 2 2 2 4 2 2 2 3" xfId="49025" xr:uid="{00000000-0005-0000-0000-00004A020000}"/>
    <cellStyle name="COL HEADINGS 2 2 2 4 2 2 3" xfId="16541" xr:uid="{00000000-0005-0000-0000-00004A020000}"/>
    <cellStyle name="COL HEADINGS 2 2 2 4 2 2 3 2" xfId="34913" xr:uid="{00000000-0005-0000-0000-00004A020000}"/>
    <cellStyle name="COL HEADINGS 2 2 2 4 2 2 3 3" xfId="53276" xr:uid="{00000000-0005-0000-0000-00004A020000}"/>
    <cellStyle name="COL HEADINGS 2 2 2 4 2 2 4" xfId="25660" xr:uid="{00000000-0005-0000-0000-00004A020000}"/>
    <cellStyle name="COL HEADINGS 2 2 2 4 2 2 4 2" xfId="44029" xr:uid="{00000000-0005-0000-0000-00004A020000}"/>
    <cellStyle name="COL HEADINGS 2 2 2 4 2 2 5" xfId="21981" xr:uid="{00000000-0005-0000-0000-00004A020000}"/>
    <cellStyle name="COL HEADINGS 2 2 2 4 2 2 6" xfId="40360" xr:uid="{00000000-0005-0000-0000-00004A020000}"/>
    <cellStyle name="COL HEADINGS 2 2 2 4 2 3" xfId="6677" xr:uid="{00000000-0005-0000-0000-00004A020000}"/>
    <cellStyle name="COL HEADINGS 2 2 2 4 2 3 2" xfId="12968" xr:uid="{00000000-0005-0000-0000-00004A020000}"/>
    <cellStyle name="COL HEADINGS 2 2 2 4 2 3 2 2" xfId="31394" xr:uid="{00000000-0005-0000-0000-00004A020000}"/>
    <cellStyle name="COL HEADINGS 2 2 2 4 2 3 2 3" xfId="49757" xr:uid="{00000000-0005-0000-0000-00004A020000}"/>
    <cellStyle name="COL HEADINGS 2 2 2 4 2 3 3" xfId="17279" xr:uid="{00000000-0005-0000-0000-00004A020000}"/>
    <cellStyle name="COL HEADINGS 2 2 2 4 2 3 3 2" xfId="35627" xr:uid="{00000000-0005-0000-0000-00004A020000}"/>
    <cellStyle name="COL HEADINGS 2 2 2 4 2 3 3 3" xfId="53990" xr:uid="{00000000-0005-0000-0000-00004A020000}"/>
    <cellStyle name="COL HEADINGS 2 2 2 4 2 3 4" xfId="26412" xr:uid="{00000000-0005-0000-0000-00004A020000}"/>
    <cellStyle name="COL HEADINGS 2 2 2 4 2 3 4 2" xfId="44781" xr:uid="{00000000-0005-0000-0000-00004A020000}"/>
    <cellStyle name="COL HEADINGS 2 2 2 4 2 3 5" xfId="22705" xr:uid="{00000000-0005-0000-0000-00004A020000}"/>
    <cellStyle name="COL HEADINGS 2 2 2 4 2 3 6" xfId="41074" xr:uid="{00000000-0005-0000-0000-00004A020000}"/>
    <cellStyle name="COL HEADINGS 2 2 2 4 2 4" xfId="10391" xr:uid="{00000000-0005-0000-0000-00004A020000}"/>
    <cellStyle name="COL HEADINGS 2 2 2 4 2 4 2" xfId="14448" xr:uid="{00000000-0005-0000-0000-00004A020000}"/>
    <cellStyle name="COL HEADINGS 2 2 2 4 2 4 2 2" xfId="32864" xr:uid="{00000000-0005-0000-0000-00004A020000}"/>
    <cellStyle name="COL HEADINGS 2 2 2 4 2 4 2 3" xfId="51227" xr:uid="{00000000-0005-0000-0000-00004A020000}"/>
    <cellStyle name="COL HEADINGS 2 2 2 4 2 4 3" xfId="29102" xr:uid="{00000000-0005-0000-0000-00004A020000}"/>
    <cellStyle name="COL HEADINGS 2 2 2 4 2 4 3 2" xfId="47465" xr:uid="{00000000-0005-0000-0000-00004A020000}"/>
    <cellStyle name="COL HEADINGS 2 2 2 4 2 4 4" xfId="19905" xr:uid="{00000000-0005-0000-0000-00004A020000}"/>
    <cellStyle name="COL HEADINGS 2 2 2 4 2 4 5" xfId="38311" xr:uid="{00000000-0005-0000-0000-00004A020000}"/>
    <cellStyle name="COL HEADINGS 2 2 2 4 2 5" xfId="9599" xr:uid="{00000000-0005-0000-0000-00004A020000}"/>
    <cellStyle name="COL HEADINGS 2 2 2 4 2 5 2" xfId="28316" xr:uid="{00000000-0005-0000-0000-00004A020000}"/>
    <cellStyle name="COL HEADINGS 2 2 2 4 2 5 3" xfId="46679" xr:uid="{00000000-0005-0000-0000-00004A020000}"/>
    <cellStyle name="COL HEADINGS 2 2 2 4 2 6" xfId="13657" xr:uid="{00000000-0005-0000-0000-00004A020000}"/>
    <cellStyle name="COL HEADINGS 2 2 2 4 2 6 2" xfId="32078" xr:uid="{00000000-0005-0000-0000-00004A020000}"/>
    <cellStyle name="COL HEADINGS 2 2 2 4 2 6 3" xfId="50441" xr:uid="{00000000-0005-0000-0000-00004A020000}"/>
    <cellStyle name="COL HEADINGS 2 2 2 4 2 7" xfId="23586" xr:uid="{00000000-0005-0000-0000-00004A020000}"/>
    <cellStyle name="COL HEADINGS 2 2 2 4 2 7 2" xfId="41955" xr:uid="{00000000-0005-0000-0000-00004A020000}"/>
    <cellStyle name="COL HEADINGS 2 2 2 4 2 8" xfId="18698" xr:uid="{00000000-0005-0000-0000-00004A020000}"/>
    <cellStyle name="COL HEADINGS 2 2 2 4 2 9" xfId="37108" xr:uid="{00000000-0005-0000-0000-00004A020000}"/>
    <cellStyle name="COL HEADINGS 2 2 2 4 3" xfId="4718" xr:uid="{00000000-0005-0000-0000-00004A020000}"/>
    <cellStyle name="COL HEADINGS 2 2 2 4 3 2" xfId="11302" xr:uid="{00000000-0005-0000-0000-00004A020000}"/>
    <cellStyle name="COL HEADINGS 2 2 2 4 3 2 2" xfId="29914" xr:uid="{00000000-0005-0000-0000-00004A020000}"/>
    <cellStyle name="COL HEADINGS 2 2 2 4 3 2 3" xfId="48277" xr:uid="{00000000-0005-0000-0000-00004A020000}"/>
    <cellStyle name="COL HEADINGS 2 2 2 4 3 3" xfId="15444" xr:uid="{00000000-0005-0000-0000-00004A020000}"/>
    <cellStyle name="COL HEADINGS 2 2 2 4 3 3 2" xfId="33837" xr:uid="{00000000-0005-0000-0000-00004A020000}"/>
    <cellStyle name="COL HEADINGS 2 2 2 4 3 3 3" xfId="52200" xr:uid="{00000000-0005-0000-0000-00004A020000}"/>
    <cellStyle name="COL HEADINGS 2 2 2 4 3 4" xfId="24568" xr:uid="{00000000-0005-0000-0000-00004A020000}"/>
    <cellStyle name="COL HEADINGS 2 2 2 4 3 4 2" xfId="42937" xr:uid="{00000000-0005-0000-0000-00004A020000}"/>
    <cellStyle name="COL HEADINGS 2 2 2 4 3 5" xfId="20895" xr:uid="{00000000-0005-0000-0000-00004A020000}"/>
    <cellStyle name="COL HEADINGS 2 2 2 4 3 6" xfId="39284" xr:uid="{00000000-0005-0000-0000-00004A020000}"/>
    <cellStyle name="COL HEADINGS 2 2 2 4 4" xfId="5021" xr:uid="{00000000-0005-0000-0000-00004A020000}"/>
    <cellStyle name="COL HEADINGS 2 2 2 4 4 2" xfId="11544" xr:uid="{00000000-0005-0000-0000-00004A020000}"/>
    <cellStyle name="COL HEADINGS 2 2 2 4 4 2 2" xfId="30116" xr:uid="{00000000-0005-0000-0000-00004A020000}"/>
    <cellStyle name="COL HEADINGS 2 2 2 4 4 2 3" xfId="48479" xr:uid="{00000000-0005-0000-0000-00004A020000}"/>
    <cellStyle name="COL HEADINGS 2 2 2 4 4 3" xfId="15734" xr:uid="{00000000-0005-0000-0000-00004A020000}"/>
    <cellStyle name="COL HEADINGS 2 2 2 4 4 3 2" xfId="34122" xr:uid="{00000000-0005-0000-0000-00004A020000}"/>
    <cellStyle name="COL HEADINGS 2 2 2 4 4 3 3" xfId="52485" xr:uid="{00000000-0005-0000-0000-00004A020000}"/>
    <cellStyle name="COL HEADINGS 2 2 2 4 4 4" xfId="24858" xr:uid="{00000000-0005-0000-0000-00004A020000}"/>
    <cellStyle name="COL HEADINGS 2 2 2 4 4 4 2" xfId="43227" xr:uid="{00000000-0005-0000-0000-00004A020000}"/>
    <cellStyle name="COL HEADINGS 2 2 2 4 4 5" xfId="21182" xr:uid="{00000000-0005-0000-0000-00004A020000}"/>
    <cellStyle name="COL HEADINGS 2 2 2 4 4 6" xfId="39569" xr:uid="{00000000-0005-0000-0000-00004A020000}"/>
    <cellStyle name="COL HEADINGS 2 2 2 4 5" xfId="9794" xr:uid="{00000000-0005-0000-0000-00004A020000}"/>
    <cellStyle name="COL HEADINGS 2 2 2 4 5 2" xfId="13851" xr:uid="{00000000-0005-0000-0000-00004A020000}"/>
    <cellStyle name="COL HEADINGS 2 2 2 4 5 2 2" xfId="32271" xr:uid="{00000000-0005-0000-0000-00004A020000}"/>
    <cellStyle name="COL HEADINGS 2 2 2 4 5 2 3" xfId="50634" xr:uid="{00000000-0005-0000-0000-00004A020000}"/>
    <cellStyle name="COL HEADINGS 2 2 2 4 5 3" xfId="28509" xr:uid="{00000000-0005-0000-0000-00004A020000}"/>
    <cellStyle name="COL HEADINGS 2 2 2 4 5 3 2" xfId="46872" xr:uid="{00000000-0005-0000-0000-00004A020000}"/>
    <cellStyle name="COL HEADINGS 2 2 2 4 5 4" xfId="19009" xr:uid="{00000000-0005-0000-0000-00004A020000}"/>
    <cellStyle name="COL HEADINGS 2 2 2 4 5 5" xfId="37418" xr:uid="{00000000-0005-0000-0000-00004A020000}"/>
    <cellStyle name="COL HEADINGS 2 2 2 4 6" xfId="8012" xr:uid="{00000000-0005-0000-0000-00004A020000}"/>
    <cellStyle name="COL HEADINGS 2 2 2 4 6 2" xfId="27242" xr:uid="{00000000-0005-0000-0000-00004A020000}"/>
    <cellStyle name="COL HEADINGS 2 2 2 4 6 3" xfId="45607" xr:uid="{00000000-0005-0000-0000-00004A020000}"/>
    <cellStyle name="COL HEADINGS 2 2 2 4 7" xfId="8723" xr:uid="{00000000-0005-0000-0000-00004A020000}"/>
    <cellStyle name="COL HEADINGS 2 2 2 4 7 2" xfId="27605" xr:uid="{00000000-0005-0000-0000-00004A020000}"/>
    <cellStyle name="COL HEADINGS 2 2 2 4 7 3" xfId="45968" xr:uid="{00000000-0005-0000-0000-00004A020000}"/>
    <cellStyle name="COL HEADINGS 2 2 2 4 8" xfId="19488" xr:uid="{00000000-0005-0000-0000-00004A020000}"/>
    <cellStyle name="COL HEADINGS 2 2 2 4 8 2" xfId="37894" xr:uid="{00000000-0005-0000-0000-00004A020000}"/>
    <cellStyle name="COL HEADINGS 2 2 2 4 9" xfId="7187" xr:uid="{00000000-0005-0000-0000-00004A020000}"/>
    <cellStyle name="COL HEADINGS 2 2 2 5" xfId="3554" xr:uid="{00000000-0005-0000-0000-000047020000}"/>
    <cellStyle name="COL HEADINGS 2 2 2 5 2" xfId="5727" xr:uid="{00000000-0005-0000-0000-000047020000}"/>
    <cellStyle name="COL HEADINGS 2 2 2 5 2 2" xfId="12091" xr:uid="{00000000-0005-0000-0000-000047020000}"/>
    <cellStyle name="COL HEADINGS 2 2 2 5 2 2 2" xfId="30538" xr:uid="{00000000-0005-0000-0000-000047020000}"/>
    <cellStyle name="COL HEADINGS 2 2 2 5 2 2 3" xfId="48901" xr:uid="{00000000-0005-0000-0000-000047020000}"/>
    <cellStyle name="COL HEADINGS 2 2 2 5 2 3" xfId="16417" xr:uid="{00000000-0005-0000-0000-000047020000}"/>
    <cellStyle name="COL HEADINGS 2 2 2 5 2 3 2" xfId="34789" xr:uid="{00000000-0005-0000-0000-000047020000}"/>
    <cellStyle name="COL HEADINGS 2 2 2 5 2 3 3" xfId="53152" xr:uid="{00000000-0005-0000-0000-000047020000}"/>
    <cellStyle name="COL HEADINGS 2 2 2 5 2 4" xfId="25536" xr:uid="{00000000-0005-0000-0000-000047020000}"/>
    <cellStyle name="COL HEADINGS 2 2 2 5 2 4 2" xfId="43905" xr:uid="{00000000-0005-0000-0000-000047020000}"/>
    <cellStyle name="COL HEADINGS 2 2 2 5 2 5" xfId="21857" xr:uid="{00000000-0005-0000-0000-000047020000}"/>
    <cellStyle name="COL HEADINGS 2 2 2 5 2 6" xfId="40236" xr:uid="{00000000-0005-0000-0000-000047020000}"/>
    <cellStyle name="COL HEADINGS 2 2 2 5 3" xfId="6553" xr:uid="{00000000-0005-0000-0000-000047020000}"/>
    <cellStyle name="COL HEADINGS 2 2 2 5 3 2" xfId="12844" xr:uid="{00000000-0005-0000-0000-000047020000}"/>
    <cellStyle name="COL HEADINGS 2 2 2 5 3 2 2" xfId="31270" xr:uid="{00000000-0005-0000-0000-000047020000}"/>
    <cellStyle name="COL HEADINGS 2 2 2 5 3 2 3" xfId="49633" xr:uid="{00000000-0005-0000-0000-000047020000}"/>
    <cellStyle name="COL HEADINGS 2 2 2 5 3 3" xfId="17155" xr:uid="{00000000-0005-0000-0000-000047020000}"/>
    <cellStyle name="COL HEADINGS 2 2 2 5 3 3 2" xfId="35503" xr:uid="{00000000-0005-0000-0000-000047020000}"/>
    <cellStyle name="COL HEADINGS 2 2 2 5 3 3 3" xfId="53866" xr:uid="{00000000-0005-0000-0000-000047020000}"/>
    <cellStyle name="COL HEADINGS 2 2 2 5 3 4" xfId="26288" xr:uid="{00000000-0005-0000-0000-000047020000}"/>
    <cellStyle name="COL HEADINGS 2 2 2 5 3 4 2" xfId="44657" xr:uid="{00000000-0005-0000-0000-000047020000}"/>
    <cellStyle name="COL HEADINGS 2 2 2 5 3 5" xfId="22581" xr:uid="{00000000-0005-0000-0000-000047020000}"/>
    <cellStyle name="COL HEADINGS 2 2 2 5 3 6" xfId="40950" xr:uid="{00000000-0005-0000-0000-000047020000}"/>
    <cellStyle name="COL HEADINGS 2 2 2 5 4" xfId="10267" xr:uid="{00000000-0005-0000-0000-000047020000}"/>
    <cellStyle name="COL HEADINGS 2 2 2 5 4 2" xfId="14324" xr:uid="{00000000-0005-0000-0000-000047020000}"/>
    <cellStyle name="COL HEADINGS 2 2 2 5 4 2 2" xfId="32740" xr:uid="{00000000-0005-0000-0000-000047020000}"/>
    <cellStyle name="COL HEADINGS 2 2 2 5 4 2 3" xfId="51103" xr:uid="{00000000-0005-0000-0000-000047020000}"/>
    <cellStyle name="COL HEADINGS 2 2 2 5 4 3" xfId="28978" xr:uid="{00000000-0005-0000-0000-000047020000}"/>
    <cellStyle name="COL HEADINGS 2 2 2 5 4 3 2" xfId="47341" xr:uid="{00000000-0005-0000-0000-000047020000}"/>
    <cellStyle name="COL HEADINGS 2 2 2 5 4 4" xfId="19781" xr:uid="{00000000-0005-0000-0000-000047020000}"/>
    <cellStyle name="COL HEADINGS 2 2 2 5 4 5" xfId="38187" xr:uid="{00000000-0005-0000-0000-000047020000}"/>
    <cellStyle name="COL HEADINGS 2 2 2 5 5" xfId="9475" xr:uid="{00000000-0005-0000-0000-000047020000}"/>
    <cellStyle name="COL HEADINGS 2 2 2 5 5 2" xfId="28192" xr:uid="{00000000-0005-0000-0000-000047020000}"/>
    <cellStyle name="COL HEADINGS 2 2 2 5 5 3" xfId="46555" xr:uid="{00000000-0005-0000-0000-000047020000}"/>
    <cellStyle name="COL HEADINGS 2 2 2 5 6" xfId="13533" xr:uid="{00000000-0005-0000-0000-000047020000}"/>
    <cellStyle name="COL HEADINGS 2 2 2 5 6 2" xfId="31954" xr:uid="{00000000-0005-0000-0000-000047020000}"/>
    <cellStyle name="COL HEADINGS 2 2 2 5 6 3" xfId="50317" xr:uid="{00000000-0005-0000-0000-000047020000}"/>
    <cellStyle name="COL HEADINGS 2 2 2 5 7" xfId="23462" xr:uid="{00000000-0005-0000-0000-000047020000}"/>
    <cellStyle name="COL HEADINGS 2 2 2 5 7 2" xfId="41831" xr:uid="{00000000-0005-0000-0000-000047020000}"/>
    <cellStyle name="COL HEADINGS 2 2 2 5 8" xfId="18572" xr:uid="{00000000-0005-0000-0000-000047020000}"/>
    <cellStyle name="COL HEADINGS 2 2 2 5 9" xfId="36982" xr:uid="{00000000-0005-0000-0000-000047020000}"/>
    <cellStyle name="COL HEADINGS 2 2 2 6" xfId="4585" xr:uid="{00000000-0005-0000-0000-000047020000}"/>
    <cellStyle name="COL HEADINGS 2 2 2 6 2" xfId="11170" xr:uid="{00000000-0005-0000-0000-000047020000}"/>
    <cellStyle name="COL HEADINGS 2 2 2 6 2 2" xfId="29784" xr:uid="{00000000-0005-0000-0000-000047020000}"/>
    <cellStyle name="COL HEADINGS 2 2 2 6 2 3" xfId="48147" xr:uid="{00000000-0005-0000-0000-000047020000}"/>
    <cellStyle name="COL HEADINGS 2 2 2 6 3" xfId="15311" xr:uid="{00000000-0005-0000-0000-000047020000}"/>
    <cellStyle name="COL HEADINGS 2 2 2 6 3 2" xfId="33705" xr:uid="{00000000-0005-0000-0000-000047020000}"/>
    <cellStyle name="COL HEADINGS 2 2 2 6 3 3" xfId="52068" xr:uid="{00000000-0005-0000-0000-000047020000}"/>
    <cellStyle name="COL HEADINGS 2 2 2 6 4" xfId="24436" xr:uid="{00000000-0005-0000-0000-000047020000}"/>
    <cellStyle name="COL HEADINGS 2 2 2 6 4 2" xfId="42805" xr:uid="{00000000-0005-0000-0000-000047020000}"/>
    <cellStyle name="COL HEADINGS 2 2 2 6 5" xfId="20762" xr:uid="{00000000-0005-0000-0000-000047020000}"/>
    <cellStyle name="COL HEADINGS 2 2 2 6 6" xfId="39152" xr:uid="{00000000-0005-0000-0000-000047020000}"/>
    <cellStyle name="COL HEADINGS 2 2 2 7" xfId="3974" xr:uid="{00000000-0005-0000-0000-000047020000}"/>
    <cellStyle name="COL HEADINGS 2 2 2 7 2" xfId="10679" xr:uid="{00000000-0005-0000-0000-000047020000}"/>
    <cellStyle name="COL HEADINGS 2 2 2 7 2 2" xfId="29385" xr:uid="{00000000-0005-0000-0000-000047020000}"/>
    <cellStyle name="COL HEADINGS 2 2 2 7 2 3" xfId="47748" xr:uid="{00000000-0005-0000-0000-000047020000}"/>
    <cellStyle name="COL HEADINGS 2 2 2 7 3" xfId="14737" xr:uid="{00000000-0005-0000-0000-000047020000}"/>
    <cellStyle name="COL HEADINGS 2 2 2 7 3 2" xfId="33149" xr:uid="{00000000-0005-0000-0000-000047020000}"/>
    <cellStyle name="COL HEADINGS 2 2 2 7 3 3" xfId="51512" xr:uid="{00000000-0005-0000-0000-000047020000}"/>
    <cellStyle name="COL HEADINGS 2 2 2 7 4" xfId="23873" xr:uid="{00000000-0005-0000-0000-000047020000}"/>
    <cellStyle name="COL HEADINGS 2 2 2 7 4 2" xfId="42242" xr:uid="{00000000-0005-0000-0000-000047020000}"/>
    <cellStyle name="COL HEADINGS 2 2 2 7 5" xfId="20191" xr:uid="{00000000-0005-0000-0000-000047020000}"/>
    <cellStyle name="COL HEADINGS 2 2 2 7 6" xfId="38596" xr:uid="{00000000-0005-0000-0000-000047020000}"/>
    <cellStyle name="COL HEADINGS 2 2 2 8" xfId="7881" xr:uid="{00000000-0005-0000-0000-000047020000}"/>
    <cellStyle name="COL HEADINGS 2 2 2 8 2" xfId="27118" xr:uid="{00000000-0005-0000-0000-000047020000}"/>
    <cellStyle name="COL HEADINGS 2 2 2 8 3" xfId="45483" xr:uid="{00000000-0005-0000-0000-000047020000}"/>
    <cellStyle name="COL HEADINGS 2 2 2 9" xfId="8393" xr:uid="{00000000-0005-0000-0000-000047020000}"/>
    <cellStyle name="COL HEADINGS 2 2 2 9 2" xfId="27458" xr:uid="{00000000-0005-0000-0000-000047020000}"/>
    <cellStyle name="COL HEADINGS 2 2 2 9 3" xfId="45822" xr:uid="{00000000-0005-0000-0000-000047020000}"/>
    <cellStyle name="COL HEADINGS 2 2 3" xfId="1516" xr:uid="{00000000-0005-0000-0000-00004B020000}"/>
    <cellStyle name="COL HEADINGS 2 2 3 10" xfId="7200" xr:uid="{00000000-0005-0000-0000-00004B020000}"/>
    <cellStyle name="COL HEADINGS 2 2 3 10 2" xfId="26744" xr:uid="{00000000-0005-0000-0000-00004B020000}"/>
    <cellStyle name="COL HEADINGS 2 2 3 10 3" xfId="45112" xr:uid="{00000000-0005-0000-0000-00004B020000}"/>
    <cellStyle name="COL HEADINGS 2 2 3 11" xfId="4366" xr:uid="{00000000-0005-0000-0000-00004B020000}"/>
    <cellStyle name="COL HEADINGS 2 2 3 12" xfId="11669" xr:uid="{00000000-0005-0000-0000-00004B020000}"/>
    <cellStyle name="COL HEADINGS 2 2 3 2" xfId="1685" xr:uid="{00000000-0005-0000-0000-00004C020000}"/>
    <cellStyle name="COL HEADINGS 2 2 3 2 10" xfId="8574" xr:uid="{00000000-0005-0000-0000-00004C020000}"/>
    <cellStyle name="COL HEADINGS 2 2 3 2 2" xfId="3583" xr:uid="{00000000-0005-0000-0000-00004C020000}"/>
    <cellStyle name="COL HEADINGS 2 2 3 2 2 2" xfId="5756" xr:uid="{00000000-0005-0000-0000-00004C020000}"/>
    <cellStyle name="COL HEADINGS 2 2 3 2 2 2 2" xfId="12120" xr:uid="{00000000-0005-0000-0000-00004C020000}"/>
    <cellStyle name="COL HEADINGS 2 2 3 2 2 2 2 2" xfId="30567" xr:uid="{00000000-0005-0000-0000-00004C020000}"/>
    <cellStyle name="COL HEADINGS 2 2 3 2 2 2 2 3" xfId="48930" xr:uid="{00000000-0005-0000-0000-00004C020000}"/>
    <cellStyle name="COL HEADINGS 2 2 3 2 2 2 3" xfId="16446" xr:uid="{00000000-0005-0000-0000-00004C020000}"/>
    <cellStyle name="COL HEADINGS 2 2 3 2 2 2 3 2" xfId="34818" xr:uid="{00000000-0005-0000-0000-00004C020000}"/>
    <cellStyle name="COL HEADINGS 2 2 3 2 2 2 3 3" xfId="53181" xr:uid="{00000000-0005-0000-0000-00004C020000}"/>
    <cellStyle name="COL HEADINGS 2 2 3 2 2 2 4" xfId="25565" xr:uid="{00000000-0005-0000-0000-00004C020000}"/>
    <cellStyle name="COL HEADINGS 2 2 3 2 2 2 4 2" xfId="43934" xr:uid="{00000000-0005-0000-0000-00004C020000}"/>
    <cellStyle name="COL HEADINGS 2 2 3 2 2 2 5" xfId="21886" xr:uid="{00000000-0005-0000-0000-00004C020000}"/>
    <cellStyle name="COL HEADINGS 2 2 3 2 2 2 6" xfId="40265" xr:uid="{00000000-0005-0000-0000-00004C020000}"/>
    <cellStyle name="COL HEADINGS 2 2 3 2 2 3" xfId="6582" xr:uid="{00000000-0005-0000-0000-00004C020000}"/>
    <cellStyle name="COL HEADINGS 2 2 3 2 2 3 2" xfId="12873" xr:uid="{00000000-0005-0000-0000-00004C020000}"/>
    <cellStyle name="COL HEADINGS 2 2 3 2 2 3 2 2" xfId="31299" xr:uid="{00000000-0005-0000-0000-00004C020000}"/>
    <cellStyle name="COL HEADINGS 2 2 3 2 2 3 2 3" xfId="49662" xr:uid="{00000000-0005-0000-0000-00004C020000}"/>
    <cellStyle name="COL HEADINGS 2 2 3 2 2 3 3" xfId="17184" xr:uid="{00000000-0005-0000-0000-00004C020000}"/>
    <cellStyle name="COL HEADINGS 2 2 3 2 2 3 3 2" xfId="35532" xr:uid="{00000000-0005-0000-0000-00004C020000}"/>
    <cellStyle name="COL HEADINGS 2 2 3 2 2 3 3 3" xfId="53895" xr:uid="{00000000-0005-0000-0000-00004C020000}"/>
    <cellStyle name="COL HEADINGS 2 2 3 2 2 3 4" xfId="26317" xr:uid="{00000000-0005-0000-0000-00004C020000}"/>
    <cellStyle name="COL HEADINGS 2 2 3 2 2 3 4 2" xfId="44686" xr:uid="{00000000-0005-0000-0000-00004C020000}"/>
    <cellStyle name="COL HEADINGS 2 2 3 2 2 3 5" xfId="22610" xr:uid="{00000000-0005-0000-0000-00004C020000}"/>
    <cellStyle name="COL HEADINGS 2 2 3 2 2 3 6" xfId="40979" xr:uid="{00000000-0005-0000-0000-00004C020000}"/>
    <cellStyle name="COL HEADINGS 2 2 3 2 2 4" xfId="10296" xr:uid="{00000000-0005-0000-0000-00004C020000}"/>
    <cellStyle name="COL HEADINGS 2 2 3 2 2 4 2" xfId="14353" xr:uid="{00000000-0005-0000-0000-00004C020000}"/>
    <cellStyle name="COL HEADINGS 2 2 3 2 2 4 2 2" xfId="32769" xr:uid="{00000000-0005-0000-0000-00004C020000}"/>
    <cellStyle name="COL HEADINGS 2 2 3 2 2 4 2 3" xfId="51132" xr:uid="{00000000-0005-0000-0000-00004C020000}"/>
    <cellStyle name="COL HEADINGS 2 2 3 2 2 4 3" xfId="29007" xr:uid="{00000000-0005-0000-0000-00004C020000}"/>
    <cellStyle name="COL HEADINGS 2 2 3 2 2 4 3 2" xfId="47370" xr:uid="{00000000-0005-0000-0000-00004C020000}"/>
    <cellStyle name="COL HEADINGS 2 2 3 2 2 4 4" xfId="19810" xr:uid="{00000000-0005-0000-0000-00004C020000}"/>
    <cellStyle name="COL HEADINGS 2 2 3 2 2 4 5" xfId="38216" xr:uid="{00000000-0005-0000-0000-00004C020000}"/>
    <cellStyle name="COL HEADINGS 2 2 3 2 2 5" xfId="9504" xr:uid="{00000000-0005-0000-0000-00004C020000}"/>
    <cellStyle name="COL HEADINGS 2 2 3 2 2 5 2" xfId="28221" xr:uid="{00000000-0005-0000-0000-00004C020000}"/>
    <cellStyle name="COL HEADINGS 2 2 3 2 2 5 3" xfId="46584" xr:uid="{00000000-0005-0000-0000-00004C020000}"/>
    <cellStyle name="COL HEADINGS 2 2 3 2 2 6" xfId="13562" xr:uid="{00000000-0005-0000-0000-00004C020000}"/>
    <cellStyle name="COL HEADINGS 2 2 3 2 2 6 2" xfId="31983" xr:uid="{00000000-0005-0000-0000-00004C020000}"/>
    <cellStyle name="COL HEADINGS 2 2 3 2 2 6 3" xfId="50346" xr:uid="{00000000-0005-0000-0000-00004C020000}"/>
    <cellStyle name="COL HEADINGS 2 2 3 2 2 7" xfId="23491" xr:uid="{00000000-0005-0000-0000-00004C020000}"/>
    <cellStyle name="COL HEADINGS 2 2 3 2 2 7 2" xfId="41860" xr:uid="{00000000-0005-0000-0000-00004C020000}"/>
    <cellStyle name="COL HEADINGS 2 2 3 2 2 8" xfId="18602" xr:uid="{00000000-0005-0000-0000-00004C020000}"/>
    <cellStyle name="COL HEADINGS 2 2 3 2 2 9" xfId="37012" xr:uid="{00000000-0005-0000-0000-00004C020000}"/>
    <cellStyle name="COL HEADINGS 2 2 3 2 3" xfId="4624" xr:uid="{00000000-0005-0000-0000-00004C020000}"/>
    <cellStyle name="COL HEADINGS 2 2 3 2 3 2" xfId="11208" xr:uid="{00000000-0005-0000-0000-00004C020000}"/>
    <cellStyle name="COL HEADINGS 2 2 3 2 3 2 2" xfId="29820" xr:uid="{00000000-0005-0000-0000-00004C020000}"/>
    <cellStyle name="COL HEADINGS 2 2 3 2 3 2 3" xfId="48183" xr:uid="{00000000-0005-0000-0000-00004C020000}"/>
    <cellStyle name="COL HEADINGS 2 2 3 2 3 3" xfId="15350" xr:uid="{00000000-0005-0000-0000-00004C020000}"/>
    <cellStyle name="COL HEADINGS 2 2 3 2 3 3 2" xfId="33743" xr:uid="{00000000-0005-0000-0000-00004C020000}"/>
    <cellStyle name="COL HEADINGS 2 2 3 2 3 3 3" xfId="52106" xr:uid="{00000000-0005-0000-0000-00004C020000}"/>
    <cellStyle name="COL HEADINGS 2 2 3 2 3 4" xfId="24474" xr:uid="{00000000-0005-0000-0000-00004C020000}"/>
    <cellStyle name="COL HEADINGS 2 2 3 2 3 4 2" xfId="42843" xr:uid="{00000000-0005-0000-0000-00004C020000}"/>
    <cellStyle name="COL HEADINGS 2 2 3 2 3 5" xfId="20801" xr:uid="{00000000-0005-0000-0000-00004C020000}"/>
    <cellStyle name="COL HEADINGS 2 2 3 2 3 6" xfId="39190" xr:uid="{00000000-0005-0000-0000-00004C020000}"/>
    <cellStyle name="COL HEADINGS 2 2 3 2 4" xfId="4743" xr:uid="{00000000-0005-0000-0000-00004C020000}"/>
    <cellStyle name="COL HEADINGS 2 2 3 2 4 2" xfId="11326" xr:uid="{00000000-0005-0000-0000-00004C020000}"/>
    <cellStyle name="COL HEADINGS 2 2 3 2 4 2 2" xfId="29938" xr:uid="{00000000-0005-0000-0000-00004C020000}"/>
    <cellStyle name="COL HEADINGS 2 2 3 2 4 2 3" xfId="48301" xr:uid="{00000000-0005-0000-0000-00004C020000}"/>
    <cellStyle name="COL HEADINGS 2 2 3 2 4 3" xfId="15469" xr:uid="{00000000-0005-0000-0000-00004C020000}"/>
    <cellStyle name="COL HEADINGS 2 2 3 2 4 3 2" xfId="33862" xr:uid="{00000000-0005-0000-0000-00004C020000}"/>
    <cellStyle name="COL HEADINGS 2 2 3 2 4 3 3" xfId="52225" xr:uid="{00000000-0005-0000-0000-00004C020000}"/>
    <cellStyle name="COL HEADINGS 2 2 3 2 4 4" xfId="24593" xr:uid="{00000000-0005-0000-0000-00004C020000}"/>
    <cellStyle name="COL HEADINGS 2 2 3 2 4 4 2" xfId="42962" xr:uid="{00000000-0005-0000-0000-00004C020000}"/>
    <cellStyle name="COL HEADINGS 2 2 3 2 4 5" xfId="20920" xr:uid="{00000000-0005-0000-0000-00004C020000}"/>
    <cellStyle name="COL HEADINGS 2 2 3 2 4 6" xfId="39309" xr:uid="{00000000-0005-0000-0000-00004C020000}"/>
    <cellStyle name="COL HEADINGS 2 2 3 2 5" xfId="9711" xr:uid="{00000000-0005-0000-0000-00004C020000}"/>
    <cellStyle name="COL HEADINGS 2 2 3 2 5 2" xfId="13768" xr:uid="{00000000-0005-0000-0000-00004C020000}"/>
    <cellStyle name="COL HEADINGS 2 2 3 2 5 2 2" xfId="32189" xr:uid="{00000000-0005-0000-0000-00004C020000}"/>
    <cellStyle name="COL HEADINGS 2 2 3 2 5 2 3" xfId="50552" xr:uid="{00000000-0005-0000-0000-00004C020000}"/>
    <cellStyle name="COL HEADINGS 2 2 3 2 5 3" xfId="28427" xr:uid="{00000000-0005-0000-0000-00004C020000}"/>
    <cellStyle name="COL HEADINGS 2 2 3 2 5 3 2" xfId="46790" xr:uid="{00000000-0005-0000-0000-00004C020000}"/>
    <cellStyle name="COL HEADINGS 2 2 3 2 5 4" xfId="18858" xr:uid="{00000000-0005-0000-0000-00004C020000}"/>
    <cellStyle name="COL HEADINGS 2 2 3 2 5 5" xfId="37267" xr:uid="{00000000-0005-0000-0000-00004C020000}"/>
    <cellStyle name="COL HEADINGS 2 2 3 2 6" xfId="7918" xr:uid="{00000000-0005-0000-0000-00004C020000}"/>
    <cellStyle name="COL HEADINGS 2 2 3 2 6 2" xfId="27150" xr:uid="{00000000-0005-0000-0000-00004C020000}"/>
    <cellStyle name="COL HEADINGS 2 2 3 2 6 3" xfId="45515" xr:uid="{00000000-0005-0000-0000-00004C020000}"/>
    <cellStyle name="COL HEADINGS 2 2 3 2 7" xfId="8392" xr:uid="{00000000-0005-0000-0000-00004C020000}"/>
    <cellStyle name="COL HEADINGS 2 2 3 2 7 2" xfId="27457" xr:uid="{00000000-0005-0000-0000-00004C020000}"/>
    <cellStyle name="COL HEADINGS 2 2 3 2 7 3" xfId="45821" xr:uid="{00000000-0005-0000-0000-00004C020000}"/>
    <cellStyle name="COL HEADINGS 2 2 3 2 8" xfId="18099" xr:uid="{00000000-0005-0000-0000-00004C020000}"/>
    <cellStyle name="COL HEADINGS 2 2 3 2 8 2" xfId="36506" xr:uid="{00000000-0005-0000-0000-00004C020000}"/>
    <cellStyle name="COL HEADINGS 2 2 3 2 9" xfId="8430" xr:uid="{00000000-0005-0000-0000-00004C020000}"/>
    <cellStyle name="COL HEADINGS 2 2 3 3" xfId="1408" xr:uid="{00000000-0005-0000-0000-00004D020000}"/>
    <cellStyle name="COL HEADINGS 2 2 3 3 10" xfId="7444" xr:uid="{00000000-0005-0000-0000-00004D020000}"/>
    <cellStyle name="COL HEADINGS 2 2 3 3 2" xfId="3441" xr:uid="{00000000-0005-0000-0000-00004D020000}"/>
    <cellStyle name="COL HEADINGS 2 2 3 3 2 2" xfId="5616" xr:uid="{00000000-0005-0000-0000-00004D020000}"/>
    <cellStyle name="COL HEADINGS 2 2 3 3 2 2 2" xfId="11980" xr:uid="{00000000-0005-0000-0000-00004D020000}"/>
    <cellStyle name="COL HEADINGS 2 2 3 3 2 2 2 2" xfId="30427" xr:uid="{00000000-0005-0000-0000-00004D020000}"/>
    <cellStyle name="COL HEADINGS 2 2 3 3 2 2 2 3" xfId="48790" xr:uid="{00000000-0005-0000-0000-00004D020000}"/>
    <cellStyle name="COL HEADINGS 2 2 3 3 2 2 3" xfId="16306" xr:uid="{00000000-0005-0000-0000-00004D020000}"/>
    <cellStyle name="COL HEADINGS 2 2 3 3 2 2 3 2" xfId="34678" xr:uid="{00000000-0005-0000-0000-00004D020000}"/>
    <cellStyle name="COL HEADINGS 2 2 3 3 2 2 3 3" xfId="53041" xr:uid="{00000000-0005-0000-0000-00004D020000}"/>
    <cellStyle name="COL HEADINGS 2 2 3 3 2 2 4" xfId="25425" xr:uid="{00000000-0005-0000-0000-00004D020000}"/>
    <cellStyle name="COL HEADINGS 2 2 3 3 2 2 4 2" xfId="43794" xr:uid="{00000000-0005-0000-0000-00004D020000}"/>
    <cellStyle name="COL HEADINGS 2 2 3 3 2 2 5" xfId="21746" xr:uid="{00000000-0005-0000-0000-00004D020000}"/>
    <cellStyle name="COL HEADINGS 2 2 3 3 2 2 6" xfId="40125" xr:uid="{00000000-0005-0000-0000-00004D020000}"/>
    <cellStyle name="COL HEADINGS 2 2 3 3 2 3" xfId="6440" xr:uid="{00000000-0005-0000-0000-00004D020000}"/>
    <cellStyle name="COL HEADINGS 2 2 3 3 2 3 2" xfId="12731" xr:uid="{00000000-0005-0000-0000-00004D020000}"/>
    <cellStyle name="COL HEADINGS 2 2 3 3 2 3 2 2" xfId="31157" xr:uid="{00000000-0005-0000-0000-00004D020000}"/>
    <cellStyle name="COL HEADINGS 2 2 3 3 2 3 2 3" xfId="49520" xr:uid="{00000000-0005-0000-0000-00004D020000}"/>
    <cellStyle name="COL HEADINGS 2 2 3 3 2 3 3" xfId="17042" xr:uid="{00000000-0005-0000-0000-00004D020000}"/>
    <cellStyle name="COL HEADINGS 2 2 3 3 2 3 3 2" xfId="35390" xr:uid="{00000000-0005-0000-0000-00004D020000}"/>
    <cellStyle name="COL HEADINGS 2 2 3 3 2 3 3 3" xfId="53753" xr:uid="{00000000-0005-0000-0000-00004D020000}"/>
    <cellStyle name="COL HEADINGS 2 2 3 3 2 3 4" xfId="26175" xr:uid="{00000000-0005-0000-0000-00004D020000}"/>
    <cellStyle name="COL HEADINGS 2 2 3 3 2 3 4 2" xfId="44544" xr:uid="{00000000-0005-0000-0000-00004D020000}"/>
    <cellStyle name="COL HEADINGS 2 2 3 3 2 3 5" xfId="22468" xr:uid="{00000000-0005-0000-0000-00004D020000}"/>
    <cellStyle name="COL HEADINGS 2 2 3 3 2 3 6" xfId="40837" xr:uid="{00000000-0005-0000-0000-00004D020000}"/>
    <cellStyle name="COL HEADINGS 2 2 3 3 2 4" xfId="10154" xr:uid="{00000000-0005-0000-0000-00004D020000}"/>
    <cellStyle name="COL HEADINGS 2 2 3 3 2 4 2" xfId="14211" xr:uid="{00000000-0005-0000-0000-00004D020000}"/>
    <cellStyle name="COL HEADINGS 2 2 3 3 2 4 2 2" xfId="32627" xr:uid="{00000000-0005-0000-0000-00004D020000}"/>
    <cellStyle name="COL HEADINGS 2 2 3 3 2 4 2 3" xfId="50990" xr:uid="{00000000-0005-0000-0000-00004D020000}"/>
    <cellStyle name="COL HEADINGS 2 2 3 3 2 4 3" xfId="28865" xr:uid="{00000000-0005-0000-0000-00004D020000}"/>
    <cellStyle name="COL HEADINGS 2 2 3 3 2 4 3 2" xfId="47228" xr:uid="{00000000-0005-0000-0000-00004D020000}"/>
    <cellStyle name="COL HEADINGS 2 2 3 3 2 4 4" xfId="19668" xr:uid="{00000000-0005-0000-0000-00004D020000}"/>
    <cellStyle name="COL HEADINGS 2 2 3 3 2 4 5" xfId="38074" xr:uid="{00000000-0005-0000-0000-00004D020000}"/>
    <cellStyle name="COL HEADINGS 2 2 3 3 2 5" xfId="9341" xr:uid="{00000000-0005-0000-0000-00004D020000}"/>
    <cellStyle name="COL HEADINGS 2 2 3 3 2 5 2" xfId="28060" xr:uid="{00000000-0005-0000-0000-00004D020000}"/>
    <cellStyle name="COL HEADINGS 2 2 3 3 2 5 3" xfId="46423" xr:uid="{00000000-0005-0000-0000-00004D020000}"/>
    <cellStyle name="COL HEADINGS 2 2 3 3 2 6" xfId="13397" xr:uid="{00000000-0005-0000-0000-00004D020000}"/>
    <cellStyle name="COL HEADINGS 2 2 3 3 2 6 2" xfId="31818" xr:uid="{00000000-0005-0000-0000-00004D020000}"/>
    <cellStyle name="COL HEADINGS 2 2 3 3 2 6 3" xfId="50181" xr:uid="{00000000-0005-0000-0000-00004D020000}"/>
    <cellStyle name="COL HEADINGS 2 2 3 3 2 7" xfId="23349" xr:uid="{00000000-0005-0000-0000-00004D020000}"/>
    <cellStyle name="COL HEADINGS 2 2 3 3 2 7 2" xfId="41718" xr:uid="{00000000-0005-0000-0000-00004D020000}"/>
    <cellStyle name="COL HEADINGS 2 2 3 3 2 8" xfId="18420" xr:uid="{00000000-0005-0000-0000-00004D020000}"/>
    <cellStyle name="COL HEADINGS 2 2 3 3 2 9" xfId="36826" xr:uid="{00000000-0005-0000-0000-00004D020000}"/>
    <cellStyle name="COL HEADINGS 2 2 3 3 3" xfId="4434" xr:uid="{00000000-0005-0000-0000-00004D020000}"/>
    <cellStyle name="COL HEADINGS 2 2 3 3 3 2" xfId="11033" xr:uid="{00000000-0005-0000-0000-00004D020000}"/>
    <cellStyle name="COL HEADINGS 2 2 3 3 3 2 2" xfId="29653" xr:uid="{00000000-0005-0000-0000-00004D020000}"/>
    <cellStyle name="COL HEADINGS 2 2 3 3 3 2 3" xfId="48016" xr:uid="{00000000-0005-0000-0000-00004D020000}"/>
    <cellStyle name="COL HEADINGS 2 2 3 3 3 3" xfId="15168" xr:uid="{00000000-0005-0000-0000-00004D020000}"/>
    <cellStyle name="COL HEADINGS 2 2 3 3 3 3 2" xfId="33565" xr:uid="{00000000-0005-0000-0000-00004D020000}"/>
    <cellStyle name="COL HEADINGS 2 2 3 3 3 3 3" xfId="51928" xr:uid="{00000000-0005-0000-0000-00004D020000}"/>
    <cellStyle name="COL HEADINGS 2 2 3 3 3 4" xfId="24296" xr:uid="{00000000-0005-0000-0000-00004D020000}"/>
    <cellStyle name="COL HEADINGS 2 2 3 3 3 4 2" xfId="42665" xr:uid="{00000000-0005-0000-0000-00004D020000}"/>
    <cellStyle name="COL HEADINGS 2 2 3 3 3 5" xfId="20619" xr:uid="{00000000-0005-0000-0000-00004D020000}"/>
    <cellStyle name="COL HEADINGS 2 2 3 3 3 6" xfId="39012" xr:uid="{00000000-0005-0000-0000-00004D020000}"/>
    <cellStyle name="COL HEADINGS 2 2 3 3 4" xfId="5054" xr:uid="{00000000-0005-0000-0000-00004D020000}"/>
    <cellStyle name="COL HEADINGS 2 2 3 3 4 2" xfId="11576" xr:uid="{00000000-0005-0000-0000-00004D020000}"/>
    <cellStyle name="COL HEADINGS 2 2 3 3 4 2 2" xfId="30144" xr:uid="{00000000-0005-0000-0000-00004D020000}"/>
    <cellStyle name="COL HEADINGS 2 2 3 3 4 2 3" xfId="48507" xr:uid="{00000000-0005-0000-0000-00004D020000}"/>
    <cellStyle name="COL HEADINGS 2 2 3 3 4 3" xfId="15767" xr:uid="{00000000-0005-0000-0000-00004D020000}"/>
    <cellStyle name="COL HEADINGS 2 2 3 3 4 3 2" xfId="34154" xr:uid="{00000000-0005-0000-0000-00004D020000}"/>
    <cellStyle name="COL HEADINGS 2 2 3 3 4 3 3" xfId="52517" xr:uid="{00000000-0005-0000-0000-00004D020000}"/>
    <cellStyle name="COL HEADINGS 2 2 3 3 4 4" xfId="24890" xr:uid="{00000000-0005-0000-0000-00004D020000}"/>
    <cellStyle name="COL HEADINGS 2 2 3 3 4 4 2" xfId="43259" xr:uid="{00000000-0005-0000-0000-00004D020000}"/>
    <cellStyle name="COL HEADINGS 2 2 3 3 4 5" xfId="21215" xr:uid="{00000000-0005-0000-0000-00004D020000}"/>
    <cellStyle name="COL HEADINGS 2 2 3 3 4 6" xfId="39601" xr:uid="{00000000-0005-0000-0000-00004D020000}"/>
    <cellStyle name="COL HEADINGS 2 2 3 3 5" xfId="9167" xr:uid="{00000000-0005-0000-0000-00004D020000}"/>
    <cellStyle name="COL HEADINGS 2 2 3 3 5 2" xfId="13225" xr:uid="{00000000-0005-0000-0000-00004D020000}"/>
    <cellStyle name="COL HEADINGS 2 2 3 3 5 2 2" xfId="31646" xr:uid="{00000000-0005-0000-0000-00004D020000}"/>
    <cellStyle name="COL HEADINGS 2 2 3 3 5 2 3" xfId="50009" xr:uid="{00000000-0005-0000-0000-00004D020000}"/>
    <cellStyle name="COL HEADINGS 2 2 3 3 5 3" xfId="27888" xr:uid="{00000000-0005-0000-0000-00004D020000}"/>
    <cellStyle name="COL HEADINGS 2 2 3 3 5 3 2" xfId="46251" xr:uid="{00000000-0005-0000-0000-00004D020000}"/>
    <cellStyle name="COL HEADINGS 2 2 3 3 5 4" xfId="18166" xr:uid="{00000000-0005-0000-0000-00004D020000}"/>
    <cellStyle name="COL HEADINGS 2 2 3 3 5 5" xfId="36572" xr:uid="{00000000-0005-0000-0000-00004D020000}"/>
    <cellStyle name="COL HEADINGS 2 2 3 3 6" xfId="7700" xr:uid="{00000000-0005-0000-0000-00004D020000}"/>
    <cellStyle name="COL HEADINGS 2 2 3 3 6 2" xfId="26982" xr:uid="{00000000-0005-0000-0000-00004D020000}"/>
    <cellStyle name="COL HEADINGS 2 2 3 3 6 3" xfId="45347" xr:uid="{00000000-0005-0000-0000-00004D020000}"/>
    <cellStyle name="COL HEADINGS 2 2 3 3 7" xfId="7482" xr:uid="{00000000-0005-0000-0000-00004D020000}"/>
    <cellStyle name="COL HEADINGS 2 2 3 3 7 2" xfId="26848" xr:uid="{00000000-0005-0000-0000-00004D020000}"/>
    <cellStyle name="COL HEADINGS 2 2 3 3 7 3" xfId="45213" xr:uid="{00000000-0005-0000-0000-00004D020000}"/>
    <cellStyle name="COL HEADINGS 2 2 3 3 8" xfId="18545" xr:uid="{00000000-0005-0000-0000-00004D020000}"/>
    <cellStyle name="COL HEADINGS 2 2 3 3 8 2" xfId="36954" xr:uid="{00000000-0005-0000-0000-00004D020000}"/>
    <cellStyle name="COL HEADINGS 2 2 3 3 9" xfId="8864" xr:uid="{00000000-0005-0000-0000-00004D020000}"/>
    <cellStyle name="COL HEADINGS 2 2 3 4" xfId="1354" xr:uid="{00000000-0005-0000-0000-00004E020000}"/>
    <cellStyle name="COL HEADINGS 2 2 3 4 10" xfId="7923" xr:uid="{00000000-0005-0000-0000-00004E020000}"/>
    <cellStyle name="COL HEADINGS 2 2 3 4 2" xfId="3400" xr:uid="{00000000-0005-0000-0000-00004E020000}"/>
    <cellStyle name="COL HEADINGS 2 2 3 4 2 2" xfId="5575" xr:uid="{00000000-0005-0000-0000-00004E020000}"/>
    <cellStyle name="COL HEADINGS 2 2 3 4 2 2 2" xfId="11939" xr:uid="{00000000-0005-0000-0000-00004E020000}"/>
    <cellStyle name="COL HEADINGS 2 2 3 4 2 2 2 2" xfId="30386" xr:uid="{00000000-0005-0000-0000-00004E020000}"/>
    <cellStyle name="COL HEADINGS 2 2 3 4 2 2 2 3" xfId="48749" xr:uid="{00000000-0005-0000-0000-00004E020000}"/>
    <cellStyle name="COL HEADINGS 2 2 3 4 2 2 3" xfId="16265" xr:uid="{00000000-0005-0000-0000-00004E020000}"/>
    <cellStyle name="COL HEADINGS 2 2 3 4 2 2 3 2" xfId="34637" xr:uid="{00000000-0005-0000-0000-00004E020000}"/>
    <cellStyle name="COL HEADINGS 2 2 3 4 2 2 3 3" xfId="53000" xr:uid="{00000000-0005-0000-0000-00004E020000}"/>
    <cellStyle name="COL HEADINGS 2 2 3 4 2 2 4" xfId="25384" xr:uid="{00000000-0005-0000-0000-00004E020000}"/>
    <cellStyle name="COL HEADINGS 2 2 3 4 2 2 4 2" xfId="43753" xr:uid="{00000000-0005-0000-0000-00004E020000}"/>
    <cellStyle name="COL HEADINGS 2 2 3 4 2 2 5" xfId="21705" xr:uid="{00000000-0005-0000-0000-00004E020000}"/>
    <cellStyle name="COL HEADINGS 2 2 3 4 2 2 6" xfId="40084" xr:uid="{00000000-0005-0000-0000-00004E020000}"/>
    <cellStyle name="COL HEADINGS 2 2 3 4 2 3" xfId="6399" xr:uid="{00000000-0005-0000-0000-00004E020000}"/>
    <cellStyle name="COL HEADINGS 2 2 3 4 2 3 2" xfId="12690" xr:uid="{00000000-0005-0000-0000-00004E020000}"/>
    <cellStyle name="COL HEADINGS 2 2 3 4 2 3 2 2" xfId="31116" xr:uid="{00000000-0005-0000-0000-00004E020000}"/>
    <cellStyle name="COL HEADINGS 2 2 3 4 2 3 2 3" xfId="49479" xr:uid="{00000000-0005-0000-0000-00004E020000}"/>
    <cellStyle name="COL HEADINGS 2 2 3 4 2 3 3" xfId="17001" xr:uid="{00000000-0005-0000-0000-00004E020000}"/>
    <cellStyle name="COL HEADINGS 2 2 3 4 2 3 3 2" xfId="35349" xr:uid="{00000000-0005-0000-0000-00004E020000}"/>
    <cellStyle name="COL HEADINGS 2 2 3 4 2 3 3 3" xfId="53712" xr:uid="{00000000-0005-0000-0000-00004E020000}"/>
    <cellStyle name="COL HEADINGS 2 2 3 4 2 3 4" xfId="26134" xr:uid="{00000000-0005-0000-0000-00004E020000}"/>
    <cellStyle name="COL HEADINGS 2 2 3 4 2 3 4 2" xfId="44503" xr:uid="{00000000-0005-0000-0000-00004E020000}"/>
    <cellStyle name="COL HEADINGS 2 2 3 4 2 3 5" xfId="22427" xr:uid="{00000000-0005-0000-0000-00004E020000}"/>
    <cellStyle name="COL HEADINGS 2 2 3 4 2 3 6" xfId="40796" xr:uid="{00000000-0005-0000-0000-00004E020000}"/>
    <cellStyle name="COL HEADINGS 2 2 3 4 2 4" xfId="10113" xr:uid="{00000000-0005-0000-0000-00004E020000}"/>
    <cellStyle name="COL HEADINGS 2 2 3 4 2 4 2" xfId="14170" xr:uid="{00000000-0005-0000-0000-00004E020000}"/>
    <cellStyle name="COL HEADINGS 2 2 3 4 2 4 2 2" xfId="32586" xr:uid="{00000000-0005-0000-0000-00004E020000}"/>
    <cellStyle name="COL HEADINGS 2 2 3 4 2 4 2 3" xfId="50949" xr:uid="{00000000-0005-0000-0000-00004E020000}"/>
    <cellStyle name="COL HEADINGS 2 2 3 4 2 4 3" xfId="28824" xr:uid="{00000000-0005-0000-0000-00004E020000}"/>
    <cellStyle name="COL HEADINGS 2 2 3 4 2 4 3 2" xfId="47187" xr:uid="{00000000-0005-0000-0000-00004E020000}"/>
    <cellStyle name="COL HEADINGS 2 2 3 4 2 4 4" xfId="19627" xr:uid="{00000000-0005-0000-0000-00004E020000}"/>
    <cellStyle name="COL HEADINGS 2 2 3 4 2 4 5" xfId="38033" xr:uid="{00000000-0005-0000-0000-00004E020000}"/>
    <cellStyle name="COL HEADINGS 2 2 3 4 2 5" xfId="9300" xr:uid="{00000000-0005-0000-0000-00004E020000}"/>
    <cellStyle name="COL HEADINGS 2 2 3 4 2 5 2" xfId="28019" xr:uid="{00000000-0005-0000-0000-00004E020000}"/>
    <cellStyle name="COL HEADINGS 2 2 3 4 2 5 3" xfId="46382" xr:uid="{00000000-0005-0000-0000-00004E020000}"/>
    <cellStyle name="COL HEADINGS 2 2 3 4 2 6" xfId="13356" xr:uid="{00000000-0005-0000-0000-00004E020000}"/>
    <cellStyle name="COL HEADINGS 2 2 3 4 2 6 2" xfId="31777" xr:uid="{00000000-0005-0000-0000-00004E020000}"/>
    <cellStyle name="COL HEADINGS 2 2 3 4 2 6 3" xfId="50140" xr:uid="{00000000-0005-0000-0000-00004E020000}"/>
    <cellStyle name="COL HEADINGS 2 2 3 4 2 7" xfId="23308" xr:uid="{00000000-0005-0000-0000-00004E020000}"/>
    <cellStyle name="COL HEADINGS 2 2 3 4 2 7 2" xfId="41677" xr:uid="{00000000-0005-0000-0000-00004E020000}"/>
    <cellStyle name="COL HEADINGS 2 2 3 4 2 8" xfId="18375" xr:uid="{00000000-0005-0000-0000-00004E020000}"/>
    <cellStyle name="COL HEADINGS 2 2 3 4 2 9" xfId="36781" xr:uid="{00000000-0005-0000-0000-00004E020000}"/>
    <cellStyle name="COL HEADINGS 2 2 3 4 3" xfId="4389" xr:uid="{00000000-0005-0000-0000-00004E020000}"/>
    <cellStyle name="COL HEADINGS 2 2 3 4 3 2" xfId="10989" xr:uid="{00000000-0005-0000-0000-00004E020000}"/>
    <cellStyle name="COL HEADINGS 2 2 3 4 3 2 2" xfId="29611" xr:uid="{00000000-0005-0000-0000-00004E020000}"/>
    <cellStyle name="COL HEADINGS 2 2 3 4 3 2 3" xfId="47974" xr:uid="{00000000-0005-0000-0000-00004E020000}"/>
    <cellStyle name="COL HEADINGS 2 2 3 4 3 3" xfId="15125" xr:uid="{00000000-0005-0000-0000-00004E020000}"/>
    <cellStyle name="COL HEADINGS 2 2 3 4 3 3 2" xfId="33522" xr:uid="{00000000-0005-0000-0000-00004E020000}"/>
    <cellStyle name="COL HEADINGS 2 2 3 4 3 3 3" xfId="51885" xr:uid="{00000000-0005-0000-0000-00004E020000}"/>
    <cellStyle name="COL HEADINGS 2 2 3 4 3 4" xfId="24253" xr:uid="{00000000-0005-0000-0000-00004E020000}"/>
    <cellStyle name="COL HEADINGS 2 2 3 4 3 4 2" xfId="42622" xr:uid="{00000000-0005-0000-0000-00004E020000}"/>
    <cellStyle name="COL HEADINGS 2 2 3 4 3 5" xfId="20576" xr:uid="{00000000-0005-0000-0000-00004E020000}"/>
    <cellStyle name="COL HEADINGS 2 2 3 4 3 6" xfId="38969" xr:uid="{00000000-0005-0000-0000-00004E020000}"/>
    <cellStyle name="COL HEADINGS 2 2 3 4 4" xfId="4895" xr:uid="{00000000-0005-0000-0000-00004E020000}"/>
    <cellStyle name="COL HEADINGS 2 2 3 4 4 2" xfId="11451" xr:uid="{00000000-0005-0000-0000-00004E020000}"/>
    <cellStyle name="COL HEADINGS 2 2 3 4 4 2 2" xfId="30039" xr:uid="{00000000-0005-0000-0000-00004E020000}"/>
    <cellStyle name="COL HEADINGS 2 2 3 4 4 2 3" xfId="48402" xr:uid="{00000000-0005-0000-0000-00004E020000}"/>
    <cellStyle name="COL HEADINGS 2 2 3 4 4 3" xfId="15621" xr:uid="{00000000-0005-0000-0000-00004E020000}"/>
    <cellStyle name="COL HEADINGS 2 2 3 4 4 3 2" xfId="34012" xr:uid="{00000000-0005-0000-0000-00004E020000}"/>
    <cellStyle name="COL HEADINGS 2 2 3 4 4 3 3" xfId="52375" xr:uid="{00000000-0005-0000-0000-00004E020000}"/>
    <cellStyle name="COL HEADINGS 2 2 3 4 4 4" xfId="24743" xr:uid="{00000000-0005-0000-0000-00004E020000}"/>
    <cellStyle name="COL HEADINGS 2 2 3 4 4 4 2" xfId="43112" xr:uid="{00000000-0005-0000-0000-00004E020000}"/>
    <cellStyle name="COL HEADINGS 2 2 3 4 4 5" xfId="21070" xr:uid="{00000000-0005-0000-0000-00004E020000}"/>
    <cellStyle name="COL HEADINGS 2 2 3 4 4 6" xfId="39459" xr:uid="{00000000-0005-0000-0000-00004E020000}"/>
    <cellStyle name="COL HEADINGS 2 2 3 4 5" xfId="9892" xr:uid="{00000000-0005-0000-0000-00004E020000}"/>
    <cellStyle name="COL HEADINGS 2 2 3 4 5 2" xfId="13950" xr:uid="{00000000-0005-0000-0000-00004E020000}"/>
    <cellStyle name="COL HEADINGS 2 2 3 4 5 2 2" xfId="32368" xr:uid="{00000000-0005-0000-0000-00004E020000}"/>
    <cellStyle name="COL HEADINGS 2 2 3 4 5 2 3" xfId="50731" xr:uid="{00000000-0005-0000-0000-00004E020000}"/>
    <cellStyle name="COL HEADINGS 2 2 3 4 5 3" xfId="28606" xr:uid="{00000000-0005-0000-0000-00004E020000}"/>
    <cellStyle name="COL HEADINGS 2 2 3 4 5 3 2" xfId="46969" xr:uid="{00000000-0005-0000-0000-00004E020000}"/>
    <cellStyle name="COL HEADINGS 2 2 3 4 5 4" xfId="19173" xr:uid="{00000000-0005-0000-0000-00004E020000}"/>
    <cellStyle name="COL HEADINGS 2 2 3 4 5 5" xfId="37581" xr:uid="{00000000-0005-0000-0000-00004E020000}"/>
    <cellStyle name="COL HEADINGS 2 2 3 4 6" xfId="7651" xr:uid="{00000000-0005-0000-0000-00004E020000}"/>
    <cellStyle name="COL HEADINGS 2 2 3 4 6 2" xfId="26937" xr:uid="{00000000-0005-0000-0000-00004E020000}"/>
    <cellStyle name="COL HEADINGS 2 2 3 4 6 3" xfId="45302" xr:uid="{00000000-0005-0000-0000-00004E020000}"/>
    <cellStyle name="COL HEADINGS 2 2 3 4 7" xfId="7221" xr:uid="{00000000-0005-0000-0000-00004E020000}"/>
    <cellStyle name="COL HEADINGS 2 2 3 4 7 2" xfId="26764" xr:uid="{00000000-0005-0000-0000-00004E020000}"/>
    <cellStyle name="COL HEADINGS 2 2 3 4 7 3" xfId="45132" xr:uid="{00000000-0005-0000-0000-00004E020000}"/>
    <cellStyle name="COL HEADINGS 2 2 3 4 8" xfId="19431" xr:uid="{00000000-0005-0000-0000-00004E020000}"/>
    <cellStyle name="COL HEADINGS 2 2 3 4 8 2" xfId="37837" xr:uid="{00000000-0005-0000-0000-00004E020000}"/>
    <cellStyle name="COL HEADINGS 2 2 3 4 9" xfId="12486" xr:uid="{00000000-0005-0000-0000-00004E020000}"/>
    <cellStyle name="COL HEADINGS 2 2 3 5" xfId="3522" xr:uid="{00000000-0005-0000-0000-00004B020000}"/>
    <cellStyle name="COL HEADINGS 2 2 3 5 2" xfId="5696" xr:uid="{00000000-0005-0000-0000-00004B020000}"/>
    <cellStyle name="COL HEADINGS 2 2 3 5 2 2" xfId="12060" xr:uid="{00000000-0005-0000-0000-00004B020000}"/>
    <cellStyle name="COL HEADINGS 2 2 3 5 2 2 2" xfId="30507" xr:uid="{00000000-0005-0000-0000-00004B020000}"/>
    <cellStyle name="COL HEADINGS 2 2 3 5 2 2 3" xfId="48870" xr:uid="{00000000-0005-0000-0000-00004B020000}"/>
    <cellStyle name="COL HEADINGS 2 2 3 5 2 3" xfId="16386" xr:uid="{00000000-0005-0000-0000-00004B020000}"/>
    <cellStyle name="COL HEADINGS 2 2 3 5 2 3 2" xfId="34758" xr:uid="{00000000-0005-0000-0000-00004B020000}"/>
    <cellStyle name="COL HEADINGS 2 2 3 5 2 3 3" xfId="53121" xr:uid="{00000000-0005-0000-0000-00004B020000}"/>
    <cellStyle name="COL HEADINGS 2 2 3 5 2 4" xfId="25505" xr:uid="{00000000-0005-0000-0000-00004B020000}"/>
    <cellStyle name="COL HEADINGS 2 2 3 5 2 4 2" xfId="43874" xr:uid="{00000000-0005-0000-0000-00004B020000}"/>
    <cellStyle name="COL HEADINGS 2 2 3 5 2 5" xfId="21826" xr:uid="{00000000-0005-0000-0000-00004B020000}"/>
    <cellStyle name="COL HEADINGS 2 2 3 5 2 6" xfId="40205" xr:uid="{00000000-0005-0000-0000-00004B020000}"/>
    <cellStyle name="COL HEADINGS 2 2 3 5 3" xfId="6521" xr:uid="{00000000-0005-0000-0000-00004B020000}"/>
    <cellStyle name="COL HEADINGS 2 2 3 5 3 2" xfId="12812" xr:uid="{00000000-0005-0000-0000-00004B020000}"/>
    <cellStyle name="COL HEADINGS 2 2 3 5 3 2 2" xfId="31238" xr:uid="{00000000-0005-0000-0000-00004B020000}"/>
    <cellStyle name="COL HEADINGS 2 2 3 5 3 2 3" xfId="49601" xr:uid="{00000000-0005-0000-0000-00004B020000}"/>
    <cellStyle name="COL HEADINGS 2 2 3 5 3 3" xfId="17123" xr:uid="{00000000-0005-0000-0000-00004B020000}"/>
    <cellStyle name="COL HEADINGS 2 2 3 5 3 3 2" xfId="35471" xr:uid="{00000000-0005-0000-0000-00004B020000}"/>
    <cellStyle name="COL HEADINGS 2 2 3 5 3 3 3" xfId="53834" xr:uid="{00000000-0005-0000-0000-00004B020000}"/>
    <cellStyle name="COL HEADINGS 2 2 3 5 3 4" xfId="26256" xr:uid="{00000000-0005-0000-0000-00004B020000}"/>
    <cellStyle name="COL HEADINGS 2 2 3 5 3 4 2" xfId="44625" xr:uid="{00000000-0005-0000-0000-00004B020000}"/>
    <cellStyle name="COL HEADINGS 2 2 3 5 3 5" xfId="22549" xr:uid="{00000000-0005-0000-0000-00004B020000}"/>
    <cellStyle name="COL HEADINGS 2 2 3 5 3 6" xfId="40918" xr:uid="{00000000-0005-0000-0000-00004B020000}"/>
    <cellStyle name="COL HEADINGS 2 2 3 5 4" xfId="10235" xr:uid="{00000000-0005-0000-0000-00004B020000}"/>
    <cellStyle name="COL HEADINGS 2 2 3 5 4 2" xfId="14292" xr:uid="{00000000-0005-0000-0000-00004B020000}"/>
    <cellStyle name="COL HEADINGS 2 2 3 5 4 2 2" xfId="32708" xr:uid="{00000000-0005-0000-0000-00004B020000}"/>
    <cellStyle name="COL HEADINGS 2 2 3 5 4 2 3" xfId="51071" xr:uid="{00000000-0005-0000-0000-00004B020000}"/>
    <cellStyle name="COL HEADINGS 2 2 3 5 4 3" xfId="28946" xr:uid="{00000000-0005-0000-0000-00004B020000}"/>
    <cellStyle name="COL HEADINGS 2 2 3 5 4 3 2" xfId="47309" xr:uid="{00000000-0005-0000-0000-00004B020000}"/>
    <cellStyle name="COL HEADINGS 2 2 3 5 4 4" xfId="19749" xr:uid="{00000000-0005-0000-0000-00004B020000}"/>
    <cellStyle name="COL HEADINGS 2 2 3 5 4 5" xfId="38155" xr:uid="{00000000-0005-0000-0000-00004B020000}"/>
    <cellStyle name="COL HEADINGS 2 2 3 5 5" xfId="9430" xr:uid="{00000000-0005-0000-0000-00004B020000}"/>
    <cellStyle name="COL HEADINGS 2 2 3 5 5 2" xfId="28147" xr:uid="{00000000-0005-0000-0000-00004B020000}"/>
    <cellStyle name="COL HEADINGS 2 2 3 5 5 3" xfId="46510" xr:uid="{00000000-0005-0000-0000-00004B020000}"/>
    <cellStyle name="COL HEADINGS 2 2 3 5 6" xfId="13487" xr:uid="{00000000-0005-0000-0000-00004B020000}"/>
    <cellStyle name="COL HEADINGS 2 2 3 5 6 2" xfId="31908" xr:uid="{00000000-0005-0000-0000-00004B020000}"/>
    <cellStyle name="COL HEADINGS 2 2 3 5 6 3" xfId="50271" xr:uid="{00000000-0005-0000-0000-00004B020000}"/>
    <cellStyle name="COL HEADINGS 2 2 3 5 7" xfId="23430" xr:uid="{00000000-0005-0000-0000-00004B020000}"/>
    <cellStyle name="COL HEADINGS 2 2 3 5 7 2" xfId="41799" xr:uid="{00000000-0005-0000-0000-00004B020000}"/>
    <cellStyle name="COL HEADINGS 2 2 3 5 8" xfId="18515" xr:uid="{00000000-0005-0000-0000-00004B020000}"/>
    <cellStyle name="COL HEADINGS 2 2 3 5 9" xfId="36924" xr:uid="{00000000-0005-0000-0000-00004B020000}"/>
    <cellStyle name="COL HEADINGS 2 2 3 6" xfId="4526" xr:uid="{00000000-0005-0000-0000-00004B020000}"/>
    <cellStyle name="COL HEADINGS 2 2 3 6 2" xfId="11117" xr:uid="{00000000-0005-0000-0000-00004B020000}"/>
    <cellStyle name="COL HEADINGS 2 2 3 6 2 2" xfId="29735" xr:uid="{00000000-0005-0000-0000-00004B020000}"/>
    <cellStyle name="COL HEADINGS 2 2 3 6 2 3" xfId="48098" xr:uid="{00000000-0005-0000-0000-00004B020000}"/>
    <cellStyle name="COL HEADINGS 2 2 3 6 3" xfId="15255" xr:uid="{00000000-0005-0000-0000-00004B020000}"/>
    <cellStyle name="COL HEADINGS 2 2 3 6 3 2" xfId="33649" xr:uid="{00000000-0005-0000-0000-00004B020000}"/>
    <cellStyle name="COL HEADINGS 2 2 3 6 3 3" xfId="52012" xr:uid="{00000000-0005-0000-0000-00004B020000}"/>
    <cellStyle name="COL HEADINGS 2 2 3 6 4" xfId="24380" xr:uid="{00000000-0005-0000-0000-00004B020000}"/>
    <cellStyle name="COL HEADINGS 2 2 3 6 4 2" xfId="42749" xr:uid="{00000000-0005-0000-0000-00004B020000}"/>
    <cellStyle name="COL HEADINGS 2 2 3 6 5" xfId="20704" xr:uid="{00000000-0005-0000-0000-00004B020000}"/>
    <cellStyle name="COL HEADINGS 2 2 3 6 6" xfId="39096" xr:uid="{00000000-0005-0000-0000-00004B020000}"/>
    <cellStyle name="COL HEADINGS 2 2 3 7" xfId="5042" xr:uid="{00000000-0005-0000-0000-00004B020000}"/>
    <cellStyle name="COL HEADINGS 2 2 3 7 2" xfId="11565" xr:uid="{00000000-0005-0000-0000-00004B020000}"/>
    <cellStyle name="COL HEADINGS 2 2 3 7 2 2" xfId="30137" xr:uid="{00000000-0005-0000-0000-00004B020000}"/>
    <cellStyle name="COL HEADINGS 2 2 3 7 2 3" xfId="48500" xr:uid="{00000000-0005-0000-0000-00004B020000}"/>
    <cellStyle name="COL HEADINGS 2 2 3 7 3" xfId="15755" xr:uid="{00000000-0005-0000-0000-00004B020000}"/>
    <cellStyle name="COL HEADINGS 2 2 3 7 3 2" xfId="34143" xr:uid="{00000000-0005-0000-0000-00004B020000}"/>
    <cellStyle name="COL HEADINGS 2 2 3 7 3 3" xfId="52506" xr:uid="{00000000-0005-0000-0000-00004B020000}"/>
    <cellStyle name="COL HEADINGS 2 2 3 7 4" xfId="24879" xr:uid="{00000000-0005-0000-0000-00004B020000}"/>
    <cellStyle name="COL HEADINGS 2 2 3 7 4 2" xfId="43248" xr:uid="{00000000-0005-0000-0000-00004B020000}"/>
    <cellStyle name="COL HEADINGS 2 2 3 7 5" xfId="21203" xr:uid="{00000000-0005-0000-0000-00004B020000}"/>
    <cellStyle name="COL HEADINGS 2 2 3 7 6" xfId="39590" xr:uid="{00000000-0005-0000-0000-00004B020000}"/>
    <cellStyle name="COL HEADINGS 2 2 3 8" xfId="9719" xr:uid="{00000000-0005-0000-0000-00004B020000}"/>
    <cellStyle name="COL HEADINGS 2 2 3 8 2" xfId="13776" xr:uid="{00000000-0005-0000-0000-00004B020000}"/>
    <cellStyle name="COL HEADINGS 2 2 3 8 2 2" xfId="32197" xr:uid="{00000000-0005-0000-0000-00004B020000}"/>
    <cellStyle name="COL HEADINGS 2 2 3 8 2 3" xfId="50560" xr:uid="{00000000-0005-0000-0000-00004B020000}"/>
    <cellStyle name="COL HEADINGS 2 2 3 8 3" xfId="28435" xr:uid="{00000000-0005-0000-0000-00004B020000}"/>
    <cellStyle name="COL HEADINGS 2 2 3 8 3 2" xfId="46798" xr:uid="{00000000-0005-0000-0000-00004B020000}"/>
    <cellStyle name="COL HEADINGS 2 2 3 8 4" xfId="18870" xr:uid="{00000000-0005-0000-0000-00004B020000}"/>
    <cellStyle name="COL HEADINGS 2 2 3 8 5" xfId="37279" xr:uid="{00000000-0005-0000-0000-00004B020000}"/>
    <cellStyle name="COL HEADINGS 2 2 3 9" xfId="7795" xr:uid="{00000000-0005-0000-0000-00004B020000}"/>
    <cellStyle name="COL HEADINGS 2 2 3 9 2" xfId="27066" xr:uid="{00000000-0005-0000-0000-00004B020000}"/>
    <cellStyle name="COL HEADINGS 2 2 3 9 3" xfId="45431" xr:uid="{00000000-0005-0000-0000-00004B020000}"/>
    <cellStyle name="COL HEADINGS 2 2 4" xfId="1392" xr:uid="{00000000-0005-0000-0000-00004F020000}"/>
    <cellStyle name="COL HEADINGS 2 2 4 10" xfId="11755" xr:uid="{00000000-0005-0000-0000-00004F020000}"/>
    <cellStyle name="COL HEADINGS 2 2 4 2" xfId="3425" xr:uid="{00000000-0005-0000-0000-00004F020000}"/>
    <cellStyle name="COL HEADINGS 2 2 4 2 2" xfId="5600" xr:uid="{00000000-0005-0000-0000-00004F020000}"/>
    <cellStyle name="COL HEADINGS 2 2 4 2 2 2" xfId="11964" xr:uid="{00000000-0005-0000-0000-00004F020000}"/>
    <cellStyle name="COL HEADINGS 2 2 4 2 2 2 2" xfId="30411" xr:uid="{00000000-0005-0000-0000-00004F020000}"/>
    <cellStyle name="COL HEADINGS 2 2 4 2 2 2 3" xfId="48774" xr:uid="{00000000-0005-0000-0000-00004F020000}"/>
    <cellStyle name="COL HEADINGS 2 2 4 2 2 3" xfId="16290" xr:uid="{00000000-0005-0000-0000-00004F020000}"/>
    <cellStyle name="COL HEADINGS 2 2 4 2 2 3 2" xfId="34662" xr:uid="{00000000-0005-0000-0000-00004F020000}"/>
    <cellStyle name="COL HEADINGS 2 2 4 2 2 3 3" xfId="53025" xr:uid="{00000000-0005-0000-0000-00004F020000}"/>
    <cellStyle name="COL HEADINGS 2 2 4 2 2 4" xfId="25409" xr:uid="{00000000-0005-0000-0000-00004F020000}"/>
    <cellStyle name="COL HEADINGS 2 2 4 2 2 4 2" xfId="43778" xr:uid="{00000000-0005-0000-0000-00004F020000}"/>
    <cellStyle name="COL HEADINGS 2 2 4 2 2 5" xfId="21730" xr:uid="{00000000-0005-0000-0000-00004F020000}"/>
    <cellStyle name="COL HEADINGS 2 2 4 2 2 6" xfId="40109" xr:uid="{00000000-0005-0000-0000-00004F020000}"/>
    <cellStyle name="COL HEADINGS 2 2 4 2 3" xfId="6424" xr:uid="{00000000-0005-0000-0000-00004F020000}"/>
    <cellStyle name="COL HEADINGS 2 2 4 2 3 2" xfId="12715" xr:uid="{00000000-0005-0000-0000-00004F020000}"/>
    <cellStyle name="COL HEADINGS 2 2 4 2 3 2 2" xfId="31141" xr:uid="{00000000-0005-0000-0000-00004F020000}"/>
    <cellStyle name="COL HEADINGS 2 2 4 2 3 2 3" xfId="49504" xr:uid="{00000000-0005-0000-0000-00004F020000}"/>
    <cellStyle name="COL HEADINGS 2 2 4 2 3 3" xfId="17026" xr:uid="{00000000-0005-0000-0000-00004F020000}"/>
    <cellStyle name="COL HEADINGS 2 2 4 2 3 3 2" xfId="35374" xr:uid="{00000000-0005-0000-0000-00004F020000}"/>
    <cellStyle name="COL HEADINGS 2 2 4 2 3 3 3" xfId="53737" xr:uid="{00000000-0005-0000-0000-00004F020000}"/>
    <cellStyle name="COL HEADINGS 2 2 4 2 3 4" xfId="26159" xr:uid="{00000000-0005-0000-0000-00004F020000}"/>
    <cellStyle name="COL HEADINGS 2 2 4 2 3 4 2" xfId="44528" xr:uid="{00000000-0005-0000-0000-00004F020000}"/>
    <cellStyle name="COL HEADINGS 2 2 4 2 3 5" xfId="22452" xr:uid="{00000000-0005-0000-0000-00004F020000}"/>
    <cellStyle name="COL HEADINGS 2 2 4 2 3 6" xfId="40821" xr:uid="{00000000-0005-0000-0000-00004F020000}"/>
    <cellStyle name="COL HEADINGS 2 2 4 2 4" xfId="10138" xr:uid="{00000000-0005-0000-0000-00004F020000}"/>
    <cellStyle name="COL HEADINGS 2 2 4 2 4 2" xfId="14195" xr:uid="{00000000-0005-0000-0000-00004F020000}"/>
    <cellStyle name="COL HEADINGS 2 2 4 2 4 2 2" xfId="32611" xr:uid="{00000000-0005-0000-0000-00004F020000}"/>
    <cellStyle name="COL HEADINGS 2 2 4 2 4 2 3" xfId="50974" xr:uid="{00000000-0005-0000-0000-00004F020000}"/>
    <cellStyle name="COL HEADINGS 2 2 4 2 4 3" xfId="28849" xr:uid="{00000000-0005-0000-0000-00004F020000}"/>
    <cellStyle name="COL HEADINGS 2 2 4 2 4 3 2" xfId="47212" xr:uid="{00000000-0005-0000-0000-00004F020000}"/>
    <cellStyle name="COL HEADINGS 2 2 4 2 4 4" xfId="19652" xr:uid="{00000000-0005-0000-0000-00004F020000}"/>
    <cellStyle name="COL HEADINGS 2 2 4 2 4 5" xfId="38058" xr:uid="{00000000-0005-0000-0000-00004F020000}"/>
    <cellStyle name="COL HEADINGS 2 2 4 2 5" xfId="9325" xr:uid="{00000000-0005-0000-0000-00004F020000}"/>
    <cellStyle name="COL HEADINGS 2 2 4 2 5 2" xfId="28044" xr:uid="{00000000-0005-0000-0000-00004F020000}"/>
    <cellStyle name="COL HEADINGS 2 2 4 2 5 3" xfId="46407" xr:uid="{00000000-0005-0000-0000-00004F020000}"/>
    <cellStyle name="COL HEADINGS 2 2 4 2 6" xfId="13381" xr:uid="{00000000-0005-0000-0000-00004F020000}"/>
    <cellStyle name="COL HEADINGS 2 2 4 2 6 2" xfId="31802" xr:uid="{00000000-0005-0000-0000-00004F020000}"/>
    <cellStyle name="COL HEADINGS 2 2 4 2 6 3" xfId="50165" xr:uid="{00000000-0005-0000-0000-00004F020000}"/>
    <cellStyle name="COL HEADINGS 2 2 4 2 7" xfId="23333" xr:uid="{00000000-0005-0000-0000-00004F020000}"/>
    <cellStyle name="COL HEADINGS 2 2 4 2 7 2" xfId="41702" xr:uid="{00000000-0005-0000-0000-00004F020000}"/>
    <cellStyle name="COL HEADINGS 2 2 4 2 8" xfId="18404" xr:uid="{00000000-0005-0000-0000-00004F020000}"/>
    <cellStyle name="COL HEADINGS 2 2 4 2 9" xfId="36810" xr:uid="{00000000-0005-0000-0000-00004F020000}"/>
    <cellStyle name="COL HEADINGS 2 2 4 3" xfId="4418" xr:uid="{00000000-0005-0000-0000-00004F020000}"/>
    <cellStyle name="COL HEADINGS 2 2 4 3 2" xfId="11017" xr:uid="{00000000-0005-0000-0000-00004F020000}"/>
    <cellStyle name="COL HEADINGS 2 2 4 3 2 2" xfId="29637" xr:uid="{00000000-0005-0000-0000-00004F020000}"/>
    <cellStyle name="COL HEADINGS 2 2 4 3 2 3" xfId="48000" xr:uid="{00000000-0005-0000-0000-00004F020000}"/>
    <cellStyle name="COL HEADINGS 2 2 4 3 3" xfId="15152" xr:uid="{00000000-0005-0000-0000-00004F020000}"/>
    <cellStyle name="COL HEADINGS 2 2 4 3 3 2" xfId="33549" xr:uid="{00000000-0005-0000-0000-00004F020000}"/>
    <cellStyle name="COL HEADINGS 2 2 4 3 3 3" xfId="51912" xr:uid="{00000000-0005-0000-0000-00004F020000}"/>
    <cellStyle name="COL HEADINGS 2 2 4 3 4" xfId="24280" xr:uid="{00000000-0005-0000-0000-00004F020000}"/>
    <cellStyle name="COL HEADINGS 2 2 4 3 4 2" xfId="42649" xr:uid="{00000000-0005-0000-0000-00004F020000}"/>
    <cellStyle name="COL HEADINGS 2 2 4 3 5" xfId="20603" xr:uid="{00000000-0005-0000-0000-00004F020000}"/>
    <cellStyle name="COL HEADINGS 2 2 4 3 6" xfId="38996" xr:uid="{00000000-0005-0000-0000-00004F020000}"/>
    <cellStyle name="COL HEADINGS 2 2 4 4" xfId="4048" xr:uid="{00000000-0005-0000-0000-00004F020000}"/>
    <cellStyle name="COL HEADINGS 2 2 4 4 2" xfId="10749" xr:uid="{00000000-0005-0000-0000-00004F020000}"/>
    <cellStyle name="COL HEADINGS 2 2 4 4 2 2" xfId="29452" xr:uid="{00000000-0005-0000-0000-00004F020000}"/>
    <cellStyle name="COL HEADINGS 2 2 4 4 2 3" xfId="47815" xr:uid="{00000000-0005-0000-0000-00004F020000}"/>
    <cellStyle name="COL HEADINGS 2 2 4 4 3" xfId="14809" xr:uid="{00000000-0005-0000-0000-00004F020000}"/>
    <cellStyle name="COL HEADINGS 2 2 4 4 3 2" xfId="33221" xr:uid="{00000000-0005-0000-0000-00004F020000}"/>
    <cellStyle name="COL HEADINGS 2 2 4 4 3 3" xfId="51584" xr:uid="{00000000-0005-0000-0000-00004F020000}"/>
    <cellStyle name="COL HEADINGS 2 2 4 4 4" xfId="23945" xr:uid="{00000000-0005-0000-0000-00004F020000}"/>
    <cellStyle name="COL HEADINGS 2 2 4 4 4 2" xfId="42314" xr:uid="{00000000-0005-0000-0000-00004F020000}"/>
    <cellStyle name="COL HEADINGS 2 2 4 4 5" xfId="20265" xr:uid="{00000000-0005-0000-0000-00004F020000}"/>
    <cellStyle name="COL HEADINGS 2 2 4 4 6" xfId="38668" xr:uid="{00000000-0005-0000-0000-00004F020000}"/>
    <cellStyle name="COL HEADINGS 2 2 4 5" xfId="9250" xr:uid="{00000000-0005-0000-0000-00004F020000}"/>
    <cellStyle name="COL HEADINGS 2 2 4 5 2" xfId="13307" xr:uid="{00000000-0005-0000-0000-00004F020000}"/>
    <cellStyle name="COL HEADINGS 2 2 4 5 2 2" xfId="31728" xr:uid="{00000000-0005-0000-0000-00004F020000}"/>
    <cellStyle name="COL HEADINGS 2 2 4 5 2 3" xfId="50091" xr:uid="{00000000-0005-0000-0000-00004F020000}"/>
    <cellStyle name="COL HEADINGS 2 2 4 5 3" xfId="27970" xr:uid="{00000000-0005-0000-0000-00004F020000}"/>
    <cellStyle name="COL HEADINGS 2 2 4 5 3 2" xfId="46333" xr:uid="{00000000-0005-0000-0000-00004F020000}"/>
    <cellStyle name="COL HEADINGS 2 2 4 5 4" xfId="18302" xr:uid="{00000000-0005-0000-0000-00004F020000}"/>
    <cellStyle name="COL HEADINGS 2 2 4 5 5" xfId="36708" xr:uid="{00000000-0005-0000-0000-00004F020000}"/>
    <cellStyle name="COL HEADINGS 2 2 4 6" xfId="7684" xr:uid="{00000000-0005-0000-0000-00004F020000}"/>
    <cellStyle name="COL HEADINGS 2 2 4 6 2" xfId="26966" xr:uid="{00000000-0005-0000-0000-00004F020000}"/>
    <cellStyle name="COL HEADINGS 2 2 4 6 3" xfId="45331" xr:uid="{00000000-0005-0000-0000-00004F020000}"/>
    <cellStyle name="COL HEADINGS 2 2 4 7" xfId="6299" xr:uid="{00000000-0005-0000-0000-00004F020000}"/>
    <cellStyle name="COL HEADINGS 2 2 4 7 2" xfId="26042" xr:uid="{00000000-0005-0000-0000-00004F020000}"/>
    <cellStyle name="COL HEADINGS 2 2 4 7 3" xfId="44411" xr:uid="{00000000-0005-0000-0000-00004F020000}"/>
    <cellStyle name="COL HEADINGS 2 2 4 8" xfId="19419" xr:uid="{00000000-0005-0000-0000-00004F020000}"/>
    <cellStyle name="COL HEADINGS 2 2 4 8 2" xfId="37825" xr:uid="{00000000-0005-0000-0000-00004F020000}"/>
    <cellStyle name="COL HEADINGS 2 2 4 9" xfId="7631" xr:uid="{00000000-0005-0000-0000-00004F020000}"/>
    <cellStyle name="COL HEADINGS 2 2 5" xfId="3369" xr:uid="{00000000-0005-0000-0000-000046020000}"/>
    <cellStyle name="COL HEADINGS 2 2 5 2" xfId="5544" xr:uid="{00000000-0005-0000-0000-000046020000}"/>
    <cellStyle name="COL HEADINGS 2 2 5 2 2" xfId="11908" xr:uid="{00000000-0005-0000-0000-000046020000}"/>
    <cellStyle name="COL HEADINGS 2 2 5 2 2 2" xfId="30355" xr:uid="{00000000-0005-0000-0000-000046020000}"/>
    <cellStyle name="COL HEADINGS 2 2 5 2 2 3" xfId="48718" xr:uid="{00000000-0005-0000-0000-000046020000}"/>
    <cellStyle name="COL HEADINGS 2 2 5 2 3" xfId="16234" xr:uid="{00000000-0005-0000-0000-000046020000}"/>
    <cellStyle name="COL HEADINGS 2 2 5 2 3 2" xfId="34606" xr:uid="{00000000-0005-0000-0000-000046020000}"/>
    <cellStyle name="COL HEADINGS 2 2 5 2 3 3" xfId="52969" xr:uid="{00000000-0005-0000-0000-000046020000}"/>
    <cellStyle name="COL HEADINGS 2 2 5 2 4" xfId="25353" xr:uid="{00000000-0005-0000-0000-000046020000}"/>
    <cellStyle name="COL HEADINGS 2 2 5 2 4 2" xfId="43722" xr:uid="{00000000-0005-0000-0000-000046020000}"/>
    <cellStyle name="COL HEADINGS 2 2 5 2 5" xfId="21674" xr:uid="{00000000-0005-0000-0000-000046020000}"/>
    <cellStyle name="COL HEADINGS 2 2 5 2 6" xfId="40053" xr:uid="{00000000-0005-0000-0000-000046020000}"/>
    <cellStyle name="COL HEADINGS 2 2 5 3" xfId="6368" xr:uid="{00000000-0005-0000-0000-000046020000}"/>
    <cellStyle name="COL HEADINGS 2 2 5 3 2" xfId="12659" xr:uid="{00000000-0005-0000-0000-000046020000}"/>
    <cellStyle name="COL HEADINGS 2 2 5 3 2 2" xfId="31085" xr:uid="{00000000-0005-0000-0000-000046020000}"/>
    <cellStyle name="COL HEADINGS 2 2 5 3 2 3" xfId="49448" xr:uid="{00000000-0005-0000-0000-000046020000}"/>
    <cellStyle name="COL HEADINGS 2 2 5 3 3" xfId="16970" xr:uid="{00000000-0005-0000-0000-000046020000}"/>
    <cellStyle name="COL HEADINGS 2 2 5 3 3 2" xfId="35318" xr:uid="{00000000-0005-0000-0000-000046020000}"/>
    <cellStyle name="COL HEADINGS 2 2 5 3 3 3" xfId="53681" xr:uid="{00000000-0005-0000-0000-000046020000}"/>
    <cellStyle name="COL HEADINGS 2 2 5 3 4" xfId="26103" xr:uid="{00000000-0005-0000-0000-000046020000}"/>
    <cellStyle name="COL HEADINGS 2 2 5 3 4 2" xfId="44472" xr:uid="{00000000-0005-0000-0000-000046020000}"/>
    <cellStyle name="COL HEADINGS 2 2 5 3 5" xfId="22396" xr:uid="{00000000-0005-0000-0000-000046020000}"/>
    <cellStyle name="COL HEADINGS 2 2 5 3 6" xfId="40765" xr:uid="{00000000-0005-0000-0000-000046020000}"/>
    <cellStyle name="COL HEADINGS 2 2 5 4" xfId="10082" xr:uid="{00000000-0005-0000-0000-000046020000}"/>
    <cellStyle name="COL HEADINGS 2 2 5 4 2" xfId="14139" xr:uid="{00000000-0005-0000-0000-000046020000}"/>
    <cellStyle name="COL HEADINGS 2 2 5 4 2 2" xfId="32555" xr:uid="{00000000-0005-0000-0000-000046020000}"/>
    <cellStyle name="COL HEADINGS 2 2 5 4 2 3" xfId="50918" xr:uid="{00000000-0005-0000-0000-000046020000}"/>
    <cellStyle name="COL HEADINGS 2 2 5 4 3" xfId="28793" xr:uid="{00000000-0005-0000-0000-000046020000}"/>
    <cellStyle name="COL HEADINGS 2 2 5 4 3 2" xfId="47156" xr:uid="{00000000-0005-0000-0000-000046020000}"/>
    <cellStyle name="COL HEADINGS 2 2 5 4 4" xfId="19596" xr:uid="{00000000-0005-0000-0000-000046020000}"/>
    <cellStyle name="COL HEADINGS 2 2 5 4 5" xfId="38002" xr:uid="{00000000-0005-0000-0000-000046020000}"/>
    <cellStyle name="COL HEADINGS 2 2 5 5" xfId="9232" xr:uid="{00000000-0005-0000-0000-000046020000}"/>
    <cellStyle name="COL HEADINGS 2 2 5 5 2" xfId="27952" xr:uid="{00000000-0005-0000-0000-000046020000}"/>
    <cellStyle name="COL HEADINGS 2 2 5 5 3" xfId="46315" xr:uid="{00000000-0005-0000-0000-000046020000}"/>
    <cellStyle name="COL HEADINGS 2 2 5 6" xfId="13289" xr:uid="{00000000-0005-0000-0000-000046020000}"/>
    <cellStyle name="COL HEADINGS 2 2 5 6 2" xfId="31710" xr:uid="{00000000-0005-0000-0000-000046020000}"/>
    <cellStyle name="COL HEADINGS 2 2 5 6 3" xfId="50073" xr:uid="{00000000-0005-0000-0000-000046020000}"/>
    <cellStyle name="COL HEADINGS 2 2 5 7" xfId="23277" xr:uid="{00000000-0005-0000-0000-000046020000}"/>
    <cellStyle name="COL HEADINGS 2 2 5 7 2" xfId="41646" xr:uid="{00000000-0005-0000-0000-000046020000}"/>
    <cellStyle name="COL HEADINGS 2 2 5 8" xfId="18283" xr:uid="{00000000-0005-0000-0000-000046020000}"/>
    <cellStyle name="COL HEADINGS 2 2 5 9" xfId="36689" xr:uid="{00000000-0005-0000-0000-000046020000}"/>
    <cellStyle name="COL HEADINGS 2 2 6" xfId="4316" xr:uid="{00000000-0005-0000-0000-000046020000}"/>
    <cellStyle name="COL HEADINGS 2 2 6 2" xfId="10924" xr:uid="{00000000-0005-0000-0000-000046020000}"/>
    <cellStyle name="COL HEADINGS 2 2 6 2 2" xfId="29554" xr:uid="{00000000-0005-0000-0000-000046020000}"/>
    <cellStyle name="COL HEADINGS 2 2 6 2 3" xfId="47917" xr:uid="{00000000-0005-0000-0000-000046020000}"/>
    <cellStyle name="COL HEADINGS 2 2 6 3" xfId="15060" xr:uid="{00000000-0005-0000-0000-000046020000}"/>
    <cellStyle name="COL HEADINGS 2 2 6 3 2" xfId="33462" xr:uid="{00000000-0005-0000-0000-000046020000}"/>
    <cellStyle name="COL HEADINGS 2 2 6 3 3" xfId="51825" xr:uid="{00000000-0005-0000-0000-000046020000}"/>
    <cellStyle name="COL HEADINGS 2 2 6 4" xfId="24191" xr:uid="{00000000-0005-0000-0000-000046020000}"/>
    <cellStyle name="COL HEADINGS 2 2 6 4 2" xfId="42560" xr:uid="{00000000-0005-0000-0000-000046020000}"/>
    <cellStyle name="COL HEADINGS 2 2 6 5" xfId="20512" xr:uid="{00000000-0005-0000-0000-000046020000}"/>
    <cellStyle name="COL HEADINGS 2 2 6 6" xfId="38909" xr:uid="{00000000-0005-0000-0000-000046020000}"/>
    <cellStyle name="COL HEADINGS 2 2 7" xfId="4907" xr:uid="{00000000-0005-0000-0000-000046020000}"/>
    <cellStyle name="COL HEADINGS 2 2 7 2" xfId="11462" xr:uid="{00000000-0005-0000-0000-000046020000}"/>
    <cellStyle name="COL HEADINGS 2 2 7 2 2" xfId="30050" xr:uid="{00000000-0005-0000-0000-000046020000}"/>
    <cellStyle name="COL HEADINGS 2 2 7 2 3" xfId="48413" xr:uid="{00000000-0005-0000-0000-000046020000}"/>
    <cellStyle name="COL HEADINGS 2 2 7 3" xfId="15633" xr:uid="{00000000-0005-0000-0000-000046020000}"/>
    <cellStyle name="COL HEADINGS 2 2 7 3 2" xfId="34024" xr:uid="{00000000-0005-0000-0000-000046020000}"/>
    <cellStyle name="COL HEADINGS 2 2 7 3 3" xfId="52387" xr:uid="{00000000-0005-0000-0000-000046020000}"/>
    <cellStyle name="COL HEADINGS 2 2 7 4" xfId="24755" xr:uid="{00000000-0005-0000-0000-000046020000}"/>
    <cellStyle name="COL HEADINGS 2 2 7 4 2" xfId="43124" xr:uid="{00000000-0005-0000-0000-000046020000}"/>
    <cellStyle name="COL HEADINGS 2 2 7 5" xfId="21082" xr:uid="{00000000-0005-0000-0000-000046020000}"/>
    <cellStyle name="COL HEADINGS 2 2 7 6" xfId="39471" xr:uid="{00000000-0005-0000-0000-000046020000}"/>
    <cellStyle name="COL HEADINGS 2 2 8" xfId="7568" xr:uid="{00000000-0005-0000-0000-000046020000}"/>
    <cellStyle name="COL HEADINGS 2 2 8 2" xfId="26879" xr:uid="{00000000-0005-0000-0000-000046020000}"/>
    <cellStyle name="COL HEADINGS 2 2 8 3" xfId="45244" xr:uid="{00000000-0005-0000-0000-000046020000}"/>
    <cellStyle name="COL HEADINGS 2 2 9" xfId="8785" xr:uid="{00000000-0005-0000-0000-000046020000}"/>
    <cellStyle name="COL HEADINGS 2 2 9 2" xfId="27630" xr:uid="{00000000-0005-0000-0000-000046020000}"/>
    <cellStyle name="COL HEADINGS 2 2 9 3" xfId="45993" xr:uid="{00000000-0005-0000-0000-000046020000}"/>
    <cellStyle name="COL HEADINGS 2 3" xfId="1436" xr:uid="{00000000-0005-0000-0000-000050020000}"/>
    <cellStyle name="COL HEADINGS 2 3 10" xfId="11622" xr:uid="{00000000-0005-0000-0000-000050020000}"/>
    <cellStyle name="COL HEADINGS 2 3 2" xfId="3456" xr:uid="{00000000-0005-0000-0000-000050020000}"/>
    <cellStyle name="COL HEADINGS 2 3 2 2" xfId="5631" xr:uid="{00000000-0005-0000-0000-000050020000}"/>
    <cellStyle name="COL HEADINGS 2 3 2 2 2" xfId="11995" xr:uid="{00000000-0005-0000-0000-000050020000}"/>
    <cellStyle name="COL HEADINGS 2 3 2 2 2 2" xfId="30442" xr:uid="{00000000-0005-0000-0000-000050020000}"/>
    <cellStyle name="COL HEADINGS 2 3 2 2 2 3" xfId="48805" xr:uid="{00000000-0005-0000-0000-000050020000}"/>
    <cellStyle name="COL HEADINGS 2 3 2 2 3" xfId="16321" xr:uid="{00000000-0005-0000-0000-000050020000}"/>
    <cellStyle name="COL HEADINGS 2 3 2 2 3 2" xfId="34693" xr:uid="{00000000-0005-0000-0000-000050020000}"/>
    <cellStyle name="COL HEADINGS 2 3 2 2 3 3" xfId="53056" xr:uid="{00000000-0005-0000-0000-000050020000}"/>
    <cellStyle name="COL HEADINGS 2 3 2 2 4" xfId="25440" xr:uid="{00000000-0005-0000-0000-000050020000}"/>
    <cellStyle name="COL HEADINGS 2 3 2 2 4 2" xfId="43809" xr:uid="{00000000-0005-0000-0000-000050020000}"/>
    <cellStyle name="COL HEADINGS 2 3 2 2 5" xfId="21761" xr:uid="{00000000-0005-0000-0000-000050020000}"/>
    <cellStyle name="COL HEADINGS 2 3 2 2 6" xfId="40140" xr:uid="{00000000-0005-0000-0000-000050020000}"/>
    <cellStyle name="COL HEADINGS 2 3 2 3" xfId="6455" xr:uid="{00000000-0005-0000-0000-000050020000}"/>
    <cellStyle name="COL HEADINGS 2 3 2 3 2" xfId="12746" xr:uid="{00000000-0005-0000-0000-000050020000}"/>
    <cellStyle name="COL HEADINGS 2 3 2 3 2 2" xfId="31172" xr:uid="{00000000-0005-0000-0000-000050020000}"/>
    <cellStyle name="COL HEADINGS 2 3 2 3 2 3" xfId="49535" xr:uid="{00000000-0005-0000-0000-000050020000}"/>
    <cellStyle name="COL HEADINGS 2 3 2 3 3" xfId="17057" xr:uid="{00000000-0005-0000-0000-000050020000}"/>
    <cellStyle name="COL HEADINGS 2 3 2 3 3 2" xfId="35405" xr:uid="{00000000-0005-0000-0000-000050020000}"/>
    <cellStyle name="COL HEADINGS 2 3 2 3 3 3" xfId="53768" xr:uid="{00000000-0005-0000-0000-000050020000}"/>
    <cellStyle name="COL HEADINGS 2 3 2 3 4" xfId="26190" xr:uid="{00000000-0005-0000-0000-000050020000}"/>
    <cellStyle name="COL HEADINGS 2 3 2 3 4 2" xfId="44559" xr:uid="{00000000-0005-0000-0000-000050020000}"/>
    <cellStyle name="COL HEADINGS 2 3 2 3 5" xfId="22483" xr:uid="{00000000-0005-0000-0000-000050020000}"/>
    <cellStyle name="COL HEADINGS 2 3 2 3 6" xfId="40852" xr:uid="{00000000-0005-0000-0000-000050020000}"/>
    <cellStyle name="COL HEADINGS 2 3 2 4" xfId="10169" xr:uid="{00000000-0005-0000-0000-000050020000}"/>
    <cellStyle name="COL HEADINGS 2 3 2 4 2" xfId="14226" xr:uid="{00000000-0005-0000-0000-000050020000}"/>
    <cellStyle name="COL HEADINGS 2 3 2 4 2 2" xfId="32642" xr:uid="{00000000-0005-0000-0000-000050020000}"/>
    <cellStyle name="COL HEADINGS 2 3 2 4 2 3" xfId="51005" xr:uid="{00000000-0005-0000-0000-000050020000}"/>
    <cellStyle name="COL HEADINGS 2 3 2 4 3" xfId="28880" xr:uid="{00000000-0005-0000-0000-000050020000}"/>
    <cellStyle name="COL HEADINGS 2 3 2 4 3 2" xfId="47243" xr:uid="{00000000-0005-0000-0000-000050020000}"/>
    <cellStyle name="COL HEADINGS 2 3 2 4 4" xfId="19683" xr:uid="{00000000-0005-0000-0000-000050020000}"/>
    <cellStyle name="COL HEADINGS 2 3 2 4 5" xfId="38089" xr:uid="{00000000-0005-0000-0000-000050020000}"/>
    <cellStyle name="COL HEADINGS 2 3 2 5" xfId="9359" xr:uid="{00000000-0005-0000-0000-000050020000}"/>
    <cellStyle name="COL HEADINGS 2 3 2 5 2" xfId="28078" xr:uid="{00000000-0005-0000-0000-000050020000}"/>
    <cellStyle name="COL HEADINGS 2 3 2 5 3" xfId="46441" xr:uid="{00000000-0005-0000-0000-000050020000}"/>
    <cellStyle name="COL HEADINGS 2 3 2 6" xfId="13415" xr:uid="{00000000-0005-0000-0000-000050020000}"/>
    <cellStyle name="COL HEADINGS 2 3 2 6 2" xfId="31836" xr:uid="{00000000-0005-0000-0000-000050020000}"/>
    <cellStyle name="COL HEADINGS 2 3 2 6 3" xfId="50199" xr:uid="{00000000-0005-0000-0000-000050020000}"/>
    <cellStyle name="COL HEADINGS 2 3 2 7" xfId="23364" xr:uid="{00000000-0005-0000-0000-000050020000}"/>
    <cellStyle name="COL HEADINGS 2 3 2 7 2" xfId="41733" xr:uid="{00000000-0005-0000-0000-000050020000}"/>
    <cellStyle name="COL HEADINGS 2 3 2 8" xfId="18441" xr:uid="{00000000-0005-0000-0000-000050020000}"/>
    <cellStyle name="COL HEADINGS 2 3 2 9" xfId="36847" xr:uid="{00000000-0005-0000-0000-000050020000}"/>
    <cellStyle name="COL HEADINGS 2 3 3" xfId="4453" xr:uid="{00000000-0005-0000-0000-000050020000}"/>
    <cellStyle name="COL HEADINGS 2 3 3 2" xfId="11050" xr:uid="{00000000-0005-0000-0000-000050020000}"/>
    <cellStyle name="COL HEADINGS 2 3 3 2 2" xfId="29670" xr:uid="{00000000-0005-0000-0000-000050020000}"/>
    <cellStyle name="COL HEADINGS 2 3 3 2 3" xfId="48033" xr:uid="{00000000-0005-0000-0000-000050020000}"/>
    <cellStyle name="COL HEADINGS 2 3 3 3" xfId="15187" xr:uid="{00000000-0005-0000-0000-000050020000}"/>
    <cellStyle name="COL HEADINGS 2 3 3 3 2" xfId="33583" xr:uid="{00000000-0005-0000-0000-000050020000}"/>
    <cellStyle name="COL HEADINGS 2 3 3 3 3" xfId="51946" xr:uid="{00000000-0005-0000-0000-000050020000}"/>
    <cellStyle name="COL HEADINGS 2 3 3 4" xfId="24314" xr:uid="{00000000-0005-0000-0000-000050020000}"/>
    <cellStyle name="COL HEADINGS 2 3 3 4 2" xfId="42683" xr:uid="{00000000-0005-0000-0000-000050020000}"/>
    <cellStyle name="COL HEADINGS 2 3 3 5" xfId="20638" xr:uid="{00000000-0005-0000-0000-000050020000}"/>
    <cellStyle name="COL HEADINGS 2 3 3 6" xfId="39030" xr:uid="{00000000-0005-0000-0000-000050020000}"/>
    <cellStyle name="COL HEADINGS 2 3 4" xfId="4192" xr:uid="{00000000-0005-0000-0000-000050020000}"/>
    <cellStyle name="COL HEADINGS 2 3 4 2" xfId="10841" xr:uid="{00000000-0005-0000-0000-000050020000}"/>
    <cellStyle name="COL HEADINGS 2 3 4 2 2" xfId="29512" xr:uid="{00000000-0005-0000-0000-000050020000}"/>
    <cellStyle name="COL HEADINGS 2 3 4 2 3" xfId="47875" xr:uid="{00000000-0005-0000-0000-000050020000}"/>
    <cellStyle name="COL HEADINGS 2 3 4 3" xfId="14938" xr:uid="{00000000-0005-0000-0000-000050020000}"/>
    <cellStyle name="COL HEADINGS 2 3 4 3 2" xfId="33342" xr:uid="{00000000-0005-0000-0000-000050020000}"/>
    <cellStyle name="COL HEADINGS 2 3 4 3 3" xfId="51705" xr:uid="{00000000-0005-0000-0000-000050020000}"/>
    <cellStyle name="COL HEADINGS 2 3 4 4" xfId="24071" xr:uid="{00000000-0005-0000-0000-000050020000}"/>
    <cellStyle name="COL HEADINGS 2 3 4 4 2" xfId="42440" xr:uid="{00000000-0005-0000-0000-000050020000}"/>
    <cellStyle name="COL HEADINGS 2 3 4 5" xfId="20391" xr:uid="{00000000-0005-0000-0000-000050020000}"/>
    <cellStyle name="COL HEADINGS 2 3 4 6" xfId="38789" xr:uid="{00000000-0005-0000-0000-000050020000}"/>
    <cellStyle name="COL HEADINGS 2 3 5" xfId="9174" xr:uid="{00000000-0005-0000-0000-000050020000}"/>
    <cellStyle name="COL HEADINGS 2 3 5 2" xfId="13232" xr:uid="{00000000-0005-0000-0000-000050020000}"/>
    <cellStyle name="COL HEADINGS 2 3 5 2 2" xfId="31653" xr:uid="{00000000-0005-0000-0000-000050020000}"/>
    <cellStyle name="COL HEADINGS 2 3 5 2 3" xfId="50016" xr:uid="{00000000-0005-0000-0000-000050020000}"/>
    <cellStyle name="COL HEADINGS 2 3 5 3" xfId="27895" xr:uid="{00000000-0005-0000-0000-000050020000}"/>
    <cellStyle name="COL HEADINGS 2 3 5 3 2" xfId="46258" xr:uid="{00000000-0005-0000-0000-000050020000}"/>
    <cellStyle name="COL HEADINGS 2 3 5 4" xfId="18183" xr:uid="{00000000-0005-0000-0000-000050020000}"/>
    <cellStyle name="COL HEADINGS 2 3 5 5" xfId="36589" xr:uid="{00000000-0005-0000-0000-000050020000}"/>
    <cellStyle name="COL HEADINGS 2 3 6" xfId="7724" xr:uid="{00000000-0005-0000-0000-000050020000}"/>
    <cellStyle name="COL HEADINGS 2 3 6 2" xfId="27001" xr:uid="{00000000-0005-0000-0000-000050020000}"/>
    <cellStyle name="COL HEADINGS 2 3 6 3" xfId="45366" xr:uid="{00000000-0005-0000-0000-000050020000}"/>
    <cellStyle name="COL HEADINGS 2 3 7" xfId="7387" xr:uid="{00000000-0005-0000-0000-000050020000}"/>
    <cellStyle name="COL HEADINGS 2 3 7 2" xfId="26787" xr:uid="{00000000-0005-0000-0000-000050020000}"/>
    <cellStyle name="COL HEADINGS 2 3 7 3" xfId="45155" xr:uid="{00000000-0005-0000-0000-000050020000}"/>
    <cellStyle name="COL HEADINGS 2 3 8" xfId="17899" xr:uid="{00000000-0005-0000-0000-000050020000}"/>
    <cellStyle name="COL HEADINGS 2 3 8 2" xfId="36309" xr:uid="{00000000-0005-0000-0000-000050020000}"/>
    <cellStyle name="COL HEADINGS 2 3 9" xfId="7237" xr:uid="{00000000-0005-0000-0000-000050020000}"/>
    <cellStyle name="COL HEADINGS 2 4" xfId="1903" xr:uid="{00000000-0005-0000-0000-000051020000}"/>
    <cellStyle name="COL HEADINGS 2 4 10" xfId="7333" xr:uid="{00000000-0005-0000-0000-000051020000}"/>
    <cellStyle name="COL HEADINGS 2 4 2" xfId="3721" xr:uid="{00000000-0005-0000-0000-000051020000}"/>
    <cellStyle name="COL HEADINGS 2 4 2 2" xfId="5894" xr:uid="{00000000-0005-0000-0000-000051020000}"/>
    <cellStyle name="COL HEADINGS 2 4 2 2 2" xfId="12258" xr:uid="{00000000-0005-0000-0000-000051020000}"/>
    <cellStyle name="COL HEADINGS 2 4 2 2 2 2" xfId="30705" xr:uid="{00000000-0005-0000-0000-000051020000}"/>
    <cellStyle name="COL HEADINGS 2 4 2 2 2 3" xfId="49068" xr:uid="{00000000-0005-0000-0000-000051020000}"/>
    <cellStyle name="COL HEADINGS 2 4 2 2 3" xfId="16584" xr:uid="{00000000-0005-0000-0000-000051020000}"/>
    <cellStyle name="COL HEADINGS 2 4 2 2 3 2" xfId="34956" xr:uid="{00000000-0005-0000-0000-000051020000}"/>
    <cellStyle name="COL HEADINGS 2 4 2 2 3 3" xfId="53319" xr:uid="{00000000-0005-0000-0000-000051020000}"/>
    <cellStyle name="COL HEADINGS 2 4 2 2 4" xfId="25703" xr:uid="{00000000-0005-0000-0000-000051020000}"/>
    <cellStyle name="COL HEADINGS 2 4 2 2 4 2" xfId="44072" xr:uid="{00000000-0005-0000-0000-000051020000}"/>
    <cellStyle name="COL HEADINGS 2 4 2 2 5" xfId="22024" xr:uid="{00000000-0005-0000-0000-000051020000}"/>
    <cellStyle name="COL HEADINGS 2 4 2 2 6" xfId="40403" xr:uid="{00000000-0005-0000-0000-000051020000}"/>
    <cellStyle name="COL HEADINGS 2 4 2 3" xfId="6720" xr:uid="{00000000-0005-0000-0000-000051020000}"/>
    <cellStyle name="COL HEADINGS 2 4 2 3 2" xfId="13011" xr:uid="{00000000-0005-0000-0000-000051020000}"/>
    <cellStyle name="COL HEADINGS 2 4 2 3 2 2" xfId="31437" xr:uid="{00000000-0005-0000-0000-000051020000}"/>
    <cellStyle name="COL HEADINGS 2 4 2 3 2 3" xfId="49800" xr:uid="{00000000-0005-0000-0000-000051020000}"/>
    <cellStyle name="COL HEADINGS 2 4 2 3 3" xfId="17322" xr:uid="{00000000-0005-0000-0000-000051020000}"/>
    <cellStyle name="COL HEADINGS 2 4 2 3 3 2" xfId="35670" xr:uid="{00000000-0005-0000-0000-000051020000}"/>
    <cellStyle name="COL HEADINGS 2 4 2 3 3 3" xfId="54033" xr:uid="{00000000-0005-0000-0000-000051020000}"/>
    <cellStyle name="COL HEADINGS 2 4 2 3 4" xfId="26455" xr:uid="{00000000-0005-0000-0000-000051020000}"/>
    <cellStyle name="COL HEADINGS 2 4 2 3 4 2" xfId="44824" xr:uid="{00000000-0005-0000-0000-000051020000}"/>
    <cellStyle name="COL HEADINGS 2 4 2 3 5" xfId="22748" xr:uid="{00000000-0005-0000-0000-000051020000}"/>
    <cellStyle name="COL HEADINGS 2 4 2 3 6" xfId="41117" xr:uid="{00000000-0005-0000-0000-000051020000}"/>
    <cellStyle name="COL HEADINGS 2 4 2 4" xfId="10434" xr:uid="{00000000-0005-0000-0000-000051020000}"/>
    <cellStyle name="COL HEADINGS 2 4 2 4 2" xfId="14491" xr:uid="{00000000-0005-0000-0000-000051020000}"/>
    <cellStyle name="COL HEADINGS 2 4 2 4 2 2" xfId="32907" xr:uid="{00000000-0005-0000-0000-000051020000}"/>
    <cellStyle name="COL HEADINGS 2 4 2 4 2 3" xfId="51270" xr:uid="{00000000-0005-0000-0000-000051020000}"/>
    <cellStyle name="COL HEADINGS 2 4 2 4 3" xfId="29145" xr:uid="{00000000-0005-0000-0000-000051020000}"/>
    <cellStyle name="COL HEADINGS 2 4 2 4 3 2" xfId="47508" xr:uid="{00000000-0005-0000-0000-000051020000}"/>
    <cellStyle name="COL HEADINGS 2 4 2 4 4" xfId="19948" xr:uid="{00000000-0005-0000-0000-000051020000}"/>
    <cellStyle name="COL HEADINGS 2 4 2 4 5" xfId="38354" xr:uid="{00000000-0005-0000-0000-000051020000}"/>
    <cellStyle name="COL HEADINGS 2 4 2 5" xfId="9650" xr:uid="{00000000-0005-0000-0000-000051020000}"/>
    <cellStyle name="COL HEADINGS 2 4 2 5 2" xfId="28366" xr:uid="{00000000-0005-0000-0000-000051020000}"/>
    <cellStyle name="COL HEADINGS 2 4 2 5 3" xfId="46729" xr:uid="{00000000-0005-0000-0000-000051020000}"/>
    <cellStyle name="COL HEADINGS 2 4 2 6" xfId="13707" xr:uid="{00000000-0005-0000-0000-000051020000}"/>
    <cellStyle name="COL HEADINGS 2 4 2 6 2" xfId="32128" xr:uid="{00000000-0005-0000-0000-000051020000}"/>
    <cellStyle name="COL HEADINGS 2 4 2 6 3" xfId="50491" xr:uid="{00000000-0005-0000-0000-000051020000}"/>
    <cellStyle name="COL HEADINGS 2 4 2 7" xfId="23629" xr:uid="{00000000-0005-0000-0000-000051020000}"/>
    <cellStyle name="COL HEADINGS 2 4 2 7 2" xfId="41998" xr:uid="{00000000-0005-0000-0000-000051020000}"/>
    <cellStyle name="COL HEADINGS 2 4 2 8" xfId="18775" xr:uid="{00000000-0005-0000-0000-000051020000}"/>
    <cellStyle name="COL HEADINGS 2 4 2 9" xfId="37184" xr:uid="{00000000-0005-0000-0000-000051020000}"/>
    <cellStyle name="COL HEADINGS 2 4 3" xfId="4814" xr:uid="{00000000-0005-0000-0000-000051020000}"/>
    <cellStyle name="COL HEADINGS 2 4 3 2" xfId="11375" xr:uid="{00000000-0005-0000-0000-000051020000}"/>
    <cellStyle name="COL HEADINGS 2 4 3 2 2" xfId="29967" xr:uid="{00000000-0005-0000-0000-000051020000}"/>
    <cellStyle name="COL HEADINGS 2 4 3 2 3" xfId="48330" xr:uid="{00000000-0005-0000-0000-000051020000}"/>
    <cellStyle name="COL HEADINGS 2 4 3 3" xfId="15540" xr:uid="{00000000-0005-0000-0000-000051020000}"/>
    <cellStyle name="COL HEADINGS 2 4 3 3 2" xfId="33933" xr:uid="{00000000-0005-0000-0000-000051020000}"/>
    <cellStyle name="COL HEADINGS 2 4 3 3 3" xfId="52296" xr:uid="{00000000-0005-0000-0000-000051020000}"/>
    <cellStyle name="COL HEADINGS 2 4 3 4" xfId="24664" xr:uid="{00000000-0005-0000-0000-000051020000}"/>
    <cellStyle name="COL HEADINGS 2 4 3 4 2" xfId="43033" xr:uid="{00000000-0005-0000-0000-000051020000}"/>
    <cellStyle name="COL HEADINGS 2 4 3 5" xfId="20991" xr:uid="{00000000-0005-0000-0000-000051020000}"/>
    <cellStyle name="COL HEADINGS 2 4 3 6" xfId="39380" xr:uid="{00000000-0005-0000-0000-000051020000}"/>
    <cellStyle name="COL HEADINGS 2 4 4" xfId="4365" xr:uid="{00000000-0005-0000-0000-000051020000}"/>
    <cellStyle name="COL HEADINGS 2 4 4 2" xfId="10968" xr:uid="{00000000-0005-0000-0000-000051020000}"/>
    <cellStyle name="COL HEADINGS 2 4 4 2 2" xfId="29593" xr:uid="{00000000-0005-0000-0000-000051020000}"/>
    <cellStyle name="COL HEADINGS 2 4 4 2 3" xfId="47956" xr:uid="{00000000-0005-0000-0000-000051020000}"/>
    <cellStyle name="COL HEADINGS 2 4 4 3" xfId="15104" xr:uid="{00000000-0005-0000-0000-000051020000}"/>
    <cellStyle name="COL HEADINGS 2 4 4 3 2" xfId="33504" xr:uid="{00000000-0005-0000-0000-000051020000}"/>
    <cellStyle name="COL HEADINGS 2 4 4 3 3" xfId="51867" xr:uid="{00000000-0005-0000-0000-000051020000}"/>
    <cellStyle name="COL HEADINGS 2 4 4 4" xfId="24234" xr:uid="{00000000-0005-0000-0000-000051020000}"/>
    <cellStyle name="COL HEADINGS 2 4 4 4 2" xfId="42603" xr:uid="{00000000-0005-0000-0000-000051020000}"/>
    <cellStyle name="COL HEADINGS 2 4 4 5" xfId="20557" xr:uid="{00000000-0005-0000-0000-000051020000}"/>
    <cellStyle name="COL HEADINGS 2 4 4 6" xfId="38951" xr:uid="{00000000-0005-0000-0000-000051020000}"/>
    <cellStyle name="COL HEADINGS 2 4 5" xfId="9044" xr:uid="{00000000-0005-0000-0000-000051020000}"/>
    <cellStyle name="COL HEADINGS 2 4 5 2" xfId="6911" xr:uid="{00000000-0005-0000-0000-000051020000}"/>
    <cellStyle name="COL HEADINGS 2 4 5 2 2" xfId="26646" xr:uid="{00000000-0005-0000-0000-000051020000}"/>
    <cellStyle name="COL HEADINGS 2 4 5 2 3" xfId="45015" xr:uid="{00000000-0005-0000-0000-000051020000}"/>
    <cellStyle name="COL HEADINGS 2 4 5 3" xfId="27770" xr:uid="{00000000-0005-0000-0000-000051020000}"/>
    <cellStyle name="COL HEADINGS 2 4 5 3 2" xfId="46133" xr:uid="{00000000-0005-0000-0000-000051020000}"/>
    <cellStyle name="COL HEADINGS 2 4 5 4" xfId="17939" xr:uid="{00000000-0005-0000-0000-000051020000}"/>
    <cellStyle name="COL HEADINGS 2 4 5 5" xfId="36347" xr:uid="{00000000-0005-0000-0000-000051020000}"/>
    <cellStyle name="COL HEADINGS 2 4 6" xfId="8102" xr:uid="{00000000-0005-0000-0000-000051020000}"/>
    <cellStyle name="COL HEADINGS 2 4 6 2" xfId="27307" xr:uid="{00000000-0005-0000-0000-000051020000}"/>
    <cellStyle name="COL HEADINGS 2 4 6 3" xfId="45672" xr:uid="{00000000-0005-0000-0000-000051020000}"/>
    <cellStyle name="COL HEADINGS 2 4 7" xfId="7585" xr:uid="{00000000-0005-0000-0000-000051020000}"/>
    <cellStyle name="COL HEADINGS 2 4 7 2" xfId="26892" xr:uid="{00000000-0005-0000-0000-000051020000}"/>
    <cellStyle name="COL HEADINGS 2 4 7 3" xfId="45257" xr:uid="{00000000-0005-0000-0000-000051020000}"/>
    <cellStyle name="COL HEADINGS 2 4 8" xfId="19491" xr:uid="{00000000-0005-0000-0000-000051020000}"/>
    <cellStyle name="COL HEADINGS 2 4 8 2" xfId="37897" xr:uid="{00000000-0005-0000-0000-000051020000}"/>
    <cellStyle name="COL HEADINGS 2 4 9" xfId="10806" xr:uid="{00000000-0005-0000-0000-000051020000}"/>
    <cellStyle name="COL HEADINGS 2 5" xfId="2318" xr:uid="{00000000-0005-0000-0000-000052020000}"/>
    <cellStyle name="COL HEADINGS 2 5 10" xfId="7178" xr:uid="{00000000-0005-0000-0000-000052020000}"/>
    <cellStyle name="COL HEADINGS 2 5 2" xfId="3766" xr:uid="{00000000-0005-0000-0000-000052020000}"/>
    <cellStyle name="COL HEADINGS 2 5 2 2" xfId="5939" xr:uid="{00000000-0005-0000-0000-000052020000}"/>
    <cellStyle name="COL HEADINGS 2 5 2 2 2" xfId="12303" xr:uid="{00000000-0005-0000-0000-000052020000}"/>
    <cellStyle name="COL HEADINGS 2 5 2 2 2 2" xfId="30750" xr:uid="{00000000-0005-0000-0000-000052020000}"/>
    <cellStyle name="COL HEADINGS 2 5 2 2 2 3" xfId="49113" xr:uid="{00000000-0005-0000-0000-000052020000}"/>
    <cellStyle name="COL HEADINGS 2 5 2 2 3" xfId="16629" xr:uid="{00000000-0005-0000-0000-000052020000}"/>
    <cellStyle name="COL HEADINGS 2 5 2 2 3 2" xfId="35001" xr:uid="{00000000-0005-0000-0000-000052020000}"/>
    <cellStyle name="COL HEADINGS 2 5 2 2 3 3" xfId="53364" xr:uid="{00000000-0005-0000-0000-000052020000}"/>
    <cellStyle name="COL HEADINGS 2 5 2 2 4" xfId="25748" xr:uid="{00000000-0005-0000-0000-000052020000}"/>
    <cellStyle name="COL HEADINGS 2 5 2 2 4 2" xfId="44117" xr:uid="{00000000-0005-0000-0000-000052020000}"/>
    <cellStyle name="COL HEADINGS 2 5 2 2 5" xfId="22069" xr:uid="{00000000-0005-0000-0000-000052020000}"/>
    <cellStyle name="COL HEADINGS 2 5 2 2 6" xfId="40448" xr:uid="{00000000-0005-0000-0000-000052020000}"/>
    <cellStyle name="COL HEADINGS 2 5 2 3" xfId="6765" xr:uid="{00000000-0005-0000-0000-000052020000}"/>
    <cellStyle name="COL HEADINGS 2 5 2 3 2" xfId="13056" xr:uid="{00000000-0005-0000-0000-000052020000}"/>
    <cellStyle name="COL HEADINGS 2 5 2 3 2 2" xfId="31482" xr:uid="{00000000-0005-0000-0000-000052020000}"/>
    <cellStyle name="COL HEADINGS 2 5 2 3 2 3" xfId="49845" xr:uid="{00000000-0005-0000-0000-000052020000}"/>
    <cellStyle name="COL HEADINGS 2 5 2 3 3" xfId="17367" xr:uid="{00000000-0005-0000-0000-000052020000}"/>
    <cellStyle name="COL HEADINGS 2 5 2 3 3 2" xfId="35715" xr:uid="{00000000-0005-0000-0000-000052020000}"/>
    <cellStyle name="COL HEADINGS 2 5 2 3 3 3" xfId="54078" xr:uid="{00000000-0005-0000-0000-000052020000}"/>
    <cellStyle name="COL HEADINGS 2 5 2 3 4" xfId="26500" xr:uid="{00000000-0005-0000-0000-000052020000}"/>
    <cellStyle name="COL HEADINGS 2 5 2 3 4 2" xfId="44869" xr:uid="{00000000-0005-0000-0000-000052020000}"/>
    <cellStyle name="COL HEADINGS 2 5 2 3 5" xfId="22793" xr:uid="{00000000-0005-0000-0000-000052020000}"/>
    <cellStyle name="COL HEADINGS 2 5 2 3 6" xfId="41162" xr:uid="{00000000-0005-0000-0000-000052020000}"/>
    <cellStyle name="COL HEADINGS 2 5 2 4" xfId="10479" xr:uid="{00000000-0005-0000-0000-000052020000}"/>
    <cellStyle name="COL HEADINGS 2 5 2 4 2" xfId="14536" xr:uid="{00000000-0005-0000-0000-000052020000}"/>
    <cellStyle name="COL HEADINGS 2 5 2 4 2 2" xfId="32952" xr:uid="{00000000-0005-0000-0000-000052020000}"/>
    <cellStyle name="COL HEADINGS 2 5 2 4 2 3" xfId="51315" xr:uid="{00000000-0005-0000-0000-000052020000}"/>
    <cellStyle name="COL HEADINGS 2 5 2 4 3" xfId="29190" xr:uid="{00000000-0005-0000-0000-000052020000}"/>
    <cellStyle name="COL HEADINGS 2 5 2 4 3 2" xfId="47553" xr:uid="{00000000-0005-0000-0000-000052020000}"/>
    <cellStyle name="COL HEADINGS 2 5 2 4 4" xfId="19993" xr:uid="{00000000-0005-0000-0000-000052020000}"/>
    <cellStyle name="COL HEADINGS 2 5 2 4 5" xfId="38399" xr:uid="{00000000-0005-0000-0000-000052020000}"/>
    <cellStyle name="COL HEADINGS 2 5 2 5" xfId="9750" xr:uid="{00000000-0005-0000-0000-000052020000}"/>
    <cellStyle name="COL HEADINGS 2 5 2 5 2" xfId="28465" xr:uid="{00000000-0005-0000-0000-000052020000}"/>
    <cellStyle name="COL HEADINGS 2 5 2 5 3" xfId="46828" xr:uid="{00000000-0005-0000-0000-000052020000}"/>
    <cellStyle name="COL HEADINGS 2 5 2 6" xfId="13807" xr:uid="{00000000-0005-0000-0000-000052020000}"/>
    <cellStyle name="COL HEADINGS 2 5 2 6 2" xfId="32227" xr:uid="{00000000-0005-0000-0000-000052020000}"/>
    <cellStyle name="COL HEADINGS 2 5 2 6 3" xfId="50590" xr:uid="{00000000-0005-0000-0000-000052020000}"/>
    <cellStyle name="COL HEADINGS 2 5 2 7" xfId="23674" xr:uid="{00000000-0005-0000-0000-000052020000}"/>
    <cellStyle name="COL HEADINGS 2 5 2 7 2" xfId="42043" xr:uid="{00000000-0005-0000-0000-000052020000}"/>
    <cellStyle name="COL HEADINGS 2 5 2 8" xfId="18932" xr:uid="{00000000-0005-0000-0000-000052020000}"/>
    <cellStyle name="COL HEADINGS 2 5 2 9" xfId="37341" xr:uid="{00000000-0005-0000-0000-000052020000}"/>
    <cellStyle name="COL HEADINGS 2 5 3" xfId="4966" xr:uid="{00000000-0005-0000-0000-000052020000}"/>
    <cellStyle name="COL HEADINGS 2 5 3 2" xfId="11496" xr:uid="{00000000-0005-0000-0000-000052020000}"/>
    <cellStyle name="COL HEADINGS 2 5 3 2 2" xfId="30069" xr:uid="{00000000-0005-0000-0000-000052020000}"/>
    <cellStyle name="COL HEADINGS 2 5 3 2 3" xfId="48432" xr:uid="{00000000-0005-0000-0000-000052020000}"/>
    <cellStyle name="COL HEADINGS 2 5 3 3" xfId="15682" xr:uid="{00000000-0005-0000-0000-000052020000}"/>
    <cellStyle name="COL HEADINGS 2 5 3 3 2" xfId="34071" xr:uid="{00000000-0005-0000-0000-000052020000}"/>
    <cellStyle name="COL HEADINGS 2 5 3 3 3" xfId="52434" xr:uid="{00000000-0005-0000-0000-000052020000}"/>
    <cellStyle name="COL HEADINGS 2 5 3 4" xfId="24806" xr:uid="{00000000-0005-0000-0000-000052020000}"/>
    <cellStyle name="COL HEADINGS 2 5 3 4 2" xfId="43175" xr:uid="{00000000-0005-0000-0000-000052020000}"/>
    <cellStyle name="COL HEADINGS 2 5 3 5" xfId="21131" xr:uid="{00000000-0005-0000-0000-000052020000}"/>
    <cellStyle name="COL HEADINGS 2 5 3 6" xfId="39518" xr:uid="{00000000-0005-0000-0000-000052020000}"/>
    <cellStyle name="COL HEADINGS 2 5 4" xfId="6106" xr:uid="{00000000-0005-0000-0000-000052020000}"/>
    <cellStyle name="COL HEADINGS 2 5 4 2" xfId="12460" xr:uid="{00000000-0005-0000-0000-000052020000}"/>
    <cellStyle name="COL HEADINGS 2 5 4 2 2" xfId="30900" xr:uid="{00000000-0005-0000-0000-000052020000}"/>
    <cellStyle name="COL HEADINGS 2 5 4 2 3" xfId="49263" xr:uid="{00000000-0005-0000-0000-000052020000}"/>
    <cellStyle name="COL HEADINGS 2 5 4 3" xfId="16779" xr:uid="{00000000-0005-0000-0000-000052020000}"/>
    <cellStyle name="COL HEADINGS 2 5 4 3 2" xfId="35148" xr:uid="{00000000-0005-0000-0000-000052020000}"/>
    <cellStyle name="COL HEADINGS 2 5 4 3 3" xfId="53511" xr:uid="{00000000-0005-0000-0000-000052020000}"/>
    <cellStyle name="COL HEADINGS 2 5 4 4" xfId="25902" xr:uid="{00000000-0005-0000-0000-000052020000}"/>
    <cellStyle name="COL HEADINGS 2 5 4 4 2" xfId="44271" xr:uid="{00000000-0005-0000-0000-000052020000}"/>
    <cellStyle name="COL HEADINGS 2 5 4 5" xfId="22218" xr:uid="{00000000-0005-0000-0000-000052020000}"/>
    <cellStyle name="COL HEADINGS 2 5 4 6" xfId="40595" xr:uid="{00000000-0005-0000-0000-000052020000}"/>
    <cellStyle name="COL HEADINGS 2 5 5" xfId="9273" xr:uid="{00000000-0005-0000-0000-000052020000}"/>
    <cellStyle name="COL HEADINGS 2 5 5 2" xfId="13330" xr:uid="{00000000-0005-0000-0000-000052020000}"/>
    <cellStyle name="COL HEADINGS 2 5 5 2 2" xfId="31751" xr:uid="{00000000-0005-0000-0000-000052020000}"/>
    <cellStyle name="COL HEADINGS 2 5 5 2 3" xfId="50114" xr:uid="{00000000-0005-0000-0000-000052020000}"/>
    <cellStyle name="COL HEADINGS 2 5 5 3" xfId="27993" xr:uid="{00000000-0005-0000-0000-000052020000}"/>
    <cellStyle name="COL HEADINGS 2 5 5 3 2" xfId="46356" xr:uid="{00000000-0005-0000-0000-000052020000}"/>
    <cellStyle name="COL HEADINGS 2 5 5 4" xfId="18333" xr:uid="{00000000-0005-0000-0000-000052020000}"/>
    <cellStyle name="COL HEADINGS 2 5 5 5" xfId="36739" xr:uid="{00000000-0005-0000-0000-000052020000}"/>
    <cellStyle name="COL HEADINGS 2 5 6" xfId="8359" xr:uid="{00000000-0005-0000-0000-000052020000}"/>
    <cellStyle name="COL HEADINGS 2 5 6 2" xfId="27426" xr:uid="{00000000-0005-0000-0000-000052020000}"/>
    <cellStyle name="COL HEADINGS 2 5 6 3" xfId="45790" xr:uid="{00000000-0005-0000-0000-000052020000}"/>
    <cellStyle name="COL HEADINGS 2 5 7" xfId="11589" xr:uid="{00000000-0005-0000-0000-000052020000}"/>
    <cellStyle name="COL HEADINGS 2 5 7 2" xfId="30157" xr:uid="{00000000-0005-0000-0000-000052020000}"/>
    <cellStyle name="COL HEADINGS 2 5 7 3" xfId="48520" xr:uid="{00000000-0005-0000-0000-000052020000}"/>
    <cellStyle name="COL HEADINGS 2 5 8" xfId="19056" xr:uid="{00000000-0005-0000-0000-000052020000}"/>
    <cellStyle name="COL HEADINGS 2 5 8 2" xfId="37465" xr:uid="{00000000-0005-0000-0000-000052020000}"/>
    <cellStyle name="COL HEADINGS 2 5 9" xfId="7244" xr:uid="{00000000-0005-0000-0000-000052020000}"/>
    <cellStyle name="COL HEADINGS 2 6" xfId="2768" xr:uid="{00000000-0005-0000-0000-000053020000}"/>
    <cellStyle name="COL HEADINGS 2 6 10" xfId="35911" xr:uid="{00000000-0005-0000-0000-000053020000}"/>
    <cellStyle name="COL HEADINGS 2 6 2" xfId="3809" xr:uid="{00000000-0005-0000-0000-000053020000}"/>
    <cellStyle name="COL HEADINGS 2 6 2 2" xfId="5982" xr:uid="{00000000-0005-0000-0000-000053020000}"/>
    <cellStyle name="COL HEADINGS 2 6 2 2 2" xfId="12346" xr:uid="{00000000-0005-0000-0000-000053020000}"/>
    <cellStyle name="COL HEADINGS 2 6 2 2 2 2" xfId="30793" xr:uid="{00000000-0005-0000-0000-000053020000}"/>
    <cellStyle name="COL HEADINGS 2 6 2 2 2 3" xfId="49156" xr:uid="{00000000-0005-0000-0000-000053020000}"/>
    <cellStyle name="COL HEADINGS 2 6 2 2 3" xfId="16672" xr:uid="{00000000-0005-0000-0000-000053020000}"/>
    <cellStyle name="COL HEADINGS 2 6 2 2 3 2" xfId="35044" xr:uid="{00000000-0005-0000-0000-000053020000}"/>
    <cellStyle name="COL HEADINGS 2 6 2 2 3 3" xfId="53407" xr:uid="{00000000-0005-0000-0000-000053020000}"/>
    <cellStyle name="COL HEADINGS 2 6 2 2 4" xfId="25791" xr:uid="{00000000-0005-0000-0000-000053020000}"/>
    <cellStyle name="COL HEADINGS 2 6 2 2 4 2" xfId="44160" xr:uid="{00000000-0005-0000-0000-000053020000}"/>
    <cellStyle name="COL HEADINGS 2 6 2 2 5" xfId="22112" xr:uid="{00000000-0005-0000-0000-000053020000}"/>
    <cellStyle name="COL HEADINGS 2 6 2 2 6" xfId="40491" xr:uid="{00000000-0005-0000-0000-000053020000}"/>
    <cellStyle name="COL HEADINGS 2 6 2 3" xfId="6808" xr:uid="{00000000-0005-0000-0000-000053020000}"/>
    <cellStyle name="COL HEADINGS 2 6 2 3 2" xfId="13099" xr:uid="{00000000-0005-0000-0000-000053020000}"/>
    <cellStyle name="COL HEADINGS 2 6 2 3 2 2" xfId="31525" xr:uid="{00000000-0005-0000-0000-000053020000}"/>
    <cellStyle name="COL HEADINGS 2 6 2 3 2 3" xfId="49888" xr:uid="{00000000-0005-0000-0000-000053020000}"/>
    <cellStyle name="COL HEADINGS 2 6 2 3 3" xfId="17410" xr:uid="{00000000-0005-0000-0000-000053020000}"/>
    <cellStyle name="COL HEADINGS 2 6 2 3 3 2" xfId="35758" xr:uid="{00000000-0005-0000-0000-000053020000}"/>
    <cellStyle name="COL HEADINGS 2 6 2 3 3 3" xfId="54121" xr:uid="{00000000-0005-0000-0000-000053020000}"/>
    <cellStyle name="COL HEADINGS 2 6 2 3 4" xfId="26543" xr:uid="{00000000-0005-0000-0000-000053020000}"/>
    <cellStyle name="COL HEADINGS 2 6 2 3 4 2" xfId="44912" xr:uid="{00000000-0005-0000-0000-000053020000}"/>
    <cellStyle name="COL HEADINGS 2 6 2 3 5" xfId="22836" xr:uid="{00000000-0005-0000-0000-000053020000}"/>
    <cellStyle name="COL HEADINGS 2 6 2 3 6" xfId="41205" xr:uid="{00000000-0005-0000-0000-000053020000}"/>
    <cellStyle name="COL HEADINGS 2 6 2 4" xfId="10522" xr:uid="{00000000-0005-0000-0000-000053020000}"/>
    <cellStyle name="COL HEADINGS 2 6 2 4 2" xfId="14579" xr:uid="{00000000-0005-0000-0000-000053020000}"/>
    <cellStyle name="COL HEADINGS 2 6 2 4 2 2" xfId="32995" xr:uid="{00000000-0005-0000-0000-000053020000}"/>
    <cellStyle name="COL HEADINGS 2 6 2 4 2 3" xfId="51358" xr:uid="{00000000-0005-0000-0000-000053020000}"/>
    <cellStyle name="COL HEADINGS 2 6 2 4 3" xfId="29233" xr:uid="{00000000-0005-0000-0000-000053020000}"/>
    <cellStyle name="COL HEADINGS 2 6 2 4 3 2" xfId="47596" xr:uid="{00000000-0005-0000-0000-000053020000}"/>
    <cellStyle name="COL HEADINGS 2 6 2 4 4" xfId="20036" xr:uid="{00000000-0005-0000-0000-000053020000}"/>
    <cellStyle name="COL HEADINGS 2 6 2 4 5" xfId="38442" xr:uid="{00000000-0005-0000-0000-000053020000}"/>
    <cellStyle name="COL HEADINGS 2 6 2 5" xfId="9853" xr:uid="{00000000-0005-0000-0000-000053020000}"/>
    <cellStyle name="COL HEADINGS 2 6 2 5 2" xfId="28567" xr:uid="{00000000-0005-0000-0000-000053020000}"/>
    <cellStyle name="COL HEADINGS 2 6 2 5 3" xfId="46930" xr:uid="{00000000-0005-0000-0000-000053020000}"/>
    <cellStyle name="COL HEADINGS 2 6 2 6" xfId="13911" xr:uid="{00000000-0005-0000-0000-000053020000}"/>
    <cellStyle name="COL HEADINGS 2 6 2 6 2" xfId="32329" xr:uid="{00000000-0005-0000-0000-000053020000}"/>
    <cellStyle name="COL HEADINGS 2 6 2 6 3" xfId="50692" xr:uid="{00000000-0005-0000-0000-000053020000}"/>
    <cellStyle name="COL HEADINGS 2 6 2 7" xfId="23717" xr:uid="{00000000-0005-0000-0000-000053020000}"/>
    <cellStyle name="COL HEADINGS 2 6 2 7 2" xfId="42086" xr:uid="{00000000-0005-0000-0000-000053020000}"/>
    <cellStyle name="COL HEADINGS 2 6 2 8" xfId="19107" xr:uid="{00000000-0005-0000-0000-000053020000}"/>
    <cellStyle name="COL HEADINGS 2 6 2 9" xfId="37515" xr:uid="{00000000-0005-0000-0000-000053020000}"/>
    <cellStyle name="COL HEADINGS 2 6 3" xfId="5129" xr:uid="{00000000-0005-0000-0000-000053020000}"/>
    <cellStyle name="COL HEADINGS 2 6 3 2" xfId="11634" xr:uid="{00000000-0005-0000-0000-000053020000}"/>
    <cellStyle name="COL HEADINGS 2 6 3 2 2" xfId="30183" xr:uid="{00000000-0005-0000-0000-000053020000}"/>
    <cellStyle name="COL HEADINGS 2 6 3 2 3" xfId="48546" xr:uid="{00000000-0005-0000-0000-000053020000}"/>
    <cellStyle name="COL HEADINGS 2 6 3 3" xfId="15833" xr:uid="{00000000-0005-0000-0000-000053020000}"/>
    <cellStyle name="COL HEADINGS 2 6 3 3 2" xfId="34217" xr:uid="{00000000-0005-0000-0000-000053020000}"/>
    <cellStyle name="COL HEADINGS 2 6 3 3 3" xfId="52580" xr:uid="{00000000-0005-0000-0000-000053020000}"/>
    <cellStyle name="COL HEADINGS 2 6 3 4" xfId="24956" xr:uid="{00000000-0005-0000-0000-000053020000}"/>
    <cellStyle name="COL HEADINGS 2 6 3 4 2" xfId="43325" xr:uid="{00000000-0005-0000-0000-000053020000}"/>
    <cellStyle name="COL HEADINGS 2 6 3 5" xfId="21279" xr:uid="{00000000-0005-0000-0000-000053020000}"/>
    <cellStyle name="COL HEADINGS 2 6 3 6" xfId="39664" xr:uid="{00000000-0005-0000-0000-000053020000}"/>
    <cellStyle name="COL HEADINGS 2 6 4" xfId="6182" xr:uid="{00000000-0005-0000-0000-000053020000}"/>
    <cellStyle name="COL HEADINGS 2 6 4 2" xfId="12517" xr:uid="{00000000-0005-0000-0000-000053020000}"/>
    <cellStyle name="COL HEADINGS 2 6 4 2 2" xfId="30949" xr:uid="{00000000-0005-0000-0000-000053020000}"/>
    <cellStyle name="COL HEADINGS 2 6 4 2 3" xfId="49312" xr:uid="{00000000-0005-0000-0000-000053020000}"/>
    <cellStyle name="COL HEADINGS 2 6 4 3" xfId="16832" xr:uid="{00000000-0005-0000-0000-000053020000}"/>
    <cellStyle name="COL HEADINGS 2 6 4 3 2" xfId="35192" xr:uid="{00000000-0005-0000-0000-000053020000}"/>
    <cellStyle name="COL HEADINGS 2 6 4 3 3" xfId="53555" xr:uid="{00000000-0005-0000-0000-000053020000}"/>
    <cellStyle name="COL HEADINGS 2 6 4 4" xfId="25959" xr:uid="{00000000-0005-0000-0000-000053020000}"/>
    <cellStyle name="COL HEADINGS 2 6 4 4 2" xfId="44328" xr:uid="{00000000-0005-0000-0000-000053020000}"/>
    <cellStyle name="COL HEADINGS 2 6 4 5" xfId="22266" xr:uid="{00000000-0005-0000-0000-000053020000}"/>
    <cellStyle name="COL HEADINGS 2 6 4 6" xfId="40639" xr:uid="{00000000-0005-0000-0000-000053020000}"/>
    <cellStyle name="COL HEADINGS 2 6 5" xfId="10014" xr:uid="{00000000-0005-0000-0000-000053020000}"/>
    <cellStyle name="COL HEADINGS 2 6 5 2" xfId="14071" xr:uid="{00000000-0005-0000-0000-000053020000}"/>
    <cellStyle name="COL HEADINGS 2 6 5 2 2" xfId="32488" xr:uid="{00000000-0005-0000-0000-000053020000}"/>
    <cellStyle name="COL HEADINGS 2 6 5 2 3" xfId="50851" xr:uid="{00000000-0005-0000-0000-000053020000}"/>
    <cellStyle name="COL HEADINGS 2 6 5 3" xfId="28726" xr:uid="{00000000-0005-0000-0000-000053020000}"/>
    <cellStyle name="COL HEADINGS 2 6 5 3 2" xfId="47089" xr:uid="{00000000-0005-0000-0000-000053020000}"/>
    <cellStyle name="COL HEADINGS 2 6 5 4" xfId="19392" xr:uid="{00000000-0005-0000-0000-000053020000}"/>
    <cellStyle name="COL HEADINGS 2 6 5 5" xfId="37799" xr:uid="{00000000-0005-0000-0000-000053020000}"/>
    <cellStyle name="COL HEADINGS 2 6 6" xfId="8638" xr:uid="{00000000-0005-0000-0000-000053020000}"/>
    <cellStyle name="COL HEADINGS 2 6 6 2" xfId="27548" xr:uid="{00000000-0005-0000-0000-000053020000}"/>
    <cellStyle name="COL HEADINGS 2 6 6 3" xfId="45912" xr:uid="{00000000-0005-0000-0000-000053020000}"/>
    <cellStyle name="COL HEADINGS 2 6 7" xfId="8923" xr:uid="{00000000-0005-0000-0000-000053020000}"/>
    <cellStyle name="COL HEADINGS 2 6 7 2" xfId="27696" xr:uid="{00000000-0005-0000-0000-000053020000}"/>
    <cellStyle name="COL HEADINGS 2 6 7 3" xfId="46059" xr:uid="{00000000-0005-0000-0000-000053020000}"/>
    <cellStyle name="COL HEADINGS 2 6 8" xfId="18140" xr:uid="{00000000-0005-0000-0000-000053020000}"/>
    <cellStyle name="COL HEADINGS 2 6 8 2" xfId="36547" xr:uid="{00000000-0005-0000-0000-000053020000}"/>
    <cellStyle name="COL HEADINGS 2 6 9" xfId="8097" xr:uid="{00000000-0005-0000-0000-000053020000}"/>
    <cellStyle name="COL HEADINGS 2 7" xfId="3342" xr:uid="{00000000-0005-0000-0000-000045020000}"/>
    <cellStyle name="COL HEADINGS 2 7 2" xfId="5517" xr:uid="{00000000-0005-0000-0000-000045020000}"/>
    <cellStyle name="COL HEADINGS 2 7 2 2" xfId="11881" xr:uid="{00000000-0005-0000-0000-000045020000}"/>
    <cellStyle name="COL HEADINGS 2 7 2 2 2" xfId="30328" xr:uid="{00000000-0005-0000-0000-000045020000}"/>
    <cellStyle name="COL HEADINGS 2 7 2 2 3" xfId="48691" xr:uid="{00000000-0005-0000-0000-000045020000}"/>
    <cellStyle name="COL HEADINGS 2 7 2 3" xfId="16207" xr:uid="{00000000-0005-0000-0000-000045020000}"/>
    <cellStyle name="COL HEADINGS 2 7 2 3 2" xfId="34579" xr:uid="{00000000-0005-0000-0000-000045020000}"/>
    <cellStyle name="COL HEADINGS 2 7 2 3 3" xfId="52942" xr:uid="{00000000-0005-0000-0000-000045020000}"/>
    <cellStyle name="COL HEADINGS 2 7 2 4" xfId="25326" xr:uid="{00000000-0005-0000-0000-000045020000}"/>
    <cellStyle name="COL HEADINGS 2 7 2 4 2" xfId="43695" xr:uid="{00000000-0005-0000-0000-000045020000}"/>
    <cellStyle name="COL HEADINGS 2 7 2 5" xfId="21647" xr:uid="{00000000-0005-0000-0000-000045020000}"/>
    <cellStyle name="COL HEADINGS 2 7 2 6" xfId="40026" xr:uid="{00000000-0005-0000-0000-000045020000}"/>
    <cellStyle name="COL HEADINGS 2 7 3" xfId="6341" xr:uid="{00000000-0005-0000-0000-000045020000}"/>
    <cellStyle name="COL HEADINGS 2 7 3 2" xfId="12632" xr:uid="{00000000-0005-0000-0000-000045020000}"/>
    <cellStyle name="COL HEADINGS 2 7 3 2 2" xfId="31058" xr:uid="{00000000-0005-0000-0000-000045020000}"/>
    <cellStyle name="COL HEADINGS 2 7 3 2 3" xfId="49421" xr:uid="{00000000-0005-0000-0000-000045020000}"/>
    <cellStyle name="COL HEADINGS 2 7 3 3" xfId="16943" xr:uid="{00000000-0005-0000-0000-000045020000}"/>
    <cellStyle name="COL HEADINGS 2 7 3 3 2" xfId="35291" xr:uid="{00000000-0005-0000-0000-000045020000}"/>
    <cellStyle name="COL HEADINGS 2 7 3 3 3" xfId="53654" xr:uid="{00000000-0005-0000-0000-000045020000}"/>
    <cellStyle name="COL HEADINGS 2 7 3 4" xfId="26076" xr:uid="{00000000-0005-0000-0000-000045020000}"/>
    <cellStyle name="COL HEADINGS 2 7 3 4 2" xfId="44445" xr:uid="{00000000-0005-0000-0000-000045020000}"/>
    <cellStyle name="COL HEADINGS 2 7 3 5" xfId="22369" xr:uid="{00000000-0005-0000-0000-000045020000}"/>
    <cellStyle name="COL HEADINGS 2 7 3 6" xfId="40738" xr:uid="{00000000-0005-0000-0000-000045020000}"/>
    <cellStyle name="COL HEADINGS 2 7 4" xfId="10055" xr:uid="{00000000-0005-0000-0000-000045020000}"/>
    <cellStyle name="COL HEADINGS 2 7 4 2" xfId="14112" xr:uid="{00000000-0005-0000-0000-000045020000}"/>
    <cellStyle name="COL HEADINGS 2 7 4 2 2" xfId="32528" xr:uid="{00000000-0005-0000-0000-000045020000}"/>
    <cellStyle name="COL HEADINGS 2 7 4 2 3" xfId="50891" xr:uid="{00000000-0005-0000-0000-000045020000}"/>
    <cellStyle name="COL HEADINGS 2 7 4 3" xfId="28766" xr:uid="{00000000-0005-0000-0000-000045020000}"/>
    <cellStyle name="COL HEADINGS 2 7 4 3 2" xfId="47129" xr:uid="{00000000-0005-0000-0000-000045020000}"/>
    <cellStyle name="COL HEADINGS 2 7 4 4" xfId="19569" xr:uid="{00000000-0005-0000-0000-000045020000}"/>
    <cellStyle name="COL HEADINGS 2 7 4 5" xfId="37975" xr:uid="{00000000-0005-0000-0000-000045020000}"/>
    <cellStyle name="COL HEADINGS 2 7 5" xfId="9180" xr:uid="{00000000-0005-0000-0000-000045020000}"/>
    <cellStyle name="COL HEADINGS 2 7 5 2" xfId="27901" xr:uid="{00000000-0005-0000-0000-000045020000}"/>
    <cellStyle name="COL HEADINGS 2 7 5 3" xfId="46264" xr:uid="{00000000-0005-0000-0000-000045020000}"/>
    <cellStyle name="COL HEADINGS 2 7 6" xfId="13238" xr:uid="{00000000-0005-0000-0000-000045020000}"/>
    <cellStyle name="COL HEADINGS 2 7 6 2" xfId="31659" xr:uid="{00000000-0005-0000-0000-000045020000}"/>
    <cellStyle name="COL HEADINGS 2 7 6 3" xfId="50022" xr:uid="{00000000-0005-0000-0000-000045020000}"/>
    <cellStyle name="COL HEADINGS 2 7 7" xfId="23250" xr:uid="{00000000-0005-0000-0000-000045020000}"/>
    <cellStyle name="COL HEADINGS 2 7 7 2" xfId="41619" xr:uid="{00000000-0005-0000-0000-000045020000}"/>
    <cellStyle name="COL HEADINGS 2 7 8" xfId="18195" xr:uid="{00000000-0005-0000-0000-000045020000}"/>
    <cellStyle name="COL HEADINGS 2 7 9" xfId="36601" xr:uid="{00000000-0005-0000-0000-000045020000}"/>
    <cellStyle name="COL HEADINGS 2 8" xfId="4174" xr:uid="{00000000-0005-0000-0000-000045020000}"/>
    <cellStyle name="COL HEADINGS 2 8 2" xfId="10826" xr:uid="{00000000-0005-0000-0000-000045020000}"/>
    <cellStyle name="COL HEADINGS 2 8 2 2" xfId="29498" xr:uid="{00000000-0005-0000-0000-000045020000}"/>
    <cellStyle name="COL HEADINGS 2 8 2 3" xfId="47861" xr:uid="{00000000-0005-0000-0000-000045020000}"/>
    <cellStyle name="COL HEADINGS 2 8 3" xfId="14920" xr:uid="{00000000-0005-0000-0000-000045020000}"/>
    <cellStyle name="COL HEADINGS 2 8 3 2" xfId="33324" xr:uid="{00000000-0005-0000-0000-000045020000}"/>
    <cellStyle name="COL HEADINGS 2 8 3 3" xfId="51687" xr:uid="{00000000-0005-0000-0000-000045020000}"/>
    <cellStyle name="COL HEADINGS 2 8 4" xfId="24053" xr:uid="{00000000-0005-0000-0000-000045020000}"/>
    <cellStyle name="COL HEADINGS 2 8 4 2" xfId="42422" xr:uid="{00000000-0005-0000-0000-000045020000}"/>
    <cellStyle name="COL HEADINGS 2 8 5" xfId="20373" xr:uid="{00000000-0005-0000-0000-000045020000}"/>
    <cellStyle name="COL HEADINGS 2 8 6" xfId="38771" xr:uid="{00000000-0005-0000-0000-000045020000}"/>
    <cellStyle name="COL HEADINGS 2 9" xfId="4150" xr:uid="{00000000-0005-0000-0000-000045020000}"/>
    <cellStyle name="COL HEADINGS 2 9 2" xfId="10810" xr:uid="{00000000-0005-0000-0000-000045020000}"/>
    <cellStyle name="COL HEADINGS 2 9 2 2" xfId="29482" xr:uid="{00000000-0005-0000-0000-000045020000}"/>
    <cellStyle name="COL HEADINGS 2 9 2 3" xfId="47845" xr:uid="{00000000-0005-0000-0000-000045020000}"/>
    <cellStyle name="COL HEADINGS 2 9 3" xfId="14903" xr:uid="{00000000-0005-0000-0000-000045020000}"/>
    <cellStyle name="COL HEADINGS 2 9 3 2" xfId="33309" xr:uid="{00000000-0005-0000-0000-000045020000}"/>
    <cellStyle name="COL HEADINGS 2 9 3 3" xfId="51672" xr:uid="{00000000-0005-0000-0000-000045020000}"/>
    <cellStyle name="COL HEADINGS 2 9 4" xfId="24034" xr:uid="{00000000-0005-0000-0000-000045020000}"/>
    <cellStyle name="COL HEADINGS 2 9 4 2" xfId="42403" xr:uid="{00000000-0005-0000-0000-000045020000}"/>
    <cellStyle name="COL HEADINGS 2 9 5" xfId="20357" xr:uid="{00000000-0005-0000-0000-000045020000}"/>
    <cellStyle name="COL HEADINGS 2 9 6" xfId="38756" xr:uid="{00000000-0005-0000-0000-000045020000}"/>
    <cellStyle name="COL HEADINGS 3" xfId="1867" xr:uid="{00000000-0005-0000-0000-000054020000}"/>
    <cellStyle name="COL HEADINGS 3 10" xfId="10791" xr:uid="{00000000-0005-0000-0000-000054020000}"/>
    <cellStyle name="COL HEADINGS 3 2" xfId="3712" xr:uid="{00000000-0005-0000-0000-000054020000}"/>
    <cellStyle name="COL HEADINGS 3 2 2" xfId="5885" xr:uid="{00000000-0005-0000-0000-000054020000}"/>
    <cellStyle name="COL HEADINGS 3 2 2 2" xfId="12249" xr:uid="{00000000-0005-0000-0000-000054020000}"/>
    <cellStyle name="COL HEADINGS 3 2 2 2 2" xfId="30696" xr:uid="{00000000-0005-0000-0000-000054020000}"/>
    <cellStyle name="COL HEADINGS 3 2 2 2 3" xfId="49059" xr:uid="{00000000-0005-0000-0000-000054020000}"/>
    <cellStyle name="COL HEADINGS 3 2 2 3" xfId="16575" xr:uid="{00000000-0005-0000-0000-000054020000}"/>
    <cellStyle name="COL HEADINGS 3 2 2 3 2" xfId="34947" xr:uid="{00000000-0005-0000-0000-000054020000}"/>
    <cellStyle name="COL HEADINGS 3 2 2 3 3" xfId="53310" xr:uid="{00000000-0005-0000-0000-000054020000}"/>
    <cellStyle name="COL HEADINGS 3 2 2 4" xfId="25694" xr:uid="{00000000-0005-0000-0000-000054020000}"/>
    <cellStyle name="COL HEADINGS 3 2 2 4 2" xfId="44063" xr:uid="{00000000-0005-0000-0000-000054020000}"/>
    <cellStyle name="COL HEADINGS 3 2 2 5" xfId="22015" xr:uid="{00000000-0005-0000-0000-000054020000}"/>
    <cellStyle name="COL HEADINGS 3 2 2 6" xfId="40394" xr:uid="{00000000-0005-0000-0000-000054020000}"/>
    <cellStyle name="COL HEADINGS 3 2 3" xfId="6711" xr:uid="{00000000-0005-0000-0000-000054020000}"/>
    <cellStyle name="COL HEADINGS 3 2 3 2" xfId="13002" xr:uid="{00000000-0005-0000-0000-000054020000}"/>
    <cellStyle name="COL HEADINGS 3 2 3 2 2" xfId="31428" xr:uid="{00000000-0005-0000-0000-000054020000}"/>
    <cellStyle name="COL HEADINGS 3 2 3 2 3" xfId="49791" xr:uid="{00000000-0005-0000-0000-000054020000}"/>
    <cellStyle name="COL HEADINGS 3 2 3 3" xfId="17313" xr:uid="{00000000-0005-0000-0000-000054020000}"/>
    <cellStyle name="COL HEADINGS 3 2 3 3 2" xfId="35661" xr:uid="{00000000-0005-0000-0000-000054020000}"/>
    <cellStyle name="COL HEADINGS 3 2 3 3 3" xfId="54024" xr:uid="{00000000-0005-0000-0000-000054020000}"/>
    <cellStyle name="COL HEADINGS 3 2 3 4" xfId="26446" xr:uid="{00000000-0005-0000-0000-000054020000}"/>
    <cellStyle name="COL HEADINGS 3 2 3 4 2" xfId="44815" xr:uid="{00000000-0005-0000-0000-000054020000}"/>
    <cellStyle name="COL HEADINGS 3 2 3 5" xfId="22739" xr:uid="{00000000-0005-0000-0000-000054020000}"/>
    <cellStyle name="COL HEADINGS 3 2 3 6" xfId="41108" xr:uid="{00000000-0005-0000-0000-000054020000}"/>
    <cellStyle name="COL HEADINGS 3 2 4" xfId="10425" xr:uid="{00000000-0005-0000-0000-000054020000}"/>
    <cellStyle name="COL HEADINGS 3 2 4 2" xfId="14482" xr:uid="{00000000-0005-0000-0000-000054020000}"/>
    <cellStyle name="COL HEADINGS 3 2 4 2 2" xfId="32898" xr:uid="{00000000-0005-0000-0000-000054020000}"/>
    <cellStyle name="COL HEADINGS 3 2 4 2 3" xfId="51261" xr:uid="{00000000-0005-0000-0000-000054020000}"/>
    <cellStyle name="COL HEADINGS 3 2 4 3" xfId="29136" xr:uid="{00000000-0005-0000-0000-000054020000}"/>
    <cellStyle name="COL HEADINGS 3 2 4 3 2" xfId="47499" xr:uid="{00000000-0005-0000-0000-000054020000}"/>
    <cellStyle name="COL HEADINGS 3 2 4 4" xfId="19939" xr:uid="{00000000-0005-0000-0000-000054020000}"/>
    <cellStyle name="COL HEADINGS 3 2 4 5" xfId="38345" xr:uid="{00000000-0005-0000-0000-000054020000}"/>
    <cellStyle name="COL HEADINGS 3 2 5" xfId="9639" xr:uid="{00000000-0005-0000-0000-000054020000}"/>
    <cellStyle name="COL HEADINGS 3 2 5 2" xfId="28355" xr:uid="{00000000-0005-0000-0000-000054020000}"/>
    <cellStyle name="COL HEADINGS 3 2 5 3" xfId="46718" xr:uid="{00000000-0005-0000-0000-000054020000}"/>
    <cellStyle name="COL HEADINGS 3 2 6" xfId="13696" xr:uid="{00000000-0005-0000-0000-000054020000}"/>
    <cellStyle name="COL HEADINGS 3 2 6 2" xfId="32117" xr:uid="{00000000-0005-0000-0000-000054020000}"/>
    <cellStyle name="COL HEADINGS 3 2 6 3" xfId="50480" xr:uid="{00000000-0005-0000-0000-000054020000}"/>
    <cellStyle name="COL HEADINGS 3 2 7" xfId="23620" xr:uid="{00000000-0005-0000-0000-000054020000}"/>
    <cellStyle name="COL HEADINGS 3 2 7 2" xfId="41989" xr:uid="{00000000-0005-0000-0000-000054020000}"/>
    <cellStyle name="COL HEADINGS 3 2 8" xfId="18756" xr:uid="{00000000-0005-0000-0000-000054020000}"/>
    <cellStyle name="COL HEADINGS 3 2 9" xfId="37165" xr:uid="{00000000-0005-0000-0000-000054020000}"/>
    <cellStyle name="COL HEADINGS 3 3" xfId="4791" xr:uid="{00000000-0005-0000-0000-000054020000}"/>
    <cellStyle name="COL HEADINGS 3 3 2" xfId="11358" xr:uid="{00000000-0005-0000-0000-000054020000}"/>
    <cellStyle name="COL HEADINGS 3 3 2 2" xfId="29953" xr:uid="{00000000-0005-0000-0000-000054020000}"/>
    <cellStyle name="COL HEADINGS 3 3 2 3" xfId="48316" xr:uid="{00000000-0005-0000-0000-000054020000}"/>
    <cellStyle name="COL HEADINGS 3 3 3" xfId="15517" xr:uid="{00000000-0005-0000-0000-000054020000}"/>
    <cellStyle name="COL HEADINGS 3 3 3 2" xfId="33910" xr:uid="{00000000-0005-0000-0000-000054020000}"/>
    <cellStyle name="COL HEADINGS 3 3 3 3" xfId="52273" xr:uid="{00000000-0005-0000-0000-000054020000}"/>
    <cellStyle name="COL HEADINGS 3 3 4" xfId="24641" xr:uid="{00000000-0005-0000-0000-000054020000}"/>
    <cellStyle name="COL HEADINGS 3 3 4 2" xfId="43010" xr:uid="{00000000-0005-0000-0000-000054020000}"/>
    <cellStyle name="COL HEADINGS 3 3 5" xfId="20968" xr:uid="{00000000-0005-0000-0000-000054020000}"/>
    <cellStyle name="COL HEADINGS 3 3 6" xfId="39357" xr:uid="{00000000-0005-0000-0000-000054020000}"/>
    <cellStyle name="COL HEADINGS 3 4" xfId="3925" xr:uid="{00000000-0005-0000-0000-000054020000}"/>
    <cellStyle name="COL HEADINGS 3 4 2" xfId="10633" xr:uid="{00000000-0005-0000-0000-000054020000}"/>
    <cellStyle name="COL HEADINGS 3 4 2 2" xfId="29343" xr:uid="{00000000-0005-0000-0000-000054020000}"/>
    <cellStyle name="COL HEADINGS 3 4 2 3" xfId="47706" xr:uid="{00000000-0005-0000-0000-000054020000}"/>
    <cellStyle name="COL HEADINGS 3 4 3" xfId="14690" xr:uid="{00000000-0005-0000-0000-000054020000}"/>
    <cellStyle name="COL HEADINGS 3 4 3 2" xfId="33103" xr:uid="{00000000-0005-0000-0000-000054020000}"/>
    <cellStyle name="COL HEADINGS 3 4 3 3" xfId="51466" xr:uid="{00000000-0005-0000-0000-000054020000}"/>
    <cellStyle name="COL HEADINGS 3 4 4" xfId="23827" xr:uid="{00000000-0005-0000-0000-000054020000}"/>
    <cellStyle name="COL HEADINGS 3 4 4 2" xfId="42196" xr:uid="{00000000-0005-0000-0000-000054020000}"/>
    <cellStyle name="COL HEADINGS 3 4 5" xfId="20145" xr:uid="{00000000-0005-0000-0000-000054020000}"/>
    <cellStyle name="COL HEADINGS 3 4 6" xfId="38550" xr:uid="{00000000-0005-0000-0000-000054020000}"/>
    <cellStyle name="COL HEADINGS 3 5" xfId="9048" xr:uid="{00000000-0005-0000-0000-000054020000}"/>
    <cellStyle name="COL HEADINGS 3 5 2" xfId="8419" xr:uid="{00000000-0005-0000-0000-000054020000}"/>
    <cellStyle name="COL HEADINGS 3 5 2 2" xfId="27480" xr:uid="{00000000-0005-0000-0000-000054020000}"/>
    <cellStyle name="COL HEADINGS 3 5 2 3" xfId="45844" xr:uid="{00000000-0005-0000-0000-000054020000}"/>
    <cellStyle name="COL HEADINGS 3 5 3" xfId="27774" xr:uid="{00000000-0005-0000-0000-000054020000}"/>
    <cellStyle name="COL HEADINGS 3 5 3 2" xfId="46137" xr:uid="{00000000-0005-0000-0000-000054020000}"/>
    <cellStyle name="COL HEADINGS 3 5 4" xfId="17944" xr:uid="{00000000-0005-0000-0000-000054020000}"/>
    <cellStyle name="COL HEADINGS 3 5 5" xfId="36352" xr:uid="{00000000-0005-0000-0000-000054020000}"/>
    <cellStyle name="COL HEADINGS 3 6" xfId="8076" xr:uid="{00000000-0005-0000-0000-000054020000}"/>
    <cellStyle name="COL HEADINGS 3 6 2" xfId="27286" xr:uid="{00000000-0005-0000-0000-000054020000}"/>
    <cellStyle name="COL HEADINGS 3 6 3" xfId="45651" xr:uid="{00000000-0005-0000-0000-000054020000}"/>
    <cellStyle name="COL HEADINGS 3 7" xfId="7615" xr:uid="{00000000-0005-0000-0000-000054020000}"/>
    <cellStyle name="COL HEADINGS 3 7 2" xfId="26911" xr:uid="{00000000-0005-0000-0000-000054020000}"/>
    <cellStyle name="COL HEADINGS 3 7 3" xfId="45276" xr:uid="{00000000-0005-0000-0000-000054020000}"/>
    <cellStyle name="COL HEADINGS 3 8" xfId="18620" xr:uid="{00000000-0005-0000-0000-000054020000}"/>
    <cellStyle name="COL HEADINGS 3 8 2" xfId="37030" xr:uid="{00000000-0005-0000-0000-000054020000}"/>
    <cellStyle name="COL HEADINGS 3 9" xfId="11466" xr:uid="{00000000-0005-0000-0000-000054020000}"/>
    <cellStyle name="COL HEADINGS 4" xfId="2013" xr:uid="{00000000-0005-0000-0000-000055020000}"/>
    <cellStyle name="COL HEADINGS 4 10" xfId="8575" xr:uid="{00000000-0005-0000-0000-000055020000}"/>
    <cellStyle name="COL HEADINGS 4 2" xfId="3749" xr:uid="{00000000-0005-0000-0000-000055020000}"/>
    <cellStyle name="COL HEADINGS 4 2 2" xfId="5922" xr:uid="{00000000-0005-0000-0000-000055020000}"/>
    <cellStyle name="COL HEADINGS 4 2 2 2" xfId="12286" xr:uid="{00000000-0005-0000-0000-000055020000}"/>
    <cellStyle name="COL HEADINGS 4 2 2 2 2" xfId="30733" xr:uid="{00000000-0005-0000-0000-000055020000}"/>
    <cellStyle name="COL HEADINGS 4 2 2 2 3" xfId="49096" xr:uid="{00000000-0005-0000-0000-000055020000}"/>
    <cellStyle name="COL HEADINGS 4 2 2 3" xfId="16612" xr:uid="{00000000-0005-0000-0000-000055020000}"/>
    <cellStyle name="COL HEADINGS 4 2 2 3 2" xfId="34984" xr:uid="{00000000-0005-0000-0000-000055020000}"/>
    <cellStyle name="COL HEADINGS 4 2 2 3 3" xfId="53347" xr:uid="{00000000-0005-0000-0000-000055020000}"/>
    <cellStyle name="COL HEADINGS 4 2 2 4" xfId="25731" xr:uid="{00000000-0005-0000-0000-000055020000}"/>
    <cellStyle name="COL HEADINGS 4 2 2 4 2" xfId="44100" xr:uid="{00000000-0005-0000-0000-000055020000}"/>
    <cellStyle name="COL HEADINGS 4 2 2 5" xfId="22052" xr:uid="{00000000-0005-0000-0000-000055020000}"/>
    <cellStyle name="COL HEADINGS 4 2 2 6" xfId="40431" xr:uid="{00000000-0005-0000-0000-000055020000}"/>
    <cellStyle name="COL HEADINGS 4 2 3" xfId="6748" xr:uid="{00000000-0005-0000-0000-000055020000}"/>
    <cellStyle name="COL HEADINGS 4 2 3 2" xfId="13039" xr:uid="{00000000-0005-0000-0000-000055020000}"/>
    <cellStyle name="COL HEADINGS 4 2 3 2 2" xfId="31465" xr:uid="{00000000-0005-0000-0000-000055020000}"/>
    <cellStyle name="COL HEADINGS 4 2 3 2 3" xfId="49828" xr:uid="{00000000-0005-0000-0000-000055020000}"/>
    <cellStyle name="COL HEADINGS 4 2 3 3" xfId="17350" xr:uid="{00000000-0005-0000-0000-000055020000}"/>
    <cellStyle name="COL HEADINGS 4 2 3 3 2" xfId="35698" xr:uid="{00000000-0005-0000-0000-000055020000}"/>
    <cellStyle name="COL HEADINGS 4 2 3 3 3" xfId="54061" xr:uid="{00000000-0005-0000-0000-000055020000}"/>
    <cellStyle name="COL HEADINGS 4 2 3 4" xfId="26483" xr:uid="{00000000-0005-0000-0000-000055020000}"/>
    <cellStyle name="COL HEADINGS 4 2 3 4 2" xfId="44852" xr:uid="{00000000-0005-0000-0000-000055020000}"/>
    <cellStyle name="COL HEADINGS 4 2 3 5" xfId="22776" xr:uid="{00000000-0005-0000-0000-000055020000}"/>
    <cellStyle name="COL HEADINGS 4 2 3 6" xfId="41145" xr:uid="{00000000-0005-0000-0000-000055020000}"/>
    <cellStyle name="COL HEADINGS 4 2 4" xfId="10462" xr:uid="{00000000-0005-0000-0000-000055020000}"/>
    <cellStyle name="COL HEADINGS 4 2 4 2" xfId="14519" xr:uid="{00000000-0005-0000-0000-000055020000}"/>
    <cellStyle name="COL HEADINGS 4 2 4 2 2" xfId="32935" xr:uid="{00000000-0005-0000-0000-000055020000}"/>
    <cellStyle name="COL HEADINGS 4 2 4 2 3" xfId="51298" xr:uid="{00000000-0005-0000-0000-000055020000}"/>
    <cellStyle name="COL HEADINGS 4 2 4 3" xfId="29173" xr:uid="{00000000-0005-0000-0000-000055020000}"/>
    <cellStyle name="COL HEADINGS 4 2 4 3 2" xfId="47536" xr:uid="{00000000-0005-0000-0000-000055020000}"/>
    <cellStyle name="COL HEADINGS 4 2 4 4" xfId="19976" xr:uid="{00000000-0005-0000-0000-000055020000}"/>
    <cellStyle name="COL HEADINGS 4 2 4 5" xfId="38382" xr:uid="{00000000-0005-0000-0000-000055020000}"/>
    <cellStyle name="COL HEADINGS 4 2 5" xfId="9686" xr:uid="{00000000-0005-0000-0000-000055020000}"/>
    <cellStyle name="COL HEADINGS 4 2 5 2" xfId="28402" xr:uid="{00000000-0005-0000-0000-000055020000}"/>
    <cellStyle name="COL HEADINGS 4 2 5 3" xfId="46765" xr:uid="{00000000-0005-0000-0000-000055020000}"/>
    <cellStyle name="COL HEADINGS 4 2 6" xfId="13743" xr:uid="{00000000-0005-0000-0000-000055020000}"/>
    <cellStyle name="COL HEADINGS 4 2 6 2" xfId="32164" xr:uid="{00000000-0005-0000-0000-000055020000}"/>
    <cellStyle name="COL HEADINGS 4 2 6 3" xfId="50527" xr:uid="{00000000-0005-0000-0000-000055020000}"/>
    <cellStyle name="COL HEADINGS 4 2 7" xfId="23657" xr:uid="{00000000-0005-0000-0000-000055020000}"/>
    <cellStyle name="COL HEADINGS 4 2 7 2" xfId="42026" xr:uid="{00000000-0005-0000-0000-000055020000}"/>
    <cellStyle name="COL HEADINGS 4 2 8" xfId="18828" xr:uid="{00000000-0005-0000-0000-000055020000}"/>
    <cellStyle name="COL HEADINGS 4 2 9" xfId="37237" xr:uid="{00000000-0005-0000-0000-000055020000}"/>
    <cellStyle name="COL HEADINGS 4 3" xfId="4863" xr:uid="{00000000-0005-0000-0000-000055020000}"/>
    <cellStyle name="COL HEADINGS 4 3 2" xfId="11421" xr:uid="{00000000-0005-0000-0000-000055020000}"/>
    <cellStyle name="COL HEADINGS 4 3 2 2" xfId="30011" xr:uid="{00000000-0005-0000-0000-000055020000}"/>
    <cellStyle name="COL HEADINGS 4 3 2 3" xfId="48374" xr:uid="{00000000-0005-0000-0000-000055020000}"/>
    <cellStyle name="COL HEADINGS 4 3 3" xfId="15589" xr:uid="{00000000-0005-0000-0000-000055020000}"/>
    <cellStyle name="COL HEADINGS 4 3 3 2" xfId="33980" xr:uid="{00000000-0005-0000-0000-000055020000}"/>
    <cellStyle name="COL HEADINGS 4 3 3 3" xfId="52343" xr:uid="{00000000-0005-0000-0000-000055020000}"/>
    <cellStyle name="COL HEADINGS 4 3 4" xfId="24711" xr:uid="{00000000-0005-0000-0000-000055020000}"/>
    <cellStyle name="COL HEADINGS 4 3 4 2" xfId="43080" xr:uid="{00000000-0005-0000-0000-000055020000}"/>
    <cellStyle name="COL HEADINGS 4 3 5" xfId="21038" xr:uid="{00000000-0005-0000-0000-000055020000}"/>
    <cellStyle name="COL HEADINGS 4 3 6" xfId="39427" xr:uid="{00000000-0005-0000-0000-000055020000}"/>
    <cellStyle name="COL HEADINGS 4 4" xfId="3918" xr:uid="{00000000-0005-0000-0000-000055020000}"/>
    <cellStyle name="COL HEADINGS 4 4 2" xfId="10626" xr:uid="{00000000-0005-0000-0000-000055020000}"/>
    <cellStyle name="COL HEADINGS 4 4 2 2" xfId="29336" xr:uid="{00000000-0005-0000-0000-000055020000}"/>
    <cellStyle name="COL HEADINGS 4 4 2 3" xfId="47699" xr:uid="{00000000-0005-0000-0000-000055020000}"/>
    <cellStyle name="COL HEADINGS 4 4 3" xfId="14683" xr:uid="{00000000-0005-0000-0000-000055020000}"/>
    <cellStyle name="COL HEADINGS 4 4 3 2" xfId="33097" xr:uid="{00000000-0005-0000-0000-000055020000}"/>
    <cellStyle name="COL HEADINGS 4 4 3 3" xfId="51460" xr:uid="{00000000-0005-0000-0000-000055020000}"/>
    <cellStyle name="COL HEADINGS 4 4 4" xfId="23821" xr:uid="{00000000-0005-0000-0000-000055020000}"/>
    <cellStyle name="COL HEADINGS 4 4 4 2" xfId="42190" xr:uid="{00000000-0005-0000-0000-000055020000}"/>
    <cellStyle name="COL HEADINGS 4 4 5" xfId="20139" xr:uid="{00000000-0005-0000-0000-000055020000}"/>
    <cellStyle name="COL HEADINGS 4 4 6" xfId="38544" xr:uid="{00000000-0005-0000-0000-000055020000}"/>
    <cellStyle name="COL HEADINGS 4 5" xfId="9942" xr:uid="{00000000-0005-0000-0000-000055020000}"/>
    <cellStyle name="COL HEADINGS 4 5 2" xfId="13999" xr:uid="{00000000-0005-0000-0000-000055020000}"/>
    <cellStyle name="COL HEADINGS 4 5 2 2" xfId="32416" xr:uid="{00000000-0005-0000-0000-000055020000}"/>
    <cellStyle name="COL HEADINGS 4 5 2 3" xfId="50779" xr:uid="{00000000-0005-0000-0000-000055020000}"/>
    <cellStyle name="COL HEADINGS 4 5 3" xfId="28654" xr:uid="{00000000-0005-0000-0000-000055020000}"/>
    <cellStyle name="COL HEADINGS 4 5 3 2" xfId="47017" xr:uid="{00000000-0005-0000-0000-000055020000}"/>
    <cellStyle name="COL HEADINGS 4 5 4" xfId="19268" xr:uid="{00000000-0005-0000-0000-000055020000}"/>
    <cellStyle name="COL HEADINGS 4 5 5" xfId="37675" xr:uid="{00000000-0005-0000-0000-000055020000}"/>
    <cellStyle name="COL HEADINGS 4 6" xfId="8182" xr:uid="{00000000-0005-0000-0000-000055020000}"/>
    <cellStyle name="COL HEADINGS 4 6 2" xfId="27366" xr:uid="{00000000-0005-0000-0000-000055020000}"/>
    <cellStyle name="COL HEADINGS 4 6 3" xfId="45731" xr:uid="{00000000-0005-0000-0000-000055020000}"/>
    <cellStyle name="COL HEADINGS 4 7" xfId="10839" xr:uid="{00000000-0005-0000-0000-000055020000}"/>
    <cellStyle name="COL HEADINGS 4 7 2" xfId="29510" xr:uid="{00000000-0005-0000-0000-000055020000}"/>
    <cellStyle name="COL HEADINGS 4 7 3" xfId="47873" xr:uid="{00000000-0005-0000-0000-000055020000}"/>
    <cellStyle name="COL HEADINGS 4 8" xfId="18964" xr:uid="{00000000-0005-0000-0000-000055020000}"/>
    <cellStyle name="COL HEADINGS 4 8 2" xfId="37373" xr:uid="{00000000-0005-0000-0000-000055020000}"/>
    <cellStyle name="COL HEADINGS 4 9" xfId="8167" xr:uid="{00000000-0005-0000-0000-000055020000}"/>
    <cellStyle name="COL HEADINGS 5" xfId="2466" xr:uid="{00000000-0005-0000-0000-000056020000}"/>
    <cellStyle name="COL HEADINGS 5 10" xfId="35859" xr:uid="{00000000-0005-0000-0000-000056020000}"/>
    <cellStyle name="COL HEADINGS 5 2" xfId="3794" xr:uid="{00000000-0005-0000-0000-000056020000}"/>
    <cellStyle name="COL HEADINGS 5 2 2" xfId="5967" xr:uid="{00000000-0005-0000-0000-000056020000}"/>
    <cellStyle name="COL HEADINGS 5 2 2 2" xfId="12331" xr:uid="{00000000-0005-0000-0000-000056020000}"/>
    <cellStyle name="COL HEADINGS 5 2 2 2 2" xfId="30778" xr:uid="{00000000-0005-0000-0000-000056020000}"/>
    <cellStyle name="COL HEADINGS 5 2 2 2 3" xfId="49141" xr:uid="{00000000-0005-0000-0000-000056020000}"/>
    <cellStyle name="COL HEADINGS 5 2 2 3" xfId="16657" xr:uid="{00000000-0005-0000-0000-000056020000}"/>
    <cellStyle name="COL HEADINGS 5 2 2 3 2" xfId="35029" xr:uid="{00000000-0005-0000-0000-000056020000}"/>
    <cellStyle name="COL HEADINGS 5 2 2 3 3" xfId="53392" xr:uid="{00000000-0005-0000-0000-000056020000}"/>
    <cellStyle name="COL HEADINGS 5 2 2 4" xfId="25776" xr:uid="{00000000-0005-0000-0000-000056020000}"/>
    <cellStyle name="COL HEADINGS 5 2 2 4 2" xfId="44145" xr:uid="{00000000-0005-0000-0000-000056020000}"/>
    <cellStyle name="COL HEADINGS 5 2 2 5" xfId="22097" xr:uid="{00000000-0005-0000-0000-000056020000}"/>
    <cellStyle name="COL HEADINGS 5 2 2 6" xfId="40476" xr:uid="{00000000-0005-0000-0000-000056020000}"/>
    <cellStyle name="COL HEADINGS 5 2 3" xfId="6793" xr:uid="{00000000-0005-0000-0000-000056020000}"/>
    <cellStyle name="COL HEADINGS 5 2 3 2" xfId="13084" xr:uid="{00000000-0005-0000-0000-000056020000}"/>
    <cellStyle name="COL HEADINGS 5 2 3 2 2" xfId="31510" xr:uid="{00000000-0005-0000-0000-000056020000}"/>
    <cellStyle name="COL HEADINGS 5 2 3 2 3" xfId="49873" xr:uid="{00000000-0005-0000-0000-000056020000}"/>
    <cellStyle name="COL HEADINGS 5 2 3 3" xfId="17395" xr:uid="{00000000-0005-0000-0000-000056020000}"/>
    <cellStyle name="COL HEADINGS 5 2 3 3 2" xfId="35743" xr:uid="{00000000-0005-0000-0000-000056020000}"/>
    <cellStyle name="COL HEADINGS 5 2 3 3 3" xfId="54106" xr:uid="{00000000-0005-0000-0000-000056020000}"/>
    <cellStyle name="COL HEADINGS 5 2 3 4" xfId="26528" xr:uid="{00000000-0005-0000-0000-000056020000}"/>
    <cellStyle name="COL HEADINGS 5 2 3 4 2" xfId="44897" xr:uid="{00000000-0005-0000-0000-000056020000}"/>
    <cellStyle name="COL HEADINGS 5 2 3 5" xfId="22821" xr:uid="{00000000-0005-0000-0000-000056020000}"/>
    <cellStyle name="COL HEADINGS 5 2 3 6" xfId="41190" xr:uid="{00000000-0005-0000-0000-000056020000}"/>
    <cellStyle name="COL HEADINGS 5 2 4" xfId="10507" xr:uid="{00000000-0005-0000-0000-000056020000}"/>
    <cellStyle name="COL HEADINGS 5 2 4 2" xfId="14564" xr:uid="{00000000-0005-0000-0000-000056020000}"/>
    <cellStyle name="COL HEADINGS 5 2 4 2 2" xfId="32980" xr:uid="{00000000-0005-0000-0000-000056020000}"/>
    <cellStyle name="COL HEADINGS 5 2 4 2 3" xfId="51343" xr:uid="{00000000-0005-0000-0000-000056020000}"/>
    <cellStyle name="COL HEADINGS 5 2 4 3" xfId="29218" xr:uid="{00000000-0005-0000-0000-000056020000}"/>
    <cellStyle name="COL HEADINGS 5 2 4 3 2" xfId="47581" xr:uid="{00000000-0005-0000-0000-000056020000}"/>
    <cellStyle name="COL HEADINGS 5 2 4 4" xfId="20021" xr:uid="{00000000-0005-0000-0000-000056020000}"/>
    <cellStyle name="COL HEADINGS 5 2 4 5" xfId="38427" xr:uid="{00000000-0005-0000-0000-000056020000}"/>
    <cellStyle name="COL HEADINGS 5 2 5" xfId="9789" xr:uid="{00000000-0005-0000-0000-000056020000}"/>
    <cellStyle name="COL HEADINGS 5 2 5 2" xfId="28504" xr:uid="{00000000-0005-0000-0000-000056020000}"/>
    <cellStyle name="COL HEADINGS 5 2 5 3" xfId="46867" xr:uid="{00000000-0005-0000-0000-000056020000}"/>
    <cellStyle name="COL HEADINGS 5 2 6" xfId="13846" xr:uid="{00000000-0005-0000-0000-000056020000}"/>
    <cellStyle name="COL HEADINGS 5 2 6 2" xfId="32266" xr:uid="{00000000-0005-0000-0000-000056020000}"/>
    <cellStyle name="COL HEADINGS 5 2 6 3" xfId="50629" xr:uid="{00000000-0005-0000-0000-000056020000}"/>
    <cellStyle name="COL HEADINGS 5 2 7" xfId="23702" xr:uid="{00000000-0005-0000-0000-000056020000}"/>
    <cellStyle name="COL HEADINGS 5 2 7 2" xfId="42071" xr:uid="{00000000-0005-0000-0000-000056020000}"/>
    <cellStyle name="COL HEADINGS 5 2 8" xfId="18995" xr:uid="{00000000-0005-0000-0000-000056020000}"/>
    <cellStyle name="COL HEADINGS 5 2 9" xfId="37404" xr:uid="{00000000-0005-0000-0000-000056020000}"/>
    <cellStyle name="COL HEADINGS 5 3" xfId="5024" xr:uid="{00000000-0005-0000-0000-000056020000}"/>
    <cellStyle name="COL HEADINGS 5 3 2" xfId="11547" xr:uid="{00000000-0005-0000-0000-000056020000}"/>
    <cellStyle name="COL HEADINGS 5 3 2 2" xfId="30119" xr:uid="{00000000-0005-0000-0000-000056020000}"/>
    <cellStyle name="COL HEADINGS 5 3 2 3" xfId="48482" xr:uid="{00000000-0005-0000-0000-000056020000}"/>
    <cellStyle name="COL HEADINGS 5 3 3" xfId="15737" xr:uid="{00000000-0005-0000-0000-000056020000}"/>
    <cellStyle name="COL HEADINGS 5 3 3 2" xfId="34125" xr:uid="{00000000-0005-0000-0000-000056020000}"/>
    <cellStyle name="COL HEADINGS 5 3 3 3" xfId="52488" xr:uid="{00000000-0005-0000-0000-000056020000}"/>
    <cellStyle name="COL HEADINGS 5 3 4" xfId="24861" xr:uid="{00000000-0005-0000-0000-000056020000}"/>
    <cellStyle name="COL HEADINGS 5 3 4 2" xfId="43230" xr:uid="{00000000-0005-0000-0000-000056020000}"/>
    <cellStyle name="COL HEADINGS 5 3 5" xfId="21185" xr:uid="{00000000-0005-0000-0000-000056020000}"/>
    <cellStyle name="COL HEADINGS 5 3 6" xfId="39572" xr:uid="{00000000-0005-0000-0000-000056020000}"/>
    <cellStyle name="COL HEADINGS 5 4" xfId="6137" xr:uid="{00000000-0005-0000-0000-000056020000}"/>
    <cellStyle name="COL HEADINGS 5 4 2" xfId="12491" xr:uid="{00000000-0005-0000-0000-000056020000}"/>
    <cellStyle name="COL HEADINGS 5 4 2 2" xfId="30929" xr:uid="{00000000-0005-0000-0000-000056020000}"/>
    <cellStyle name="COL HEADINGS 5 4 2 3" xfId="49292" xr:uid="{00000000-0005-0000-0000-000056020000}"/>
    <cellStyle name="COL HEADINGS 5 4 3" xfId="16809" xr:uid="{00000000-0005-0000-0000-000056020000}"/>
    <cellStyle name="COL HEADINGS 5 4 3 2" xfId="35176" xr:uid="{00000000-0005-0000-0000-000056020000}"/>
    <cellStyle name="COL HEADINGS 5 4 3 3" xfId="53539" xr:uid="{00000000-0005-0000-0000-000056020000}"/>
    <cellStyle name="COL HEADINGS 5 4 4" xfId="25930" xr:uid="{00000000-0005-0000-0000-000056020000}"/>
    <cellStyle name="COL HEADINGS 5 4 4 2" xfId="44299" xr:uid="{00000000-0005-0000-0000-000056020000}"/>
    <cellStyle name="COL HEADINGS 5 4 5" xfId="22246" xr:uid="{00000000-0005-0000-0000-000056020000}"/>
    <cellStyle name="COL HEADINGS 5 4 6" xfId="40623" xr:uid="{00000000-0005-0000-0000-000056020000}"/>
    <cellStyle name="COL HEADINGS 5 5" xfId="9014" xr:uid="{00000000-0005-0000-0000-000056020000}"/>
    <cellStyle name="COL HEADINGS 5 5 2" xfId="6936" xr:uid="{00000000-0005-0000-0000-000056020000}"/>
    <cellStyle name="COL HEADINGS 5 5 2 2" xfId="26669" xr:uid="{00000000-0005-0000-0000-000056020000}"/>
    <cellStyle name="COL HEADINGS 5 5 2 3" xfId="45038" xr:uid="{00000000-0005-0000-0000-000056020000}"/>
    <cellStyle name="COL HEADINGS 5 5 3" xfId="27741" xr:uid="{00000000-0005-0000-0000-000056020000}"/>
    <cellStyle name="COL HEADINGS 5 5 3 2" xfId="46104" xr:uid="{00000000-0005-0000-0000-000056020000}"/>
    <cellStyle name="COL HEADINGS 5 5 4" xfId="17885" xr:uid="{00000000-0005-0000-0000-000056020000}"/>
    <cellStyle name="COL HEADINGS 5 5 5" xfId="36295" xr:uid="{00000000-0005-0000-0000-000056020000}"/>
    <cellStyle name="COL HEADINGS 5 6" xfId="8457" xr:uid="{00000000-0005-0000-0000-000056020000}"/>
    <cellStyle name="COL HEADINGS 5 6 2" xfId="27494" xr:uid="{00000000-0005-0000-0000-000056020000}"/>
    <cellStyle name="COL HEADINGS 5 6 3" xfId="45858" xr:uid="{00000000-0005-0000-0000-000056020000}"/>
    <cellStyle name="COL HEADINGS 5 7" xfId="8972" xr:uid="{00000000-0005-0000-0000-000056020000}"/>
    <cellStyle name="COL HEADINGS 5 7 2" xfId="27709" xr:uid="{00000000-0005-0000-0000-000056020000}"/>
    <cellStyle name="COL HEADINGS 5 7 3" xfId="46072" xr:uid="{00000000-0005-0000-0000-000056020000}"/>
    <cellStyle name="COL HEADINGS 5 8" xfId="17916" xr:uid="{00000000-0005-0000-0000-000056020000}"/>
    <cellStyle name="COL HEADINGS 5 8 2" xfId="36324" xr:uid="{00000000-0005-0000-0000-000056020000}"/>
    <cellStyle name="COL HEADINGS 5 9" xfId="7518" xr:uid="{00000000-0005-0000-0000-000056020000}"/>
    <cellStyle name="COL HEADINGS 6" xfId="3034" xr:uid="{00000000-0005-0000-0000-000057020000}"/>
    <cellStyle name="COL HEADINGS 6 10" xfId="36039" xr:uid="{00000000-0005-0000-0000-000057020000}"/>
    <cellStyle name="COL HEADINGS 6 2" xfId="3846" xr:uid="{00000000-0005-0000-0000-000057020000}"/>
    <cellStyle name="COL HEADINGS 6 2 2" xfId="6019" xr:uid="{00000000-0005-0000-0000-000057020000}"/>
    <cellStyle name="COL HEADINGS 6 2 2 2" xfId="12383" xr:uid="{00000000-0005-0000-0000-000057020000}"/>
    <cellStyle name="COL HEADINGS 6 2 2 2 2" xfId="30830" xr:uid="{00000000-0005-0000-0000-000057020000}"/>
    <cellStyle name="COL HEADINGS 6 2 2 2 3" xfId="49193" xr:uid="{00000000-0005-0000-0000-000057020000}"/>
    <cellStyle name="COL HEADINGS 6 2 2 3" xfId="16709" xr:uid="{00000000-0005-0000-0000-000057020000}"/>
    <cellStyle name="COL HEADINGS 6 2 2 3 2" xfId="35081" xr:uid="{00000000-0005-0000-0000-000057020000}"/>
    <cellStyle name="COL HEADINGS 6 2 2 3 3" xfId="53444" xr:uid="{00000000-0005-0000-0000-000057020000}"/>
    <cellStyle name="COL HEADINGS 6 2 2 4" xfId="25828" xr:uid="{00000000-0005-0000-0000-000057020000}"/>
    <cellStyle name="COL HEADINGS 6 2 2 4 2" xfId="44197" xr:uid="{00000000-0005-0000-0000-000057020000}"/>
    <cellStyle name="COL HEADINGS 6 2 2 5" xfId="22149" xr:uid="{00000000-0005-0000-0000-000057020000}"/>
    <cellStyle name="COL HEADINGS 6 2 2 6" xfId="40528" xr:uid="{00000000-0005-0000-0000-000057020000}"/>
    <cellStyle name="COL HEADINGS 6 2 3" xfId="6845" xr:uid="{00000000-0005-0000-0000-000057020000}"/>
    <cellStyle name="COL HEADINGS 6 2 3 2" xfId="13136" xr:uid="{00000000-0005-0000-0000-000057020000}"/>
    <cellStyle name="COL HEADINGS 6 2 3 2 2" xfId="31562" xr:uid="{00000000-0005-0000-0000-000057020000}"/>
    <cellStyle name="COL HEADINGS 6 2 3 2 3" xfId="49925" xr:uid="{00000000-0005-0000-0000-000057020000}"/>
    <cellStyle name="COL HEADINGS 6 2 3 3" xfId="17447" xr:uid="{00000000-0005-0000-0000-000057020000}"/>
    <cellStyle name="COL HEADINGS 6 2 3 3 2" xfId="35795" xr:uid="{00000000-0005-0000-0000-000057020000}"/>
    <cellStyle name="COL HEADINGS 6 2 3 3 3" xfId="54158" xr:uid="{00000000-0005-0000-0000-000057020000}"/>
    <cellStyle name="COL HEADINGS 6 2 3 4" xfId="26580" xr:uid="{00000000-0005-0000-0000-000057020000}"/>
    <cellStyle name="COL HEADINGS 6 2 3 4 2" xfId="44949" xr:uid="{00000000-0005-0000-0000-000057020000}"/>
    <cellStyle name="COL HEADINGS 6 2 3 5" xfId="22873" xr:uid="{00000000-0005-0000-0000-000057020000}"/>
    <cellStyle name="COL HEADINGS 6 2 3 6" xfId="41242" xr:uid="{00000000-0005-0000-0000-000057020000}"/>
    <cellStyle name="COL HEADINGS 6 2 4" xfId="10559" xr:uid="{00000000-0005-0000-0000-000057020000}"/>
    <cellStyle name="COL HEADINGS 6 2 4 2" xfId="14616" xr:uid="{00000000-0005-0000-0000-000057020000}"/>
    <cellStyle name="COL HEADINGS 6 2 4 2 2" xfId="33032" xr:uid="{00000000-0005-0000-0000-000057020000}"/>
    <cellStyle name="COL HEADINGS 6 2 4 2 3" xfId="51395" xr:uid="{00000000-0005-0000-0000-000057020000}"/>
    <cellStyle name="COL HEADINGS 6 2 4 3" xfId="29270" xr:uid="{00000000-0005-0000-0000-000057020000}"/>
    <cellStyle name="COL HEADINGS 6 2 4 3 2" xfId="47633" xr:uid="{00000000-0005-0000-0000-000057020000}"/>
    <cellStyle name="COL HEADINGS 6 2 4 4" xfId="20073" xr:uid="{00000000-0005-0000-0000-000057020000}"/>
    <cellStyle name="COL HEADINGS 6 2 4 5" xfId="38479" xr:uid="{00000000-0005-0000-0000-000057020000}"/>
    <cellStyle name="COL HEADINGS 6 2 5" xfId="9931" xr:uid="{00000000-0005-0000-0000-000057020000}"/>
    <cellStyle name="COL HEADINGS 6 2 5 2" xfId="28643" xr:uid="{00000000-0005-0000-0000-000057020000}"/>
    <cellStyle name="COL HEADINGS 6 2 5 3" xfId="47006" xr:uid="{00000000-0005-0000-0000-000057020000}"/>
    <cellStyle name="COL HEADINGS 6 2 6" xfId="13988" xr:uid="{00000000-0005-0000-0000-000057020000}"/>
    <cellStyle name="COL HEADINGS 6 2 6 2" xfId="32405" xr:uid="{00000000-0005-0000-0000-000057020000}"/>
    <cellStyle name="COL HEADINGS 6 2 6 3" xfId="50768" xr:uid="{00000000-0005-0000-0000-000057020000}"/>
    <cellStyle name="COL HEADINGS 6 2 7" xfId="23754" xr:uid="{00000000-0005-0000-0000-000057020000}"/>
    <cellStyle name="COL HEADINGS 6 2 7 2" xfId="42123" xr:uid="{00000000-0005-0000-0000-000057020000}"/>
    <cellStyle name="COL HEADINGS 6 2 8" xfId="19237" xr:uid="{00000000-0005-0000-0000-000057020000}"/>
    <cellStyle name="COL HEADINGS 6 2 9" xfId="37644" xr:uid="{00000000-0005-0000-0000-000057020000}"/>
    <cellStyle name="COL HEADINGS 6 3" xfId="5286" xr:uid="{00000000-0005-0000-0000-000057020000}"/>
    <cellStyle name="COL HEADINGS 6 3 2" xfId="11741" xr:uid="{00000000-0005-0000-0000-000057020000}"/>
    <cellStyle name="COL HEADINGS 6 3 2 2" xfId="30244" xr:uid="{00000000-0005-0000-0000-000057020000}"/>
    <cellStyle name="COL HEADINGS 6 3 2 3" xfId="48607" xr:uid="{00000000-0005-0000-0000-000057020000}"/>
    <cellStyle name="COL HEADINGS 6 3 3" xfId="15978" xr:uid="{00000000-0005-0000-0000-000057020000}"/>
    <cellStyle name="COL HEADINGS 6 3 3 2" xfId="34352" xr:uid="{00000000-0005-0000-0000-000057020000}"/>
    <cellStyle name="COL HEADINGS 6 3 3 3" xfId="52715" xr:uid="{00000000-0005-0000-0000-000057020000}"/>
    <cellStyle name="COL HEADINGS 6 3 4" xfId="25099" xr:uid="{00000000-0005-0000-0000-000057020000}"/>
    <cellStyle name="COL HEADINGS 6 3 4 2" xfId="43468" xr:uid="{00000000-0005-0000-0000-000057020000}"/>
    <cellStyle name="COL HEADINGS 6 3 5" xfId="21420" xr:uid="{00000000-0005-0000-0000-000057020000}"/>
    <cellStyle name="COL HEADINGS 6 3 6" xfId="39799" xr:uid="{00000000-0005-0000-0000-000057020000}"/>
    <cellStyle name="COL HEADINGS 6 4" xfId="6242" xr:uid="{00000000-0005-0000-0000-000057020000}"/>
    <cellStyle name="COL HEADINGS 6 4 2" xfId="12557" xr:uid="{00000000-0005-0000-0000-000057020000}"/>
    <cellStyle name="COL HEADINGS 6 4 2 2" xfId="30989" xr:uid="{00000000-0005-0000-0000-000057020000}"/>
    <cellStyle name="COL HEADINGS 6 4 2 3" xfId="49352" xr:uid="{00000000-0005-0000-0000-000057020000}"/>
    <cellStyle name="COL HEADINGS 6 4 3" xfId="16873" xr:uid="{00000000-0005-0000-0000-000057020000}"/>
    <cellStyle name="COL HEADINGS 6 4 3 2" xfId="35230" xr:uid="{00000000-0005-0000-0000-000057020000}"/>
    <cellStyle name="COL HEADINGS 6 4 3 3" xfId="53593" xr:uid="{00000000-0005-0000-0000-000057020000}"/>
    <cellStyle name="COL HEADINGS 6 4 4" xfId="26005" xr:uid="{00000000-0005-0000-0000-000057020000}"/>
    <cellStyle name="COL HEADINGS 6 4 4 2" xfId="44374" xr:uid="{00000000-0005-0000-0000-000057020000}"/>
    <cellStyle name="COL HEADINGS 6 4 5" xfId="22304" xr:uid="{00000000-0005-0000-0000-000057020000}"/>
    <cellStyle name="COL HEADINGS 6 4 6" xfId="40677" xr:uid="{00000000-0005-0000-0000-000057020000}"/>
    <cellStyle name="COL HEADINGS 6 5" xfId="10043" xr:uid="{00000000-0005-0000-0000-000057020000}"/>
    <cellStyle name="COL HEADINGS 6 5 2" xfId="14100" xr:uid="{00000000-0005-0000-0000-000057020000}"/>
    <cellStyle name="COL HEADINGS 6 5 2 2" xfId="32516" xr:uid="{00000000-0005-0000-0000-000057020000}"/>
    <cellStyle name="COL HEADINGS 6 5 2 3" xfId="50879" xr:uid="{00000000-0005-0000-0000-000057020000}"/>
    <cellStyle name="COL HEADINGS 6 5 3" xfId="28754" xr:uid="{00000000-0005-0000-0000-000057020000}"/>
    <cellStyle name="COL HEADINGS 6 5 3 2" xfId="47117" xr:uid="{00000000-0005-0000-0000-000057020000}"/>
    <cellStyle name="COL HEADINGS 6 5 4" xfId="19498" xr:uid="{00000000-0005-0000-0000-000057020000}"/>
    <cellStyle name="COL HEADINGS 6 5 5" xfId="37904" xr:uid="{00000000-0005-0000-0000-000057020000}"/>
    <cellStyle name="COL HEADINGS 6 6" xfId="8822" xr:uid="{00000000-0005-0000-0000-000057020000}"/>
    <cellStyle name="COL HEADINGS 6 6 2" xfId="27646" xr:uid="{00000000-0005-0000-0000-000057020000}"/>
    <cellStyle name="COL HEADINGS 6 6 3" xfId="46009" xr:uid="{00000000-0005-0000-0000-000057020000}"/>
    <cellStyle name="COL HEADINGS 6 7" xfId="11712" xr:uid="{00000000-0005-0000-0000-000057020000}"/>
    <cellStyle name="COL HEADINGS 6 7 2" xfId="30225" xr:uid="{00000000-0005-0000-0000-000057020000}"/>
    <cellStyle name="COL HEADINGS 6 7 3" xfId="48588" xr:uid="{00000000-0005-0000-0000-000057020000}"/>
    <cellStyle name="COL HEADINGS 6 8" xfId="23037" xr:uid="{00000000-0005-0000-0000-000057020000}"/>
    <cellStyle name="COL HEADINGS 6 8 2" xfId="41406" xr:uid="{00000000-0005-0000-0000-000057020000}"/>
    <cellStyle name="COL HEADINGS 6 9" xfId="17598" xr:uid="{00000000-0005-0000-0000-000057020000}"/>
    <cellStyle name="COL HEADINGS 7" xfId="3174" xr:uid="{00000000-0005-0000-0000-000058020000}"/>
    <cellStyle name="COL HEADINGS 7 2" xfId="3867" xr:uid="{00000000-0005-0000-0000-000058020000}"/>
    <cellStyle name="COL HEADINGS 7 2 2" xfId="6040" xr:uid="{00000000-0005-0000-0000-000058020000}"/>
    <cellStyle name="COL HEADINGS 7 2 2 2" xfId="12404" xr:uid="{00000000-0005-0000-0000-000058020000}"/>
    <cellStyle name="COL HEADINGS 7 2 2 2 2" xfId="30851" xr:uid="{00000000-0005-0000-0000-000058020000}"/>
    <cellStyle name="COL HEADINGS 7 2 2 2 3" xfId="49214" xr:uid="{00000000-0005-0000-0000-000058020000}"/>
    <cellStyle name="COL HEADINGS 7 2 2 3" xfId="16730" xr:uid="{00000000-0005-0000-0000-000058020000}"/>
    <cellStyle name="COL HEADINGS 7 2 2 3 2" xfId="35102" xr:uid="{00000000-0005-0000-0000-000058020000}"/>
    <cellStyle name="COL HEADINGS 7 2 2 3 3" xfId="53465" xr:uid="{00000000-0005-0000-0000-000058020000}"/>
    <cellStyle name="COL HEADINGS 7 2 2 4" xfId="25849" xr:uid="{00000000-0005-0000-0000-000058020000}"/>
    <cellStyle name="COL HEADINGS 7 2 2 4 2" xfId="44218" xr:uid="{00000000-0005-0000-0000-000058020000}"/>
    <cellStyle name="COL HEADINGS 7 2 2 5" xfId="22170" xr:uid="{00000000-0005-0000-0000-000058020000}"/>
    <cellStyle name="COL HEADINGS 7 2 2 6" xfId="40549" xr:uid="{00000000-0005-0000-0000-000058020000}"/>
    <cellStyle name="COL HEADINGS 7 2 3" xfId="6866" xr:uid="{00000000-0005-0000-0000-000058020000}"/>
    <cellStyle name="COL HEADINGS 7 2 3 2" xfId="13157" xr:uid="{00000000-0005-0000-0000-000058020000}"/>
    <cellStyle name="COL HEADINGS 7 2 3 2 2" xfId="31583" xr:uid="{00000000-0005-0000-0000-000058020000}"/>
    <cellStyle name="COL HEADINGS 7 2 3 2 3" xfId="49946" xr:uid="{00000000-0005-0000-0000-000058020000}"/>
    <cellStyle name="COL HEADINGS 7 2 3 3" xfId="17468" xr:uid="{00000000-0005-0000-0000-000058020000}"/>
    <cellStyle name="COL HEADINGS 7 2 3 3 2" xfId="35816" xr:uid="{00000000-0005-0000-0000-000058020000}"/>
    <cellStyle name="COL HEADINGS 7 2 3 3 3" xfId="54179" xr:uid="{00000000-0005-0000-0000-000058020000}"/>
    <cellStyle name="COL HEADINGS 7 2 3 4" xfId="26601" xr:uid="{00000000-0005-0000-0000-000058020000}"/>
    <cellStyle name="COL HEADINGS 7 2 3 4 2" xfId="44970" xr:uid="{00000000-0005-0000-0000-000058020000}"/>
    <cellStyle name="COL HEADINGS 7 2 3 5" xfId="22894" xr:uid="{00000000-0005-0000-0000-000058020000}"/>
    <cellStyle name="COL HEADINGS 7 2 3 6" xfId="41263" xr:uid="{00000000-0005-0000-0000-000058020000}"/>
    <cellStyle name="COL HEADINGS 7 2 4" xfId="10580" xr:uid="{00000000-0005-0000-0000-000058020000}"/>
    <cellStyle name="COL HEADINGS 7 2 4 2" xfId="14637" xr:uid="{00000000-0005-0000-0000-000058020000}"/>
    <cellStyle name="COL HEADINGS 7 2 4 2 2" xfId="33053" xr:uid="{00000000-0005-0000-0000-000058020000}"/>
    <cellStyle name="COL HEADINGS 7 2 4 2 3" xfId="51416" xr:uid="{00000000-0005-0000-0000-000058020000}"/>
    <cellStyle name="COL HEADINGS 7 2 4 3" xfId="29291" xr:uid="{00000000-0005-0000-0000-000058020000}"/>
    <cellStyle name="COL HEADINGS 7 2 4 3 2" xfId="47654" xr:uid="{00000000-0005-0000-0000-000058020000}"/>
    <cellStyle name="COL HEADINGS 7 2 4 4" xfId="20094" xr:uid="{00000000-0005-0000-0000-000058020000}"/>
    <cellStyle name="COL HEADINGS 7 2 4 5" xfId="38500" xr:uid="{00000000-0005-0000-0000-000058020000}"/>
    <cellStyle name="COL HEADINGS 7 2 5" xfId="9967" xr:uid="{00000000-0005-0000-0000-000058020000}"/>
    <cellStyle name="COL HEADINGS 7 2 5 2" xfId="28679" xr:uid="{00000000-0005-0000-0000-000058020000}"/>
    <cellStyle name="COL HEADINGS 7 2 5 3" xfId="47042" xr:uid="{00000000-0005-0000-0000-000058020000}"/>
    <cellStyle name="COL HEADINGS 7 2 6" xfId="14024" xr:uid="{00000000-0005-0000-0000-000058020000}"/>
    <cellStyle name="COL HEADINGS 7 2 6 2" xfId="32441" xr:uid="{00000000-0005-0000-0000-000058020000}"/>
    <cellStyle name="COL HEADINGS 7 2 6 3" xfId="50804" xr:uid="{00000000-0005-0000-0000-000058020000}"/>
    <cellStyle name="COL HEADINGS 7 2 7" xfId="23775" xr:uid="{00000000-0005-0000-0000-000058020000}"/>
    <cellStyle name="COL HEADINGS 7 2 7 2" xfId="42144" xr:uid="{00000000-0005-0000-0000-000058020000}"/>
    <cellStyle name="COL HEADINGS 7 2 8" xfId="19304" xr:uid="{00000000-0005-0000-0000-000058020000}"/>
    <cellStyle name="COL HEADINGS 7 2 9" xfId="37711" xr:uid="{00000000-0005-0000-0000-000058020000}"/>
    <cellStyle name="COL HEADINGS 7 3" xfId="5388" xr:uid="{00000000-0005-0000-0000-000058020000}"/>
    <cellStyle name="COL HEADINGS 7 3 2" xfId="11805" xr:uid="{00000000-0005-0000-0000-000058020000}"/>
    <cellStyle name="COL HEADINGS 7 3 2 2" xfId="30278" xr:uid="{00000000-0005-0000-0000-000058020000}"/>
    <cellStyle name="COL HEADINGS 7 3 2 3" xfId="48641" xr:uid="{00000000-0005-0000-0000-000058020000}"/>
    <cellStyle name="COL HEADINGS 7 3 3" xfId="16080" xr:uid="{00000000-0005-0000-0000-000058020000}"/>
    <cellStyle name="COL HEADINGS 7 3 3 2" xfId="34452" xr:uid="{00000000-0005-0000-0000-000058020000}"/>
    <cellStyle name="COL HEADINGS 7 3 3 3" xfId="52815" xr:uid="{00000000-0005-0000-0000-000058020000}"/>
    <cellStyle name="COL HEADINGS 7 3 4" xfId="25199" xr:uid="{00000000-0005-0000-0000-000058020000}"/>
    <cellStyle name="COL HEADINGS 7 3 4 2" xfId="43568" xr:uid="{00000000-0005-0000-0000-000058020000}"/>
    <cellStyle name="COL HEADINGS 7 3 5" xfId="21520" xr:uid="{00000000-0005-0000-0000-000058020000}"/>
    <cellStyle name="COL HEADINGS 7 3 6" xfId="39899" xr:uid="{00000000-0005-0000-0000-000058020000}"/>
    <cellStyle name="COL HEADINGS 7 4" xfId="6281" xr:uid="{00000000-0005-0000-0000-000058020000}"/>
    <cellStyle name="COL HEADINGS 7 4 2" xfId="12583" xr:uid="{00000000-0005-0000-0000-000058020000}"/>
    <cellStyle name="COL HEADINGS 7 4 2 2" xfId="31012" xr:uid="{00000000-0005-0000-0000-000058020000}"/>
    <cellStyle name="COL HEADINGS 7 4 2 3" xfId="49375" xr:uid="{00000000-0005-0000-0000-000058020000}"/>
    <cellStyle name="COL HEADINGS 7 4 3" xfId="16896" xr:uid="{00000000-0005-0000-0000-000058020000}"/>
    <cellStyle name="COL HEADINGS 7 4 3 2" xfId="35251" xr:uid="{00000000-0005-0000-0000-000058020000}"/>
    <cellStyle name="COL HEADINGS 7 4 3 3" xfId="53614" xr:uid="{00000000-0005-0000-0000-000058020000}"/>
    <cellStyle name="COL HEADINGS 7 4 4" xfId="26031" xr:uid="{00000000-0005-0000-0000-000058020000}"/>
    <cellStyle name="COL HEADINGS 7 4 4 2" xfId="44400" xr:uid="{00000000-0005-0000-0000-000058020000}"/>
    <cellStyle name="COL HEADINGS 7 4 5" xfId="22328" xr:uid="{00000000-0005-0000-0000-000058020000}"/>
    <cellStyle name="COL HEADINGS 7 4 6" xfId="40698" xr:uid="{00000000-0005-0000-0000-000058020000}"/>
    <cellStyle name="COL HEADINGS 7 5" xfId="8915" xr:uid="{00000000-0005-0000-0000-000058020000}"/>
    <cellStyle name="COL HEADINGS 7 5 2" xfId="27690" xr:uid="{00000000-0005-0000-0000-000058020000}"/>
    <cellStyle name="COL HEADINGS 7 5 3" xfId="46053" xr:uid="{00000000-0005-0000-0000-000058020000}"/>
    <cellStyle name="COL HEADINGS 7 6" xfId="4088" xr:uid="{00000000-0005-0000-0000-000058020000}"/>
    <cellStyle name="COL HEADINGS 7 6 2" xfId="23973" xr:uid="{00000000-0005-0000-0000-000058020000}"/>
    <cellStyle name="COL HEADINGS 7 6 3" xfId="42342" xr:uid="{00000000-0005-0000-0000-000058020000}"/>
    <cellStyle name="COL HEADINGS 7 7" xfId="23128" xr:uid="{00000000-0005-0000-0000-000058020000}"/>
    <cellStyle name="COL HEADINGS 7 7 2" xfId="41497" xr:uid="{00000000-0005-0000-0000-000058020000}"/>
    <cellStyle name="COL HEADINGS 7 8" xfId="17708" xr:uid="{00000000-0005-0000-0000-000058020000}"/>
    <cellStyle name="COL HEADINGS 7 9" xfId="36130" xr:uid="{00000000-0005-0000-0000-000058020000}"/>
    <cellStyle name="COL HEADINGS 8" xfId="3285" xr:uid="{00000000-0005-0000-0000-000059020000}"/>
    <cellStyle name="COL HEADINGS 8 2" xfId="3882" xr:uid="{00000000-0005-0000-0000-000059020000}"/>
    <cellStyle name="COL HEADINGS 8 2 2" xfId="6055" xr:uid="{00000000-0005-0000-0000-000059020000}"/>
    <cellStyle name="COL HEADINGS 8 2 2 2" xfId="12419" xr:uid="{00000000-0005-0000-0000-000059020000}"/>
    <cellStyle name="COL HEADINGS 8 2 2 2 2" xfId="30866" xr:uid="{00000000-0005-0000-0000-000059020000}"/>
    <cellStyle name="COL HEADINGS 8 2 2 2 3" xfId="49229" xr:uid="{00000000-0005-0000-0000-000059020000}"/>
    <cellStyle name="COL HEADINGS 8 2 2 3" xfId="16745" xr:uid="{00000000-0005-0000-0000-000059020000}"/>
    <cellStyle name="COL HEADINGS 8 2 2 3 2" xfId="35117" xr:uid="{00000000-0005-0000-0000-000059020000}"/>
    <cellStyle name="COL HEADINGS 8 2 2 3 3" xfId="53480" xr:uid="{00000000-0005-0000-0000-000059020000}"/>
    <cellStyle name="COL HEADINGS 8 2 2 4" xfId="25864" xr:uid="{00000000-0005-0000-0000-000059020000}"/>
    <cellStyle name="COL HEADINGS 8 2 2 4 2" xfId="44233" xr:uid="{00000000-0005-0000-0000-000059020000}"/>
    <cellStyle name="COL HEADINGS 8 2 2 5" xfId="22185" xr:uid="{00000000-0005-0000-0000-000059020000}"/>
    <cellStyle name="COL HEADINGS 8 2 2 6" xfId="40564" xr:uid="{00000000-0005-0000-0000-000059020000}"/>
    <cellStyle name="COL HEADINGS 8 2 3" xfId="6881" xr:uid="{00000000-0005-0000-0000-000059020000}"/>
    <cellStyle name="COL HEADINGS 8 2 3 2" xfId="13172" xr:uid="{00000000-0005-0000-0000-000059020000}"/>
    <cellStyle name="COL HEADINGS 8 2 3 2 2" xfId="31598" xr:uid="{00000000-0005-0000-0000-000059020000}"/>
    <cellStyle name="COL HEADINGS 8 2 3 2 3" xfId="49961" xr:uid="{00000000-0005-0000-0000-000059020000}"/>
    <cellStyle name="COL HEADINGS 8 2 3 3" xfId="17483" xr:uid="{00000000-0005-0000-0000-000059020000}"/>
    <cellStyle name="COL HEADINGS 8 2 3 3 2" xfId="35831" xr:uid="{00000000-0005-0000-0000-000059020000}"/>
    <cellStyle name="COL HEADINGS 8 2 3 3 3" xfId="54194" xr:uid="{00000000-0005-0000-0000-000059020000}"/>
    <cellStyle name="COL HEADINGS 8 2 3 4" xfId="26616" xr:uid="{00000000-0005-0000-0000-000059020000}"/>
    <cellStyle name="COL HEADINGS 8 2 3 4 2" xfId="44985" xr:uid="{00000000-0005-0000-0000-000059020000}"/>
    <cellStyle name="COL HEADINGS 8 2 3 5" xfId="22909" xr:uid="{00000000-0005-0000-0000-000059020000}"/>
    <cellStyle name="COL HEADINGS 8 2 3 6" xfId="41278" xr:uid="{00000000-0005-0000-0000-000059020000}"/>
    <cellStyle name="COL HEADINGS 8 2 4" xfId="10595" xr:uid="{00000000-0005-0000-0000-000059020000}"/>
    <cellStyle name="COL HEADINGS 8 2 4 2" xfId="14652" xr:uid="{00000000-0005-0000-0000-000059020000}"/>
    <cellStyle name="COL HEADINGS 8 2 4 2 2" xfId="33068" xr:uid="{00000000-0005-0000-0000-000059020000}"/>
    <cellStyle name="COL HEADINGS 8 2 4 2 3" xfId="51431" xr:uid="{00000000-0005-0000-0000-000059020000}"/>
    <cellStyle name="COL HEADINGS 8 2 4 3" xfId="29306" xr:uid="{00000000-0005-0000-0000-000059020000}"/>
    <cellStyle name="COL HEADINGS 8 2 4 3 2" xfId="47669" xr:uid="{00000000-0005-0000-0000-000059020000}"/>
    <cellStyle name="COL HEADINGS 8 2 4 4" xfId="20109" xr:uid="{00000000-0005-0000-0000-000059020000}"/>
    <cellStyle name="COL HEADINGS 8 2 4 5" xfId="38515" xr:uid="{00000000-0005-0000-0000-000059020000}"/>
    <cellStyle name="COL HEADINGS 8 2 5" xfId="9987" xr:uid="{00000000-0005-0000-0000-000059020000}"/>
    <cellStyle name="COL HEADINGS 8 2 5 2" xfId="28699" xr:uid="{00000000-0005-0000-0000-000059020000}"/>
    <cellStyle name="COL HEADINGS 8 2 5 3" xfId="47062" xr:uid="{00000000-0005-0000-0000-000059020000}"/>
    <cellStyle name="COL HEADINGS 8 2 6" xfId="14044" xr:uid="{00000000-0005-0000-0000-000059020000}"/>
    <cellStyle name="COL HEADINGS 8 2 6 2" xfId="32461" xr:uid="{00000000-0005-0000-0000-000059020000}"/>
    <cellStyle name="COL HEADINGS 8 2 6 3" xfId="50824" xr:uid="{00000000-0005-0000-0000-000059020000}"/>
    <cellStyle name="COL HEADINGS 8 2 7" xfId="23790" xr:uid="{00000000-0005-0000-0000-000059020000}"/>
    <cellStyle name="COL HEADINGS 8 2 7 2" xfId="42159" xr:uid="{00000000-0005-0000-0000-000059020000}"/>
    <cellStyle name="COL HEADINGS 8 2 8" xfId="19355" xr:uid="{00000000-0005-0000-0000-000059020000}"/>
    <cellStyle name="COL HEADINGS 8 2 9" xfId="37762" xr:uid="{00000000-0005-0000-0000-000059020000}"/>
    <cellStyle name="COL HEADINGS 8 3" xfId="5477" xr:uid="{00000000-0005-0000-0000-000059020000}"/>
    <cellStyle name="COL HEADINGS 8 3 2" xfId="11847" xr:uid="{00000000-0005-0000-0000-000059020000}"/>
    <cellStyle name="COL HEADINGS 8 3 2 2" xfId="30296" xr:uid="{00000000-0005-0000-0000-000059020000}"/>
    <cellStyle name="COL HEADINGS 8 3 2 3" xfId="48659" xr:uid="{00000000-0005-0000-0000-000059020000}"/>
    <cellStyle name="COL HEADINGS 8 3 3" xfId="16168" xr:uid="{00000000-0005-0000-0000-000059020000}"/>
    <cellStyle name="COL HEADINGS 8 3 3 2" xfId="34540" xr:uid="{00000000-0005-0000-0000-000059020000}"/>
    <cellStyle name="COL HEADINGS 8 3 3 3" xfId="52903" xr:uid="{00000000-0005-0000-0000-000059020000}"/>
    <cellStyle name="COL HEADINGS 8 3 4" xfId="25287" xr:uid="{00000000-0005-0000-0000-000059020000}"/>
    <cellStyle name="COL HEADINGS 8 3 4 2" xfId="43656" xr:uid="{00000000-0005-0000-0000-000059020000}"/>
    <cellStyle name="COL HEADINGS 8 3 5" xfId="21608" xr:uid="{00000000-0005-0000-0000-000059020000}"/>
    <cellStyle name="COL HEADINGS 8 3 6" xfId="39987" xr:uid="{00000000-0005-0000-0000-000059020000}"/>
    <cellStyle name="COL HEADINGS 8 4" xfId="6313" xr:uid="{00000000-0005-0000-0000-000059020000}"/>
    <cellStyle name="COL HEADINGS 8 4 2" xfId="12604" xr:uid="{00000000-0005-0000-0000-000059020000}"/>
    <cellStyle name="COL HEADINGS 8 4 2 2" xfId="31030" xr:uid="{00000000-0005-0000-0000-000059020000}"/>
    <cellStyle name="COL HEADINGS 8 4 2 3" xfId="49393" xr:uid="{00000000-0005-0000-0000-000059020000}"/>
    <cellStyle name="COL HEADINGS 8 4 3" xfId="16916" xr:uid="{00000000-0005-0000-0000-000059020000}"/>
    <cellStyle name="COL HEADINGS 8 4 3 2" xfId="35266" xr:uid="{00000000-0005-0000-0000-000059020000}"/>
    <cellStyle name="COL HEADINGS 8 4 3 3" xfId="53629" xr:uid="{00000000-0005-0000-0000-000059020000}"/>
    <cellStyle name="COL HEADINGS 8 4 4" xfId="26051" xr:uid="{00000000-0005-0000-0000-000059020000}"/>
    <cellStyle name="COL HEADINGS 8 4 4 2" xfId="44420" xr:uid="{00000000-0005-0000-0000-000059020000}"/>
    <cellStyle name="COL HEADINGS 8 4 5" xfId="22344" xr:uid="{00000000-0005-0000-0000-000059020000}"/>
    <cellStyle name="COL HEADINGS 8 4 6" xfId="40713" xr:uid="{00000000-0005-0000-0000-000059020000}"/>
    <cellStyle name="COL HEADINGS 8 5" xfId="8977" xr:uid="{00000000-0005-0000-0000-000059020000}"/>
    <cellStyle name="COL HEADINGS 8 5 2" xfId="27713" xr:uid="{00000000-0005-0000-0000-000059020000}"/>
    <cellStyle name="COL HEADINGS 8 5 3" xfId="46076" xr:uid="{00000000-0005-0000-0000-000059020000}"/>
    <cellStyle name="COL HEADINGS 8 6" xfId="6952" xr:uid="{00000000-0005-0000-0000-000059020000}"/>
    <cellStyle name="COL HEADINGS 8 6 2" xfId="26683" xr:uid="{00000000-0005-0000-0000-000059020000}"/>
    <cellStyle name="COL HEADINGS 8 6 3" xfId="45052" xr:uid="{00000000-0005-0000-0000-000059020000}"/>
    <cellStyle name="COL HEADINGS 8 7" xfId="23216" xr:uid="{00000000-0005-0000-0000-000059020000}"/>
    <cellStyle name="COL HEADINGS 8 7 2" xfId="41585" xr:uid="{00000000-0005-0000-0000-000059020000}"/>
    <cellStyle name="COL HEADINGS 8 8" xfId="17802" xr:uid="{00000000-0005-0000-0000-000059020000}"/>
    <cellStyle name="COL HEADINGS 8 9" xfId="36218" xr:uid="{00000000-0005-0000-0000-000059020000}"/>
    <cellStyle name="COL HEADINGS 9" xfId="3320" xr:uid="{00000000-0005-0000-0000-00005A020000}"/>
    <cellStyle name="COL HEADINGS 9 2" xfId="3899" xr:uid="{00000000-0005-0000-0000-00005A020000}"/>
    <cellStyle name="COL HEADINGS 9 2 2" xfId="6072" xr:uid="{00000000-0005-0000-0000-00005A020000}"/>
    <cellStyle name="COL HEADINGS 9 2 2 2" xfId="12436" xr:uid="{00000000-0005-0000-0000-00005A020000}"/>
    <cellStyle name="COL HEADINGS 9 2 2 2 2" xfId="30883" xr:uid="{00000000-0005-0000-0000-00005A020000}"/>
    <cellStyle name="COL HEADINGS 9 2 2 2 3" xfId="49246" xr:uid="{00000000-0005-0000-0000-00005A020000}"/>
    <cellStyle name="COL HEADINGS 9 2 2 3" xfId="16762" xr:uid="{00000000-0005-0000-0000-00005A020000}"/>
    <cellStyle name="COL HEADINGS 9 2 2 3 2" xfId="35134" xr:uid="{00000000-0005-0000-0000-00005A020000}"/>
    <cellStyle name="COL HEADINGS 9 2 2 3 3" xfId="53497" xr:uid="{00000000-0005-0000-0000-00005A020000}"/>
    <cellStyle name="COL HEADINGS 9 2 2 4" xfId="25881" xr:uid="{00000000-0005-0000-0000-00005A020000}"/>
    <cellStyle name="COL HEADINGS 9 2 2 4 2" xfId="44250" xr:uid="{00000000-0005-0000-0000-00005A020000}"/>
    <cellStyle name="COL HEADINGS 9 2 2 5" xfId="22202" xr:uid="{00000000-0005-0000-0000-00005A020000}"/>
    <cellStyle name="COL HEADINGS 9 2 2 6" xfId="40581" xr:uid="{00000000-0005-0000-0000-00005A020000}"/>
    <cellStyle name="COL HEADINGS 9 2 3" xfId="6898" xr:uid="{00000000-0005-0000-0000-00005A020000}"/>
    <cellStyle name="COL HEADINGS 9 2 3 2" xfId="13189" xr:uid="{00000000-0005-0000-0000-00005A020000}"/>
    <cellStyle name="COL HEADINGS 9 2 3 2 2" xfId="31615" xr:uid="{00000000-0005-0000-0000-00005A020000}"/>
    <cellStyle name="COL HEADINGS 9 2 3 2 3" xfId="49978" xr:uid="{00000000-0005-0000-0000-00005A020000}"/>
    <cellStyle name="COL HEADINGS 9 2 3 3" xfId="17500" xr:uid="{00000000-0005-0000-0000-00005A020000}"/>
    <cellStyle name="COL HEADINGS 9 2 3 3 2" xfId="35848" xr:uid="{00000000-0005-0000-0000-00005A020000}"/>
    <cellStyle name="COL HEADINGS 9 2 3 3 3" xfId="54211" xr:uid="{00000000-0005-0000-0000-00005A020000}"/>
    <cellStyle name="COL HEADINGS 9 2 3 4" xfId="26633" xr:uid="{00000000-0005-0000-0000-00005A020000}"/>
    <cellStyle name="COL HEADINGS 9 2 3 4 2" xfId="45002" xr:uid="{00000000-0005-0000-0000-00005A020000}"/>
    <cellStyle name="COL HEADINGS 9 2 3 5" xfId="22926" xr:uid="{00000000-0005-0000-0000-00005A020000}"/>
    <cellStyle name="COL HEADINGS 9 2 3 6" xfId="41295" xr:uid="{00000000-0005-0000-0000-00005A020000}"/>
    <cellStyle name="COL HEADINGS 9 2 4" xfId="10612" xr:uid="{00000000-0005-0000-0000-00005A020000}"/>
    <cellStyle name="COL HEADINGS 9 2 4 2" xfId="14669" xr:uid="{00000000-0005-0000-0000-00005A020000}"/>
    <cellStyle name="COL HEADINGS 9 2 4 2 2" xfId="33085" xr:uid="{00000000-0005-0000-0000-00005A020000}"/>
    <cellStyle name="COL HEADINGS 9 2 4 2 3" xfId="51448" xr:uid="{00000000-0005-0000-0000-00005A020000}"/>
    <cellStyle name="COL HEADINGS 9 2 4 3" xfId="29323" xr:uid="{00000000-0005-0000-0000-00005A020000}"/>
    <cellStyle name="COL HEADINGS 9 2 4 3 2" xfId="47686" xr:uid="{00000000-0005-0000-0000-00005A020000}"/>
    <cellStyle name="COL HEADINGS 9 2 4 4" xfId="20126" xr:uid="{00000000-0005-0000-0000-00005A020000}"/>
    <cellStyle name="COL HEADINGS 9 2 4 5" xfId="38532" xr:uid="{00000000-0005-0000-0000-00005A020000}"/>
    <cellStyle name="COL HEADINGS 9 2 5" xfId="10006" xr:uid="{00000000-0005-0000-0000-00005A020000}"/>
    <cellStyle name="COL HEADINGS 9 2 5 2" xfId="28718" xr:uid="{00000000-0005-0000-0000-00005A020000}"/>
    <cellStyle name="COL HEADINGS 9 2 5 3" xfId="47081" xr:uid="{00000000-0005-0000-0000-00005A020000}"/>
    <cellStyle name="COL HEADINGS 9 2 6" xfId="14063" xr:uid="{00000000-0005-0000-0000-00005A020000}"/>
    <cellStyle name="COL HEADINGS 9 2 6 2" xfId="32480" xr:uid="{00000000-0005-0000-0000-00005A020000}"/>
    <cellStyle name="COL HEADINGS 9 2 6 3" xfId="50843" xr:uid="{00000000-0005-0000-0000-00005A020000}"/>
    <cellStyle name="COL HEADINGS 9 2 7" xfId="23807" xr:uid="{00000000-0005-0000-0000-00005A020000}"/>
    <cellStyle name="COL HEADINGS 9 2 7 2" xfId="42176" xr:uid="{00000000-0005-0000-0000-00005A020000}"/>
    <cellStyle name="COL HEADINGS 9 2 8" xfId="19376" xr:uid="{00000000-0005-0000-0000-00005A020000}"/>
    <cellStyle name="COL HEADINGS 9 2 9" xfId="37783" xr:uid="{00000000-0005-0000-0000-00005A020000}"/>
    <cellStyle name="COL HEADINGS 9 3" xfId="5504" xr:uid="{00000000-0005-0000-0000-00005A020000}"/>
    <cellStyle name="COL HEADINGS 9 3 2" xfId="11869" xr:uid="{00000000-0005-0000-0000-00005A020000}"/>
    <cellStyle name="COL HEADINGS 9 3 2 2" xfId="30316" xr:uid="{00000000-0005-0000-0000-00005A020000}"/>
    <cellStyle name="COL HEADINGS 9 3 2 3" xfId="48679" xr:uid="{00000000-0005-0000-0000-00005A020000}"/>
    <cellStyle name="COL HEADINGS 9 3 3" xfId="16195" xr:uid="{00000000-0005-0000-0000-00005A020000}"/>
    <cellStyle name="COL HEADINGS 9 3 3 2" xfId="34567" xr:uid="{00000000-0005-0000-0000-00005A020000}"/>
    <cellStyle name="COL HEADINGS 9 3 3 3" xfId="52930" xr:uid="{00000000-0005-0000-0000-00005A020000}"/>
    <cellStyle name="COL HEADINGS 9 3 4" xfId="25314" xr:uid="{00000000-0005-0000-0000-00005A020000}"/>
    <cellStyle name="COL HEADINGS 9 3 4 2" xfId="43683" xr:uid="{00000000-0005-0000-0000-00005A020000}"/>
    <cellStyle name="COL HEADINGS 9 3 5" xfId="21635" xr:uid="{00000000-0005-0000-0000-00005A020000}"/>
    <cellStyle name="COL HEADINGS 9 3 6" xfId="40014" xr:uid="{00000000-0005-0000-0000-00005A020000}"/>
    <cellStyle name="COL HEADINGS 9 4" xfId="6332" xr:uid="{00000000-0005-0000-0000-00005A020000}"/>
    <cellStyle name="COL HEADINGS 9 4 2" xfId="12623" xr:uid="{00000000-0005-0000-0000-00005A020000}"/>
    <cellStyle name="COL HEADINGS 9 4 2 2" xfId="31049" xr:uid="{00000000-0005-0000-0000-00005A020000}"/>
    <cellStyle name="COL HEADINGS 9 4 2 3" xfId="49412" xr:uid="{00000000-0005-0000-0000-00005A020000}"/>
    <cellStyle name="COL HEADINGS 9 4 3" xfId="16934" xr:uid="{00000000-0005-0000-0000-00005A020000}"/>
    <cellStyle name="COL HEADINGS 9 4 3 2" xfId="35283" xr:uid="{00000000-0005-0000-0000-00005A020000}"/>
    <cellStyle name="COL HEADINGS 9 4 3 3" xfId="53646" xr:uid="{00000000-0005-0000-0000-00005A020000}"/>
    <cellStyle name="COL HEADINGS 9 4 4" xfId="26068" xr:uid="{00000000-0005-0000-0000-00005A020000}"/>
    <cellStyle name="COL HEADINGS 9 4 4 2" xfId="44437" xr:uid="{00000000-0005-0000-0000-00005A020000}"/>
    <cellStyle name="COL HEADINGS 9 4 5" xfId="22361" xr:uid="{00000000-0005-0000-0000-00005A020000}"/>
    <cellStyle name="COL HEADINGS 9 4 6" xfId="40730" xr:uid="{00000000-0005-0000-0000-00005A020000}"/>
    <cellStyle name="COL HEADINGS 9 5" xfId="9004" xr:uid="{00000000-0005-0000-0000-00005A020000}"/>
    <cellStyle name="COL HEADINGS 9 5 2" xfId="27732" xr:uid="{00000000-0005-0000-0000-00005A020000}"/>
    <cellStyle name="COL HEADINGS 9 5 3" xfId="46095" xr:uid="{00000000-0005-0000-0000-00005A020000}"/>
    <cellStyle name="COL HEADINGS 9 6" xfId="12513" xr:uid="{00000000-0005-0000-0000-00005A020000}"/>
    <cellStyle name="COL HEADINGS 9 6 2" xfId="30945" xr:uid="{00000000-0005-0000-0000-00005A020000}"/>
    <cellStyle name="COL HEADINGS 9 6 3" xfId="49308" xr:uid="{00000000-0005-0000-0000-00005A020000}"/>
    <cellStyle name="COL HEADINGS 9 7" xfId="23241" xr:uid="{00000000-0005-0000-0000-00005A020000}"/>
    <cellStyle name="COL HEADINGS 9 7 2" xfId="41610" xr:uid="{00000000-0005-0000-0000-00005A020000}"/>
    <cellStyle name="COL HEADINGS 9 8" xfId="17831" xr:uid="{00000000-0005-0000-0000-00005A020000}"/>
    <cellStyle name="COL HEADINGS 9 9" xfId="36243" xr:uid="{00000000-0005-0000-0000-00005A020000}"/>
    <cellStyle name="Colhead_left" xfId="308" xr:uid="{00000000-0005-0000-0000-00005B020000}"/>
    <cellStyle name="ColHeading" xfId="309" xr:uid="{00000000-0005-0000-0000-00005C020000}"/>
    <cellStyle name="ColHeading 2" xfId="2014" xr:uid="{00000000-0005-0000-0000-00005D020000}"/>
    <cellStyle name="ColHeading 3" xfId="2467" xr:uid="{00000000-0005-0000-0000-00005E020000}"/>
    <cellStyle name="Collegamento ipertestuale_PLDT" xfId="310" xr:uid="{00000000-0005-0000-0000-00005F020000}"/>
    <cellStyle name="ColumnHeadings" xfId="311" xr:uid="{00000000-0005-0000-0000-000060020000}"/>
    <cellStyle name="ColumnHeadings2" xfId="312" xr:uid="{00000000-0005-0000-0000-000061020000}"/>
    <cellStyle name="Comma" xfId="1" builtinId="3"/>
    <cellStyle name="Comma  - Style1" xfId="313" xr:uid="{00000000-0005-0000-0000-000063020000}"/>
    <cellStyle name="Comma  - Style1 2" xfId="2015" xr:uid="{00000000-0005-0000-0000-000064020000}"/>
    <cellStyle name="Comma  - Style1 3" xfId="2468" xr:uid="{00000000-0005-0000-0000-000065020000}"/>
    <cellStyle name="Comma  - Style2" xfId="314" xr:uid="{00000000-0005-0000-0000-000066020000}"/>
    <cellStyle name="Comma  - Style2 2" xfId="2016" xr:uid="{00000000-0005-0000-0000-000067020000}"/>
    <cellStyle name="Comma  - Style2 3" xfId="2469" xr:uid="{00000000-0005-0000-0000-000068020000}"/>
    <cellStyle name="Comma  - Style3" xfId="315" xr:uid="{00000000-0005-0000-0000-000069020000}"/>
    <cellStyle name="Comma  - Style3 2" xfId="2017" xr:uid="{00000000-0005-0000-0000-00006A020000}"/>
    <cellStyle name="Comma  - Style3 3" xfId="2470" xr:uid="{00000000-0005-0000-0000-00006B020000}"/>
    <cellStyle name="Comma  - Style4" xfId="316" xr:uid="{00000000-0005-0000-0000-00006C020000}"/>
    <cellStyle name="Comma  - Style4 2" xfId="2018" xr:uid="{00000000-0005-0000-0000-00006D020000}"/>
    <cellStyle name="Comma  - Style4 3" xfId="2471" xr:uid="{00000000-0005-0000-0000-00006E020000}"/>
    <cellStyle name="Comma  - Style5" xfId="317" xr:uid="{00000000-0005-0000-0000-00006F020000}"/>
    <cellStyle name="Comma  - Style5 2" xfId="2019" xr:uid="{00000000-0005-0000-0000-000070020000}"/>
    <cellStyle name="Comma  - Style5 3" xfId="2472" xr:uid="{00000000-0005-0000-0000-000071020000}"/>
    <cellStyle name="Comma  - Style6" xfId="318" xr:uid="{00000000-0005-0000-0000-000072020000}"/>
    <cellStyle name="Comma  - Style6 2" xfId="2020" xr:uid="{00000000-0005-0000-0000-000073020000}"/>
    <cellStyle name="Comma  - Style6 3" xfId="2473" xr:uid="{00000000-0005-0000-0000-000074020000}"/>
    <cellStyle name="Comma  - Style7" xfId="319" xr:uid="{00000000-0005-0000-0000-000075020000}"/>
    <cellStyle name="Comma  - Style7 2" xfId="2021" xr:uid="{00000000-0005-0000-0000-000076020000}"/>
    <cellStyle name="Comma  - Style7 3" xfId="2474" xr:uid="{00000000-0005-0000-0000-000077020000}"/>
    <cellStyle name="Comma  - Style8" xfId="320" xr:uid="{00000000-0005-0000-0000-000078020000}"/>
    <cellStyle name="Comma  - Style8 2" xfId="2022" xr:uid="{00000000-0005-0000-0000-000079020000}"/>
    <cellStyle name="Comma  - Style8 3" xfId="2475" xr:uid="{00000000-0005-0000-0000-00007A020000}"/>
    <cellStyle name="Comma (1)" xfId="321" xr:uid="{00000000-0005-0000-0000-00007B020000}"/>
    <cellStyle name="Comma [00]" xfId="322" xr:uid="{00000000-0005-0000-0000-00007C020000}"/>
    <cellStyle name="Comma [00] 2" xfId="2023" xr:uid="{00000000-0005-0000-0000-00007D020000}"/>
    <cellStyle name="Comma [00] 3" xfId="2476" xr:uid="{00000000-0005-0000-0000-00007E020000}"/>
    <cellStyle name="Comma [1]" xfId="323" xr:uid="{00000000-0005-0000-0000-00007F020000}"/>
    <cellStyle name="Comma [2]" xfId="324" xr:uid="{00000000-0005-0000-0000-000080020000}"/>
    <cellStyle name="Comma 0" xfId="325" xr:uid="{00000000-0005-0000-0000-000081020000}"/>
    <cellStyle name="Comma 0*" xfId="326" xr:uid="{00000000-0005-0000-0000-000082020000}"/>
    <cellStyle name="Comma 0_Kan Loral model" xfId="992" xr:uid="{00000000-0005-0000-0000-000083020000}"/>
    <cellStyle name="Comma 1" xfId="3120" xr:uid="{00000000-0005-0000-0000-000084020000}"/>
    <cellStyle name="Comma 10" xfId="1220" xr:uid="{00000000-0005-0000-0000-000085020000}"/>
    <cellStyle name="Comma 10 2" xfId="54237" xr:uid="{00000000-0005-0000-0000-00003D000000}"/>
    <cellStyle name="Comma 11" xfId="1223" xr:uid="{00000000-0005-0000-0000-000086020000}"/>
    <cellStyle name="Comma 11 2" xfId="6170" xr:uid="{00000000-0005-0000-0000-000042000000}"/>
    <cellStyle name="Comma 114" xfId="1263" xr:uid="{00000000-0005-0000-0000-000087020000}"/>
    <cellStyle name="Comma 12" xfId="1252" xr:uid="{00000000-0005-0000-0000-000088020000}"/>
    <cellStyle name="Comma 120" xfId="1262" xr:uid="{00000000-0005-0000-0000-000089020000}"/>
    <cellStyle name="Comma 13" xfId="75" xr:uid="{00000000-0005-0000-0000-00008A020000}"/>
    <cellStyle name="Comma 14" xfId="1272" xr:uid="{00000000-0005-0000-0000-00008B020000}"/>
    <cellStyle name="Comma 15" xfId="1277" xr:uid="{00000000-0005-0000-0000-00008C020000}"/>
    <cellStyle name="Comma 16" xfId="1282" xr:uid="{00000000-0005-0000-0000-00008D020000}"/>
    <cellStyle name="Comma 17" xfId="1658" xr:uid="{00000000-0005-0000-0000-00008E020000}"/>
    <cellStyle name="Comma 18" xfId="1623" xr:uid="{00000000-0005-0000-0000-00008F020000}"/>
    <cellStyle name="Comma 19" xfId="1614" xr:uid="{00000000-0005-0000-0000-000090020000}"/>
    <cellStyle name="Comma 2" xfId="8" xr:uid="{00000000-0005-0000-0000-000001000000}"/>
    <cellStyle name="Comma 2 2" xfId="1269" xr:uid="{00000000-0005-0000-0000-000092020000}"/>
    <cellStyle name="Comma 2 2 2" xfId="2882" xr:uid="{00000000-0005-0000-0000-000093020000}"/>
    <cellStyle name="Comma 2 2 2 2" xfId="3121" xr:uid="{00000000-0005-0000-0000-000094020000}"/>
    <cellStyle name="Comma 2 2 2 3" xfId="54236" xr:uid="{00000000-0005-0000-0000-00003F000000}"/>
    <cellStyle name="Comma 2 2 3" xfId="3115" xr:uid="{00000000-0005-0000-0000-000095020000}"/>
    <cellStyle name="Comma 2 3" xfId="1303" xr:uid="{00000000-0005-0000-0000-000096020000}"/>
    <cellStyle name="Comma 2 3 2" xfId="2889" xr:uid="{00000000-0005-0000-0000-000097020000}"/>
    <cellStyle name="Comma 2 3 3" xfId="3140" xr:uid="{00000000-0005-0000-0000-000098020000}"/>
    <cellStyle name="Comma 2 4" xfId="1357" xr:uid="{00000000-0005-0000-0000-000099020000}"/>
    <cellStyle name="Comma 2 4 2" xfId="2879" xr:uid="{00000000-0005-0000-0000-00009A020000}"/>
    <cellStyle name="Comma 2 4 3" xfId="3111" xr:uid="{00000000-0005-0000-0000-00009B020000}"/>
    <cellStyle name="Comma 2 5" xfId="1315" xr:uid="{00000000-0005-0000-0000-00009C020000}"/>
    <cellStyle name="Comma 2 6" xfId="327" xr:uid="{00000000-0005-0000-0000-000091020000}"/>
    <cellStyle name="Comma 2 7" xfId="6090" xr:uid="{00000000-0005-0000-0000-000043000000}"/>
    <cellStyle name="Comma 2*" xfId="328" xr:uid="{00000000-0005-0000-0000-00009D020000}"/>
    <cellStyle name="Comma 2_Kan Loral model" xfId="993" xr:uid="{00000000-0005-0000-0000-00009E020000}"/>
    <cellStyle name="Comma 20" xfId="1566" xr:uid="{00000000-0005-0000-0000-00009F020000}"/>
    <cellStyle name="Comma 21" xfId="1588" xr:uid="{00000000-0005-0000-0000-0000A0020000}"/>
    <cellStyle name="Comma 22" xfId="1604" xr:uid="{00000000-0005-0000-0000-0000A1020000}"/>
    <cellStyle name="Comma 23" xfId="1662" xr:uid="{00000000-0005-0000-0000-0000A2020000}"/>
    <cellStyle name="Comma 24" xfId="1664" xr:uid="{00000000-0005-0000-0000-0000A3020000}"/>
    <cellStyle name="Comma 25" xfId="1663" xr:uid="{00000000-0005-0000-0000-0000A4020000}"/>
    <cellStyle name="Comma 26" xfId="1666" xr:uid="{00000000-0005-0000-0000-0000A5020000}"/>
    <cellStyle name="Comma 27" xfId="1601" xr:uid="{00000000-0005-0000-0000-0000A6020000}"/>
    <cellStyle name="Comma 28" xfId="1600" xr:uid="{00000000-0005-0000-0000-0000A7020000}"/>
    <cellStyle name="Comma 29" xfId="1668" xr:uid="{00000000-0005-0000-0000-0000A8020000}"/>
    <cellStyle name="Comma 3" xfId="329" xr:uid="{00000000-0005-0000-0000-0000A9020000}"/>
    <cellStyle name="Comma 3 2" xfId="1042" xr:uid="{00000000-0005-0000-0000-0000AA020000}"/>
    <cellStyle name="Comma 3 2 2" xfId="3122" xr:uid="{00000000-0005-0000-0000-0000AB020000}"/>
    <cellStyle name="Comma 3 5" xfId="1814" xr:uid="{00000000-0005-0000-0000-0000AC020000}"/>
    <cellStyle name="Comma 3*" xfId="330" xr:uid="{00000000-0005-0000-0000-0000AD020000}"/>
    <cellStyle name="Comma 30" xfId="1795" xr:uid="{00000000-0005-0000-0000-0000AE020000}"/>
    <cellStyle name="Comma 31" xfId="1810" xr:uid="{00000000-0005-0000-0000-0000AF020000}"/>
    <cellStyle name="Comma 32" xfId="1819" xr:uid="{00000000-0005-0000-0000-0000B0020000}"/>
    <cellStyle name="Comma 33" xfId="1879" xr:uid="{00000000-0005-0000-0000-0000B1020000}"/>
    <cellStyle name="Comma 34" xfId="1883" xr:uid="{00000000-0005-0000-0000-0000B2020000}"/>
    <cellStyle name="Comma 35" xfId="1889" xr:uid="{00000000-0005-0000-0000-0000B3020000}"/>
    <cellStyle name="Comma 36" xfId="1929" xr:uid="{00000000-0005-0000-0000-0000B4020000}"/>
    <cellStyle name="Comma 37" xfId="1934" xr:uid="{00000000-0005-0000-0000-0000B5020000}"/>
    <cellStyle name="Comma 38" xfId="2343" xr:uid="{00000000-0005-0000-0000-0000B6020000}"/>
    <cellStyle name="Comma 39" xfId="2377" xr:uid="{00000000-0005-0000-0000-0000B7020000}"/>
    <cellStyle name="Comma 4" xfId="975" xr:uid="{00000000-0005-0000-0000-0000B8020000}"/>
    <cellStyle name="Comma 4 2" xfId="80" xr:uid="{00000000-0005-0000-0000-0000B9020000}"/>
    <cellStyle name="Comma 4 2 2" xfId="2844" xr:uid="{00000000-0005-0000-0000-0000BA020000}"/>
    <cellStyle name="Comma 4 2 3" xfId="54233" xr:uid="{00000000-0005-0000-0000-000043000000}"/>
    <cellStyle name="Comma 4 3" xfId="1111" xr:uid="{00000000-0005-0000-0000-0000BB020000}"/>
    <cellStyle name="Comma 4 4" xfId="1314" xr:uid="{00000000-0005-0000-0000-0000BC020000}"/>
    <cellStyle name="Comma 4 5" xfId="3123" xr:uid="{00000000-0005-0000-0000-0000BD020000}"/>
    <cellStyle name="Comma 40" xfId="2382" xr:uid="{00000000-0005-0000-0000-0000BE020000}"/>
    <cellStyle name="Comma 41" xfId="2801" xr:uid="{00000000-0005-0000-0000-0000BF020000}"/>
    <cellStyle name="Comma 42" xfId="2804" xr:uid="{00000000-0005-0000-0000-0000C0020000}"/>
    <cellStyle name="Comma 43" xfId="2905" xr:uid="{00000000-0005-0000-0000-0000C1020000}"/>
    <cellStyle name="Comma 44" xfId="3106" xr:uid="{00000000-0005-0000-0000-0000C2020000}"/>
    <cellStyle name="Comma 45" xfId="3145" xr:uid="{00000000-0005-0000-0000-0000C3020000}"/>
    <cellStyle name="Comma 46" xfId="3156" xr:uid="{00000000-0005-0000-0000-0000C4020000}"/>
    <cellStyle name="Comma 47" xfId="3180" xr:uid="{00000000-0005-0000-0000-0000C5020000}"/>
    <cellStyle name="Comma 48" xfId="3142" xr:uid="{00000000-0005-0000-0000-0000C6020000}"/>
    <cellStyle name="Comma 49" xfId="3183" xr:uid="{00000000-0005-0000-0000-0000C7020000}"/>
    <cellStyle name="Comma 5" xfId="989" xr:uid="{00000000-0005-0000-0000-0000C8020000}"/>
    <cellStyle name="Comma 5 2" xfId="2852" xr:uid="{00000000-0005-0000-0000-0000C9020000}"/>
    <cellStyle name="Comma 5 2 2" xfId="54239" xr:uid="{00000000-0005-0000-0000-000045000000}"/>
    <cellStyle name="Comma 5 3" xfId="2846" xr:uid="{00000000-0005-0000-0000-0000CA020000}"/>
    <cellStyle name="Comma 5 4" xfId="3124" xr:uid="{00000000-0005-0000-0000-0000CB020000}"/>
    <cellStyle name="Comma 50" xfId="3297" xr:uid="{00000000-0005-0000-0000-0000CC020000}"/>
    <cellStyle name="Comma 51" xfId="3302" xr:uid="{00000000-0005-0000-0000-0000CD020000}"/>
    <cellStyle name="Comma 52" xfId="3326" xr:uid="{00000000-0005-0000-0000-0000CE020000}"/>
    <cellStyle name="Comma 53" xfId="4561" xr:uid="{00000000-0005-0000-0000-0000751A0000}"/>
    <cellStyle name="Comma 54" xfId="6254" xr:uid="{00000000-0005-0000-0000-0000A61A0000}"/>
    <cellStyle name="Comma 55" xfId="4336" xr:uid="{00000000-0005-0000-0000-0000AE1A0000}"/>
    <cellStyle name="Comma 56" xfId="6300" xr:uid="{00000000-0005-0000-0000-0000B61A0000}"/>
    <cellStyle name="Comma 57" xfId="5122" xr:uid="{00000000-0005-0000-0000-0000BE1A0000}"/>
    <cellStyle name="Comma 58" xfId="4078" xr:uid="{00000000-0005-0000-0000-0000C41A0000}"/>
    <cellStyle name="Comma 59" xfId="54217" xr:uid="{00000000-0005-0000-0000-0000D1D30000}"/>
    <cellStyle name="Comma 6" xfId="1010" xr:uid="{00000000-0005-0000-0000-0000CF020000}"/>
    <cellStyle name="Comma 6 2" xfId="2812" xr:uid="{00000000-0005-0000-0000-0000D0020000}"/>
    <cellStyle name="Comma 6 3" xfId="54240" xr:uid="{00000000-0005-0000-0000-000046000000}"/>
    <cellStyle name="Comma 7" xfId="10" xr:uid="{11CEC267-C208-4EFD-8199-7D7C43A49B65}"/>
    <cellStyle name="Comma 7 2" xfId="2829" xr:uid="{00000000-0005-0000-0000-0000D2020000}"/>
    <cellStyle name="Comma 7 3" xfId="1107" xr:uid="{00000000-0005-0000-0000-0000D1020000}"/>
    <cellStyle name="Comma 8" xfId="1115" xr:uid="{00000000-0005-0000-0000-0000D3020000}"/>
    <cellStyle name="Comma 8 2" xfId="2902" xr:uid="{00000000-0005-0000-0000-0000D4020000}"/>
    <cellStyle name="Comma 9" xfId="1196" xr:uid="{00000000-0005-0000-0000-0000D5020000}"/>
    <cellStyle name="comma zerodec" xfId="331" xr:uid="{00000000-0005-0000-0000-0000D6020000}"/>
    <cellStyle name="Comma.2" xfId="332" xr:uid="{00000000-0005-0000-0000-0000D7020000}"/>
    <cellStyle name="Comma0" xfId="333" xr:uid="{00000000-0005-0000-0000-0000D8020000}"/>
    <cellStyle name="Comma1" xfId="334" xr:uid="{00000000-0005-0000-0000-0000D9020000}"/>
    <cellStyle name="Comma1 2" xfId="2024" xr:uid="{00000000-0005-0000-0000-0000DA020000}"/>
    <cellStyle name="Comma1 3" xfId="2477" xr:uid="{00000000-0005-0000-0000-0000DB020000}"/>
    <cellStyle name="CommaKM" xfId="335" xr:uid="{00000000-0005-0000-0000-0000DC020000}"/>
    <cellStyle name="Comment" xfId="336" xr:uid="{00000000-0005-0000-0000-0000DD020000}"/>
    <cellStyle name="Comment 2" xfId="2025" xr:uid="{00000000-0005-0000-0000-0000DE020000}"/>
    <cellStyle name="Comment 3" xfId="2478" xr:uid="{00000000-0005-0000-0000-0000DF020000}"/>
    <cellStyle name="Company" xfId="337" xr:uid="{00000000-0005-0000-0000-0000E0020000}"/>
    <cellStyle name="Company 2" xfId="2026" xr:uid="{00000000-0005-0000-0000-0000E1020000}"/>
    <cellStyle name="Company 3" xfId="2479" xr:uid="{00000000-0005-0000-0000-0000E2020000}"/>
    <cellStyle name="CompanyName" xfId="338" xr:uid="{00000000-0005-0000-0000-0000E3020000}"/>
    <cellStyle name="CompanyName 2" xfId="2027" xr:uid="{00000000-0005-0000-0000-0000E4020000}"/>
    <cellStyle name="CompanyName 3" xfId="2480" xr:uid="{00000000-0005-0000-0000-0000E5020000}"/>
    <cellStyle name="Comps" xfId="339" xr:uid="{00000000-0005-0000-0000-0000E6020000}"/>
    <cellStyle name="CurRatio" xfId="340" xr:uid="{00000000-0005-0000-0000-0000E7020000}"/>
    <cellStyle name="Currency" xfId="2" builtinId="4"/>
    <cellStyle name="Currency--" xfId="341" xr:uid="{00000000-0005-0000-0000-0000E9020000}"/>
    <cellStyle name="Currency (1)" xfId="342" xr:uid="{00000000-0005-0000-0000-0000EA020000}"/>
    <cellStyle name="Currency (1) 2" xfId="2029" xr:uid="{00000000-0005-0000-0000-0000EB020000}"/>
    <cellStyle name="Currency (1) 3" xfId="2482" xr:uid="{00000000-0005-0000-0000-0000EC020000}"/>
    <cellStyle name="Currency (no dec.)" xfId="343" xr:uid="{00000000-0005-0000-0000-0000ED020000}"/>
    <cellStyle name="Currency [00]" xfId="344" xr:uid="{00000000-0005-0000-0000-0000EE020000}"/>
    <cellStyle name="Currency [1]" xfId="345" xr:uid="{00000000-0005-0000-0000-0000EF020000}"/>
    <cellStyle name="Currency [1] 2" xfId="2030" xr:uid="{00000000-0005-0000-0000-0000F0020000}"/>
    <cellStyle name="Currency [1] 3" xfId="2483" xr:uid="{00000000-0005-0000-0000-0000F1020000}"/>
    <cellStyle name="Currency [2]" xfId="346" xr:uid="{00000000-0005-0000-0000-0000F2020000}"/>
    <cellStyle name="Currency 0" xfId="347" xr:uid="{00000000-0005-0000-0000-0000F3020000}"/>
    <cellStyle name="Currency 0 2" xfId="3125" xr:uid="{00000000-0005-0000-0000-0000F4020000}"/>
    <cellStyle name="Currency 0.0" xfId="348" xr:uid="{00000000-0005-0000-0000-0000F5020000}"/>
    <cellStyle name="Currency 0.0 2" xfId="980" xr:uid="{00000000-0005-0000-0000-0000F6020000}"/>
    <cellStyle name="Currency 0.0 3" xfId="1542" xr:uid="{00000000-0005-0000-0000-0000F7020000}"/>
    <cellStyle name="Currency 0.0 4" xfId="3332" xr:uid="{00000000-0005-0000-0000-0000F5020000}"/>
    <cellStyle name="Currency 0_MS_VZ_081506" xfId="994" xr:uid="{00000000-0005-0000-0000-0000F8020000}"/>
    <cellStyle name="Currency 1" xfId="3126" xr:uid="{00000000-0005-0000-0000-0000F9020000}"/>
    <cellStyle name="Currency 10" xfId="3148" xr:uid="{00000000-0005-0000-0000-0000FA020000}"/>
    <cellStyle name="Currency-- 10" xfId="1230" xr:uid="{00000000-0005-0000-0000-0000FB020000}"/>
    <cellStyle name="Currency 11" xfId="3154" xr:uid="{00000000-0005-0000-0000-0000FC020000}"/>
    <cellStyle name="Currency-- 11" xfId="1274" xr:uid="{00000000-0005-0000-0000-0000FD020000}"/>
    <cellStyle name="Currency-- 12" xfId="1279" xr:uid="{00000000-0005-0000-0000-0000FE020000}"/>
    <cellStyle name="Currency-- 13" xfId="1358" xr:uid="{00000000-0005-0000-0000-0000FF020000}"/>
    <cellStyle name="Currency-- 14" xfId="1381" xr:uid="{00000000-0005-0000-0000-000000030000}"/>
    <cellStyle name="Currency-- 15" xfId="1337" xr:uid="{00000000-0005-0000-0000-000001030000}"/>
    <cellStyle name="Currency-- 16" xfId="1503" xr:uid="{00000000-0005-0000-0000-000002030000}"/>
    <cellStyle name="Currency-- 17" xfId="1798" xr:uid="{00000000-0005-0000-0000-000003030000}"/>
    <cellStyle name="Currency-- 18" xfId="1812" xr:uid="{00000000-0005-0000-0000-000004030000}"/>
    <cellStyle name="Currency-- 19" xfId="1848" xr:uid="{00000000-0005-0000-0000-000005030000}"/>
    <cellStyle name="Currency 2" xfId="349" xr:uid="{00000000-0005-0000-0000-000006030000}"/>
    <cellStyle name="Currency-- 2" xfId="1044" xr:uid="{00000000-0005-0000-0000-000007030000}"/>
    <cellStyle name="Currency 2 2" xfId="1359" xr:uid="{00000000-0005-0000-0000-000008030000}"/>
    <cellStyle name="Currency 2 2 2" xfId="2860" xr:uid="{00000000-0005-0000-0000-000009030000}"/>
    <cellStyle name="Currency 2 2 3" xfId="3127" xr:uid="{00000000-0005-0000-0000-00000A030000}"/>
    <cellStyle name="Currency 2 2 4" xfId="54230" xr:uid="{00000000-0005-0000-0000-000049000000}"/>
    <cellStyle name="Currency 2 3" xfId="1543" xr:uid="{00000000-0005-0000-0000-00000B030000}"/>
    <cellStyle name="Currency 2 4" xfId="1608" xr:uid="{00000000-0005-0000-0000-00000C030000}"/>
    <cellStyle name="Currency 2 5" xfId="1328" xr:uid="{00000000-0005-0000-0000-00000D030000}"/>
    <cellStyle name="Currency 2 6" xfId="1416" xr:uid="{00000000-0005-0000-0000-00000E030000}"/>
    <cellStyle name="Currency 2 7" xfId="1703" xr:uid="{00000000-0005-0000-0000-00000F030000}"/>
    <cellStyle name="Currency 2 8" xfId="1351" xr:uid="{00000000-0005-0000-0000-000010030000}"/>
    <cellStyle name="Currency 2 9" xfId="54220" xr:uid="{00000000-0005-0000-0000-000048000000}"/>
    <cellStyle name="Currency 2*" xfId="350" xr:uid="{00000000-0005-0000-0000-000011030000}"/>
    <cellStyle name="Currency 2_Consolidated Model v164(Tenovis Model)" xfId="995" xr:uid="{00000000-0005-0000-0000-000012030000}"/>
    <cellStyle name="Currency-- 20" xfId="1866" xr:uid="{00000000-0005-0000-0000-000013030000}"/>
    <cellStyle name="Currency-- 21" xfId="1885" xr:uid="{00000000-0005-0000-0000-000014030000}"/>
    <cellStyle name="Currency-- 22" xfId="1891" xr:uid="{00000000-0005-0000-0000-000015030000}"/>
    <cellStyle name="Currency-- 23" xfId="1896" xr:uid="{00000000-0005-0000-0000-000016030000}"/>
    <cellStyle name="Currency-- 24" xfId="1931" xr:uid="{00000000-0005-0000-0000-000017030000}"/>
    <cellStyle name="Currency-- 25" xfId="2028" xr:uid="{00000000-0005-0000-0000-000018030000}"/>
    <cellStyle name="Currency-- 26" xfId="2312" xr:uid="{00000000-0005-0000-0000-000019030000}"/>
    <cellStyle name="Currency-- 27" xfId="2379" xr:uid="{00000000-0005-0000-0000-00001A030000}"/>
    <cellStyle name="Currency-- 28" xfId="2384" xr:uid="{00000000-0005-0000-0000-00001B030000}"/>
    <cellStyle name="Currency-- 29" xfId="2481" xr:uid="{00000000-0005-0000-0000-00001C030000}"/>
    <cellStyle name="Currency 3" xfId="86" xr:uid="{00000000-0005-0000-0000-00001D030000}"/>
    <cellStyle name="Currency-- 3" xfId="1069" xr:uid="{00000000-0005-0000-0000-00001E030000}"/>
    <cellStyle name="Currency 3 2" xfId="1300" xr:uid="{00000000-0005-0000-0000-00001F030000}"/>
    <cellStyle name="Currency 3 2 2" xfId="2878" xr:uid="{00000000-0005-0000-0000-000020030000}"/>
    <cellStyle name="Currency 3*" xfId="351" xr:uid="{00000000-0005-0000-0000-000021030000}"/>
    <cellStyle name="Currency-- 30" xfId="2806" xr:uid="{00000000-0005-0000-0000-000022030000}"/>
    <cellStyle name="Currency-- 31" xfId="2983" xr:uid="{00000000-0005-0000-0000-000023030000}"/>
    <cellStyle name="Currency-- 32" xfId="3033" xr:uid="{00000000-0005-0000-0000-000024030000}"/>
    <cellStyle name="Currency-- 33" xfId="2993" xr:uid="{00000000-0005-0000-0000-000025030000}"/>
    <cellStyle name="Currency-- 34" xfId="3163" xr:uid="{00000000-0005-0000-0000-000026030000}"/>
    <cellStyle name="Currency-- 35" xfId="3173" xr:uid="{00000000-0005-0000-0000-000027030000}"/>
    <cellStyle name="Currency-- 36" xfId="3257" xr:uid="{00000000-0005-0000-0000-000028030000}"/>
    <cellStyle name="Currency-- 37" xfId="3284" xr:uid="{00000000-0005-0000-0000-000029030000}"/>
    <cellStyle name="Currency-- 38" xfId="3309" xr:uid="{00000000-0005-0000-0000-00002A030000}"/>
    <cellStyle name="Currency-- 39" xfId="3319" xr:uid="{00000000-0005-0000-0000-00002B030000}"/>
    <cellStyle name="Currency 4" xfId="1112" xr:uid="{00000000-0005-0000-0000-00002C030000}"/>
    <cellStyle name="Currency-- 4" xfId="1043" xr:uid="{00000000-0005-0000-0000-00002D030000}"/>
    <cellStyle name="Currency-- 40" xfId="3331" xr:uid="{00000000-0005-0000-0000-0000E9020000}"/>
    <cellStyle name="Currency-- 41" xfId="3977" xr:uid="{00000000-0005-0000-0000-0000E9020000}"/>
    <cellStyle name="Currency-- 42" xfId="4933" xr:uid="{00000000-0005-0000-0000-0000E9020000}"/>
    <cellStyle name="Currency-- 43" xfId="9629" xr:uid="{00000000-0005-0000-0000-0000E9020000}"/>
    <cellStyle name="Currency-- 44" xfId="7032" xr:uid="{00000000-0005-0000-0000-0000E9020000}"/>
    <cellStyle name="Currency-- 45" xfId="8327" xr:uid="{00000000-0005-0000-0000-0000E9020000}"/>
    <cellStyle name="Currency-- 46" xfId="19064" xr:uid="{00000000-0005-0000-0000-0000E9020000}"/>
    <cellStyle name="Currency-- 47" xfId="7708" xr:uid="{00000000-0005-0000-0000-0000E9020000}"/>
    <cellStyle name="Currency-- 48" xfId="11757" xr:uid="{00000000-0005-0000-0000-0000E9020000}"/>
    <cellStyle name="Currency 5" xfId="1109" xr:uid="{00000000-0005-0000-0000-00002E030000}"/>
    <cellStyle name="Currency-- 5" xfId="1105" xr:uid="{00000000-0005-0000-0000-00002F030000}"/>
    <cellStyle name="Currency 5 2" xfId="2830" xr:uid="{00000000-0005-0000-0000-000030030000}"/>
    <cellStyle name="Currency 6" xfId="1253" xr:uid="{00000000-0005-0000-0000-000031030000}"/>
    <cellStyle name="Currency-- 6" xfId="1122" xr:uid="{00000000-0005-0000-0000-000032030000}"/>
    <cellStyle name="Currency 6 2" xfId="2900" xr:uid="{00000000-0005-0000-0000-000033030000}"/>
    <cellStyle name="Currency 7" xfId="1283" xr:uid="{00000000-0005-0000-0000-000034030000}"/>
    <cellStyle name="Currency-- 7" xfId="1206" xr:uid="{00000000-0005-0000-0000-000035030000}"/>
    <cellStyle name="Currency 8" xfId="2308" xr:uid="{00000000-0005-0000-0000-000036030000}"/>
    <cellStyle name="Currency-- 8" xfId="1215" xr:uid="{00000000-0005-0000-0000-000037030000}"/>
    <cellStyle name="Currency 9" xfId="3109" xr:uid="{00000000-0005-0000-0000-000038030000}"/>
    <cellStyle name="Currency-- 9" xfId="1225" xr:uid="{00000000-0005-0000-0000-000039030000}"/>
    <cellStyle name="Currency Input" xfId="352" xr:uid="{00000000-0005-0000-0000-00003A030000}"/>
    <cellStyle name="Currency--_Kan Loral model" xfId="996" xr:uid="{00000000-0005-0000-0000-00003B030000}"/>
    <cellStyle name="Currency0" xfId="353" xr:uid="{00000000-0005-0000-0000-00003C030000}"/>
    <cellStyle name="Currency0 2" xfId="2031" xr:uid="{00000000-0005-0000-0000-00003D030000}"/>
    <cellStyle name="Currency0 3" xfId="2484" xr:uid="{00000000-0005-0000-0000-00003E030000}"/>
    <cellStyle name="Currency1" xfId="354" xr:uid="{00000000-0005-0000-0000-00003F030000}"/>
    <cellStyle name="Currency1Blue" xfId="355" xr:uid="{00000000-0005-0000-0000-000040030000}"/>
    <cellStyle name="Currency2" xfId="356" xr:uid="{00000000-0005-0000-0000-000041030000}"/>
    <cellStyle name="d2" xfId="357" xr:uid="{00000000-0005-0000-0000-000042030000}"/>
    <cellStyle name="DARK" xfId="358" xr:uid="{00000000-0005-0000-0000-000043030000}"/>
    <cellStyle name="DARK 2" xfId="2032" xr:uid="{00000000-0005-0000-0000-000044030000}"/>
    <cellStyle name="DARK 3" xfId="2485" xr:uid="{00000000-0005-0000-0000-000045030000}"/>
    <cellStyle name="Dash" xfId="359" xr:uid="{00000000-0005-0000-0000-000046030000}"/>
    <cellStyle name="Dash 2" xfId="2033" xr:uid="{00000000-0005-0000-0000-000047030000}"/>
    <cellStyle name="Dash 3" xfId="2486" xr:uid="{00000000-0005-0000-0000-000048030000}"/>
    <cellStyle name="data" xfId="360" xr:uid="{00000000-0005-0000-0000-000049030000}"/>
    <cellStyle name="data 2" xfId="2034" xr:uid="{00000000-0005-0000-0000-00004A030000}"/>
    <cellStyle name="data 3" xfId="2487" xr:uid="{00000000-0005-0000-0000-00004B030000}"/>
    <cellStyle name="DATASTYLE" xfId="361" xr:uid="{00000000-0005-0000-0000-00004C030000}"/>
    <cellStyle name="DATASTYLE 2" xfId="2035" xr:uid="{00000000-0005-0000-0000-00004D030000}"/>
    <cellStyle name="DATASTYLE 3" xfId="2488" xr:uid="{00000000-0005-0000-0000-00004E030000}"/>
    <cellStyle name="Date" xfId="362" xr:uid="{00000000-0005-0000-0000-00004F030000}"/>
    <cellStyle name="Date [d-mmm-yy]" xfId="363" xr:uid="{00000000-0005-0000-0000-000050030000}"/>
    <cellStyle name="Date [mm-d-yy]" xfId="364" xr:uid="{00000000-0005-0000-0000-000051030000}"/>
    <cellStyle name="Date [mm-d-yy] 2" xfId="2036" xr:uid="{00000000-0005-0000-0000-000052030000}"/>
    <cellStyle name="Date [mm-d-yy] 3" xfId="2489" xr:uid="{00000000-0005-0000-0000-000053030000}"/>
    <cellStyle name="Date [mm-d-yyyy]" xfId="365" xr:uid="{00000000-0005-0000-0000-000054030000}"/>
    <cellStyle name="Date [mm-d-yyyy] 2" xfId="1012" xr:uid="{00000000-0005-0000-0000-000055030000}"/>
    <cellStyle name="Date [mm-d-yyyy] 2 2" xfId="1612" xr:uid="{00000000-0005-0000-0000-000056030000}"/>
    <cellStyle name="Date [mm-d-yyyy] 2 2 10" xfId="8485" xr:uid="{00000000-0005-0000-0000-000056030000}"/>
    <cellStyle name="Date [mm-d-yyyy] 2 2 2" xfId="1704" xr:uid="{00000000-0005-0000-0000-000057030000}"/>
    <cellStyle name="Date [mm-d-yyyy] 2 2 2 2" xfId="3601" xr:uid="{00000000-0005-0000-0000-000057030000}"/>
    <cellStyle name="Date [mm-d-yyyy] 2 2 2 2 2" xfId="5774" xr:uid="{00000000-0005-0000-0000-000057030000}"/>
    <cellStyle name="Date [mm-d-yyyy] 2 2 2 2 2 2" xfId="12138" xr:uid="{00000000-0005-0000-0000-000057030000}"/>
    <cellStyle name="Date [mm-d-yyyy] 2 2 2 2 2 2 2" xfId="30585" xr:uid="{00000000-0005-0000-0000-000057030000}"/>
    <cellStyle name="Date [mm-d-yyyy] 2 2 2 2 2 2 3" xfId="48948" xr:uid="{00000000-0005-0000-0000-000057030000}"/>
    <cellStyle name="Date [mm-d-yyyy] 2 2 2 2 2 3" xfId="16464" xr:uid="{00000000-0005-0000-0000-000057030000}"/>
    <cellStyle name="Date [mm-d-yyyy] 2 2 2 2 2 3 2" xfId="34836" xr:uid="{00000000-0005-0000-0000-000057030000}"/>
    <cellStyle name="Date [mm-d-yyyy] 2 2 2 2 2 3 3" xfId="53199" xr:uid="{00000000-0005-0000-0000-000057030000}"/>
    <cellStyle name="Date [mm-d-yyyy] 2 2 2 2 2 4" xfId="25583" xr:uid="{00000000-0005-0000-0000-000057030000}"/>
    <cellStyle name="Date [mm-d-yyyy] 2 2 2 2 2 4 2" xfId="43952" xr:uid="{00000000-0005-0000-0000-000057030000}"/>
    <cellStyle name="Date [mm-d-yyyy] 2 2 2 2 2 5" xfId="21904" xr:uid="{00000000-0005-0000-0000-000057030000}"/>
    <cellStyle name="Date [mm-d-yyyy] 2 2 2 2 2 6" xfId="40283" xr:uid="{00000000-0005-0000-0000-000057030000}"/>
    <cellStyle name="Date [mm-d-yyyy] 2 2 2 2 3" xfId="6600" xr:uid="{00000000-0005-0000-0000-000057030000}"/>
    <cellStyle name="Date [mm-d-yyyy] 2 2 2 2 3 2" xfId="12891" xr:uid="{00000000-0005-0000-0000-000057030000}"/>
    <cellStyle name="Date [mm-d-yyyy] 2 2 2 2 3 2 2" xfId="31317" xr:uid="{00000000-0005-0000-0000-000057030000}"/>
    <cellStyle name="Date [mm-d-yyyy] 2 2 2 2 3 2 3" xfId="49680" xr:uid="{00000000-0005-0000-0000-000057030000}"/>
    <cellStyle name="Date [mm-d-yyyy] 2 2 2 2 3 3" xfId="17202" xr:uid="{00000000-0005-0000-0000-000057030000}"/>
    <cellStyle name="Date [mm-d-yyyy] 2 2 2 2 3 3 2" xfId="35550" xr:uid="{00000000-0005-0000-0000-000057030000}"/>
    <cellStyle name="Date [mm-d-yyyy] 2 2 2 2 3 3 3" xfId="53913" xr:uid="{00000000-0005-0000-0000-000057030000}"/>
    <cellStyle name="Date [mm-d-yyyy] 2 2 2 2 3 4" xfId="26335" xr:uid="{00000000-0005-0000-0000-000057030000}"/>
    <cellStyle name="Date [mm-d-yyyy] 2 2 2 2 3 4 2" xfId="44704" xr:uid="{00000000-0005-0000-0000-000057030000}"/>
    <cellStyle name="Date [mm-d-yyyy] 2 2 2 2 3 5" xfId="22628" xr:uid="{00000000-0005-0000-0000-000057030000}"/>
    <cellStyle name="Date [mm-d-yyyy] 2 2 2 2 3 6" xfId="40997" xr:uid="{00000000-0005-0000-0000-000057030000}"/>
    <cellStyle name="Date [mm-d-yyyy] 2 2 2 2 4" xfId="10314" xr:uid="{00000000-0005-0000-0000-000057030000}"/>
    <cellStyle name="Date [mm-d-yyyy] 2 2 2 2 4 2" xfId="14371" xr:uid="{00000000-0005-0000-0000-000057030000}"/>
    <cellStyle name="Date [mm-d-yyyy] 2 2 2 2 4 2 2" xfId="32787" xr:uid="{00000000-0005-0000-0000-000057030000}"/>
    <cellStyle name="Date [mm-d-yyyy] 2 2 2 2 4 2 3" xfId="51150" xr:uid="{00000000-0005-0000-0000-000057030000}"/>
    <cellStyle name="Date [mm-d-yyyy] 2 2 2 2 4 3" xfId="29025" xr:uid="{00000000-0005-0000-0000-000057030000}"/>
    <cellStyle name="Date [mm-d-yyyy] 2 2 2 2 4 3 2" xfId="47388" xr:uid="{00000000-0005-0000-0000-000057030000}"/>
    <cellStyle name="Date [mm-d-yyyy] 2 2 2 2 4 4" xfId="19828" xr:uid="{00000000-0005-0000-0000-000057030000}"/>
    <cellStyle name="Date [mm-d-yyyy] 2 2 2 2 4 5" xfId="38234" xr:uid="{00000000-0005-0000-0000-000057030000}"/>
    <cellStyle name="Date [mm-d-yyyy] 2 2 2 2 5" xfId="9522" xr:uid="{00000000-0005-0000-0000-000057030000}"/>
    <cellStyle name="Date [mm-d-yyyy] 2 2 2 2 5 2" xfId="28239" xr:uid="{00000000-0005-0000-0000-000057030000}"/>
    <cellStyle name="Date [mm-d-yyyy] 2 2 2 2 5 3" xfId="46602" xr:uid="{00000000-0005-0000-0000-000057030000}"/>
    <cellStyle name="Date [mm-d-yyyy] 2 2 2 2 6" xfId="13580" xr:uid="{00000000-0005-0000-0000-000057030000}"/>
    <cellStyle name="Date [mm-d-yyyy] 2 2 2 2 6 2" xfId="32001" xr:uid="{00000000-0005-0000-0000-000057030000}"/>
    <cellStyle name="Date [mm-d-yyyy] 2 2 2 2 6 3" xfId="50364" xr:uid="{00000000-0005-0000-0000-000057030000}"/>
    <cellStyle name="Date [mm-d-yyyy] 2 2 2 2 7" xfId="23509" xr:uid="{00000000-0005-0000-0000-000057030000}"/>
    <cellStyle name="Date [mm-d-yyyy] 2 2 2 2 7 2" xfId="41878" xr:uid="{00000000-0005-0000-0000-000057030000}"/>
    <cellStyle name="Date [mm-d-yyyy] 2 2 2 2 8" xfId="18621" xr:uid="{00000000-0005-0000-0000-000057030000}"/>
    <cellStyle name="Date [mm-d-yyyy] 2 2 2 2 9" xfId="37031" xr:uid="{00000000-0005-0000-0000-000057030000}"/>
    <cellStyle name="Date [mm-d-yyyy] 2 2 2 3" xfId="4641" xr:uid="{00000000-0005-0000-0000-000057030000}"/>
    <cellStyle name="Date [mm-d-yyyy] 2 2 2 3 2" xfId="11225" xr:uid="{00000000-0005-0000-0000-000057030000}"/>
    <cellStyle name="Date [mm-d-yyyy] 2 2 2 3 2 2" xfId="29837" xr:uid="{00000000-0005-0000-0000-000057030000}"/>
    <cellStyle name="Date [mm-d-yyyy] 2 2 2 3 2 3" xfId="48200" xr:uid="{00000000-0005-0000-0000-000057030000}"/>
    <cellStyle name="Date [mm-d-yyyy] 2 2 2 3 3" xfId="15367" xr:uid="{00000000-0005-0000-0000-000057030000}"/>
    <cellStyle name="Date [mm-d-yyyy] 2 2 2 3 3 2" xfId="33760" xr:uid="{00000000-0005-0000-0000-000057030000}"/>
    <cellStyle name="Date [mm-d-yyyy] 2 2 2 3 3 3" xfId="52123" xr:uid="{00000000-0005-0000-0000-000057030000}"/>
    <cellStyle name="Date [mm-d-yyyy] 2 2 2 3 4" xfId="24491" xr:uid="{00000000-0005-0000-0000-000057030000}"/>
    <cellStyle name="Date [mm-d-yyyy] 2 2 2 3 4 2" xfId="42860" xr:uid="{00000000-0005-0000-0000-000057030000}"/>
    <cellStyle name="Date [mm-d-yyyy] 2 2 2 3 5" xfId="20818" xr:uid="{00000000-0005-0000-0000-000057030000}"/>
    <cellStyle name="Date [mm-d-yyyy] 2 2 2 3 6" xfId="39207" xr:uid="{00000000-0005-0000-0000-000057030000}"/>
    <cellStyle name="Date [mm-d-yyyy] 2 2 2 4" xfId="4362" xr:uid="{00000000-0005-0000-0000-000057030000}"/>
    <cellStyle name="Date [mm-d-yyyy] 2 2 2 4 2" xfId="10965" xr:uid="{00000000-0005-0000-0000-000057030000}"/>
    <cellStyle name="Date [mm-d-yyyy] 2 2 2 4 2 2" xfId="29590" xr:uid="{00000000-0005-0000-0000-000057030000}"/>
    <cellStyle name="Date [mm-d-yyyy] 2 2 2 4 2 3" xfId="47953" xr:uid="{00000000-0005-0000-0000-000057030000}"/>
    <cellStyle name="Date [mm-d-yyyy] 2 2 2 4 3" xfId="15101" xr:uid="{00000000-0005-0000-0000-000057030000}"/>
    <cellStyle name="Date [mm-d-yyyy] 2 2 2 4 3 2" xfId="33501" xr:uid="{00000000-0005-0000-0000-000057030000}"/>
    <cellStyle name="Date [mm-d-yyyy] 2 2 2 4 3 3" xfId="51864" xr:uid="{00000000-0005-0000-0000-000057030000}"/>
    <cellStyle name="Date [mm-d-yyyy] 2 2 2 4 4" xfId="24231" xr:uid="{00000000-0005-0000-0000-000057030000}"/>
    <cellStyle name="Date [mm-d-yyyy] 2 2 2 4 4 2" xfId="42600" xr:uid="{00000000-0005-0000-0000-000057030000}"/>
    <cellStyle name="Date [mm-d-yyyy] 2 2 2 4 5" xfId="20554" xr:uid="{00000000-0005-0000-0000-000057030000}"/>
    <cellStyle name="Date [mm-d-yyyy] 2 2 2 4 6" xfId="38948" xr:uid="{00000000-0005-0000-0000-000057030000}"/>
    <cellStyle name="Date [mm-d-yyyy] 2 2 2 5" xfId="9090" xr:uid="{00000000-0005-0000-0000-000057030000}"/>
    <cellStyle name="Date [mm-d-yyyy] 2 2 2 5 2" xfId="6158" xr:uid="{00000000-0005-0000-0000-000057030000}"/>
    <cellStyle name="Date [mm-d-yyyy] 2 2 2 5 2 2" xfId="25946" xr:uid="{00000000-0005-0000-0000-000057030000}"/>
    <cellStyle name="Date [mm-d-yyyy] 2 2 2 5 2 3" xfId="44315" xr:uid="{00000000-0005-0000-0000-000057030000}"/>
    <cellStyle name="Date [mm-d-yyyy] 2 2 2 5 3" xfId="27816" xr:uid="{00000000-0005-0000-0000-000057030000}"/>
    <cellStyle name="Date [mm-d-yyyy] 2 2 2 5 3 2" xfId="46179" xr:uid="{00000000-0005-0000-0000-000057030000}"/>
    <cellStyle name="Date [mm-d-yyyy] 2 2 2 5 4" xfId="17990" xr:uid="{00000000-0005-0000-0000-000057030000}"/>
    <cellStyle name="Date [mm-d-yyyy] 2 2 2 5 5" xfId="36398" xr:uid="{00000000-0005-0000-0000-000057030000}"/>
    <cellStyle name="Date [mm-d-yyyy] 2 2 2 6" xfId="7935" xr:uid="{00000000-0005-0000-0000-000057030000}"/>
    <cellStyle name="Date [mm-d-yyyy] 2 2 2 6 2" xfId="27165" xr:uid="{00000000-0005-0000-0000-000057030000}"/>
    <cellStyle name="Date [mm-d-yyyy] 2 2 2 6 3" xfId="45530" xr:uid="{00000000-0005-0000-0000-000057030000}"/>
    <cellStyle name="Date [mm-d-yyyy] 2 2 2 7" xfId="7485" xr:uid="{00000000-0005-0000-0000-000057030000}"/>
    <cellStyle name="Date [mm-d-yyyy] 2 2 2 7 2" xfId="26851" xr:uid="{00000000-0005-0000-0000-000057030000}"/>
    <cellStyle name="Date [mm-d-yyyy] 2 2 2 7 3" xfId="45216" xr:uid="{00000000-0005-0000-0000-000057030000}"/>
    <cellStyle name="Date [mm-d-yyyy] 2 2 2 8" xfId="8499" xr:uid="{00000000-0005-0000-0000-000057030000}"/>
    <cellStyle name="Date [mm-d-yyyy] 2 2 2 9" xfId="17780" xr:uid="{00000000-0005-0000-0000-000057030000}"/>
    <cellStyle name="Date [mm-d-yyyy] 2 2 3" xfId="1737" xr:uid="{00000000-0005-0000-0000-000058030000}"/>
    <cellStyle name="Date [mm-d-yyyy] 2 2 3 10" xfId="8952" xr:uid="{00000000-0005-0000-0000-000058030000}"/>
    <cellStyle name="Date [mm-d-yyyy] 2 2 3 2" xfId="3634" xr:uid="{00000000-0005-0000-0000-000058030000}"/>
    <cellStyle name="Date [mm-d-yyyy] 2 2 3 2 2" xfId="5807" xr:uid="{00000000-0005-0000-0000-000058030000}"/>
    <cellStyle name="Date [mm-d-yyyy] 2 2 3 2 2 2" xfId="12171" xr:uid="{00000000-0005-0000-0000-000058030000}"/>
    <cellStyle name="Date [mm-d-yyyy] 2 2 3 2 2 2 2" xfId="30618" xr:uid="{00000000-0005-0000-0000-000058030000}"/>
    <cellStyle name="Date [mm-d-yyyy] 2 2 3 2 2 2 3" xfId="48981" xr:uid="{00000000-0005-0000-0000-000058030000}"/>
    <cellStyle name="Date [mm-d-yyyy] 2 2 3 2 2 3" xfId="16497" xr:uid="{00000000-0005-0000-0000-000058030000}"/>
    <cellStyle name="Date [mm-d-yyyy] 2 2 3 2 2 3 2" xfId="34869" xr:uid="{00000000-0005-0000-0000-000058030000}"/>
    <cellStyle name="Date [mm-d-yyyy] 2 2 3 2 2 3 3" xfId="53232" xr:uid="{00000000-0005-0000-0000-000058030000}"/>
    <cellStyle name="Date [mm-d-yyyy] 2 2 3 2 2 4" xfId="25616" xr:uid="{00000000-0005-0000-0000-000058030000}"/>
    <cellStyle name="Date [mm-d-yyyy] 2 2 3 2 2 4 2" xfId="43985" xr:uid="{00000000-0005-0000-0000-000058030000}"/>
    <cellStyle name="Date [mm-d-yyyy] 2 2 3 2 2 5" xfId="21937" xr:uid="{00000000-0005-0000-0000-000058030000}"/>
    <cellStyle name="Date [mm-d-yyyy] 2 2 3 2 2 6" xfId="40316" xr:uid="{00000000-0005-0000-0000-000058030000}"/>
    <cellStyle name="Date [mm-d-yyyy] 2 2 3 2 3" xfId="6633" xr:uid="{00000000-0005-0000-0000-000058030000}"/>
    <cellStyle name="Date [mm-d-yyyy] 2 2 3 2 3 2" xfId="12924" xr:uid="{00000000-0005-0000-0000-000058030000}"/>
    <cellStyle name="Date [mm-d-yyyy] 2 2 3 2 3 2 2" xfId="31350" xr:uid="{00000000-0005-0000-0000-000058030000}"/>
    <cellStyle name="Date [mm-d-yyyy] 2 2 3 2 3 2 3" xfId="49713" xr:uid="{00000000-0005-0000-0000-000058030000}"/>
    <cellStyle name="Date [mm-d-yyyy] 2 2 3 2 3 3" xfId="17235" xr:uid="{00000000-0005-0000-0000-000058030000}"/>
    <cellStyle name="Date [mm-d-yyyy] 2 2 3 2 3 3 2" xfId="35583" xr:uid="{00000000-0005-0000-0000-000058030000}"/>
    <cellStyle name="Date [mm-d-yyyy] 2 2 3 2 3 3 3" xfId="53946" xr:uid="{00000000-0005-0000-0000-000058030000}"/>
    <cellStyle name="Date [mm-d-yyyy] 2 2 3 2 3 4" xfId="26368" xr:uid="{00000000-0005-0000-0000-000058030000}"/>
    <cellStyle name="Date [mm-d-yyyy] 2 2 3 2 3 4 2" xfId="44737" xr:uid="{00000000-0005-0000-0000-000058030000}"/>
    <cellStyle name="Date [mm-d-yyyy] 2 2 3 2 3 5" xfId="22661" xr:uid="{00000000-0005-0000-0000-000058030000}"/>
    <cellStyle name="Date [mm-d-yyyy] 2 2 3 2 3 6" xfId="41030" xr:uid="{00000000-0005-0000-0000-000058030000}"/>
    <cellStyle name="Date [mm-d-yyyy] 2 2 3 2 4" xfId="10347" xr:uid="{00000000-0005-0000-0000-000058030000}"/>
    <cellStyle name="Date [mm-d-yyyy] 2 2 3 2 4 2" xfId="14404" xr:uid="{00000000-0005-0000-0000-000058030000}"/>
    <cellStyle name="Date [mm-d-yyyy] 2 2 3 2 4 2 2" xfId="32820" xr:uid="{00000000-0005-0000-0000-000058030000}"/>
    <cellStyle name="Date [mm-d-yyyy] 2 2 3 2 4 2 3" xfId="51183" xr:uid="{00000000-0005-0000-0000-000058030000}"/>
    <cellStyle name="Date [mm-d-yyyy] 2 2 3 2 4 3" xfId="29058" xr:uid="{00000000-0005-0000-0000-000058030000}"/>
    <cellStyle name="Date [mm-d-yyyy] 2 2 3 2 4 3 2" xfId="47421" xr:uid="{00000000-0005-0000-0000-000058030000}"/>
    <cellStyle name="Date [mm-d-yyyy] 2 2 3 2 4 4" xfId="19861" xr:uid="{00000000-0005-0000-0000-000058030000}"/>
    <cellStyle name="Date [mm-d-yyyy] 2 2 3 2 4 5" xfId="38267" xr:uid="{00000000-0005-0000-0000-000058030000}"/>
    <cellStyle name="Date [mm-d-yyyy] 2 2 3 2 5" xfId="9555" xr:uid="{00000000-0005-0000-0000-000058030000}"/>
    <cellStyle name="Date [mm-d-yyyy] 2 2 3 2 5 2" xfId="28272" xr:uid="{00000000-0005-0000-0000-000058030000}"/>
    <cellStyle name="Date [mm-d-yyyy] 2 2 3 2 5 3" xfId="46635" xr:uid="{00000000-0005-0000-0000-000058030000}"/>
    <cellStyle name="Date [mm-d-yyyy] 2 2 3 2 6" xfId="13613" xr:uid="{00000000-0005-0000-0000-000058030000}"/>
    <cellStyle name="Date [mm-d-yyyy] 2 2 3 2 6 2" xfId="32034" xr:uid="{00000000-0005-0000-0000-000058030000}"/>
    <cellStyle name="Date [mm-d-yyyy] 2 2 3 2 6 3" xfId="50397" xr:uid="{00000000-0005-0000-0000-000058030000}"/>
    <cellStyle name="Date [mm-d-yyyy] 2 2 3 2 7" xfId="23542" xr:uid="{00000000-0005-0000-0000-000058030000}"/>
    <cellStyle name="Date [mm-d-yyyy] 2 2 3 2 7 2" xfId="41911" xr:uid="{00000000-0005-0000-0000-000058030000}"/>
    <cellStyle name="Date [mm-d-yyyy] 2 2 3 2 8" xfId="18654" xr:uid="{00000000-0005-0000-0000-000058030000}"/>
    <cellStyle name="Date [mm-d-yyyy] 2 2 3 2 9" xfId="37064" xr:uid="{00000000-0005-0000-0000-000058030000}"/>
    <cellStyle name="Date [mm-d-yyyy] 2 2 3 3" xfId="4674" xr:uid="{00000000-0005-0000-0000-000058030000}"/>
    <cellStyle name="Date [mm-d-yyyy] 2 2 3 3 2" xfId="11258" xr:uid="{00000000-0005-0000-0000-000058030000}"/>
    <cellStyle name="Date [mm-d-yyyy] 2 2 3 3 2 2" xfId="29870" xr:uid="{00000000-0005-0000-0000-000058030000}"/>
    <cellStyle name="Date [mm-d-yyyy] 2 2 3 3 2 3" xfId="48233" xr:uid="{00000000-0005-0000-0000-000058030000}"/>
    <cellStyle name="Date [mm-d-yyyy] 2 2 3 3 3" xfId="15400" xr:uid="{00000000-0005-0000-0000-000058030000}"/>
    <cellStyle name="Date [mm-d-yyyy] 2 2 3 3 3 2" xfId="33793" xr:uid="{00000000-0005-0000-0000-000058030000}"/>
    <cellStyle name="Date [mm-d-yyyy] 2 2 3 3 3 3" xfId="52156" xr:uid="{00000000-0005-0000-0000-000058030000}"/>
    <cellStyle name="Date [mm-d-yyyy] 2 2 3 3 4" xfId="24524" xr:uid="{00000000-0005-0000-0000-000058030000}"/>
    <cellStyle name="Date [mm-d-yyyy] 2 2 3 3 4 2" xfId="42893" xr:uid="{00000000-0005-0000-0000-000058030000}"/>
    <cellStyle name="Date [mm-d-yyyy] 2 2 3 3 5" xfId="20851" xr:uid="{00000000-0005-0000-0000-000058030000}"/>
    <cellStyle name="Date [mm-d-yyyy] 2 2 3 3 6" xfId="39240" xr:uid="{00000000-0005-0000-0000-000058030000}"/>
    <cellStyle name="Date [mm-d-yyyy] 2 2 3 4" xfId="3962" xr:uid="{00000000-0005-0000-0000-000058030000}"/>
    <cellStyle name="Date [mm-d-yyyy] 2 2 3 4 2" xfId="10667" xr:uid="{00000000-0005-0000-0000-000058030000}"/>
    <cellStyle name="Date [mm-d-yyyy] 2 2 3 4 2 2" xfId="29373" xr:uid="{00000000-0005-0000-0000-000058030000}"/>
    <cellStyle name="Date [mm-d-yyyy] 2 2 3 4 2 3" xfId="47736" xr:uid="{00000000-0005-0000-0000-000058030000}"/>
    <cellStyle name="Date [mm-d-yyyy] 2 2 3 4 3" xfId="14725" xr:uid="{00000000-0005-0000-0000-000058030000}"/>
    <cellStyle name="Date [mm-d-yyyy] 2 2 3 4 3 2" xfId="33137" xr:uid="{00000000-0005-0000-0000-000058030000}"/>
    <cellStyle name="Date [mm-d-yyyy] 2 2 3 4 3 3" xfId="51500" xr:uid="{00000000-0005-0000-0000-000058030000}"/>
    <cellStyle name="Date [mm-d-yyyy] 2 2 3 4 4" xfId="23861" xr:uid="{00000000-0005-0000-0000-000058030000}"/>
    <cellStyle name="Date [mm-d-yyyy] 2 2 3 4 4 2" xfId="42230" xr:uid="{00000000-0005-0000-0000-000058030000}"/>
    <cellStyle name="Date [mm-d-yyyy] 2 2 3 4 5" xfId="20179" xr:uid="{00000000-0005-0000-0000-000058030000}"/>
    <cellStyle name="Date [mm-d-yyyy] 2 2 3 4 6" xfId="38584" xr:uid="{00000000-0005-0000-0000-000058030000}"/>
    <cellStyle name="Date [mm-d-yyyy] 2 2 3 5" xfId="9074" xr:uid="{00000000-0005-0000-0000-000058030000}"/>
    <cellStyle name="Date [mm-d-yyyy] 2 2 3 5 2" xfId="8143" xr:uid="{00000000-0005-0000-0000-000058030000}"/>
    <cellStyle name="Date [mm-d-yyyy] 2 2 3 5 2 2" xfId="27347" xr:uid="{00000000-0005-0000-0000-000058030000}"/>
    <cellStyle name="Date [mm-d-yyyy] 2 2 3 5 2 3" xfId="45712" xr:uid="{00000000-0005-0000-0000-000058030000}"/>
    <cellStyle name="Date [mm-d-yyyy] 2 2 3 5 3" xfId="27800" xr:uid="{00000000-0005-0000-0000-000058030000}"/>
    <cellStyle name="Date [mm-d-yyyy] 2 2 3 5 3 2" xfId="46163" xr:uid="{00000000-0005-0000-0000-000058030000}"/>
    <cellStyle name="Date [mm-d-yyyy] 2 2 3 5 4" xfId="17974" xr:uid="{00000000-0005-0000-0000-000058030000}"/>
    <cellStyle name="Date [mm-d-yyyy] 2 2 3 5 5" xfId="36382" xr:uid="{00000000-0005-0000-0000-000058030000}"/>
    <cellStyle name="Date [mm-d-yyyy] 2 2 3 6" xfId="7968" xr:uid="{00000000-0005-0000-0000-000058030000}"/>
    <cellStyle name="Date [mm-d-yyyy] 2 2 3 6 2" xfId="27198" xr:uid="{00000000-0005-0000-0000-000058030000}"/>
    <cellStyle name="Date [mm-d-yyyy] 2 2 3 6 3" xfId="45563" xr:uid="{00000000-0005-0000-0000-000058030000}"/>
    <cellStyle name="Date [mm-d-yyyy] 2 2 3 7" xfId="8705" xr:uid="{00000000-0005-0000-0000-000058030000}"/>
    <cellStyle name="Date [mm-d-yyyy] 2 2 3 7 2" xfId="27594" xr:uid="{00000000-0005-0000-0000-000058030000}"/>
    <cellStyle name="Date [mm-d-yyyy] 2 2 3 7 3" xfId="45957" xr:uid="{00000000-0005-0000-0000-000058030000}"/>
    <cellStyle name="Date [mm-d-yyyy] 2 2 3 8" xfId="19071" xr:uid="{00000000-0005-0000-0000-000058030000}"/>
    <cellStyle name="Date [mm-d-yyyy] 2 2 3 8 2" xfId="37479" xr:uid="{00000000-0005-0000-0000-000058030000}"/>
    <cellStyle name="Date [mm-d-yyyy] 2 2 3 9" xfId="16906" xr:uid="{00000000-0005-0000-0000-000058030000}"/>
    <cellStyle name="Date [mm-d-yyyy] 2 2 4" xfId="3538" xr:uid="{00000000-0005-0000-0000-000056030000}"/>
    <cellStyle name="Date [mm-d-yyyy] 2 2 4 2" xfId="5712" xr:uid="{00000000-0005-0000-0000-000056030000}"/>
    <cellStyle name="Date [mm-d-yyyy] 2 2 4 2 2" xfId="12076" xr:uid="{00000000-0005-0000-0000-000056030000}"/>
    <cellStyle name="Date [mm-d-yyyy] 2 2 4 2 2 2" xfId="30523" xr:uid="{00000000-0005-0000-0000-000056030000}"/>
    <cellStyle name="Date [mm-d-yyyy] 2 2 4 2 2 3" xfId="48886" xr:uid="{00000000-0005-0000-0000-000056030000}"/>
    <cellStyle name="Date [mm-d-yyyy] 2 2 4 2 3" xfId="16402" xr:uid="{00000000-0005-0000-0000-000056030000}"/>
    <cellStyle name="Date [mm-d-yyyy] 2 2 4 2 3 2" xfId="34774" xr:uid="{00000000-0005-0000-0000-000056030000}"/>
    <cellStyle name="Date [mm-d-yyyy] 2 2 4 2 3 3" xfId="53137" xr:uid="{00000000-0005-0000-0000-000056030000}"/>
    <cellStyle name="Date [mm-d-yyyy] 2 2 4 2 4" xfId="25521" xr:uid="{00000000-0005-0000-0000-000056030000}"/>
    <cellStyle name="Date [mm-d-yyyy] 2 2 4 2 4 2" xfId="43890" xr:uid="{00000000-0005-0000-0000-000056030000}"/>
    <cellStyle name="Date [mm-d-yyyy] 2 2 4 2 5" xfId="21842" xr:uid="{00000000-0005-0000-0000-000056030000}"/>
    <cellStyle name="Date [mm-d-yyyy] 2 2 4 2 6" xfId="40221" xr:uid="{00000000-0005-0000-0000-000056030000}"/>
    <cellStyle name="Date [mm-d-yyyy] 2 2 4 3" xfId="6537" xr:uid="{00000000-0005-0000-0000-000056030000}"/>
    <cellStyle name="Date [mm-d-yyyy] 2 2 4 3 2" xfId="12828" xr:uid="{00000000-0005-0000-0000-000056030000}"/>
    <cellStyle name="Date [mm-d-yyyy] 2 2 4 3 2 2" xfId="31254" xr:uid="{00000000-0005-0000-0000-000056030000}"/>
    <cellStyle name="Date [mm-d-yyyy] 2 2 4 3 2 3" xfId="49617" xr:uid="{00000000-0005-0000-0000-000056030000}"/>
    <cellStyle name="Date [mm-d-yyyy] 2 2 4 3 3" xfId="17139" xr:uid="{00000000-0005-0000-0000-000056030000}"/>
    <cellStyle name="Date [mm-d-yyyy] 2 2 4 3 3 2" xfId="35487" xr:uid="{00000000-0005-0000-0000-000056030000}"/>
    <cellStyle name="Date [mm-d-yyyy] 2 2 4 3 3 3" xfId="53850" xr:uid="{00000000-0005-0000-0000-000056030000}"/>
    <cellStyle name="Date [mm-d-yyyy] 2 2 4 3 4" xfId="26272" xr:uid="{00000000-0005-0000-0000-000056030000}"/>
    <cellStyle name="Date [mm-d-yyyy] 2 2 4 3 4 2" xfId="44641" xr:uid="{00000000-0005-0000-0000-000056030000}"/>
    <cellStyle name="Date [mm-d-yyyy] 2 2 4 3 5" xfId="22565" xr:uid="{00000000-0005-0000-0000-000056030000}"/>
    <cellStyle name="Date [mm-d-yyyy] 2 2 4 3 6" xfId="40934" xr:uid="{00000000-0005-0000-0000-000056030000}"/>
    <cellStyle name="Date [mm-d-yyyy] 2 2 4 4" xfId="10251" xr:uid="{00000000-0005-0000-0000-000056030000}"/>
    <cellStyle name="Date [mm-d-yyyy] 2 2 4 4 2" xfId="14308" xr:uid="{00000000-0005-0000-0000-000056030000}"/>
    <cellStyle name="Date [mm-d-yyyy] 2 2 4 4 2 2" xfId="32724" xr:uid="{00000000-0005-0000-0000-000056030000}"/>
    <cellStyle name="Date [mm-d-yyyy] 2 2 4 4 2 3" xfId="51087" xr:uid="{00000000-0005-0000-0000-000056030000}"/>
    <cellStyle name="Date [mm-d-yyyy] 2 2 4 4 3" xfId="28962" xr:uid="{00000000-0005-0000-0000-000056030000}"/>
    <cellStyle name="Date [mm-d-yyyy] 2 2 4 4 3 2" xfId="47325" xr:uid="{00000000-0005-0000-0000-000056030000}"/>
    <cellStyle name="Date [mm-d-yyyy] 2 2 4 4 4" xfId="19765" xr:uid="{00000000-0005-0000-0000-000056030000}"/>
    <cellStyle name="Date [mm-d-yyyy] 2 2 4 4 5" xfId="38171" xr:uid="{00000000-0005-0000-0000-000056030000}"/>
    <cellStyle name="Date [mm-d-yyyy] 2 2 4 5" xfId="9458" xr:uid="{00000000-0005-0000-0000-000056030000}"/>
    <cellStyle name="Date [mm-d-yyyy] 2 2 4 5 2" xfId="28175" xr:uid="{00000000-0005-0000-0000-000056030000}"/>
    <cellStyle name="Date [mm-d-yyyy] 2 2 4 5 3" xfId="46538" xr:uid="{00000000-0005-0000-0000-000056030000}"/>
    <cellStyle name="Date [mm-d-yyyy] 2 2 4 6" xfId="13515" xr:uid="{00000000-0005-0000-0000-000056030000}"/>
    <cellStyle name="Date [mm-d-yyyy] 2 2 4 6 2" xfId="31936" xr:uid="{00000000-0005-0000-0000-000056030000}"/>
    <cellStyle name="Date [mm-d-yyyy] 2 2 4 6 3" xfId="50299" xr:uid="{00000000-0005-0000-0000-000056030000}"/>
    <cellStyle name="Date [mm-d-yyyy] 2 2 4 7" xfId="23446" xr:uid="{00000000-0005-0000-0000-000056030000}"/>
    <cellStyle name="Date [mm-d-yyyy] 2 2 4 7 2" xfId="41815" xr:uid="{00000000-0005-0000-0000-000056030000}"/>
    <cellStyle name="Date [mm-d-yyyy] 2 2 4 8" xfId="18553" xr:uid="{00000000-0005-0000-0000-000056030000}"/>
    <cellStyle name="Date [mm-d-yyyy] 2 2 4 9" xfId="36962" xr:uid="{00000000-0005-0000-0000-000056030000}"/>
    <cellStyle name="Date [mm-d-yyyy] 2 2 5" xfId="4563" xr:uid="{00000000-0005-0000-0000-000056030000}"/>
    <cellStyle name="Date [mm-d-yyyy] 2 2 5 2" xfId="11148" xr:uid="{00000000-0005-0000-0000-000056030000}"/>
    <cellStyle name="Date [mm-d-yyyy] 2 2 5 2 2" xfId="29762" xr:uid="{00000000-0005-0000-0000-000056030000}"/>
    <cellStyle name="Date [mm-d-yyyy] 2 2 5 2 3" xfId="48125" xr:uid="{00000000-0005-0000-0000-000056030000}"/>
    <cellStyle name="Date [mm-d-yyyy] 2 2 5 3" xfId="15289" xr:uid="{00000000-0005-0000-0000-000056030000}"/>
    <cellStyle name="Date [mm-d-yyyy] 2 2 5 3 2" xfId="33683" xr:uid="{00000000-0005-0000-0000-000056030000}"/>
    <cellStyle name="Date [mm-d-yyyy] 2 2 5 3 3" xfId="52046" xr:uid="{00000000-0005-0000-0000-000056030000}"/>
    <cellStyle name="Date [mm-d-yyyy] 2 2 5 4" xfId="24414" xr:uid="{00000000-0005-0000-0000-000056030000}"/>
    <cellStyle name="Date [mm-d-yyyy] 2 2 5 4 2" xfId="42783" xr:uid="{00000000-0005-0000-0000-000056030000}"/>
    <cellStyle name="Date [mm-d-yyyy] 2 2 5 5" xfId="20740" xr:uid="{00000000-0005-0000-0000-000056030000}"/>
    <cellStyle name="Date [mm-d-yyyy] 2 2 5 6" xfId="39130" xr:uid="{00000000-0005-0000-0000-000056030000}"/>
    <cellStyle name="Date [mm-d-yyyy] 2 2 6" xfId="4161" xr:uid="{00000000-0005-0000-0000-000056030000}"/>
    <cellStyle name="Date [mm-d-yyyy] 2 2 6 2" xfId="10817" xr:uid="{00000000-0005-0000-0000-000056030000}"/>
    <cellStyle name="Date [mm-d-yyyy] 2 2 6 2 2" xfId="29489" xr:uid="{00000000-0005-0000-0000-000056030000}"/>
    <cellStyle name="Date [mm-d-yyyy] 2 2 6 2 3" xfId="47852" xr:uid="{00000000-0005-0000-0000-000056030000}"/>
    <cellStyle name="Date [mm-d-yyyy] 2 2 6 3" xfId="14912" xr:uid="{00000000-0005-0000-0000-000056030000}"/>
    <cellStyle name="Date [mm-d-yyyy] 2 2 6 3 2" xfId="33316" xr:uid="{00000000-0005-0000-0000-000056030000}"/>
    <cellStyle name="Date [mm-d-yyyy] 2 2 6 3 3" xfId="51679" xr:uid="{00000000-0005-0000-0000-000056030000}"/>
    <cellStyle name="Date [mm-d-yyyy] 2 2 6 4" xfId="24041" xr:uid="{00000000-0005-0000-0000-000056030000}"/>
    <cellStyle name="Date [mm-d-yyyy] 2 2 6 4 2" xfId="42410" xr:uid="{00000000-0005-0000-0000-000056030000}"/>
    <cellStyle name="Date [mm-d-yyyy] 2 2 6 5" xfId="20365" xr:uid="{00000000-0005-0000-0000-000056030000}"/>
    <cellStyle name="Date [mm-d-yyyy] 2 2 6 6" xfId="38763" xr:uid="{00000000-0005-0000-0000-000056030000}"/>
    <cellStyle name="Date [mm-d-yyyy] 2 2 7" xfId="9105" xr:uid="{00000000-0005-0000-0000-000056030000}"/>
    <cellStyle name="Date [mm-d-yyyy] 2 2 7 2" xfId="8141" xr:uid="{00000000-0005-0000-0000-000056030000}"/>
    <cellStyle name="Date [mm-d-yyyy] 2 2 7 2 2" xfId="27345" xr:uid="{00000000-0005-0000-0000-000056030000}"/>
    <cellStyle name="Date [mm-d-yyyy] 2 2 7 2 3" xfId="45710" xr:uid="{00000000-0005-0000-0000-000056030000}"/>
    <cellStyle name="Date [mm-d-yyyy] 2 2 7 3" xfId="27831" xr:uid="{00000000-0005-0000-0000-000056030000}"/>
    <cellStyle name="Date [mm-d-yyyy] 2 2 7 3 2" xfId="46194" xr:uid="{00000000-0005-0000-0000-000056030000}"/>
    <cellStyle name="Date [mm-d-yyyy] 2 2 7 4" xfId="18009" xr:uid="{00000000-0005-0000-0000-000056030000}"/>
    <cellStyle name="Date [mm-d-yyyy] 2 2 7 5" xfId="36417" xr:uid="{00000000-0005-0000-0000-000056030000}"/>
    <cellStyle name="Date [mm-d-yyyy] 2 2 8" xfId="7860" xr:uid="{00000000-0005-0000-0000-000056030000}"/>
    <cellStyle name="Date [mm-d-yyyy] 2 2 8 2" xfId="27106" xr:uid="{00000000-0005-0000-0000-000056030000}"/>
    <cellStyle name="Date [mm-d-yyyy] 2 2 8 3" xfId="45471" xr:uid="{00000000-0005-0000-0000-000056030000}"/>
    <cellStyle name="Date [mm-d-yyyy] 2 2 9" xfId="7173" xr:uid="{00000000-0005-0000-0000-000056030000}"/>
    <cellStyle name="Date [mm-d-yyyy] 2 2 9 2" xfId="26737" xr:uid="{00000000-0005-0000-0000-000056030000}"/>
    <cellStyle name="Date [mm-d-yyyy] 2 2 9 3" xfId="45105" xr:uid="{00000000-0005-0000-0000-000056030000}"/>
    <cellStyle name="Date [mm-d-yyyy] 2 3" xfId="2769" xr:uid="{00000000-0005-0000-0000-000059030000}"/>
    <cellStyle name="Date [mm-d-yyyy] 2 3 2" xfId="5130" xr:uid="{00000000-0005-0000-0000-000059030000}"/>
    <cellStyle name="Date [mm-d-yyyy] 2 3 2 2" xfId="11635" xr:uid="{00000000-0005-0000-0000-000059030000}"/>
    <cellStyle name="Date [mm-d-yyyy] 2 3 2 2 2" xfId="30184" xr:uid="{00000000-0005-0000-0000-000059030000}"/>
    <cellStyle name="Date [mm-d-yyyy] 2 3 2 2 3" xfId="48547" xr:uid="{00000000-0005-0000-0000-000059030000}"/>
    <cellStyle name="Date [mm-d-yyyy] 2 3 2 3" xfId="15834" xr:uid="{00000000-0005-0000-0000-000059030000}"/>
    <cellStyle name="Date [mm-d-yyyy] 2 3 2 3 2" xfId="34218" xr:uid="{00000000-0005-0000-0000-000059030000}"/>
    <cellStyle name="Date [mm-d-yyyy] 2 3 2 3 3" xfId="52581" xr:uid="{00000000-0005-0000-0000-000059030000}"/>
    <cellStyle name="Date [mm-d-yyyy] 2 3 2 4" xfId="24957" xr:uid="{00000000-0005-0000-0000-000059030000}"/>
    <cellStyle name="Date [mm-d-yyyy] 2 3 2 4 2" xfId="43326" xr:uid="{00000000-0005-0000-0000-000059030000}"/>
    <cellStyle name="Date [mm-d-yyyy] 2 3 2 5" xfId="21280" xr:uid="{00000000-0005-0000-0000-000059030000}"/>
    <cellStyle name="Date [mm-d-yyyy] 2 3 2 6" xfId="39665" xr:uid="{00000000-0005-0000-0000-000059030000}"/>
    <cellStyle name="Date [mm-d-yyyy] 2 3 3" xfId="6183" xr:uid="{00000000-0005-0000-0000-000059030000}"/>
    <cellStyle name="Date [mm-d-yyyy] 2 3 3 2" xfId="12518" xr:uid="{00000000-0005-0000-0000-000059030000}"/>
    <cellStyle name="Date [mm-d-yyyy] 2 3 3 2 2" xfId="30950" xr:uid="{00000000-0005-0000-0000-000059030000}"/>
    <cellStyle name="Date [mm-d-yyyy] 2 3 3 2 3" xfId="49313" xr:uid="{00000000-0005-0000-0000-000059030000}"/>
    <cellStyle name="Date [mm-d-yyyy] 2 3 3 3" xfId="16833" xr:uid="{00000000-0005-0000-0000-000059030000}"/>
    <cellStyle name="Date [mm-d-yyyy] 2 3 3 3 2" xfId="35193" xr:uid="{00000000-0005-0000-0000-000059030000}"/>
    <cellStyle name="Date [mm-d-yyyy] 2 3 3 3 3" xfId="53556" xr:uid="{00000000-0005-0000-0000-000059030000}"/>
    <cellStyle name="Date [mm-d-yyyy] 2 3 3 4" xfId="25960" xr:uid="{00000000-0005-0000-0000-000059030000}"/>
    <cellStyle name="Date [mm-d-yyyy] 2 3 3 4 2" xfId="44329" xr:uid="{00000000-0005-0000-0000-000059030000}"/>
    <cellStyle name="Date [mm-d-yyyy] 2 3 3 5" xfId="22267" xr:uid="{00000000-0005-0000-0000-000059030000}"/>
    <cellStyle name="Date [mm-d-yyyy] 2 3 3 6" xfId="40640" xr:uid="{00000000-0005-0000-0000-000059030000}"/>
    <cellStyle name="Date [mm-d-yyyy] 2 3 4" xfId="8639" xr:uid="{00000000-0005-0000-0000-000059030000}"/>
    <cellStyle name="Date [mm-d-yyyy] 2 3 4 2" xfId="27549" xr:uid="{00000000-0005-0000-0000-000059030000}"/>
    <cellStyle name="Date [mm-d-yyyy] 2 3 4 3" xfId="45913" xr:uid="{00000000-0005-0000-0000-000059030000}"/>
    <cellStyle name="Date [mm-d-yyyy] 2 3 5" xfId="8891" xr:uid="{00000000-0005-0000-0000-000059030000}"/>
    <cellStyle name="Date [mm-d-yyyy] 2 3 5 2" xfId="27674" xr:uid="{00000000-0005-0000-0000-000059030000}"/>
    <cellStyle name="Date [mm-d-yyyy] 2 3 5 3" xfId="46037" xr:uid="{00000000-0005-0000-0000-000059030000}"/>
    <cellStyle name="Date [mm-d-yyyy] 2 3 6" xfId="18141" xr:uid="{00000000-0005-0000-0000-000059030000}"/>
    <cellStyle name="Date [mm-d-yyyy] 2 3 6 2" xfId="36548" xr:uid="{00000000-0005-0000-0000-000059030000}"/>
    <cellStyle name="Date [mm-d-yyyy] 2 3 7" xfId="35912" xr:uid="{00000000-0005-0000-0000-000059030000}"/>
    <cellStyle name="Date [mm-d-yyyy] 2 4" xfId="4163" xr:uid="{00000000-0005-0000-0000-000055030000}"/>
    <cellStyle name="Date [mm-d-yyyy] 2 4 2" xfId="10819" xr:uid="{00000000-0005-0000-0000-000055030000}"/>
    <cellStyle name="Date [mm-d-yyyy] 2 4 2 2" xfId="29491" xr:uid="{00000000-0005-0000-0000-000055030000}"/>
    <cellStyle name="Date [mm-d-yyyy] 2 4 2 3" xfId="47854" xr:uid="{00000000-0005-0000-0000-000055030000}"/>
    <cellStyle name="Date [mm-d-yyyy] 2 4 3" xfId="14914" xr:uid="{00000000-0005-0000-0000-000055030000}"/>
    <cellStyle name="Date [mm-d-yyyy] 2 4 3 2" xfId="33318" xr:uid="{00000000-0005-0000-0000-000055030000}"/>
    <cellStyle name="Date [mm-d-yyyy] 2 4 3 3" xfId="51681" xr:uid="{00000000-0005-0000-0000-000055030000}"/>
    <cellStyle name="Date [mm-d-yyyy] 2 4 4" xfId="24043" xr:uid="{00000000-0005-0000-0000-000055030000}"/>
    <cellStyle name="Date [mm-d-yyyy] 2 4 4 2" xfId="42412" xr:uid="{00000000-0005-0000-0000-000055030000}"/>
    <cellStyle name="Date [mm-d-yyyy] 2 4 5" xfId="20367" xr:uid="{00000000-0005-0000-0000-000055030000}"/>
    <cellStyle name="Date [mm-d-yyyy] 2 4 6" xfId="38765" xr:uid="{00000000-0005-0000-0000-000055030000}"/>
    <cellStyle name="Date [mm-d-yyyy] 2 5" xfId="4335" xr:uid="{00000000-0005-0000-0000-000055030000}"/>
    <cellStyle name="Date [mm-d-yyyy] 2 5 2" xfId="10943" xr:uid="{00000000-0005-0000-0000-000055030000}"/>
    <cellStyle name="Date [mm-d-yyyy] 2 5 2 2" xfId="29573" xr:uid="{00000000-0005-0000-0000-000055030000}"/>
    <cellStyle name="Date [mm-d-yyyy] 2 5 2 3" xfId="47936" xr:uid="{00000000-0005-0000-0000-000055030000}"/>
    <cellStyle name="Date [mm-d-yyyy] 2 5 3" xfId="15079" xr:uid="{00000000-0005-0000-0000-000055030000}"/>
    <cellStyle name="Date [mm-d-yyyy] 2 5 3 2" xfId="33481" xr:uid="{00000000-0005-0000-0000-000055030000}"/>
    <cellStyle name="Date [mm-d-yyyy] 2 5 3 3" xfId="51844" xr:uid="{00000000-0005-0000-0000-000055030000}"/>
    <cellStyle name="Date [mm-d-yyyy] 2 5 4" xfId="24210" xr:uid="{00000000-0005-0000-0000-000055030000}"/>
    <cellStyle name="Date [mm-d-yyyy] 2 5 4 2" xfId="42579" xr:uid="{00000000-0005-0000-0000-000055030000}"/>
    <cellStyle name="Date [mm-d-yyyy] 2 5 5" xfId="20531" xr:uid="{00000000-0005-0000-0000-000055030000}"/>
    <cellStyle name="Date [mm-d-yyyy] 2 5 6" xfId="38928" xr:uid="{00000000-0005-0000-0000-000055030000}"/>
    <cellStyle name="Date [mm-d-yyyy] 2 6" xfId="7414" xr:uid="{00000000-0005-0000-0000-000055030000}"/>
    <cellStyle name="Date [mm-d-yyyy] 2 6 2" xfId="26805" xr:uid="{00000000-0005-0000-0000-000055030000}"/>
    <cellStyle name="Date [mm-d-yyyy] 2 6 3" xfId="45173" xr:uid="{00000000-0005-0000-0000-000055030000}"/>
    <cellStyle name="Date [mm-d-yyyy] 2 7" xfId="8289" xr:uid="{00000000-0005-0000-0000-000055030000}"/>
    <cellStyle name="Date [mm-d-yyyy] 2 7 2" xfId="27407" xr:uid="{00000000-0005-0000-0000-000055030000}"/>
    <cellStyle name="Date [mm-d-yyyy] 2 7 3" xfId="45772" xr:uid="{00000000-0005-0000-0000-000055030000}"/>
    <cellStyle name="Date [mm-d-yyyy] 2 8" xfId="10879" xr:uid="{00000000-0005-0000-0000-000055030000}"/>
    <cellStyle name="Date [mm-d-yyyy] 3" xfId="1198" xr:uid="{00000000-0005-0000-0000-00005A030000}"/>
    <cellStyle name="Date [mm-d-yyyy] 3 2" xfId="1624" xr:uid="{00000000-0005-0000-0000-00005B030000}"/>
    <cellStyle name="Date [mm-d-yyyy] 3 2 10" xfId="8670" xr:uid="{00000000-0005-0000-0000-00005B030000}"/>
    <cellStyle name="Date [mm-d-yyyy] 3 2 10 2" xfId="27575" xr:uid="{00000000-0005-0000-0000-00005B030000}"/>
    <cellStyle name="Date [mm-d-yyyy] 3 2 10 3" xfId="45938" xr:uid="{00000000-0005-0000-0000-00005B030000}"/>
    <cellStyle name="Date [mm-d-yyyy] 3 2 11" xfId="7335" xr:uid="{00000000-0005-0000-0000-00005B030000}"/>
    <cellStyle name="Date [mm-d-yyyy] 3 2 2" xfId="1707" xr:uid="{00000000-0005-0000-0000-00005C030000}"/>
    <cellStyle name="Date [mm-d-yyyy] 3 2 2 2" xfId="3604" xr:uid="{00000000-0005-0000-0000-00005C030000}"/>
    <cellStyle name="Date [mm-d-yyyy] 3 2 2 2 2" xfId="5777" xr:uid="{00000000-0005-0000-0000-00005C030000}"/>
    <cellStyle name="Date [mm-d-yyyy] 3 2 2 2 2 2" xfId="12141" xr:uid="{00000000-0005-0000-0000-00005C030000}"/>
    <cellStyle name="Date [mm-d-yyyy] 3 2 2 2 2 2 2" xfId="30588" xr:uid="{00000000-0005-0000-0000-00005C030000}"/>
    <cellStyle name="Date [mm-d-yyyy] 3 2 2 2 2 2 3" xfId="48951" xr:uid="{00000000-0005-0000-0000-00005C030000}"/>
    <cellStyle name="Date [mm-d-yyyy] 3 2 2 2 2 3" xfId="16467" xr:uid="{00000000-0005-0000-0000-00005C030000}"/>
    <cellStyle name="Date [mm-d-yyyy] 3 2 2 2 2 3 2" xfId="34839" xr:uid="{00000000-0005-0000-0000-00005C030000}"/>
    <cellStyle name="Date [mm-d-yyyy] 3 2 2 2 2 3 3" xfId="53202" xr:uid="{00000000-0005-0000-0000-00005C030000}"/>
    <cellStyle name="Date [mm-d-yyyy] 3 2 2 2 2 4" xfId="25586" xr:uid="{00000000-0005-0000-0000-00005C030000}"/>
    <cellStyle name="Date [mm-d-yyyy] 3 2 2 2 2 4 2" xfId="43955" xr:uid="{00000000-0005-0000-0000-00005C030000}"/>
    <cellStyle name="Date [mm-d-yyyy] 3 2 2 2 2 5" xfId="21907" xr:uid="{00000000-0005-0000-0000-00005C030000}"/>
    <cellStyle name="Date [mm-d-yyyy] 3 2 2 2 2 6" xfId="40286" xr:uid="{00000000-0005-0000-0000-00005C030000}"/>
    <cellStyle name="Date [mm-d-yyyy] 3 2 2 2 3" xfId="6603" xr:uid="{00000000-0005-0000-0000-00005C030000}"/>
    <cellStyle name="Date [mm-d-yyyy] 3 2 2 2 3 2" xfId="12894" xr:uid="{00000000-0005-0000-0000-00005C030000}"/>
    <cellStyle name="Date [mm-d-yyyy] 3 2 2 2 3 2 2" xfId="31320" xr:uid="{00000000-0005-0000-0000-00005C030000}"/>
    <cellStyle name="Date [mm-d-yyyy] 3 2 2 2 3 2 3" xfId="49683" xr:uid="{00000000-0005-0000-0000-00005C030000}"/>
    <cellStyle name="Date [mm-d-yyyy] 3 2 2 2 3 3" xfId="17205" xr:uid="{00000000-0005-0000-0000-00005C030000}"/>
    <cellStyle name="Date [mm-d-yyyy] 3 2 2 2 3 3 2" xfId="35553" xr:uid="{00000000-0005-0000-0000-00005C030000}"/>
    <cellStyle name="Date [mm-d-yyyy] 3 2 2 2 3 3 3" xfId="53916" xr:uid="{00000000-0005-0000-0000-00005C030000}"/>
    <cellStyle name="Date [mm-d-yyyy] 3 2 2 2 3 4" xfId="26338" xr:uid="{00000000-0005-0000-0000-00005C030000}"/>
    <cellStyle name="Date [mm-d-yyyy] 3 2 2 2 3 4 2" xfId="44707" xr:uid="{00000000-0005-0000-0000-00005C030000}"/>
    <cellStyle name="Date [mm-d-yyyy] 3 2 2 2 3 5" xfId="22631" xr:uid="{00000000-0005-0000-0000-00005C030000}"/>
    <cellStyle name="Date [mm-d-yyyy] 3 2 2 2 3 6" xfId="41000" xr:uid="{00000000-0005-0000-0000-00005C030000}"/>
    <cellStyle name="Date [mm-d-yyyy] 3 2 2 2 4" xfId="10317" xr:uid="{00000000-0005-0000-0000-00005C030000}"/>
    <cellStyle name="Date [mm-d-yyyy] 3 2 2 2 4 2" xfId="14374" xr:uid="{00000000-0005-0000-0000-00005C030000}"/>
    <cellStyle name="Date [mm-d-yyyy] 3 2 2 2 4 2 2" xfId="32790" xr:uid="{00000000-0005-0000-0000-00005C030000}"/>
    <cellStyle name="Date [mm-d-yyyy] 3 2 2 2 4 2 3" xfId="51153" xr:uid="{00000000-0005-0000-0000-00005C030000}"/>
    <cellStyle name="Date [mm-d-yyyy] 3 2 2 2 4 3" xfId="29028" xr:uid="{00000000-0005-0000-0000-00005C030000}"/>
    <cellStyle name="Date [mm-d-yyyy] 3 2 2 2 4 3 2" xfId="47391" xr:uid="{00000000-0005-0000-0000-00005C030000}"/>
    <cellStyle name="Date [mm-d-yyyy] 3 2 2 2 4 4" xfId="19831" xr:uid="{00000000-0005-0000-0000-00005C030000}"/>
    <cellStyle name="Date [mm-d-yyyy] 3 2 2 2 4 5" xfId="38237" xr:uid="{00000000-0005-0000-0000-00005C030000}"/>
    <cellStyle name="Date [mm-d-yyyy] 3 2 2 2 5" xfId="9525" xr:uid="{00000000-0005-0000-0000-00005C030000}"/>
    <cellStyle name="Date [mm-d-yyyy] 3 2 2 2 5 2" xfId="28242" xr:uid="{00000000-0005-0000-0000-00005C030000}"/>
    <cellStyle name="Date [mm-d-yyyy] 3 2 2 2 5 3" xfId="46605" xr:uid="{00000000-0005-0000-0000-00005C030000}"/>
    <cellStyle name="Date [mm-d-yyyy] 3 2 2 2 6" xfId="13583" xr:uid="{00000000-0005-0000-0000-00005C030000}"/>
    <cellStyle name="Date [mm-d-yyyy] 3 2 2 2 6 2" xfId="32004" xr:uid="{00000000-0005-0000-0000-00005C030000}"/>
    <cellStyle name="Date [mm-d-yyyy] 3 2 2 2 6 3" xfId="50367" xr:uid="{00000000-0005-0000-0000-00005C030000}"/>
    <cellStyle name="Date [mm-d-yyyy] 3 2 2 2 7" xfId="23512" xr:uid="{00000000-0005-0000-0000-00005C030000}"/>
    <cellStyle name="Date [mm-d-yyyy] 3 2 2 2 7 2" xfId="41881" xr:uid="{00000000-0005-0000-0000-00005C030000}"/>
    <cellStyle name="Date [mm-d-yyyy] 3 2 2 2 8" xfId="18624" xr:uid="{00000000-0005-0000-0000-00005C030000}"/>
    <cellStyle name="Date [mm-d-yyyy] 3 2 2 2 9" xfId="37034" xr:uid="{00000000-0005-0000-0000-00005C030000}"/>
    <cellStyle name="Date [mm-d-yyyy] 3 2 2 3" xfId="4644" xr:uid="{00000000-0005-0000-0000-00005C030000}"/>
    <cellStyle name="Date [mm-d-yyyy] 3 2 2 3 2" xfId="11228" xr:uid="{00000000-0005-0000-0000-00005C030000}"/>
    <cellStyle name="Date [mm-d-yyyy] 3 2 2 3 2 2" xfId="29840" xr:uid="{00000000-0005-0000-0000-00005C030000}"/>
    <cellStyle name="Date [mm-d-yyyy] 3 2 2 3 2 3" xfId="48203" xr:uid="{00000000-0005-0000-0000-00005C030000}"/>
    <cellStyle name="Date [mm-d-yyyy] 3 2 2 3 3" xfId="15370" xr:uid="{00000000-0005-0000-0000-00005C030000}"/>
    <cellStyle name="Date [mm-d-yyyy] 3 2 2 3 3 2" xfId="33763" xr:uid="{00000000-0005-0000-0000-00005C030000}"/>
    <cellStyle name="Date [mm-d-yyyy] 3 2 2 3 3 3" xfId="52126" xr:uid="{00000000-0005-0000-0000-00005C030000}"/>
    <cellStyle name="Date [mm-d-yyyy] 3 2 2 3 4" xfId="24494" xr:uid="{00000000-0005-0000-0000-00005C030000}"/>
    <cellStyle name="Date [mm-d-yyyy] 3 2 2 3 4 2" xfId="42863" xr:uid="{00000000-0005-0000-0000-00005C030000}"/>
    <cellStyle name="Date [mm-d-yyyy] 3 2 2 3 5" xfId="20821" xr:uid="{00000000-0005-0000-0000-00005C030000}"/>
    <cellStyle name="Date [mm-d-yyyy] 3 2 2 3 6" xfId="39210" xr:uid="{00000000-0005-0000-0000-00005C030000}"/>
    <cellStyle name="Date [mm-d-yyyy] 3 2 2 4" xfId="4392" xr:uid="{00000000-0005-0000-0000-00005C030000}"/>
    <cellStyle name="Date [mm-d-yyyy] 3 2 2 4 2" xfId="10991" xr:uid="{00000000-0005-0000-0000-00005C030000}"/>
    <cellStyle name="Date [mm-d-yyyy] 3 2 2 4 2 2" xfId="29613" xr:uid="{00000000-0005-0000-0000-00005C030000}"/>
    <cellStyle name="Date [mm-d-yyyy] 3 2 2 4 2 3" xfId="47976" xr:uid="{00000000-0005-0000-0000-00005C030000}"/>
    <cellStyle name="Date [mm-d-yyyy] 3 2 2 4 3" xfId="15127" xr:uid="{00000000-0005-0000-0000-00005C030000}"/>
    <cellStyle name="Date [mm-d-yyyy] 3 2 2 4 3 2" xfId="33524" xr:uid="{00000000-0005-0000-0000-00005C030000}"/>
    <cellStyle name="Date [mm-d-yyyy] 3 2 2 4 3 3" xfId="51887" xr:uid="{00000000-0005-0000-0000-00005C030000}"/>
    <cellStyle name="Date [mm-d-yyyy] 3 2 2 4 4" xfId="24255" xr:uid="{00000000-0005-0000-0000-00005C030000}"/>
    <cellStyle name="Date [mm-d-yyyy] 3 2 2 4 4 2" xfId="42624" xr:uid="{00000000-0005-0000-0000-00005C030000}"/>
    <cellStyle name="Date [mm-d-yyyy] 3 2 2 4 5" xfId="20578" xr:uid="{00000000-0005-0000-0000-00005C030000}"/>
    <cellStyle name="Date [mm-d-yyyy] 3 2 2 4 6" xfId="38971" xr:uid="{00000000-0005-0000-0000-00005C030000}"/>
    <cellStyle name="Date [mm-d-yyyy] 3 2 2 5" xfId="9708" xr:uid="{00000000-0005-0000-0000-00005C030000}"/>
    <cellStyle name="Date [mm-d-yyyy] 3 2 2 5 2" xfId="13765" xr:uid="{00000000-0005-0000-0000-00005C030000}"/>
    <cellStyle name="Date [mm-d-yyyy] 3 2 2 5 2 2" xfId="32186" xr:uid="{00000000-0005-0000-0000-00005C030000}"/>
    <cellStyle name="Date [mm-d-yyyy] 3 2 2 5 2 3" xfId="50549" xr:uid="{00000000-0005-0000-0000-00005C030000}"/>
    <cellStyle name="Date [mm-d-yyyy] 3 2 2 5 3" xfId="28424" xr:uid="{00000000-0005-0000-0000-00005C030000}"/>
    <cellStyle name="Date [mm-d-yyyy] 3 2 2 5 3 2" xfId="46787" xr:uid="{00000000-0005-0000-0000-00005C030000}"/>
    <cellStyle name="Date [mm-d-yyyy] 3 2 2 5 4" xfId="18855" xr:uid="{00000000-0005-0000-0000-00005C030000}"/>
    <cellStyle name="Date [mm-d-yyyy] 3 2 2 5 5" xfId="37264" xr:uid="{00000000-0005-0000-0000-00005C030000}"/>
    <cellStyle name="Date [mm-d-yyyy] 3 2 2 6" xfId="7938" xr:uid="{00000000-0005-0000-0000-00005C030000}"/>
    <cellStyle name="Date [mm-d-yyyy] 3 2 2 6 2" xfId="27168" xr:uid="{00000000-0005-0000-0000-00005C030000}"/>
    <cellStyle name="Date [mm-d-yyyy] 3 2 2 6 3" xfId="45533" xr:uid="{00000000-0005-0000-0000-00005C030000}"/>
    <cellStyle name="Date [mm-d-yyyy] 3 2 2 7" xfId="8388" xr:uid="{00000000-0005-0000-0000-00005C030000}"/>
    <cellStyle name="Date [mm-d-yyyy] 3 2 2 7 2" xfId="27453" xr:uid="{00000000-0005-0000-0000-00005C030000}"/>
    <cellStyle name="Date [mm-d-yyyy] 3 2 2 7 3" xfId="45817" xr:uid="{00000000-0005-0000-0000-00005C030000}"/>
    <cellStyle name="Date [mm-d-yyyy] 3 2 2 8" xfId="7132" xr:uid="{00000000-0005-0000-0000-00005C030000}"/>
    <cellStyle name="Date [mm-d-yyyy] 3 2 2 9" xfId="17565" xr:uid="{00000000-0005-0000-0000-00005C030000}"/>
    <cellStyle name="Date [mm-d-yyyy] 3 2 3" xfId="1739" xr:uid="{00000000-0005-0000-0000-00005D030000}"/>
    <cellStyle name="Date [mm-d-yyyy] 3 2 3 10" xfId="7509" xr:uid="{00000000-0005-0000-0000-00005D030000}"/>
    <cellStyle name="Date [mm-d-yyyy] 3 2 3 2" xfId="3636" xr:uid="{00000000-0005-0000-0000-00005D030000}"/>
    <cellStyle name="Date [mm-d-yyyy] 3 2 3 2 2" xfId="5809" xr:uid="{00000000-0005-0000-0000-00005D030000}"/>
    <cellStyle name="Date [mm-d-yyyy] 3 2 3 2 2 2" xfId="12173" xr:uid="{00000000-0005-0000-0000-00005D030000}"/>
    <cellStyle name="Date [mm-d-yyyy] 3 2 3 2 2 2 2" xfId="30620" xr:uid="{00000000-0005-0000-0000-00005D030000}"/>
    <cellStyle name="Date [mm-d-yyyy] 3 2 3 2 2 2 3" xfId="48983" xr:uid="{00000000-0005-0000-0000-00005D030000}"/>
    <cellStyle name="Date [mm-d-yyyy] 3 2 3 2 2 3" xfId="16499" xr:uid="{00000000-0005-0000-0000-00005D030000}"/>
    <cellStyle name="Date [mm-d-yyyy] 3 2 3 2 2 3 2" xfId="34871" xr:uid="{00000000-0005-0000-0000-00005D030000}"/>
    <cellStyle name="Date [mm-d-yyyy] 3 2 3 2 2 3 3" xfId="53234" xr:uid="{00000000-0005-0000-0000-00005D030000}"/>
    <cellStyle name="Date [mm-d-yyyy] 3 2 3 2 2 4" xfId="25618" xr:uid="{00000000-0005-0000-0000-00005D030000}"/>
    <cellStyle name="Date [mm-d-yyyy] 3 2 3 2 2 4 2" xfId="43987" xr:uid="{00000000-0005-0000-0000-00005D030000}"/>
    <cellStyle name="Date [mm-d-yyyy] 3 2 3 2 2 5" xfId="21939" xr:uid="{00000000-0005-0000-0000-00005D030000}"/>
    <cellStyle name="Date [mm-d-yyyy] 3 2 3 2 2 6" xfId="40318" xr:uid="{00000000-0005-0000-0000-00005D030000}"/>
    <cellStyle name="Date [mm-d-yyyy] 3 2 3 2 3" xfId="6635" xr:uid="{00000000-0005-0000-0000-00005D030000}"/>
    <cellStyle name="Date [mm-d-yyyy] 3 2 3 2 3 2" xfId="12926" xr:uid="{00000000-0005-0000-0000-00005D030000}"/>
    <cellStyle name="Date [mm-d-yyyy] 3 2 3 2 3 2 2" xfId="31352" xr:uid="{00000000-0005-0000-0000-00005D030000}"/>
    <cellStyle name="Date [mm-d-yyyy] 3 2 3 2 3 2 3" xfId="49715" xr:uid="{00000000-0005-0000-0000-00005D030000}"/>
    <cellStyle name="Date [mm-d-yyyy] 3 2 3 2 3 3" xfId="17237" xr:uid="{00000000-0005-0000-0000-00005D030000}"/>
    <cellStyle name="Date [mm-d-yyyy] 3 2 3 2 3 3 2" xfId="35585" xr:uid="{00000000-0005-0000-0000-00005D030000}"/>
    <cellStyle name="Date [mm-d-yyyy] 3 2 3 2 3 3 3" xfId="53948" xr:uid="{00000000-0005-0000-0000-00005D030000}"/>
    <cellStyle name="Date [mm-d-yyyy] 3 2 3 2 3 4" xfId="26370" xr:uid="{00000000-0005-0000-0000-00005D030000}"/>
    <cellStyle name="Date [mm-d-yyyy] 3 2 3 2 3 4 2" xfId="44739" xr:uid="{00000000-0005-0000-0000-00005D030000}"/>
    <cellStyle name="Date [mm-d-yyyy] 3 2 3 2 3 5" xfId="22663" xr:uid="{00000000-0005-0000-0000-00005D030000}"/>
    <cellStyle name="Date [mm-d-yyyy] 3 2 3 2 3 6" xfId="41032" xr:uid="{00000000-0005-0000-0000-00005D030000}"/>
    <cellStyle name="Date [mm-d-yyyy] 3 2 3 2 4" xfId="10349" xr:uid="{00000000-0005-0000-0000-00005D030000}"/>
    <cellStyle name="Date [mm-d-yyyy] 3 2 3 2 4 2" xfId="14406" xr:uid="{00000000-0005-0000-0000-00005D030000}"/>
    <cellStyle name="Date [mm-d-yyyy] 3 2 3 2 4 2 2" xfId="32822" xr:uid="{00000000-0005-0000-0000-00005D030000}"/>
    <cellStyle name="Date [mm-d-yyyy] 3 2 3 2 4 2 3" xfId="51185" xr:uid="{00000000-0005-0000-0000-00005D030000}"/>
    <cellStyle name="Date [mm-d-yyyy] 3 2 3 2 4 3" xfId="29060" xr:uid="{00000000-0005-0000-0000-00005D030000}"/>
    <cellStyle name="Date [mm-d-yyyy] 3 2 3 2 4 3 2" xfId="47423" xr:uid="{00000000-0005-0000-0000-00005D030000}"/>
    <cellStyle name="Date [mm-d-yyyy] 3 2 3 2 4 4" xfId="19863" xr:uid="{00000000-0005-0000-0000-00005D030000}"/>
    <cellStyle name="Date [mm-d-yyyy] 3 2 3 2 4 5" xfId="38269" xr:uid="{00000000-0005-0000-0000-00005D030000}"/>
    <cellStyle name="Date [mm-d-yyyy] 3 2 3 2 5" xfId="9557" xr:uid="{00000000-0005-0000-0000-00005D030000}"/>
    <cellStyle name="Date [mm-d-yyyy] 3 2 3 2 5 2" xfId="28274" xr:uid="{00000000-0005-0000-0000-00005D030000}"/>
    <cellStyle name="Date [mm-d-yyyy] 3 2 3 2 5 3" xfId="46637" xr:uid="{00000000-0005-0000-0000-00005D030000}"/>
    <cellStyle name="Date [mm-d-yyyy] 3 2 3 2 6" xfId="13615" xr:uid="{00000000-0005-0000-0000-00005D030000}"/>
    <cellStyle name="Date [mm-d-yyyy] 3 2 3 2 6 2" xfId="32036" xr:uid="{00000000-0005-0000-0000-00005D030000}"/>
    <cellStyle name="Date [mm-d-yyyy] 3 2 3 2 6 3" xfId="50399" xr:uid="{00000000-0005-0000-0000-00005D030000}"/>
    <cellStyle name="Date [mm-d-yyyy] 3 2 3 2 7" xfId="23544" xr:uid="{00000000-0005-0000-0000-00005D030000}"/>
    <cellStyle name="Date [mm-d-yyyy] 3 2 3 2 7 2" xfId="41913" xr:uid="{00000000-0005-0000-0000-00005D030000}"/>
    <cellStyle name="Date [mm-d-yyyy] 3 2 3 2 8" xfId="18656" xr:uid="{00000000-0005-0000-0000-00005D030000}"/>
    <cellStyle name="Date [mm-d-yyyy] 3 2 3 2 9" xfId="37066" xr:uid="{00000000-0005-0000-0000-00005D030000}"/>
    <cellStyle name="Date [mm-d-yyyy] 3 2 3 3" xfId="4676" xr:uid="{00000000-0005-0000-0000-00005D030000}"/>
    <cellStyle name="Date [mm-d-yyyy] 3 2 3 3 2" xfId="11260" xr:uid="{00000000-0005-0000-0000-00005D030000}"/>
    <cellStyle name="Date [mm-d-yyyy] 3 2 3 3 2 2" xfId="29872" xr:uid="{00000000-0005-0000-0000-00005D030000}"/>
    <cellStyle name="Date [mm-d-yyyy] 3 2 3 3 2 3" xfId="48235" xr:uid="{00000000-0005-0000-0000-00005D030000}"/>
    <cellStyle name="Date [mm-d-yyyy] 3 2 3 3 3" xfId="15402" xr:uid="{00000000-0005-0000-0000-00005D030000}"/>
    <cellStyle name="Date [mm-d-yyyy] 3 2 3 3 3 2" xfId="33795" xr:uid="{00000000-0005-0000-0000-00005D030000}"/>
    <cellStyle name="Date [mm-d-yyyy] 3 2 3 3 3 3" xfId="52158" xr:uid="{00000000-0005-0000-0000-00005D030000}"/>
    <cellStyle name="Date [mm-d-yyyy] 3 2 3 3 4" xfId="24526" xr:uid="{00000000-0005-0000-0000-00005D030000}"/>
    <cellStyle name="Date [mm-d-yyyy] 3 2 3 3 4 2" xfId="42895" xr:uid="{00000000-0005-0000-0000-00005D030000}"/>
    <cellStyle name="Date [mm-d-yyyy] 3 2 3 3 5" xfId="20853" xr:uid="{00000000-0005-0000-0000-00005D030000}"/>
    <cellStyle name="Date [mm-d-yyyy] 3 2 3 3 6" xfId="39242" xr:uid="{00000000-0005-0000-0000-00005D030000}"/>
    <cellStyle name="Date [mm-d-yyyy] 3 2 3 4" xfId="4872" xr:uid="{00000000-0005-0000-0000-00005D030000}"/>
    <cellStyle name="Date [mm-d-yyyy] 3 2 3 4 2" xfId="11430" xr:uid="{00000000-0005-0000-0000-00005D030000}"/>
    <cellStyle name="Date [mm-d-yyyy] 3 2 3 4 2 2" xfId="30020" xr:uid="{00000000-0005-0000-0000-00005D030000}"/>
    <cellStyle name="Date [mm-d-yyyy] 3 2 3 4 2 3" xfId="48383" xr:uid="{00000000-0005-0000-0000-00005D030000}"/>
    <cellStyle name="Date [mm-d-yyyy] 3 2 3 4 3" xfId="15598" xr:uid="{00000000-0005-0000-0000-00005D030000}"/>
    <cellStyle name="Date [mm-d-yyyy] 3 2 3 4 3 2" xfId="33989" xr:uid="{00000000-0005-0000-0000-00005D030000}"/>
    <cellStyle name="Date [mm-d-yyyy] 3 2 3 4 3 3" xfId="52352" xr:uid="{00000000-0005-0000-0000-00005D030000}"/>
    <cellStyle name="Date [mm-d-yyyy] 3 2 3 4 4" xfId="24720" xr:uid="{00000000-0005-0000-0000-00005D030000}"/>
    <cellStyle name="Date [mm-d-yyyy] 3 2 3 4 4 2" xfId="43089" xr:uid="{00000000-0005-0000-0000-00005D030000}"/>
    <cellStyle name="Date [mm-d-yyyy] 3 2 3 4 5" xfId="21047" xr:uid="{00000000-0005-0000-0000-00005D030000}"/>
    <cellStyle name="Date [mm-d-yyyy] 3 2 3 4 6" xfId="39436" xr:uid="{00000000-0005-0000-0000-00005D030000}"/>
    <cellStyle name="Date [mm-d-yyyy] 3 2 3 5" xfId="9914" xr:uid="{00000000-0005-0000-0000-00005D030000}"/>
    <cellStyle name="Date [mm-d-yyyy] 3 2 3 5 2" xfId="13971" xr:uid="{00000000-0005-0000-0000-00005D030000}"/>
    <cellStyle name="Date [mm-d-yyyy] 3 2 3 5 2 2" xfId="32388" xr:uid="{00000000-0005-0000-0000-00005D030000}"/>
    <cellStyle name="Date [mm-d-yyyy] 3 2 3 5 2 3" xfId="50751" xr:uid="{00000000-0005-0000-0000-00005D030000}"/>
    <cellStyle name="Date [mm-d-yyyy] 3 2 3 5 3" xfId="28626" xr:uid="{00000000-0005-0000-0000-00005D030000}"/>
    <cellStyle name="Date [mm-d-yyyy] 3 2 3 5 3 2" xfId="46989" xr:uid="{00000000-0005-0000-0000-00005D030000}"/>
    <cellStyle name="Date [mm-d-yyyy] 3 2 3 5 4" xfId="19217" xr:uid="{00000000-0005-0000-0000-00005D030000}"/>
    <cellStyle name="Date [mm-d-yyyy] 3 2 3 5 5" xfId="37624" xr:uid="{00000000-0005-0000-0000-00005D030000}"/>
    <cellStyle name="Date [mm-d-yyyy] 3 2 3 6" xfId="7970" xr:uid="{00000000-0005-0000-0000-00005D030000}"/>
    <cellStyle name="Date [mm-d-yyyy] 3 2 3 6 2" xfId="27200" xr:uid="{00000000-0005-0000-0000-00005D030000}"/>
    <cellStyle name="Date [mm-d-yyyy] 3 2 3 6 3" xfId="45565" xr:uid="{00000000-0005-0000-0000-00005D030000}"/>
    <cellStyle name="Date [mm-d-yyyy] 3 2 3 7" xfId="7171" xr:uid="{00000000-0005-0000-0000-00005D030000}"/>
    <cellStyle name="Date [mm-d-yyyy] 3 2 3 7 2" xfId="26735" xr:uid="{00000000-0005-0000-0000-00005D030000}"/>
    <cellStyle name="Date [mm-d-yyyy] 3 2 3 7 3" xfId="45103" xr:uid="{00000000-0005-0000-0000-00005D030000}"/>
    <cellStyle name="Date [mm-d-yyyy] 3 2 3 8" xfId="19275" xr:uid="{00000000-0005-0000-0000-00005D030000}"/>
    <cellStyle name="Date [mm-d-yyyy] 3 2 3 8 2" xfId="37682" xr:uid="{00000000-0005-0000-0000-00005D030000}"/>
    <cellStyle name="Date [mm-d-yyyy] 3 2 3 9" xfId="16057" xr:uid="{00000000-0005-0000-0000-00005D030000}"/>
    <cellStyle name="Date [mm-d-yyyy] 3 2 4" xfId="1767" xr:uid="{00000000-0005-0000-0000-00005E030000}"/>
    <cellStyle name="Date [mm-d-yyyy] 3 2 4 10" xfId="8641" xr:uid="{00000000-0005-0000-0000-00005E030000}"/>
    <cellStyle name="Date [mm-d-yyyy] 3 2 4 2" xfId="3664" xr:uid="{00000000-0005-0000-0000-00005E030000}"/>
    <cellStyle name="Date [mm-d-yyyy] 3 2 4 2 2" xfId="5837" xr:uid="{00000000-0005-0000-0000-00005E030000}"/>
    <cellStyle name="Date [mm-d-yyyy] 3 2 4 2 2 2" xfId="12201" xr:uid="{00000000-0005-0000-0000-00005E030000}"/>
    <cellStyle name="Date [mm-d-yyyy] 3 2 4 2 2 2 2" xfId="30648" xr:uid="{00000000-0005-0000-0000-00005E030000}"/>
    <cellStyle name="Date [mm-d-yyyy] 3 2 4 2 2 2 3" xfId="49011" xr:uid="{00000000-0005-0000-0000-00005E030000}"/>
    <cellStyle name="Date [mm-d-yyyy] 3 2 4 2 2 3" xfId="16527" xr:uid="{00000000-0005-0000-0000-00005E030000}"/>
    <cellStyle name="Date [mm-d-yyyy] 3 2 4 2 2 3 2" xfId="34899" xr:uid="{00000000-0005-0000-0000-00005E030000}"/>
    <cellStyle name="Date [mm-d-yyyy] 3 2 4 2 2 3 3" xfId="53262" xr:uid="{00000000-0005-0000-0000-00005E030000}"/>
    <cellStyle name="Date [mm-d-yyyy] 3 2 4 2 2 4" xfId="25646" xr:uid="{00000000-0005-0000-0000-00005E030000}"/>
    <cellStyle name="Date [mm-d-yyyy] 3 2 4 2 2 4 2" xfId="44015" xr:uid="{00000000-0005-0000-0000-00005E030000}"/>
    <cellStyle name="Date [mm-d-yyyy] 3 2 4 2 2 5" xfId="21967" xr:uid="{00000000-0005-0000-0000-00005E030000}"/>
    <cellStyle name="Date [mm-d-yyyy] 3 2 4 2 2 6" xfId="40346" xr:uid="{00000000-0005-0000-0000-00005E030000}"/>
    <cellStyle name="Date [mm-d-yyyy] 3 2 4 2 3" xfId="6663" xr:uid="{00000000-0005-0000-0000-00005E030000}"/>
    <cellStyle name="Date [mm-d-yyyy] 3 2 4 2 3 2" xfId="12954" xr:uid="{00000000-0005-0000-0000-00005E030000}"/>
    <cellStyle name="Date [mm-d-yyyy] 3 2 4 2 3 2 2" xfId="31380" xr:uid="{00000000-0005-0000-0000-00005E030000}"/>
    <cellStyle name="Date [mm-d-yyyy] 3 2 4 2 3 2 3" xfId="49743" xr:uid="{00000000-0005-0000-0000-00005E030000}"/>
    <cellStyle name="Date [mm-d-yyyy] 3 2 4 2 3 3" xfId="17265" xr:uid="{00000000-0005-0000-0000-00005E030000}"/>
    <cellStyle name="Date [mm-d-yyyy] 3 2 4 2 3 3 2" xfId="35613" xr:uid="{00000000-0005-0000-0000-00005E030000}"/>
    <cellStyle name="Date [mm-d-yyyy] 3 2 4 2 3 3 3" xfId="53976" xr:uid="{00000000-0005-0000-0000-00005E030000}"/>
    <cellStyle name="Date [mm-d-yyyy] 3 2 4 2 3 4" xfId="26398" xr:uid="{00000000-0005-0000-0000-00005E030000}"/>
    <cellStyle name="Date [mm-d-yyyy] 3 2 4 2 3 4 2" xfId="44767" xr:uid="{00000000-0005-0000-0000-00005E030000}"/>
    <cellStyle name="Date [mm-d-yyyy] 3 2 4 2 3 5" xfId="22691" xr:uid="{00000000-0005-0000-0000-00005E030000}"/>
    <cellStyle name="Date [mm-d-yyyy] 3 2 4 2 3 6" xfId="41060" xr:uid="{00000000-0005-0000-0000-00005E030000}"/>
    <cellStyle name="Date [mm-d-yyyy] 3 2 4 2 4" xfId="10377" xr:uid="{00000000-0005-0000-0000-00005E030000}"/>
    <cellStyle name="Date [mm-d-yyyy] 3 2 4 2 4 2" xfId="14434" xr:uid="{00000000-0005-0000-0000-00005E030000}"/>
    <cellStyle name="Date [mm-d-yyyy] 3 2 4 2 4 2 2" xfId="32850" xr:uid="{00000000-0005-0000-0000-00005E030000}"/>
    <cellStyle name="Date [mm-d-yyyy] 3 2 4 2 4 2 3" xfId="51213" xr:uid="{00000000-0005-0000-0000-00005E030000}"/>
    <cellStyle name="Date [mm-d-yyyy] 3 2 4 2 4 3" xfId="29088" xr:uid="{00000000-0005-0000-0000-00005E030000}"/>
    <cellStyle name="Date [mm-d-yyyy] 3 2 4 2 4 3 2" xfId="47451" xr:uid="{00000000-0005-0000-0000-00005E030000}"/>
    <cellStyle name="Date [mm-d-yyyy] 3 2 4 2 4 4" xfId="19891" xr:uid="{00000000-0005-0000-0000-00005E030000}"/>
    <cellStyle name="Date [mm-d-yyyy] 3 2 4 2 4 5" xfId="38297" xr:uid="{00000000-0005-0000-0000-00005E030000}"/>
    <cellStyle name="Date [mm-d-yyyy] 3 2 4 2 5" xfId="9585" xr:uid="{00000000-0005-0000-0000-00005E030000}"/>
    <cellStyle name="Date [mm-d-yyyy] 3 2 4 2 5 2" xfId="28302" xr:uid="{00000000-0005-0000-0000-00005E030000}"/>
    <cellStyle name="Date [mm-d-yyyy] 3 2 4 2 5 3" xfId="46665" xr:uid="{00000000-0005-0000-0000-00005E030000}"/>
    <cellStyle name="Date [mm-d-yyyy] 3 2 4 2 6" xfId="13643" xr:uid="{00000000-0005-0000-0000-00005E030000}"/>
    <cellStyle name="Date [mm-d-yyyy] 3 2 4 2 6 2" xfId="32064" xr:uid="{00000000-0005-0000-0000-00005E030000}"/>
    <cellStyle name="Date [mm-d-yyyy] 3 2 4 2 6 3" xfId="50427" xr:uid="{00000000-0005-0000-0000-00005E030000}"/>
    <cellStyle name="Date [mm-d-yyyy] 3 2 4 2 7" xfId="23572" xr:uid="{00000000-0005-0000-0000-00005E030000}"/>
    <cellStyle name="Date [mm-d-yyyy] 3 2 4 2 7 2" xfId="41941" xr:uid="{00000000-0005-0000-0000-00005E030000}"/>
    <cellStyle name="Date [mm-d-yyyy] 3 2 4 2 8" xfId="18684" xr:uid="{00000000-0005-0000-0000-00005E030000}"/>
    <cellStyle name="Date [mm-d-yyyy] 3 2 4 2 9" xfId="37094" xr:uid="{00000000-0005-0000-0000-00005E030000}"/>
    <cellStyle name="Date [mm-d-yyyy] 3 2 4 3" xfId="4704" xr:uid="{00000000-0005-0000-0000-00005E030000}"/>
    <cellStyle name="Date [mm-d-yyyy] 3 2 4 3 2" xfId="11288" xr:uid="{00000000-0005-0000-0000-00005E030000}"/>
    <cellStyle name="Date [mm-d-yyyy] 3 2 4 3 2 2" xfId="29900" xr:uid="{00000000-0005-0000-0000-00005E030000}"/>
    <cellStyle name="Date [mm-d-yyyy] 3 2 4 3 2 3" xfId="48263" xr:uid="{00000000-0005-0000-0000-00005E030000}"/>
    <cellStyle name="Date [mm-d-yyyy] 3 2 4 3 3" xfId="15430" xr:uid="{00000000-0005-0000-0000-00005E030000}"/>
    <cellStyle name="Date [mm-d-yyyy] 3 2 4 3 3 2" xfId="33823" xr:uid="{00000000-0005-0000-0000-00005E030000}"/>
    <cellStyle name="Date [mm-d-yyyy] 3 2 4 3 3 3" xfId="52186" xr:uid="{00000000-0005-0000-0000-00005E030000}"/>
    <cellStyle name="Date [mm-d-yyyy] 3 2 4 3 4" xfId="24554" xr:uid="{00000000-0005-0000-0000-00005E030000}"/>
    <cellStyle name="Date [mm-d-yyyy] 3 2 4 3 4 2" xfId="42923" xr:uid="{00000000-0005-0000-0000-00005E030000}"/>
    <cellStyle name="Date [mm-d-yyyy] 3 2 4 3 5" xfId="20881" xr:uid="{00000000-0005-0000-0000-00005E030000}"/>
    <cellStyle name="Date [mm-d-yyyy] 3 2 4 3 6" xfId="39270" xr:uid="{00000000-0005-0000-0000-00005E030000}"/>
    <cellStyle name="Date [mm-d-yyyy] 3 2 4 4" xfId="4864" xr:uid="{00000000-0005-0000-0000-00005E030000}"/>
    <cellStyle name="Date [mm-d-yyyy] 3 2 4 4 2" xfId="11422" xr:uid="{00000000-0005-0000-0000-00005E030000}"/>
    <cellStyle name="Date [mm-d-yyyy] 3 2 4 4 2 2" xfId="30012" xr:uid="{00000000-0005-0000-0000-00005E030000}"/>
    <cellStyle name="Date [mm-d-yyyy] 3 2 4 4 2 3" xfId="48375" xr:uid="{00000000-0005-0000-0000-00005E030000}"/>
    <cellStyle name="Date [mm-d-yyyy] 3 2 4 4 3" xfId="15590" xr:uid="{00000000-0005-0000-0000-00005E030000}"/>
    <cellStyle name="Date [mm-d-yyyy] 3 2 4 4 3 2" xfId="33981" xr:uid="{00000000-0005-0000-0000-00005E030000}"/>
    <cellStyle name="Date [mm-d-yyyy] 3 2 4 4 3 3" xfId="52344" xr:uid="{00000000-0005-0000-0000-00005E030000}"/>
    <cellStyle name="Date [mm-d-yyyy] 3 2 4 4 4" xfId="24712" xr:uid="{00000000-0005-0000-0000-00005E030000}"/>
    <cellStyle name="Date [mm-d-yyyy] 3 2 4 4 4 2" xfId="43081" xr:uid="{00000000-0005-0000-0000-00005E030000}"/>
    <cellStyle name="Date [mm-d-yyyy] 3 2 4 4 5" xfId="21039" xr:uid="{00000000-0005-0000-0000-00005E030000}"/>
    <cellStyle name="Date [mm-d-yyyy] 3 2 4 4 6" xfId="39428" xr:uid="{00000000-0005-0000-0000-00005E030000}"/>
    <cellStyle name="Date [mm-d-yyyy] 3 2 4 5" xfId="9798" xr:uid="{00000000-0005-0000-0000-00005E030000}"/>
    <cellStyle name="Date [mm-d-yyyy] 3 2 4 5 2" xfId="13855" xr:uid="{00000000-0005-0000-0000-00005E030000}"/>
    <cellStyle name="Date [mm-d-yyyy] 3 2 4 5 2 2" xfId="32275" xr:uid="{00000000-0005-0000-0000-00005E030000}"/>
    <cellStyle name="Date [mm-d-yyyy] 3 2 4 5 2 3" xfId="50638" xr:uid="{00000000-0005-0000-0000-00005E030000}"/>
    <cellStyle name="Date [mm-d-yyyy] 3 2 4 5 3" xfId="28513" xr:uid="{00000000-0005-0000-0000-00005E030000}"/>
    <cellStyle name="Date [mm-d-yyyy] 3 2 4 5 3 2" xfId="46876" xr:uid="{00000000-0005-0000-0000-00005E030000}"/>
    <cellStyle name="Date [mm-d-yyyy] 3 2 4 5 4" xfId="19013" xr:uid="{00000000-0005-0000-0000-00005E030000}"/>
    <cellStyle name="Date [mm-d-yyyy] 3 2 4 5 5" xfId="37422" xr:uid="{00000000-0005-0000-0000-00005E030000}"/>
    <cellStyle name="Date [mm-d-yyyy] 3 2 4 6" xfId="7998" xr:uid="{00000000-0005-0000-0000-00005E030000}"/>
    <cellStyle name="Date [mm-d-yyyy] 3 2 4 6 2" xfId="27228" xr:uid="{00000000-0005-0000-0000-00005E030000}"/>
    <cellStyle name="Date [mm-d-yyyy] 3 2 4 6 3" xfId="45593" xr:uid="{00000000-0005-0000-0000-00005E030000}"/>
    <cellStyle name="Date [mm-d-yyyy] 3 2 4 7" xfId="7834" xr:uid="{00000000-0005-0000-0000-00005E030000}"/>
    <cellStyle name="Date [mm-d-yyyy] 3 2 4 7 2" xfId="27092" xr:uid="{00000000-0005-0000-0000-00005E030000}"/>
    <cellStyle name="Date [mm-d-yyyy] 3 2 4 7 3" xfId="45457" xr:uid="{00000000-0005-0000-0000-00005E030000}"/>
    <cellStyle name="Date [mm-d-yyyy] 3 2 4 8" xfId="18014" xr:uid="{00000000-0005-0000-0000-00005E030000}"/>
    <cellStyle name="Date [mm-d-yyyy] 3 2 4 8 2" xfId="36422" xr:uid="{00000000-0005-0000-0000-00005E030000}"/>
    <cellStyle name="Date [mm-d-yyyy] 3 2 4 9" xfId="7136" xr:uid="{00000000-0005-0000-0000-00005E030000}"/>
    <cellStyle name="Date [mm-d-yyyy] 3 2 5" xfId="3540" xr:uid="{00000000-0005-0000-0000-00005B030000}"/>
    <cellStyle name="Date [mm-d-yyyy] 3 2 5 2" xfId="5714" xr:uid="{00000000-0005-0000-0000-00005B030000}"/>
    <cellStyle name="Date [mm-d-yyyy] 3 2 5 2 2" xfId="12078" xr:uid="{00000000-0005-0000-0000-00005B030000}"/>
    <cellStyle name="Date [mm-d-yyyy] 3 2 5 2 2 2" xfId="30525" xr:uid="{00000000-0005-0000-0000-00005B030000}"/>
    <cellStyle name="Date [mm-d-yyyy] 3 2 5 2 2 3" xfId="48888" xr:uid="{00000000-0005-0000-0000-00005B030000}"/>
    <cellStyle name="Date [mm-d-yyyy] 3 2 5 2 3" xfId="16404" xr:uid="{00000000-0005-0000-0000-00005B030000}"/>
    <cellStyle name="Date [mm-d-yyyy] 3 2 5 2 3 2" xfId="34776" xr:uid="{00000000-0005-0000-0000-00005B030000}"/>
    <cellStyle name="Date [mm-d-yyyy] 3 2 5 2 3 3" xfId="53139" xr:uid="{00000000-0005-0000-0000-00005B030000}"/>
    <cellStyle name="Date [mm-d-yyyy] 3 2 5 2 4" xfId="25523" xr:uid="{00000000-0005-0000-0000-00005B030000}"/>
    <cellStyle name="Date [mm-d-yyyy] 3 2 5 2 4 2" xfId="43892" xr:uid="{00000000-0005-0000-0000-00005B030000}"/>
    <cellStyle name="Date [mm-d-yyyy] 3 2 5 2 5" xfId="21844" xr:uid="{00000000-0005-0000-0000-00005B030000}"/>
    <cellStyle name="Date [mm-d-yyyy] 3 2 5 2 6" xfId="40223" xr:uid="{00000000-0005-0000-0000-00005B030000}"/>
    <cellStyle name="Date [mm-d-yyyy] 3 2 5 3" xfId="6539" xr:uid="{00000000-0005-0000-0000-00005B030000}"/>
    <cellStyle name="Date [mm-d-yyyy] 3 2 5 3 2" xfId="12830" xr:uid="{00000000-0005-0000-0000-00005B030000}"/>
    <cellStyle name="Date [mm-d-yyyy] 3 2 5 3 2 2" xfId="31256" xr:uid="{00000000-0005-0000-0000-00005B030000}"/>
    <cellStyle name="Date [mm-d-yyyy] 3 2 5 3 2 3" xfId="49619" xr:uid="{00000000-0005-0000-0000-00005B030000}"/>
    <cellStyle name="Date [mm-d-yyyy] 3 2 5 3 3" xfId="17141" xr:uid="{00000000-0005-0000-0000-00005B030000}"/>
    <cellStyle name="Date [mm-d-yyyy] 3 2 5 3 3 2" xfId="35489" xr:uid="{00000000-0005-0000-0000-00005B030000}"/>
    <cellStyle name="Date [mm-d-yyyy] 3 2 5 3 3 3" xfId="53852" xr:uid="{00000000-0005-0000-0000-00005B030000}"/>
    <cellStyle name="Date [mm-d-yyyy] 3 2 5 3 4" xfId="26274" xr:uid="{00000000-0005-0000-0000-00005B030000}"/>
    <cellStyle name="Date [mm-d-yyyy] 3 2 5 3 4 2" xfId="44643" xr:uid="{00000000-0005-0000-0000-00005B030000}"/>
    <cellStyle name="Date [mm-d-yyyy] 3 2 5 3 5" xfId="22567" xr:uid="{00000000-0005-0000-0000-00005B030000}"/>
    <cellStyle name="Date [mm-d-yyyy] 3 2 5 3 6" xfId="40936" xr:uid="{00000000-0005-0000-0000-00005B030000}"/>
    <cellStyle name="Date [mm-d-yyyy] 3 2 5 4" xfId="10253" xr:uid="{00000000-0005-0000-0000-00005B030000}"/>
    <cellStyle name="Date [mm-d-yyyy] 3 2 5 4 2" xfId="14310" xr:uid="{00000000-0005-0000-0000-00005B030000}"/>
    <cellStyle name="Date [mm-d-yyyy] 3 2 5 4 2 2" xfId="32726" xr:uid="{00000000-0005-0000-0000-00005B030000}"/>
    <cellStyle name="Date [mm-d-yyyy] 3 2 5 4 2 3" xfId="51089" xr:uid="{00000000-0005-0000-0000-00005B030000}"/>
    <cellStyle name="Date [mm-d-yyyy] 3 2 5 4 3" xfId="28964" xr:uid="{00000000-0005-0000-0000-00005B030000}"/>
    <cellStyle name="Date [mm-d-yyyy] 3 2 5 4 3 2" xfId="47327" xr:uid="{00000000-0005-0000-0000-00005B030000}"/>
    <cellStyle name="Date [mm-d-yyyy] 3 2 5 4 4" xfId="19767" xr:uid="{00000000-0005-0000-0000-00005B030000}"/>
    <cellStyle name="Date [mm-d-yyyy] 3 2 5 4 5" xfId="38173" xr:uid="{00000000-0005-0000-0000-00005B030000}"/>
    <cellStyle name="Date [mm-d-yyyy] 3 2 5 5" xfId="9462" xr:uid="{00000000-0005-0000-0000-00005B030000}"/>
    <cellStyle name="Date [mm-d-yyyy] 3 2 5 5 2" xfId="28179" xr:uid="{00000000-0005-0000-0000-00005B030000}"/>
    <cellStyle name="Date [mm-d-yyyy] 3 2 5 5 3" xfId="46542" xr:uid="{00000000-0005-0000-0000-00005B030000}"/>
    <cellStyle name="Date [mm-d-yyyy] 3 2 5 6" xfId="13519" xr:uid="{00000000-0005-0000-0000-00005B030000}"/>
    <cellStyle name="Date [mm-d-yyyy] 3 2 5 6 2" xfId="31940" xr:uid="{00000000-0005-0000-0000-00005B030000}"/>
    <cellStyle name="Date [mm-d-yyyy] 3 2 5 6 3" xfId="50303" xr:uid="{00000000-0005-0000-0000-00005B030000}"/>
    <cellStyle name="Date [mm-d-yyyy] 3 2 5 7" xfId="23448" xr:uid="{00000000-0005-0000-0000-00005B030000}"/>
    <cellStyle name="Date [mm-d-yyyy] 3 2 5 7 2" xfId="41817" xr:uid="{00000000-0005-0000-0000-00005B030000}"/>
    <cellStyle name="Date [mm-d-yyyy] 3 2 5 8" xfId="18558" xr:uid="{00000000-0005-0000-0000-00005B030000}"/>
    <cellStyle name="Date [mm-d-yyyy] 3 2 5 9" xfId="36967" xr:uid="{00000000-0005-0000-0000-00005B030000}"/>
    <cellStyle name="Date [mm-d-yyyy] 3 2 6" xfId="4569" xr:uid="{00000000-0005-0000-0000-00005B030000}"/>
    <cellStyle name="Date [mm-d-yyyy] 3 2 6 2" xfId="11154" xr:uid="{00000000-0005-0000-0000-00005B030000}"/>
    <cellStyle name="Date [mm-d-yyyy] 3 2 6 2 2" xfId="29768" xr:uid="{00000000-0005-0000-0000-00005B030000}"/>
    <cellStyle name="Date [mm-d-yyyy] 3 2 6 2 3" xfId="48131" xr:uid="{00000000-0005-0000-0000-00005B030000}"/>
    <cellStyle name="Date [mm-d-yyyy] 3 2 6 3" xfId="15295" xr:uid="{00000000-0005-0000-0000-00005B030000}"/>
    <cellStyle name="Date [mm-d-yyyy] 3 2 6 3 2" xfId="33689" xr:uid="{00000000-0005-0000-0000-00005B030000}"/>
    <cellStyle name="Date [mm-d-yyyy] 3 2 6 3 3" xfId="52052" xr:uid="{00000000-0005-0000-0000-00005B030000}"/>
    <cellStyle name="Date [mm-d-yyyy] 3 2 6 4" xfId="24420" xr:uid="{00000000-0005-0000-0000-00005B030000}"/>
    <cellStyle name="Date [mm-d-yyyy] 3 2 6 4 2" xfId="42789" xr:uid="{00000000-0005-0000-0000-00005B030000}"/>
    <cellStyle name="Date [mm-d-yyyy] 3 2 6 5" xfId="20746" xr:uid="{00000000-0005-0000-0000-00005B030000}"/>
    <cellStyle name="Date [mm-d-yyyy] 3 2 6 6" xfId="39136" xr:uid="{00000000-0005-0000-0000-00005B030000}"/>
    <cellStyle name="Date [mm-d-yyyy] 3 2 7" xfId="3978" xr:uid="{00000000-0005-0000-0000-00005B030000}"/>
    <cellStyle name="Date [mm-d-yyyy] 3 2 7 2" xfId="10683" xr:uid="{00000000-0005-0000-0000-00005B030000}"/>
    <cellStyle name="Date [mm-d-yyyy] 3 2 7 2 2" xfId="29388" xr:uid="{00000000-0005-0000-0000-00005B030000}"/>
    <cellStyle name="Date [mm-d-yyyy] 3 2 7 2 3" xfId="47751" xr:uid="{00000000-0005-0000-0000-00005B030000}"/>
    <cellStyle name="Date [mm-d-yyyy] 3 2 7 3" xfId="14740" xr:uid="{00000000-0005-0000-0000-00005B030000}"/>
    <cellStyle name="Date [mm-d-yyyy] 3 2 7 3 2" xfId="33152" xr:uid="{00000000-0005-0000-0000-00005B030000}"/>
    <cellStyle name="Date [mm-d-yyyy] 3 2 7 3 3" xfId="51515" xr:uid="{00000000-0005-0000-0000-00005B030000}"/>
    <cellStyle name="Date [mm-d-yyyy] 3 2 7 4" xfId="23876" xr:uid="{00000000-0005-0000-0000-00005B030000}"/>
    <cellStyle name="Date [mm-d-yyyy] 3 2 7 4 2" xfId="42245" xr:uid="{00000000-0005-0000-0000-00005B030000}"/>
    <cellStyle name="Date [mm-d-yyyy] 3 2 7 5" xfId="20195" xr:uid="{00000000-0005-0000-0000-00005B030000}"/>
    <cellStyle name="Date [mm-d-yyyy] 3 2 7 6" xfId="38599" xr:uid="{00000000-0005-0000-0000-00005B030000}"/>
    <cellStyle name="Date [mm-d-yyyy] 3 2 8" xfId="9819" xr:uid="{00000000-0005-0000-0000-00005B030000}"/>
    <cellStyle name="Date [mm-d-yyyy] 3 2 8 2" xfId="13876" xr:uid="{00000000-0005-0000-0000-00005B030000}"/>
    <cellStyle name="Date [mm-d-yyyy] 3 2 8 2 2" xfId="32296" xr:uid="{00000000-0005-0000-0000-00005B030000}"/>
    <cellStyle name="Date [mm-d-yyyy] 3 2 8 2 3" xfId="50659" xr:uid="{00000000-0005-0000-0000-00005B030000}"/>
    <cellStyle name="Date [mm-d-yyyy] 3 2 8 3" xfId="28534" xr:uid="{00000000-0005-0000-0000-00005B030000}"/>
    <cellStyle name="Date [mm-d-yyyy] 3 2 8 3 2" xfId="46897" xr:uid="{00000000-0005-0000-0000-00005B030000}"/>
    <cellStyle name="Date [mm-d-yyyy] 3 2 8 4" xfId="19036" xr:uid="{00000000-0005-0000-0000-00005B030000}"/>
    <cellStyle name="Date [mm-d-yyyy] 3 2 8 5" xfId="37445" xr:uid="{00000000-0005-0000-0000-00005B030000}"/>
    <cellStyle name="Date [mm-d-yyyy] 3 2 9" xfId="7866" xr:uid="{00000000-0005-0000-0000-00005B030000}"/>
    <cellStyle name="Date [mm-d-yyyy] 3 2 9 2" xfId="27109" xr:uid="{00000000-0005-0000-0000-00005B030000}"/>
    <cellStyle name="Date [mm-d-yyyy] 3 2 9 3" xfId="45474" xr:uid="{00000000-0005-0000-0000-00005B030000}"/>
    <cellStyle name="Date [mm-d-yyyy] 3 3" xfId="1535" xr:uid="{00000000-0005-0000-0000-00005F030000}"/>
    <cellStyle name="Date [mm-d-yyyy] 3 3 10" xfId="8796" xr:uid="{00000000-0005-0000-0000-00005F030000}"/>
    <cellStyle name="Date [mm-d-yyyy] 3 3 11" xfId="10635" xr:uid="{00000000-0005-0000-0000-00005F030000}"/>
    <cellStyle name="Date [mm-d-yyyy] 3 3 2" xfId="1699" xr:uid="{00000000-0005-0000-0000-000060030000}"/>
    <cellStyle name="Date [mm-d-yyyy] 3 3 2 10" xfId="11834" xr:uid="{00000000-0005-0000-0000-000060030000}"/>
    <cellStyle name="Date [mm-d-yyyy] 3 3 2 2" xfId="3597" xr:uid="{00000000-0005-0000-0000-000060030000}"/>
    <cellStyle name="Date [mm-d-yyyy] 3 3 2 2 2" xfId="5770" xr:uid="{00000000-0005-0000-0000-000060030000}"/>
    <cellStyle name="Date [mm-d-yyyy] 3 3 2 2 2 2" xfId="12134" xr:uid="{00000000-0005-0000-0000-000060030000}"/>
    <cellStyle name="Date [mm-d-yyyy] 3 3 2 2 2 2 2" xfId="30581" xr:uid="{00000000-0005-0000-0000-000060030000}"/>
    <cellStyle name="Date [mm-d-yyyy] 3 3 2 2 2 2 3" xfId="48944" xr:uid="{00000000-0005-0000-0000-000060030000}"/>
    <cellStyle name="Date [mm-d-yyyy] 3 3 2 2 2 3" xfId="16460" xr:uid="{00000000-0005-0000-0000-000060030000}"/>
    <cellStyle name="Date [mm-d-yyyy] 3 3 2 2 2 3 2" xfId="34832" xr:uid="{00000000-0005-0000-0000-000060030000}"/>
    <cellStyle name="Date [mm-d-yyyy] 3 3 2 2 2 3 3" xfId="53195" xr:uid="{00000000-0005-0000-0000-000060030000}"/>
    <cellStyle name="Date [mm-d-yyyy] 3 3 2 2 2 4" xfId="25579" xr:uid="{00000000-0005-0000-0000-000060030000}"/>
    <cellStyle name="Date [mm-d-yyyy] 3 3 2 2 2 4 2" xfId="43948" xr:uid="{00000000-0005-0000-0000-000060030000}"/>
    <cellStyle name="Date [mm-d-yyyy] 3 3 2 2 2 5" xfId="21900" xr:uid="{00000000-0005-0000-0000-000060030000}"/>
    <cellStyle name="Date [mm-d-yyyy] 3 3 2 2 2 6" xfId="40279" xr:uid="{00000000-0005-0000-0000-000060030000}"/>
    <cellStyle name="Date [mm-d-yyyy] 3 3 2 2 3" xfId="6596" xr:uid="{00000000-0005-0000-0000-000060030000}"/>
    <cellStyle name="Date [mm-d-yyyy] 3 3 2 2 3 2" xfId="12887" xr:uid="{00000000-0005-0000-0000-000060030000}"/>
    <cellStyle name="Date [mm-d-yyyy] 3 3 2 2 3 2 2" xfId="31313" xr:uid="{00000000-0005-0000-0000-000060030000}"/>
    <cellStyle name="Date [mm-d-yyyy] 3 3 2 2 3 2 3" xfId="49676" xr:uid="{00000000-0005-0000-0000-000060030000}"/>
    <cellStyle name="Date [mm-d-yyyy] 3 3 2 2 3 3" xfId="17198" xr:uid="{00000000-0005-0000-0000-000060030000}"/>
    <cellStyle name="Date [mm-d-yyyy] 3 3 2 2 3 3 2" xfId="35546" xr:uid="{00000000-0005-0000-0000-000060030000}"/>
    <cellStyle name="Date [mm-d-yyyy] 3 3 2 2 3 3 3" xfId="53909" xr:uid="{00000000-0005-0000-0000-000060030000}"/>
    <cellStyle name="Date [mm-d-yyyy] 3 3 2 2 3 4" xfId="26331" xr:uid="{00000000-0005-0000-0000-000060030000}"/>
    <cellStyle name="Date [mm-d-yyyy] 3 3 2 2 3 4 2" xfId="44700" xr:uid="{00000000-0005-0000-0000-000060030000}"/>
    <cellStyle name="Date [mm-d-yyyy] 3 3 2 2 3 5" xfId="22624" xr:uid="{00000000-0005-0000-0000-000060030000}"/>
    <cellStyle name="Date [mm-d-yyyy] 3 3 2 2 3 6" xfId="40993" xr:uid="{00000000-0005-0000-0000-000060030000}"/>
    <cellStyle name="Date [mm-d-yyyy] 3 3 2 2 4" xfId="10310" xr:uid="{00000000-0005-0000-0000-000060030000}"/>
    <cellStyle name="Date [mm-d-yyyy] 3 3 2 2 4 2" xfId="14367" xr:uid="{00000000-0005-0000-0000-000060030000}"/>
    <cellStyle name="Date [mm-d-yyyy] 3 3 2 2 4 2 2" xfId="32783" xr:uid="{00000000-0005-0000-0000-000060030000}"/>
    <cellStyle name="Date [mm-d-yyyy] 3 3 2 2 4 2 3" xfId="51146" xr:uid="{00000000-0005-0000-0000-000060030000}"/>
    <cellStyle name="Date [mm-d-yyyy] 3 3 2 2 4 3" xfId="29021" xr:uid="{00000000-0005-0000-0000-000060030000}"/>
    <cellStyle name="Date [mm-d-yyyy] 3 3 2 2 4 3 2" xfId="47384" xr:uid="{00000000-0005-0000-0000-000060030000}"/>
    <cellStyle name="Date [mm-d-yyyy] 3 3 2 2 4 4" xfId="19824" xr:uid="{00000000-0005-0000-0000-000060030000}"/>
    <cellStyle name="Date [mm-d-yyyy] 3 3 2 2 4 5" xfId="38230" xr:uid="{00000000-0005-0000-0000-000060030000}"/>
    <cellStyle name="Date [mm-d-yyyy] 3 3 2 2 5" xfId="9518" xr:uid="{00000000-0005-0000-0000-000060030000}"/>
    <cellStyle name="Date [mm-d-yyyy] 3 3 2 2 5 2" xfId="28235" xr:uid="{00000000-0005-0000-0000-000060030000}"/>
    <cellStyle name="Date [mm-d-yyyy] 3 3 2 2 5 3" xfId="46598" xr:uid="{00000000-0005-0000-0000-000060030000}"/>
    <cellStyle name="Date [mm-d-yyyy] 3 3 2 2 6" xfId="13576" xr:uid="{00000000-0005-0000-0000-000060030000}"/>
    <cellStyle name="Date [mm-d-yyyy] 3 3 2 2 6 2" xfId="31997" xr:uid="{00000000-0005-0000-0000-000060030000}"/>
    <cellStyle name="Date [mm-d-yyyy] 3 3 2 2 6 3" xfId="50360" xr:uid="{00000000-0005-0000-0000-000060030000}"/>
    <cellStyle name="Date [mm-d-yyyy] 3 3 2 2 7" xfId="23505" xr:uid="{00000000-0005-0000-0000-000060030000}"/>
    <cellStyle name="Date [mm-d-yyyy] 3 3 2 2 7 2" xfId="41874" xr:uid="{00000000-0005-0000-0000-000060030000}"/>
    <cellStyle name="Date [mm-d-yyyy] 3 3 2 2 8" xfId="18616" xr:uid="{00000000-0005-0000-0000-000060030000}"/>
    <cellStyle name="Date [mm-d-yyyy] 3 3 2 2 9" xfId="37026" xr:uid="{00000000-0005-0000-0000-000060030000}"/>
    <cellStyle name="Date [mm-d-yyyy] 3 3 2 3" xfId="4637" xr:uid="{00000000-0005-0000-0000-000060030000}"/>
    <cellStyle name="Date [mm-d-yyyy] 3 3 2 3 2" xfId="11221" xr:uid="{00000000-0005-0000-0000-000060030000}"/>
    <cellStyle name="Date [mm-d-yyyy] 3 3 2 3 2 2" xfId="29833" xr:uid="{00000000-0005-0000-0000-000060030000}"/>
    <cellStyle name="Date [mm-d-yyyy] 3 3 2 3 2 3" xfId="48196" xr:uid="{00000000-0005-0000-0000-000060030000}"/>
    <cellStyle name="Date [mm-d-yyyy] 3 3 2 3 3" xfId="15363" xr:uid="{00000000-0005-0000-0000-000060030000}"/>
    <cellStyle name="Date [mm-d-yyyy] 3 3 2 3 3 2" xfId="33756" xr:uid="{00000000-0005-0000-0000-000060030000}"/>
    <cellStyle name="Date [mm-d-yyyy] 3 3 2 3 3 3" xfId="52119" xr:uid="{00000000-0005-0000-0000-000060030000}"/>
    <cellStyle name="Date [mm-d-yyyy] 3 3 2 3 4" xfId="24487" xr:uid="{00000000-0005-0000-0000-000060030000}"/>
    <cellStyle name="Date [mm-d-yyyy] 3 3 2 3 4 2" xfId="42856" xr:uid="{00000000-0005-0000-0000-000060030000}"/>
    <cellStyle name="Date [mm-d-yyyy] 3 3 2 3 5" xfId="20814" xr:uid="{00000000-0005-0000-0000-000060030000}"/>
    <cellStyle name="Date [mm-d-yyyy] 3 3 2 3 6" xfId="39203" xr:uid="{00000000-0005-0000-0000-000060030000}"/>
    <cellStyle name="Date [mm-d-yyyy] 3 3 2 4" xfId="4560" xr:uid="{00000000-0005-0000-0000-000060030000}"/>
    <cellStyle name="Date [mm-d-yyyy] 3 3 2 4 2" xfId="11145" xr:uid="{00000000-0005-0000-0000-000060030000}"/>
    <cellStyle name="Date [mm-d-yyyy] 3 3 2 4 2 2" xfId="29760" xr:uid="{00000000-0005-0000-0000-000060030000}"/>
    <cellStyle name="Date [mm-d-yyyy] 3 3 2 4 2 3" xfId="48123" xr:uid="{00000000-0005-0000-0000-000060030000}"/>
    <cellStyle name="Date [mm-d-yyyy] 3 3 2 4 3" xfId="15287" xr:uid="{00000000-0005-0000-0000-000060030000}"/>
    <cellStyle name="Date [mm-d-yyyy] 3 3 2 4 3 2" xfId="33681" xr:uid="{00000000-0005-0000-0000-000060030000}"/>
    <cellStyle name="Date [mm-d-yyyy] 3 3 2 4 3 3" xfId="52044" xr:uid="{00000000-0005-0000-0000-000060030000}"/>
    <cellStyle name="Date [mm-d-yyyy] 3 3 2 4 4" xfId="24412" xr:uid="{00000000-0005-0000-0000-000060030000}"/>
    <cellStyle name="Date [mm-d-yyyy] 3 3 2 4 4 2" xfId="42781" xr:uid="{00000000-0005-0000-0000-000060030000}"/>
    <cellStyle name="Date [mm-d-yyyy] 3 3 2 4 5" xfId="20737" xr:uid="{00000000-0005-0000-0000-000060030000}"/>
    <cellStyle name="Date [mm-d-yyyy] 3 3 2 4 6" xfId="39128" xr:uid="{00000000-0005-0000-0000-000060030000}"/>
    <cellStyle name="Date [mm-d-yyyy] 3 3 2 5" xfId="9919" xr:uid="{00000000-0005-0000-0000-000060030000}"/>
    <cellStyle name="Date [mm-d-yyyy] 3 3 2 5 2" xfId="13976" xr:uid="{00000000-0005-0000-0000-000060030000}"/>
    <cellStyle name="Date [mm-d-yyyy] 3 3 2 5 2 2" xfId="32393" xr:uid="{00000000-0005-0000-0000-000060030000}"/>
    <cellStyle name="Date [mm-d-yyyy] 3 3 2 5 2 3" xfId="50756" xr:uid="{00000000-0005-0000-0000-000060030000}"/>
    <cellStyle name="Date [mm-d-yyyy] 3 3 2 5 3" xfId="28631" xr:uid="{00000000-0005-0000-0000-000060030000}"/>
    <cellStyle name="Date [mm-d-yyyy] 3 3 2 5 3 2" xfId="46994" xr:uid="{00000000-0005-0000-0000-000060030000}"/>
    <cellStyle name="Date [mm-d-yyyy] 3 3 2 5 4" xfId="19222" xr:uid="{00000000-0005-0000-0000-000060030000}"/>
    <cellStyle name="Date [mm-d-yyyy] 3 3 2 5 5" xfId="37629" xr:uid="{00000000-0005-0000-0000-000060030000}"/>
    <cellStyle name="Date [mm-d-yyyy] 3 3 2 6" xfId="7931" xr:uid="{00000000-0005-0000-0000-000060030000}"/>
    <cellStyle name="Date [mm-d-yyyy] 3 3 2 6 2" xfId="27162" xr:uid="{00000000-0005-0000-0000-000060030000}"/>
    <cellStyle name="Date [mm-d-yyyy] 3 3 2 6 3" xfId="45527" xr:uid="{00000000-0005-0000-0000-000060030000}"/>
    <cellStyle name="Date [mm-d-yyyy] 3 3 2 7" xfId="8662" xr:uid="{00000000-0005-0000-0000-000060030000}"/>
    <cellStyle name="Date [mm-d-yyyy] 3 3 2 7 2" xfId="27569" xr:uid="{00000000-0005-0000-0000-000060030000}"/>
    <cellStyle name="Date [mm-d-yyyy] 3 3 2 7 3" xfId="45932" xr:uid="{00000000-0005-0000-0000-000060030000}"/>
    <cellStyle name="Date [mm-d-yyyy] 3 3 2 8" xfId="19068" xr:uid="{00000000-0005-0000-0000-000060030000}"/>
    <cellStyle name="Date [mm-d-yyyy] 3 3 2 8 2" xfId="37476" xr:uid="{00000000-0005-0000-0000-000060030000}"/>
    <cellStyle name="Date [mm-d-yyyy] 3 3 2 9" xfId="11614" xr:uid="{00000000-0005-0000-0000-000060030000}"/>
    <cellStyle name="Date [mm-d-yyyy] 3 3 3" xfId="1476" xr:uid="{00000000-0005-0000-0000-000061030000}"/>
    <cellStyle name="Date [mm-d-yyyy] 3 3 3 10" xfId="11727" xr:uid="{00000000-0005-0000-0000-000061030000}"/>
    <cellStyle name="Date [mm-d-yyyy] 3 3 3 2" xfId="3492" xr:uid="{00000000-0005-0000-0000-000061030000}"/>
    <cellStyle name="Date [mm-d-yyyy] 3 3 3 2 2" xfId="5667" xr:uid="{00000000-0005-0000-0000-000061030000}"/>
    <cellStyle name="Date [mm-d-yyyy] 3 3 3 2 2 2" xfId="12031" xr:uid="{00000000-0005-0000-0000-000061030000}"/>
    <cellStyle name="Date [mm-d-yyyy] 3 3 3 2 2 2 2" xfId="30478" xr:uid="{00000000-0005-0000-0000-000061030000}"/>
    <cellStyle name="Date [mm-d-yyyy] 3 3 3 2 2 2 3" xfId="48841" xr:uid="{00000000-0005-0000-0000-000061030000}"/>
    <cellStyle name="Date [mm-d-yyyy] 3 3 3 2 2 3" xfId="16357" xr:uid="{00000000-0005-0000-0000-000061030000}"/>
    <cellStyle name="Date [mm-d-yyyy] 3 3 3 2 2 3 2" xfId="34729" xr:uid="{00000000-0005-0000-0000-000061030000}"/>
    <cellStyle name="Date [mm-d-yyyy] 3 3 3 2 2 3 3" xfId="53092" xr:uid="{00000000-0005-0000-0000-000061030000}"/>
    <cellStyle name="Date [mm-d-yyyy] 3 3 3 2 2 4" xfId="25476" xr:uid="{00000000-0005-0000-0000-000061030000}"/>
    <cellStyle name="Date [mm-d-yyyy] 3 3 3 2 2 4 2" xfId="43845" xr:uid="{00000000-0005-0000-0000-000061030000}"/>
    <cellStyle name="Date [mm-d-yyyy] 3 3 3 2 2 5" xfId="21797" xr:uid="{00000000-0005-0000-0000-000061030000}"/>
    <cellStyle name="Date [mm-d-yyyy] 3 3 3 2 2 6" xfId="40176" xr:uid="{00000000-0005-0000-0000-000061030000}"/>
    <cellStyle name="Date [mm-d-yyyy] 3 3 3 2 3" xfId="6491" xr:uid="{00000000-0005-0000-0000-000061030000}"/>
    <cellStyle name="Date [mm-d-yyyy] 3 3 3 2 3 2" xfId="12782" xr:uid="{00000000-0005-0000-0000-000061030000}"/>
    <cellStyle name="Date [mm-d-yyyy] 3 3 3 2 3 2 2" xfId="31208" xr:uid="{00000000-0005-0000-0000-000061030000}"/>
    <cellStyle name="Date [mm-d-yyyy] 3 3 3 2 3 2 3" xfId="49571" xr:uid="{00000000-0005-0000-0000-000061030000}"/>
    <cellStyle name="Date [mm-d-yyyy] 3 3 3 2 3 3" xfId="17093" xr:uid="{00000000-0005-0000-0000-000061030000}"/>
    <cellStyle name="Date [mm-d-yyyy] 3 3 3 2 3 3 2" xfId="35441" xr:uid="{00000000-0005-0000-0000-000061030000}"/>
    <cellStyle name="Date [mm-d-yyyy] 3 3 3 2 3 3 3" xfId="53804" xr:uid="{00000000-0005-0000-0000-000061030000}"/>
    <cellStyle name="Date [mm-d-yyyy] 3 3 3 2 3 4" xfId="26226" xr:uid="{00000000-0005-0000-0000-000061030000}"/>
    <cellStyle name="Date [mm-d-yyyy] 3 3 3 2 3 4 2" xfId="44595" xr:uid="{00000000-0005-0000-0000-000061030000}"/>
    <cellStyle name="Date [mm-d-yyyy] 3 3 3 2 3 5" xfId="22519" xr:uid="{00000000-0005-0000-0000-000061030000}"/>
    <cellStyle name="Date [mm-d-yyyy] 3 3 3 2 3 6" xfId="40888" xr:uid="{00000000-0005-0000-0000-000061030000}"/>
    <cellStyle name="Date [mm-d-yyyy] 3 3 3 2 4" xfId="10205" xr:uid="{00000000-0005-0000-0000-000061030000}"/>
    <cellStyle name="Date [mm-d-yyyy] 3 3 3 2 4 2" xfId="14262" xr:uid="{00000000-0005-0000-0000-000061030000}"/>
    <cellStyle name="Date [mm-d-yyyy] 3 3 3 2 4 2 2" xfId="32678" xr:uid="{00000000-0005-0000-0000-000061030000}"/>
    <cellStyle name="Date [mm-d-yyyy] 3 3 3 2 4 2 3" xfId="51041" xr:uid="{00000000-0005-0000-0000-000061030000}"/>
    <cellStyle name="Date [mm-d-yyyy] 3 3 3 2 4 3" xfId="28916" xr:uid="{00000000-0005-0000-0000-000061030000}"/>
    <cellStyle name="Date [mm-d-yyyy] 3 3 3 2 4 3 2" xfId="47279" xr:uid="{00000000-0005-0000-0000-000061030000}"/>
    <cellStyle name="Date [mm-d-yyyy] 3 3 3 2 4 4" xfId="19719" xr:uid="{00000000-0005-0000-0000-000061030000}"/>
    <cellStyle name="Date [mm-d-yyyy] 3 3 3 2 4 5" xfId="38125" xr:uid="{00000000-0005-0000-0000-000061030000}"/>
    <cellStyle name="Date [mm-d-yyyy] 3 3 3 2 5" xfId="9398" xr:uid="{00000000-0005-0000-0000-000061030000}"/>
    <cellStyle name="Date [mm-d-yyyy] 3 3 3 2 5 2" xfId="28117" xr:uid="{00000000-0005-0000-0000-000061030000}"/>
    <cellStyle name="Date [mm-d-yyyy] 3 3 3 2 5 3" xfId="46480" xr:uid="{00000000-0005-0000-0000-000061030000}"/>
    <cellStyle name="Date [mm-d-yyyy] 3 3 3 2 6" xfId="13454" xr:uid="{00000000-0005-0000-0000-000061030000}"/>
    <cellStyle name="Date [mm-d-yyyy] 3 3 3 2 6 2" xfId="31875" xr:uid="{00000000-0005-0000-0000-000061030000}"/>
    <cellStyle name="Date [mm-d-yyyy] 3 3 3 2 6 3" xfId="50238" xr:uid="{00000000-0005-0000-0000-000061030000}"/>
    <cellStyle name="Date [mm-d-yyyy] 3 3 3 2 7" xfId="23400" xr:uid="{00000000-0005-0000-0000-000061030000}"/>
    <cellStyle name="Date [mm-d-yyyy] 3 3 3 2 7 2" xfId="41769" xr:uid="{00000000-0005-0000-0000-000061030000}"/>
    <cellStyle name="Date [mm-d-yyyy] 3 3 3 2 8" xfId="18481" xr:uid="{00000000-0005-0000-0000-000061030000}"/>
    <cellStyle name="Date [mm-d-yyyy] 3 3 3 2 9" xfId="36887" xr:uid="{00000000-0005-0000-0000-000061030000}"/>
    <cellStyle name="Date [mm-d-yyyy] 3 3 3 3" xfId="4491" xr:uid="{00000000-0005-0000-0000-000061030000}"/>
    <cellStyle name="Date [mm-d-yyyy] 3 3 3 3 2" xfId="11086" xr:uid="{00000000-0005-0000-0000-000061030000}"/>
    <cellStyle name="Date [mm-d-yyyy] 3 3 3 3 2 2" xfId="29706" xr:uid="{00000000-0005-0000-0000-000061030000}"/>
    <cellStyle name="Date [mm-d-yyyy] 3 3 3 3 2 3" xfId="48069" xr:uid="{00000000-0005-0000-0000-000061030000}"/>
    <cellStyle name="Date [mm-d-yyyy] 3 3 3 3 3" xfId="15225" xr:uid="{00000000-0005-0000-0000-000061030000}"/>
    <cellStyle name="Date [mm-d-yyyy] 3 3 3 3 3 2" xfId="33620" xr:uid="{00000000-0005-0000-0000-000061030000}"/>
    <cellStyle name="Date [mm-d-yyyy] 3 3 3 3 3 3" xfId="51983" xr:uid="{00000000-0005-0000-0000-000061030000}"/>
    <cellStyle name="Date [mm-d-yyyy] 3 3 3 3 4" xfId="24351" xr:uid="{00000000-0005-0000-0000-000061030000}"/>
    <cellStyle name="Date [mm-d-yyyy] 3 3 3 3 4 2" xfId="42720" xr:uid="{00000000-0005-0000-0000-000061030000}"/>
    <cellStyle name="Date [mm-d-yyyy] 3 3 3 3 5" xfId="20675" xr:uid="{00000000-0005-0000-0000-000061030000}"/>
    <cellStyle name="Date [mm-d-yyyy] 3 3 3 3 6" xfId="39067" xr:uid="{00000000-0005-0000-0000-000061030000}"/>
    <cellStyle name="Date [mm-d-yyyy] 3 3 3 4" xfId="4006" xr:uid="{00000000-0005-0000-0000-000061030000}"/>
    <cellStyle name="Date [mm-d-yyyy] 3 3 3 4 2" xfId="10710" xr:uid="{00000000-0005-0000-0000-000061030000}"/>
    <cellStyle name="Date [mm-d-yyyy] 3 3 3 4 2 2" xfId="29414" xr:uid="{00000000-0005-0000-0000-000061030000}"/>
    <cellStyle name="Date [mm-d-yyyy] 3 3 3 4 2 3" xfId="47777" xr:uid="{00000000-0005-0000-0000-000061030000}"/>
    <cellStyle name="Date [mm-d-yyyy] 3 3 3 4 3" xfId="14767" xr:uid="{00000000-0005-0000-0000-000061030000}"/>
    <cellStyle name="Date [mm-d-yyyy] 3 3 3 4 3 2" xfId="33179" xr:uid="{00000000-0005-0000-0000-000061030000}"/>
    <cellStyle name="Date [mm-d-yyyy] 3 3 3 4 3 3" xfId="51542" xr:uid="{00000000-0005-0000-0000-000061030000}"/>
    <cellStyle name="Date [mm-d-yyyy] 3 3 3 4 4" xfId="23903" xr:uid="{00000000-0005-0000-0000-000061030000}"/>
    <cellStyle name="Date [mm-d-yyyy] 3 3 3 4 4 2" xfId="42272" xr:uid="{00000000-0005-0000-0000-000061030000}"/>
    <cellStyle name="Date [mm-d-yyyy] 3 3 3 4 5" xfId="20223" xr:uid="{00000000-0005-0000-0000-000061030000}"/>
    <cellStyle name="Date [mm-d-yyyy] 3 3 3 4 6" xfId="38626" xr:uid="{00000000-0005-0000-0000-000061030000}"/>
    <cellStyle name="Date [mm-d-yyyy] 3 3 3 5" xfId="9124" xr:uid="{00000000-0005-0000-0000-000061030000}"/>
    <cellStyle name="Date [mm-d-yyyy] 3 3 3 5 2" xfId="4168" xr:uid="{00000000-0005-0000-0000-000061030000}"/>
    <cellStyle name="Date [mm-d-yyyy] 3 3 3 5 2 2" xfId="24048" xr:uid="{00000000-0005-0000-0000-000061030000}"/>
    <cellStyle name="Date [mm-d-yyyy] 3 3 3 5 2 3" xfId="42417" xr:uid="{00000000-0005-0000-0000-000061030000}"/>
    <cellStyle name="Date [mm-d-yyyy] 3 3 3 5 3" xfId="27850" xr:uid="{00000000-0005-0000-0000-000061030000}"/>
    <cellStyle name="Date [mm-d-yyyy] 3 3 3 5 3 2" xfId="46213" xr:uid="{00000000-0005-0000-0000-000061030000}"/>
    <cellStyle name="Date [mm-d-yyyy] 3 3 3 5 4" xfId="18037" xr:uid="{00000000-0005-0000-0000-000061030000}"/>
    <cellStyle name="Date [mm-d-yyyy] 3 3 3 5 5" xfId="36445" xr:uid="{00000000-0005-0000-0000-000061030000}"/>
    <cellStyle name="Date [mm-d-yyyy] 3 3 3 6" xfId="7762" xr:uid="{00000000-0005-0000-0000-000061030000}"/>
    <cellStyle name="Date [mm-d-yyyy] 3 3 3 6 2" xfId="27038" xr:uid="{00000000-0005-0000-0000-000061030000}"/>
    <cellStyle name="Date [mm-d-yyyy] 3 3 3 6 3" xfId="45403" xr:uid="{00000000-0005-0000-0000-000061030000}"/>
    <cellStyle name="Date [mm-d-yyyy] 3 3 3 7" xfId="8534" xr:uid="{00000000-0005-0000-0000-000061030000}"/>
    <cellStyle name="Date [mm-d-yyyy] 3 3 3 7 2" xfId="27519" xr:uid="{00000000-0005-0000-0000-000061030000}"/>
    <cellStyle name="Date [mm-d-yyyy] 3 3 3 7 3" xfId="45883" xr:uid="{00000000-0005-0000-0000-000061030000}"/>
    <cellStyle name="Date [mm-d-yyyy] 3 3 3 8" xfId="19309" xr:uid="{00000000-0005-0000-0000-000061030000}"/>
    <cellStyle name="Date [mm-d-yyyy] 3 3 3 8 2" xfId="37716" xr:uid="{00000000-0005-0000-0000-000061030000}"/>
    <cellStyle name="Date [mm-d-yyyy] 3 3 3 9" xfId="8738" xr:uid="{00000000-0005-0000-0000-000061030000}"/>
    <cellStyle name="Date [mm-d-yyyy] 3 3 4" xfId="1361" xr:uid="{00000000-0005-0000-0000-000062030000}"/>
    <cellStyle name="Date [mm-d-yyyy] 3 3 4 10" xfId="21312" xr:uid="{00000000-0005-0000-0000-000062030000}"/>
    <cellStyle name="Date [mm-d-yyyy] 3 3 4 2" xfId="3403" xr:uid="{00000000-0005-0000-0000-000062030000}"/>
    <cellStyle name="Date [mm-d-yyyy] 3 3 4 2 2" xfId="5578" xr:uid="{00000000-0005-0000-0000-000062030000}"/>
    <cellStyle name="Date [mm-d-yyyy] 3 3 4 2 2 2" xfId="11942" xr:uid="{00000000-0005-0000-0000-000062030000}"/>
    <cellStyle name="Date [mm-d-yyyy] 3 3 4 2 2 2 2" xfId="30389" xr:uid="{00000000-0005-0000-0000-000062030000}"/>
    <cellStyle name="Date [mm-d-yyyy] 3 3 4 2 2 2 3" xfId="48752" xr:uid="{00000000-0005-0000-0000-000062030000}"/>
    <cellStyle name="Date [mm-d-yyyy] 3 3 4 2 2 3" xfId="16268" xr:uid="{00000000-0005-0000-0000-000062030000}"/>
    <cellStyle name="Date [mm-d-yyyy] 3 3 4 2 2 3 2" xfId="34640" xr:uid="{00000000-0005-0000-0000-000062030000}"/>
    <cellStyle name="Date [mm-d-yyyy] 3 3 4 2 2 3 3" xfId="53003" xr:uid="{00000000-0005-0000-0000-000062030000}"/>
    <cellStyle name="Date [mm-d-yyyy] 3 3 4 2 2 4" xfId="25387" xr:uid="{00000000-0005-0000-0000-000062030000}"/>
    <cellStyle name="Date [mm-d-yyyy] 3 3 4 2 2 4 2" xfId="43756" xr:uid="{00000000-0005-0000-0000-000062030000}"/>
    <cellStyle name="Date [mm-d-yyyy] 3 3 4 2 2 5" xfId="21708" xr:uid="{00000000-0005-0000-0000-000062030000}"/>
    <cellStyle name="Date [mm-d-yyyy] 3 3 4 2 2 6" xfId="40087" xr:uid="{00000000-0005-0000-0000-000062030000}"/>
    <cellStyle name="Date [mm-d-yyyy] 3 3 4 2 3" xfId="6402" xr:uid="{00000000-0005-0000-0000-000062030000}"/>
    <cellStyle name="Date [mm-d-yyyy] 3 3 4 2 3 2" xfId="12693" xr:uid="{00000000-0005-0000-0000-000062030000}"/>
    <cellStyle name="Date [mm-d-yyyy] 3 3 4 2 3 2 2" xfId="31119" xr:uid="{00000000-0005-0000-0000-000062030000}"/>
    <cellStyle name="Date [mm-d-yyyy] 3 3 4 2 3 2 3" xfId="49482" xr:uid="{00000000-0005-0000-0000-000062030000}"/>
    <cellStyle name="Date [mm-d-yyyy] 3 3 4 2 3 3" xfId="17004" xr:uid="{00000000-0005-0000-0000-000062030000}"/>
    <cellStyle name="Date [mm-d-yyyy] 3 3 4 2 3 3 2" xfId="35352" xr:uid="{00000000-0005-0000-0000-000062030000}"/>
    <cellStyle name="Date [mm-d-yyyy] 3 3 4 2 3 3 3" xfId="53715" xr:uid="{00000000-0005-0000-0000-000062030000}"/>
    <cellStyle name="Date [mm-d-yyyy] 3 3 4 2 3 4" xfId="26137" xr:uid="{00000000-0005-0000-0000-000062030000}"/>
    <cellStyle name="Date [mm-d-yyyy] 3 3 4 2 3 4 2" xfId="44506" xr:uid="{00000000-0005-0000-0000-000062030000}"/>
    <cellStyle name="Date [mm-d-yyyy] 3 3 4 2 3 5" xfId="22430" xr:uid="{00000000-0005-0000-0000-000062030000}"/>
    <cellStyle name="Date [mm-d-yyyy] 3 3 4 2 3 6" xfId="40799" xr:uid="{00000000-0005-0000-0000-000062030000}"/>
    <cellStyle name="Date [mm-d-yyyy] 3 3 4 2 4" xfId="10116" xr:uid="{00000000-0005-0000-0000-000062030000}"/>
    <cellStyle name="Date [mm-d-yyyy] 3 3 4 2 4 2" xfId="14173" xr:uid="{00000000-0005-0000-0000-000062030000}"/>
    <cellStyle name="Date [mm-d-yyyy] 3 3 4 2 4 2 2" xfId="32589" xr:uid="{00000000-0005-0000-0000-000062030000}"/>
    <cellStyle name="Date [mm-d-yyyy] 3 3 4 2 4 2 3" xfId="50952" xr:uid="{00000000-0005-0000-0000-000062030000}"/>
    <cellStyle name="Date [mm-d-yyyy] 3 3 4 2 4 3" xfId="28827" xr:uid="{00000000-0005-0000-0000-000062030000}"/>
    <cellStyle name="Date [mm-d-yyyy] 3 3 4 2 4 3 2" xfId="47190" xr:uid="{00000000-0005-0000-0000-000062030000}"/>
    <cellStyle name="Date [mm-d-yyyy] 3 3 4 2 4 4" xfId="19630" xr:uid="{00000000-0005-0000-0000-000062030000}"/>
    <cellStyle name="Date [mm-d-yyyy] 3 3 4 2 4 5" xfId="38036" xr:uid="{00000000-0005-0000-0000-000062030000}"/>
    <cellStyle name="Date [mm-d-yyyy] 3 3 4 2 5" xfId="9303" xr:uid="{00000000-0005-0000-0000-000062030000}"/>
    <cellStyle name="Date [mm-d-yyyy] 3 3 4 2 5 2" xfId="28022" xr:uid="{00000000-0005-0000-0000-000062030000}"/>
    <cellStyle name="Date [mm-d-yyyy] 3 3 4 2 5 3" xfId="46385" xr:uid="{00000000-0005-0000-0000-000062030000}"/>
    <cellStyle name="Date [mm-d-yyyy] 3 3 4 2 6" xfId="13359" xr:uid="{00000000-0005-0000-0000-000062030000}"/>
    <cellStyle name="Date [mm-d-yyyy] 3 3 4 2 6 2" xfId="31780" xr:uid="{00000000-0005-0000-0000-000062030000}"/>
    <cellStyle name="Date [mm-d-yyyy] 3 3 4 2 6 3" xfId="50143" xr:uid="{00000000-0005-0000-0000-000062030000}"/>
    <cellStyle name="Date [mm-d-yyyy] 3 3 4 2 7" xfId="23311" xr:uid="{00000000-0005-0000-0000-000062030000}"/>
    <cellStyle name="Date [mm-d-yyyy] 3 3 4 2 7 2" xfId="41680" xr:uid="{00000000-0005-0000-0000-000062030000}"/>
    <cellStyle name="Date [mm-d-yyyy] 3 3 4 2 8" xfId="18379" xr:uid="{00000000-0005-0000-0000-000062030000}"/>
    <cellStyle name="Date [mm-d-yyyy] 3 3 4 2 9" xfId="36785" xr:uid="{00000000-0005-0000-0000-000062030000}"/>
    <cellStyle name="Date [mm-d-yyyy] 3 3 4 3" xfId="4394" xr:uid="{00000000-0005-0000-0000-000062030000}"/>
    <cellStyle name="Date [mm-d-yyyy] 3 3 4 3 2" xfId="10993" xr:uid="{00000000-0005-0000-0000-000062030000}"/>
    <cellStyle name="Date [mm-d-yyyy] 3 3 4 3 2 2" xfId="29615" xr:uid="{00000000-0005-0000-0000-000062030000}"/>
    <cellStyle name="Date [mm-d-yyyy] 3 3 4 3 2 3" xfId="47978" xr:uid="{00000000-0005-0000-0000-000062030000}"/>
    <cellStyle name="Date [mm-d-yyyy] 3 3 4 3 3" xfId="15129" xr:uid="{00000000-0005-0000-0000-000062030000}"/>
    <cellStyle name="Date [mm-d-yyyy] 3 3 4 3 3 2" xfId="33526" xr:uid="{00000000-0005-0000-0000-000062030000}"/>
    <cellStyle name="Date [mm-d-yyyy] 3 3 4 3 3 3" xfId="51889" xr:uid="{00000000-0005-0000-0000-000062030000}"/>
    <cellStyle name="Date [mm-d-yyyy] 3 3 4 3 4" xfId="24257" xr:uid="{00000000-0005-0000-0000-000062030000}"/>
    <cellStyle name="Date [mm-d-yyyy] 3 3 4 3 4 2" xfId="42626" xr:uid="{00000000-0005-0000-0000-000062030000}"/>
    <cellStyle name="Date [mm-d-yyyy] 3 3 4 3 5" xfId="20580" xr:uid="{00000000-0005-0000-0000-000062030000}"/>
    <cellStyle name="Date [mm-d-yyyy] 3 3 4 3 6" xfId="38973" xr:uid="{00000000-0005-0000-0000-000062030000}"/>
    <cellStyle name="Date [mm-d-yyyy] 3 3 4 4" xfId="4055" xr:uid="{00000000-0005-0000-0000-000062030000}"/>
    <cellStyle name="Date [mm-d-yyyy] 3 3 4 4 2" xfId="10756" xr:uid="{00000000-0005-0000-0000-000062030000}"/>
    <cellStyle name="Date [mm-d-yyyy] 3 3 4 4 2 2" xfId="29459" xr:uid="{00000000-0005-0000-0000-000062030000}"/>
    <cellStyle name="Date [mm-d-yyyy] 3 3 4 4 2 3" xfId="47822" xr:uid="{00000000-0005-0000-0000-000062030000}"/>
    <cellStyle name="Date [mm-d-yyyy] 3 3 4 4 3" xfId="14816" xr:uid="{00000000-0005-0000-0000-000062030000}"/>
    <cellStyle name="Date [mm-d-yyyy] 3 3 4 4 3 2" xfId="33228" xr:uid="{00000000-0005-0000-0000-000062030000}"/>
    <cellStyle name="Date [mm-d-yyyy] 3 3 4 4 3 3" xfId="51591" xr:uid="{00000000-0005-0000-0000-000062030000}"/>
    <cellStyle name="Date [mm-d-yyyy] 3 3 4 4 4" xfId="23952" xr:uid="{00000000-0005-0000-0000-000062030000}"/>
    <cellStyle name="Date [mm-d-yyyy] 3 3 4 4 4 2" xfId="42321" xr:uid="{00000000-0005-0000-0000-000062030000}"/>
    <cellStyle name="Date [mm-d-yyyy] 3 3 4 4 5" xfId="20272" xr:uid="{00000000-0005-0000-0000-000062030000}"/>
    <cellStyle name="Date [mm-d-yyyy] 3 3 4 4 6" xfId="38675" xr:uid="{00000000-0005-0000-0000-000062030000}"/>
    <cellStyle name="Date [mm-d-yyyy] 3 3 4 5" xfId="9877" xr:uid="{00000000-0005-0000-0000-000062030000}"/>
    <cellStyle name="Date [mm-d-yyyy] 3 3 4 5 2" xfId="13935" xr:uid="{00000000-0005-0000-0000-000062030000}"/>
    <cellStyle name="Date [mm-d-yyyy] 3 3 4 5 2 2" xfId="32353" xr:uid="{00000000-0005-0000-0000-000062030000}"/>
    <cellStyle name="Date [mm-d-yyyy] 3 3 4 5 2 3" xfId="50716" xr:uid="{00000000-0005-0000-0000-000062030000}"/>
    <cellStyle name="Date [mm-d-yyyy] 3 3 4 5 3" xfId="28591" xr:uid="{00000000-0005-0000-0000-000062030000}"/>
    <cellStyle name="Date [mm-d-yyyy] 3 3 4 5 3 2" xfId="46954" xr:uid="{00000000-0005-0000-0000-000062030000}"/>
    <cellStyle name="Date [mm-d-yyyy] 3 3 4 5 4" xfId="19138" xr:uid="{00000000-0005-0000-0000-000062030000}"/>
    <cellStyle name="Date [mm-d-yyyy] 3 3 4 5 5" xfId="37546" xr:uid="{00000000-0005-0000-0000-000062030000}"/>
    <cellStyle name="Date [mm-d-yyyy] 3 3 4 6" xfId="7656" xr:uid="{00000000-0005-0000-0000-000062030000}"/>
    <cellStyle name="Date [mm-d-yyyy] 3 3 4 6 2" xfId="26940" xr:uid="{00000000-0005-0000-0000-000062030000}"/>
    <cellStyle name="Date [mm-d-yyyy] 3 3 4 6 3" xfId="45305" xr:uid="{00000000-0005-0000-0000-000062030000}"/>
    <cellStyle name="Date [mm-d-yyyy] 3 3 4 7" xfId="12487" xr:uid="{00000000-0005-0000-0000-000062030000}"/>
    <cellStyle name="Date [mm-d-yyyy] 3 3 4 7 2" xfId="30925" xr:uid="{00000000-0005-0000-0000-000062030000}"/>
    <cellStyle name="Date [mm-d-yyyy] 3 3 4 7 3" xfId="49288" xr:uid="{00000000-0005-0000-0000-000062030000}"/>
    <cellStyle name="Date [mm-d-yyyy] 3 3 4 8" xfId="19442" xr:uid="{00000000-0005-0000-0000-000062030000}"/>
    <cellStyle name="Date [mm-d-yyyy] 3 3 4 8 2" xfId="37848" xr:uid="{00000000-0005-0000-0000-000062030000}"/>
    <cellStyle name="Date [mm-d-yyyy] 3 3 4 9" xfId="7010" xr:uid="{00000000-0005-0000-0000-000062030000}"/>
    <cellStyle name="Date [mm-d-yyyy] 3 3 5" xfId="3536" xr:uid="{00000000-0005-0000-0000-00005F030000}"/>
    <cellStyle name="Date [mm-d-yyyy] 3 3 5 2" xfId="5710" xr:uid="{00000000-0005-0000-0000-00005F030000}"/>
    <cellStyle name="Date [mm-d-yyyy] 3 3 5 2 2" xfId="12074" xr:uid="{00000000-0005-0000-0000-00005F030000}"/>
    <cellStyle name="Date [mm-d-yyyy] 3 3 5 2 2 2" xfId="30521" xr:uid="{00000000-0005-0000-0000-00005F030000}"/>
    <cellStyle name="Date [mm-d-yyyy] 3 3 5 2 2 3" xfId="48884" xr:uid="{00000000-0005-0000-0000-00005F030000}"/>
    <cellStyle name="Date [mm-d-yyyy] 3 3 5 2 3" xfId="16400" xr:uid="{00000000-0005-0000-0000-00005F030000}"/>
    <cellStyle name="Date [mm-d-yyyy] 3 3 5 2 3 2" xfId="34772" xr:uid="{00000000-0005-0000-0000-00005F030000}"/>
    <cellStyle name="Date [mm-d-yyyy] 3 3 5 2 3 3" xfId="53135" xr:uid="{00000000-0005-0000-0000-00005F030000}"/>
    <cellStyle name="Date [mm-d-yyyy] 3 3 5 2 4" xfId="25519" xr:uid="{00000000-0005-0000-0000-00005F030000}"/>
    <cellStyle name="Date [mm-d-yyyy] 3 3 5 2 4 2" xfId="43888" xr:uid="{00000000-0005-0000-0000-00005F030000}"/>
    <cellStyle name="Date [mm-d-yyyy] 3 3 5 2 5" xfId="21840" xr:uid="{00000000-0005-0000-0000-00005F030000}"/>
    <cellStyle name="Date [mm-d-yyyy] 3 3 5 2 6" xfId="40219" xr:uid="{00000000-0005-0000-0000-00005F030000}"/>
    <cellStyle name="Date [mm-d-yyyy] 3 3 5 3" xfId="6535" xr:uid="{00000000-0005-0000-0000-00005F030000}"/>
    <cellStyle name="Date [mm-d-yyyy] 3 3 5 3 2" xfId="12826" xr:uid="{00000000-0005-0000-0000-00005F030000}"/>
    <cellStyle name="Date [mm-d-yyyy] 3 3 5 3 2 2" xfId="31252" xr:uid="{00000000-0005-0000-0000-00005F030000}"/>
    <cellStyle name="Date [mm-d-yyyy] 3 3 5 3 2 3" xfId="49615" xr:uid="{00000000-0005-0000-0000-00005F030000}"/>
    <cellStyle name="Date [mm-d-yyyy] 3 3 5 3 3" xfId="17137" xr:uid="{00000000-0005-0000-0000-00005F030000}"/>
    <cellStyle name="Date [mm-d-yyyy] 3 3 5 3 3 2" xfId="35485" xr:uid="{00000000-0005-0000-0000-00005F030000}"/>
    <cellStyle name="Date [mm-d-yyyy] 3 3 5 3 3 3" xfId="53848" xr:uid="{00000000-0005-0000-0000-00005F030000}"/>
    <cellStyle name="Date [mm-d-yyyy] 3 3 5 3 4" xfId="26270" xr:uid="{00000000-0005-0000-0000-00005F030000}"/>
    <cellStyle name="Date [mm-d-yyyy] 3 3 5 3 4 2" xfId="44639" xr:uid="{00000000-0005-0000-0000-00005F030000}"/>
    <cellStyle name="Date [mm-d-yyyy] 3 3 5 3 5" xfId="22563" xr:uid="{00000000-0005-0000-0000-00005F030000}"/>
    <cellStyle name="Date [mm-d-yyyy] 3 3 5 3 6" xfId="40932" xr:uid="{00000000-0005-0000-0000-00005F030000}"/>
    <cellStyle name="Date [mm-d-yyyy] 3 3 5 4" xfId="10249" xr:uid="{00000000-0005-0000-0000-00005F030000}"/>
    <cellStyle name="Date [mm-d-yyyy] 3 3 5 4 2" xfId="14306" xr:uid="{00000000-0005-0000-0000-00005F030000}"/>
    <cellStyle name="Date [mm-d-yyyy] 3 3 5 4 2 2" xfId="32722" xr:uid="{00000000-0005-0000-0000-00005F030000}"/>
    <cellStyle name="Date [mm-d-yyyy] 3 3 5 4 2 3" xfId="51085" xr:uid="{00000000-0005-0000-0000-00005F030000}"/>
    <cellStyle name="Date [mm-d-yyyy] 3 3 5 4 3" xfId="28960" xr:uid="{00000000-0005-0000-0000-00005F030000}"/>
    <cellStyle name="Date [mm-d-yyyy] 3 3 5 4 3 2" xfId="47323" xr:uid="{00000000-0005-0000-0000-00005F030000}"/>
    <cellStyle name="Date [mm-d-yyyy] 3 3 5 4 4" xfId="19763" xr:uid="{00000000-0005-0000-0000-00005F030000}"/>
    <cellStyle name="Date [mm-d-yyyy] 3 3 5 4 5" xfId="38169" xr:uid="{00000000-0005-0000-0000-00005F030000}"/>
    <cellStyle name="Date [mm-d-yyyy] 3 3 5 5" xfId="9446" xr:uid="{00000000-0005-0000-0000-00005F030000}"/>
    <cellStyle name="Date [mm-d-yyyy] 3 3 5 5 2" xfId="28163" xr:uid="{00000000-0005-0000-0000-00005F030000}"/>
    <cellStyle name="Date [mm-d-yyyy] 3 3 5 5 3" xfId="46526" xr:uid="{00000000-0005-0000-0000-00005F030000}"/>
    <cellStyle name="Date [mm-d-yyyy] 3 3 5 6" xfId="13503" xr:uid="{00000000-0005-0000-0000-00005F030000}"/>
    <cellStyle name="Date [mm-d-yyyy] 3 3 5 6 2" xfId="31924" xr:uid="{00000000-0005-0000-0000-00005F030000}"/>
    <cellStyle name="Date [mm-d-yyyy] 3 3 5 6 3" xfId="50287" xr:uid="{00000000-0005-0000-0000-00005F030000}"/>
    <cellStyle name="Date [mm-d-yyyy] 3 3 5 7" xfId="23444" xr:uid="{00000000-0005-0000-0000-00005F030000}"/>
    <cellStyle name="Date [mm-d-yyyy] 3 3 5 7 2" xfId="41813" xr:uid="{00000000-0005-0000-0000-00005F030000}"/>
    <cellStyle name="Date [mm-d-yyyy] 3 3 5 8" xfId="18531" xr:uid="{00000000-0005-0000-0000-00005F030000}"/>
    <cellStyle name="Date [mm-d-yyyy] 3 3 5 9" xfId="36940" xr:uid="{00000000-0005-0000-0000-00005F030000}"/>
    <cellStyle name="Date [mm-d-yyyy] 3 3 6" xfId="4540" xr:uid="{00000000-0005-0000-0000-00005F030000}"/>
    <cellStyle name="Date [mm-d-yyyy] 3 3 6 2" xfId="11131" xr:uid="{00000000-0005-0000-0000-00005F030000}"/>
    <cellStyle name="Date [mm-d-yyyy] 3 3 6 2 2" xfId="29749" xr:uid="{00000000-0005-0000-0000-00005F030000}"/>
    <cellStyle name="Date [mm-d-yyyy] 3 3 6 2 3" xfId="48112" xr:uid="{00000000-0005-0000-0000-00005F030000}"/>
    <cellStyle name="Date [mm-d-yyyy] 3 3 6 3" xfId="15269" xr:uid="{00000000-0005-0000-0000-00005F030000}"/>
    <cellStyle name="Date [mm-d-yyyy] 3 3 6 3 2" xfId="33663" xr:uid="{00000000-0005-0000-0000-00005F030000}"/>
    <cellStyle name="Date [mm-d-yyyy] 3 3 6 3 3" xfId="52026" xr:uid="{00000000-0005-0000-0000-00005F030000}"/>
    <cellStyle name="Date [mm-d-yyyy] 3 3 6 4" xfId="24394" xr:uid="{00000000-0005-0000-0000-00005F030000}"/>
    <cellStyle name="Date [mm-d-yyyy] 3 3 6 4 2" xfId="42763" xr:uid="{00000000-0005-0000-0000-00005F030000}"/>
    <cellStyle name="Date [mm-d-yyyy] 3 3 6 5" xfId="20718" xr:uid="{00000000-0005-0000-0000-00005F030000}"/>
    <cellStyle name="Date [mm-d-yyyy] 3 3 6 6" xfId="39110" xr:uid="{00000000-0005-0000-0000-00005F030000}"/>
    <cellStyle name="Date [mm-d-yyyy] 3 3 7" xfId="5036" xr:uid="{00000000-0005-0000-0000-00005F030000}"/>
    <cellStyle name="Date [mm-d-yyyy] 3 3 7 2" xfId="11559" xr:uid="{00000000-0005-0000-0000-00005F030000}"/>
    <cellStyle name="Date [mm-d-yyyy] 3 3 7 2 2" xfId="30131" xr:uid="{00000000-0005-0000-0000-00005F030000}"/>
    <cellStyle name="Date [mm-d-yyyy] 3 3 7 2 3" xfId="48494" xr:uid="{00000000-0005-0000-0000-00005F030000}"/>
    <cellStyle name="Date [mm-d-yyyy] 3 3 7 3" xfId="15749" xr:uid="{00000000-0005-0000-0000-00005F030000}"/>
    <cellStyle name="Date [mm-d-yyyy] 3 3 7 3 2" xfId="34137" xr:uid="{00000000-0005-0000-0000-00005F030000}"/>
    <cellStyle name="Date [mm-d-yyyy] 3 3 7 3 3" xfId="52500" xr:uid="{00000000-0005-0000-0000-00005F030000}"/>
    <cellStyle name="Date [mm-d-yyyy] 3 3 7 4" xfId="24873" xr:uid="{00000000-0005-0000-0000-00005F030000}"/>
    <cellStyle name="Date [mm-d-yyyy] 3 3 7 4 2" xfId="43242" xr:uid="{00000000-0005-0000-0000-00005F030000}"/>
    <cellStyle name="Date [mm-d-yyyy] 3 3 7 5" xfId="21197" xr:uid="{00000000-0005-0000-0000-00005F030000}"/>
    <cellStyle name="Date [mm-d-yyyy] 3 3 7 6" xfId="39584" xr:uid="{00000000-0005-0000-0000-00005F030000}"/>
    <cellStyle name="Date [mm-d-yyyy] 3 3 8" xfId="7811" xr:uid="{00000000-0005-0000-0000-00005F030000}"/>
    <cellStyle name="Date [mm-d-yyyy] 3 3 8 2" xfId="27081" xr:uid="{00000000-0005-0000-0000-00005F030000}"/>
    <cellStyle name="Date [mm-d-yyyy] 3 3 8 3" xfId="45446" xr:uid="{00000000-0005-0000-0000-00005F030000}"/>
    <cellStyle name="Date [mm-d-yyyy] 3 3 9" xfId="10775" xr:uid="{00000000-0005-0000-0000-00005F030000}"/>
    <cellStyle name="Date [mm-d-yyyy] 3 3 9 2" xfId="29475" xr:uid="{00000000-0005-0000-0000-00005F030000}"/>
    <cellStyle name="Date [mm-d-yyyy] 3 3 9 3" xfId="47838" xr:uid="{00000000-0005-0000-0000-00005F030000}"/>
    <cellStyle name="Date [mm-d-yyyy] 3 4" xfId="1478" xr:uid="{00000000-0005-0000-0000-000063030000}"/>
    <cellStyle name="Date [mm-d-yyyy] 3 4 2" xfId="3493" xr:uid="{00000000-0005-0000-0000-000063030000}"/>
    <cellStyle name="Date [mm-d-yyyy] 3 4 2 2" xfId="5668" xr:uid="{00000000-0005-0000-0000-000063030000}"/>
    <cellStyle name="Date [mm-d-yyyy] 3 4 2 2 2" xfId="12032" xr:uid="{00000000-0005-0000-0000-000063030000}"/>
    <cellStyle name="Date [mm-d-yyyy] 3 4 2 2 2 2" xfId="30479" xr:uid="{00000000-0005-0000-0000-000063030000}"/>
    <cellStyle name="Date [mm-d-yyyy] 3 4 2 2 2 3" xfId="48842" xr:uid="{00000000-0005-0000-0000-000063030000}"/>
    <cellStyle name="Date [mm-d-yyyy] 3 4 2 2 3" xfId="16358" xr:uid="{00000000-0005-0000-0000-000063030000}"/>
    <cellStyle name="Date [mm-d-yyyy] 3 4 2 2 3 2" xfId="34730" xr:uid="{00000000-0005-0000-0000-000063030000}"/>
    <cellStyle name="Date [mm-d-yyyy] 3 4 2 2 3 3" xfId="53093" xr:uid="{00000000-0005-0000-0000-000063030000}"/>
    <cellStyle name="Date [mm-d-yyyy] 3 4 2 2 4" xfId="25477" xr:uid="{00000000-0005-0000-0000-000063030000}"/>
    <cellStyle name="Date [mm-d-yyyy] 3 4 2 2 4 2" xfId="43846" xr:uid="{00000000-0005-0000-0000-000063030000}"/>
    <cellStyle name="Date [mm-d-yyyy] 3 4 2 2 5" xfId="21798" xr:uid="{00000000-0005-0000-0000-000063030000}"/>
    <cellStyle name="Date [mm-d-yyyy] 3 4 2 2 6" xfId="40177" xr:uid="{00000000-0005-0000-0000-000063030000}"/>
    <cellStyle name="Date [mm-d-yyyy] 3 4 2 3" xfId="6492" xr:uid="{00000000-0005-0000-0000-000063030000}"/>
    <cellStyle name="Date [mm-d-yyyy] 3 4 2 3 2" xfId="12783" xr:uid="{00000000-0005-0000-0000-000063030000}"/>
    <cellStyle name="Date [mm-d-yyyy] 3 4 2 3 2 2" xfId="31209" xr:uid="{00000000-0005-0000-0000-000063030000}"/>
    <cellStyle name="Date [mm-d-yyyy] 3 4 2 3 2 3" xfId="49572" xr:uid="{00000000-0005-0000-0000-000063030000}"/>
    <cellStyle name="Date [mm-d-yyyy] 3 4 2 3 3" xfId="17094" xr:uid="{00000000-0005-0000-0000-000063030000}"/>
    <cellStyle name="Date [mm-d-yyyy] 3 4 2 3 3 2" xfId="35442" xr:uid="{00000000-0005-0000-0000-000063030000}"/>
    <cellStyle name="Date [mm-d-yyyy] 3 4 2 3 3 3" xfId="53805" xr:uid="{00000000-0005-0000-0000-000063030000}"/>
    <cellStyle name="Date [mm-d-yyyy] 3 4 2 3 4" xfId="26227" xr:uid="{00000000-0005-0000-0000-000063030000}"/>
    <cellStyle name="Date [mm-d-yyyy] 3 4 2 3 4 2" xfId="44596" xr:uid="{00000000-0005-0000-0000-000063030000}"/>
    <cellStyle name="Date [mm-d-yyyy] 3 4 2 3 5" xfId="22520" xr:uid="{00000000-0005-0000-0000-000063030000}"/>
    <cellStyle name="Date [mm-d-yyyy] 3 4 2 3 6" xfId="40889" xr:uid="{00000000-0005-0000-0000-000063030000}"/>
    <cellStyle name="Date [mm-d-yyyy] 3 4 2 4" xfId="10206" xr:uid="{00000000-0005-0000-0000-000063030000}"/>
    <cellStyle name="Date [mm-d-yyyy] 3 4 2 4 2" xfId="14263" xr:uid="{00000000-0005-0000-0000-000063030000}"/>
    <cellStyle name="Date [mm-d-yyyy] 3 4 2 4 2 2" xfId="32679" xr:uid="{00000000-0005-0000-0000-000063030000}"/>
    <cellStyle name="Date [mm-d-yyyy] 3 4 2 4 2 3" xfId="51042" xr:uid="{00000000-0005-0000-0000-000063030000}"/>
    <cellStyle name="Date [mm-d-yyyy] 3 4 2 4 3" xfId="28917" xr:uid="{00000000-0005-0000-0000-000063030000}"/>
    <cellStyle name="Date [mm-d-yyyy] 3 4 2 4 3 2" xfId="47280" xr:uid="{00000000-0005-0000-0000-000063030000}"/>
    <cellStyle name="Date [mm-d-yyyy] 3 4 2 4 4" xfId="19720" xr:uid="{00000000-0005-0000-0000-000063030000}"/>
    <cellStyle name="Date [mm-d-yyyy] 3 4 2 4 5" xfId="38126" xr:uid="{00000000-0005-0000-0000-000063030000}"/>
    <cellStyle name="Date [mm-d-yyyy] 3 4 2 5" xfId="9400" xr:uid="{00000000-0005-0000-0000-000063030000}"/>
    <cellStyle name="Date [mm-d-yyyy] 3 4 2 5 2" xfId="28119" xr:uid="{00000000-0005-0000-0000-000063030000}"/>
    <cellStyle name="Date [mm-d-yyyy] 3 4 2 5 3" xfId="46482" xr:uid="{00000000-0005-0000-0000-000063030000}"/>
    <cellStyle name="Date [mm-d-yyyy] 3 4 2 6" xfId="13456" xr:uid="{00000000-0005-0000-0000-000063030000}"/>
    <cellStyle name="Date [mm-d-yyyy] 3 4 2 6 2" xfId="31877" xr:uid="{00000000-0005-0000-0000-000063030000}"/>
    <cellStyle name="Date [mm-d-yyyy] 3 4 2 6 3" xfId="50240" xr:uid="{00000000-0005-0000-0000-000063030000}"/>
    <cellStyle name="Date [mm-d-yyyy] 3 4 2 7" xfId="23401" xr:uid="{00000000-0005-0000-0000-000063030000}"/>
    <cellStyle name="Date [mm-d-yyyy] 3 4 2 7 2" xfId="41770" xr:uid="{00000000-0005-0000-0000-000063030000}"/>
    <cellStyle name="Date [mm-d-yyyy] 3 4 2 8" xfId="18483" xr:uid="{00000000-0005-0000-0000-000063030000}"/>
    <cellStyle name="Date [mm-d-yyyy] 3 4 2 9" xfId="36889" xr:uid="{00000000-0005-0000-0000-000063030000}"/>
    <cellStyle name="Date [mm-d-yyyy] 3 4 3" xfId="4492" xr:uid="{00000000-0005-0000-0000-000063030000}"/>
    <cellStyle name="Date [mm-d-yyyy] 3 4 3 2" xfId="11087" xr:uid="{00000000-0005-0000-0000-000063030000}"/>
    <cellStyle name="Date [mm-d-yyyy] 3 4 3 2 2" xfId="29707" xr:uid="{00000000-0005-0000-0000-000063030000}"/>
    <cellStyle name="Date [mm-d-yyyy] 3 4 3 2 3" xfId="48070" xr:uid="{00000000-0005-0000-0000-000063030000}"/>
    <cellStyle name="Date [mm-d-yyyy] 3 4 3 3" xfId="15226" xr:uid="{00000000-0005-0000-0000-000063030000}"/>
    <cellStyle name="Date [mm-d-yyyy] 3 4 3 3 2" xfId="33621" xr:uid="{00000000-0005-0000-0000-000063030000}"/>
    <cellStyle name="Date [mm-d-yyyy] 3 4 3 3 3" xfId="51984" xr:uid="{00000000-0005-0000-0000-000063030000}"/>
    <cellStyle name="Date [mm-d-yyyy] 3 4 3 4" xfId="24352" xr:uid="{00000000-0005-0000-0000-000063030000}"/>
    <cellStyle name="Date [mm-d-yyyy] 3 4 3 4 2" xfId="42721" xr:uid="{00000000-0005-0000-0000-000063030000}"/>
    <cellStyle name="Date [mm-d-yyyy] 3 4 3 5" xfId="20676" xr:uid="{00000000-0005-0000-0000-000063030000}"/>
    <cellStyle name="Date [mm-d-yyyy] 3 4 3 6" xfId="39068" xr:uid="{00000000-0005-0000-0000-000063030000}"/>
    <cellStyle name="Date [mm-d-yyyy] 3 4 4" xfId="4005" xr:uid="{00000000-0005-0000-0000-000063030000}"/>
    <cellStyle name="Date [mm-d-yyyy] 3 4 4 2" xfId="10709" xr:uid="{00000000-0005-0000-0000-000063030000}"/>
    <cellStyle name="Date [mm-d-yyyy] 3 4 4 2 2" xfId="29413" xr:uid="{00000000-0005-0000-0000-000063030000}"/>
    <cellStyle name="Date [mm-d-yyyy] 3 4 4 2 3" xfId="47776" xr:uid="{00000000-0005-0000-0000-000063030000}"/>
    <cellStyle name="Date [mm-d-yyyy] 3 4 4 3" xfId="14766" xr:uid="{00000000-0005-0000-0000-000063030000}"/>
    <cellStyle name="Date [mm-d-yyyy] 3 4 4 3 2" xfId="33178" xr:uid="{00000000-0005-0000-0000-000063030000}"/>
    <cellStyle name="Date [mm-d-yyyy] 3 4 4 3 3" xfId="51541" xr:uid="{00000000-0005-0000-0000-000063030000}"/>
    <cellStyle name="Date [mm-d-yyyy] 3 4 4 4" xfId="23902" xr:uid="{00000000-0005-0000-0000-000063030000}"/>
    <cellStyle name="Date [mm-d-yyyy] 3 4 4 4 2" xfId="42271" xr:uid="{00000000-0005-0000-0000-000063030000}"/>
    <cellStyle name="Date [mm-d-yyyy] 3 4 4 5" xfId="20222" xr:uid="{00000000-0005-0000-0000-000063030000}"/>
    <cellStyle name="Date [mm-d-yyyy] 3 4 4 6" xfId="38625" xr:uid="{00000000-0005-0000-0000-000063030000}"/>
    <cellStyle name="Date [mm-d-yyyy] 3 4 5" xfId="9123" xr:uid="{00000000-0005-0000-0000-000063030000}"/>
    <cellStyle name="Date [mm-d-yyyy] 3 4 5 2" xfId="8136" xr:uid="{00000000-0005-0000-0000-000063030000}"/>
    <cellStyle name="Date [mm-d-yyyy] 3 4 5 2 2" xfId="27340" xr:uid="{00000000-0005-0000-0000-000063030000}"/>
    <cellStyle name="Date [mm-d-yyyy] 3 4 5 2 3" xfId="45705" xr:uid="{00000000-0005-0000-0000-000063030000}"/>
    <cellStyle name="Date [mm-d-yyyy] 3 4 5 3" xfId="27849" xr:uid="{00000000-0005-0000-0000-000063030000}"/>
    <cellStyle name="Date [mm-d-yyyy] 3 4 5 3 2" xfId="46212" xr:uid="{00000000-0005-0000-0000-000063030000}"/>
    <cellStyle name="Date [mm-d-yyyy] 3 4 5 4" xfId="18036" xr:uid="{00000000-0005-0000-0000-000063030000}"/>
    <cellStyle name="Date [mm-d-yyyy] 3 4 5 5" xfId="36444" xr:uid="{00000000-0005-0000-0000-000063030000}"/>
    <cellStyle name="Date [mm-d-yyyy] 3 4 6" xfId="7764" xr:uid="{00000000-0005-0000-0000-000063030000}"/>
    <cellStyle name="Date [mm-d-yyyy] 3 4 6 2" xfId="27040" xr:uid="{00000000-0005-0000-0000-000063030000}"/>
    <cellStyle name="Date [mm-d-yyyy] 3 4 6 3" xfId="45405" xr:uid="{00000000-0005-0000-0000-000063030000}"/>
    <cellStyle name="Date [mm-d-yyyy] 3 4 7" xfId="7209" xr:uid="{00000000-0005-0000-0000-000063030000}"/>
    <cellStyle name="Date [mm-d-yyyy] 3 4 7 2" xfId="26752" xr:uid="{00000000-0005-0000-0000-000063030000}"/>
    <cellStyle name="Date [mm-d-yyyy] 3 4 7 3" xfId="45120" xr:uid="{00000000-0005-0000-0000-000063030000}"/>
    <cellStyle name="Date [mm-d-yyyy] 3 4 8" xfId="19066" xr:uid="{00000000-0005-0000-0000-000063030000}"/>
    <cellStyle name="Date [mm-d-yyyy] 3 4 8 2" xfId="37474" xr:uid="{00000000-0005-0000-0000-000063030000}"/>
    <cellStyle name="Date [mm-d-yyyy] 3 4 9" xfId="8174" xr:uid="{00000000-0005-0000-0000-000063030000}"/>
    <cellStyle name="Date [mm-d-yyyy] 3 5" xfId="1701" xr:uid="{00000000-0005-0000-0000-000064030000}"/>
    <cellStyle name="Date [mm-d-yyyy] 3 5 2" xfId="3599" xr:uid="{00000000-0005-0000-0000-000064030000}"/>
    <cellStyle name="Date [mm-d-yyyy] 3 5 2 2" xfId="5772" xr:uid="{00000000-0005-0000-0000-000064030000}"/>
    <cellStyle name="Date [mm-d-yyyy] 3 5 2 2 2" xfId="12136" xr:uid="{00000000-0005-0000-0000-000064030000}"/>
    <cellStyle name="Date [mm-d-yyyy] 3 5 2 2 2 2" xfId="30583" xr:uid="{00000000-0005-0000-0000-000064030000}"/>
    <cellStyle name="Date [mm-d-yyyy] 3 5 2 2 2 3" xfId="48946" xr:uid="{00000000-0005-0000-0000-000064030000}"/>
    <cellStyle name="Date [mm-d-yyyy] 3 5 2 2 3" xfId="16462" xr:uid="{00000000-0005-0000-0000-000064030000}"/>
    <cellStyle name="Date [mm-d-yyyy] 3 5 2 2 3 2" xfId="34834" xr:uid="{00000000-0005-0000-0000-000064030000}"/>
    <cellStyle name="Date [mm-d-yyyy] 3 5 2 2 3 3" xfId="53197" xr:uid="{00000000-0005-0000-0000-000064030000}"/>
    <cellStyle name="Date [mm-d-yyyy] 3 5 2 2 4" xfId="25581" xr:uid="{00000000-0005-0000-0000-000064030000}"/>
    <cellStyle name="Date [mm-d-yyyy] 3 5 2 2 4 2" xfId="43950" xr:uid="{00000000-0005-0000-0000-000064030000}"/>
    <cellStyle name="Date [mm-d-yyyy] 3 5 2 2 5" xfId="21902" xr:uid="{00000000-0005-0000-0000-000064030000}"/>
    <cellStyle name="Date [mm-d-yyyy] 3 5 2 2 6" xfId="40281" xr:uid="{00000000-0005-0000-0000-000064030000}"/>
    <cellStyle name="Date [mm-d-yyyy] 3 5 2 3" xfId="6598" xr:uid="{00000000-0005-0000-0000-000064030000}"/>
    <cellStyle name="Date [mm-d-yyyy] 3 5 2 3 2" xfId="12889" xr:uid="{00000000-0005-0000-0000-000064030000}"/>
    <cellStyle name="Date [mm-d-yyyy] 3 5 2 3 2 2" xfId="31315" xr:uid="{00000000-0005-0000-0000-000064030000}"/>
    <cellStyle name="Date [mm-d-yyyy] 3 5 2 3 2 3" xfId="49678" xr:uid="{00000000-0005-0000-0000-000064030000}"/>
    <cellStyle name="Date [mm-d-yyyy] 3 5 2 3 3" xfId="17200" xr:uid="{00000000-0005-0000-0000-000064030000}"/>
    <cellStyle name="Date [mm-d-yyyy] 3 5 2 3 3 2" xfId="35548" xr:uid="{00000000-0005-0000-0000-000064030000}"/>
    <cellStyle name="Date [mm-d-yyyy] 3 5 2 3 3 3" xfId="53911" xr:uid="{00000000-0005-0000-0000-000064030000}"/>
    <cellStyle name="Date [mm-d-yyyy] 3 5 2 3 4" xfId="26333" xr:uid="{00000000-0005-0000-0000-000064030000}"/>
    <cellStyle name="Date [mm-d-yyyy] 3 5 2 3 4 2" xfId="44702" xr:uid="{00000000-0005-0000-0000-000064030000}"/>
    <cellStyle name="Date [mm-d-yyyy] 3 5 2 3 5" xfId="22626" xr:uid="{00000000-0005-0000-0000-000064030000}"/>
    <cellStyle name="Date [mm-d-yyyy] 3 5 2 3 6" xfId="40995" xr:uid="{00000000-0005-0000-0000-000064030000}"/>
    <cellStyle name="Date [mm-d-yyyy] 3 5 2 4" xfId="10312" xr:uid="{00000000-0005-0000-0000-000064030000}"/>
    <cellStyle name="Date [mm-d-yyyy] 3 5 2 4 2" xfId="14369" xr:uid="{00000000-0005-0000-0000-000064030000}"/>
    <cellStyle name="Date [mm-d-yyyy] 3 5 2 4 2 2" xfId="32785" xr:uid="{00000000-0005-0000-0000-000064030000}"/>
    <cellStyle name="Date [mm-d-yyyy] 3 5 2 4 2 3" xfId="51148" xr:uid="{00000000-0005-0000-0000-000064030000}"/>
    <cellStyle name="Date [mm-d-yyyy] 3 5 2 4 3" xfId="29023" xr:uid="{00000000-0005-0000-0000-000064030000}"/>
    <cellStyle name="Date [mm-d-yyyy] 3 5 2 4 3 2" xfId="47386" xr:uid="{00000000-0005-0000-0000-000064030000}"/>
    <cellStyle name="Date [mm-d-yyyy] 3 5 2 4 4" xfId="19826" xr:uid="{00000000-0005-0000-0000-000064030000}"/>
    <cellStyle name="Date [mm-d-yyyy] 3 5 2 4 5" xfId="38232" xr:uid="{00000000-0005-0000-0000-000064030000}"/>
    <cellStyle name="Date [mm-d-yyyy] 3 5 2 5" xfId="9520" xr:uid="{00000000-0005-0000-0000-000064030000}"/>
    <cellStyle name="Date [mm-d-yyyy] 3 5 2 5 2" xfId="28237" xr:uid="{00000000-0005-0000-0000-000064030000}"/>
    <cellStyle name="Date [mm-d-yyyy] 3 5 2 5 3" xfId="46600" xr:uid="{00000000-0005-0000-0000-000064030000}"/>
    <cellStyle name="Date [mm-d-yyyy] 3 5 2 6" xfId="13578" xr:uid="{00000000-0005-0000-0000-000064030000}"/>
    <cellStyle name="Date [mm-d-yyyy] 3 5 2 6 2" xfId="31999" xr:uid="{00000000-0005-0000-0000-000064030000}"/>
    <cellStyle name="Date [mm-d-yyyy] 3 5 2 6 3" xfId="50362" xr:uid="{00000000-0005-0000-0000-000064030000}"/>
    <cellStyle name="Date [mm-d-yyyy] 3 5 2 7" xfId="23507" xr:uid="{00000000-0005-0000-0000-000064030000}"/>
    <cellStyle name="Date [mm-d-yyyy] 3 5 2 7 2" xfId="41876" xr:uid="{00000000-0005-0000-0000-000064030000}"/>
    <cellStyle name="Date [mm-d-yyyy] 3 5 2 8" xfId="18618" xr:uid="{00000000-0005-0000-0000-000064030000}"/>
    <cellStyle name="Date [mm-d-yyyy] 3 5 2 9" xfId="37028" xr:uid="{00000000-0005-0000-0000-000064030000}"/>
    <cellStyle name="Date [mm-d-yyyy] 3 5 3" xfId="4639" xr:uid="{00000000-0005-0000-0000-000064030000}"/>
    <cellStyle name="Date [mm-d-yyyy] 3 5 3 2" xfId="11223" xr:uid="{00000000-0005-0000-0000-000064030000}"/>
    <cellStyle name="Date [mm-d-yyyy] 3 5 3 2 2" xfId="29835" xr:uid="{00000000-0005-0000-0000-000064030000}"/>
    <cellStyle name="Date [mm-d-yyyy] 3 5 3 2 3" xfId="48198" xr:uid="{00000000-0005-0000-0000-000064030000}"/>
    <cellStyle name="Date [mm-d-yyyy] 3 5 3 3" xfId="15365" xr:uid="{00000000-0005-0000-0000-000064030000}"/>
    <cellStyle name="Date [mm-d-yyyy] 3 5 3 3 2" xfId="33758" xr:uid="{00000000-0005-0000-0000-000064030000}"/>
    <cellStyle name="Date [mm-d-yyyy] 3 5 3 3 3" xfId="52121" xr:uid="{00000000-0005-0000-0000-000064030000}"/>
    <cellStyle name="Date [mm-d-yyyy] 3 5 3 4" xfId="24489" xr:uid="{00000000-0005-0000-0000-000064030000}"/>
    <cellStyle name="Date [mm-d-yyyy] 3 5 3 4 2" xfId="42858" xr:uid="{00000000-0005-0000-0000-000064030000}"/>
    <cellStyle name="Date [mm-d-yyyy] 3 5 3 5" xfId="20816" xr:uid="{00000000-0005-0000-0000-000064030000}"/>
    <cellStyle name="Date [mm-d-yyyy] 3 5 3 6" xfId="39205" xr:uid="{00000000-0005-0000-0000-000064030000}"/>
    <cellStyle name="Date [mm-d-yyyy] 3 5 4" xfId="4551" xr:uid="{00000000-0005-0000-0000-000064030000}"/>
    <cellStyle name="Date [mm-d-yyyy] 3 5 4 2" xfId="11140" xr:uid="{00000000-0005-0000-0000-000064030000}"/>
    <cellStyle name="Date [mm-d-yyyy] 3 5 4 2 2" xfId="29756" xr:uid="{00000000-0005-0000-0000-000064030000}"/>
    <cellStyle name="Date [mm-d-yyyy] 3 5 4 2 3" xfId="48119" xr:uid="{00000000-0005-0000-0000-000064030000}"/>
    <cellStyle name="Date [mm-d-yyyy] 3 5 4 3" xfId="15279" xr:uid="{00000000-0005-0000-0000-000064030000}"/>
    <cellStyle name="Date [mm-d-yyyy] 3 5 4 3 2" xfId="33673" xr:uid="{00000000-0005-0000-0000-000064030000}"/>
    <cellStyle name="Date [mm-d-yyyy] 3 5 4 3 3" xfId="52036" xr:uid="{00000000-0005-0000-0000-000064030000}"/>
    <cellStyle name="Date [mm-d-yyyy] 3 5 4 4" xfId="24404" xr:uid="{00000000-0005-0000-0000-000064030000}"/>
    <cellStyle name="Date [mm-d-yyyy] 3 5 4 4 2" xfId="42773" xr:uid="{00000000-0005-0000-0000-000064030000}"/>
    <cellStyle name="Date [mm-d-yyyy] 3 5 4 5" xfId="20728" xr:uid="{00000000-0005-0000-0000-000064030000}"/>
    <cellStyle name="Date [mm-d-yyyy] 3 5 4 6" xfId="39120" xr:uid="{00000000-0005-0000-0000-000064030000}"/>
    <cellStyle name="Date [mm-d-yyyy] 3 5 5" xfId="9981" xr:uid="{00000000-0005-0000-0000-000064030000}"/>
    <cellStyle name="Date [mm-d-yyyy] 3 5 5 2" xfId="14038" xr:uid="{00000000-0005-0000-0000-000064030000}"/>
    <cellStyle name="Date [mm-d-yyyy] 3 5 5 2 2" xfId="32455" xr:uid="{00000000-0005-0000-0000-000064030000}"/>
    <cellStyle name="Date [mm-d-yyyy] 3 5 5 2 3" xfId="50818" xr:uid="{00000000-0005-0000-0000-000064030000}"/>
    <cellStyle name="Date [mm-d-yyyy] 3 5 5 3" xfId="28693" xr:uid="{00000000-0005-0000-0000-000064030000}"/>
    <cellStyle name="Date [mm-d-yyyy] 3 5 5 3 2" xfId="47056" xr:uid="{00000000-0005-0000-0000-000064030000}"/>
    <cellStyle name="Date [mm-d-yyyy] 3 5 5 4" xfId="19347" xr:uid="{00000000-0005-0000-0000-000064030000}"/>
    <cellStyle name="Date [mm-d-yyyy] 3 5 5 5" xfId="37754" xr:uid="{00000000-0005-0000-0000-000064030000}"/>
    <cellStyle name="Date [mm-d-yyyy] 3 5 6" xfId="7933" xr:uid="{00000000-0005-0000-0000-000064030000}"/>
    <cellStyle name="Date [mm-d-yyyy] 3 5 6 2" xfId="27164" xr:uid="{00000000-0005-0000-0000-000064030000}"/>
    <cellStyle name="Date [mm-d-yyyy] 3 5 6 3" xfId="45529" xr:uid="{00000000-0005-0000-0000-000064030000}"/>
    <cellStyle name="Date [mm-d-yyyy] 3 5 7" xfId="8391" xr:uid="{00000000-0005-0000-0000-000064030000}"/>
    <cellStyle name="Date [mm-d-yyyy] 3 5 7 2" xfId="27456" xr:uid="{00000000-0005-0000-0000-000064030000}"/>
    <cellStyle name="Date [mm-d-yyyy] 3 5 7 3" xfId="45820" xr:uid="{00000000-0005-0000-0000-000064030000}"/>
    <cellStyle name="Date [mm-d-yyyy] 3 5 8" xfId="8826" xr:uid="{00000000-0005-0000-0000-000064030000}"/>
    <cellStyle name="Date [mm-d-yyyy] 3 5 9" xfId="17830" xr:uid="{00000000-0005-0000-0000-000064030000}"/>
    <cellStyle name="Date [mm-d-yyyy] 3 6" xfId="3355" xr:uid="{00000000-0005-0000-0000-00005A030000}"/>
    <cellStyle name="Date [mm-d-yyyy] 3 6 2" xfId="5530" xr:uid="{00000000-0005-0000-0000-00005A030000}"/>
    <cellStyle name="Date [mm-d-yyyy] 3 6 2 2" xfId="11894" xr:uid="{00000000-0005-0000-0000-00005A030000}"/>
    <cellStyle name="Date [mm-d-yyyy] 3 6 2 2 2" xfId="30341" xr:uid="{00000000-0005-0000-0000-00005A030000}"/>
    <cellStyle name="Date [mm-d-yyyy] 3 6 2 2 3" xfId="48704" xr:uid="{00000000-0005-0000-0000-00005A030000}"/>
    <cellStyle name="Date [mm-d-yyyy] 3 6 2 3" xfId="16220" xr:uid="{00000000-0005-0000-0000-00005A030000}"/>
    <cellStyle name="Date [mm-d-yyyy] 3 6 2 3 2" xfId="34592" xr:uid="{00000000-0005-0000-0000-00005A030000}"/>
    <cellStyle name="Date [mm-d-yyyy] 3 6 2 3 3" xfId="52955" xr:uid="{00000000-0005-0000-0000-00005A030000}"/>
    <cellStyle name="Date [mm-d-yyyy] 3 6 2 4" xfId="25339" xr:uid="{00000000-0005-0000-0000-00005A030000}"/>
    <cellStyle name="Date [mm-d-yyyy] 3 6 2 4 2" xfId="43708" xr:uid="{00000000-0005-0000-0000-00005A030000}"/>
    <cellStyle name="Date [mm-d-yyyy] 3 6 2 5" xfId="21660" xr:uid="{00000000-0005-0000-0000-00005A030000}"/>
    <cellStyle name="Date [mm-d-yyyy] 3 6 2 6" xfId="40039" xr:uid="{00000000-0005-0000-0000-00005A030000}"/>
    <cellStyle name="Date [mm-d-yyyy] 3 6 3" xfId="6354" xr:uid="{00000000-0005-0000-0000-00005A030000}"/>
    <cellStyle name="Date [mm-d-yyyy] 3 6 3 2" xfId="12645" xr:uid="{00000000-0005-0000-0000-00005A030000}"/>
    <cellStyle name="Date [mm-d-yyyy] 3 6 3 2 2" xfId="31071" xr:uid="{00000000-0005-0000-0000-00005A030000}"/>
    <cellStyle name="Date [mm-d-yyyy] 3 6 3 2 3" xfId="49434" xr:uid="{00000000-0005-0000-0000-00005A030000}"/>
    <cellStyle name="Date [mm-d-yyyy] 3 6 3 3" xfId="16956" xr:uid="{00000000-0005-0000-0000-00005A030000}"/>
    <cellStyle name="Date [mm-d-yyyy] 3 6 3 3 2" xfId="35304" xr:uid="{00000000-0005-0000-0000-00005A030000}"/>
    <cellStyle name="Date [mm-d-yyyy] 3 6 3 3 3" xfId="53667" xr:uid="{00000000-0005-0000-0000-00005A030000}"/>
    <cellStyle name="Date [mm-d-yyyy] 3 6 3 4" xfId="26089" xr:uid="{00000000-0005-0000-0000-00005A030000}"/>
    <cellStyle name="Date [mm-d-yyyy] 3 6 3 4 2" xfId="44458" xr:uid="{00000000-0005-0000-0000-00005A030000}"/>
    <cellStyle name="Date [mm-d-yyyy] 3 6 3 5" xfId="22382" xr:uid="{00000000-0005-0000-0000-00005A030000}"/>
    <cellStyle name="Date [mm-d-yyyy] 3 6 3 6" xfId="40751" xr:uid="{00000000-0005-0000-0000-00005A030000}"/>
    <cellStyle name="Date [mm-d-yyyy] 3 6 4" xfId="10068" xr:uid="{00000000-0005-0000-0000-00005A030000}"/>
    <cellStyle name="Date [mm-d-yyyy] 3 6 4 2" xfId="14125" xr:uid="{00000000-0005-0000-0000-00005A030000}"/>
    <cellStyle name="Date [mm-d-yyyy] 3 6 4 2 2" xfId="32541" xr:uid="{00000000-0005-0000-0000-00005A030000}"/>
    <cellStyle name="Date [mm-d-yyyy] 3 6 4 2 3" xfId="50904" xr:uid="{00000000-0005-0000-0000-00005A030000}"/>
    <cellStyle name="Date [mm-d-yyyy] 3 6 4 3" xfId="28779" xr:uid="{00000000-0005-0000-0000-00005A030000}"/>
    <cellStyle name="Date [mm-d-yyyy] 3 6 4 3 2" xfId="47142" xr:uid="{00000000-0005-0000-0000-00005A030000}"/>
    <cellStyle name="Date [mm-d-yyyy] 3 6 4 4" xfId="19582" xr:uid="{00000000-0005-0000-0000-00005A030000}"/>
    <cellStyle name="Date [mm-d-yyyy] 3 6 4 5" xfId="37988" xr:uid="{00000000-0005-0000-0000-00005A030000}"/>
    <cellStyle name="Date [mm-d-yyyy] 3 6 5" xfId="9215" xr:uid="{00000000-0005-0000-0000-00005A030000}"/>
    <cellStyle name="Date [mm-d-yyyy] 3 6 5 2" xfId="27935" xr:uid="{00000000-0005-0000-0000-00005A030000}"/>
    <cellStyle name="Date [mm-d-yyyy] 3 6 5 3" xfId="46298" xr:uid="{00000000-0005-0000-0000-00005A030000}"/>
    <cellStyle name="Date [mm-d-yyyy] 3 6 6" xfId="13272" xr:uid="{00000000-0005-0000-0000-00005A030000}"/>
    <cellStyle name="Date [mm-d-yyyy] 3 6 6 2" xfId="31693" xr:uid="{00000000-0005-0000-0000-00005A030000}"/>
    <cellStyle name="Date [mm-d-yyyy] 3 6 6 3" xfId="50056" xr:uid="{00000000-0005-0000-0000-00005A030000}"/>
    <cellStyle name="Date [mm-d-yyyy] 3 6 7" xfId="23263" xr:uid="{00000000-0005-0000-0000-00005A030000}"/>
    <cellStyle name="Date [mm-d-yyyy] 3 6 7 2" xfId="41632" xr:uid="{00000000-0005-0000-0000-00005A030000}"/>
    <cellStyle name="Date [mm-d-yyyy] 3 6 8" xfId="18262" xr:uid="{00000000-0005-0000-0000-00005A030000}"/>
    <cellStyle name="Date [mm-d-yyyy] 3 6 9" xfId="36668" xr:uid="{00000000-0005-0000-0000-00005A030000}"/>
    <cellStyle name="Date [mm-d-yyyy] 3 7" xfId="7541" xr:uid="{00000000-0005-0000-0000-00005A030000}"/>
    <cellStyle name="Date [mm-d-yyyy] 3 7 2" xfId="26867" xr:uid="{00000000-0005-0000-0000-00005A030000}"/>
    <cellStyle name="Date [mm-d-yyyy] 3 7 3" xfId="45232" xr:uid="{00000000-0005-0000-0000-00005A030000}"/>
    <cellStyle name="Date [mm-d-yyyy] 3 8" xfId="6994" xr:uid="{00000000-0005-0000-0000-00005A030000}"/>
    <cellStyle name="Date [mm-d-yyyy] 4" xfId="1799" xr:uid="{00000000-0005-0000-0000-000065030000}"/>
    <cellStyle name="Date [mm-d-yyyy] 4 10" xfId="20738" xr:uid="{00000000-0005-0000-0000-000065030000}"/>
    <cellStyle name="Date [mm-d-yyyy] 4 2" xfId="3692" xr:uid="{00000000-0005-0000-0000-000065030000}"/>
    <cellStyle name="Date [mm-d-yyyy] 4 2 2" xfId="5865" xr:uid="{00000000-0005-0000-0000-000065030000}"/>
    <cellStyle name="Date [mm-d-yyyy] 4 2 2 2" xfId="12229" xr:uid="{00000000-0005-0000-0000-000065030000}"/>
    <cellStyle name="Date [mm-d-yyyy] 4 2 2 2 2" xfId="30676" xr:uid="{00000000-0005-0000-0000-000065030000}"/>
    <cellStyle name="Date [mm-d-yyyy] 4 2 2 2 3" xfId="49039" xr:uid="{00000000-0005-0000-0000-000065030000}"/>
    <cellStyle name="Date [mm-d-yyyy] 4 2 2 3" xfId="16555" xr:uid="{00000000-0005-0000-0000-000065030000}"/>
    <cellStyle name="Date [mm-d-yyyy] 4 2 2 3 2" xfId="34927" xr:uid="{00000000-0005-0000-0000-000065030000}"/>
    <cellStyle name="Date [mm-d-yyyy] 4 2 2 3 3" xfId="53290" xr:uid="{00000000-0005-0000-0000-000065030000}"/>
    <cellStyle name="Date [mm-d-yyyy] 4 2 2 4" xfId="25674" xr:uid="{00000000-0005-0000-0000-000065030000}"/>
    <cellStyle name="Date [mm-d-yyyy] 4 2 2 4 2" xfId="44043" xr:uid="{00000000-0005-0000-0000-000065030000}"/>
    <cellStyle name="Date [mm-d-yyyy] 4 2 2 5" xfId="21995" xr:uid="{00000000-0005-0000-0000-000065030000}"/>
    <cellStyle name="Date [mm-d-yyyy] 4 2 2 6" xfId="40374" xr:uid="{00000000-0005-0000-0000-000065030000}"/>
    <cellStyle name="Date [mm-d-yyyy] 4 2 3" xfId="6691" xr:uid="{00000000-0005-0000-0000-000065030000}"/>
    <cellStyle name="Date [mm-d-yyyy] 4 2 3 2" xfId="12982" xr:uid="{00000000-0005-0000-0000-000065030000}"/>
    <cellStyle name="Date [mm-d-yyyy] 4 2 3 2 2" xfId="31408" xr:uid="{00000000-0005-0000-0000-000065030000}"/>
    <cellStyle name="Date [mm-d-yyyy] 4 2 3 2 3" xfId="49771" xr:uid="{00000000-0005-0000-0000-000065030000}"/>
    <cellStyle name="Date [mm-d-yyyy] 4 2 3 3" xfId="17293" xr:uid="{00000000-0005-0000-0000-000065030000}"/>
    <cellStyle name="Date [mm-d-yyyy] 4 2 3 3 2" xfId="35641" xr:uid="{00000000-0005-0000-0000-000065030000}"/>
    <cellStyle name="Date [mm-d-yyyy] 4 2 3 3 3" xfId="54004" xr:uid="{00000000-0005-0000-0000-000065030000}"/>
    <cellStyle name="Date [mm-d-yyyy] 4 2 3 4" xfId="26426" xr:uid="{00000000-0005-0000-0000-000065030000}"/>
    <cellStyle name="Date [mm-d-yyyy] 4 2 3 4 2" xfId="44795" xr:uid="{00000000-0005-0000-0000-000065030000}"/>
    <cellStyle name="Date [mm-d-yyyy] 4 2 3 5" xfId="22719" xr:uid="{00000000-0005-0000-0000-000065030000}"/>
    <cellStyle name="Date [mm-d-yyyy] 4 2 3 6" xfId="41088" xr:uid="{00000000-0005-0000-0000-000065030000}"/>
    <cellStyle name="Date [mm-d-yyyy] 4 2 4" xfId="10405" xr:uid="{00000000-0005-0000-0000-000065030000}"/>
    <cellStyle name="Date [mm-d-yyyy] 4 2 4 2" xfId="14462" xr:uid="{00000000-0005-0000-0000-000065030000}"/>
    <cellStyle name="Date [mm-d-yyyy] 4 2 4 2 2" xfId="32878" xr:uid="{00000000-0005-0000-0000-000065030000}"/>
    <cellStyle name="Date [mm-d-yyyy] 4 2 4 2 3" xfId="51241" xr:uid="{00000000-0005-0000-0000-000065030000}"/>
    <cellStyle name="Date [mm-d-yyyy] 4 2 4 3" xfId="29116" xr:uid="{00000000-0005-0000-0000-000065030000}"/>
    <cellStyle name="Date [mm-d-yyyy] 4 2 4 3 2" xfId="47479" xr:uid="{00000000-0005-0000-0000-000065030000}"/>
    <cellStyle name="Date [mm-d-yyyy] 4 2 4 4" xfId="19919" xr:uid="{00000000-0005-0000-0000-000065030000}"/>
    <cellStyle name="Date [mm-d-yyyy] 4 2 4 5" xfId="38325" xr:uid="{00000000-0005-0000-0000-000065030000}"/>
    <cellStyle name="Date [mm-d-yyyy] 4 2 5" xfId="9613" xr:uid="{00000000-0005-0000-0000-000065030000}"/>
    <cellStyle name="Date [mm-d-yyyy] 4 2 5 2" xfId="28330" xr:uid="{00000000-0005-0000-0000-000065030000}"/>
    <cellStyle name="Date [mm-d-yyyy] 4 2 5 3" xfId="46693" xr:uid="{00000000-0005-0000-0000-000065030000}"/>
    <cellStyle name="Date [mm-d-yyyy] 4 2 6" xfId="13671" xr:uid="{00000000-0005-0000-0000-000065030000}"/>
    <cellStyle name="Date [mm-d-yyyy] 4 2 6 2" xfId="32092" xr:uid="{00000000-0005-0000-0000-000065030000}"/>
    <cellStyle name="Date [mm-d-yyyy] 4 2 6 3" xfId="50455" xr:uid="{00000000-0005-0000-0000-000065030000}"/>
    <cellStyle name="Date [mm-d-yyyy] 4 2 7" xfId="23600" xr:uid="{00000000-0005-0000-0000-000065030000}"/>
    <cellStyle name="Date [mm-d-yyyy] 4 2 7 2" xfId="41969" xr:uid="{00000000-0005-0000-0000-000065030000}"/>
    <cellStyle name="Date [mm-d-yyyy] 4 2 8" xfId="18713" xr:uid="{00000000-0005-0000-0000-000065030000}"/>
    <cellStyle name="Date [mm-d-yyyy] 4 2 9" xfId="37123" xr:uid="{00000000-0005-0000-0000-000065030000}"/>
    <cellStyle name="Date [mm-d-yyyy] 4 3" xfId="4733" xr:uid="{00000000-0005-0000-0000-000065030000}"/>
    <cellStyle name="Date [mm-d-yyyy] 4 3 2" xfId="11317" xr:uid="{00000000-0005-0000-0000-000065030000}"/>
    <cellStyle name="Date [mm-d-yyyy] 4 3 2 2" xfId="29929" xr:uid="{00000000-0005-0000-0000-000065030000}"/>
    <cellStyle name="Date [mm-d-yyyy] 4 3 2 3" xfId="48292" xr:uid="{00000000-0005-0000-0000-000065030000}"/>
    <cellStyle name="Date [mm-d-yyyy] 4 3 3" xfId="15459" xr:uid="{00000000-0005-0000-0000-000065030000}"/>
    <cellStyle name="Date [mm-d-yyyy] 4 3 3 2" xfId="33852" xr:uid="{00000000-0005-0000-0000-000065030000}"/>
    <cellStyle name="Date [mm-d-yyyy] 4 3 3 3" xfId="52215" xr:uid="{00000000-0005-0000-0000-000065030000}"/>
    <cellStyle name="Date [mm-d-yyyy] 4 3 4" xfId="24583" xr:uid="{00000000-0005-0000-0000-000065030000}"/>
    <cellStyle name="Date [mm-d-yyyy] 4 3 4 2" xfId="42952" xr:uid="{00000000-0005-0000-0000-000065030000}"/>
    <cellStyle name="Date [mm-d-yyyy] 4 3 5" xfId="20910" xr:uid="{00000000-0005-0000-0000-000065030000}"/>
    <cellStyle name="Date [mm-d-yyyy] 4 3 6" xfId="39299" xr:uid="{00000000-0005-0000-0000-000065030000}"/>
    <cellStyle name="Date [mm-d-yyyy] 4 4" xfId="5017" xr:uid="{00000000-0005-0000-0000-000065030000}"/>
    <cellStyle name="Date [mm-d-yyyy] 4 4 2" xfId="11540" xr:uid="{00000000-0005-0000-0000-000065030000}"/>
    <cellStyle name="Date [mm-d-yyyy] 4 4 2 2" xfId="30112" xr:uid="{00000000-0005-0000-0000-000065030000}"/>
    <cellStyle name="Date [mm-d-yyyy] 4 4 2 3" xfId="48475" xr:uid="{00000000-0005-0000-0000-000065030000}"/>
    <cellStyle name="Date [mm-d-yyyy] 4 4 3" xfId="15730" xr:uid="{00000000-0005-0000-0000-000065030000}"/>
    <cellStyle name="Date [mm-d-yyyy] 4 4 3 2" xfId="34118" xr:uid="{00000000-0005-0000-0000-000065030000}"/>
    <cellStyle name="Date [mm-d-yyyy] 4 4 3 3" xfId="52481" xr:uid="{00000000-0005-0000-0000-000065030000}"/>
    <cellStyle name="Date [mm-d-yyyy] 4 4 4" xfId="24854" xr:uid="{00000000-0005-0000-0000-000065030000}"/>
    <cellStyle name="Date [mm-d-yyyy] 4 4 4 2" xfId="43223" xr:uid="{00000000-0005-0000-0000-000065030000}"/>
    <cellStyle name="Date [mm-d-yyyy] 4 4 5" xfId="21178" xr:uid="{00000000-0005-0000-0000-000065030000}"/>
    <cellStyle name="Date [mm-d-yyyy] 4 4 6" xfId="39565" xr:uid="{00000000-0005-0000-0000-000065030000}"/>
    <cellStyle name="Date [mm-d-yyyy] 4 5" xfId="9054" xr:uid="{00000000-0005-0000-0000-000065030000}"/>
    <cellStyle name="Date [mm-d-yyyy] 4 5 2" xfId="6905" xr:uid="{00000000-0005-0000-0000-000065030000}"/>
    <cellStyle name="Date [mm-d-yyyy] 4 5 2 2" xfId="26640" xr:uid="{00000000-0005-0000-0000-000065030000}"/>
    <cellStyle name="Date [mm-d-yyyy] 4 5 2 3" xfId="45009" xr:uid="{00000000-0005-0000-0000-000065030000}"/>
    <cellStyle name="Date [mm-d-yyyy] 4 5 3" xfId="27780" xr:uid="{00000000-0005-0000-0000-000065030000}"/>
    <cellStyle name="Date [mm-d-yyyy] 4 5 3 2" xfId="46143" xr:uid="{00000000-0005-0000-0000-000065030000}"/>
    <cellStyle name="Date [mm-d-yyyy] 4 5 4" xfId="17954" xr:uid="{00000000-0005-0000-0000-000065030000}"/>
    <cellStyle name="Date [mm-d-yyyy] 4 5 5" xfId="36362" xr:uid="{00000000-0005-0000-0000-000065030000}"/>
    <cellStyle name="Date [mm-d-yyyy] 4 6" xfId="8029" xr:uid="{00000000-0005-0000-0000-000065030000}"/>
    <cellStyle name="Date [mm-d-yyyy] 4 6 2" xfId="27258" xr:uid="{00000000-0005-0000-0000-000065030000}"/>
    <cellStyle name="Date [mm-d-yyyy] 4 6 3" xfId="45623" xr:uid="{00000000-0005-0000-0000-000065030000}"/>
    <cellStyle name="Date [mm-d-yyyy] 4 7" xfId="7590" xr:uid="{00000000-0005-0000-0000-000065030000}"/>
    <cellStyle name="Date [mm-d-yyyy] 4 7 2" xfId="26897" xr:uid="{00000000-0005-0000-0000-000065030000}"/>
    <cellStyle name="Date [mm-d-yyyy] 4 7 3" xfId="45262" xr:uid="{00000000-0005-0000-0000-000065030000}"/>
    <cellStyle name="Date [mm-d-yyyy] 4 8" xfId="18358" xr:uid="{00000000-0005-0000-0000-000065030000}"/>
    <cellStyle name="Date [mm-d-yyyy] 4 8 2" xfId="36764" xr:uid="{00000000-0005-0000-0000-000065030000}"/>
    <cellStyle name="Date [mm-d-yyyy] 4 9" xfId="8501" xr:uid="{00000000-0005-0000-0000-000065030000}"/>
    <cellStyle name="Date [mm-d-yyyy] 5" xfId="2037" xr:uid="{00000000-0005-0000-0000-000066030000}"/>
    <cellStyle name="Date [mm-d-yyyy] 5 10" xfId="8945" xr:uid="{00000000-0005-0000-0000-000066030000}"/>
    <cellStyle name="Date [mm-d-yyyy] 5 2" xfId="3750" xr:uid="{00000000-0005-0000-0000-000066030000}"/>
    <cellStyle name="Date [mm-d-yyyy] 5 2 2" xfId="5923" xr:uid="{00000000-0005-0000-0000-000066030000}"/>
    <cellStyle name="Date [mm-d-yyyy] 5 2 2 2" xfId="12287" xr:uid="{00000000-0005-0000-0000-000066030000}"/>
    <cellStyle name="Date [mm-d-yyyy] 5 2 2 2 2" xfId="30734" xr:uid="{00000000-0005-0000-0000-000066030000}"/>
    <cellStyle name="Date [mm-d-yyyy] 5 2 2 2 3" xfId="49097" xr:uid="{00000000-0005-0000-0000-000066030000}"/>
    <cellStyle name="Date [mm-d-yyyy] 5 2 2 3" xfId="16613" xr:uid="{00000000-0005-0000-0000-000066030000}"/>
    <cellStyle name="Date [mm-d-yyyy] 5 2 2 3 2" xfId="34985" xr:uid="{00000000-0005-0000-0000-000066030000}"/>
    <cellStyle name="Date [mm-d-yyyy] 5 2 2 3 3" xfId="53348" xr:uid="{00000000-0005-0000-0000-000066030000}"/>
    <cellStyle name="Date [mm-d-yyyy] 5 2 2 4" xfId="25732" xr:uid="{00000000-0005-0000-0000-000066030000}"/>
    <cellStyle name="Date [mm-d-yyyy] 5 2 2 4 2" xfId="44101" xr:uid="{00000000-0005-0000-0000-000066030000}"/>
    <cellStyle name="Date [mm-d-yyyy] 5 2 2 5" xfId="22053" xr:uid="{00000000-0005-0000-0000-000066030000}"/>
    <cellStyle name="Date [mm-d-yyyy] 5 2 2 6" xfId="40432" xr:uid="{00000000-0005-0000-0000-000066030000}"/>
    <cellStyle name="Date [mm-d-yyyy] 5 2 3" xfId="6749" xr:uid="{00000000-0005-0000-0000-000066030000}"/>
    <cellStyle name="Date [mm-d-yyyy] 5 2 3 2" xfId="13040" xr:uid="{00000000-0005-0000-0000-000066030000}"/>
    <cellStyle name="Date [mm-d-yyyy] 5 2 3 2 2" xfId="31466" xr:uid="{00000000-0005-0000-0000-000066030000}"/>
    <cellStyle name="Date [mm-d-yyyy] 5 2 3 2 3" xfId="49829" xr:uid="{00000000-0005-0000-0000-000066030000}"/>
    <cellStyle name="Date [mm-d-yyyy] 5 2 3 3" xfId="17351" xr:uid="{00000000-0005-0000-0000-000066030000}"/>
    <cellStyle name="Date [mm-d-yyyy] 5 2 3 3 2" xfId="35699" xr:uid="{00000000-0005-0000-0000-000066030000}"/>
    <cellStyle name="Date [mm-d-yyyy] 5 2 3 3 3" xfId="54062" xr:uid="{00000000-0005-0000-0000-000066030000}"/>
    <cellStyle name="Date [mm-d-yyyy] 5 2 3 4" xfId="26484" xr:uid="{00000000-0005-0000-0000-000066030000}"/>
    <cellStyle name="Date [mm-d-yyyy] 5 2 3 4 2" xfId="44853" xr:uid="{00000000-0005-0000-0000-000066030000}"/>
    <cellStyle name="Date [mm-d-yyyy] 5 2 3 5" xfId="22777" xr:uid="{00000000-0005-0000-0000-000066030000}"/>
    <cellStyle name="Date [mm-d-yyyy] 5 2 3 6" xfId="41146" xr:uid="{00000000-0005-0000-0000-000066030000}"/>
    <cellStyle name="Date [mm-d-yyyy] 5 2 4" xfId="10463" xr:uid="{00000000-0005-0000-0000-000066030000}"/>
    <cellStyle name="Date [mm-d-yyyy] 5 2 4 2" xfId="14520" xr:uid="{00000000-0005-0000-0000-000066030000}"/>
    <cellStyle name="Date [mm-d-yyyy] 5 2 4 2 2" xfId="32936" xr:uid="{00000000-0005-0000-0000-000066030000}"/>
    <cellStyle name="Date [mm-d-yyyy] 5 2 4 2 3" xfId="51299" xr:uid="{00000000-0005-0000-0000-000066030000}"/>
    <cellStyle name="Date [mm-d-yyyy] 5 2 4 3" xfId="29174" xr:uid="{00000000-0005-0000-0000-000066030000}"/>
    <cellStyle name="Date [mm-d-yyyy] 5 2 4 3 2" xfId="47537" xr:uid="{00000000-0005-0000-0000-000066030000}"/>
    <cellStyle name="Date [mm-d-yyyy] 5 2 4 4" xfId="19977" xr:uid="{00000000-0005-0000-0000-000066030000}"/>
    <cellStyle name="Date [mm-d-yyyy] 5 2 4 5" xfId="38383" xr:uid="{00000000-0005-0000-0000-000066030000}"/>
    <cellStyle name="Date [mm-d-yyyy] 5 2 5" xfId="9688" xr:uid="{00000000-0005-0000-0000-000066030000}"/>
    <cellStyle name="Date [mm-d-yyyy] 5 2 5 2" xfId="28404" xr:uid="{00000000-0005-0000-0000-000066030000}"/>
    <cellStyle name="Date [mm-d-yyyy] 5 2 5 3" xfId="46767" xr:uid="{00000000-0005-0000-0000-000066030000}"/>
    <cellStyle name="Date [mm-d-yyyy] 5 2 6" xfId="13745" xr:uid="{00000000-0005-0000-0000-000066030000}"/>
    <cellStyle name="Date [mm-d-yyyy] 5 2 6 2" xfId="32166" xr:uid="{00000000-0005-0000-0000-000066030000}"/>
    <cellStyle name="Date [mm-d-yyyy] 5 2 6 3" xfId="50529" xr:uid="{00000000-0005-0000-0000-000066030000}"/>
    <cellStyle name="Date [mm-d-yyyy] 5 2 7" xfId="23658" xr:uid="{00000000-0005-0000-0000-000066030000}"/>
    <cellStyle name="Date [mm-d-yyyy] 5 2 7 2" xfId="42027" xr:uid="{00000000-0005-0000-0000-000066030000}"/>
    <cellStyle name="Date [mm-d-yyyy] 5 2 8" xfId="18833" xr:uid="{00000000-0005-0000-0000-000066030000}"/>
    <cellStyle name="Date [mm-d-yyyy] 5 2 9" xfId="37242" xr:uid="{00000000-0005-0000-0000-000066030000}"/>
    <cellStyle name="Date [mm-d-yyyy] 5 3" xfId="4877" xr:uid="{00000000-0005-0000-0000-000066030000}"/>
    <cellStyle name="Date [mm-d-yyyy] 5 3 2" xfId="11435" xr:uid="{00000000-0005-0000-0000-000066030000}"/>
    <cellStyle name="Date [mm-d-yyyy] 5 3 2 2" xfId="30025" xr:uid="{00000000-0005-0000-0000-000066030000}"/>
    <cellStyle name="Date [mm-d-yyyy] 5 3 2 3" xfId="48388" xr:uid="{00000000-0005-0000-0000-000066030000}"/>
    <cellStyle name="Date [mm-d-yyyy] 5 3 3" xfId="15603" xr:uid="{00000000-0005-0000-0000-000066030000}"/>
    <cellStyle name="Date [mm-d-yyyy] 5 3 3 2" xfId="33994" xr:uid="{00000000-0005-0000-0000-000066030000}"/>
    <cellStyle name="Date [mm-d-yyyy] 5 3 3 3" xfId="52357" xr:uid="{00000000-0005-0000-0000-000066030000}"/>
    <cellStyle name="Date [mm-d-yyyy] 5 3 4" xfId="24725" xr:uid="{00000000-0005-0000-0000-000066030000}"/>
    <cellStyle name="Date [mm-d-yyyy] 5 3 4 2" xfId="43094" xr:uid="{00000000-0005-0000-0000-000066030000}"/>
    <cellStyle name="Date [mm-d-yyyy] 5 3 5" xfId="21052" xr:uid="{00000000-0005-0000-0000-000066030000}"/>
    <cellStyle name="Date [mm-d-yyyy] 5 3 6" xfId="39441" xr:uid="{00000000-0005-0000-0000-000066030000}"/>
    <cellStyle name="Date [mm-d-yyyy] 5 4" xfId="5000" xr:uid="{00000000-0005-0000-0000-000066030000}"/>
    <cellStyle name="Date [mm-d-yyyy] 5 4 2" xfId="11526" xr:uid="{00000000-0005-0000-0000-000066030000}"/>
    <cellStyle name="Date [mm-d-yyyy] 5 4 2 2" xfId="30099" xr:uid="{00000000-0005-0000-0000-000066030000}"/>
    <cellStyle name="Date [mm-d-yyyy] 5 4 2 3" xfId="48462" xr:uid="{00000000-0005-0000-0000-000066030000}"/>
    <cellStyle name="Date [mm-d-yyyy] 5 4 3" xfId="15715" xr:uid="{00000000-0005-0000-0000-000066030000}"/>
    <cellStyle name="Date [mm-d-yyyy] 5 4 3 2" xfId="34103" xr:uid="{00000000-0005-0000-0000-000066030000}"/>
    <cellStyle name="Date [mm-d-yyyy] 5 4 3 3" xfId="52466" xr:uid="{00000000-0005-0000-0000-000066030000}"/>
    <cellStyle name="Date [mm-d-yyyy] 5 4 4" xfId="24839" xr:uid="{00000000-0005-0000-0000-000066030000}"/>
    <cellStyle name="Date [mm-d-yyyy] 5 4 4 2" xfId="43208" xr:uid="{00000000-0005-0000-0000-000066030000}"/>
    <cellStyle name="Date [mm-d-yyyy] 5 4 5" xfId="21163" xr:uid="{00000000-0005-0000-0000-000066030000}"/>
    <cellStyle name="Date [mm-d-yyyy] 5 4 6" xfId="39550" xr:uid="{00000000-0005-0000-0000-000066030000}"/>
    <cellStyle name="Date [mm-d-yyyy] 5 5" xfId="9890" xr:uid="{00000000-0005-0000-0000-000066030000}"/>
    <cellStyle name="Date [mm-d-yyyy] 5 5 2" xfId="13948" xr:uid="{00000000-0005-0000-0000-000066030000}"/>
    <cellStyle name="Date [mm-d-yyyy] 5 5 2 2" xfId="32366" xr:uid="{00000000-0005-0000-0000-000066030000}"/>
    <cellStyle name="Date [mm-d-yyyy] 5 5 2 3" xfId="50729" xr:uid="{00000000-0005-0000-0000-000066030000}"/>
    <cellStyle name="Date [mm-d-yyyy] 5 5 3" xfId="28604" xr:uid="{00000000-0005-0000-0000-000066030000}"/>
    <cellStyle name="Date [mm-d-yyyy] 5 5 3 2" xfId="46967" xr:uid="{00000000-0005-0000-0000-000066030000}"/>
    <cellStyle name="Date [mm-d-yyyy] 5 5 4" xfId="19167" xr:uid="{00000000-0005-0000-0000-000066030000}"/>
    <cellStyle name="Date [mm-d-yyyy] 5 5 5" xfId="37575" xr:uid="{00000000-0005-0000-0000-000066030000}"/>
    <cellStyle name="Date [mm-d-yyyy] 5 6" xfId="8192" xr:uid="{00000000-0005-0000-0000-000066030000}"/>
    <cellStyle name="Date [mm-d-yyyy] 5 6 2" xfId="27368" xr:uid="{00000000-0005-0000-0000-000066030000}"/>
    <cellStyle name="Date [mm-d-yyyy] 5 6 3" xfId="45733" xr:uid="{00000000-0005-0000-0000-000066030000}"/>
    <cellStyle name="Date [mm-d-yyyy] 5 7" xfId="7147" xr:uid="{00000000-0005-0000-0000-000066030000}"/>
    <cellStyle name="Date [mm-d-yyyy] 5 7 2" xfId="26729" xr:uid="{00000000-0005-0000-0000-000066030000}"/>
    <cellStyle name="Date [mm-d-yyyy] 5 7 3" xfId="45097" xr:uid="{00000000-0005-0000-0000-000066030000}"/>
    <cellStyle name="Date [mm-d-yyyy] 5 8" xfId="19080" xr:uid="{00000000-0005-0000-0000-000066030000}"/>
    <cellStyle name="Date [mm-d-yyyy] 5 8 2" xfId="37488" xr:uid="{00000000-0005-0000-0000-000066030000}"/>
    <cellStyle name="Date [mm-d-yyyy] 5 9" xfId="8554" xr:uid="{00000000-0005-0000-0000-000066030000}"/>
    <cellStyle name="Date [mm-d-yyyy] 6" xfId="2490" xr:uid="{00000000-0005-0000-0000-000067030000}"/>
    <cellStyle name="Date [mm-d-yyyy] 6 2" xfId="5041" xr:uid="{00000000-0005-0000-0000-000067030000}"/>
    <cellStyle name="Date [mm-d-yyyy] 6 2 2" xfId="11564" xr:uid="{00000000-0005-0000-0000-000067030000}"/>
    <cellStyle name="Date [mm-d-yyyy] 6 2 2 2" xfId="30136" xr:uid="{00000000-0005-0000-0000-000067030000}"/>
    <cellStyle name="Date [mm-d-yyyy] 6 2 2 3" xfId="48499" xr:uid="{00000000-0005-0000-0000-000067030000}"/>
    <cellStyle name="Date [mm-d-yyyy] 6 2 3" xfId="15754" xr:uid="{00000000-0005-0000-0000-000067030000}"/>
    <cellStyle name="Date [mm-d-yyyy] 6 2 3 2" xfId="34142" xr:uid="{00000000-0005-0000-0000-000067030000}"/>
    <cellStyle name="Date [mm-d-yyyy] 6 2 3 3" xfId="52505" xr:uid="{00000000-0005-0000-0000-000067030000}"/>
    <cellStyle name="Date [mm-d-yyyy] 6 2 4" xfId="24878" xr:uid="{00000000-0005-0000-0000-000067030000}"/>
    <cellStyle name="Date [mm-d-yyyy] 6 2 4 2" xfId="43247" xr:uid="{00000000-0005-0000-0000-000067030000}"/>
    <cellStyle name="Date [mm-d-yyyy] 6 2 5" xfId="21202" xr:uid="{00000000-0005-0000-0000-000067030000}"/>
    <cellStyle name="Date [mm-d-yyyy] 6 2 6" xfId="39589" xr:uid="{00000000-0005-0000-0000-000067030000}"/>
    <cellStyle name="Date [mm-d-yyyy] 6 3" xfId="6138" xr:uid="{00000000-0005-0000-0000-000067030000}"/>
    <cellStyle name="Date [mm-d-yyyy] 6 3 2" xfId="12492" xr:uid="{00000000-0005-0000-0000-000067030000}"/>
    <cellStyle name="Date [mm-d-yyyy] 6 3 2 2" xfId="30930" xr:uid="{00000000-0005-0000-0000-000067030000}"/>
    <cellStyle name="Date [mm-d-yyyy] 6 3 2 3" xfId="49293" xr:uid="{00000000-0005-0000-0000-000067030000}"/>
    <cellStyle name="Date [mm-d-yyyy] 6 3 3" xfId="16810" xr:uid="{00000000-0005-0000-0000-000067030000}"/>
    <cellStyle name="Date [mm-d-yyyy] 6 3 3 2" xfId="35177" xr:uid="{00000000-0005-0000-0000-000067030000}"/>
    <cellStyle name="Date [mm-d-yyyy] 6 3 3 3" xfId="53540" xr:uid="{00000000-0005-0000-0000-000067030000}"/>
    <cellStyle name="Date [mm-d-yyyy] 6 3 4" xfId="25931" xr:uid="{00000000-0005-0000-0000-000067030000}"/>
    <cellStyle name="Date [mm-d-yyyy] 6 3 4 2" xfId="44300" xr:uid="{00000000-0005-0000-0000-000067030000}"/>
    <cellStyle name="Date [mm-d-yyyy] 6 3 5" xfId="22247" xr:uid="{00000000-0005-0000-0000-000067030000}"/>
    <cellStyle name="Date [mm-d-yyyy] 6 3 6" xfId="40624" xr:uid="{00000000-0005-0000-0000-000067030000}"/>
    <cellStyle name="Date [mm-d-yyyy] 6 4" xfId="8463" xr:uid="{00000000-0005-0000-0000-000067030000}"/>
    <cellStyle name="Date [mm-d-yyyy] 6 4 2" xfId="27495" xr:uid="{00000000-0005-0000-0000-000067030000}"/>
    <cellStyle name="Date [mm-d-yyyy] 6 4 3" xfId="45859" xr:uid="{00000000-0005-0000-0000-000067030000}"/>
    <cellStyle name="Date [mm-d-yyyy] 6 5" xfId="7083" xr:uid="{00000000-0005-0000-0000-000067030000}"/>
    <cellStyle name="Date [mm-d-yyyy] 6 5 2" xfId="26713" xr:uid="{00000000-0005-0000-0000-000067030000}"/>
    <cellStyle name="Date [mm-d-yyyy] 6 5 3" xfId="45081" xr:uid="{00000000-0005-0000-0000-000067030000}"/>
    <cellStyle name="Date [mm-d-yyyy] 6 6" xfId="18259" xr:uid="{00000000-0005-0000-0000-000067030000}"/>
    <cellStyle name="Date [mm-d-yyyy] 6 6 2" xfId="36665" xr:uid="{00000000-0005-0000-0000-000067030000}"/>
    <cellStyle name="Date [mm-d-yyyy] 6 7" xfId="35860" xr:uid="{00000000-0005-0000-0000-000067030000}"/>
    <cellStyle name="Date [mm-d-yyyy] 7" xfId="3032" xr:uid="{00000000-0005-0000-0000-000068030000}"/>
    <cellStyle name="Date [mm-d-yyyy] 7 2" xfId="3845" xr:uid="{00000000-0005-0000-0000-000068030000}"/>
    <cellStyle name="Date [mm-d-yyyy] 7 2 2" xfId="6018" xr:uid="{00000000-0005-0000-0000-000068030000}"/>
    <cellStyle name="Date [mm-d-yyyy] 7 2 2 2" xfId="12382" xr:uid="{00000000-0005-0000-0000-000068030000}"/>
    <cellStyle name="Date [mm-d-yyyy] 7 2 2 2 2" xfId="30829" xr:uid="{00000000-0005-0000-0000-000068030000}"/>
    <cellStyle name="Date [mm-d-yyyy] 7 2 2 2 3" xfId="49192" xr:uid="{00000000-0005-0000-0000-000068030000}"/>
    <cellStyle name="Date [mm-d-yyyy] 7 2 2 3" xfId="16708" xr:uid="{00000000-0005-0000-0000-000068030000}"/>
    <cellStyle name="Date [mm-d-yyyy] 7 2 2 3 2" xfId="35080" xr:uid="{00000000-0005-0000-0000-000068030000}"/>
    <cellStyle name="Date [mm-d-yyyy] 7 2 2 3 3" xfId="53443" xr:uid="{00000000-0005-0000-0000-000068030000}"/>
    <cellStyle name="Date [mm-d-yyyy] 7 2 2 4" xfId="25827" xr:uid="{00000000-0005-0000-0000-000068030000}"/>
    <cellStyle name="Date [mm-d-yyyy] 7 2 2 4 2" xfId="44196" xr:uid="{00000000-0005-0000-0000-000068030000}"/>
    <cellStyle name="Date [mm-d-yyyy] 7 2 2 5" xfId="22148" xr:uid="{00000000-0005-0000-0000-000068030000}"/>
    <cellStyle name="Date [mm-d-yyyy] 7 2 2 6" xfId="40527" xr:uid="{00000000-0005-0000-0000-000068030000}"/>
    <cellStyle name="Date [mm-d-yyyy] 7 2 3" xfId="6844" xr:uid="{00000000-0005-0000-0000-000068030000}"/>
    <cellStyle name="Date [mm-d-yyyy] 7 2 3 2" xfId="13135" xr:uid="{00000000-0005-0000-0000-000068030000}"/>
    <cellStyle name="Date [mm-d-yyyy] 7 2 3 2 2" xfId="31561" xr:uid="{00000000-0005-0000-0000-000068030000}"/>
    <cellStyle name="Date [mm-d-yyyy] 7 2 3 2 3" xfId="49924" xr:uid="{00000000-0005-0000-0000-000068030000}"/>
    <cellStyle name="Date [mm-d-yyyy] 7 2 3 3" xfId="17446" xr:uid="{00000000-0005-0000-0000-000068030000}"/>
    <cellStyle name="Date [mm-d-yyyy] 7 2 3 3 2" xfId="35794" xr:uid="{00000000-0005-0000-0000-000068030000}"/>
    <cellStyle name="Date [mm-d-yyyy] 7 2 3 3 3" xfId="54157" xr:uid="{00000000-0005-0000-0000-000068030000}"/>
    <cellStyle name="Date [mm-d-yyyy] 7 2 3 4" xfId="26579" xr:uid="{00000000-0005-0000-0000-000068030000}"/>
    <cellStyle name="Date [mm-d-yyyy] 7 2 3 4 2" xfId="44948" xr:uid="{00000000-0005-0000-0000-000068030000}"/>
    <cellStyle name="Date [mm-d-yyyy] 7 2 3 5" xfId="22872" xr:uid="{00000000-0005-0000-0000-000068030000}"/>
    <cellStyle name="Date [mm-d-yyyy] 7 2 3 6" xfId="41241" xr:uid="{00000000-0005-0000-0000-000068030000}"/>
    <cellStyle name="Date [mm-d-yyyy] 7 2 4" xfId="10558" xr:uid="{00000000-0005-0000-0000-000068030000}"/>
    <cellStyle name="Date [mm-d-yyyy] 7 2 4 2" xfId="14615" xr:uid="{00000000-0005-0000-0000-000068030000}"/>
    <cellStyle name="Date [mm-d-yyyy] 7 2 4 2 2" xfId="33031" xr:uid="{00000000-0005-0000-0000-000068030000}"/>
    <cellStyle name="Date [mm-d-yyyy] 7 2 4 2 3" xfId="51394" xr:uid="{00000000-0005-0000-0000-000068030000}"/>
    <cellStyle name="Date [mm-d-yyyy] 7 2 4 3" xfId="29269" xr:uid="{00000000-0005-0000-0000-000068030000}"/>
    <cellStyle name="Date [mm-d-yyyy] 7 2 4 3 2" xfId="47632" xr:uid="{00000000-0005-0000-0000-000068030000}"/>
    <cellStyle name="Date [mm-d-yyyy] 7 2 4 4" xfId="20072" xr:uid="{00000000-0005-0000-0000-000068030000}"/>
    <cellStyle name="Date [mm-d-yyyy] 7 2 4 5" xfId="38478" xr:uid="{00000000-0005-0000-0000-000068030000}"/>
    <cellStyle name="Date [mm-d-yyyy] 7 2 5" xfId="9930" xr:uid="{00000000-0005-0000-0000-000068030000}"/>
    <cellStyle name="Date [mm-d-yyyy] 7 2 5 2" xfId="28642" xr:uid="{00000000-0005-0000-0000-000068030000}"/>
    <cellStyle name="Date [mm-d-yyyy] 7 2 5 3" xfId="47005" xr:uid="{00000000-0005-0000-0000-000068030000}"/>
    <cellStyle name="Date [mm-d-yyyy] 7 2 6" xfId="13987" xr:uid="{00000000-0005-0000-0000-000068030000}"/>
    <cellStyle name="Date [mm-d-yyyy] 7 2 6 2" xfId="32404" xr:uid="{00000000-0005-0000-0000-000068030000}"/>
    <cellStyle name="Date [mm-d-yyyy] 7 2 6 3" xfId="50767" xr:uid="{00000000-0005-0000-0000-000068030000}"/>
    <cellStyle name="Date [mm-d-yyyy] 7 2 7" xfId="23753" xr:uid="{00000000-0005-0000-0000-000068030000}"/>
    <cellStyle name="Date [mm-d-yyyy] 7 2 7 2" xfId="42122" xr:uid="{00000000-0005-0000-0000-000068030000}"/>
    <cellStyle name="Date [mm-d-yyyy] 7 2 8" xfId="19236" xr:uid="{00000000-0005-0000-0000-000068030000}"/>
    <cellStyle name="Date [mm-d-yyyy] 7 2 9" xfId="37643" xr:uid="{00000000-0005-0000-0000-000068030000}"/>
    <cellStyle name="Date [mm-d-yyyy] 7 3" xfId="5285" xr:uid="{00000000-0005-0000-0000-000068030000}"/>
    <cellStyle name="Date [mm-d-yyyy] 7 3 2" xfId="11740" xr:uid="{00000000-0005-0000-0000-000068030000}"/>
    <cellStyle name="Date [mm-d-yyyy] 7 3 2 2" xfId="30243" xr:uid="{00000000-0005-0000-0000-000068030000}"/>
    <cellStyle name="Date [mm-d-yyyy] 7 3 2 3" xfId="48606" xr:uid="{00000000-0005-0000-0000-000068030000}"/>
    <cellStyle name="Date [mm-d-yyyy] 7 3 3" xfId="15977" xr:uid="{00000000-0005-0000-0000-000068030000}"/>
    <cellStyle name="Date [mm-d-yyyy] 7 3 3 2" xfId="34351" xr:uid="{00000000-0005-0000-0000-000068030000}"/>
    <cellStyle name="Date [mm-d-yyyy] 7 3 3 3" xfId="52714" xr:uid="{00000000-0005-0000-0000-000068030000}"/>
    <cellStyle name="Date [mm-d-yyyy] 7 3 4" xfId="25098" xr:uid="{00000000-0005-0000-0000-000068030000}"/>
    <cellStyle name="Date [mm-d-yyyy] 7 3 4 2" xfId="43467" xr:uid="{00000000-0005-0000-0000-000068030000}"/>
    <cellStyle name="Date [mm-d-yyyy] 7 3 5" xfId="21419" xr:uid="{00000000-0005-0000-0000-000068030000}"/>
    <cellStyle name="Date [mm-d-yyyy] 7 3 6" xfId="39798" xr:uid="{00000000-0005-0000-0000-000068030000}"/>
    <cellStyle name="Date [mm-d-yyyy] 7 4" xfId="6240" xr:uid="{00000000-0005-0000-0000-000068030000}"/>
    <cellStyle name="Date [mm-d-yyyy] 7 4 2" xfId="12555" xr:uid="{00000000-0005-0000-0000-000068030000}"/>
    <cellStyle name="Date [mm-d-yyyy] 7 4 2 2" xfId="30987" xr:uid="{00000000-0005-0000-0000-000068030000}"/>
    <cellStyle name="Date [mm-d-yyyy] 7 4 2 3" xfId="49350" xr:uid="{00000000-0005-0000-0000-000068030000}"/>
    <cellStyle name="Date [mm-d-yyyy] 7 4 3" xfId="16872" xr:uid="{00000000-0005-0000-0000-000068030000}"/>
    <cellStyle name="Date [mm-d-yyyy] 7 4 3 2" xfId="35229" xr:uid="{00000000-0005-0000-0000-000068030000}"/>
    <cellStyle name="Date [mm-d-yyyy] 7 4 3 3" xfId="53592" xr:uid="{00000000-0005-0000-0000-000068030000}"/>
    <cellStyle name="Date [mm-d-yyyy] 7 4 4" xfId="26004" xr:uid="{00000000-0005-0000-0000-000068030000}"/>
    <cellStyle name="Date [mm-d-yyyy] 7 4 4 2" xfId="44373" xr:uid="{00000000-0005-0000-0000-000068030000}"/>
    <cellStyle name="Date [mm-d-yyyy] 7 4 5" xfId="22303" xr:uid="{00000000-0005-0000-0000-000068030000}"/>
    <cellStyle name="Date [mm-d-yyyy] 7 4 6" xfId="40676" xr:uid="{00000000-0005-0000-0000-000068030000}"/>
    <cellStyle name="Date [mm-d-yyyy] 7 5" xfId="8820" xr:uid="{00000000-0005-0000-0000-000068030000}"/>
    <cellStyle name="Date [mm-d-yyyy] 7 5 2" xfId="27645" xr:uid="{00000000-0005-0000-0000-000068030000}"/>
    <cellStyle name="Date [mm-d-yyyy] 7 5 3" xfId="46008" xr:uid="{00000000-0005-0000-0000-000068030000}"/>
    <cellStyle name="Date [mm-d-yyyy] 7 6" xfId="11851" xr:uid="{00000000-0005-0000-0000-000068030000}"/>
    <cellStyle name="Date [mm-d-yyyy] 7 6 2" xfId="30300" xr:uid="{00000000-0005-0000-0000-000068030000}"/>
    <cellStyle name="Date [mm-d-yyyy] 7 6 3" xfId="48663" xr:uid="{00000000-0005-0000-0000-000068030000}"/>
    <cellStyle name="Date [mm-d-yyyy] 7 7" xfId="23036" xr:uid="{00000000-0005-0000-0000-000068030000}"/>
    <cellStyle name="Date [mm-d-yyyy] 7 7 2" xfId="41405" xr:uid="{00000000-0005-0000-0000-000068030000}"/>
    <cellStyle name="Date [mm-d-yyyy] 7 8" xfId="17596" xr:uid="{00000000-0005-0000-0000-000068030000}"/>
    <cellStyle name="Date [mm-d-yyyy] 7 9" xfId="36038" xr:uid="{00000000-0005-0000-0000-000068030000}"/>
    <cellStyle name="Date [mmm-d-yyyy]" xfId="366" xr:uid="{00000000-0005-0000-0000-000069030000}"/>
    <cellStyle name="Date [mmm-d-yyyy] 2" xfId="2038" xr:uid="{00000000-0005-0000-0000-00006A030000}"/>
    <cellStyle name="Date [mmm-d-yyyy] 3" xfId="2491" xr:uid="{00000000-0005-0000-0000-00006B030000}"/>
    <cellStyle name="Date [mmm-yy]" xfId="367" xr:uid="{00000000-0005-0000-0000-00006C030000}"/>
    <cellStyle name="Date [mmm-yyyy]" xfId="368" xr:uid="{00000000-0005-0000-0000-00006D030000}"/>
    <cellStyle name="Date [mmm-yyyy] 2" xfId="1045" xr:uid="{00000000-0005-0000-0000-00006E030000}"/>
    <cellStyle name="Date [mmm-yyyy] 2 10" xfId="11831" xr:uid="{00000000-0005-0000-0000-00006E030000}"/>
    <cellStyle name="Date [mmm-yyyy] 2 10 2" xfId="30286" xr:uid="{00000000-0005-0000-0000-00006E030000}"/>
    <cellStyle name="Date [mmm-yyyy] 2 10 3" xfId="48649" xr:uid="{00000000-0005-0000-0000-00006E030000}"/>
    <cellStyle name="Date [mmm-yyyy] 2 11" xfId="10639" xr:uid="{00000000-0005-0000-0000-00006E030000}"/>
    <cellStyle name="Date [mmm-yyyy] 2 2" xfId="1237" xr:uid="{00000000-0005-0000-0000-00006F030000}"/>
    <cellStyle name="Date [mmm-yyyy] 2 2 10" xfId="7277" xr:uid="{00000000-0005-0000-0000-00006F030000}"/>
    <cellStyle name="Date [mmm-yyyy] 2 2 2" xfId="1643" xr:uid="{00000000-0005-0000-0000-000070030000}"/>
    <cellStyle name="Date [mmm-yyyy] 2 2 2 10" xfId="19328" xr:uid="{00000000-0005-0000-0000-000070030000}"/>
    <cellStyle name="Date [mmm-yyyy] 2 2 2 10 2" xfId="37735" xr:uid="{00000000-0005-0000-0000-000070030000}"/>
    <cellStyle name="Date [mmm-yyyy] 2 2 2 11" xfId="11613" xr:uid="{00000000-0005-0000-0000-000070030000}"/>
    <cellStyle name="Date [mmm-yyyy] 2 2 2 12" xfId="8703" xr:uid="{00000000-0005-0000-0000-000070030000}"/>
    <cellStyle name="Date [mmm-yyyy] 2 2 2 2" xfId="1724" xr:uid="{00000000-0005-0000-0000-000071030000}"/>
    <cellStyle name="Date [mmm-yyyy] 2 2 2 2 10" xfId="11725" xr:uid="{00000000-0005-0000-0000-000071030000}"/>
    <cellStyle name="Date [mmm-yyyy] 2 2 2 2 2" xfId="3621" xr:uid="{00000000-0005-0000-0000-000071030000}"/>
    <cellStyle name="Date [mmm-yyyy] 2 2 2 2 2 2" xfId="5794" xr:uid="{00000000-0005-0000-0000-000071030000}"/>
    <cellStyle name="Date [mmm-yyyy] 2 2 2 2 2 2 2" xfId="12158" xr:uid="{00000000-0005-0000-0000-000071030000}"/>
    <cellStyle name="Date [mmm-yyyy] 2 2 2 2 2 2 2 2" xfId="30605" xr:uid="{00000000-0005-0000-0000-000071030000}"/>
    <cellStyle name="Date [mmm-yyyy] 2 2 2 2 2 2 2 3" xfId="48968" xr:uid="{00000000-0005-0000-0000-000071030000}"/>
    <cellStyle name="Date [mmm-yyyy] 2 2 2 2 2 2 3" xfId="16484" xr:uid="{00000000-0005-0000-0000-000071030000}"/>
    <cellStyle name="Date [mmm-yyyy] 2 2 2 2 2 2 3 2" xfId="34856" xr:uid="{00000000-0005-0000-0000-000071030000}"/>
    <cellStyle name="Date [mmm-yyyy] 2 2 2 2 2 2 3 3" xfId="53219" xr:uid="{00000000-0005-0000-0000-000071030000}"/>
    <cellStyle name="Date [mmm-yyyy] 2 2 2 2 2 2 4" xfId="25603" xr:uid="{00000000-0005-0000-0000-000071030000}"/>
    <cellStyle name="Date [mmm-yyyy] 2 2 2 2 2 2 4 2" xfId="43972" xr:uid="{00000000-0005-0000-0000-000071030000}"/>
    <cellStyle name="Date [mmm-yyyy] 2 2 2 2 2 2 5" xfId="21924" xr:uid="{00000000-0005-0000-0000-000071030000}"/>
    <cellStyle name="Date [mmm-yyyy] 2 2 2 2 2 2 6" xfId="40303" xr:uid="{00000000-0005-0000-0000-000071030000}"/>
    <cellStyle name="Date [mmm-yyyy] 2 2 2 2 2 3" xfId="6620" xr:uid="{00000000-0005-0000-0000-000071030000}"/>
    <cellStyle name="Date [mmm-yyyy] 2 2 2 2 2 3 2" xfId="12911" xr:uid="{00000000-0005-0000-0000-000071030000}"/>
    <cellStyle name="Date [mmm-yyyy] 2 2 2 2 2 3 2 2" xfId="31337" xr:uid="{00000000-0005-0000-0000-000071030000}"/>
    <cellStyle name="Date [mmm-yyyy] 2 2 2 2 2 3 2 3" xfId="49700" xr:uid="{00000000-0005-0000-0000-000071030000}"/>
    <cellStyle name="Date [mmm-yyyy] 2 2 2 2 2 3 3" xfId="17222" xr:uid="{00000000-0005-0000-0000-000071030000}"/>
    <cellStyle name="Date [mmm-yyyy] 2 2 2 2 2 3 3 2" xfId="35570" xr:uid="{00000000-0005-0000-0000-000071030000}"/>
    <cellStyle name="Date [mmm-yyyy] 2 2 2 2 2 3 3 3" xfId="53933" xr:uid="{00000000-0005-0000-0000-000071030000}"/>
    <cellStyle name="Date [mmm-yyyy] 2 2 2 2 2 3 4" xfId="26355" xr:uid="{00000000-0005-0000-0000-000071030000}"/>
    <cellStyle name="Date [mmm-yyyy] 2 2 2 2 2 3 4 2" xfId="44724" xr:uid="{00000000-0005-0000-0000-000071030000}"/>
    <cellStyle name="Date [mmm-yyyy] 2 2 2 2 2 3 5" xfId="22648" xr:uid="{00000000-0005-0000-0000-000071030000}"/>
    <cellStyle name="Date [mmm-yyyy] 2 2 2 2 2 3 6" xfId="41017" xr:uid="{00000000-0005-0000-0000-000071030000}"/>
    <cellStyle name="Date [mmm-yyyy] 2 2 2 2 2 4" xfId="10334" xr:uid="{00000000-0005-0000-0000-000071030000}"/>
    <cellStyle name="Date [mmm-yyyy] 2 2 2 2 2 4 2" xfId="14391" xr:uid="{00000000-0005-0000-0000-000071030000}"/>
    <cellStyle name="Date [mmm-yyyy] 2 2 2 2 2 4 2 2" xfId="32807" xr:uid="{00000000-0005-0000-0000-000071030000}"/>
    <cellStyle name="Date [mmm-yyyy] 2 2 2 2 2 4 2 3" xfId="51170" xr:uid="{00000000-0005-0000-0000-000071030000}"/>
    <cellStyle name="Date [mmm-yyyy] 2 2 2 2 2 4 3" xfId="29045" xr:uid="{00000000-0005-0000-0000-000071030000}"/>
    <cellStyle name="Date [mmm-yyyy] 2 2 2 2 2 4 3 2" xfId="47408" xr:uid="{00000000-0005-0000-0000-000071030000}"/>
    <cellStyle name="Date [mmm-yyyy] 2 2 2 2 2 4 4" xfId="19848" xr:uid="{00000000-0005-0000-0000-000071030000}"/>
    <cellStyle name="Date [mmm-yyyy] 2 2 2 2 2 4 5" xfId="38254" xr:uid="{00000000-0005-0000-0000-000071030000}"/>
    <cellStyle name="Date [mmm-yyyy] 2 2 2 2 2 5" xfId="9542" xr:uid="{00000000-0005-0000-0000-000071030000}"/>
    <cellStyle name="Date [mmm-yyyy] 2 2 2 2 2 5 2" xfId="28259" xr:uid="{00000000-0005-0000-0000-000071030000}"/>
    <cellStyle name="Date [mmm-yyyy] 2 2 2 2 2 5 3" xfId="46622" xr:uid="{00000000-0005-0000-0000-000071030000}"/>
    <cellStyle name="Date [mmm-yyyy] 2 2 2 2 2 6" xfId="13600" xr:uid="{00000000-0005-0000-0000-000071030000}"/>
    <cellStyle name="Date [mmm-yyyy] 2 2 2 2 2 6 2" xfId="32021" xr:uid="{00000000-0005-0000-0000-000071030000}"/>
    <cellStyle name="Date [mmm-yyyy] 2 2 2 2 2 6 3" xfId="50384" xr:uid="{00000000-0005-0000-0000-000071030000}"/>
    <cellStyle name="Date [mmm-yyyy] 2 2 2 2 2 7" xfId="23529" xr:uid="{00000000-0005-0000-0000-000071030000}"/>
    <cellStyle name="Date [mmm-yyyy] 2 2 2 2 2 7 2" xfId="41898" xr:uid="{00000000-0005-0000-0000-000071030000}"/>
    <cellStyle name="Date [mmm-yyyy] 2 2 2 2 2 8" xfId="18641" xr:uid="{00000000-0005-0000-0000-000071030000}"/>
    <cellStyle name="Date [mmm-yyyy] 2 2 2 2 2 9" xfId="37051" xr:uid="{00000000-0005-0000-0000-000071030000}"/>
    <cellStyle name="Date [mmm-yyyy] 2 2 2 2 3" xfId="4661" xr:uid="{00000000-0005-0000-0000-000071030000}"/>
    <cellStyle name="Date [mmm-yyyy] 2 2 2 2 3 2" xfId="11245" xr:uid="{00000000-0005-0000-0000-000071030000}"/>
    <cellStyle name="Date [mmm-yyyy] 2 2 2 2 3 2 2" xfId="29857" xr:uid="{00000000-0005-0000-0000-000071030000}"/>
    <cellStyle name="Date [mmm-yyyy] 2 2 2 2 3 2 3" xfId="48220" xr:uid="{00000000-0005-0000-0000-000071030000}"/>
    <cellStyle name="Date [mmm-yyyy] 2 2 2 2 3 3" xfId="15387" xr:uid="{00000000-0005-0000-0000-000071030000}"/>
    <cellStyle name="Date [mmm-yyyy] 2 2 2 2 3 3 2" xfId="33780" xr:uid="{00000000-0005-0000-0000-000071030000}"/>
    <cellStyle name="Date [mmm-yyyy] 2 2 2 2 3 3 3" xfId="52143" xr:uid="{00000000-0005-0000-0000-000071030000}"/>
    <cellStyle name="Date [mmm-yyyy] 2 2 2 2 3 4" xfId="24511" xr:uid="{00000000-0005-0000-0000-000071030000}"/>
    <cellStyle name="Date [mmm-yyyy] 2 2 2 2 3 4 2" xfId="42880" xr:uid="{00000000-0005-0000-0000-000071030000}"/>
    <cellStyle name="Date [mmm-yyyy] 2 2 2 2 3 5" xfId="20838" xr:uid="{00000000-0005-0000-0000-000071030000}"/>
    <cellStyle name="Date [mmm-yyyy] 2 2 2 2 3 6" xfId="39227" xr:uid="{00000000-0005-0000-0000-000071030000}"/>
    <cellStyle name="Date [mmm-yyyy] 2 2 2 2 4" xfId="4332" xr:uid="{00000000-0005-0000-0000-000071030000}"/>
    <cellStyle name="Date [mmm-yyyy] 2 2 2 2 4 2" xfId="10940" xr:uid="{00000000-0005-0000-0000-000071030000}"/>
    <cellStyle name="Date [mmm-yyyy] 2 2 2 2 4 2 2" xfId="29570" xr:uid="{00000000-0005-0000-0000-000071030000}"/>
    <cellStyle name="Date [mmm-yyyy] 2 2 2 2 4 2 3" xfId="47933" xr:uid="{00000000-0005-0000-0000-000071030000}"/>
    <cellStyle name="Date [mmm-yyyy] 2 2 2 2 4 3" xfId="15076" xr:uid="{00000000-0005-0000-0000-000071030000}"/>
    <cellStyle name="Date [mmm-yyyy] 2 2 2 2 4 3 2" xfId="33478" xr:uid="{00000000-0005-0000-0000-000071030000}"/>
    <cellStyle name="Date [mmm-yyyy] 2 2 2 2 4 3 3" xfId="51841" xr:uid="{00000000-0005-0000-0000-000071030000}"/>
    <cellStyle name="Date [mmm-yyyy] 2 2 2 2 4 4" xfId="24207" xr:uid="{00000000-0005-0000-0000-000071030000}"/>
    <cellStyle name="Date [mmm-yyyy] 2 2 2 2 4 4 2" xfId="42576" xr:uid="{00000000-0005-0000-0000-000071030000}"/>
    <cellStyle name="Date [mmm-yyyy] 2 2 2 2 4 5" xfId="20528" xr:uid="{00000000-0005-0000-0000-000071030000}"/>
    <cellStyle name="Date [mmm-yyyy] 2 2 2 2 4 6" xfId="38925" xr:uid="{00000000-0005-0000-0000-000071030000}"/>
    <cellStyle name="Date [mmm-yyyy] 2 2 2 2 5" xfId="9078" xr:uid="{00000000-0005-0000-0000-000071030000}"/>
    <cellStyle name="Date [mmm-yyyy] 2 2 2 2 5 2" xfId="5172" xr:uid="{00000000-0005-0000-0000-000071030000}"/>
    <cellStyle name="Date [mmm-yyyy] 2 2 2 2 5 2 2" xfId="24988" xr:uid="{00000000-0005-0000-0000-000071030000}"/>
    <cellStyle name="Date [mmm-yyyy] 2 2 2 2 5 2 3" xfId="43357" xr:uid="{00000000-0005-0000-0000-000071030000}"/>
    <cellStyle name="Date [mmm-yyyy] 2 2 2 2 5 3" xfId="27804" xr:uid="{00000000-0005-0000-0000-000071030000}"/>
    <cellStyle name="Date [mmm-yyyy] 2 2 2 2 5 3 2" xfId="46167" xr:uid="{00000000-0005-0000-0000-000071030000}"/>
    <cellStyle name="Date [mmm-yyyy] 2 2 2 2 5 4" xfId="17978" xr:uid="{00000000-0005-0000-0000-000071030000}"/>
    <cellStyle name="Date [mmm-yyyy] 2 2 2 2 5 5" xfId="36386" xr:uid="{00000000-0005-0000-0000-000071030000}"/>
    <cellStyle name="Date [mmm-yyyy] 2 2 2 2 6" xfId="7955" xr:uid="{00000000-0005-0000-0000-000071030000}"/>
    <cellStyle name="Date [mmm-yyyy] 2 2 2 2 6 2" xfId="27185" xr:uid="{00000000-0005-0000-0000-000071030000}"/>
    <cellStyle name="Date [mmm-yyyy] 2 2 2 2 6 3" xfId="45550" xr:uid="{00000000-0005-0000-0000-000071030000}"/>
    <cellStyle name="Date [mmm-yyyy] 2 2 2 2 7" xfId="8399" xr:uid="{00000000-0005-0000-0000-000071030000}"/>
    <cellStyle name="Date [mmm-yyyy] 2 2 2 2 7 2" xfId="27462" xr:uid="{00000000-0005-0000-0000-000071030000}"/>
    <cellStyle name="Date [mmm-yyyy] 2 2 2 2 7 3" xfId="45826" xr:uid="{00000000-0005-0000-0000-000071030000}"/>
    <cellStyle name="Date [mmm-yyyy] 2 2 2 2 8" xfId="18863" xr:uid="{00000000-0005-0000-0000-000071030000}"/>
    <cellStyle name="Date [mmm-yyyy] 2 2 2 2 8 2" xfId="37272" xr:uid="{00000000-0005-0000-0000-000071030000}"/>
    <cellStyle name="Date [mmm-yyyy] 2 2 2 2 9" xfId="7876" xr:uid="{00000000-0005-0000-0000-000071030000}"/>
    <cellStyle name="Date [mmm-yyyy] 2 2 2 3" xfId="1754" xr:uid="{00000000-0005-0000-0000-000072030000}"/>
    <cellStyle name="Date [mmm-yyyy] 2 2 2 3 10" xfId="10894" xr:uid="{00000000-0005-0000-0000-000072030000}"/>
    <cellStyle name="Date [mmm-yyyy] 2 2 2 3 2" xfId="3651" xr:uid="{00000000-0005-0000-0000-000072030000}"/>
    <cellStyle name="Date [mmm-yyyy] 2 2 2 3 2 2" xfId="5824" xr:uid="{00000000-0005-0000-0000-000072030000}"/>
    <cellStyle name="Date [mmm-yyyy] 2 2 2 3 2 2 2" xfId="12188" xr:uid="{00000000-0005-0000-0000-000072030000}"/>
    <cellStyle name="Date [mmm-yyyy] 2 2 2 3 2 2 2 2" xfId="30635" xr:uid="{00000000-0005-0000-0000-000072030000}"/>
    <cellStyle name="Date [mmm-yyyy] 2 2 2 3 2 2 2 3" xfId="48998" xr:uid="{00000000-0005-0000-0000-000072030000}"/>
    <cellStyle name="Date [mmm-yyyy] 2 2 2 3 2 2 3" xfId="16514" xr:uid="{00000000-0005-0000-0000-000072030000}"/>
    <cellStyle name="Date [mmm-yyyy] 2 2 2 3 2 2 3 2" xfId="34886" xr:uid="{00000000-0005-0000-0000-000072030000}"/>
    <cellStyle name="Date [mmm-yyyy] 2 2 2 3 2 2 3 3" xfId="53249" xr:uid="{00000000-0005-0000-0000-000072030000}"/>
    <cellStyle name="Date [mmm-yyyy] 2 2 2 3 2 2 4" xfId="25633" xr:uid="{00000000-0005-0000-0000-000072030000}"/>
    <cellStyle name="Date [mmm-yyyy] 2 2 2 3 2 2 4 2" xfId="44002" xr:uid="{00000000-0005-0000-0000-000072030000}"/>
    <cellStyle name="Date [mmm-yyyy] 2 2 2 3 2 2 5" xfId="21954" xr:uid="{00000000-0005-0000-0000-000072030000}"/>
    <cellStyle name="Date [mmm-yyyy] 2 2 2 3 2 2 6" xfId="40333" xr:uid="{00000000-0005-0000-0000-000072030000}"/>
    <cellStyle name="Date [mmm-yyyy] 2 2 2 3 2 3" xfId="6650" xr:uid="{00000000-0005-0000-0000-000072030000}"/>
    <cellStyle name="Date [mmm-yyyy] 2 2 2 3 2 3 2" xfId="12941" xr:uid="{00000000-0005-0000-0000-000072030000}"/>
    <cellStyle name="Date [mmm-yyyy] 2 2 2 3 2 3 2 2" xfId="31367" xr:uid="{00000000-0005-0000-0000-000072030000}"/>
    <cellStyle name="Date [mmm-yyyy] 2 2 2 3 2 3 2 3" xfId="49730" xr:uid="{00000000-0005-0000-0000-000072030000}"/>
    <cellStyle name="Date [mmm-yyyy] 2 2 2 3 2 3 3" xfId="17252" xr:uid="{00000000-0005-0000-0000-000072030000}"/>
    <cellStyle name="Date [mmm-yyyy] 2 2 2 3 2 3 3 2" xfId="35600" xr:uid="{00000000-0005-0000-0000-000072030000}"/>
    <cellStyle name="Date [mmm-yyyy] 2 2 2 3 2 3 3 3" xfId="53963" xr:uid="{00000000-0005-0000-0000-000072030000}"/>
    <cellStyle name="Date [mmm-yyyy] 2 2 2 3 2 3 4" xfId="26385" xr:uid="{00000000-0005-0000-0000-000072030000}"/>
    <cellStyle name="Date [mmm-yyyy] 2 2 2 3 2 3 4 2" xfId="44754" xr:uid="{00000000-0005-0000-0000-000072030000}"/>
    <cellStyle name="Date [mmm-yyyy] 2 2 2 3 2 3 5" xfId="22678" xr:uid="{00000000-0005-0000-0000-000072030000}"/>
    <cellStyle name="Date [mmm-yyyy] 2 2 2 3 2 3 6" xfId="41047" xr:uid="{00000000-0005-0000-0000-000072030000}"/>
    <cellStyle name="Date [mmm-yyyy] 2 2 2 3 2 4" xfId="10364" xr:uid="{00000000-0005-0000-0000-000072030000}"/>
    <cellStyle name="Date [mmm-yyyy] 2 2 2 3 2 4 2" xfId="14421" xr:uid="{00000000-0005-0000-0000-000072030000}"/>
    <cellStyle name="Date [mmm-yyyy] 2 2 2 3 2 4 2 2" xfId="32837" xr:uid="{00000000-0005-0000-0000-000072030000}"/>
    <cellStyle name="Date [mmm-yyyy] 2 2 2 3 2 4 2 3" xfId="51200" xr:uid="{00000000-0005-0000-0000-000072030000}"/>
    <cellStyle name="Date [mmm-yyyy] 2 2 2 3 2 4 3" xfId="29075" xr:uid="{00000000-0005-0000-0000-000072030000}"/>
    <cellStyle name="Date [mmm-yyyy] 2 2 2 3 2 4 3 2" xfId="47438" xr:uid="{00000000-0005-0000-0000-000072030000}"/>
    <cellStyle name="Date [mmm-yyyy] 2 2 2 3 2 4 4" xfId="19878" xr:uid="{00000000-0005-0000-0000-000072030000}"/>
    <cellStyle name="Date [mmm-yyyy] 2 2 2 3 2 4 5" xfId="38284" xr:uid="{00000000-0005-0000-0000-000072030000}"/>
    <cellStyle name="Date [mmm-yyyy] 2 2 2 3 2 5" xfId="9572" xr:uid="{00000000-0005-0000-0000-000072030000}"/>
    <cellStyle name="Date [mmm-yyyy] 2 2 2 3 2 5 2" xfId="28289" xr:uid="{00000000-0005-0000-0000-000072030000}"/>
    <cellStyle name="Date [mmm-yyyy] 2 2 2 3 2 5 3" xfId="46652" xr:uid="{00000000-0005-0000-0000-000072030000}"/>
    <cellStyle name="Date [mmm-yyyy] 2 2 2 3 2 6" xfId="13630" xr:uid="{00000000-0005-0000-0000-000072030000}"/>
    <cellStyle name="Date [mmm-yyyy] 2 2 2 3 2 6 2" xfId="32051" xr:uid="{00000000-0005-0000-0000-000072030000}"/>
    <cellStyle name="Date [mmm-yyyy] 2 2 2 3 2 6 3" xfId="50414" xr:uid="{00000000-0005-0000-0000-000072030000}"/>
    <cellStyle name="Date [mmm-yyyy] 2 2 2 3 2 7" xfId="23559" xr:uid="{00000000-0005-0000-0000-000072030000}"/>
    <cellStyle name="Date [mmm-yyyy] 2 2 2 3 2 7 2" xfId="41928" xr:uid="{00000000-0005-0000-0000-000072030000}"/>
    <cellStyle name="Date [mmm-yyyy] 2 2 2 3 2 8" xfId="18671" xr:uid="{00000000-0005-0000-0000-000072030000}"/>
    <cellStyle name="Date [mmm-yyyy] 2 2 2 3 2 9" xfId="37081" xr:uid="{00000000-0005-0000-0000-000072030000}"/>
    <cellStyle name="Date [mmm-yyyy] 2 2 2 3 3" xfId="4691" xr:uid="{00000000-0005-0000-0000-000072030000}"/>
    <cellStyle name="Date [mmm-yyyy] 2 2 2 3 3 2" xfId="11275" xr:uid="{00000000-0005-0000-0000-000072030000}"/>
    <cellStyle name="Date [mmm-yyyy] 2 2 2 3 3 2 2" xfId="29887" xr:uid="{00000000-0005-0000-0000-000072030000}"/>
    <cellStyle name="Date [mmm-yyyy] 2 2 2 3 3 2 3" xfId="48250" xr:uid="{00000000-0005-0000-0000-000072030000}"/>
    <cellStyle name="Date [mmm-yyyy] 2 2 2 3 3 3" xfId="15417" xr:uid="{00000000-0005-0000-0000-000072030000}"/>
    <cellStyle name="Date [mmm-yyyy] 2 2 2 3 3 3 2" xfId="33810" xr:uid="{00000000-0005-0000-0000-000072030000}"/>
    <cellStyle name="Date [mmm-yyyy] 2 2 2 3 3 3 3" xfId="52173" xr:uid="{00000000-0005-0000-0000-000072030000}"/>
    <cellStyle name="Date [mmm-yyyy] 2 2 2 3 3 4" xfId="24541" xr:uid="{00000000-0005-0000-0000-000072030000}"/>
    <cellStyle name="Date [mmm-yyyy] 2 2 2 3 3 4 2" xfId="42910" xr:uid="{00000000-0005-0000-0000-000072030000}"/>
    <cellStyle name="Date [mmm-yyyy] 2 2 2 3 3 5" xfId="20868" xr:uid="{00000000-0005-0000-0000-000072030000}"/>
    <cellStyle name="Date [mmm-yyyy] 2 2 2 3 3 6" xfId="39257" xr:uid="{00000000-0005-0000-0000-000072030000}"/>
    <cellStyle name="Date [mmm-yyyy] 2 2 2 3 4" xfId="4867" xr:uid="{00000000-0005-0000-0000-000072030000}"/>
    <cellStyle name="Date [mmm-yyyy] 2 2 2 3 4 2" xfId="11425" xr:uid="{00000000-0005-0000-0000-000072030000}"/>
    <cellStyle name="Date [mmm-yyyy] 2 2 2 3 4 2 2" xfId="30015" xr:uid="{00000000-0005-0000-0000-000072030000}"/>
    <cellStyle name="Date [mmm-yyyy] 2 2 2 3 4 2 3" xfId="48378" xr:uid="{00000000-0005-0000-0000-000072030000}"/>
    <cellStyle name="Date [mmm-yyyy] 2 2 2 3 4 3" xfId="15593" xr:uid="{00000000-0005-0000-0000-000072030000}"/>
    <cellStyle name="Date [mmm-yyyy] 2 2 2 3 4 3 2" xfId="33984" xr:uid="{00000000-0005-0000-0000-000072030000}"/>
    <cellStyle name="Date [mmm-yyyy] 2 2 2 3 4 3 3" xfId="52347" xr:uid="{00000000-0005-0000-0000-000072030000}"/>
    <cellStyle name="Date [mmm-yyyy] 2 2 2 3 4 4" xfId="24715" xr:uid="{00000000-0005-0000-0000-000072030000}"/>
    <cellStyle name="Date [mmm-yyyy] 2 2 2 3 4 4 2" xfId="43084" xr:uid="{00000000-0005-0000-0000-000072030000}"/>
    <cellStyle name="Date [mmm-yyyy] 2 2 2 3 4 5" xfId="21042" xr:uid="{00000000-0005-0000-0000-000072030000}"/>
    <cellStyle name="Date [mmm-yyyy] 2 2 2 3 4 6" xfId="39431" xr:uid="{00000000-0005-0000-0000-000072030000}"/>
    <cellStyle name="Date [mmm-yyyy] 2 2 2 3 5" xfId="9070" xr:uid="{00000000-0005-0000-0000-000072030000}"/>
    <cellStyle name="Date [mmm-yyyy] 2 2 2 3 5 2" xfId="6272" xr:uid="{00000000-0005-0000-0000-000072030000}"/>
    <cellStyle name="Date [mmm-yyyy] 2 2 2 3 5 2 2" xfId="26022" xr:uid="{00000000-0005-0000-0000-000072030000}"/>
    <cellStyle name="Date [mmm-yyyy] 2 2 2 3 5 2 3" xfId="44391" xr:uid="{00000000-0005-0000-0000-000072030000}"/>
    <cellStyle name="Date [mmm-yyyy] 2 2 2 3 5 3" xfId="27796" xr:uid="{00000000-0005-0000-0000-000072030000}"/>
    <cellStyle name="Date [mmm-yyyy] 2 2 2 3 5 3 2" xfId="46159" xr:uid="{00000000-0005-0000-0000-000072030000}"/>
    <cellStyle name="Date [mmm-yyyy] 2 2 2 3 5 4" xfId="17970" xr:uid="{00000000-0005-0000-0000-000072030000}"/>
    <cellStyle name="Date [mmm-yyyy] 2 2 2 3 5 5" xfId="36378" xr:uid="{00000000-0005-0000-0000-000072030000}"/>
    <cellStyle name="Date [mmm-yyyy] 2 2 2 3 6" xfId="7985" xr:uid="{00000000-0005-0000-0000-000072030000}"/>
    <cellStyle name="Date [mmm-yyyy] 2 2 2 3 6 2" xfId="27215" xr:uid="{00000000-0005-0000-0000-000072030000}"/>
    <cellStyle name="Date [mmm-yyyy] 2 2 2 3 6 3" xfId="45580" xr:uid="{00000000-0005-0000-0000-000072030000}"/>
    <cellStyle name="Date [mmm-yyyy] 2 2 2 3 7" xfId="7620" xr:uid="{00000000-0005-0000-0000-000072030000}"/>
    <cellStyle name="Date [mmm-yyyy] 2 2 2 3 7 2" xfId="26915" xr:uid="{00000000-0005-0000-0000-000072030000}"/>
    <cellStyle name="Date [mmm-yyyy] 2 2 2 3 7 3" xfId="45280" xr:uid="{00000000-0005-0000-0000-000072030000}"/>
    <cellStyle name="Date [mmm-yyyy] 2 2 2 3 8" xfId="18903" xr:uid="{00000000-0005-0000-0000-000072030000}"/>
    <cellStyle name="Date [mmm-yyyy] 2 2 2 3 8 2" xfId="37312" xr:uid="{00000000-0005-0000-0000-000072030000}"/>
    <cellStyle name="Date [mmm-yyyy] 2 2 2 3 9" xfId="10620" xr:uid="{00000000-0005-0000-0000-000072030000}"/>
    <cellStyle name="Date [mmm-yyyy] 2 2 2 4" xfId="1782" xr:uid="{00000000-0005-0000-0000-000073030000}"/>
    <cellStyle name="Date [mmm-yyyy] 2 2 2 4 10" xfId="7857" xr:uid="{00000000-0005-0000-0000-000073030000}"/>
    <cellStyle name="Date [mmm-yyyy] 2 2 2 4 2" xfId="3679" xr:uid="{00000000-0005-0000-0000-000073030000}"/>
    <cellStyle name="Date [mmm-yyyy] 2 2 2 4 2 2" xfId="5852" xr:uid="{00000000-0005-0000-0000-000073030000}"/>
    <cellStyle name="Date [mmm-yyyy] 2 2 2 4 2 2 2" xfId="12216" xr:uid="{00000000-0005-0000-0000-000073030000}"/>
    <cellStyle name="Date [mmm-yyyy] 2 2 2 4 2 2 2 2" xfId="30663" xr:uid="{00000000-0005-0000-0000-000073030000}"/>
    <cellStyle name="Date [mmm-yyyy] 2 2 2 4 2 2 2 3" xfId="49026" xr:uid="{00000000-0005-0000-0000-000073030000}"/>
    <cellStyle name="Date [mmm-yyyy] 2 2 2 4 2 2 3" xfId="16542" xr:uid="{00000000-0005-0000-0000-000073030000}"/>
    <cellStyle name="Date [mmm-yyyy] 2 2 2 4 2 2 3 2" xfId="34914" xr:uid="{00000000-0005-0000-0000-000073030000}"/>
    <cellStyle name="Date [mmm-yyyy] 2 2 2 4 2 2 3 3" xfId="53277" xr:uid="{00000000-0005-0000-0000-000073030000}"/>
    <cellStyle name="Date [mmm-yyyy] 2 2 2 4 2 2 4" xfId="25661" xr:uid="{00000000-0005-0000-0000-000073030000}"/>
    <cellStyle name="Date [mmm-yyyy] 2 2 2 4 2 2 4 2" xfId="44030" xr:uid="{00000000-0005-0000-0000-000073030000}"/>
    <cellStyle name="Date [mmm-yyyy] 2 2 2 4 2 2 5" xfId="21982" xr:uid="{00000000-0005-0000-0000-000073030000}"/>
    <cellStyle name="Date [mmm-yyyy] 2 2 2 4 2 2 6" xfId="40361" xr:uid="{00000000-0005-0000-0000-000073030000}"/>
    <cellStyle name="Date [mmm-yyyy] 2 2 2 4 2 3" xfId="6678" xr:uid="{00000000-0005-0000-0000-000073030000}"/>
    <cellStyle name="Date [mmm-yyyy] 2 2 2 4 2 3 2" xfId="12969" xr:uid="{00000000-0005-0000-0000-000073030000}"/>
    <cellStyle name="Date [mmm-yyyy] 2 2 2 4 2 3 2 2" xfId="31395" xr:uid="{00000000-0005-0000-0000-000073030000}"/>
    <cellStyle name="Date [mmm-yyyy] 2 2 2 4 2 3 2 3" xfId="49758" xr:uid="{00000000-0005-0000-0000-000073030000}"/>
    <cellStyle name="Date [mmm-yyyy] 2 2 2 4 2 3 3" xfId="17280" xr:uid="{00000000-0005-0000-0000-000073030000}"/>
    <cellStyle name="Date [mmm-yyyy] 2 2 2 4 2 3 3 2" xfId="35628" xr:uid="{00000000-0005-0000-0000-000073030000}"/>
    <cellStyle name="Date [mmm-yyyy] 2 2 2 4 2 3 3 3" xfId="53991" xr:uid="{00000000-0005-0000-0000-000073030000}"/>
    <cellStyle name="Date [mmm-yyyy] 2 2 2 4 2 3 4" xfId="26413" xr:uid="{00000000-0005-0000-0000-000073030000}"/>
    <cellStyle name="Date [mmm-yyyy] 2 2 2 4 2 3 4 2" xfId="44782" xr:uid="{00000000-0005-0000-0000-000073030000}"/>
    <cellStyle name="Date [mmm-yyyy] 2 2 2 4 2 3 5" xfId="22706" xr:uid="{00000000-0005-0000-0000-000073030000}"/>
    <cellStyle name="Date [mmm-yyyy] 2 2 2 4 2 3 6" xfId="41075" xr:uid="{00000000-0005-0000-0000-000073030000}"/>
    <cellStyle name="Date [mmm-yyyy] 2 2 2 4 2 4" xfId="10392" xr:uid="{00000000-0005-0000-0000-000073030000}"/>
    <cellStyle name="Date [mmm-yyyy] 2 2 2 4 2 4 2" xfId="14449" xr:uid="{00000000-0005-0000-0000-000073030000}"/>
    <cellStyle name="Date [mmm-yyyy] 2 2 2 4 2 4 2 2" xfId="32865" xr:uid="{00000000-0005-0000-0000-000073030000}"/>
    <cellStyle name="Date [mmm-yyyy] 2 2 2 4 2 4 2 3" xfId="51228" xr:uid="{00000000-0005-0000-0000-000073030000}"/>
    <cellStyle name="Date [mmm-yyyy] 2 2 2 4 2 4 3" xfId="29103" xr:uid="{00000000-0005-0000-0000-000073030000}"/>
    <cellStyle name="Date [mmm-yyyy] 2 2 2 4 2 4 3 2" xfId="47466" xr:uid="{00000000-0005-0000-0000-000073030000}"/>
    <cellStyle name="Date [mmm-yyyy] 2 2 2 4 2 4 4" xfId="19906" xr:uid="{00000000-0005-0000-0000-000073030000}"/>
    <cellStyle name="Date [mmm-yyyy] 2 2 2 4 2 4 5" xfId="38312" xr:uid="{00000000-0005-0000-0000-000073030000}"/>
    <cellStyle name="Date [mmm-yyyy] 2 2 2 4 2 5" xfId="9600" xr:uid="{00000000-0005-0000-0000-000073030000}"/>
    <cellStyle name="Date [mmm-yyyy] 2 2 2 4 2 5 2" xfId="28317" xr:uid="{00000000-0005-0000-0000-000073030000}"/>
    <cellStyle name="Date [mmm-yyyy] 2 2 2 4 2 5 3" xfId="46680" xr:uid="{00000000-0005-0000-0000-000073030000}"/>
    <cellStyle name="Date [mmm-yyyy] 2 2 2 4 2 6" xfId="13658" xr:uid="{00000000-0005-0000-0000-000073030000}"/>
    <cellStyle name="Date [mmm-yyyy] 2 2 2 4 2 6 2" xfId="32079" xr:uid="{00000000-0005-0000-0000-000073030000}"/>
    <cellStyle name="Date [mmm-yyyy] 2 2 2 4 2 6 3" xfId="50442" xr:uid="{00000000-0005-0000-0000-000073030000}"/>
    <cellStyle name="Date [mmm-yyyy] 2 2 2 4 2 7" xfId="23587" xr:uid="{00000000-0005-0000-0000-000073030000}"/>
    <cellStyle name="Date [mmm-yyyy] 2 2 2 4 2 7 2" xfId="41956" xr:uid="{00000000-0005-0000-0000-000073030000}"/>
    <cellStyle name="Date [mmm-yyyy] 2 2 2 4 2 8" xfId="18699" xr:uid="{00000000-0005-0000-0000-000073030000}"/>
    <cellStyle name="Date [mmm-yyyy] 2 2 2 4 2 9" xfId="37109" xr:uid="{00000000-0005-0000-0000-000073030000}"/>
    <cellStyle name="Date [mmm-yyyy] 2 2 2 4 3" xfId="4719" xr:uid="{00000000-0005-0000-0000-000073030000}"/>
    <cellStyle name="Date [mmm-yyyy] 2 2 2 4 3 2" xfId="11303" xr:uid="{00000000-0005-0000-0000-000073030000}"/>
    <cellStyle name="Date [mmm-yyyy] 2 2 2 4 3 2 2" xfId="29915" xr:uid="{00000000-0005-0000-0000-000073030000}"/>
    <cellStyle name="Date [mmm-yyyy] 2 2 2 4 3 2 3" xfId="48278" xr:uid="{00000000-0005-0000-0000-000073030000}"/>
    <cellStyle name="Date [mmm-yyyy] 2 2 2 4 3 3" xfId="15445" xr:uid="{00000000-0005-0000-0000-000073030000}"/>
    <cellStyle name="Date [mmm-yyyy] 2 2 2 4 3 3 2" xfId="33838" xr:uid="{00000000-0005-0000-0000-000073030000}"/>
    <cellStyle name="Date [mmm-yyyy] 2 2 2 4 3 3 3" xfId="52201" xr:uid="{00000000-0005-0000-0000-000073030000}"/>
    <cellStyle name="Date [mmm-yyyy] 2 2 2 4 3 4" xfId="24569" xr:uid="{00000000-0005-0000-0000-000073030000}"/>
    <cellStyle name="Date [mmm-yyyy] 2 2 2 4 3 4 2" xfId="42938" xr:uid="{00000000-0005-0000-0000-000073030000}"/>
    <cellStyle name="Date [mmm-yyyy] 2 2 2 4 3 5" xfId="20896" xr:uid="{00000000-0005-0000-0000-000073030000}"/>
    <cellStyle name="Date [mmm-yyyy] 2 2 2 4 3 6" xfId="39285" xr:uid="{00000000-0005-0000-0000-000073030000}"/>
    <cellStyle name="Date [mmm-yyyy] 2 2 2 4 4" xfId="4860" xr:uid="{00000000-0005-0000-0000-000073030000}"/>
    <cellStyle name="Date [mmm-yyyy] 2 2 2 4 4 2" xfId="11418" xr:uid="{00000000-0005-0000-0000-000073030000}"/>
    <cellStyle name="Date [mmm-yyyy] 2 2 2 4 4 2 2" xfId="30008" xr:uid="{00000000-0005-0000-0000-000073030000}"/>
    <cellStyle name="Date [mmm-yyyy] 2 2 2 4 4 2 3" xfId="48371" xr:uid="{00000000-0005-0000-0000-000073030000}"/>
    <cellStyle name="Date [mmm-yyyy] 2 2 2 4 4 3" xfId="15586" xr:uid="{00000000-0005-0000-0000-000073030000}"/>
    <cellStyle name="Date [mmm-yyyy] 2 2 2 4 4 3 2" xfId="33977" xr:uid="{00000000-0005-0000-0000-000073030000}"/>
    <cellStyle name="Date [mmm-yyyy] 2 2 2 4 4 3 3" xfId="52340" xr:uid="{00000000-0005-0000-0000-000073030000}"/>
    <cellStyle name="Date [mmm-yyyy] 2 2 2 4 4 4" xfId="24708" xr:uid="{00000000-0005-0000-0000-000073030000}"/>
    <cellStyle name="Date [mmm-yyyy] 2 2 2 4 4 4 2" xfId="43077" xr:uid="{00000000-0005-0000-0000-000073030000}"/>
    <cellStyle name="Date [mmm-yyyy] 2 2 2 4 4 5" xfId="21035" xr:uid="{00000000-0005-0000-0000-000073030000}"/>
    <cellStyle name="Date [mmm-yyyy] 2 2 2 4 4 6" xfId="39424" xr:uid="{00000000-0005-0000-0000-000073030000}"/>
    <cellStyle name="Date [mmm-yyyy] 2 2 2 4 5" xfId="9692" xr:uid="{00000000-0005-0000-0000-000073030000}"/>
    <cellStyle name="Date [mmm-yyyy] 2 2 2 4 5 2" xfId="13749" xr:uid="{00000000-0005-0000-0000-000073030000}"/>
    <cellStyle name="Date [mmm-yyyy] 2 2 2 4 5 2 2" xfId="32170" xr:uid="{00000000-0005-0000-0000-000073030000}"/>
    <cellStyle name="Date [mmm-yyyy] 2 2 2 4 5 2 3" xfId="50533" xr:uid="{00000000-0005-0000-0000-000073030000}"/>
    <cellStyle name="Date [mmm-yyyy] 2 2 2 4 5 3" xfId="28408" xr:uid="{00000000-0005-0000-0000-000073030000}"/>
    <cellStyle name="Date [mmm-yyyy] 2 2 2 4 5 3 2" xfId="46771" xr:uid="{00000000-0005-0000-0000-000073030000}"/>
    <cellStyle name="Date [mmm-yyyy] 2 2 2 4 5 4" xfId="18839" xr:uid="{00000000-0005-0000-0000-000073030000}"/>
    <cellStyle name="Date [mmm-yyyy] 2 2 2 4 5 5" xfId="37248" xr:uid="{00000000-0005-0000-0000-000073030000}"/>
    <cellStyle name="Date [mmm-yyyy] 2 2 2 4 6" xfId="8013" xr:uid="{00000000-0005-0000-0000-000073030000}"/>
    <cellStyle name="Date [mmm-yyyy] 2 2 2 4 6 2" xfId="27243" xr:uid="{00000000-0005-0000-0000-000073030000}"/>
    <cellStyle name="Date [mmm-yyyy] 2 2 2 4 6 3" xfId="45608" xr:uid="{00000000-0005-0000-0000-000073030000}"/>
    <cellStyle name="Date [mmm-yyyy] 2 2 2 4 7" xfId="8630" xr:uid="{00000000-0005-0000-0000-000073030000}"/>
    <cellStyle name="Date [mmm-yyyy] 2 2 2 4 7 2" xfId="27541" xr:uid="{00000000-0005-0000-0000-000073030000}"/>
    <cellStyle name="Date [mmm-yyyy] 2 2 2 4 7 3" xfId="45905" xr:uid="{00000000-0005-0000-0000-000073030000}"/>
    <cellStyle name="Date [mmm-yyyy] 2 2 2 4 8" xfId="17876" xr:uid="{00000000-0005-0000-0000-000073030000}"/>
    <cellStyle name="Date [mmm-yyyy] 2 2 2 4 8 2" xfId="36286" xr:uid="{00000000-0005-0000-0000-000073030000}"/>
    <cellStyle name="Date [mmm-yyyy] 2 2 2 4 9" xfId="8618" xr:uid="{00000000-0005-0000-0000-000073030000}"/>
    <cellStyle name="Date [mmm-yyyy] 2 2 2 5" xfId="3555" xr:uid="{00000000-0005-0000-0000-000070030000}"/>
    <cellStyle name="Date [mmm-yyyy] 2 2 2 5 2" xfId="5728" xr:uid="{00000000-0005-0000-0000-000070030000}"/>
    <cellStyle name="Date [mmm-yyyy] 2 2 2 5 2 2" xfId="12092" xr:uid="{00000000-0005-0000-0000-000070030000}"/>
    <cellStyle name="Date [mmm-yyyy] 2 2 2 5 2 2 2" xfId="30539" xr:uid="{00000000-0005-0000-0000-000070030000}"/>
    <cellStyle name="Date [mmm-yyyy] 2 2 2 5 2 2 3" xfId="48902" xr:uid="{00000000-0005-0000-0000-000070030000}"/>
    <cellStyle name="Date [mmm-yyyy] 2 2 2 5 2 3" xfId="16418" xr:uid="{00000000-0005-0000-0000-000070030000}"/>
    <cellStyle name="Date [mmm-yyyy] 2 2 2 5 2 3 2" xfId="34790" xr:uid="{00000000-0005-0000-0000-000070030000}"/>
    <cellStyle name="Date [mmm-yyyy] 2 2 2 5 2 3 3" xfId="53153" xr:uid="{00000000-0005-0000-0000-000070030000}"/>
    <cellStyle name="Date [mmm-yyyy] 2 2 2 5 2 4" xfId="25537" xr:uid="{00000000-0005-0000-0000-000070030000}"/>
    <cellStyle name="Date [mmm-yyyy] 2 2 2 5 2 4 2" xfId="43906" xr:uid="{00000000-0005-0000-0000-000070030000}"/>
    <cellStyle name="Date [mmm-yyyy] 2 2 2 5 2 5" xfId="21858" xr:uid="{00000000-0005-0000-0000-000070030000}"/>
    <cellStyle name="Date [mmm-yyyy] 2 2 2 5 2 6" xfId="40237" xr:uid="{00000000-0005-0000-0000-000070030000}"/>
    <cellStyle name="Date [mmm-yyyy] 2 2 2 5 3" xfId="6554" xr:uid="{00000000-0005-0000-0000-000070030000}"/>
    <cellStyle name="Date [mmm-yyyy] 2 2 2 5 3 2" xfId="12845" xr:uid="{00000000-0005-0000-0000-000070030000}"/>
    <cellStyle name="Date [mmm-yyyy] 2 2 2 5 3 2 2" xfId="31271" xr:uid="{00000000-0005-0000-0000-000070030000}"/>
    <cellStyle name="Date [mmm-yyyy] 2 2 2 5 3 2 3" xfId="49634" xr:uid="{00000000-0005-0000-0000-000070030000}"/>
    <cellStyle name="Date [mmm-yyyy] 2 2 2 5 3 3" xfId="17156" xr:uid="{00000000-0005-0000-0000-000070030000}"/>
    <cellStyle name="Date [mmm-yyyy] 2 2 2 5 3 3 2" xfId="35504" xr:uid="{00000000-0005-0000-0000-000070030000}"/>
    <cellStyle name="Date [mmm-yyyy] 2 2 2 5 3 3 3" xfId="53867" xr:uid="{00000000-0005-0000-0000-000070030000}"/>
    <cellStyle name="Date [mmm-yyyy] 2 2 2 5 3 4" xfId="26289" xr:uid="{00000000-0005-0000-0000-000070030000}"/>
    <cellStyle name="Date [mmm-yyyy] 2 2 2 5 3 4 2" xfId="44658" xr:uid="{00000000-0005-0000-0000-000070030000}"/>
    <cellStyle name="Date [mmm-yyyy] 2 2 2 5 3 5" xfId="22582" xr:uid="{00000000-0005-0000-0000-000070030000}"/>
    <cellStyle name="Date [mmm-yyyy] 2 2 2 5 3 6" xfId="40951" xr:uid="{00000000-0005-0000-0000-000070030000}"/>
    <cellStyle name="Date [mmm-yyyy] 2 2 2 5 4" xfId="10268" xr:uid="{00000000-0005-0000-0000-000070030000}"/>
    <cellStyle name="Date [mmm-yyyy] 2 2 2 5 4 2" xfId="14325" xr:uid="{00000000-0005-0000-0000-000070030000}"/>
    <cellStyle name="Date [mmm-yyyy] 2 2 2 5 4 2 2" xfId="32741" xr:uid="{00000000-0005-0000-0000-000070030000}"/>
    <cellStyle name="Date [mmm-yyyy] 2 2 2 5 4 2 3" xfId="51104" xr:uid="{00000000-0005-0000-0000-000070030000}"/>
    <cellStyle name="Date [mmm-yyyy] 2 2 2 5 4 3" xfId="28979" xr:uid="{00000000-0005-0000-0000-000070030000}"/>
    <cellStyle name="Date [mmm-yyyy] 2 2 2 5 4 3 2" xfId="47342" xr:uid="{00000000-0005-0000-0000-000070030000}"/>
    <cellStyle name="Date [mmm-yyyy] 2 2 2 5 4 4" xfId="19782" xr:uid="{00000000-0005-0000-0000-000070030000}"/>
    <cellStyle name="Date [mmm-yyyy] 2 2 2 5 4 5" xfId="38188" xr:uid="{00000000-0005-0000-0000-000070030000}"/>
    <cellStyle name="Date [mmm-yyyy] 2 2 2 5 5" xfId="9476" xr:uid="{00000000-0005-0000-0000-000070030000}"/>
    <cellStyle name="Date [mmm-yyyy] 2 2 2 5 5 2" xfId="28193" xr:uid="{00000000-0005-0000-0000-000070030000}"/>
    <cellStyle name="Date [mmm-yyyy] 2 2 2 5 5 3" xfId="46556" xr:uid="{00000000-0005-0000-0000-000070030000}"/>
    <cellStyle name="Date [mmm-yyyy] 2 2 2 5 6" xfId="13534" xr:uid="{00000000-0005-0000-0000-000070030000}"/>
    <cellStyle name="Date [mmm-yyyy] 2 2 2 5 6 2" xfId="31955" xr:uid="{00000000-0005-0000-0000-000070030000}"/>
    <cellStyle name="Date [mmm-yyyy] 2 2 2 5 6 3" xfId="50318" xr:uid="{00000000-0005-0000-0000-000070030000}"/>
    <cellStyle name="Date [mmm-yyyy] 2 2 2 5 7" xfId="23463" xr:uid="{00000000-0005-0000-0000-000070030000}"/>
    <cellStyle name="Date [mmm-yyyy] 2 2 2 5 7 2" xfId="41832" xr:uid="{00000000-0005-0000-0000-000070030000}"/>
    <cellStyle name="Date [mmm-yyyy] 2 2 2 5 8" xfId="18573" xr:uid="{00000000-0005-0000-0000-000070030000}"/>
    <cellStyle name="Date [mmm-yyyy] 2 2 2 5 9" xfId="36983" xr:uid="{00000000-0005-0000-0000-000070030000}"/>
    <cellStyle name="Date [mmm-yyyy] 2 2 2 6" xfId="4586" xr:uid="{00000000-0005-0000-0000-000070030000}"/>
    <cellStyle name="Date [mmm-yyyy] 2 2 2 6 2" xfId="11171" xr:uid="{00000000-0005-0000-0000-000070030000}"/>
    <cellStyle name="Date [mmm-yyyy] 2 2 2 6 2 2" xfId="29785" xr:uid="{00000000-0005-0000-0000-000070030000}"/>
    <cellStyle name="Date [mmm-yyyy] 2 2 2 6 2 3" xfId="48148" xr:uid="{00000000-0005-0000-0000-000070030000}"/>
    <cellStyle name="Date [mmm-yyyy] 2 2 2 6 3" xfId="15312" xr:uid="{00000000-0005-0000-0000-000070030000}"/>
    <cellStyle name="Date [mmm-yyyy] 2 2 2 6 3 2" xfId="33706" xr:uid="{00000000-0005-0000-0000-000070030000}"/>
    <cellStyle name="Date [mmm-yyyy] 2 2 2 6 3 3" xfId="52069" xr:uid="{00000000-0005-0000-0000-000070030000}"/>
    <cellStyle name="Date [mmm-yyyy] 2 2 2 6 4" xfId="24437" xr:uid="{00000000-0005-0000-0000-000070030000}"/>
    <cellStyle name="Date [mmm-yyyy] 2 2 2 6 4 2" xfId="42806" xr:uid="{00000000-0005-0000-0000-000070030000}"/>
    <cellStyle name="Date [mmm-yyyy] 2 2 2 6 5" xfId="20763" xr:uid="{00000000-0005-0000-0000-000070030000}"/>
    <cellStyle name="Date [mmm-yyyy] 2 2 2 6 6" xfId="39153" xr:uid="{00000000-0005-0000-0000-000070030000}"/>
    <cellStyle name="Date [mmm-yyyy] 2 2 2 7" xfId="3973" xr:uid="{00000000-0005-0000-0000-000070030000}"/>
    <cellStyle name="Date [mmm-yyyy] 2 2 2 7 2" xfId="10678" xr:uid="{00000000-0005-0000-0000-000070030000}"/>
    <cellStyle name="Date [mmm-yyyy] 2 2 2 7 2 2" xfId="29384" xr:uid="{00000000-0005-0000-0000-000070030000}"/>
    <cellStyle name="Date [mmm-yyyy] 2 2 2 7 2 3" xfId="47747" xr:uid="{00000000-0005-0000-0000-000070030000}"/>
    <cellStyle name="Date [mmm-yyyy] 2 2 2 7 3" xfId="14736" xr:uid="{00000000-0005-0000-0000-000070030000}"/>
    <cellStyle name="Date [mmm-yyyy] 2 2 2 7 3 2" xfId="33148" xr:uid="{00000000-0005-0000-0000-000070030000}"/>
    <cellStyle name="Date [mmm-yyyy] 2 2 2 7 3 3" xfId="51511" xr:uid="{00000000-0005-0000-0000-000070030000}"/>
    <cellStyle name="Date [mmm-yyyy] 2 2 2 7 4" xfId="23872" xr:uid="{00000000-0005-0000-0000-000070030000}"/>
    <cellStyle name="Date [mmm-yyyy] 2 2 2 7 4 2" xfId="42241" xr:uid="{00000000-0005-0000-0000-000070030000}"/>
    <cellStyle name="Date [mmm-yyyy] 2 2 2 7 5" xfId="20190" xr:uid="{00000000-0005-0000-0000-000070030000}"/>
    <cellStyle name="Date [mmm-yyyy] 2 2 2 7 6" xfId="38595" xr:uid="{00000000-0005-0000-0000-000070030000}"/>
    <cellStyle name="Date [mmm-yyyy] 2 2 2 8" xfId="7882" xr:uid="{00000000-0005-0000-0000-000070030000}"/>
    <cellStyle name="Date [mmm-yyyy] 2 2 2 8 2" xfId="27119" xr:uid="{00000000-0005-0000-0000-000070030000}"/>
    <cellStyle name="Date [mmm-yyyy] 2 2 2 8 3" xfId="45484" xr:uid="{00000000-0005-0000-0000-000070030000}"/>
    <cellStyle name="Date [mmm-yyyy] 2 2 2 9" xfId="8667" xr:uid="{00000000-0005-0000-0000-000070030000}"/>
    <cellStyle name="Date [mmm-yyyy] 2 2 2 9 2" xfId="27573" xr:uid="{00000000-0005-0000-0000-000070030000}"/>
    <cellStyle name="Date [mmm-yyyy] 2 2 2 9 3" xfId="45936" xr:uid="{00000000-0005-0000-0000-000070030000}"/>
    <cellStyle name="Date [mmm-yyyy] 2 2 3" xfId="1515" xr:uid="{00000000-0005-0000-0000-000074030000}"/>
    <cellStyle name="Date [mmm-yyyy] 2 2 3 10" xfId="8258" xr:uid="{00000000-0005-0000-0000-000074030000}"/>
    <cellStyle name="Date [mmm-yyyy] 2 2 3 10 2" xfId="27388" xr:uid="{00000000-0005-0000-0000-000074030000}"/>
    <cellStyle name="Date [mmm-yyyy] 2 2 3 10 3" xfId="45753" xr:uid="{00000000-0005-0000-0000-000074030000}"/>
    <cellStyle name="Date [mmm-yyyy] 2 2 3 11" xfId="11353" xr:uid="{00000000-0005-0000-0000-000074030000}"/>
    <cellStyle name="Date [mmm-yyyy] 2 2 3 12" xfId="8295" xr:uid="{00000000-0005-0000-0000-000074030000}"/>
    <cellStyle name="Date [mmm-yyyy] 2 2 3 2" xfId="1684" xr:uid="{00000000-0005-0000-0000-000075030000}"/>
    <cellStyle name="Date [mmm-yyyy] 2 2 3 2 10" xfId="11698" xr:uid="{00000000-0005-0000-0000-000075030000}"/>
    <cellStyle name="Date [mmm-yyyy] 2 2 3 2 2" xfId="3582" xr:uid="{00000000-0005-0000-0000-000075030000}"/>
    <cellStyle name="Date [mmm-yyyy] 2 2 3 2 2 2" xfId="5755" xr:uid="{00000000-0005-0000-0000-000075030000}"/>
    <cellStyle name="Date [mmm-yyyy] 2 2 3 2 2 2 2" xfId="12119" xr:uid="{00000000-0005-0000-0000-000075030000}"/>
    <cellStyle name="Date [mmm-yyyy] 2 2 3 2 2 2 2 2" xfId="30566" xr:uid="{00000000-0005-0000-0000-000075030000}"/>
    <cellStyle name="Date [mmm-yyyy] 2 2 3 2 2 2 2 3" xfId="48929" xr:uid="{00000000-0005-0000-0000-000075030000}"/>
    <cellStyle name="Date [mmm-yyyy] 2 2 3 2 2 2 3" xfId="16445" xr:uid="{00000000-0005-0000-0000-000075030000}"/>
    <cellStyle name="Date [mmm-yyyy] 2 2 3 2 2 2 3 2" xfId="34817" xr:uid="{00000000-0005-0000-0000-000075030000}"/>
    <cellStyle name="Date [mmm-yyyy] 2 2 3 2 2 2 3 3" xfId="53180" xr:uid="{00000000-0005-0000-0000-000075030000}"/>
    <cellStyle name="Date [mmm-yyyy] 2 2 3 2 2 2 4" xfId="25564" xr:uid="{00000000-0005-0000-0000-000075030000}"/>
    <cellStyle name="Date [mmm-yyyy] 2 2 3 2 2 2 4 2" xfId="43933" xr:uid="{00000000-0005-0000-0000-000075030000}"/>
    <cellStyle name="Date [mmm-yyyy] 2 2 3 2 2 2 5" xfId="21885" xr:uid="{00000000-0005-0000-0000-000075030000}"/>
    <cellStyle name="Date [mmm-yyyy] 2 2 3 2 2 2 6" xfId="40264" xr:uid="{00000000-0005-0000-0000-000075030000}"/>
    <cellStyle name="Date [mmm-yyyy] 2 2 3 2 2 3" xfId="6581" xr:uid="{00000000-0005-0000-0000-000075030000}"/>
    <cellStyle name="Date [mmm-yyyy] 2 2 3 2 2 3 2" xfId="12872" xr:uid="{00000000-0005-0000-0000-000075030000}"/>
    <cellStyle name="Date [mmm-yyyy] 2 2 3 2 2 3 2 2" xfId="31298" xr:uid="{00000000-0005-0000-0000-000075030000}"/>
    <cellStyle name="Date [mmm-yyyy] 2 2 3 2 2 3 2 3" xfId="49661" xr:uid="{00000000-0005-0000-0000-000075030000}"/>
    <cellStyle name="Date [mmm-yyyy] 2 2 3 2 2 3 3" xfId="17183" xr:uid="{00000000-0005-0000-0000-000075030000}"/>
    <cellStyle name="Date [mmm-yyyy] 2 2 3 2 2 3 3 2" xfId="35531" xr:uid="{00000000-0005-0000-0000-000075030000}"/>
    <cellStyle name="Date [mmm-yyyy] 2 2 3 2 2 3 3 3" xfId="53894" xr:uid="{00000000-0005-0000-0000-000075030000}"/>
    <cellStyle name="Date [mmm-yyyy] 2 2 3 2 2 3 4" xfId="26316" xr:uid="{00000000-0005-0000-0000-000075030000}"/>
    <cellStyle name="Date [mmm-yyyy] 2 2 3 2 2 3 4 2" xfId="44685" xr:uid="{00000000-0005-0000-0000-000075030000}"/>
    <cellStyle name="Date [mmm-yyyy] 2 2 3 2 2 3 5" xfId="22609" xr:uid="{00000000-0005-0000-0000-000075030000}"/>
    <cellStyle name="Date [mmm-yyyy] 2 2 3 2 2 3 6" xfId="40978" xr:uid="{00000000-0005-0000-0000-000075030000}"/>
    <cellStyle name="Date [mmm-yyyy] 2 2 3 2 2 4" xfId="10295" xr:uid="{00000000-0005-0000-0000-000075030000}"/>
    <cellStyle name="Date [mmm-yyyy] 2 2 3 2 2 4 2" xfId="14352" xr:uid="{00000000-0005-0000-0000-000075030000}"/>
    <cellStyle name="Date [mmm-yyyy] 2 2 3 2 2 4 2 2" xfId="32768" xr:uid="{00000000-0005-0000-0000-000075030000}"/>
    <cellStyle name="Date [mmm-yyyy] 2 2 3 2 2 4 2 3" xfId="51131" xr:uid="{00000000-0005-0000-0000-000075030000}"/>
    <cellStyle name="Date [mmm-yyyy] 2 2 3 2 2 4 3" xfId="29006" xr:uid="{00000000-0005-0000-0000-000075030000}"/>
    <cellStyle name="Date [mmm-yyyy] 2 2 3 2 2 4 3 2" xfId="47369" xr:uid="{00000000-0005-0000-0000-000075030000}"/>
    <cellStyle name="Date [mmm-yyyy] 2 2 3 2 2 4 4" xfId="19809" xr:uid="{00000000-0005-0000-0000-000075030000}"/>
    <cellStyle name="Date [mmm-yyyy] 2 2 3 2 2 4 5" xfId="38215" xr:uid="{00000000-0005-0000-0000-000075030000}"/>
    <cellStyle name="Date [mmm-yyyy] 2 2 3 2 2 5" xfId="9503" xr:uid="{00000000-0005-0000-0000-000075030000}"/>
    <cellStyle name="Date [mmm-yyyy] 2 2 3 2 2 5 2" xfId="28220" xr:uid="{00000000-0005-0000-0000-000075030000}"/>
    <cellStyle name="Date [mmm-yyyy] 2 2 3 2 2 5 3" xfId="46583" xr:uid="{00000000-0005-0000-0000-000075030000}"/>
    <cellStyle name="Date [mmm-yyyy] 2 2 3 2 2 6" xfId="13561" xr:uid="{00000000-0005-0000-0000-000075030000}"/>
    <cellStyle name="Date [mmm-yyyy] 2 2 3 2 2 6 2" xfId="31982" xr:uid="{00000000-0005-0000-0000-000075030000}"/>
    <cellStyle name="Date [mmm-yyyy] 2 2 3 2 2 6 3" xfId="50345" xr:uid="{00000000-0005-0000-0000-000075030000}"/>
    <cellStyle name="Date [mmm-yyyy] 2 2 3 2 2 7" xfId="23490" xr:uid="{00000000-0005-0000-0000-000075030000}"/>
    <cellStyle name="Date [mmm-yyyy] 2 2 3 2 2 7 2" xfId="41859" xr:uid="{00000000-0005-0000-0000-000075030000}"/>
    <cellStyle name="Date [mmm-yyyy] 2 2 3 2 2 8" xfId="18601" xr:uid="{00000000-0005-0000-0000-000075030000}"/>
    <cellStyle name="Date [mmm-yyyy] 2 2 3 2 2 9" xfId="37011" xr:uid="{00000000-0005-0000-0000-000075030000}"/>
    <cellStyle name="Date [mmm-yyyy] 2 2 3 2 3" xfId="4623" xr:uid="{00000000-0005-0000-0000-000075030000}"/>
    <cellStyle name="Date [mmm-yyyy] 2 2 3 2 3 2" xfId="11207" xr:uid="{00000000-0005-0000-0000-000075030000}"/>
    <cellStyle name="Date [mmm-yyyy] 2 2 3 2 3 2 2" xfId="29819" xr:uid="{00000000-0005-0000-0000-000075030000}"/>
    <cellStyle name="Date [mmm-yyyy] 2 2 3 2 3 2 3" xfId="48182" xr:uid="{00000000-0005-0000-0000-000075030000}"/>
    <cellStyle name="Date [mmm-yyyy] 2 2 3 2 3 3" xfId="15349" xr:uid="{00000000-0005-0000-0000-000075030000}"/>
    <cellStyle name="Date [mmm-yyyy] 2 2 3 2 3 3 2" xfId="33742" xr:uid="{00000000-0005-0000-0000-000075030000}"/>
    <cellStyle name="Date [mmm-yyyy] 2 2 3 2 3 3 3" xfId="52105" xr:uid="{00000000-0005-0000-0000-000075030000}"/>
    <cellStyle name="Date [mmm-yyyy] 2 2 3 2 3 4" xfId="24473" xr:uid="{00000000-0005-0000-0000-000075030000}"/>
    <cellStyle name="Date [mmm-yyyy] 2 2 3 2 3 4 2" xfId="42842" xr:uid="{00000000-0005-0000-0000-000075030000}"/>
    <cellStyle name="Date [mmm-yyyy] 2 2 3 2 3 5" xfId="20800" xr:uid="{00000000-0005-0000-0000-000075030000}"/>
    <cellStyle name="Date [mmm-yyyy] 2 2 3 2 3 6" xfId="39189" xr:uid="{00000000-0005-0000-0000-000075030000}"/>
    <cellStyle name="Date [mmm-yyyy] 2 2 3 2 4" xfId="4746" xr:uid="{00000000-0005-0000-0000-000075030000}"/>
    <cellStyle name="Date [mmm-yyyy] 2 2 3 2 4 2" xfId="11328" xr:uid="{00000000-0005-0000-0000-000075030000}"/>
    <cellStyle name="Date [mmm-yyyy] 2 2 3 2 4 2 2" xfId="29940" xr:uid="{00000000-0005-0000-0000-000075030000}"/>
    <cellStyle name="Date [mmm-yyyy] 2 2 3 2 4 2 3" xfId="48303" xr:uid="{00000000-0005-0000-0000-000075030000}"/>
    <cellStyle name="Date [mmm-yyyy] 2 2 3 2 4 3" xfId="15472" xr:uid="{00000000-0005-0000-0000-000075030000}"/>
    <cellStyle name="Date [mmm-yyyy] 2 2 3 2 4 3 2" xfId="33865" xr:uid="{00000000-0005-0000-0000-000075030000}"/>
    <cellStyle name="Date [mmm-yyyy] 2 2 3 2 4 3 3" xfId="52228" xr:uid="{00000000-0005-0000-0000-000075030000}"/>
    <cellStyle name="Date [mmm-yyyy] 2 2 3 2 4 4" xfId="24596" xr:uid="{00000000-0005-0000-0000-000075030000}"/>
    <cellStyle name="Date [mmm-yyyy] 2 2 3 2 4 4 2" xfId="42965" xr:uid="{00000000-0005-0000-0000-000075030000}"/>
    <cellStyle name="Date [mmm-yyyy] 2 2 3 2 4 5" xfId="20923" xr:uid="{00000000-0005-0000-0000-000075030000}"/>
    <cellStyle name="Date [mmm-yyyy] 2 2 3 2 4 6" xfId="39312" xr:uid="{00000000-0005-0000-0000-000075030000}"/>
    <cellStyle name="Date [mmm-yyyy] 2 2 3 2 5" xfId="9813" xr:uid="{00000000-0005-0000-0000-000075030000}"/>
    <cellStyle name="Date [mmm-yyyy] 2 2 3 2 5 2" xfId="13870" xr:uid="{00000000-0005-0000-0000-000075030000}"/>
    <cellStyle name="Date [mmm-yyyy] 2 2 3 2 5 2 2" xfId="32290" xr:uid="{00000000-0005-0000-0000-000075030000}"/>
    <cellStyle name="Date [mmm-yyyy] 2 2 3 2 5 2 3" xfId="50653" xr:uid="{00000000-0005-0000-0000-000075030000}"/>
    <cellStyle name="Date [mmm-yyyy] 2 2 3 2 5 3" xfId="28528" xr:uid="{00000000-0005-0000-0000-000075030000}"/>
    <cellStyle name="Date [mmm-yyyy] 2 2 3 2 5 3 2" xfId="46891" xr:uid="{00000000-0005-0000-0000-000075030000}"/>
    <cellStyle name="Date [mmm-yyyy] 2 2 3 2 5 4" xfId="19028" xr:uid="{00000000-0005-0000-0000-000075030000}"/>
    <cellStyle name="Date [mmm-yyyy] 2 2 3 2 5 5" xfId="37437" xr:uid="{00000000-0005-0000-0000-000075030000}"/>
    <cellStyle name="Date [mmm-yyyy] 2 2 3 2 6" xfId="7917" xr:uid="{00000000-0005-0000-0000-000075030000}"/>
    <cellStyle name="Date [mmm-yyyy] 2 2 3 2 6 2" xfId="27149" xr:uid="{00000000-0005-0000-0000-000075030000}"/>
    <cellStyle name="Date [mmm-yyyy] 2 2 3 2 6 3" xfId="45514" xr:uid="{00000000-0005-0000-0000-000075030000}"/>
    <cellStyle name="Date [mmm-yyyy] 2 2 3 2 7" xfId="7477" xr:uid="{00000000-0005-0000-0000-000075030000}"/>
    <cellStyle name="Date [mmm-yyyy] 2 2 3 2 7 2" xfId="26843" xr:uid="{00000000-0005-0000-0000-000075030000}"/>
    <cellStyle name="Date [mmm-yyyy] 2 2 3 2 7 3" xfId="45208" xr:uid="{00000000-0005-0000-0000-000075030000}"/>
    <cellStyle name="Date [mmm-yyyy] 2 2 3 2 8" xfId="17907" xr:uid="{00000000-0005-0000-0000-000075030000}"/>
    <cellStyle name="Date [mmm-yyyy] 2 2 3 2 8 2" xfId="36316" xr:uid="{00000000-0005-0000-0000-000075030000}"/>
    <cellStyle name="Date [mmm-yyyy] 2 2 3 2 9" xfId="11340" xr:uid="{00000000-0005-0000-0000-000075030000}"/>
    <cellStyle name="Date [mmm-yyyy] 2 2 3 3" xfId="1446" xr:uid="{00000000-0005-0000-0000-000076030000}"/>
    <cellStyle name="Date [mmm-yyyy] 2 2 3 3 10" xfId="8787" xr:uid="{00000000-0005-0000-0000-000076030000}"/>
    <cellStyle name="Date [mmm-yyyy] 2 2 3 3 2" xfId="3465" xr:uid="{00000000-0005-0000-0000-000076030000}"/>
    <cellStyle name="Date [mmm-yyyy] 2 2 3 3 2 2" xfId="5640" xr:uid="{00000000-0005-0000-0000-000076030000}"/>
    <cellStyle name="Date [mmm-yyyy] 2 2 3 3 2 2 2" xfId="12004" xr:uid="{00000000-0005-0000-0000-000076030000}"/>
    <cellStyle name="Date [mmm-yyyy] 2 2 3 3 2 2 2 2" xfId="30451" xr:uid="{00000000-0005-0000-0000-000076030000}"/>
    <cellStyle name="Date [mmm-yyyy] 2 2 3 3 2 2 2 3" xfId="48814" xr:uid="{00000000-0005-0000-0000-000076030000}"/>
    <cellStyle name="Date [mmm-yyyy] 2 2 3 3 2 2 3" xfId="16330" xr:uid="{00000000-0005-0000-0000-000076030000}"/>
    <cellStyle name="Date [mmm-yyyy] 2 2 3 3 2 2 3 2" xfId="34702" xr:uid="{00000000-0005-0000-0000-000076030000}"/>
    <cellStyle name="Date [mmm-yyyy] 2 2 3 3 2 2 3 3" xfId="53065" xr:uid="{00000000-0005-0000-0000-000076030000}"/>
    <cellStyle name="Date [mmm-yyyy] 2 2 3 3 2 2 4" xfId="25449" xr:uid="{00000000-0005-0000-0000-000076030000}"/>
    <cellStyle name="Date [mmm-yyyy] 2 2 3 3 2 2 4 2" xfId="43818" xr:uid="{00000000-0005-0000-0000-000076030000}"/>
    <cellStyle name="Date [mmm-yyyy] 2 2 3 3 2 2 5" xfId="21770" xr:uid="{00000000-0005-0000-0000-000076030000}"/>
    <cellStyle name="Date [mmm-yyyy] 2 2 3 3 2 2 6" xfId="40149" xr:uid="{00000000-0005-0000-0000-000076030000}"/>
    <cellStyle name="Date [mmm-yyyy] 2 2 3 3 2 3" xfId="6464" xr:uid="{00000000-0005-0000-0000-000076030000}"/>
    <cellStyle name="Date [mmm-yyyy] 2 2 3 3 2 3 2" xfId="12755" xr:uid="{00000000-0005-0000-0000-000076030000}"/>
    <cellStyle name="Date [mmm-yyyy] 2 2 3 3 2 3 2 2" xfId="31181" xr:uid="{00000000-0005-0000-0000-000076030000}"/>
    <cellStyle name="Date [mmm-yyyy] 2 2 3 3 2 3 2 3" xfId="49544" xr:uid="{00000000-0005-0000-0000-000076030000}"/>
    <cellStyle name="Date [mmm-yyyy] 2 2 3 3 2 3 3" xfId="17066" xr:uid="{00000000-0005-0000-0000-000076030000}"/>
    <cellStyle name="Date [mmm-yyyy] 2 2 3 3 2 3 3 2" xfId="35414" xr:uid="{00000000-0005-0000-0000-000076030000}"/>
    <cellStyle name="Date [mmm-yyyy] 2 2 3 3 2 3 3 3" xfId="53777" xr:uid="{00000000-0005-0000-0000-000076030000}"/>
    <cellStyle name="Date [mmm-yyyy] 2 2 3 3 2 3 4" xfId="26199" xr:uid="{00000000-0005-0000-0000-000076030000}"/>
    <cellStyle name="Date [mmm-yyyy] 2 2 3 3 2 3 4 2" xfId="44568" xr:uid="{00000000-0005-0000-0000-000076030000}"/>
    <cellStyle name="Date [mmm-yyyy] 2 2 3 3 2 3 5" xfId="22492" xr:uid="{00000000-0005-0000-0000-000076030000}"/>
    <cellStyle name="Date [mmm-yyyy] 2 2 3 3 2 3 6" xfId="40861" xr:uid="{00000000-0005-0000-0000-000076030000}"/>
    <cellStyle name="Date [mmm-yyyy] 2 2 3 3 2 4" xfId="10178" xr:uid="{00000000-0005-0000-0000-000076030000}"/>
    <cellStyle name="Date [mmm-yyyy] 2 2 3 3 2 4 2" xfId="14235" xr:uid="{00000000-0005-0000-0000-000076030000}"/>
    <cellStyle name="Date [mmm-yyyy] 2 2 3 3 2 4 2 2" xfId="32651" xr:uid="{00000000-0005-0000-0000-000076030000}"/>
    <cellStyle name="Date [mmm-yyyy] 2 2 3 3 2 4 2 3" xfId="51014" xr:uid="{00000000-0005-0000-0000-000076030000}"/>
    <cellStyle name="Date [mmm-yyyy] 2 2 3 3 2 4 3" xfId="28889" xr:uid="{00000000-0005-0000-0000-000076030000}"/>
    <cellStyle name="Date [mmm-yyyy] 2 2 3 3 2 4 3 2" xfId="47252" xr:uid="{00000000-0005-0000-0000-000076030000}"/>
    <cellStyle name="Date [mmm-yyyy] 2 2 3 3 2 4 4" xfId="19692" xr:uid="{00000000-0005-0000-0000-000076030000}"/>
    <cellStyle name="Date [mmm-yyyy] 2 2 3 3 2 4 5" xfId="38098" xr:uid="{00000000-0005-0000-0000-000076030000}"/>
    <cellStyle name="Date [mmm-yyyy] 2 2 3 3 2 5" xfId="9369" xr:uid="{00000000-0005-0000-0000-000076030000}"/>
    <cellStyle name="Date [mmm-yyyy] 2 2 3 3 2 5 2" xfId="28088" xr:uid="{00000000-0005-0000-0000-000076030000}"/>
    <cellStyle name="Date [mmm-yyyy] 2 2 3 3 2 5 3" xfId="46451" xr:uid="{00000000-0005-0000-0000-000076030000}"/>
    <cellStyle name="Date [mmm-yyyy] 2 2 3 3 2 6" xfId="13425" xr:uid="{00000000-0005-0000-0000-000076030000}"/>
    <cellStyle name="Date [mmm-yyyy] 2 2 3 3 2 6 2" xfId="31846" xr:uid="{00000000-0005-0000-0000-000076030000}"/>
    <cellStyle name="Date [mmm-yyyy] 2 2 3 3 2 6 3" xfId="50209" xr:uid="{00000000-0005-0000-0000-000076030000}"/>
    <cellStyle name="Date [mmm-yyyy] 2 2 3 3 2 7" xfId="23373" xr:uid="{00000000-0005-0000-0000-000076030000}"/>
    <cellStyle name="Date [mmm-yyyy] 2 2 3 3 2 7 2" xfId="41742" xr:uid="{00000000-0005-0000-0000-000076030000}"/>
    <cellStyle name="Date [mmm-yyyy] 2 2 3 3 2 8" xfId="18451" xr:uid="{00000000-0005-0000-0000-000076030000}"/>
    <cellStyle name="Date [mmm-yyyy] 2 2 3 3 2 9" xfId="36857" xr:uid="{00000000-0005-0000-0000-000076030000}"/>
    <cellStyle name="Date [mmm-yyyy] 2 2 3 3 3" xfId="4463" xr:uid="{00000000-0005-0000-0000-000076030000}"/>
    <cellStyle name="Date [mmm-yyyy] 2 2 3 3 3 2" xfId="11059" xr:uid="{00000000-0005-0000-0000-000076030000}"/>
    <cellStyle name="Date [mmm-yyyy] 2 2 3 3 3 2 2" xfId="29679" xr:uid="{00000000-0005-0000-0000-000076030000}"/>
    <cellStyle name="Date [mmm-yyyy] 2 2 3 3 3 2 3" xfId="48042" xr:uid="{00000000-0005-0000-0000-000076030000}"/>
    <cellStyle name="Date [mmm-yyyy] 2 2 3 3 3 3" xfId="15197" xr:uid="{00000000-0005-0000-0000-000076030000}"/>
    <cellStyle name="Date [mmm-yyyy] 2 2 3 3 3 3 2" xfId="33592" xr:uid="{00000000-0005-0000-0000-000076030000}"/>
    <cellStyle name="Date [mmm-yyyy] 2 2 3 3 3 3 3" xfId="51955" xr:uid="{00000000-0005-0000-0000-000076030000}"/>
    <cellStyle name="Date [mmm-yyyy] 2 2 3 3 3 4" xfId="24323" xr:uid="{00000000-0005-0000-0000-000076030000}"/>
    <cellStyle name="Date [mmm-yyyy] 2 2 3 3 3 4 2" xfId="42692" xr:uid="{00000000-0005-0000-0000-000076030000}"/>
    <cellStyle name="Date [mmm-yyyy] 2 2 3 3 3 5" xfId="20647" xr:uid="{00000000-0005-0000-0000-000076030000}"/>
    <cellStyle name="Date [mmm-yyyy] 2 2 3 3 3 6" xfId="39039" xr:uid="{00000000-0005-0000-0000-000076030000}"/>
    <cellStyle name="Date [mmm-yyyy] 2 2 3 3 4" xfId="5280" xr:uid="{00000000-0005-0000-0000-000076030000}"/>
    <cellStyle name="Date [mmm-yyyy] 2 2 3 3 4 2" xfId="11735" xr:uid="{00000000-0005-0000-0000-000076030000}"/>
    <cellStyle name="Date [mmm-yyyy] 2 2 3 3 4 2 2" xfId="30240" xr:uid="{00000000-0005-0000-0000-000076030000}"/>
    <cellStyle name="Date [mmm-yyyy] 2 2 3 3 4 2 3" xfId="48603" xr:uid="{00000000-0005-0000-0000-000076030000}"/>
    <cellStyle name="Date [mmm-yyyy] 2 2 3 3 4 3" xfId="15972" xr:uid="{00000000-0005-0000-0000-000076030000}"/>
    <cellStyle name="Date [mmm-yyyy] 2 2 3 3 4 3 2" xfId="34346" xr:uid="{00000000-0005-0000-0000-000076030000}"/>
    <cellStyle name="Date [mmm-yyyy] 2 2 3 3 4 3 3" xfId="52709" xr:uid="{00000000-0005-0000-0000-000076030000}"/>
    <cellStyle name="Date [mmm-yyyy] 2 2 3 3 4 4" xfId="25093" xr:uid="{00000000-0005-0000-0000-000076030000}"/>
    <cellStyle name="Date [mmm-yyyy] 2 2 3 3 4 4 2" xfId="43462" xr:uid="{00000000-0005-0000-0000-000076030000}"/>
    <cellStyle name="Date [mmm-yyyy] 2 2 3 3 4 5" xfId="21414" xr:uid="{00000000-0005-0000-0000-000076030000}"/>
    <cellStyle name="Date [mmm-yyyy] 2 2 3 3 4 6" xfId="39793" xr:uid="{00000000-0005-0000-0000-000076030000}"/>
    <cellStyle name="Date [mmm-yyyy] 2 2 3 3 5" xfId="9137" xr:uid="{00000000-0005-0000-0000-000076030000}"/>
    <cellStyle name="Date [mmm-yyyy] 2 2 3 3 5 2" xfId="13196" xr:uid="{00000000-0005-0000-0000-000076030000}"/>
    <cellStyle name="Date [mmm-yyyy] 2 2 3 3 5 2 2" xfId="31622" xr:uid="{00000000-0005-0000-0000-000076030000}"/>
    <cellStyle name="Date [mmm-yyyy] 2 2 3 3 5 2 3" xfId="49985" xr:uid="{00000000-0005-0000-0000-000076030000}"/>
    <cellStyle name="Date [mmm-yyyy] 2 2 3 3 5 3" xfId="27863" xr:uid="{00000000-0005-0000-0000-000076030000}"/>
    <cellStyle name="Date [mmm-yyyy] 2 2 3 3 5 3 2" xfId="46226" xr:uid="{00000000-0005-0000-0000-000076030000}"/>
    <cellStyle name="Date [mmm-yyyy] 2 2 3 3 5 4" xfId="18050" xr:uid="{00000000-0005-0000-0000-000076030000}"/>
    <cellStyle name="Date [mmm-yyyy] 2 2 3 3 5 5" xfId="36458" xr:uid="{00000000-0005-0000-0000-000076030000}"/>
    <cellStyle name="Date [mmm-yyyy] 2 2 3 3 6" xfId="7733" xr:uid="{00000000-0005-0000-0000-000076030000}"/>
    <cellStyle name="Date [mmm-yyyy] 2 2 3 3 6 2" xfId="27010" xr:uid="{00000000-0005-0000-0000-000076030000}"/>
    <cellStyle name="Date [mmm-yyyy] 2 2 3 3 6 3" xfId="45375" xr:uid="{00000000-0005-0000-0000-000076030000}"/>
    <cellStyle name="Date [mmm-yyyy] 2 2 3 3 7" xfId="7491" xr:uid="{00000000-0005-0000-0000-000076030000}"/>
    <cellStyle name="Date [mmm-yyyy] 2 2 3 3 7 2" xfId="26857" xr:uid="{00000000-0005-0000-0000-000076030000}"/>
    <cellStyle name="Date [mmm-yyyy] 2 2 3 3 7 3" xfId="45222" xr:uid="{00000000-0005-0000-0000-000076030000}"/>
    <cellStyle name="Date [mmm-yyyy] 2 2 3 3 8" xfId="19461" xr:uid="{00000000-0005-0000-0000-000076030000}"/>
    <cellStyle name="Date [mmm-yyyy] 2 2 3 3 8 2" xfId="37867" xr:uid="{00000000-0005-0000-0000-000076030000}"/>
    <cellStyle name="Date [mmm-yyyy] 2 2 3 3 9" xfId="8978" xr:uid="{00000000-0005-0000-0000-000076030000}"/>
    <cellStyle name="Date [mmm-yyyy] 2 2 3 4" xfId="1365" xr:uid="{00000000-0005-0000-0000-000077030000}"/>
    <cellStyle name="Date [mmm-yyyy] 2 2 3 4 10" xfId="21210" xr:uid="{00000000-0005-0000-0000-000077030000}"/>
    <cellStyle name="Date [mmm-yyyy] 2 2 3 4 2" xfId="3407" xr:uid="{00000000-0005-0000-0000-000077030000}"/>
    <cellStyle name="Date [mmm-yyyy] 2 2 3 4 2 2" xfId="5582" xr:uid="{00000000-0005-0000-0000-000077030000}"/>
    <cellStyle name="Date [mmm-yyyy] 2 2 3 4 2 2 2" xfId="11946" xr:uid="{00000000-0005-0000-0000-000077030000}"/>
    <cellStyle name="Date [mmm-yyyy] 2 2 3 4 2 2 2 2" xfId="30393" xr:uid="{00000000-0005-0000-0000-000077030000}"/>
    <cellStyle name="Date [mmm-yyyy] 2 2 3 4 2 2 2 3" xfId="48756" xr:uid="{00000000-0005-0000-0000-000077030000}"/>
    <cellStyle name="Date [mmm-yyyy] 2 2 3 4 2 2 3" xfId="16272" xr:uid="{00000000-0005-0000-0000-000077030000}"/>
    <cellStyle name="Date [mmm-yyyy] 2 2 3 4 2 2 3 2" xfId="34644" xr:uid="{00000000-0005-0000-0000-000077030000}"/>
    <cellStyle name="Date [mmm-yyyy] 2 2 3 4 2 2 3 3" xfId="53007" xr:uid="{00000000-0005-0000-0000-000077030000}"/>
    <cellStyle name="Date [mmm-yyyy] 2 2 3 4 2 2 4" xfId="25391" xr:uid="{00000000-0005-0000-0000-000077030000}"/>
    <cellStyle name="Date [mmm-yyyy] 2 2 3 4 2 2 4 2" xfId="43760" xr:uid="{00000000-0005-0000-0000-000077030000}"/>
    <cellStyle name="Date [mmm-yyyy] 2 2 3 4 2 2 5" xfId="21712" xr:uid="{00000000-0005-0000-0000-000077030000}"/>
    <cellStyle name="Date [mmm-yyyy] 2 2 3 4 2 2 6" xfId="40091" xr:uid="{00000000-0005-0000-0000-000077030000}"/>
    <cellStyle name="Date [mmm-yyyy] 2 2 3 4 2 3" xfId="6406" xr:uid="{00000000-0005-0000-0000-000077030000}"/>
    <cellStyle name="Date [mmm-yyyy] 2 2 3 4 2 3 2" xfId="12697" xr:uid="{00000000-0005-0000-0000-000077030000}"/>
    <cellStyle name="Date [mmm-yyyy] 2 2 3 4 2 3 2 2" xfId="31123" xr:uid="{00000000-0005-0000-0000-000077030000}"/>
    <cellStyle name="Date [mmm-yyyy] 2 2 3 4 2 3 2 3" xfId="49486" xr:uid="{00000000-0005-0000-0000-000077030000}"/>
    <cellStyle name="Date [mmm-yyyy] 2 2 3 4 2 3 3" xfId="17008" xr:uid="{00000000-0005-0000-0000-000077030000}"/>
    <cellStyle name="Date [mmm-yyyy] 2 2 3 4 2 3 3 2" xfId="35356" xr:uid="{00000000-0005-0000-0000-000077030000}"/>
    <cellStyle name="Date [mmm-yyyy] 2 2 3 4 2 3 3 3" xfId="53719" xr:uid="{00000000-0005-0000-0000-000077030000}"/>
    <cellStyle name="Date [mmm-yyyy] 2 2 3 4 2 3 4" xfId="26141" xr:uid="{00000000-0005-0000-0000-000077030000}"/>
    <cellStyle name="Date [mmm-yyyy] 2 2 3 4 2 3 4 2" xfId="44510" xr:uid="{00000000-0005-0000-0000-000077030000}"/>
    <cellStyle name="Date [mmm-yyyy] 2 2 3 4 2 3 5" xfId="22434" xr:uid="{00000000-0005-0000-0000-000077030000}"/>
    <cellStyle name="Date [mmm-yyyy] 2 2 3 4 2 3 6" xfId="40803" xr:uid="{00000000-0005-0000-0000-000077030000}"/>
    <cellStyle name="Date [mmm-yyyy] 2 2 3 4 2 4" xfId="10120" xr:uid="{00000000-0005-0000-0000-000077030000}"/>
    <cellStyle name="Date [mmm-yyyy] 2 2 3 4 2 4 2" xfId="14177" xr:uid="{00000000-0005-0000-0000-000077030000}"/>
    <cellStyle name="Date [mmm-yyyy] 2 2 3 4 2 4 2 2" xfId="32593" xr:uid="{00000000-0005-0000-0000-000077030000}"/>
    <cellStyle name="Date [mmm-yyyy] 2 2 3 4 2 4 2 3" xfId="50956" xr:uid="{00000000-0005-0000-0000-000077030000}"/>
    <cellStyle name="Date [mmm-yyyy] 2 2 3 4 2 4 3" xfId="28831" xr:uid="{00000000-0005-0000-0000-000077030000}"/>
    <cellStyle name="Date [mmm-yyyy] 2 2 3 4 2 4 3 2" xfId="47194" xr:uid="{00000000-0005-0000-0000-000077030000}"/>
    <cellStyle name="Date [mmm-yyyy] 2 2 3 4 2 4 4" xfId="19634" xr:uid="{00000000-0005-0000-0000-000077030000}"/>
    <cellStyle name="Date [mmm-yyyy] 2 2 3 4 2 4 5" xfId="38040" xr:uid="{00000000-0005-0000-0000-000077030000}"/>
    <cellStyle name="Date [mmm-yyyy] 2 2 3 4 2 5" xfId="9307" xr:uid="{00000000-0005-0000-0000-000077030000}"/>
    <cellStyle name="Date [mmm-yyyy] 2 2 3 4 2 5 2" xfId="28026" xr:uid="{00000000-0005-0000-0000-000077030000}"/>
    <cellStyle name="Date [mmm-yyyy] 2 2 3 4 2 5 3" xfId="46389" xr:uid="{00000000-0005-0000-0000-000077030000}"/>
    <cellStyle name="Date [mmm-yyyy] 2 2 3 4 2 6" xfId="13363" xr:uid="{00000000-0005-0000-0000-000077030000}"/>
    <cellStyle name="Date [mmm-yyyy] 2 2 3 4 2 6 2" xfId="31784" xr:uid="{00000000-0005-0000-0000-000077030000}"/>
    <cellStyle name="Date [mmm-yyyy] 2 2 3 4 2 6 3" xfId="50147" xr:uid="{00000000-0005-0000-0000-000077030000}"/>
    <cellStyle name="Date [mmm-yyyy] 2 2 3 4 2 7" xfId="23315" xr:uid="{00000000-0005-0000-0000-000077030000}"/>
    <cellStyle name="Date [mmm-yyyy] 2 2 3 4 2 7 2" xfId="41684" xr:uid="{00000000-0005-0000-0000-000077030000}"/>
    <cellStyle name="Date [mmm-yyyy] 2 2 3 4 2 8" xfId="18383" xr:uid="{00000000-0005-0000-0000-000077030000}"/>
    <cellStyle name="Date [mmm-yyyy] 2 2 3 4 2 9" xfId="36789" xr:uid="{00000000-0005-0000-0000-000077030000}"/>
    <cellStyle name="Date [mmm-yyyy] 2 2 3 4 3" xfId="4398" xr:uid="{00000000-0005-0000-0000-000077030000}"/>
    <cellStyle name="Date [mmm-yyyy] 2 2 3 4 3 2" xfId="10997" xr:uid="{00000000-0005-0000-0000-000077030000}"/>
    <cellStyle name="Date [mmm-yyyy] 2 2 3 4 3 2 2" xfId="29619" xr:uid="{00000000-0005-0000-0000-000077030000}"/>
    <cellStyle name="Date [mmm-yyyy] 2 2 3 4 3 2 3" xfId="47982" xr:uid="{00000000-0005-0000-0000-000077030000}"/>
    <cellStyle name="Date [mmm-yyyy] 2 2 3 4 3 3" xfId="15133" xr:uid="{00000000-0005-0000-0000-000077030000}"/>
    <cellStyle name="Date [mmm-yyyy] 2 2 3 4 3 3 2" xfId="33530" xr:uid="{00000000-0005-0000-0000-000077030000}"/>
    <cellStyle name="Date [mmm-yyyy] 2 2 3 4 3 3 3" xfId="51893" xr:uid="{00000000-0005-0000-0000-000077030000}"/>
    <cellStyle name="Date [mmm-yyyy] 2 2 3 4 3 4" xfId="24261" xr:uid="{00000000-0005-0000-0000-000077030000}"/>
    <cellStyle name="Date [mmm-yyyy] 2 2 3 4 3 4 2" xfId="42630" xr:uid="{00000000-0005-0000-0000-000077030000}"/>
    <cellStyle name="Date [mmm-yyyy] 2 2 3 4 3 5" xfId="20584" xr:uid="{00000000-0005-0000-0000-000077030000}"/>
    <cellStyle name="Date [mmm-yyyy] 2 2 3 4 3 6" xfId="38977" xr:uid="{00000000-0005-0000-0000-000077030000}"/>
    <cellStyle name="Date [mmm-yyyy] 2 2 3 4 4" xfId="4053" xr:uid="{00000000-0005-0000-0000-000077030000}"/>
    <cellStyle name="Date [mmm-yyyy] 2 2 3 4 4 2" xfId="10754" xr:uid="{00000000-0005-0000-0000-000077030000}"/>
    <cellStyle name="Date [mmm-yyyy] 2 2 3 4 4 2 2" xfId="29457" xr:uid="{00000000-0005-0000-0000-000077030000}"/>
    <cellStyle name="Date [mmm-yyyy] 2 2 3 4 4 2 3" xfId="47820" xr:uid="{00000000-0005-0000-0000-000077030000}"/>
    <cellStyle name="Date [mmm-yyyy] 2 2 3 4 4 3" xfId="14814" xr:uid="{00000000-0005-0000-0000-000077030000}"/>
    <cellStyle name="Date [mmm-yyyy] 2 2 3 4 4 3 2" xfId="33226" xr:uid="{00000000-0005-0000-0000-000077030000}"/>
    <cellStyle name="Date [mmm-yyyy] 2 2 3 4 4 3 3" xfId="51589" xr:uid="{00000000-0005-0000-0000-000077030000}"/>
    <cellStyle name="Date [mmm-yyyy] 2 2 3 4 4 4" xfId="23950" xr:uid="{00000000-0005-0000-0000-000077030000}"/>
    <cellStyle name="Date [mmm-yyyy] 2 2 3 4 4 4 2" xfId="42319" xr:uid="{00000000-0005-0000-0000-000077030000}"/>
    <cellStyle name="Date [mmm-yyyy] 2 2 3 4 4 5" xfId="20270" xr:uid="{00000000-0005-0000-0000-000077030000}"/>
    <cellStyle name="Date [mmm-yyyy] 2 2 3 4 4 6" xfId="38673" xr:uid="{00000000-0005-0000-0000-000077030000}"/>
    <cellStyle name="Date [mmm-yyyy] 2 2 3 4 5" xfId="9888" xr:uid="{00000000-0005-0000-0000-000077030000}"/>
    <cellStyle name="Date [mmm-yyyy] 2 2 3 4 5 2" xfId="13946" xr:uid="{00000000-0005-0000-0000-000077030000}"/>
    <cellStyle name="Date [mmm-yyyy] 2 2 3 4 5 2 2" xfId="32364" xr:uid="{00000000-0005-0000-0000-000077030000}"/>
    <cellStyle name="Date [mmm-yyyy] 2 2 3 4 5 2 3" xfId="50727" xr:uid="{00000000-0005-0000-0000-000077030000}"/>
    <cellStyle name="Date [mmm-yyyy] 2 2 3 4 5 3" xfId="28602" xr:uid="{00000000-0005-0000-0000-000077030000}"/>
    <cellStyle name="Date [mmm-yyyy] 2 2 3 4 5 3 2" xfId="46965" xr:uid="{00000000-0005-0000-0000-000077030000}"/>
    <cellStyle name="Date [mmm-yyyy] 2 2 3 4 5 4" xfId="19165" xr:uid="{00000000-0005-0000-0000-000077030000}"/>
    <cellStyle name="Date [mmm-yyyy] 2 2 3 4 5 5" xfId="37573" xr:uid="{00000000-0005-0000-0000-000077030000}"/>
    <cellStyle name="Date [mmm-yyyy] 2 2 3 4 6" xfId="7660" xr:uid="{00000000-0005-0000-0000-000077030000}"/>
    <cellStyle name="Date [mmm-yyyy] 2 2 3 4 6 2" xfId="26944" xr:uid="{00000000-0005-0000-0000-000077030000}"/>
    <cellStyle name="Date [mmm-yyyy] 2 2 3 4 6 3" xfId="45309" xr:uid="{00000000-0005-0000-0000-000077030000}"/>
    <cellStyle name="Date [mmm-yyyy] 2 2 3 4 7" xfId="10822" xr:uid="{00000000-0005-0000-0000-000077030000}"/>
    <cellStyle name="Date [mmm-yyyy] 2 2 3 4 7 2" xfId="29494" xr:uid="{00000000-0005-0000-0000-000077030000}"/>
    <cellStyle name="Date [mmm-yyyy] 2 2 3 4 7 3" xfId="47857" xr:uid="{00000000-0005-0000-0000-000077030000}"/>
    <cellStyle name="Date [mmm-yyyy] 2 2 3 4 8" xfId="19155" xr:uid="{00000000-0005-0000-0000-000077030000}"/>
    <cellStyle name="Date [mmm-yyyy] 2 2 3 4 8 2" xfId="37563" xr:uid="{00000000-0005-0000-0000-000077030000}"/>
    <cellStyle name="Date [mmm-yyyy] 2 2 3 4 9" xfId="8459" xr:uid="{00000000-0005-0000-0000-000077030000}"/>
    <cellStyle name="Date [mmm-yyyy] 2 2 3 5" xfId="3521" xr:uid="{00000000-0005-0000-0000-000074030000}"/>
    <cellStyle name="Date [mmm-yyyy] 2 2 3 5 2" xfId="5695" xr:uid="{00000000-0005-0000-0000-000074030000}"/>
    <cellStyle name="Date [mmm-yyyy] 2 2 3 5 2 2" xfId="12059" xr:uid="{00000000-0005-0000-0000-000074030000}"/>
    <cellStyle name="Date [mmm-yyyy] 2 2 3 5 2 2 2" xfId="30506" xr:uid="{00000000-0005-0000-0000-000074030000}"/>
    <cellStyle name="Date [mmm-yyyy] 2 2 3 5 2 2 3" xfId="48869" xr:uid="{00000000-0005-0000-0000-000074030000}"/>
    <cellStyle name="Date [mmm-yyyy] 2 2 3 5 2 3" xfId="16385" xr:uid="{00000000-0005-0000-0000-000074030000}"/>
    <cellStyle name="Date [mmm-yyyy] 2 2 3 5 2 3 2" xfId="34757" xr:uid="{00000000-0005-0000-0000-000074030000}"/>
    <cellStyle name="Date [mmm-yyyy] 2 2 3 5 2 3 3" xfId="53120" xr:uid="{00000000-0005-0000-0000-000074030000}"/>
    <cellStyle name="Date [mmm-yyyy] 2 2 3 5 2 4" xfId="25504" xr:uid="{00000000-0005-0000-0000-000074030000}"/>
    <cellStyle name="Date [mmm-yyyy] 2 2 3 5 2 4 2" xfId="43873" xr:uid="{00000000-0005-0000-0000-000074030000}"/>
    <cellStyle name="Date [mmm-yyyy] 2 2 3 5 2 5" xfId="21825" xr:uid="{00000000-0005-0000-0000-000074030000}"/>
    <cellStyle name="Date [mmm-yyyy] 2 2 3 5 2 6" xfId="40204" xr:uid="{00000000-0005-0000-0000-000074030000}"/>
    <cellStyle name="Date [mmm-yyyy] 2 2 3 5 3" xfId="6520" xr:uid="{00000000-0005-0000-0000-000074030000}"/>
    <cellStyle name="Date [mmm-yyyy] 2 2 3 5 3 2" xfId="12811" xr:uid="{00000000-0005-0000-0000-000074030000}"/>
    <cellStyle name="Date [mmm-yyyy] 2 2 3 5 3 2 2" xfId="31237" xr:uid="{00000000-0005-0000-0000-000074030000}"/>
    <cellStyle name="Date [mmm-yyyy] 2 2 3 5 3 2 3" xfId="49600" xr:uid="{00000000-0005-0000-0000-000074030000}"/>
    <cellStyle name="Date [mmm-yyyy] 2 2 3 5 3 3" xfId="17122" xr:uid="{00000000-0005-0000-0000-000074030000}"/>
    <cellStyle name="Date [mmm-yyyy] 2 2 3 5 3 3 2" xfId="35470" xr:uid="{00000000-0005-0000-0000-000074030000}"/>
    <cellStyle name="Date [mmm-yyyy] 2 2 3 5 3 3 3" xfId="53833" xr:uid="{00000000-0005-0000-0000-000074030000}"/>
    <cellStyle name="Date [mmm-yyyy] 2 2 3 5 3 4" xfId="26255" xr:uid="{00000000-0005-0000-0000-000074030000}"/>
    <cellStyle name="Date [mmm-yyyy] 2 2 3 5 3 4 2" xfId="44624" xr:uid="{00000000-0005-0000-0000-000074030000}"/>
    <cellStyle name="Date [mmm-yyyy] 2 2 3 5 3 5" xfId="22548" xr:uid="{00000000-0005-0000-0000-000074030000}"/>
    <cellStyle name="Date [mmm-yyyy] 2 2 3 5 3 6" xfId="40917" xr:uid="{00000000-0005-0000-0000-000074030000}"/>
    <cellStyle name="Date [mmm-yyyy] 2 2 3 5 4" xfId="10234" xr:uid="{00000000-0005-0000-0000-000074030000}"/>
    <cellStyle name="Date [mmm-yyyy] 2 2 3 5 4 2" xfId="14291" xr:uid="{00000000-0005-0000-0000-000074030000}"/>
    <cellStyle name="Date [mmm-yyyy] 2 2 3 5 4 2 2" xfId="32707" xr:uid="{00000000-0005-0000-0000-000074030000}"/>
    <cellStyle name="Date [mmm-yyyy] 2 2 3 5 4 2 3" xfId="51070" xr:uid="{00000000-0005-0000-0000-000074030000}"/>
    <cellStyle name="Date [mmm-yyyy] 2 2 3 5 4 3" xfId="28945" xr:uid="{00000000-0005-0000-0000-000074030000}"/>
    <cellStyle name="Date [mmm-yyyy] 2 2 3 5 4 3 2" xfId="47308" xr:uid="{00000000-0005-0000-0000-000074030000}"/>
    <cellStyle name="Date [mmm-yyyy] 2 2 3 5 4 4" xfId="19748" xr:uid="{00000000-0005-0000-0000-000074030000}"/>
    <cellStyle name="Date [mmm-yyyy] 2 2 3 5 4 5" xfId="38154" xr:uid="{00000000-0005-0000-0000-000074030000}"/>
    <cellStyle name="Date [mmm-yyyy] 2 2 3 5 5" xfId="9429" xr:uid="{00000000-0005-0000-0000-000074030000}"/>
    <cellStyle name="Date [mmm-yyyy] 2 2 3 5 5 2" xfId="28146" xr:uid="{00000000-0005-0000-0000-000074030000}"/>
    <cellStyle name="Date [mmm-yyyy] 2 2 3 5 5 3" xfId="46509" xr:uid="{00000000-0005-0000-0000-000074030000}"/>
    <cellStyle name="Date [mmm-yyyy] 2 2 3 5 6" xfId="13486" xr:uid="{00000000-0005-0000-0000-000074030000}"/>
    <cellStyle name="Date [mmm-yyyy] 2 2 3 5 6 2" xfId="31907" xr:uid="{00000000-0005-0000-0000-000074030000}"/>
    <cellStyle name="Date [mmm-yyyy] 2 2 3 5 6 3" xfId="50270" xr:uid="{00000000-0005-0000-0000-000074030000}"/>
    <cellStyle name="Date [mmm-yyyy] 2 2 3 5 7" xfId="23429" xr:uid="{00000000-0005-0000-0000-000074030000}"/>
    <cellStyle name="Date [mmm-yyyy] 2 2 3 5 7 2" xfId="41798" xr:uid="{00000000-0005-0000-0000-000074030000}"/>
    <cellStyle name="Date [mmm-yyyy] 2 2 3 5 8" xfId="18514" xr:uid="{00000000-0005-0000-0000-000074030000}"/>
    <cellStyle name="Date [mmm-yyyy] 2 2 3 5 9" xfId="36923" xr:uid="{00000000-0005-0000-0000-000074030000}"/>
    <cellStyle name="Date [mmm-yyyy] 2 2 3 6" xfId="4525" xr:uid="{00000000-0005-0000-0000-000074030000}"/>
    <cellStyle name="Date [mmm-yyyy] 2 2 3 6 2" xfId="11116" xr:uid="{00000000-0005-0000-0000-000074030000}"/>
    <cellStyle name="Date [mmm-yyyy] 2 2 3 6 2 2" xfId="29734" xr:uid="{00000000-0005-0000-0000-000074030000}"/>
    <cellStyle name="Date [mmm-yyyy] 2 2 3 6 2 3" xfId="48097" xr:uid="{00000000-0005-0000-0000-000074030000}"/>
    <cellStyle name="Date [mmm-yyyy] 2 2 3 6 3" xfId="15254" xr:uid="{00000000-0005-0000-0000-000074030000}"/>
    <cellStyle name="Date [mmm-yyyy] 2 2 3 6 3 2" xfId="33648" xr:uid="{00000000-0005-0000-0000-000074030000}"/>
    <cellStyle name="Date [mmm-yyyy] 2 2 3 6 3 3" xfId="52011" xr:uid="{00000000-0005-0000-0000-000074030000}"/>
    <cellStyle name="Date [mmm-yyyy] 2 2 3 6 4" xfId="24379" xr:uid="{00000000-0005-0000-0000-000074030000}"/>
    <cellStyle name="Date [mmm-yyyy] 2 2 3 6 4 2" xfId="42748" xr:uid="{00000000-0005-0000-0000-000074030000}"/>
    <cellStyle name="Date [mmm-yyyy] 2 2 3 6 5" xfId="20703" xr:uid="{00000000-0005-0000-0000-000074030000}"/>
    <cellStyle name="Date [mmm-yyyy] 2 2 3 6 6" xfId="39095" xr:uid="{00000000-0005-0000-0000-000074030000}"/>
    <cellStyle name="Date [mmm-yyyy] 2 2 3 7" xfId="3986" xr:uid="{00000000-0005-0000-0000-000074030000}"/>
    <cellStyle name="Date [mmm-yyyy] 2 2 3 7 2" xfId="10691" xr:uid="{00000000-0005-0000-0000-000074030000}"/>
    <cellStyle name="Date [mmm-yyyy] 2 2 3 7 2 2" xfId="29396" xr:uid="{00000000-0005-0000-0000-000074030000}"/>
    <cellStyle name="Date [mmm-yyyy] 2 2 3 7 2 3" xfId="47759" xr:uid="{00000000-0005-0000-0000-000074030000}"/>
    <cellStyle name="Date [mmm-yyyy] 2 2 3 7 3" xfId="14747" xr:uid="{00000000-0005-0000-0000-000074030000}"/>
    <cellStyle name="Date [mmm-yyyy] 2 2 3 7 3 2" xfId="33159" xr:uid="{00000000-0005-0000-0000-000074030000}"/>
    <cellStyle name="Date [mmm-yyyy] 2 2 3 7 3 3" xfId="51522" xr:uid="{00000000-0005-0000-0000-000074030000}"/>
    <cellStyle name="Date [mmm-yyyy] 2 2 3 7 4" xfId="23883" xr:uid="{00000000-0005-0000-0000-000074030000}"/>
    <cellStyle name="Date [mmm-yyyy] 2 2 3 7 4 2" xfId="42252" xr:uid="{00000000-0005-0000-0000-000074030000}"/>
    <cellStyle name="Date [mmm-yyyy] 2 2 3 7 5" xfId="20203" xr:uid="{00000000-0005-0000-0000-000074030000}"/>
    <cellStyle name="Date [mmm-yyyy] 2 2 3 7 6" xfId="38606" xr:uid="{00000000-0005-0000-0000-000074030000}"/>
    <cellStyle name="Date [mmm-yyyy] 2 2 3 8" xfId="9821" xr:uid="{00000000-0005-0000-0000-000074030000}"/>
    <cellStyle name="Date [mmm-yyyy] 2 2 3 8 2" xfId="13878" xr:uid="{00000000-0005-0000-0000-000074030000}"/>
    <cellStyle name="Date [mmm-yyyy] 2 2 3 8 2 2" xfId="32298" xr:uid="{00000000-0005-0000-0000-000074030000}"/>
    <cellStyle name="Date [mmm-yyyy] 2 2 3 8 2 3" xfId="50661" xr:uid="{00000000-0005-0000-0000-000074030000}"/>
    <cellStyle name="Date [mmm-yyyy] 2 2 3 8 3" xfId="28536" xr:uid="{00000000-0005-0000-0000-000074030000}"/>
    <cellStyle name="Date [mmm-yyyy] 2 2 3 8 3 2" xfId="46899" xr:uid="{00000000-0005-0000-0000-000074030000}"/>
    <cellStyle name="Date [mmm-yyyy] 2 2 3 8 4" xfId="19041" xr:uid="{00000000-0005-0000-0000-000074030000}"/>
    <cellStyle name="Date [mmm-yyyy] 2 2 3 8 5" xfId="37450" xr:uid="{00000000-0005-0000-0000-000074030000}"/>
    <cellStyle name="Date [mmm-yyyy] 2 2 3 9" xfId="7794" xr:uid="{00000000-0005-0000-0000-000074030000}"/>
    <cellStyle name="Date [mmm-yyyy] 2 2 3 9 2" xfId="27065" xr:uid="{00000000-0005-0000-0000-000074030000}"/>
    <cellStyle name="Date [mmm-yyyy] 2 2 3 9 3" xfId="45430" xr:uid="{00000000-0005-0000-0000-000074030000}"/>
    <cellStyle name="Date [mmm-yyyy] 2 2 4" xfId="1393" xr:uid="{00000000-0005-0000-0000-000078030000}"/>
    <cellStyle name="Date [mmm-yyyy] 2 2 4 10" xfId="7156" xr:uid="{00000000-0005-0000-0000-000078030000}"/>
    <cellStyle name="Date [mmm-yyyy] 2 2 4 2" xfId="3426" xr:uid="{00000000-0005-0000-0000-000078030000}"/>
    <cellStyle name="Date [mmm-yyyy] 2 2 4 2 2" xfId="5601" xr:uid="{00000000-0005-0000-0000-000078030000}"/>
    <cellStyle name="Date [mmm-yyyy] 2 2 4 2 2 2" xfId="11965" xr:uid="{00000000-0005-0000-0000-000078030000}"/>
    <cellStyle name="Date [mmm-yyyy] 2 2 4 2 2 2 2" xfId="30412" xr:uid="{00000000-0005-0000-0000-000078030000}"/>
    <cellStyle name="Date [mmm-yyyy] 2 2 4 2 2 2 3" xfId="48775" xr:uid="{00000000-0005-0000-0000-000078030000}"/>
    <cellStyle name="Date [mmm-yyyy] 2 2 4 2 2 3" xfId="16291" xr:uid="{00000000-0005-0000-0000-000078030000}"/>
    <cellStyle name="Date [mmm-yyyy] 2 2 4 2 2 3 2" xfId="34663" xr:uid="{00000000-0005-0000-0000-000078030000}"/>
    <cellStyle name="Date [mmm-yyyy] 2 2 4 2 2 3 3" xfId="53026" xr:uid="{00000000-0005-0000-0000-000078030000}"/>
    <cellStyle name="Date [mmm-yyyy] 2 2 4 2 2 4" xfId="25410" xr:uid="{00000000-0005-0000-0000-000078030000}"/>
    <cellStyle name="Date [mmm-yyyy] 2 2 4 2 2 4 2" xfId="43779" xr:uid="{00000000-0005-0000-0000-000078030000}"/>
    <cellStyle name="Date [mmm-yyyy] 2 2 4 2 2 5" xfId="21731" xr:uid="{00000000-0005-0000-0000-000078030000}"/>
    <cellStyle name="Date [mmm-yyyy] 2 2 4 2 2 6" xfId="40110" xr:uid="{00000000-0005-0000-0000-000078030000}"/>
    <cellStyle name="Date [mmm-yyyy] 2 2 4 2 3" xfId="6425" xr:uid="{00000000-0005-0000-0000-000078030000}"/>
    <cellStyle name="Date [mmm-yyyy] 2 2 4 2 3 2" xfId="12716" xr:uid="{00000000-0005-0000-0000-000078030000}"/>
    <cellStyle name="Date [mmm-yyyy] 2 2 4 2 3 2 2" xfId="31142" xr:uid="{00000000-0005-0000-0000-000078030000}"/>
    <cellStyle name="Date [mmm-yyyy] 2 2 4 2 3 2 3" xfId="49505" xr:uid="{00000000-0005-0000-0000-000078030000}"/>
    <cellStyle name="Date [mmm-yyyy] 2 2 4 2 3 3" xfId="17027" xr:uid="{00000000-0005-0000-0000-000078030000}"/>
    <cellStyle name="Date [mmm-yyyy] 2 2 4 2 3 3 2" xfId="35375" xr:uid="{00000000-0005-0000-0000-000078030000}"/>
    <cellStyle name="Date [mmm-yyyy] 2 2 4 2 3 3 3" xfId="53738" xr:uid="{00000000-0005-0000-0000-000078030000}"/>
    <cellStyle name="Date [mmm-yyyy] 2 2 4 2 3 4" xfId="26160" xr:uid="{00000000-0005-0000-0000-000078030000}"/>
    <cellStyle name="Date [mmm-yyyy] 2 2 4 2 3 4 2" xfId="44529" xr:uid="{00000000-0005-0000-0000-000078030000}"/>
    <cellStyle name="Date [mmm-yyyy] 2 2 4 2 3 5" xfId="22453" xr:uid="{00000000-0005-0000-0000-000078030000}"/>
    <cellStyle name="Date [mmm-yyyy] 2 2 4 2 3 6" xfId="40822" xr:uid="{00000000-0005-0000-0000-000078030000}"/>
    <cellStyle name="Date [mmm-yyyy] 2 2 4 2 4" xfId="10139" xr:uid="{00000000-0005-0000-0000-000078030000}"/>
    <cellStyle name="Date [mmm-yyyy] 2 2 4 2 4 2" xfId="14196" xr:uid="{00000000-0005-0000-0000-000078030000}"/>
    <cellStyle name="Date [mmm-yyyy] 2 2 4 2 4 2 2" xfId="32612" xr:uid="{00000000-0005-0000-0000-000078030000}"/>
    <cellStyle name="Date [mmm-yyyy] 2 2 4 2 4 2 3" xfId="50975" xr:uid="{00000000-0005-0000-0000-000078030000}"/>
    <cellStyle name="Date [mmm-yyyy] 2 2 4 2 4 3" xfId="28850" xr:uid="{00000000-0005-0000-0000-000078030000}"/>
    <cellStyle name="Date [mmm-yyyy] 2 2 4 2 4 3 2" xfId="47213" xr:uid="{00000000-0005-0000-0000-000078030000}"/>
    <cellStyle name="Date [mmm-yyyy] 2 2 4 2 4 4" xfId="19653" xr:uid="{00000000-0005-0000-0000-000078030000}"/>
    <cellStyle name="Date [mmm-yyyy] 2 2 4 2 4 5" xfId="38059" xr:uid="{00000000-0005-0000-0000-000078030000}"/>
    <cellStyle name="Date [mmm-yyyy] 2 2 4 2 5" xfId="9326" xr:uid="{00000000-0005-0000-0000-000078030000}"/>
    <cellStyle name="Date [mmm-yyyy] 2 2 4 2 5 2" xfId="28045" xr:uid="{00000000-0005-0000-0000-000078030000}"/>
    <cellStyle name="Date [mmm-yyyy] 2 2 4 2 5 3" xfId="46408" xr:uid="{00000000-0005-0000-0000-000078030000}"/>
    <cellStyle name="Date [mmm-yyyy] 2 2 4 2 6" xfId="13382" xr:uid="{00000000-0005-0000-0000-000078030000}"/>
    <cellStyle name="Date [mmm-yyyy] 2 2 4 2 6 2" xfId="31803" xr:uid="{00000000-0005-0000-0000-000078030000}"/>
    <cellStyle name="Date [mmm-yyyy] 2 2 4 2 6 3" xfId="50166" xr:uid="{00000000-0005-0000-0000-000078030000}"/>
    <cellStyle name="Date [mmm-yyyy] 2 2 4 2 7" xfId="23334" xr:uid="{00000000-0005-0000-0000-000078030000}"/>
    <cellStyle name="Date [mmm-yyyy] 2 2 4 2 7 2" xfId="41703" xr:uid="{00000000-0005-0000-0000-000078030000}"/>
    <cellStyle name="Date [mmm-yyyy] 2 2 4 2 8" xfId="18405" xr:uid="{00000000-0005-0000-0000-000078030000}"/>
    <cellStyle name="Date [mmm-yyyy] 2 2 4 2 9" xfId="36811" xr:uid="{00000000-0005-0000-0000-000078030000}"/>
    <cellStyle name="Date [mmm-yyyy] 2 2 4 3" xfId="4419" xr:uid="{00000000-0005-0000-0000-000078030000}"/>
    <cellStyle name="Date [mmm-yyyy] 2 2 4 3 2" xfId="11018" xr:uid="{00000000-0005-0000-0000-000078030000}"/>
    <cellStyle name="Date [mmm-yyyy] 2 2 4 3 2 2" xfId="29638" xr:uid="{00000000-0005-0000-0000-000078030000}"/>
    <cellStyle name="Date [mmm-yyyy] 2 2 4 3 2 3" xfId="48001" xr:uid="{00000000-0005-0000-0000-000078030000}"/>
    <cellStyle name="Date [mmm-yyyy] 2 2 4 3 3" xfId="15153" xr:uid="{00000000-0005-0000-0000-000078030000}"/>
    <cellStyle name="Date [mmm-yyyy] 2 2 4 3 3 2" xfId="33550" xr:uid="{00000000-0005-0000-0000-000078030000}"/>
    <cellStyle name="Date [mmm-yyyy] 2 2 4 3 3 3" xfId="51913" xr:uid="{00000000-0005-0000-0000-000078030000}"/>
    <cellStyle name="Date [mmm-yyyy] 2 2 4 3 4" xfId="24281" xr:uid="{00000000-0005-0000-0000-000078030000}"/>
    <cellStyle name="Date [mmm-yyyy] 2 2 4 3 4 2" xfId="42650" xr:uid="{00000000-0005-0000-0000-000078030000}"/>
    <cellStyle name="Date [mmm-yyyy] 2 2 4 3 5" xfId="20604" xr:uid="{00000000-0005-0000-0000-000078030000}"/>
    <cellStyle name="Date [mmm-yyyy] 2 2 4 3 6" xfId="38997" xr:uid="{00000000-0005-0000-0000-000078030000}"/>
    <cellStyle name="Date [mmm-yyyy] 2 2 4 4" xfId="4047" xr:uid="{00000000-0005-0000-0000-000078030000}"/>
    <cellStyle name="Date [mmm-yyyy] 2 2 4 4 2" xfId="10748" xr:uid="{00000000-0005-0000-0000-000078030000}"/>
    <cellStyle name="Date [mmm-yyyy] 2 2 4 4 2 2" xfId="29451" xr:uid="{00000000-0005-0000-0000-000078030000}"/>
    <cellStyle name="Date [mmm-yyyy] 2 2 4 4 2 3" xfId="47814" xr:uid="{00000000-0005-0000-0000-000078030000}"/>
    <cellStyle name="Date [mmm-yyyy] 2 2 4 4 3" xfId="14808" xr:uid="{00000000-0005-0000-0000-000078030000}"/>
    <cellStyle name="Date [mmm-yyyy] 2 2 4 4 3 2" xfId="33220" xr:uid="{00000000-0005-0000-0000-000078030000}"/>
    <cellStyle name="Date [mmm-yyyy] 2 2 4 4 3 3" xfId="51583" xr:uid="{00000000-0005-0000-0000-000078030000}"/>
    <cellStyle name="Date [mmm-yyyy] 2 2 4 4 4" xfId="23944" xr:uid="{00000000-0005-0000-0000-000078030000}"/>
    <cellStyle name="Date [mmm-yyyy] 2 2 4 4 4 2" xfId="42313" xr:uid="{00000000-0005-0000-0000-000078030000}"/>
    <cellStyle name="Date [mmm-yyyy] 2 2 4 4 5" xfId="20264" xr:uid="{00000000-0005-0000-0000-000078030000}"/>
    <cellStyle name="Date [mmm-yyyy] 2 2 4 4 6" xfId="38667" xr:uid="{00000000-0005-0000-0000-000078030000}"/>
    <cellStyle name="Date [mmm-yyyy] 2 2 4 5" xfId="9249" xr:uid="{00000000-0005-0000-0000-000078030000}"/>
    <cellStyle name="Date [mmm-yyyy] 2 2 4 5 2" xfId="13306" xr:uid="{00000000-0005-0000-0000-000078030000}"/>
    <cellStyle name="Date [mmm-yyyy] 2 2 4 5 2 2" xfId="31727" xr:uid="{00000000-0005-0000-0000-000078030000}"/>
    <cellStyle name="Date [mmm-yyyy] 2 2 4 5 2 3" xfId="50090" xr:uid="{00000000-0005-0000-0000-000078030000}"/>
    <cellStyle name="Date [mmm-yyyy] 2 2 4 5 3" xfId="27969" xr:uid="{00000000-0005-0000-0000-000078030000}"/>
    <cellStyle name="Date [mmm-yyyy] 2 2 4 5 3 2" xfId="46332" xr:uid="{00000000-0005-0000-0000-000078030000}"/>
    <cellStyle name="Date [mmm-yyyy] 2 2 4 5 4" xfId="18301" xr:uid="{00000000-0005-0000-0000-000078030000}"/>
    <cellStyle name="Date [mmm-yyyy] 2 2 4 5 5" xfId="36707" xr:uid="{00000000-0005-0000-0000-000078030000}"/>
    <cellStyle name="Date [mmm-yyyy] 2 2 4 6" xfId="7685" xr:uid="{00000000-0005-0000-0000-000078030000}"/>
    <cellStyle name="Date [mmm-yyyy] 2 2 4 6 2" xfId="26967" xr:uid="{00000000-0005-0000-0000-000078030000}"/>
    <cellStyle name="Date [mmm-yyyy] 2 2 4 6 3" xfId="45332" xr:uid="{00000000-0005-0000-0000-000078030000}"/>
    <cellStyle name="Date [mmm-yyyy] 2 2 4 7" xfId="8096" xr:uid="{00000000-0005-0000-0000-000078030000}"/>
    <cellStyle name="Date [mmm-yyyy] 2 2 4 7 2" xfId="27302" xr:uid="{00000000-0005-0000-0000-000078030000}"/>
    <cellStyle name="Date [mmm-yyyy] 2 2 4 7 3" xfId="45667" xr:uid="{00000000-0005-0000-0000-000078030000}"/>
    <cellStyle name="Date [mmm-yyyy] 2 2 4 8" xfId="19176" xr:uid="{00000000-0005-0000-0000-000078030000}"/>
    <cellStyle name="Date [mmm-yyyy] 2 2 4 8 2" xfId="37584" xr:uid="{00000000-0005-0000-0000-000078030000}"/>
    <cellStyle name="Date [mmm-yyyy] 2 2 4 9" xfId="7174" xr:uid="{00000000-0005-0000-0000-000078030000}"/>
    <cellStyle name="Date [mmm-yyyy] 2 2 5" xfId="3370" xr:uid="{00000000-0005-0000-0000-00006F030000}"/>
    <cellStyle name="Date [mmm-yyyy] 2 2 5 2" xfId="5545" xr:uid="{00000000-0005-0000-0000-00006F030000}"/>
    <cellStyle name="Date [mmm-yyyy] 2 2 5 2 2" xfId="11909" xr:uid="{00000000-0005-0000-0000-00006F030000}"/>
    <cellStyle name="Date [mmm-yyyy] 2 2 5 2 2 2" xfId="30356" xr:uid="{00000000-0005-0000-0000-00006F030000}"/>
    <cellStyle name="Date [mmm-yyyy] 2 2 5 2 2 3" xfId="48719" xr:uid="{00000000-0005-0000-0000-00006F030000}"/>
    <cellStyle name="Date [mmm-yyyy] 2 2 5 2 3" xfId="16235" xr:uid="{00000000-0005-0000-0000-00006F030000}"/>
    <cellStyle name="Date [mmm-yyyy] 2 2 5 2 3 2" xfId="34607" xr:uid="{00000000-0005-0000-0000-00006F030000}"/>
    <cellStyle name="Date [mmm-yyyy] 2 2 5 2 3 3" xfId="52970" xr:uid="{00000000-0005-0000-0000-00006F030000}"/>
    <cellStyle name="Date [mmm-yyyy] 2 2 5 2 4" xfId="25354" xr:uid="{00000000-0005-0000-0000-00006F030000}"/>
    <cellStyle name="Date [mmm-yyyy] 2 2 5 2 4 2" xfId="43723" xr:uid="{00000000-0005-0000-0000-00006F030000}"/>
    <cellStyle name="Date [mmm-yyyy] 2 2 5 2 5" xfId="21675" xr:uid="{00000000-0005-0000-0000-00006F030000}"/>
    <cellStyle name="Date [mmm-yyyy] 2 2 5 2 6" xfId="40054" xr:uid="{00000000-0005-0000-0000-00006F030000}"/>
    <cellStyle name="Date [mmm-yyyy] 2 2 5 3" xfId="6369" xr:uid="{00000000-0005-0000-0000-00006F030000}"/>
    <cellStyle name="Date [mmm-yyyy] 2 2 5 3 2" xfId="12660" xr:uid="{00000000-0005-0000-0000-00006F030000}"/>
    <cellStyle name="Date [mmm-yyyy] 2 2 5 3 2 2" xfId="31086" xr:uid="{00000000-0005-0000-0000-00006F030000}"/>
    <cellStyle name="Date [mmm-yyyy] 2 2 5 3 2 3" xfId="49449" xr:uid="{00000000-0005-0000-0000-00006F030000}"/>
    <cellStyle name="Date [mmm-yyyy] 2 2 5 3 3" xfId="16971" xr:uid="{00000000-0005-0000-0000-00006F030000}"/>
    <cellStyle name="Date [mmm-yyyy] 2 2 5 3 3 2" xfId="35319" xr:uid="{00000000-0005-0000-0000-00006F030000}"/>
    <cellStyle name="Date [mmm-yyyy] 2 2 5 3 3 3" xfId="53682" xr:uid="{00000000-0005-0000-0000-00006F030000}"/>
    <cellStyle name="Date [mmm-yyyy] 2 2 5 3 4" xfId="26104" xr:uid="{00000000-0005-0000-0000-00006F030000}"/>
    <cellStyle name="Date [mmm-yyyy] 2 2 5 3 4 2" xfId="44473" xr:uid="{00000000-0005-0000-0000-00006F030000}"/>
    <cellStyle name="Date [mmm-yyyy] 2 2 5 3 5" xfId="22397" xr:uid="{00000000-0005-0000-0000-00006F030000}"/>
    <cellStyle name="Date [mmm-yyyy] 2 2 5 3 6" xfId="40766" xr:uid="{00000000-0005-0000-0000-00006F030000}"/>
    <cellStyle name="Date [mmm-yyyy] 2 2 5 4" xfId="10083" xr:uid="{00000000-0005-0000-0000-00006F030000}"/>
    <cellStyle name="Date [mmm-yyyy] 2 2 5 4 2" xfId="14140" xr:uid="{00000000-0005-0000-0000-00006F030000}"/>
    <cellStyle name="Date [mmm-yyyy] 2 2 5 4 2 2" xfId="32556" xr:uid="{00000000-0005-0000-0000-00006F030000}"/>
    <cellStyle name="Date [mmm-yyyy] 2 2 5 4 2 3" xfId="50919" xr:uid="{00000000-0005-0000-0000-00006F030000}"/>
    <cellStyle name="Date [mmm-yyyy] 2 2 5 4 3" xfId="28794" xr:uid="{00000000-0005-0000-0000-00006F030000}"/>
    <cellStyle name="Date [mmm-yyyy] 2 2 5 4 3 2" xfId="47157" xr:uid="{00000000-0005-0000-0000-00006F030000}"/>
    <cellStyle name="Date [mmm-yyyy] 2 2 5 4 4" xfId="19597" xr:uid="{00000000-0005-0000-0000-00006F030000}"/>
    <cellStyle name="Date [mmm-yyyy] 2 2 5 4 5" xfId="38003" xr:uid="{00000000-0005-0000-0000-00006F030000}"/>
    <cellStyle name="Date [mmm-yyyy] 2 2 5 5" xfId="9233" xr:uid="{00000000-0005-0000-0000-00006F030000}"/>
    <cellStyle name="Date [mmm-yyyy] 2 2 5 5 2" xfId="27953" xr:uid="{00000000-0005-0000-0000-00006F030000}"/>
    <cellStyle name="Date [mmm-yyyy] 2 2 5 5 3" xfId="46316" xr:uid="{00000000-0005-0000-0000-00006F030000}"/>
    <cellStyle name="Date [mmm-yyyy] 2 2 5 6" xfId="13290" xr:uid="{00000000-0005-0000-0000-00006F030000}"/>
    <cellStyle name="Date [mmm-yyyy] 2 2 5 6 2" xfId="31711" xr:uid="{00000000-0005-0000-0000-00006F030000}"/>
    <cellStyle name="Date [mmm-yyyy] 2 2 5 6 3" xfId="50074" xr:uid="{00000000-0005-0000-0000-00006F030000}"/>
    <cellStyle name="Date [mmm-yyyy] 2 2 5 7" xfId="23278" xr:uid="{00000000-0005-0000-0000-00006F030000}"/>
    <cellStyle name="Date [mmm-yyyy] 2 2 5 7 2" xfId="41647" xr:uid="{00000000-0005-0000-0000-00006F030000}"/>
    <cellStyle name="Date [mmm-yyyy] 2 2 5 8" xfId="18284" xr:uid="{00000000-0005-0000-0000-00006F030000}"/>
    <cellStyle name="Date [mmm-yyyy] 2 2 5 9" xfId="36690" xr:uid="{00000000-0005-0000-0000-00006F030000}"/>
    <cellStyle name="Date [mmm-yyyy] 2 2 6" xfId="4317" xr:uid="{00000000-0005-0000-0000-00006F030000}"/>
    <cellStyle name="Date [mmm-yyyy] 2 2 6 2" xfId="10925" xr:uid="{00000000-0005-0000-0000-00006F030000}"/>
    <cellStyle name="Date [mmm-yyyy] 2 2 6 2 2" xfId="29555" xr:uid="{00000000-0005-0000-0000-00006F030000}"/>
    <cellStyle name="Date [mmm-yyyy] 2 2 6 2 3" xfId="47918" xr:uid="{00000000-0005-0000-0000-00006F030000}"/>
    <cellStyle name="Date [mmm-yyyy] 2 2 6 3" xfId="15061" xr:uid="{00000000-0005-0000-0000-00006F030000}"/>
    <cellStyle name="Date [mmm-yyyy] 2 2 6 3 2" xfId="33463" xr:uid="{00000000-0005-0000-0000-00006F030000}"/>
    <cellStyle name="Date [mmm-yyyy] 2 2 6 3 3" xfId="51826" xr:uid="{00000000-0005-0000-0000-00006F030000}"/>
    <cellStyle name="Date [mmm-yyyy] 2 2 6 4" xfId="24192" xr:uid="{00000000-0005-0000-0000-00006F030000}"/>
    <cellStyle name="Date [mmm-yyyy] 2 2 6 4 2" xfId="42561" xr:uid="{00000000-0005-0000-0000-00006F030000}"/>
    <cellStyle name="Date [mmm-yyyy] 2 2 6 5" xfId="20513" xr:uid="{00000000-0005-0000-0000-00006F030000}"/>
    <cellStyle name="Date [mmm-yyyy] 2 2 6 6" xfId="38910" xr:uid="{00000000-0005-0000-0000-00006F030000}"/>
    <cellStyle name="Date [mmm-yyyy] 2 2 7" xfId="4071" xr:uid="{00000000-0005-0000-0000-00006F030000}"/>
    <cellStyle name="Date [mmm-yyyy] 2 2 7 2" xfId="10771" xr:uid="{00000000-0005-0000-0000-00006F030000}"/>
    <cellStyle name="Date [mmm-yyyy] 2 2 7 2 2" xfId="29474" xr:uid="{00000000-0005-0000-0000-00006F030000}"/>
    <cellStyle name="Date [mmm-yyyy] 2 2 7 2 3" xfId="47837" xr:uid="{00000000-0005-0000-0000-00006F030000}"/>
    <cellStyle name="Date [mmm-yyyy] 2 2 7 3" xfId="14831" xr:uid="{00000000-0005-0000-0000-00006F030000}"/>
    <cellStyle name="Date [mmm-yyyy] 2 2 7 3 2" xfId="33243" xr:uid="{00000000-0005-0000-0000-00006F030000}"/>
    <cellStyle name="Date [mmm-yyyy] 2 2 7 3 3" xfId="51606" xr:uid="{00000000-0005-0000-0000-00006F030000}"/>
    <cellStyle name="Date [mmm-yyyy] 2 2 7 4" xfId="23967" xr:uid="{00000000-0005-0000-0000-00006F030000}"/>
    <cellStyle name="Date [mmm-yyyy] 2 2 7 4 2" xfId="42336" xr:uid="{00000000-0005-0000-0000-00006F030000}"/>
    <cellStyle name="Date [mmm-yyyy] 2 2 7 5" xfId="20287" xr:uid="{00000000-0005-0000-0000-00006F030000}"/>
    <cellStyle name="Date [mmm-yyyy] 2 2 7 6" xfId="38690" xr:uid="{00000000-0005-0000-0000-00006F030000}"/>
    <cellStyle name="Date [mmm-yyyy] 2 2 8" xfId="7569" xr:uid="{00000000-0005-0000-0000-00006F030000}"/>
    <cellStyle name="Date [mmm-yyyy] 2 2 8 2" xfId="26880" xr:uid="{00000000-0005-0000-0000-00006F030000}"/>
    <cellStyle name="Date [mmm-yyyy] 2 2 8 3" xfId="45245" xr:uid="{00000000-0005-0000-0000-00006F030000}"/>
    <cellStyle name="Date [mmm-yyyy] 2 2 9" xfId="10875" xr:uid="{00000000-0005-0000-0000-00006F030000}"/>
    <cellStyle name="Date [mmm-yyyy] 2 2 9 2" xfId="29538" xr:uid="{00000000-0005-0000-0000-00006F030000}"/>
    <cellStyle name="Date [mmm-yyyy] 2 2 9 3" xfId="47901" xr:uid="{00000000-0005-0000-0000-00006F030000}"/>
    <cellStyle name="Date [mmm-yyyy] 2 3" xfId="1437" xr:uid="{00000000-0005-0000-0000-000079030000}"/>
    <cellStyle name="Date [mmm-yyyy] 2 3 10" xfId="8821" xr:uid="{00000000-0005-0000-0000-000079030000}"/>
    <cellStyle name="Date [mmm-yyyy] 2 3 2" xfId="3457" xr:uid="{00000000-0005-0000-0000-000079030000}"/>
    <cellStyle name="Date [mmm-yyyy] 2 3 2 2" xfId="5632" xr:uid="{00000000-0005-0000-0000-000079030000}"/>
    <cellStyle name="Date [mmm-yyyy] 2 3 2 2 2" xfId="11996" xr:uid="{00000000-0005-0000-0000-000079030000}"/>
    <cellStyle name="Date [mmm-yyyy] 2 3 2 2 2 2" xfId="30443" xr:uid="{00000000-0005-0000-0000-000079030000}"/>
    <cellStyle name="Date [mmm-yyyy] 2 3 2 2 2 3" xfId="48806" xr:uid="{00000000-0005-0000-0000-000079030000}"/>
    <cellStyle name="Date [mmm-yyyy] 2 3 2 2 3" xfId="16322" xr:uid="{00000000-0005-0000-0000-000079030000}"/>
    <cellStyle name="Date [mmm-yyyy] 2 3 2 2 3 2" xfId="34694" xr:uid="{00000000-0005-0000-0000-000079030000}"/>
    <cellStyle name="Date [mmm-yyyy] 2 3 2 2 3 3" xfId="53057" xr:uid="{00000000-0005-0000-0000-000079030000}"/>
    <cellStyle name="Date [mmm-yyyy] 2 3 2 2 4" xfId="25441" xr:uid="{00000000-0005-0000-0000-000079030000}"/>
    <cellStyle name="Date [mmm-yyyy] 2 3 2 2 4 2" xfId="43810" xr:uid="{00000000-0005-0000-0000-000079030000}"/>
    <cellStyle name="Date [mmm-yyyy] 2 3 2 2 5" xfId="21762" xr:uid="{00000000-0005-0000-0000-000079030000}"/>
    <cellStyle name="Date [mmm-yyyy] 2 3 2 2 6" xfId="40141" xr:uid="{00000000-0005-0000-0000-000079030000}"/>
    <cellStyle name="Date [mmm-yyyy] 2 3 2 3" xfId="6456" xr:uid="{00000000-0005-0000-0000-000079030000}"/>
    <cellStyle name="Date [mmm-yyyy] 2 3 2 3 2" xfId="12747" xr:uid="{00000000-0005-0000-0000-000079030000}"/>
    <cellStyle name="Date [mmm-yyyy] 2 3 2 3 2 2" xfId="31173" xr:uid="{00000000-0005-0000-0000-000079030000}"/>
    <cellStyle name="Date [mmm-yyyy] 2 3 2 3 2 3" xfId="49536" xr:uid="{00000000-0005-0000-0000-000079030000}"/>
    <cellStyle name="Date [mmm-yyyy] 2 3 2 3 3" xfId="17058" xr:uid="{00000000-0005-0000-0000-000079030000}"/>
    <cellStyle name="Date [mmm-yyyy] 2 3 2 3 3 2" xfId="35406" xr:uid="{00000000-0005-0000-0000-000079030000}"/>
    <cellStyle name="Date [mmm-yyyy] 2 3 2 3 3 3" xfId="53769" xr:uid="{00000000-0005-0000-0000-000079030000}"/>
    <cellStyle name="Date [mmm-yyyy] 2 3 2 3 4" xfId="26191" xr:uid="{00000000-0005-0000-0000-000079030000}"/>
    <cellStyle name="Date [mmm-yyyy] 2 3 2 3 4 2" xfId="44560" xr:uid="{00000000-0005-0000-0000-000079030000}"/>
    <cellStyle name="Date [mmm-yyyy] 2 3 2 3 5" xfId="22484" xr:uid="{00000000-0005-0000-0000-000079030000}"/>
    <cellStyle name="Date [mmm-yyyy] 2 3 2 3 6" xfId="40853" xr:uid="{00000000-0005-0000-0000-000079030000}"/>
    <cellStyle name="Date [mmm-yyyy] 2 3 2 4" xfId="10170" xr:uid="{00000000-0005-0000-0000-000079030000}"/>
    <cellStyle name="Date [mmm-yyyy] 2 3 2 4 2" xfId="14227" xr:uid="{00000000-0005-0000-0000-000079030000}"/>
    <cellStyle name="Date [mmm-yyyy] 2 3 2 4 2 2" xfId="32643" xr:uid="{00000000-0005-0000-0000-000079030000}"/>
    <cellStyle name="Date [mmm-yyyy] 2 3 2 4 2 3" xfId="51006" xr:uid="{00000000-0005-0000-0000-000079030000}"/>
    <cellStyle name="Date [mmm-yyyy] 2 3 2 4 3" xfId="28881" xr:uid="{00000000-0005-0000-0000-000079030000}"/>
    <cellStyle name="Date [mmm-yyyy] 2 3 2 4 3 2" xfId="47244" xr:uid="{00000000-0005-0000-0000-000079030000}"/>
    <cellStyle name="Date [mmm-yyyy] 2 3 2 4 4" xfId="19684" xr:uid="{00000000-0005-0000-0000-000079030000}"/>
    <cellStyle name="Date [mmm-yyyy] 2 3 2 4 5" xfId="38090" xr:uid="{00000000-0005-0000-0000-000079030000}"/>
    <cellStyle name="Date [mmm-yyyy] 2 3 2 5" xfId="9360" xr:uid="{00000000-0005-0000-0000-000079030000}"/>
    <cellStyle name="Date [mmm-yyyy] 2 3 2 5 2" xfId="28079" xr:uid="{00000000-0005-0000-0000-000079030000}"/>
    <cellStyle name="Date [mmm-yyyy] 2 3 2 5 3" xfId="46442" xr:uid="{00000000-0005-0000-0000-000079030000}"/>
    <cellStyle name="Date [mmm-yyyy] 2 3 2 6" xfId="13416" xr:uid="{00000000-0005-0000-0000-000079030000}"/>
    <cellStyle name="Date [mmm-yyyy] 2 3 2 6 2" xfId="31837" xr:uid="{00000000-0005-0000-0000-000079030000}"/>
    <cellStyle name="Date [mmm-yyyy] 2 3 2 6 3" xfId="50200" xr:uid="{00000000-0005-0000-0000-000079030000}"/>
    <cellStyle name="Date [mmm-yyyy] 2 3 2 7" xfId="23365" xr:uid="{00000000-0005-0000-0000-000079030000}"/>
    <cellStyle name="Date [mmm-yyyy] 2 3 2 7 2" xfId="41734" xr:uid="{00000000-0005-0000-0000-000079030000}"/>
    <cellStyle name="Date [mmm-yyyy] 2 3 2 8" xfId="18442" xr:uid="{00000000-0005-0000-0000-000079030000}"/>
    <cellStyle name="Date [mmm-yyyy] 2 3 2 9" xfId="36848" xr:uid="{00000000-0005-0000-0000-000079030000}"/>
    <cellStyle name="Date [mmm-yyyy] 2 3 3" xfId="4454" xr:uid="{00000000-0005-0000-0000-000079030000}"/>
    <cellStyle name="Date [mmm-yyyy] 2 3 3 2" xfId="11051" xr:uid="{00000000-0005-0000-0000-000079030000}"/>
    <cellStyle name="Date [mmm-yyyy] 2 3 3 2 2" xfId="29671" xr:uid="{00000000-0005-0000-0000-000079030000}"/>
    <cellStyle name="Date [mmm-yyyy] 2 3 3 2 3" xfId="48034" xr:uid="{00000000-0005-0000-0000-000079030000}"/>
    <cellStyle name="Date [mmm-yyyy] 2 3 3 3" xfId="15188" xr:uid="{00000000-0005-0000-0000-000079030000}"/>
    <cellStyle name="Date [mmm-yyyy] 2 3 3 3 2" xfId="33584" xr:uid="{00000000-0005-0000-0000-000079030000}"/>
    <cellStyle name="Date [mmm-yyyy] 2 3 3 3 3" xfId="51947" xr:uid="{00000000-0005-0000-0000-000079030000}"/>
    <cellStyle name="Date [mmm-yyyy] 2 3 3 4" xfId="24315" xr:uid="{00000000-0005-0000-0000-000079030000}"/>
    <cellStyle name="Date [mmm-yyyy] 2 3 3 4 2" xfId="42684" xr:uid="{00000000-0005-0000-0000-000079030000}"/>
    <cellStyle name="Date [mmm-yyyy] 2 3 3 5" xfId="20639" xr:uid="{00000000-0005-0000-0000-000079030000}"/>
    <cellStyle name="Date [mmm-yyyy] 2 3 3 6" xfId="39031" xr:uid="{00000000-0005-0000-0000-000079030000}"/>
    <cellStyle name="Date [mmm-yyyy] 2 3 4" xfId="4320" xr:uid="{00000000-0005-0000-0000-000079030000}"/>
    <cellStyle name="Date [mmm-yyyy] 2 3 4 2" xfId="10928" xr:uid="{00000000-0005-0000-0000-000079030000}"/>
    <cellStyle name="Date [mmm-yyyy] 2 3 4 2 2" xfId="29558" xr:uid="{00000000-0005-0000-0000-000079030000}"/>
    <cellStyle name="Date [mmm-yyyy] 2 3 4 2 3" xfId="47921" xr:uid="{00000000-0005-0000-0000-000079030000}"/>
    <cellStyle name="Date [mmm-yyyy] 2 3 4 3" xfId="15064" xr:uid="{00000000-0005-0000-0000-000079030000}"/>
    <cellStyle name="Date [mmm-yyyy] 2 3 4 3 2" xfId="33466" xr:uid="{00000000-0005-0000-0000-000079030000}"/>
    <cellStyle name="Date [mmm-yyyy] 2 3 4 3 3" xfId="51829" xr:uid="{00000000-0005-0000-0000-000079030000}"/>
    <cellStyle name="Date [mmm-yyyy] 2 3 4 4" xfId="24195" xr:uid="{00000000-0005-0000-0000-000079030000}"/>
    <cellStyle name="Date [mmm-yyyy] 2 3 4 4 2" xfId="42564" xr:uid="{00000000-0005-0000-0000-000079030000}"/>
    <cellStyle name="Date [mmm-yyyy] 2 3 4 5" xfId="20516" xr:uid="{00000000-0005-0000-0000-000079030000}"/>
    <cellStyle name="Date [mmm-yyyy] 2 3 4 6" xfId="38913" xr:uid="{00000000-0005-0000-0000-000079030000}"/>
    <cellStyle name="Date [mmm-yyyy] 2 3 5" xfId="9168" xr:uid="{00000000-0005-0000-0000-000079030000}"/>
    <cellStyle name="Date [mmm-yyyy] 2 3 5 2" xfId="13226" xr:uid="{00000000-0005-0000-0000-000079030000}"/>
    <cellStyle name="Date [mmm-yyyy] 2 3 5 2 2" xfId="31647" xr:uid="{00000000-0005-0000-0000-000079030000}"/>
    <cellStyle name="Date [mmm-yyyy] 2 3 5 2 3" xfId="50010" xr:uid="{00000000-0005-0000-0000-000079030000}"/>
    <cellStyle name="Date [mmm-yyyy] 2 3 5 3" xfId="27889" xr:uid="{00000000-0005-0000-0000-000079030000}"/>
    <cellStyle name="Date [mmm-yyyy] 2 3 5 3 2" xfId="46252" xr:uid="{00000000-0005-0000-0000-000079030000}"/>
    <cellStyle name="Date [mmm-yyyy] 2 3 5 4" xfId="18168" xr:uid="{00000000-0005-0000-0000-000079030000}"/>
    <cellStyle name="Date [mmm-yyyy] 2 3 5 5" xfId="36574" xr:uid="{00000000-0005-0000-0000-000079030000}"/>
    <cellStyle name="Date [mmm-yyyy] 2 3 6" xfId="7725" xr:uid="{00000000-0005-0000-0000-000079030000}"/>
    <cellStyle name="Date [mmm-yyyy] 2 3 6 2" xfId="27002" xr:uid="{00000000-0005-0000-0000-000079030000}"/>
    <cellStyle name="Date [mmm-yyyy] 2 3 6 3" xfId="45367" xr:uid="{00000000-0005-0000-0000-000079030000}"/>
    <cellStyle name="Date [mmm-yyyy] 2 3 7" xfId="7218" xr:uid="{00000000-0005-0000-0000-000079030000}"/>
    <cellStyle name="Date [mmm-yyyy] 2 3 7 2" xfId="26761" xr:uid="{00000000-0005-0000-0000-000079030000}"/>
    <cellStyle name="Date [mmm-yyyy] 2 3 7 3" xfId="45129" xr:uid="{00000000-0005-0000-0000-000079030000}"/>
    <cellStyle name="Date [mmm-yyyy] 2 3 8" xfId="18164" xr:uid="{00000000-0005-0000-0000-000079030000}"/>
    <cellStyle name="Date [mmm-yyyy] 2 3 8 2" xfId="36570" xr:uid="{00000000-0005-0000-0000-000079030000}"/>
    <cellStyle name="Date [mmm-yyyy] 2 3 9" xfId="7871" xr:uid="{00000000-0005-0000-0000-000079030000}"/>
    <cellStyle name="Date [mmm-yyyy] 2 4" xfId="1904" xr:uid="{00000000-0005-0000-0000-00007A030000}"/>
    <cellStyle name="Date [mmm-yyyy] 2 4 10" xfId="8482" xr:uid="{00000000-0005-0000-0000-00007A030000}"/>
    <cellStyle name="Date [mmm-yyyy] 2 4 2" xfId="3722" xr:uid="{00000000-0005-0000-0000-00007A030000}"/>
    <cellStyle name="Date [mmm-yyyy] 2 4 2 2" xfId="5895" xr:uid="{00000000-0005-0000-0000-00007A030000}"/>
    <cellStyle name="Date [mmm-yyyy] 2 4 2 2 2" xfId="12259" xr:uid="{00000000-0005-0000-0000-00007A030000}"/>
    <cellStyle name="Date [mmm-yyyy] 2 4 2 2 2 2" xfId="30706" xr:uid="{00000000-0005-0000-0000-00007A030000}"/>
    <cellStyle name="Date [mmm-yyyy] 2 4 2 2 2 3" xfId="49069" xr:uid="{00000000-0005-0000-0000-00007A030000}"/>
    <cellStyle name="Date [mmm-yyyy] 2 4 2 2 3" xfId="16585" xr:uid="{00000000-0005-0000-0000-00007A030000}"/>
    <cellStyle name="Date [mmm-yyyy] 2 4 2 2 3 2" xfId="34957" xr:uid="{00000000-0005-0000-0000-00007A030000}"/>
    <cellStyle name="Date [mmm-yyyy] 2 4 2 2 3 3" xfId="53320" xr:uid="{00000000-0005-0000-0000-00007A030000}"/>
    <cellStyle name="Date [mmm-yyyy] 2 4 2 2 4" xfId="25704" xr:uid="{00000000-0005-0000-0000-00007A030000}"/>
    <cellStyle name="Date [mmm-yyyy] 2 4 2 2 4 2" xfId="44073" xr:uid="{00000000-0005-0000-0000-00007A030000}"/>
    <cellStyle name="Date [mmm-yyyy] 2 4 2 2 5" xfId="22025" xr:uid="{00000000-0005-0000-0000-00007A030000}"/>
    <cellStyle name="Date [mmm-yyyy] 2 4 2 2 6" xfId="40404" xr:uid="{00000000-0005-0000-0000-00007A030000}"/>
    <cellStyle name="Date [mmm-yyyy] 2 4 2 3" xfId="6721" xr:uid="{00000000-0005-0000-0000-00007A030000}"/>
    <cellStyle name="Date [mmm-yyyy] 2 4 2 3 2" xfId="13012" xr:uid="{00000000-0005-0000-0000-00007A030000}"/>
    <cellStyle name="Date [mmm-yyyy] 2 4 2 3 2 2" xfId="31438" xr:uid="{00000000-0005-0000-0000-00007A030000}"/>
    <cellStyle name="Date [mmm-yyyy] 2 4 2 3 2 3" xfId="49801" xr:uid="{00000000-0005-0000-0000-00007A030000}"/>
    <cellStyle name="Date [mmm-yyyy] 2 4 2 3 3" xfId="17323" xr:uid="{00000000-0005-0000-0000-00007A030000}"/>
    <cellStyle name="Date [mmm-yyyy] 2 4 2 3 3 2" xfId="35671" xr:uid="{00000000-0005-0000-0000-00007A030000}"/>
    <cellStyle name="Date [mmm-yyyy] 2 4 2 3 3 3" xfId="54034" xr:uid="{00000000-0005-0000-0000-00007A030000}"/>
    <cellStyle name="Date [mmm-yyyy] 2 4 2 3 4" xfId="26456" xr:uid="{00000000-0005-0000-0000-00007A030000}"/>
    <cellStyle name="Date [mmm-yyyy] 2 4 2 3 4 2" xfId="44825" xr:uid="{00000000-0005-0000-0000-00007A030000}"/>
    <cellStyle name="Date [mmm-yyyy] 2 4 2 3 5" xfId="22749" xr:uid="{00000000-0005-0000-0000-00007A030000}"/>
    <cellStyle name="Date [mmm-yyyy] 2 4 2 3 6" xfId="41118" xr:uid="{00000000-0005-0000-0000-00007A030000}"/>
    <cellStyle name="Date [mmm-yyyy] 2 4 2 4" xfId="10435" xr:uid="{00000000-0005-0000-0000-00007A030000}"/>
    <cellStyle name="Date [mmm-yyyy] 2 4 2 4 2" xfId="14492" xr:uid="{00000000-0005-0000-0000-00007A030000}"/>
    <cellStyle name="Date [mmm-yyyy] 2 4 2 4 2 2" xfId="32908" xr:uid="{00000000-0005-0000-0000-00007A030000}"/>
    <cellStyle name="Date [mmm-yyyy] 2 4 2 4 2 3" xfId="51271" xr:uid="{00000000-0005-0000-0000-00007A030000}"/>
    <cellStyle name="Date [mmm-yyyy] 2 4 2 4 3" xfId="29146" xr:uid="{00000000-0005-0000-0000-00007A030000}"/>
    <cellStyle name="Date [mmm-yyyy] 2 4 2 4 3 2" xfId="47509" xr:uid="{00000000-0005-0000-0000-00007A030000}"/>
    <cellStyle name="Date [mmm-yyyy] 2 4 2 4 4" xfId="19949" xr:uid="{00000000-0005-0000-0000-00007A030000}"/>
    <cellStyle name="Date [mmm-yyyy] 2 4 2 4 5" xfId="38355" xr:uid="{00000000-0005-0000-0000-00007A030000}"/>
    <cellStyle name="Date [mmm-yyyy] 2 4 2 5" xfId="9651" xr:uid="{00000000-0005-0000-0000-00007A030000}"/>
    <cellStyle name="Date [mmm-yyyy] 2 4 2 5 2" xfId="28367" xr:uid="{00000000-0005-0000-0000-00007A030000}"/>
    <cellStyle name="Date [mmm-yyyy] 2 4 2 5 3" xfId="46730" xr:uid="{00000000-0005-0000-0000-00007A030000}"/>
    <cellStyle name="Date [mmm-yyyy] 2 4 2 6" xfId="13708" xr:uid="{00000000-0005-0000-0000-00007A030000}"/>
    <cellStyle name="Date [mmm-yyyy] 2 4 2 6 2" xfId="32129" xr:uid="{00000000-0005-0000-0000-00007A030000}"/>
    <cellStyle name="Date [mmm-yyyy] 2 4 2 6 3" xfId="50492" xr:uid="{00000000-0005-0000-0000-00007A030000}"/>
    <cellStyle name="Date [mmm-yyyy] 2 4 2 7" xfId="23630" xr:uid="{00000000-0005-0000-0000-00007A030000}"/>
    <cellStyle name="Date [mmm-yyyy] 2 4 2 7 2" xfId="41999" xr:uid="{00000000-0005-0000-0000-00007A030000}"/>
    <cellStyle name="Date [mmm-yyyy] 2 4 2 8" xfId="18776" xr:uid="{00000000-0005-0000-0000-00007A030000}"/>
    <cellStyle name="Date [mmm-yyyy] 2 4 2 9" xfId="37185" xr:uid="{00000000-0005-0000-0000-00007A030000}"/>
    <cellStyle name="Date [mmm-yyyy] 2 4 3" xfId="4815" xr:uid="{00000000-0005-0000-0000-00007A030000}"/>
    <cellStyle name="Date [mmm-yyyy] 2 4 3 2" xfId="11376" xr:uid="{00000000-0005-0000-0000-00007A030000}"/>
    <cellStyle name="Date [mmm-yyyy] 2 4 3 2 2" xfId="29968" xr:uid="{00000000-0005-0000-0000-00007A030000}"/>
    <cellStyle name="Date [mmm-yyyy] 2 4 3 2 3" xfId="48331" xr:uid="{00000000-0005-0000-0000-00007A030000}"/>
    <cellStyle name="Date [mmm-yyyy] 2 4 3 3" xfId="15541" xr:uid="{00000000-0005-0000-0000-00007A030000}"/>
    <cellStyle name="Date [mmm-yyyy] 2 4 3 3 2" xfId="33934" xr:uid="{00000000-0005-0000-0000-00007A030000}"/>
    <cellStyle name="Date [mmm-yyyy] 2 4 3 3 3" xfId="52297" xr:uid="{00000000-0005-0000-0000-00007A030000}"/>
    <cellStyle name="Date [mmm-yyyy] 2 4 3 4" xfId="24665" xr:uid="{00000000-0005-0000-0000-00007A030000}"/>
    <cellStyle name="Date [mmm-yyyy] 2 4 3 4 2" xfId="43034" xr:uid="{00000000-0005-0000-0000-00007A030000}"/>
    <cellStyle name="Date [mmm-yyyy] 2 4 3 5" xfId="20992" xr:uid="{00000000-0005-0000-0000-00007A030000}"/>
    <cellStyle name="Date [mmm-yyyy] 2 4 3 6" xfId="39381" xr:uid="{00000000-0005-0000-0000-00007A030000}"/>
    <cellStyle name="Date [mmm-yyyy] 2 4 4" xfId="64" xr:uid="{00000000-0005-0000-0000-00007A030000}"/>
    <cellStyle name="Date [mmm-yyyy] 2 4 4 2" xfId="9845" xr:uid="{00000000-0005-0000-0000-00007A030000}"/>
    <cellStyle name="Date [mmm-yyyy] 2 4 4 2 2" xfId="28559" xr:uid="{00000000-0005-0000-0000-00007A030000}"/>
    <cellStyle name="Date [mmm-yyyy] 2 4 4 2 3" xfId="46922" xr:uid="{00000000-0005-0000-0000-00007A030000}"/>
    <cellStyle name="Date [mmm-yyyy] 2 4 4 3" xfId="13903" xr:uid="{00000000-0005-0000-0000-00007A030000}"/>
    <cellStyle name="Date [mmm-yyyy] 2 4 4 3 2" xfId="32321" xr:uid="{00000000-0005-0000-0000-00007A030000}"/>
    <cellStyle name="Date [mmm-yyyy] 2 4 4 3 3" xfId="50684" xr:uid="{00000000-0005-0000-0000-00007A030000}"/>
    <cellStyle name="Date [mmm-yyyy] 2 4 4 4" xfId="19156" xr:uid="{00000000-0005-0000-0000-00007A030000}"/>
    <cellStyle name="Date [mmm-yyyy] 2 4 4 4 2" xfId="37564" xr:uid="{00000000-0005-0000-0000-00007A030000}"/>
    <cellStyle name="Date [mmm-yyyy] 2 4 4 5" xfId="19094" xr:uid="{00000000-0005-0000-0000-00007A030000}"/>
    <cellStyle name="Date [mmm-yyyy] 2 4 4 6" xfId="37502" xr:uid="{00000000-0005-0000-0000-00007A030000}"/>
    <cellStyle name="Date [mmm-yyyy] 2 4 5" xfId="9775" xr:uid="{00000000-0005-0000-0000-00007A030000}"/>
    <cellStyle name="Date [mmm-yyyy] 2 4 5 2" xfId="13832" xr:uid="{00000000-0005-0000-0000-00007A030000}"/>
    <cellStyle name="Date [mmm-yyyy] 2 4 5 2 2" xfId="32252" xr:uid="{00000000-0005-0000-0000-00007A030000}"/>
    <cellStyle name="Date [mmm-yyyy] 2 4 5 2 3" xfId="50615" xr:uid="{00000000-0005-0000-0000-00007A030000}"/>
    <cellStyle name="Date [mmm-yyyy] 2 4 5 3" xfId="28490" xr:uid="{00000000-0005-0000-0000-00007A030000}"/>
    <cellStyle name="Date [mmm-yyyy] 2 4 5 3 2" xfId="46853" xr:uid="{00000000-0005-0000-0000-00007A030000}"/>
    <cellStyle name="Date [mmm-yyyy] 2 4 5 4" xfId="18957" xr:uid="{00000000-0005-0000-0000-00007A030000}"/>
    <cellStyle name="Date [mmm-yyyy] 2 4 5 5" xfId="37366" xr:uid="{00000000-0005-0000-0000-00007A030000}"/>
    <cellStyle name="Date [mmm-yyyy] 2 4 6" xfId="8103" xr:uid="{00000000-0005-0000-0000-00007A030000}"/>
    <cellStyle name="Date [mmm-yyyy] 2 4 6 2" xfId="27308" xr:uid="{00000000-0005-0000-0000-00007A030000}"/>
    <cellStyle name="Date [mmm-yyyy] 2 4 6 3" xfId="45673" xr:uid="{00000000-0005-0000-0000-00007A030000}"/>
    <cellStyle name="Date [mmm-yyyy] 2 4 7" xfId="7763" xr:uid="{00000000-0005-0000-0000-00007A030000}"/>
    <cellStyle name="Date [mmm-yyyy] 2 4 7 2" xfId="27039" xr:uid="{00000000-0005-0000-0000-00007A030000}"/>
    <cellStyle name="Date [mmm-yyyy] 2 4 7 3" xfId="45404" xr:uid="{00000000-0005-0000-0000-00007A030000}"/>
    <cellStyle name="Date [mmm-yyyy] 2 4 8" xfId="18017" xr:uid="{00000000-0005-0000-0000-00007A030000}"/>
    <cellStyle name="Date [mmm-yyyy] 2 4 8 2" xfId="36425" xr:uid="{00000000-0005-0000-0000-00007A030000}"/>
    <cellStyle name="Date [mmm-yyyy] 2 4 9" xfId="7327" xr:uid="{00000000-0005-0000-0000-00007A030000}"/>
    <cellStyle name="Date [mmm-yyyy] 2 5" xfId="2319" xr:uid="{00000000-0005-0000-0000-00007B030000}"/>
    <cellStyle name="Date [mmm-yyyy] 2 5 10" xfId="13213" xr:uid="{00000000-0005-0000-0000-00007B030000}"/>
    <cellStyle name="Date [mmm-yyyy] 2 5 2" xfId="3767" xr:uid="{00000000-0005-0000-0000-00007B030000}"/>
    <cellStyle name="Date [mmm-yyyy] 2 5 2 2" xfId="5940" xr:uid="{00000000-0005-0000-0000-00007B030000}"/>
    <cellStyle name="Date [mmm-yyyy] 2 5 2 2 2" xfId="12304" xr:uid="{00000000-0005-0000-0000-00007B030000}"/>
    <cellStyle name="Date [mmm-yyyy] 2 5 2 2 2 2" xfId="30751" xr:uid="{00000000-0005-0000-0000-00007B030000}"/>
    <cellStyle name="Date [mmm-yyyy] 2 5 2 2 2 3" xfId="49114" xr:uid="{00000000-0005-0000-0000-00007B030000}"/>
    <cellStyle name="Date [mmm-yyyy] 2 5 2 2 3" xfId="16630" xr:uid="{00000000-0005-0000-0000-00007B030000}"/>
    <cellStyle name="Date [mmm-yyyy] 2 5 2 2 3 2" xfId="35002" xr:uid="{00000000-0005-0000-0000-00007B030000}"/>
    <cellStyle name="Date [mmm-yyyy] 2 5 2 2 3 3" xfId="53365" xr:uid="{00000000-0005-0000-0000-00007B030000}"/>
    <cellStyle name="Date [mmm-yyyy] 2 5 2 2 4" xfId="25749" xr:uid="{00000000-0005-0000-0000-00007B030000}"/>
    <cellStyle name="Date [mmm-yyyy] 2 5 2 2 4 2" xfId="44118" xr:uid="{00000000-0005-0000-0000-00007B030000}"/>
    <cellStyle name="Date [mmm-yyyy] 2 5 2 2 5" xfId="22070" xr:uid="{00000000-0005-0000-0000-00007B030000}"/>
    <cellStyle name="Date [mmm-yyyy] 2 5 2 2 6" xfId="40449" xr:uid="{00000000-0005-0000-0000-00007B030000}"/>
    <cellStyle name="Date [mmm-yyyy] 2 5 2 3" xfId="6766" xr:uid="{00000000-0005-0000-0000-00007B030000}"/>
    <cellStyle name="Date [mmm-yyyy] 2 5 2 3 2" xfId="13057" xr:uid="{00000000-0005-0000-0000-00007B030000}"/>
    <cellStyle name="Date [mmm-yyyy] 2 5 2 3 2 2" xfId="31483" xr:uid="{00000000-0005-0000-0000-00007B030000}"/>
    <cellStyle name="Date [mmm-yyyy] 2 5 2 3 2 3" xfId="49846" xr:uid="{00000000-0005-0000-0000-00007B030000}"/>
    <cellStyle name="Date [mmm-yyyy] 2 5 2 3 3" xfId="17368" xr:uid="{00000000-0005-0000-0000-00007B030000}"/>
    <cellStyle name="Date [mmm-yyyy] 2 5 2 3 3 2" xfId="35716" xr:uid="{00000000-0005-0000-0000-00007B030000}"/>
    <cellStyle name="Date [mmm-yyyy] 2 5 2 3 3 3" xfId="54079" xr:uid="{00000000-0005-0000-0000-00007B030000}"/>
    <cellStyle name="Date [mmm-yyyy] 2 5 2 3 4" xfId="26501" xr:uid="{00000000-0005-0000-0000-00007B030000}"/>
    <cellStyle name="Date [mmm-yyyy] 2 5 2 3 4 2" xfId="44870" xr:uid="{00000000-0005-0000-0000-00007B030000}"/>
    <cellStyle name="Date [mmm-yyyy] 2 5 2 3 5" xfId="22794" xr:uid="{00000000-0005-0000-0000-00007B030000}"/>
    <cellStyle name="Date [mmm-yyyy] 2 5 2 3 6" xfId="41163" xr:uid="{00000000-0005-0000-0000-00007B030000}"/>
    <cellStyle name="Date [mmm-yyyy] 2 5 2 4" xfId="10480" xr:uid="{00000000-0005-0000-0000-00007B030000}"/>
    <cellStyle name="Date [mmm-yyyy] 2 5 2 4 2" xfId="14537" xr:uid="{00000000-0005-0000-0000-00007B030000}"/>
    <cellStyle name="Date [mmm-yyyy] 2 5 2 4 2 2" xfId="32953" xr:uid="{00000000-0005-0000-0000-00007B030000}"/>
    <cellStyle name="Date [mmm-yyyy] 2 5 2 4 2 3" xfId="51316" xr:uid="{00000000-0005-0000-0000-00007B030000}"/>
    <cellStyle name="Date [mmm-yyyy] 2 5 2 4 3" xfId="29191" xr:uid="{00000000-0005-0000-0000-00007B030000}"/>
    <cellStyle name="Date [mmm-yyyy] 2 5 2 4 3 2" xfId="47554" xr:uid="{00000000-0005-0000-0000-00007B030000}"/>
    <cellStyle name="Date [mmm-yyyy] 2 5 2 4 4" xfId="19994" xr:uid="{00000000-0005-0000-0000-00007B030000}"/>
    <cellStyle name="Date [mmm-yyyy] 2 5 2 4 5" xfId="38400" xr:uid="{00000000-0005-0000-0000-00007B030000}"/>
    <cellStyle name="Date [mmm-yyyy] 2 5 2 5" xfId="9751" xr:uid="{00000000-0005-0000-0000-00007B030000}"/>
    <cellStyle name="Date [mmm-yyyy] 2 5 2 5 2" xfId="28466" xr:uid="{00000000-0005-0000-0000-00007B030000}"/>
    <cellStyle name="Date [mmm-yyyy] 2 5 2 5 3" xfId="46829" xr:uid="{00000000-0005-0000-0000-00007B030000}"/>
    <cellStyle name="Date [mmm-yyyy] 2 5 2 6" xfId="13808" xr:uid="{00000000-0005-0000-0000-00007B030000}"/>
    <cellStyle name="Date [mmm-yyyy] 2 5 2 6 2" xfId="32228" xr:uid="{00000000-0005-0000-0000-00007B030000}"/>
    <cellStyle name="Date [mmm-yyyy] 2 5 2 6 3" xfId="50591" xr:uid="{00000000-0005-0000-0000-00007B030000}"/>
    <cellStyle name="Date [mmm-yyyy] 2 5 2 7" xfId="23675" xr:uid="{00000000-0005-0000-0000-00007B030000}"/>
    <cellStyle name="Date [mmm-yyyy] 2 5 2 7 2" xfId="42044" xr:uid="{00000000-0005-0000-0000-00007B030000}"/>
    <cellStyle name="Date [mmm-yyyy] 2 5 2 8" xfId="18933" xr:uid="{00000000-0005-0000-0000-00007B030000}"/>
    <cellStyle name="Date [mmm-yyyy] 2 5 2 9" xfId="37342" xr:uid="{00000000-0005-0000-0000-00007B030000}"/>
    <cellStyle name="Date [mmm-yyyy] 2 5 3" xfId="4967" xr:uid="{00000000-0005-0000-0000-00007B030000}"/>
    <cellStyle name="Date [mmm-yyyy] 2 5 3 2" xfId="11497" xr:uid="{00000000-0005-0000-0000-00007B030000}"/>
    <cellStyle name="Date [mmm-yyyy] 2 5 3 2 2" xfId="30070" xr:uid="{00000000-0005-0000-0000-00007B030000}"/>
    <cellStyle name="Date [mmm-yyyy] 2 5 3 2 3" xfId="48433" xr:uid="{00000000-0005-0000-0000-00007B030000}"/>
    <cellStyle name="Date [mmm-yyyy] 2 5 3 3" xfId="15683" xr:uid="{00000000-0005-0000-0000-00007B030000}"/>
    <cellStyle name="Date [mmm-yyyy] 2 5 3 3 2" xfId="34072" xr:uid="{00000000-0005-0000-0000-00007B030000}"/>
    <cellStyle name="Date [mmm-yyyy] 2 5 3 3 3" xfId="52435" xr:uid="{00000000-0005-0000-0000-00007B030000}"/>
    <cellStyle name="Date [mmm-yyyy] 2 5 3 4" xfId="24807" xr:uid="{00000000-0005-0000-0000-00007B030000}"/>
    <cellStyle name="Date [mmm-yyyy] 2 5 3 4 2" xfId="43176" xr:uid="{00000000-0005-0000-0000-00007B030000}"/>
    <cellStyle name="Date [mmm-yyyy] 2 5 3 5" xfId="21132" xr:uid="{00000000-0005-0000-0000-00007B030000}"/>
    <cellStyle name="Date [mmm-yyyy] 2 5 3 6" xfId="39519" xr:uid="{00000000-0005-0000-0000-00007B030000}"/>
    <cellStyle name="Date [mmm-yyyy] 2 5 4" xfId="6107" xr:uid="{00000000-0005-0000-0000-00007B030000}"/>
    <cellStyle name="Date [mmm-yyyy] 2 5 4 2" xfId="12461" xr:uid="{00000000-0005-0000-0000-00007B030000}"/>
    <cellStyle name="Date [mmm-yyyy] 2 5 4 2 2" xfId="30901" xr:uid="{00000000-0005-0000-0000-00007B030000}"/>
    <cellStyle name="Date [mmm-yyyy] 2 5 4 2 3" xfId="49264" xr:uid="{00000000-0005-0000-0000-00007B030000}"/>
    <cellStyle name="Date [mmm-yyyy] 2 5 4 3" xfId="16780" xr:uid="{00000000-0005-0000-0000-00007B030000}"/>
    <cellStyle name="Date [mmm-yyyy] 2 5 4 3 2" xfId="35149" xr:uid="{00000000-0005-0000-0000-00007B030000}"/>
    <cellStyle name="Date [mmm-yyyy] 2 5 4 3 3" xfId="53512" xr:uid="{00000000-0005-0000-0000-00007B030000}"/>
    <cellStyle name="Date [mmm-yyyy] 2 5 4 4" xfId="25903" xr:uid="{00000000-0005-0000-0000-00007B030000}"/>
    <cellStyle name="Date [mmm-yyyy] 2 5 4 4 2" xfId="44272" xr:uid="{00000000-0005-0000-0000-00007B030000}"/>
    <cellStyle name="Date [mmm-yyyy] 2 5 4 5" xfId="22219" xr:uid="{00000000-0005-0000-0000-00007B030000}"/>
    <cellStyle name="Date [mmm-yyyy] 2 5 4 6" xfId="40596" xr:uid="{00000000-0005-0000-0000-00007B030000}"/>
    <cellStyle name="Date [mmm-yyyy] 2 5 5" xfId="9017" xr:uid="{00000000-0005-0000-0000-00007B030000}"/>
    <cellStyle name="Date [mmm-yyyy] 2 5 5 2" xfId="6931" xr:uid="{00000000-0005-0000-0000-00007B030000}"/>
    <cellStyle name="Date [mmm-yyyy] 2 5 5 2 2" xfId="26666" xr:uid="{00000000-0005-0000-0000-00007B030000}"/>
    <cellStyle name="Date [mmm-yyyy] 2 5 5 2 3" xfId="45035" xr:uid="{00000000-0005-0000-0000-00007B030000}"/>
    <cellStyle name="Date [mmm-yyyy] 2 5 5 3" xfId="27744" xr:uid="{00000000-0005-0000-0000-00007B030000}"/>
    <cellStyle name="Date [mmm-yyyy] 2 5 5 3 2" xfId="46107" xr:uid="{00000000-0005-0000-0000-00007B030000}"/>
    <cellStyle name="Date [mmm-yyyy] 2 5 5 4" xfId="17894" xr:uid="{00000000-0005-0000-0000-00007B030000}"/>
    <cellStyle name="Date [mmm-yyyy] 2 5 5 5" xfId="36304" xr:uid="{00000000-0005-0000-0000-00007B030000}"/>
    <cellStyle name="Date [mmm-yyyy] 2 5 6" xfId="8360" xr:uid="{00000000-0005-0000-0000-00007B030000}"/>
    <cellStyle name="Date [mmm-yyyy] 2 5 6 2" xfId="27427" xr:uid="{00000000-0005-0000-0000-00007B030000}"/>
    <cellStyle name="Date [mmm-yyyy] 2 5 6 3" xfId="45791" xr:uid="{00000000-0005-0000-0000-00007B030000}"/>
    <cellStyle name="Date [mmm-yyyy] 2 5 7" xfId="8480" xr:uid="{00000000-0005-0000-0000-00007B030000}"/>
    <cellStyle name="Date [mmm-yyyy] 2 5 7 2" xfId="27502" xr:uid="{00000000-0005-0000-0000-00007B030000}"/>
    <cellStyle name="Date [mmm-yyyy] 2 5 7 3" xfId="45866" xr:uid="{00000000-0005-0000-0000-00007B030000}"/>
    <cellStyle name="Date [mmm-yyyy] 2 5 8" xfId="19266" xr:uid="{00000000-0005-0000-0000-00007B030000}"/>
    <cellStyle name="Date [mmm-yyyy] 2 5 8 2" xfId="37673" xr:uid="{00000000-0005-0000-0000-00007B030000}"/>
    <cellStyle name="Date [mmm-yyyy] 2 5 9" xfId="12450" xr:uid="{00000000-0005-0000-0000-00007B030000}"/>
    <cellStyle name="Date [mmm-yyyy] 2 6" xfId="3343" xr:uid="{00000000-0005-0000-0000-00006E030000}"/>
    <cellStyle name="Date [mmm-yyyy] 2 6 2" xfId="5518" xr:uid="{00000000-0005-0000-0000-00006E030000}"/>
    <cellStyle name="Date [mmm-yyyy] 2 6 2 2" xfId="11882" xr:uid="{00000000-0005-0000-0000-00006E030000}"/>
    <cellStyle name="Date [mmm-yyyy] 2 6 2 2 2" xfId="30329" xr:uid="{00000000-0005-0000-0000-00006E030000}"/>
    <cellStyle name="Date [mmm-yyyy] 2 6 2 2 3" xfId="48692" xr:uid="{00000000-0005-0000-0000-00006E030000}"/>
    <cellStyle name="Date [mmm-yyyy] 2 6 2 3" xfId="16208" xr:uid="{00000000-0005-0000-0000-00006E030000}"/>
    <cellStyle name="Date [mmm-yyyy] 2 6 2 3 2" xfId="34580" xr:uid="{00000000-0005-0000-0000-00006E030000}"/>
    <cellStyle name="Date [mmm-yyyy] 2 6 2 3 3" xfId="52943" xr:uid="{00000000-0005-0000-0000-00006E030000}"/>
    <cellStyle name="Date [mmm-yyyy] 2 6 2 4" xfId="25327" xr:uid="{00000000-0005-0000-0000-00006E030000}"/>
    <cellStyle name="Date [mmm-yyyy] 2 6 2 4 2" xfId="43696" xr:uid="{00000000-0005-0000-0000-00006E030000}"/>
    <cellStyle name="Date [mmm-yyyy] 2 6 2 5" xfId="21648" xr:uid="{00000000-0005-0000-0000-00006E030000}"/>
    <cellStyle name="Date [mmm-yyyy] 2 6 2 6" xfId="40027" xr:uid="{00000000-0005-0000-0000-00006E030000}"/>
    <cellStyle name="Date [mmm-yyyy] 2 6 3" xfId="6342" xr:uid="{00000000-0005-0000-0000-00006E030000}"/>
    <cellStyle name="Date [mmm-yyyy] 2 6 3 2" xfId="12633" xr:uid="{00000000-0005-0000-0000-00006E030000}"/>
    <cellStyle name="Date [mmm-yyyy] 2 6 3 2 2" xfId="31059" xr:uid="{00000000-0005-0000-0000-00006E030000}"/>
    <cellStyle name="Date [mmm-yyyy] 2 6 3 2 3" xfId="49422" xr:uid="{00000000-0005-0000-0000-00006E030000}"/>
    <cellStyle name="Date [mmm-yyyy] 2 6 3 3" xfId="16944" xr:uid="{00000000-0005-0000-0000-00006E030000}"/>
    <cellStyle name="Date [mmm-yyyy] 2 6 3 3 2" xfId="35292" xr:uid="{00000000-0005-0000-0000-00006E030000}"/>
    <cellStyle name="Date [mmm-yyyy] 2 6 3 3 3" xfId="53655" xr:uid="{00000000-0005-0000-0000-00006E030000}"/>
    <cellStyle name="Date [mmm-yyyy] 2 6 3 4" xfId="26077" xr:uid="{00000000-0005-0000-0000-00006E030000}"/>
    <cellStyle name="Date [mmm-yyyy] 2 6 3 4 2" xfId="44446" xr:uid="{00000000-0005-0000-0000-00006E030000}"/>
    <cellStyle name="Date [mmm-yyyy] 2 6 3 5" xfId="22370" xr:uid="{00000000-0005-0000-0000-00006E030000}"/>
    <cellStyle name="Date [mmm-yyyy] 2 6 3 6" xfId="40739" xr:uid="{00000000-0005-0000-0000-00006E030000}"/>
    <cellStyle name="Date [mmm-yyyy] 2 6 4" xfId="10056" xr:uid="{00000000-0005-0000-0000-00006E030000}"/>
    <cellStyle name="Date [mmm-yyyy] 2 6 4 2" xfId="14113" xr:uid="{00000000-0005-0000-0000-00006E030000}"/>
    <cellStyle name="Date [mmm-yyyy] 2 6 4 2 2" xfId="32529" xr:uid="{00000000-0005-0000-0000-00006E030000}"/>
    <cellStyle name="Date [mmm-yyyy] 2 6 4 2 3" xfId="50892" xr:uid="{00000000-0005-0000-0000-00006E030000}"/>
    <cellStyle name="Date [mmm-yyyy] 2 6 4 3" xfId="28767" xr:uid="{00000000-0005-0000-0000-00006E030000}"/>
    <cellStyle name="Date [mmm-yyyy] 2 6 4 3 2" xfId="47130" xr:uid="{00000000-0005-0000-0000-00006E030000}"/>
    <cellStyle name="Date [mmm-yyyy] 2 6 4 4" xfId="19570" xr:uid="{00000000-0005-0000-0000-00006E030000}"/>
    <cellStyle name="Date [mmm-yyyy] 2 6 4 5" xfId="37976" xr:uid="{00000000-0005-0000-0000-00006E030000}"/>
    <cellStyle name="Date [mmm-yyyy] 2 6 5" xfId="9181" xr:uid="{00000000-0005-0000-0000-00006E030000}"/>
    <cellStyle name="Date [mmm-yyyy] 2 6 5 2" xfId="27902" xr:uid="{00000000-0005-0000-0000-00006E030000}"/>
    <cellStyle name="Date [mmm-yyyy] 2 6 5 3" xfId="46265" xr:uid="{00000000-0005-0000-0000-00006E030000}"/>
    <cellStyle name="Date [mmm-yyyy] 2 6 6" xfId="13239" xr:uid="{00000000-0005-0000-0000-00006E030000}"/>
    <cellStyle name="Date [mmm-yyyy] 2 6 6 2" xfId="31660" xr:uid="{00000000-0005-0000-0000-00006E030000}"/>
    <cellStyle name="Date [mmm-yyyy] 2 6 6 3" xfId="50023" xr:uid="{00000000-0005-0000-0000-00006E030000}"/>
    <cellStyle name="Date [mmm-yyyy] 2 6 7" xfId="23251" xr:uid="{00000000-0005-0000-0000-00006E030000}"/>
    <cellStyle name="Date [mmm-yyyy] 2 6 7 2" xfId="41620" xr:uid="{00000000-0005-0000-0000-00006E030000}"/>
    <cellStyle name="Date [mmm-yyyy] 2 6 8" xfId="18196" xr:uid="{00000000-0005-0000-0000-00006E030000}"/>
    <cellStyle name="Date [mmm-yyyy] 2 6 9" xfId="36602" xr:uid="{00000000-0005-0000-0000-00006E030000}"/>
    <cellStyle name="Date [mmm-yyyy] 2 7" xfId="4176" xr:uid="{00000000-0005-0000-0000-00006E030000}"/>
    <cellStyle name="Date [mmm-yyyy] 2 7 2" xfId="10828" xr:uid="{00000000-0005-0000-0000-00006E030000}"/>
    <cellStyle name="Date [mmm-yyyy] 2 7 2 2" xfId="29500" xr:uid="{00000000-0005-0000-0000-00006E030000}"/>
    <cellStyle name="Date [mmm-yyyy] 2 7 2 3" xfId="47863" xr:uid="{00000000-0005-0000-0000-00006E030000}"/>
    <cellStyle name="Date [mmm-yyyy] 2 7 3" xfId="14922" xr:uid="{00000000-0005-0000-0000-00006E030000}"/>
    <cellStyle name="Date [mmm-yyyy] 2 7 3 2" xfId="33326" xr:uid="{00000000-0005-0000-0000-00006E030000}"/>
    <cellStyle name="Date [mmm-yyyy] 2 7 3 3" xfId="51689" xr:uid="{00000000-0005-0000-0000-00006E030000}"/>
    <cellStyle name="Date [mmm-yyyy] 2 7 4" xfId="24055" xr:uid="{00000000-0005-0000-0000-00006E030000}"/>
    <cellStyle name="Date [mmm-yyyy] 2 7 4 2" xfId="42424" xr:uid="{00000000-0005-0000-0000-00006E030000}"/>
    <cellStyle name="Date [mmm-yyyy] 2 7 5" xfId="20375" xr:uid="{00000000-0005-0000-0000-00006E030000}"/>
    <cellStyle name="Date [mmm-yyyy] 2 7 6" xfId="38773" xr:uid="{00000000-0005-0000-0000-00006E030000}"/>
    <cellStyle name="Date [mmm-yyyy] 2 8" xfId="4211" xr:uid="{00000000-0005-0000-0000-00006E030000}"/>
    <cellStyle name="Date [mmm-yyyy] 2 8 2" xfId="10858" xr:uid="{00000000-0005-0000-0000-00006E030000}"/>
    <cellStyle name="Date [mmm-yyyy] 2 8 2 2" xfId="29529" xr:uid="{00000000-0005-0000-0000-00006E030000}"/>
    <cellStyle name="Date [mmm-yyyy] 2 8 2 3" xfId="47892" xr:uid="{00000000-0005-0000-0000-00006E030000}"/>
    <cellStyle name="Date [mmm-yyyy] 2 8 3" xfId="14956" xr:uid="{00000000-0005-0000-0000-00006E030000}"/>
    <cellStyle name="Date [mmm-yyyy] 2 8 3 2" xfId="33360" xr:uid="{00000000-0005-0000-0000-00006E030000}"/>
    <cellStyle name="Date [mmm-yyyy] 2 8 3 3" xfId="51723" xr:uid="{00000000-0005-0000-0000-00006E030000}"/>
    <cellStyle name="Date [mmm-yyyy] 2 8 4" xfId="24089" xr:uid="{00000000-0005-0000-0000-00006E030000}"/>
    <cellStyle name="Date [mmm-yyyy] 2 8 4 2" xfId="42458" xr:uid="{00000000-0005-0000-0000-00006E030000}"/>
    <cellStyle name="Date [mmm-yyyy] 2 8 5" xfId="20409" xr:uid="{00000000-0005-0000-0000-00006E030000}"/>
    <cellStyle name="Date [mmm-yyyy] 2 8 6" xfId="38807" xr:uid="{00000000-0005-0000-0000-00006E030000}"/>
    <cellStyle name="Date [mmm-yyyy] 2 9" xfId="7441" xr:uid="{00000000-0005-0000-0000-00006E030000}"/>
    <cellStyle name="Date [mmm-yyyy] 2 9 2" xfId="26824" xr:uid="{00000000-0005-0000-0000-00006E030000}"/>
    <cellStyle name="Date [mmm-yyyy] 2 9 3" xfId="45192" xr:uid="{00000000-0005-0000-0000-00006E030000}"/>
    <cellStyle name="Date [mmm-yyyy] 3" xfId="1881" xr:uid="{00000000-0005-0000-0000-00007C030000}"/>
    <cellStyle name="Date [mmm-yyyy] 3 10" xfId="8214" xr:uid="{00000000-0005-0000-0000-00007C030000}"/>
    <cellStyle name="Date [mmm-yyyy] 3 2" xfId="3716" xr:uid="{00000000-0005-0000-0000-00007C030000}"/>
    <cellStyle name="Date [mmm-yyyy] 3 2 2" xfId="5889" xr:uid="{00000000-0005-0000-0000-00007C030000}"/>
    <cellStyle name="Date [mmm-yyyy] 3 2 2 2" xfId="12253" xr:uid="{00000000-0005-0000-0000-00007C030000}"/>
    <cellStyle name="Date [mmm-yyyy] 3 2 2 2 2" xfId="30700" xr:uid="{00000000-0005-0000-0000-00007C030000}"/>
    <cellStyle name="Date [mmm-yyyy] 3 2 2 2 3" xfId="49063" xr:uid="{00000000-0005-0000-0000-00007C030000}"/>
    <cellStyle name="Date [mmm-yyyy] 3 2 2 3" xfId="16579" xr:uid="{00000000-0005-0000-0000-00007C030000}"/>
    <cellStyle name="Date [mmm-yyyy] 3 2 2 3 2" xfId="34951" xr:uid="{00000000-0005-0000-0000-00007C030000}"/>
    <cellStyle name="Date [mmm-yyyy] 3 2 2 3 3" xfId="53314" xr:uid="{00000000-0005-0000-0000-00007C030000}"/>
    <cellStyle name="Date [mmm-yyyy] 3 2 2 4" xfId="25698" xr:uid="{00000000-0005-0000-0000-00007C030000}"/>
    <cellStyle name="Date [mmm-yyyy] 3 2 2 4 2" xfId="44067" xr:uid="{00000000-0005-0000-0000-00007C030000}"/>
    <cellStyle name="Date [mmm-yyyy] 3 2 2 5" xfId="22019" xr:uid="{00000000-0005-0000-0000-00007C030000}"/>
    <cellStyle name="Date [mmm-yyyy] 3 2 2 6" xfId="40398" xr:uid="{00000000-0005-0000-0000-00007C030000}"/>
    <cellStyle name="Date [mmm-yyyy] 3 2 3" xfId="6715" xr:uid="{00000000-0005-0000-0000-00007C030000}"/>
    <cellStyle name="Date [mmm-yyyy] 3 2 3 2" xfId="13006" xr:uid="{00000000-0005-0000-0000-00007C030000}"/>
    <cellStyle name="Date [mmm-yyyy] 3 2 3 2 2" xfId="31432" xr:uid="{00000000-0005-0000-0000-00007C030000}"/>
    <cellStyle name="Date [mmm-yyyy] 3 2 3 2 3" xfId="49795" xr:uid="{00000000-0005-0000-0000-00007C030000}"/>
    <cellStyle name="Date [mmm-yyyy] 3 2 3 3" xfId="17317" xr:uid="{00000000-0005-0000-0000-00007C030000}"/>
    <cellStyle name="Date [mmm-yyyy] 3 2 3 3 2" xfId="35665" xr:uid="{00000000-0005-0000-0000-00007C030000}"/>
    <cellStyle name="Date [mmm-yyyy] 3 2 3 3 3" xfId="54028" xr:uid="{00000000-0005-0000-0000-00007C030000}"/>
    <cellStyle name="Date [mmm-yyyy] 3 2 3 4" xfId="26450" xr:uid="{00000000-0005-0000-0000-00007C030000}"/>
    <cellStyle name="Date [mmm-yyyy] 3 2 3 4 2" xfId="44819" xr:uid="{00000000-0005-0000-0000-00007C030000}"/>
    <cellStyle name="Date [mmm-yyyy] 3 2 3 5" xfId="22743" xr:uid="{00000000-0005-0000-0000-00007C030000}"/>
    <cellStyle name="Date [mmm-yyyy] 3 2 3 6" xfId="41112" xr:uid="{00000000-0005-0000-0000-00007C030000}"/>
    <cellStyle name="Date [mmm-yyyy] 3 2 4" xfId="10429" xr:uid="{00000000-0005-0000-0000-00007C030000}"/>
    <cellStyle name="Date [mmm-yyyy] 3 2 4 2" xfId="14486" xr:uid="{00000000-0005-0000-0000-00007C030000}"/>
    <cellStyle name="Date [mmm-yyyy] 3 2 4 2 2" xfId="32902" xr:uid="{00000000-0005-0000-0000-00007C030000}"/>
    <cellStyle name="Date [mmm-yyyy] 3 2 4 2 3" xfId="51265" xr:uid="{00000000-0005-0000-0000-00007C030000}"/>
    <cellStyle name="Date [mmm-yyyy] 3 2 4 3" xfId="29140" xr:uid="{00000000-0005-0000-0000-00007C030000}"/>
    <cellStyle name="Date [mmm-yyyy] 3 2 4 3 2" xfId="47503" xr:uid="{00000000-0005-0000-0000-00007C030000}"/>
    <cellStyle name="Date [mmm-yyyy] 3 2 4 4" xfId="19943" xr:uid="{00000000-0005-0000-0000-00007C030000}"/>
    <cellStyle name="Date [mmm-yyyy] 3 2 4 5" xfId="38349" xr:uid="{00000000-0005-0000-0000-00007C030000}"/>
    <cellStyle name="Date [mmm-yyyy] 3 2 5" xfId="9645" xr:uid="{00000000-0005-0000-0000-00007C030000}"/>
    <cellStyle name="Date [mmm-yyyy] 3 2 5 2" xfId="28361" xr:uid="{00000000-0005-0000-0000-00007C030000}"/>
    <cellStyle name="Date [mmm-yyyy] 3 2 5 3" xfId="46724" xr:uid="{00000000-0005-0000-0000-00007C030000}"/>
    <cellStyle name="Date [mmm-yyyy] 3 2 6" xfId="13702" xr:uid="{00000000-0005-0000-0000-00007C030000}"/>
    <cellStyle name="Date [mmm-yyyy] 3 2 6 2" xfId="32123" xr:uid="{00000000-0005-0000-0000-00007C030000}"/>
    <cellStyle name="Date [mmm-yyyy] 3 2 6 3" xfId="50486" xr:uid="{00000000-0005-0000-0000-00007C030000}"/>
    <cellStyle name="Date [mmm-yyyy] 3 2 7" xfId="23624" xr:uid="{00000000-0005-0000-0000-00007C030000}"/>
    <cellStyle name="Date [mmm-yyyy] 3 2 7 2" xfId="41993" xr:uid="{00000000-0005-0000-0000-00007C030000}"/>
    <cellStyle name="Date [mmm-yyyy] 3 2 8" xfId="18764" xr:uid="{00000000-0005-0000-0000-00007C030000}"/>
    <cellStyle name="Date [mmm-yyyy] 3 2 9" xfId="37173" xr:uid="{00000000-0005-0000-0000-00007C030000}"/>
    <cellStyle name="Date [mmm-yyyy] 3 3" xfId="4802" xr:uid="{00000000-0005-0000-0000-00007C030000}"/>
    <cellStyle name="Date [mmm-yyyy] 3 3 2" xfId="11364" xr:uid="{00000000-0005-0000-0000-00007C030000}"/>
    <cellStyle name="Date [mmm-yyyy] 3 3 2 2" xfId="29958" xr:uid="{00000000-0005-0000-0000-00007C030000}"/>
    <cellStyle name="Date [mmm-yyyy] 3 3 2 3" xfId="48321" xr:uid="{00000000-0005-0000-0000-00007C030000}"/>
    <cellStyle name="Date [mmm-yyyy] 3 3 3" xfId="15528" xr:uid="{00000000-0005-0000-0000-00007C030000}"/>
    <cellStyle name="Date [mmm-yyyy] 3 3 3 2" xfId="33921" xr:uid="{00000000-0005-0000-0000-00007C030000}"/>
    <cellStyle name="Date [mmm-yyyy] 3 3 3 3" xfId="52284" xr:uid="{00000000-0005-0000-0000-00007C030000}"/>
    <cellStyle name="Date [mmm-yyyy] 3 3 4" xfId="24652" xr:uid="{00000000-0005-0000-0000-00007C030000}"/>
    <cellStyle name="Date [mmm-yyyy] 3 3 4 2" xfId="43021" xr:uid="{00000000-0005-0000-0000-00007C030000}"/>
    <cellStyle name="Date [mmm-yyyy] 3 3 5" xfId="20979" xr:uid="{00000000-0005-0000-0000-00007C030000}"/>
    <cellStyle name="Date [mmm-yyyy] 3 3 6" xfId="39368" xr:uid="{00000000-0005-0000-0000-00007C030000}"/>
    <cellStyle name="Date [mmm-yyyy] 3 4" xfId="63" xr:uid="{00000000-0005-0000-0000-00007C030000}"/>
    <cellStyle name="Date [mmm-yyyy] 3 4 2" xfId="9159" xr:uid="{00000000-0005-0000-0000-00007C030000}"/>
    <cellStyle name="Date [mmm-yyyy] 3 4 2 2" xfId="27881" xr:uid="{00000000-0005-0000-0000-00007C030000}"/>
    <cellStyle name="Date [mmm-yyyy] 3 4 2 3" xfId="46244" xr:uid="{00000000-0005-0000-0000-00007C030000}"/>
    <cellStyle name="Date [mmm-yyyy] 3 4 3" xfId="13218" xr:uid="{00000000-0005-0000-0000-00007C030000}"/>
    <cellStyle name="Date [mmm-yyyy] 3 4 3 2" xfId="31639" xr:uid="{00000000-0005-0000-0000-00007C030000}"/>
    <cellStyle name="Date [mmm-yyyy] 3 4 3 3" xfId="50002" xr:uid="{00000000-0005-0000-0000-00007C030000}"/>
    <cellStyle name="Date [mmm-yyyy] 3 4 4" xfId="18077" xr:uid="{00000000-0005-0000-0000-00007C030000}"/>
    <cellStyle name="Date [mmm-yyyy] 3 4 4 2" xfId="36484" xr:uid="{00000000-0005-0000-0000-00007C030000}"/>
    <cellStyle name="Date [mmm-yyyy] 3 4 5" xfId="18151" xr:uid="{00000000-0005-0000-0000-00007C030000}"/>
    <cellStyle name="Date [mmm-yyyy] 3 4 6" xfId="36558" xr:uid="{00000000-0005-0000-0000-00007C030000}"/>
    <cellStyle name="Date [mmm-yyyy] 3 5" xfId="9045" xr:uid="{00000000-0005-0000-0000-00007C030000}"/>
    <cellStyle name="Date [mmm-yyyy] 3 5 2" xfId="8420" xr:uid="{00000000-0005-0000-0000-00007C030000}"/>
    <cellStyle name="Date [mmm-yyyy] 3 5 2 2" xfId="27481" xr:uid="{00000000-0005-0000-0000-00007C030000}"/>
    <cellStyle name="Date [mmm-yyyy] 3 5 2 3" xfId="45845" xr:uid="{00000000-0005-0000-0000-00007C030000}"/>
    <cellStyle name="Date [mmm-yyyy] 3 5 3" xfId="27771" xr:uid="{00000000-0005-0000-0000-00007C030000}"/>
    <cellStyle name="Date [mmm-yyyy] 3 5 3 2" xfId="46134" xr:uid="{00000000-0005-0000-0000-00007C030000}"/>
    <cellStyle name="Date [mmm-yyyy] 3 5 4" xfId="17941" xr:uid="{00000000-0005-0000-0000-00007C030000}"/>
    <cellStyle name="Date [mmm-yyyy] 3 5 5" xfId="36349" xr:uid="{00000000-0005-0000-0000-00007C030000}"/>
    <cellStyle name="Date [mmm-yyyy] 3 6" xfId="8086" xr:uid="{00000000-0005-0000-0000-00007C030000}"/>
    <cellStyle name="Date [mmm-yyyy] 3 6 2" xfId="27293" xr:uid="{00000000-0005-0000-0000-00007C030000}"/>
    <cellStyle name="Date [mmm-yyyy] 3 6 3" xfId="45658" xr:uid="{00000000-0005-0000-0000-00007C030000}"/>
    <cellStyle name="Date [mmm-yyyy] 3 7" xfId="8739" xr:uid="{00000000-0005-0000-0000-00007C030000}"/>
    <cellStyle name="Date [mmm-yyyy] 3 7 2" xfId="27614" xr:uid="{00000000-0005-0000-0000-00007C030000}"/>
    <cellStyle name="Date [mmm-yyyy] 3 7 3" xfId="45977" xr:uid="{00000000-0005-0000-0000-00007C030000}"/>
    <cellStyle name="Date [mmm-yyyy] 3 8" xfId="18755" xr:uid="{00000000-0005-0000-0000-00007C030000}"/>
    <cellStyle name="Date [mmm-yyyy] 3 8 2" xfId="37164" xr:uid="{00000000-0005-0000-0000-00007C030000}"/>
    <cellStyle name="Date [mmm-yyyy] 3 9" xfId="8816" xr:uid="{00000000-0005-0000-0000-00007C030000}"/>
    <cellStyle name="Date [mmm-yyyy] 4" xfId="3031" xr:uid="{00000000-0005-0000-0000-00007D030000}"/>
    <cellStyle name="Date [mmm-yyyy] 4 10" xfId="36037" xr:uid="{00000000-0005-0000-0000-00007D030000}"/>
    <cellStyle name="Date [mmm-yyyy] 4 2" xfId="3844" xr:uid="{00000000-0005-0000-0000-00007D030000}"/>
    <cellStyle name="Date [mmm-yyyy] 4 2 2" xfId="6017" xr:uid="{00000000-0005-0000-0000-00007D030000}"/>
    <cellStyle name="Date [mmm-yyyy] 4 2 2 2" xfId="12381" xr:uid="{00000000-0005-0000-0000-00007D030000}"/>
    <cellStyle name="Date [mmm-yyyy] 4 2 2 2 2" xfId="30828" xr:uid="{00000000-0005-0000-0000-00007D030000}"/>
    <cellStyle name="Date [mmm-yyyy] 4 2 2 2 3" xfId="49191" xr:uid="{00000000-0005-0000-0000-00007D030000}"/>
    <cellStyle name="Date [mmm-yyyy] 4 2 2 3" xfId="16707" xr:uid="{00000000-0005-0000-0000-00007D030000}"/>
    <cellStyle name="Date [mmm-yyyy] 4 2 2 3 2" xfId="35079" xr:uid="{00000000-0005-0000-0000-00007D030000}"/>
    <cellStyle name="Date [mmm-yyyy] 4 2 2 3 3" xfId="53442" xr:uid="{00000000-0005-0000-0000-00007D030000}"/>
    <cellStyle name="Date [mmm-yyyy] 4 2 2 4" xfId="25826" xr:uid="{00000000-0005-0000-0000-00007D030000}"/>
    <cellStyle name="Date [mmm-yyyy] 4 2 2 4 2" xfId="44195" xr:uid="{00000000-0005-0000-0000-00007D030000}"/>
    <cellStyle name="Date [mmm-yyyy] 4 2 2 5" xfId="22147" xr:uid="{00000000-0005-0000-0000-00007D030000}"/>
    <cellStyle name="Date [mmm-yyyy] 4 2 2 6" xfId="40526" xr:uid="{00000000-0005-0000-0000-00007D030000}"/>
    <cellStyle name="Date [mmm-yyyy] 4 2 3" xfId="6843" xr:uid="{00000000-0005-0000-0000-00007D030000}"/>
    <cellStyle name="Date [mmm-yyyy] 4 2 3 2" xfId="13134" xr:uid="{00000000-0005-0000-0000-00007D030000}"/>
    <cellStyle name="Date [mmm-yyyy] 4 2 3 2 2" xfId="31560" xr:uid="{00000000-0005-0000-0000-00007D030000}"/>
    <cellStyle name="Date [mmm-yyyy] 4 2 3 2 3" xfId="49923" xr:uid="{00000000-0005-0000-0000-00007D030000}"/>
    <cellStyle name="Date [mmm-yyyy] 4 2 3 3" xfId="17445" xr:uid="{00000000-0005-0000-0000-00007D030000}"/>
    <cellStyle name="Date [mmm-yyyy] 4 2 3 3 2" xfId="35793" xr:uid="{00000000-0005-0000-0000-00007D030000}"/>
    <cellStyle name="Date [mmm-yyyy] 4 2 3 3 3" xfId="54156" xr:uid="{00000000-0005-0000-0000-00007D030000}"/>
    <cellStyle name="Date [mmm-yyyy] 4 2 3 4" xfId="26578" xr:uid="{00000000-0005-0000-0000-00007D030000}"/>
    <cellStyle name="Date [mmm-yyyy] 4 2 3 4 2" xfId="44947" xr:uid="{00000000-0005-0000-0000-00007D030000}"/>
    <cellStyle name="Date [mmm-yyyy] 4 2 3 5" xfId="22871" xr:uid="{00000000-0005-0000-0000-00007D030000}"/>
    <cellStyle name="Date [mmm-yyyy] 4 2 3 6" xfId="41240" xr:uid="{00000000-0005-0000-0000-00007D030000}"/>
    <cellStyle name="Date [mmm-yyyy] 4 2 4" xfId="10557" xr:uid="{00000000-0005-0000-0000-00007D030000}"/>
    <cellStyle name="Date [mmm-yyyy] 4 2 4 2" xfId="14614" xr:uid="{00000000-0005-0000-0000-00007D030000}"/>
    <cellStyle name="Date [mmm-yyyy] 4 2 4 2 2" xfId="33030" xr:uid="{00000000-0005-0000-0000-00007D030000}"/>
    <cellStyle name="Date [mmm-yyyy] 4 2 4 2 3" xfId="51393" xr:uid="{00000000-0005-0000-0000-00007D030000}"/>
    <cellStyle name="Date [mmm-yyyy] 4 2 4 3" xfId="29268" xr:uid="{00000000-0005-0000-0000-00007D030000}"/>
    <cellStyle name="Date [mmm-yyyy] 4 2 4 3 2" xfId="47631" xr:uid="{00000000-0005-0000-0000-00007D030000}"/>
    <cellStyle name="Date [mmm-yyyy] 4 2 4 4" xfId="20071" xr:uid="{00000000-0005-0000-0000-00007D030000}"/>
    <cellStyle name="Date [mmm-yyyy] 4 2 4 5" xfId="38477" xr:uid="{00000000-0005-0000-0000-00007D030000}"/>
    <cellStyle name="Date [mmm-yyyy] 4 2 5" xfId="9929" xr:uid="{00000000-0005-0000-0000-00007D030000}"/>
    <cellStyle name="Date [mmm-yyyy] 4 2 5 2" xfId="28641" xr:uid="{00000000-0005-0000-0000-00007D030000}"/>
    <cellStyle name="Date [mmm-yyyy] 4 2 5 3" xfId="47004" xr:uid="{00000000-0005-0000-0000-00007D030000}"/>
    <cellStyle name="Date [mmm-yyyy] 4 2 6" xfId="13986" xr:uid="{00000000-0005-0000-0000-00007D030000}"/>
    <cellStyle name="Date [mmm-yyyy] 4 2 6 2" xfId="32403" xr:uid="{00000000-0005-0000-0000-00007D030000}"/>
    <cellStyle name="Date [mmm-yyyy] 4 2 6 3" xfId="50766" xr:uid="{00000000-0005-0000-0000-00007D030000}"/>
    <cellStyle name="Date [mmm-yyyy] 4 2 7" xfId="23752" xr:uid="{00000000-0005-0000-0000-00007D030000}"/>
    <cellStyle name="Date [mmm-yyyy] 4 2 7 2" xfId="42121" xr:uid="{00000000-0005-0000-0000-00007D030000}"/>
    <cellStyle name="Date [mmm-yyyy] 4 2 8" xfId="19235" xr:uid="{00000000-0005-0000-0000-00007D030000}"/>
    <cellStyle name="Date [mmm-yyyy] 4 2 9" xfId="37642" xr:uid="{00000000-0005-0000-0000-00007D030000}"/>
    <cellStyle name="Date [mmm-yyyy] 4 3" xfId="5284" xr:uid="{00000000-0005-0000-0000-00007D030000}"/>
    <cellStyle name="Date [mmm-yyyy] 4 3 2" xfId="11739" xr:uid="{00000000-0005-0000-0000-00007D030000}"/>
    <cellStyle name="Date [mmm-yyyy] 4 3 2 2" xfId="30242" xr:uid="{00000000-0005-0000-0000-00007D030000}"/>
    <cellStyle name="Date [mmm-yyyy] 4 3 2 3" xfId="48605" xr:uid="{00000000-0005-0000-0000-00007D030000}"/>
    <cellStyle name="Date [mmm-yyyy] 4 3 3" xfId="15976" xr:uid="{00000000-0005-0000-0000-00007D030000}"/>
    <cellStyle name="Date [mmm-yyyy] 4 3 3 2" xfId="34350" xr:uid="{00000000-0005-0000-0000-00007D030000}"/>
    <cellStyle name="Date [mmm-yyyy] 4 3 3 3" xfId="52713" xr:uid="{00000000-0005-0000-0000-00007D030000}"/>
    <cellStyle name="Date [mmm-yyyy] 4 3 4" xfId="25097" xr:uid="{00000000-0005-0000-0000-00007D030000}"/>
    <cellStyle name="Date [mmm-yyyy] 4 3 4 2" xfId="43466" xr:uid="{00000000-0005-0000-0000-00007D030000}"/>
    <cellStyle name="Date [mmm-yyyy] 4 3 5" xfId="21418" xr:uid="{00000000-0005-0000-0000-00007D030000}"/>
    <cellStyle name="Date [mmm-yyyy] 4 3 6" xfId="39797" xr:uid="{00000000-0005-0000-0000-00007D030000}"/>
    <cellStyle name="Date [mmm-yyyy] 4 4" xfId="6239" xr:uid="{00000000-0005-0000-0000-00007D030000}"/>
    <cellStyle name="Date [mmm-yyyy] 4 4 2" xfId="12554" xr:uid="{00000000-0005-0000-0000-00007D030000}"/>
    <cellStyle name="Date [mmm-yyyy] 4 4 2 2" xfId="30986" xr:uid="{00000000-0005-0000-0000-00007D030000}"/>
    <cellStyle name="Date [mmm-yyyy] 4 4 2 3" xfId="49349" xr:uid="{00000000-0005-0000-0000-00007D030000}"/>
    <cellStyle name="Date [mmm-yyyy] 4 4 3" xfId="16871" xr:uid="{00000000-0005-0000-0000-00007D030000}"/>
    <cellStyle name="Date [mmm-yyyy] 4 4 3 2" xfId="35228" xr:uid="{00000000-0005-0000-0000-00007D030000}"/>
    <cellStyle name="Date [mmm-yyyy] 4 4 3 3" xfId="53591" xr:uid="{00000000-0005-0000-0000-00007D030000}"/>
    <cellStyle name="Date [mmm-yyyy] 4 4 4" xfId="26003" xr:uid="{00000000-0005-0000-0000-00007D030000}"/>
    <cellStyle name="Date [mmm-yyyy] 4 4 4 2" xfId="44372" xr:uid="{00000000-0005-0000-0000-00007D030000}"/>
    <cellStyle name="Date [mmm-yyyy] 4 4 5" xfId="22302" xr:uid="{00000000-0005-0000-0000-00007D030000}"/>
    <cellStyle name="Date [mmm-yyyy] 4 4 6" xfId="40675" xr:uid="{00000000-0005-0000-0000-00007D030000}"/>
    <cellStyle name="Date [mmm-yyyy] 4 5" xfId="10042" xr:uid="{00000000-0005-0000-0000-00007D030000}"/>
    <cellStyle name="Date [mmm-yyyy] 4 5 2" xfId="14099" xr:uid="{00000000-0005-0000-0000-00007D030000}"/>
    <cellStyle name="Date [mmm-yyyy] 4 5 2 2" xfId="32515" xr:uid="{00000000-0005-0000-0000-00007D030000}"/>
    <cellStyle name="Date [mmm-yyyy] 4 5 2 3" xfId="50878" xr:uid="{00000000-0005-0000-0000-00007D030000}"/>
    <cellStyle name="Date [mmm-yyyy] 4 5 3" xfId="28753" xr:uid="{00000000-0005-0000-0000-00007D030000}"/>
    <cellStyle name="Date [mmm-yyyy] 4 5 3 2" xfId="47116" xr:uid="{00000000-0005-0000-0000-00007D030000}"/>
    <cellStyle name="Date [mmm-yyyy] 4 5 4" xfId="19497" xr:uid="{00000000-0005-0000-0000-00007D030000}"/>
    <cellStyle name="Date [mmm-yyyy] 4 5 5" xfId="37903" xr:uid="{00000000-0005-0000-0000-00007D030000}"/>
    <cellStyle name="Date [mmm-yyyy] 4 6" xfId="8819" xr:uid="{00000000-0005-0000-0000-00007D030000}"/>
    <cellStyle name="Date [mmm-yyyy] 4 6 2" xfId="27644" xr:uid="{00000000-0005-0000-0000-00007D030000}"/>
    <cellStyle name="Date [mmm-yyyy] 4 6 3" xfId="46007" xr:uid="{00000000-0005-0000-0000-00007D030000}"/>
    <cellStyle name="Date [mmm-yyyy] 4 7" xfId="10634" xr:uid="{00000000-0005-0000-0000-00007D030000}"/>
    <cellStyle name="Date [mmm-yyyy] 4 7 2" xfId="29344" xr:uid="{00000000-0005-0000-0000-00007D030000}"/>
    <cellStyle name="Date [mmm-yyyy] 4 7 3" xfId="47707" xr:uid="{00000000-0005-0000-0000-00007D030000}"/>
    <cellStyle name="Date [mmm-yyyy] 4 8" xfId="23035" xr:uid="{00000000-0005-0000-0000-00007D030000}"/>
    <cellStyle name="Date [mmm-yyyy] 4 8 2" xfId="41404" xr:uid="{00000000-0005-0000-0000-00007D030000}"/>
    <cellStyle name="Date [mmm-yyyy] 4 9" xfId="17595" xr:uid="{00000000-0005-0000-0000-00007D030000}"/>
    <cellStyle name="Date [mmm-yyyy] 5" xfId="3172" xr:uid="{00000000-0005-0000-0000-00007E030000}"/>
    <cellStyle name="Date [mmm-yyyy] 5 2" xfId="3866" xr:uid="{00000000-0005-0000-0000-00007E030000}"/>
    <cellStyle name="Date [mmm-yyyy] 5 2 2" xfId="6039" xr:uid="{00000000-0005-0000-0000-00007E030000}"/>
    <cellStyle name="Date [mmm-yyyy] 5 2 2 2" xfId="12403" xr:uid="{00000000-0005-0000-0000-00007E030000}"/>
    <cellStyle name="Date [mmm-yyyy] 5 2 2 2 2" xfId="30850" xr:uid="{00000000-0005-0000-0000-00007E030000}"/>
    <cellStyle name="Date [mmm-yyyy] 5 2 2 2 3" xfId="49213" xr:uid="{00000000-0005-0000-0000-00007E030000}"/>
    <cellStyle name="Date [mmm-yyyy] 5 2 2 3" xfId="16729" xr:uid="{00000000-0005-0000-0000-00007E030000}"/>
    <cellStyle name="Date [mmm-yyyy] 5 2 2 3 2" xfId="35101" xr:uid="{00000000-0005-0000-0000-00007E030000}"/>
    <cellStyle name="Date [mmm-yyyy] 5 2 2 3 3" xfId="53464" xr:uid="{00000000-0005-0000-0000-00007E030000}"/>
    <cellStyle name="Date [mmm-yyyy] 5 2 2 4" xfId="25848" xr:uid="{00000000-0005-0000-0000-00007E030000}"/>
    <cellStyle name="Date [mmm-yyyy] 5 2 2 4 2" xfId="44217" xr:uid="{00000000-0005-0000-0000-00007E030000}"/>
    <cellStyle name="Date [mmm-yyyy] 5 2 2 5" xfId="22169" xr:uid="{00000000-0005-0000-0000-00007E030000}"/>
    <cellStyle name="Date [mmm-yyyy] 5 2 2 6" xfId="40548" xr:uid="{00000000-0005-0000-0000-00007E030000}"/>
    <cellStyle name="Date [mmm-yyyy] 5 2 3" xfId="6865" xr:uid="{00000000-0005-0000-0000-00007E030000}"/>
    <cellStyle name="Date [mmm-yyyy] 5 2 3 2" xfId="13156" xr:uid="{00000000-0005-0000-0000-00007E030000}"/>
    <cellStyle name="Date [mmm-yyyy] 5 2 3 2 2" xfId="31582" xr:uid="{00000000-0005-0000-0000-00007E030000}"/>
    <cellStyle name="Date [mmm-yyyy] 5 2 3 2 3" xfId="49945" xr:uid="{00000000-0005-0000-0000-00007E030000}"/>
    <cellStyle name="Date [mmm-yyyy] 5 2 3 3" xfId="17467" xr:uid="{00000000-0005-0000-0000-00007E030000}"/>
    <cellStyle name="Date [mmm-yyyy] 5 2 3 3 2" xfId="35815" xr:uid="{00000000-0005-0000-0000-00007E030000}"/>
    <cellStyle name="Date [mmm-yyyy] 5 2 3 3 3" xfId="54178" xr:uid="{00000000-0005-0000-0000-00007E030000}"/>
    <cellStyle name="Date [mmm-yyyy] 5 2 3 4" xfId="26600" xr:uid="{00000000-0005-0000-0000-00007E030000}"/>
    <cellStyle name="Date [mmm-yyyy] 5 2 3 4 2" xfId="44969" xr:uid="{00000000-0005-0000-0000-00007E030000}"/>
    <cellStyle name="Date [mmm-yyyy] 5 2 3 5" xfId="22893" xr:uid="{00000000-0005-0000-0000-00007E030000}"/>
    <cellStyle name="Date [mmm-yyyy] 5 2 3 6" xfId="41262" xr:uid="{00000000-0005-0000-0000-00007E030000}"/>
    <cellStyle name="Date [mmm-yyyy] 5 2 4" xfId="10579" xr:uid="{00000000-0005-0000-0000-00007E030000}"/>
    <cellStyle name="Date [mmm-yyyy] 5 2 4 2" xfId="14636" xr:uid="{00000000-0005-0000-0000-00007E030000}"/>
    <cellStyle name="Date [mmm-yyyy] 5 2 4 2 2" xfId="33052" xr:uid="{00000000-0005-0000-0000-00007E030000}"/>
    <cellStyle name="Date [mmm-yyyy] 5 2 4 2 3" xfId="51415" xr:uid="{00000000-0005-0000-0000-00007E030000}"/>
    <cellStyle name="Date [mmm-yyyy] 5 2 4 3" xfId="29290" xr:uid="{00000000-0005-0000-0000-00007E030000}"/>
    <cellStyle name="Date [mmm-yyyy] 5 2 4 3 2" xfId="47653" xr:uid="{00000000-0005-0000-0000-00007E030000}"/>
    <cellStyle name="Date [mmm-yyyy] 5 2 4 4" xfId="20093" xr:uid="{00000000-0005-0000-0000-00007E030000}"/>
    <cellStyle name="Date [mmm-yyyy] 5 2 4 5" xfId="38499" xr:uid="{00000000-0005-0000-0000-00007E030000}"/>
    <cellStyle name="Date [mmm-yyyy] 5 2 5" xfId="9966" xr:uid="{00000000-0005-0000-0000-00007E030000}"/>
    <cellStyle name="Date [mmm-yyyy] 5 2 5 2" xfId="28678" xr:uid="{00000000-0005-0000-0000-00007E030000}"/>
    <cellStyle name="Date [mmm-yyyy] 5 2 5 3" xfId="47041" xr:uid="{00000000-0005-0000-0000-00007E030000}"/>
    <cellStyle name="Date [mmm-yyyy] 5 2 6" xfId="14023" xr:uid="{00000000-0005-0000-0000-00007E030000}"/>
    <cellStyle name="Date [mmm-yyyy] 5 2 6 2" xfId="32440" xr:uid="{00000000-0005-0000-0000-00007E030000}"/>
    <cellStyle name="Date [mmm-yyyy] 5 2 6 3" xfId="50803" xr:uid="{00000000-0005-0000-0000-00007E030000}"/>
    <cellStyle name="Date [mmm-yyyy] 5 2 7" xfId="23774" xr:uid="{00000000-0005-0000-0000-00007E030000}"/>
    <cellStyle name="Date [mmm-yyyy] 5 2 7 2" xfId="42143" xr:uid="{00000000-0005-0000-0000-00007E030000}"/>
    <cellStyle name="Date [mmm-yyyy] 5 2 8" xfId="19303" xr:uid="{00000000-0005-0000-0000-00007E030000}"/>
    <cellStyle name="Date [mmm-yyyy] 5 2 9" xfId="37710" xr:uid="{00000000-0005-0000-0000-00007E030000}"/>
    <cellStyle name="Date [mmm-yyyy] 5 3" xfId="5387" xr:uid="{00000000-0005-0000-0000-00007E030000}"/>
    <cellStyle name="Date [mmm-yyyy] 5 3 2" xfId="11804" xr:uid="{00000000-0005-0000-0000-00007E030000}"/>
    <cellStyle name="Date [mmm-yyyy] 5 3 2 2" xfId="30277" xr:uid="{00000000-0005-0000-0000-00007E030000}"/>
    <cellStyle name="Date [mmm-yyyy] 5 3 2 3" xfId="48640" xr:uid="{00000000-0005-0000-0000-00007E030000}"/>
    <cellStyle name="Date [mmm-yyyy] 5 3 3" xfId="16079" xr:uid="{00000000-0005-0000-0000-00007E030000}"/>
    <cellStyle name="Date [mmm-yyyy] 5 3 3 2" xfId="34451" xr:uid="{00000000-0005-0000-0000-00007E030000}"/>
    <cellStyle name="Date [mmm-yyyy] 5 3 3 3" xfId="52814" xr:uid="{00000000-0005-0000-0000-00007E030000}"/>
    <cellStyle name="Date [mmm-yyyy] 5 3 4" xfId="25198" xr:uid="{00000000-0005-0000-0000-00007E030000}"/>
    <cellStyle name="Date [mmm-yyyy] 5 3 4 2" xfId="43567" xr:uid="{00000000-0005-0000-0000-00007E030000}"/>
    <cellStyle name="Date [mmm-yyyy] 5 3 5" xfId="21519" xr:uid="{00000000-0005-0000-0000-00007E030000}"/>
    <cellStyle name="Date [mmm-yyyy] 5 3 6" xfId="39898" xr:uid="{00000000-0005-0000-0000-00007E030000}"/>
    <cellStyle name="Date [mmm-yyyy] 5 4" xfId="6280" xr:uid="{00000000-0005-0000-0000-00007E030000}"/>
    <cellStyle name="Date [mmm-yyyy] 5 4 2" xfId="12582" xr:uid="{00000000-0005-0000-0000-00007E030000}"/>
    <cellStyle name="Date [mmm-yyyy] 5 4 2 2" xfId="31011" xr:uid="{00000000-0005-0000-0000-00007E030000}"/>
    <cellStyle name="Date [mmm-yyyy] 5 4 2 3" xfId="49374" xr:uid="{00000000-0005-0000-0000-00007E030000}"/>
    <cellStyle name="Date [mmm-yyyy] 5 4 3" xfId="16895" xr:uid="{00000000-0005-0000-0000-00007E030000}"/>
    <cellStyle name="Date [mmm-yyyy] 5 4 3 2" xfId="35250" xr:uid="{00000000-0005-0000-0000-00007E030000}"/>
    <cellStyle name="Date [mmm-yyyy] 5 4 3 3" xfId="53613" xr:uid="{00000000-0005-0000-0000-00007E030000}"/>
    <cellStyle name="Date [mmm-yyyy] 5 4 4" xfId="26030" xr:uid="{00000000-0005-0000-0000-00007E030000}"/>
    <cellStyle name="Date [mmm-yyyy] 5 4 4 2" xfId="44399" xr:uid="{00000000-0005-0000-0000-00007E030000}"/>
    <cellStyle name="Date [mmm-yyyy] 5 4 5" xfId="22327" xr:uid="{00000000-0005-0000-0000-00007E030000}"/>
    <cellStyle name="Date [mmm-yyyy] 5 4 6" xfId="40697" xr:uid="{00000000-0005-0000-0000-00007E030000}"/>
    <cellStyle name="Date [mmm-yyyy] 5 5" xfId="8913" xr:uid="{00000000-0005-0000-0000-00007E030000}"/>
    <cellStyle name="Date [mmm-yyyy] 5 5 2" xfId="27689" xr:uid="{00000000-0005-0000-0000-00007E030000}"/>
    <cellStyle name="Date [mmm-yyyy] 5 5 3" xfId="46052" xr:uid="{00000000-0005-0000-0000-00007E030000}"/>
    <cellStyle name="Date [mmm-yyyy] 5 6" xfId="12511" xr:uid="{00000000-0005-0000-0000-00007E030000}"/>
    <cellStyle name="Date [mmm-yyyy] 5 6 2" xfId="30943" xr:uid="{00000000-0005-0000-0000-00007E030000}"/>
    <cellStyle name="Date [mmm-yyyy] 5 6 3" xfId="49306" xr:uid="{00000000-0005-0000-0000-00007E030000}"/>
    <cellStyle name="Date [mmm-yyyy] 5 7" xfId="23127" xr:uid="{00000000-0005-0000-0000-00007E030000}"/>
    <cellStyle name="Date [mmm-yyyy] 5 7 2" xfId="41496" xr:uid="{00000000-0005-0000-0000-00007E030000}"/>
    <cellStyle name="Date [mmm-yyyy] 5 8" xfId="17706" xr:uid="{00000000-0005-0000-0000-00007E030000}"/>
    <cellStyle name="Date [mmm-yyyy] 5 9" xfId="36129" xr:uid="{00000000-0005-0000-0000-00007E030000}"/>
    <cellStyle name="Date [mmm-yyyy] 6" xfId="3299" xr:uid="{00000000-0005-0000-0000-00007F030000}"/>
    <cellStyle name="Date [mmm-yyyy] 6 2" xfId="3886" xr:uid="{00000000-0005-0000-0000-00007F030000}"/>
    <cellStyle name="Date [mmm-yyyy] 6 2 2" xfId="6059" xr:uid="{00000000-0005-0000-0000-00007F030000}"/>
    <cellStyle name="Date [mmm-yyyy] 6 2 2 2" xfId="12423" xr:uid="{00000000-0005-0000-0000-00007F030000}"/>
    <cellStyle name="Date [mmm-yyyy] 6 2 2 2 2" xfId="30870" xr:uid="{00000000-0005-0000-0000-00007F030000}"/>
    <cellStyle name="Date [mmm-yyyy] 6 2 2 2 3" xfId="49233" xr:uid="{00000000-0005-0000-0000-00007F030000}"/>
    <cellStyle name="Date [mmm-yyyy] 6 2 2 3" xfId="16749" xr:uid="{00000000-0005-0000-0000-00007F030000}"/>
    <cellStyle name="Date [mmm-yyyy] 6 2 2 3 2" xfId="35121" xr:uid="{00000000-0005-0000-0000-00007F030000}"/>
    <cellStyle name="Date [mmm-yyyy] 6 2 2 3 3" xfId="53484" xr:uid="{00000000-0005-0000-0000-00007F030000}"/>
    <cellStyle name="Date [mmm-yyyy] 6 2 2 4" xfId="25868" xr:uid="{00000000-0005-0000-0000-00007F030000}"/>
    <cellStyle name="Date [mmm-yyyy] 6 2 2 4 2" xfId="44237" xr:uid="{00000000-0005-0000-0000-00007F030000}"/>
    <cellStyle name="Date [mmm-yyyy] 6 2 2 5" xfId="22189" xr:uid="{00000000-0005-0000-0000-00007F030000}"/>
    <cellStyle name="Date [mmm-yyyy] 6 2 2 6" xfId="40568" xr:uid="{00000000-0005-0000-0000-00007F030000}"/>
    <cellStyle name="Date [mmm-yyyy] 6 2 3" xfId="6885" xr:uid="{00000000-0005-0000-0000-00007F030000}"/>
    <cellStyle name="Date [mmm-yyyy] 6 2 3 2" xfId="13176" xr:uid="{00000000-0005-0000-0000-00007F030000}"/>
    <cellStyle name="Date [mmm-yyyy] 6 2 3 2 2" xfId="31602" xr:uid="{00000000-0005-0000-0000-00007F030000}"/>
    <cellStyle name="Date [mmm-yyyy] 6 2 3 2 3" xfId="49965" xr:uid="{00000000-0005-0000-0000-00007F030000}"/>
    <cellStyle name="Date [mmm-yyyy] 6 2 3 3" xfId="17487" xr:uid="{00000000-0005-0000-0000-00007F030000}"/>
    <cellStyle name="Date [mmm-yyyy] 6 2 3 3 2" xfId="35835" xr:uid="{00000000-0005-0000-0000-00007F030000}"/>
    <cellStyle name="Date [mmm-yyyy] 6 2 3 3 3" xfId="54198" xr:uid="{00000000-0005-0000-0000-00007F030000}"/>
    <cellStyle name="Date [mmm-yyyy] 6 2 3 4" xfId="26620" xr:uid="{00000000-0005-0000-0000-00007F030000}"/>
    <cellStyle name="Date [mmm-yyyy] 6 2 3 4 2" xfId="44989" xr:uid="{00000000-0005-0000-0000-00007F030000}"/>
    <cellStyle name="Date [mmm-yyyy] 6 2 3 5" xfId="22913" xr:uid="{00000000-0005-0000-0000-00007F030000}"/>
    <cellStyle name="Date [mmm-yyyy] 6 2 3 6" xfId="41282" xr:uid="{00000000-0005-0000-0000-00007F030000}"/>
    <cellStyle name="Date [mmm-yyyy] 6 2 4" xfId="10599" xr:uid="{00000000-0005-0000-0000-00007F030000}"/>
    <cellStyle name="Date [mmm-yyyy] 6 2 4 2" xfId="14656" xr:uid="{00000000-0005-0000-0000-00007F030000}"/>
    <cellStyle name="Date [mmm-yyyy] 6 2 4 2 2" xfId="33072" xr:uid="{00000000-0005-0000-0000-00007F030000}"/>
    <cellStyle name="Date [mmm-yyyy] 6 2 4 2 3" xfId="51435" xr:uid="{00000000-0005-0000-0000-00007F030000}"/>
    <cellStyle name="Date [mmm-yyyy] 6 2 4 3" xfId="29310" xr:uid="{00000000-0005-0000-0000-00007F030000}"/>
    <cellStyle name="Date [mmm-yyyy] 6 2 4 3 2" xfId="47673" xr:uid="{00000000-0005-0000-0000-00007F030000}"/>
    <cellStyle name="Date [mmm-yyyy] 6 2 4 4" xfId="20113" xr:uid="{00000000-0005-0000-0000-00007F030000}"/>
    <cellStyle name="Date [mmm-yyyy] 6 2 4 5" xfId="38519" xr:uid="{00000000-0005-0000-0000-00007F030000}"/>
    <cellStyle name="Date [mmm-yyyy] 6 2 5" xfId="9993" xr:uid="{00000000-0005-0000-0000-00007F030000}"/>
    <cellStyle name="Date [mmm-yyyy] 6 2 5 2" xfId="28705" xr:uid="{00000000-0005-0000-0000-00007F030000}"/>
    <cellStyle name="Date [mmm-yyyy] 6 2 5 3" xfId="47068" xr:uid="{00000000-0005-0000-0000-00007F030000}"/>
    <cellStyle name="Date [mmm-yyyy] 6 2 6" xfId="14050" xr:uid="{00000000-0005-0000-0000-00007F030000}"/>
    <cellStyle name="Date [mmm-yyyy] 6 2 6 2" xfId="32467" xr:uid="{00000000-0005-0000-0000-00007F030000}"/>
    <cellStyle name="Date [mmm-yyyy] 6 2 6 3" xfId="50830" xr:uid="{00000000-0005-0000-0000-00007F030000}"/>
    <cellStyle name="Date [mmm-yyyy] 6 2 7" xfId="23794" xr:uid="{00000000-0005-0000-0000-00007F030000}"/>
    <cellStyle name="Date [mmm-yyyy] 6 2 7 2" xfId="42163" xr:uid="{00000000-0005-0000-0000-00007F030000}"/>
    <cellStyle name="Date [mmm-yyyy] 6 2 8" xfId="19361" xr:uid="{00000000-0005-0000-0000-00007F030000}"/>
    <cellStyle name="Date [mmm-yyyy] 6 2 9" xfId="37768" xr:uid="{00000000-0005-0000-0000-00007F030000}"/>
    <cellStyle name="Date [mmm-yyyy] 6 3" xfId="5488" xr:uid="{00000000-0005-0000-0000-00007F030000}"/>
    <cellStyle name="Date [mmm-yyyy] 6 3 2" xfId="11856" xr:uid="{00000000-0005-0000-0000-00007F030000}"/>
    <cellStyle name="Date [mmm-yyyy] 6 3 2 2" xfId="30303" xr:uid="{00000000-0005-0000-0000-00007F030000}"/>
    <cellStyle name="Date [mmm-yyyy] 6 3 2 3" xfId="48666" xr:uid="{00000000-0005-0000-0000-00007F030000}"/>
    <cellStyle name="Date [mmm-yyyy] 6 3 3" xfId="16179" xr:uid="{00000000-0005-0000-0000-00007F030000}"/>
    <cellStyle name="Date [mmm-yyyy] 6 3 3 2" xfId="34551" xr:uid="{00000000-0005-0000-0000-00007F030000}"/>
    <cellStyle name="Date [mmm-yyyy] 6 3 3 3" xfId="52914" xr:uid="{00000000-0005-0000-0000-00007F030000}"/>
    <cellStyle name="Date [mmm-yyyy] 6 3 4" xfId="25298" xr:uid="{00000000-0005-0000-0000-00007F030000}"/>
    <cellStyle name="Date [mmm-yyyy] 6 3 4 2" xfId="43667" xr:uid="{00000000-0005-0000-0000-00007F030000}"/>
    <cellStyle name="Date [mmm-yyyy] 6 3 5" xfId="21619" xr:uid="{00000000-0005-0000-0000-00007F030000}"/>
    <cellStyle name="Date [mmm-yyyy] 6 3 6" xfId="39998" xr:uid="{00000000-0005-0000-0000-00007F030000}"/>
    <cellStyle name="Date [mmm-yyyy] 6 4" xfId="6318" xr:uid="{00000000-0005-0000-0000-00007F030000}"/>
    <cellStyle name="Date [mmm-yyyy] 6 4 2" xfId="12609" xr:uid="{00000000-0005-0000-0000-00007F030000}"/>
    <cellStyle name="Date [mmm-yyyy] 6 4 2 2" xfId="31035" xr:uid="{00000000-0005-0000-0000-00007F030000}"/>
    <cellStyle name="Date [mmm-yyyy] 6 4 2 3" xfId="49398" xr:uid="{00000000-0005-0000-0000-00007F030000}"/>
    <cellStyle name="Date [mmm-yyyy] 6 4 3" xfId="16921" xr:uid="{00000000-0005-0000-0000-00007F030000}"/>
    <cellStyle name="Date [mmm-yyyy] 6 4 3 2" xfId="35270" xr:uid="{00000000-0005-0000-0000-00007F030000}"/>
    <cellStyle name="Date [mmm-yyyy] 6 4 3 3" xfId="53633" xr:uid="{00000000-0005-0000-0000-00007F030000}"/>
    <cellStyle name="Date [mmm-yyyy] 6 4 4" xfId="26055" xr:uid="{00000000-0005-0000-0000-00007F030000}"/>
    <cellStyle name="Date [mmm-yyyy] 6 4 4 2" xfId="44424" xr:uid="{00000000-0005-0000-0000-00007F030000}"/>
    <cellStyle name="Date [mmm-yyyy] 6 4 5" xfId="22348" xr:uid="{00000000-0005-0000-0000-00007F030000}"/>
    <cellStyle name="Date [mmm-yyyy] 6 4 6" xfId="40717" xr:uid="{00000000-0005-0000-0000-00007F030000}"/>
    <cellStyle name="Date [mmm-yyyy] 6 5" xfId="8989" xr:uid="{00000000-0005-0000-0000-00007F030000}"/>
    <cellStyle name="Date [mmm-yyyy] 6 5 2" xfId="27718" xr:uid="{00000000-0005-0000-0000-00007F030000}"/>
    <cellStyle name="Date [mmm-yyyy] 6 5 3" xfId="46081" xr:uid="{00000000-0005-0000-0000-00007F030000}"/>
    <cellStyle name="Date [mmm-yyyy] 6 6" xfId="8426" xr:uid="{00000000-0005-0000-0000-00007F030000}"/>
    <cellStyle name="Date [mmm-yyyy] 6 6 2" xfId="27487" xr:uid="{00000000-0005-0000-0000-00007F030000}"/>
    <cellStyle name="Date [mmm-yyyy] 6 6 3" xfId="45851" xr:uid="{00000000-0005-0000-0000-00007F030000}"/>
    <cellStyle name="Date [mmm-yyyy] 6 7" xfId="23226" xr:uid="{00000000-0005-0000-0000-00007F030000}"/>
    <cellStyle name="Date [mmm-yyyy] 6 7 2" xfId="41595" xr:uid="{00000000-0005-0000-0000-00007F030000}"/>
    <cellStyle name="Date [mmm-yyyy] 6 8" xfId="17813" xr:uid="{00000000-0005-0000-0000-00007F030000}"/>
    <cellStyle name="Date [mmm-yyyy] 6 9" xfId="36228" xr:uid="{00000000-0005-0000-0000-00007F030000}"/>
    <cellStyle name="Date [mmm-yyyy] 7" xfId="3318" xr:uid="{00000000-0005-0000-0000-000080030000}"/>
    <cellStyle name="Date [mmm-yyyy] 7 2" xfId="3898" xr:uid="{00000000-0005-0000-0000-000080030000}"/>
    <cellStyle name="Date [mmm-yyyy] 7 2 2" xfId="6071" xr:uid="{00000000-0005-0000-0000-000080030000}"/>
    <cellStyle name="Date [mmm-yyyy] 7 2 2 2" xfId="12435" xr:uid="{00000000-0005-0000-0000-000080030000}"/>
    <cellStyle name="Date [mmm-yyyy] 7 2 2 2 2" xfId="30882" xr:uid="{00000000-0005-0000-0000-000080030000}"/>
    <cellStyle name="Date [mmm-yyyy] 7 2 2 2 3" xfId="49245" xr:uid="{00000000-0005-0000-0000-000080030000}"/>
    <cellStyle name="Date [mmm-yyyy] 7 2 2 3" xfId="16761" xr:uid="{00000000-0005-0000-0000-000080030000}"/>
    <cellStyle name="Date [mmm-yyyy] 7 2 2 3 2" xfId="35133" xr:uid="{00000000-0005-0000-0000-000080030000}"/>
    <cellStyle name="Date [mmm-yyyy] 7 2 2 3 3" xfId="53496" xr:uid="{00000000-0005-0000-0000-000080030000}"/>
    <cellStyle name="Date [mmm-yyyy] 7 2 2 4" xfId="25880" xr:uid="{00000000-0005-0000-0000-000080030000}"/>
    <cellStyle name="Date [mmm-yyyy] 7 2 2 4 2" xfId="44249" xr:uid="{00000000-0005-0000-0000-000080030000}"/>
    <cellStyle name="Date [mmm-yyyy] 7 2 2 5" xfId="22201" xr:uid="{00000000-0005-0000-0000-000080030000}"/>
    <cellStyle name="Date [mmm-yyyy] 7 2 2 6" xfId="40580" xr:uid="{00000000-0005-0000-0000-000080030000}"/>
    <cellStyle name="Date [mmm-yyyy] 7 2 3" xfId="6897" xr:uid="{00000000-0005-0000-0000-000080030000}"/>
    <cellStyle name="Date [mmm-yyyy] 7 2 3 2" xfId="13188" xr:uid="{00000000-0005-0000-0000-000080030000}"/>
    <cellStyle name="Date [mmm-yyyy] 7 2 3 2 2" xfId="31614" xr:uid="{00000000-0005-0000-0000-000080030000}"/>
    <cellStyle name="Date [mmm-yyyy] 7 2 3 2 3" xfId="49977" xr:uid="{00000000-0005-0000-0000-000080030000}"/>
    <cellStyle name="Date [mmm-yyyy] 7 2 3 3" xfId="17499" xr:uid="{00000000-0005-0000-0000-000080030000}"/>
    <cellStyle name="Date [mmm-yyyy] 7 2 3 3 2" xfId="35847" xr:uid="{00000000-0005-0000-0000-000080030000}"/>
    <cellStyle name="Date [mmm-yyyy] 7 2 3 3 3" xfId="54210" xr:uid="{00000000-0005-0000-0000-000080030000}"/>
    <cellStyle name="Date [mmm-yyyy] 7 2 3 4" xfId="26632" xr:uid="{00000000-0005-0000-0000-000080030000}"/>
    <cellStyle name="Date [mmm-yyyy] 7 2 3 4 2" xfId="45001" xr:uid="{00000000-0005-0000-0000-000080030000}"/>
    <cellStyle name="Date [mmm-yyyy] 7 2 3 5" xfId="22925" xr:uid="{00000000-0005-0000-0000-000080030000}"/>
    <cellStyle name="Date [mmm-yyyy] 7 2 3 6" xfId="41294" xr:uid="{00000000-0005-0000-0000-000080030000}"/>
    <cellStyle name="Date [mmm-yyyy] 7 2 4" xfId="10611" xr:uid="{00000000-0005-0000-0000-000080030000}"/>
    <cellStyle name="Date [mmm-yyyy] 7 2 4 2" xfId="14668" xr:uid="{00000000-0005-0000-0000-000080030000}"/>
    <cellStyle name="Date [mmm-yyyy] 7 2 4 2 2" xfId="33084" xr:uid="{00000000-0005-0000-0000-000080030000}"/>
    <cellStyle name="Date [mmm-yyyy] 7 2 4 2 3" xfId="51447" xr:uid="{00000000-0005-0000-0000-000080030000}"/>
    <cellStyle name="Date [mmm-yyyy] 7 2 4 3" xfId="29322" xr:uid="{00000000-0005-0000-0000-000080030000}"/>
    <cellStyle name="Date [mmm-yyyy] 7 2 4 3 2" xfId="47685" xr:uid="{00000000-0005-0000-0000-000080030000}"/>
    <cellStyle name="Date [mmm-yyyy] 7 2 4 4" xfId="20125" xr:uid="{00000000-0005-0000-0000-000080030000}"/>
    <cellStyle name="Date [mmm-yyyy] 7 2 4 5" xfId="38531" xr:uid="{00000000-0005-0000-0000-000080030000}"/>
    <cellStyle name="Date [mmm-yyyy] 7 2 5" xfId="10005" xr:uid="{00000000-0005-0000-0000-000080030000}"/>
    <cellStyle name="Date [mmm-yyyy] 7 2 5 2" xfId="28717" xr:uid="{00000000-0005-0000-0000-000080030000}"/>
    <cellStyle name="Date [mmm-yyyy] 7 2 5 3" xfId="47080" xr:uid="{00000000-0005-0000-0000-000080030000}"/>
    <cellStyle name="Date [mmm-yyyy] 7 2 6" xfId="14062" xr:uid="{00000000-0005-0000-0000-000080030000}"/>
    <cellStyle name="Date [mmm-yyyy] 7 2 6 2" xfId="32479" xr:uid="{00000000-0005-0000-0000-000080030000}"/>
    <cellStyle name="Date [mmm-yyyy] 7 2 6 3" xfId="50842" xr:uid="{00000000-0005-0000-0000-000080030000}"/>
    <cellStyle name="Date [mmm-yyyy] 7 2 7" xfId="23806" xr:uid="{00000000-0005-0000-0000-000080030000}"/>
    <cellStyle name="Date [mmm-yyyy] 7 2 7 2" xfId="42175" xr:uid="{00000000-0005-0000-0000-000080030000}"/>
    <cellStyle name="Date [mmm-yyyy] 7 2 8" xfId="19375" xr:uid="{00000000-0005-0000-0000-000080030000}"/>
    <cellStyle name="Date [mmm-yyyy] 7 2 9" xfId="37782" xr:uid="{00000000-0005-0000-0000-000080030000}"/>
    <cellStyle name="Date [mmm-yyyy] 7 3" xfId="5503" xr:uid="{00000000-0005-0000-0000-000080030000}"/>
    <cellStyle name="Date [mmm-yyyy] 7 3 2" xfId="11868" xr:uid="{00000000-0005-0000-0000-000080030000}"/>
    <cellStyle name="Date [mmm-yyyy] 7 3 2 2" xfId="30315" xr:uid="{00000000-0005-0000-0000-000080030000}"/>
    <cellStyle name="Date [mmm-yyyy] 7 3 2 3" xfId="48678" xr:uid="{00000000-0005-0000-0000-000080030000}"/>
    <cellStyle name="Date [mmm-yyyy] 7 3 3" xfId="16194" xr:uid="{00000000-0005-0000-0000-000080030000}"/>
    <cellStyle name="Date [mmm-yyyy] 7 3 3 2" xfId="34566" xr:uid="{00000000-0005-0000-0000-000080030000}"/>
    <cellStyle name="Date [mmm-yyyy] 7 3 3 3" xfId="52929" xr:uid="{00000000-0005-0000-0000-000080030000}"/>
    <cellStyle name="Date [mmm-yyyy] 7 3 4" xfId="25313" xr:uid="{00000000-0005-0000-0000-000080030000}"/>
    <cellStyle name="Date [mmm-yyyy] 7 3 4 2" xfId="43682" xr:uid="{00000000-0005-0000-0000-000080030000}"/>
    <cellStyle name="Date [mmm-yyyy] 7 3 5" xfId="21634" xr:uid="{00000000-0005-0000-0000-000080030000}"/>
    <cellStyle name="Date [mmm-yyyy] 7 3 6" xfId="40013" xr:uid="{00000000-0005-0000-0000-000080030000}"/>
    <cellStyle name="Date [mmm-yyyy] 7 4" xfId="6331" xr:uid="{00000000-0005-0000-0000-000080030000}"/>
    <cellStyle name="Date [mmm-yyyy] 7 4 2" xfId="12622" xr:uid="{00000000-0005-0000-0000-000080030000}"/>
    <cellStyle name="Date [mmm-yyyy] 7 4 2 2" xfId="31048" xr:uid="{00000000-0005-0000-0000-000080030000}"/>
    <cellStyle name="Date [mmm-yyyy] 7 4 2 3" xfId="49411" xr:uid="{00000000-0005-0000-0000-000080030000}"/>
    <cellStyle name="Date [mmm-yyyy] 7 4 3" xfId="16933" xr:uid="{00000000-0005-0000-0000-000080030000}"/>
    <cellStyle name="Date [mmm-yyyy] 7 4 3 2" xfId="35282" xr:uid="{00000000-0005-0000-0000-000080030000}"/>
    <cellStyle name="Date [mmm-yyyy] 7 4 3 3" xfId="53645" xr:uid="{00000000-0005-0000-0000-000080030000}"/>
    <cellStyle name="Date [mmm-yyyy] 7 4 4" xfId="26067" xr:uid="{00000000-0005-0000-0000-000080030000}"/>
    <cellStyle name="Date [mmm-yyyy] 7 4 4 2" xfId="44436" xr:uid="{00000000-0005-0000-0000-000080030000}"/>
    <cellStyle name="Date [mmm-yyyy] 7 4 5" xfId="22360" xr:uid="{00000000-0005-0000-0000-000080030000}"/>
    <cellStyle name="Date [mmm-yyyy] 7 4 6" xfId="40729" xr:uid="{00000000-0005-0000-0000-000080030000}"/>
    <cellStyle name="Date [mmm-yyyy] 7 5" xfId="9003" xr:uid="{00000000-0005-0000-0000-000080030000}"/>
    <cellStyle name="Date [mmm-yyyy] 7 5 2" xfId="27731" xr:uid="{00000000-0005-0000-0000-000080030000}"/>
    <cellStyle name="Date [mmm-yyyy] 7 5 3" xfId="46094" xr:uid="{00000000-0005-0000-0000-000080030000}"/>
    <cellStyle name="Date [mmm-yyyy] 7 6" xfId="8151" xr:uid="{00000000-0005-0000-0000-000080030000}"/>
    <cellStyle name="Date [mmm-yyyy] 7 6 2" xfId="27355" xr:uid="{00000000-0005-0000-0000-000080030000}"/>
    <cellStyle name="Date [mmm-yyyy] 7 6 3" xfId="45720" xr:uid="{00000000-0005-0000-0000-000080030000}"/>
    <cellStyle name="Date [mmm-yyyy] 7 7" xfId="23240" xr:uid="{00000000-0005-0000-0000-000080030000}"/>
    <cellStyle name="Date [mmm-yyyy] 7 7 2" xfId="41609" xr:uid="{00000000-0005-0000-0000-000080030000}"/>
    <cellStyle name="Date [mmm-yyyy] 7 8" xfId="17829" xr:uid="{00000000-0005-0000-0000-000080030000}"/>
    <cellStyle name="Date [mmm-yyyy] 7 9" xfId="36242" xr:uid="{00000000-0005-0000-0000-000080030000}"/>
    <cellStyle name="Date [mmm-yyyy] 8" xfId="7042" xr:uid="{00000000-0005-0000-0000-00006D030000}"/>
    <cellStyle name="Date [mmm-yyyy] 8 2" xfId="26706" xr:uid="{00000000-0005-0000-0000-00006D030000}"/>
    <cellStyle name="Date [mmm-yyyy] 8 3" xfId="45074" xr:uid="{00000000-0005-0000-0000-00006D030000}"/>
    <cellStyle name="Date [mmm-yyyy]_Summary" xfId="2347" xr:uid="{00000000-0005-0000-0000-000081030000}"/>
    <cellStyle name="Date Aligned" xfId="369" xr:uid="{00000000-0005-0000-0000-000082030000}"/>
    <cellStyle name="Date Day" xfId="370" xr:uid="{00000000-0005-0000-0000-000083030000}"/>
    <cellStyle name="Date m/d/yy" xfId="371" xr:uid="{00000000-0005-0000-0000-000084030000}"/>
    <cellStyle name="Date Short" xfId="372" xr:uid="{00000000-0005-0000-0000-000085030000}"/>
    <cellStyle name="Date Year" xfId="373" xr:uid="{00000000-0005-0000-0000-000086030000}"/>
    <cellStyle name="Date_Accretion-Dilution OLD" xfId="374" xr:uid="{00000000-0005-0000-0000-000087030000}"/>
    <cellStyle name="Date1" xfId="375" xr:uid="{00000000-0005-0000-0000-000088030000}"/>
    <cellStyle name="Date2" xfId="376" xr:uid="{00000000-0005-0000-0000-000089030000}"/>
    <cellStyle name="Date2 2" xfId="2039" xr:uid="{00000000-0005-0000-0000-00008A030000}"/>
    <cellStyle name="Date2 3" xfId="2492" xr:uid="{00000000-0005-0000-0000-00008B030000}"/>
    <cellStyle name="DATES" xfId="377" xr:uid="{00000000-0005-0000-0000-00008C030000}"/>
    <cellStyle name="DateYear" xfId="378" xr:uid="{00000000-0005-0000-0000-00008D030000}"/>
    <cellStyle name="DateYear 2" xfId="2040" xr:uid="{00000000-0005-0000-0000-00008E030000}"/>
    <cellStyle name="DateYear 3" xfId="2493" xr:uid="{00000000-0005-0000-0000-00008F030000}"/>
    <cellStyle name="DateYearEstimate" xfId="379" xr:uid="{00000000-0005-0000-0000-000090030000}"/>
    <cellStyle name="DateYearEstimate 10" xfId="19532" xr:uid="{00000000-0005-0000-0000-000090030000}"/>
    <cellStyle name="DateYearEstimate 10 2" xfId="37938" xr:uid="{00000000-0005-0000-0000-000090030000}"/>
    <cellStyle name="DateYearEstimate 11" xfId="8075" xr:uid="{00000000-0005-0000-0000-000090030000}"/>
    <cellStyle name="DateYearEstimate 12" xfId="7267" xr:uid="{00000000-0005-0000-0000-000090030000}"/>
    <cellStyle name="DateYearEstimate 2" xfId="1123" xr:uid="{00000000-0005-0000-0000-000091030000}"/>
    <cellStyle name="DateYearEstimate 2 2" xfId="4222" xr:uid="{00000000-0005-0000-0000-000091030000}"/>
    <cellStyle name="DateYearEstimate 2 2 2" xfId="14967" xr:uid="{00000000-0005-0000-0000-000091030000}"/>
    <cellStyle name="DateYearEstimate 2 2 2 2" xfId="33371" xr:uid="{00000000-0005-0000-0000-000091030000}"/>
    <cellStyle name="DateYearEstimate 2 2 2 3" xfId="51734" xr:uid="{00000000-0005-0000-0000-000091030000}"/>
    <cellStyle name="DateYearEstimate 2 2 3" xfId="24100" xr:uid="{00000000-0005-0000-0000-000091030000}"/>
    <cellStyle name="DateYearEstimate 2 2 3 2" xfId="42469" xr:uid="{00000000-0005-0000-0000-000091030000}"/>
    <cellStyle name="DateYearEstimate 2 2 4" xfId="20420" xr:uid="{00000000-0005-0000-0000-000091030000}"/>
    <cellStyle name="DateYearEstimate 2 2 5" xfId="38818" xr:uid="{00000000-0005-0000-0000-000091030000}"/>
    <cellStyle name="DateYearEstimate 2 3" xfId="18085" xr:uid="{00000000-0005-0000-0000-000091030000}"/>
    <cellStyle name="DateYearEstimate 2 3 2" xfId="36492" xr:uid="{00000000-0005-0000-0000-000091030000}"/>
    <cellStyle name="DateYearEstimate 2 4" xfId="7124" xr:uid="{00000000-0005-0000-0000-000091030000}"/>
    <cellStyle name="DateYearEstimate 2 5" xfId="21084" xr:uid="{00000000-0005-0000-0000-000091030000}"/>
    <cellStyle name="DateYearEstimate 3" xfId="1865" xr:uid="{00000000-0005-0000-0000-000092030000}"/>
    <cellStyle name="DateYearEstimate 3 2" xfId="4790" xr:uid="{00000000-0005-0000-0000-000092030000}"/>
    <cellStyle name="DateYearEstimate 3 2 2" xfId="15516" xr:uid="{00000000-0005-0000-0000-000092030000}"/>
    <cellStyle name="DateYearEstimate 3 2 2 2" xfId="33909" xr:uid="{00000000-0005-0000-0000-000092030000}"/>
    <cellStyle name="DateYearEstimate 3 2 2 3" xfId="52272" xr:uid="{00000000-0005-0000-0000-000092030000}"/>
    <cellStyle name="DateYearEstimate 3 2 3" xfId="24640" xr:uid="{00000000-0005-0000-0000-000092030000}"/>
    <cellStyle name="DateYearEstimate 3 2 3 2" xfId="43009" xr:uid="{00000000-0005-0000-0000-000092030000}"/>
    <cellStyle name="DateYearEstimate 3 2 4" xfId="20967" xr:uid="{00000000-0005-0000-0000-000092030000}"/>
    <cellStyle name="DateYearEstimate 3 2 5" xfId="39356" xr:uid="{00000000-0005-0000-0000-000092030000}"/>
    <cellStyle name="DateYearEstimate 3 3" xfId="18740" xr:uid="{00000000-0005-0000-0000-000092030000}"/>
    <cellStyle name="DateYearEstimate 3 3 2" xfId="37149" xr:uid="{00000000-0005-0000-0000-000092030000}"/>
    <cellStyle name="DateYearEstimate 3 4" xfId="7534" xr:uid="{00000000-0005-0000-0000-000092030000}"/>
    <cellStyle name="DateYearEstimate 3 5" xfId="8196" xr:uid="{00000000-0005-0000-0000-000092030000}"/>
    <cellStyle name="DateYearEstimate 4" xfId="2041" xr:uid="{00000000-0005-0000-0000-000093030000}"/>
    <cellStyle name="DateYearEstimate 4 2" xfId="4880" xr:uid="{00000000-0005-0000-0000-000093030000}"/>
    <cellStyle name="DateYearEstimate 4 2 2" xfId="15606" xr:uid="{00000000-0005-0000-0000-000093030000}"/>
    <cellStyle name="DateYearEstimate 4 2 2 2" xfId="33997" xr:uid="{00000000-0005-0000-0000-000093030000}"/>
    <cellStyle name="DateYearEstimate 4 2 2 3" xfId="52360" xr:uid="{00000000-0005-0000-0000-000093030000}"/>
    <cellStyle name="DateYearEstimate 4 2 3" xfId="24728" xr:uid="{00000000-0005-0000-0000-000093030000}"/>
    <cellStyle name="DateYearEstimate 4 2 3 2" xfId="43097" xr:uid="{00000000-0005-0000-0000-000093030000}"/>
    <cellStyle name="DateYearEstimate 4 2 4" xfId="21055" xr:uid="{00000000-0005-0000-0000-000093030000}"/>
    <cellStyle name="DateYearEstimate 4 2 5" xfId="39444" xr:uid="{00000000-0005-0000-0000-000093030000}"/>
    <cellStyle name="DateYearEstimate 4 3" xfId="18738" xr:uid="{00000000-0005-0000-0000-000093030000}"/>
    <cellStyle name="DateYearEstimate 4 3 2" xfId="37147" xr:uid="{00000000-0005-0000-0000-000093030000}"/>
    <cellStyle name="DateYearEstimate 4 4" xfId="8948" xr:uid="{00000000-0005-0000-0000-000093030000}"/>
    <cellStyle name="DateYearEstimate 4 5" xfId="11590" xr:uid="{00000000-0005-0000-0000-000093030000}"/>
    <cellStyle name="DateYearEstimate 5" xfId="2494" xr:uid="{00000000-0005-0000-0000-000094030000}"/>
    <cellStyle name="DateYearEstimate 5 2" xfId="5044" xr:uid="{00000000-0005-0000-0000-000094030000}"/>
    <cellStyle name="DateYearEstimate 5 2 2" xfId="15757" xr:uid="{00000000-0005-0000-0000-000094030000}"/>
    <cellStyle name="DateYearEstimate 5 2 2 2" xfId="34145" xr:uid="{00000000-0005-0000-0000-000094030000}"/>
    <cellStyle name="DateYearEstimate 5 2 2 3" xfId="52508" xr:uid="{00000000-0005-0000-0000-000094030000}"/>
    <cellStyle name="DateYearEstimate 5 2 3" xfId="24881" xr:uid="{00000000-0005-0000-0000-000094030000}"/>
    <cellStyle name="DateYearEstimate 5 2 3 2" xfId="43250" xr:uid="{00000000-0005-0000-0000-000094030000}"/>
    <cellStyle name="DateYearEstimate 5 2 4" xfId="21205" xr:uid="{00000000-0005-0000-0000-000094030000}"/>
    <cellStyle name="DateYearEstimate 5 2 5" xfId="39592" xr:uid="{00000000-0005-0000-0000-000094030000}"/>
    <cellStyle name="DateYearEstimate 5 3" xfId="18260" xr:uid="{00000000-0005-0000-0000-000094030000}"/>
    <cellStyle name="DateYearEstimate 5 3 2" xfId="36666" xr:uid="{00000000-0005-0000-0000-000094030000}"/>
    <cellStyle name="DateYearEstimate 5 4" xfId="7154" xr:uid="{00000000-0005-0000-0000-000094030000}"/>
    <cellStyle name="DateYearEstimate 5 5" xfId="35861" xr:uid="{00000000-0005-0000-0000-000094030000}"/>
    <cellStyle name="DateYearEstimate 6" xfId="3030" xr:uid="{00000000-0005-0000-0000-000095030000}"/>
    <cellStyle name="DateYearEstimate 6 2" xfId="5283" xr:uid="{00000000-0005-0000-0000-000095030000}"/>
    <cellStyle name="DateYearEstimate 6 2 2" xfId="15975" xr:uid="{00000000-0005-0000-0000-000095030000}"/>
    <cellStyle name="DateYearEstimate 6 2 2 2" xfId="34349" xr:uid="{00000000-0005-0000-0000-000095030000}"/>
    <cellStyle name="DateYearEstimate 6 2 2 3" xfId="52712" xr:uid="{00000000-0005-0000-0000-000095030000}"/>
    <cellStyle name="DateYearEstimate 6 2 3" xfId="25096" xr:uid="{00000000-0005-0000-0000-000095030000}"/>
    <cellStyle name="DateYearEstimate 6 2 3 2" xfId="43465" xr:uid="{00000000-0005-0000-0000-000095030000}"/>
    <cellStyle name="DateYearEstimate 6 2 4" xfId="21417" xr:uid="{00000000-0005-0000-0000-000095030000}"/>
    <cellStyle name="DateYearEstimate 6 2 5" xfId="39796" xr:uid="{00000000-0005-0000-0000-000095030000}"/>
    <cellStyle name="DateYearEstimate 6 3" xfId="23034" xr:uid="{00000000-0005-0000-0000-000095030000}"/>
    <cellStyle name="DateYearEstimate 6 3 2" xfId="41403" xr:uid="{00000000-0005-0000-0000-000095030000}"/>
    <cellStyle name="DateYearEstimate 6 4" xfId="17594" xr:uid="{00000000-0005-0000-0000-000095030000}"/>
    <cellStyle name="DateYearEstimate 6 5" xfId="36036" xr:uid="{00000000-0005-0000-0000-000095030000}"/>
    <cellStyle name="DateYearEstimate 7" xfId="3149" xr:uid="{00000000-0005-0000-0000-000096030000}"/>
    <cellStyle name="DateYearEstimate 7 2" xfId="5368" xr:uid="{00000000-0005-0000-0000-000096030000}"/>
    <cellStyle name="DateYearEstimate 7 2 2" xfId="16060" xr:uid="{00000000-0005-0000-0000-000096030000}"/>
    <cellStyle name="DateYearEstimate 7 2 2 2" xfId="34433" xr:uid="{00000000-0005-0000-0000-000096030000}"/>
    <cellStyle name="DateYearEstimate 7 2 2 3" xfId="52796" xr:uid="{00000000-0005-0000-0000-000096030000}"/>
    <cellStyle name="DateYearEstimate 7 2 3" xfId="25180" xr:uid="{00000000-0005-0000-0000-000096030000}"/>
    <cellStyle name="DateYearEstimate 7 2 3 2" xfId="43549" xr:uid="{00000000-0005-0000-0000-000096030000}"/>
    <cellStyle name="DateYearEstimate 7 2 4" xfId="21501" xr:uid="{00000000-0005-0000-0000-000096030000}"/>
    <cellStyle name="DateYearEstimate 7 2 5" xfId="39880" xr:uid="{00000000-0005-0000-0000-000096030000}"/>
    <cellStyle name="DateYearEstimate 7 3" xfId="23109" xr:uid="{00000000-0005-0000-0000-000096030000}"/>
    <cellStyle name="DateYearEstimate 7 3 2" xfId="41478" xr:uid="{00000000-0005-0000-0000-000096030000}"/>
    <cellStyle name="DateYearEstimate 7 4" xfId="17686" xr:uid="{00000000-0005-0000-0000-000096030000}"/>
    <cellStyle name="DateYearEstimate 7 5" xfId="36111" xr:uid="{00000000-0005-0000-0000-000096030000}"/>
    <cellStyle name="DateYearEstimate 8" xfId="3283" xr:uid="{00000000-0005-0000-0000-000097030000}"/>
    <cellStyle name="DateYearEstimate 8 2" xfId="5476" xr:uid="{00000000-0005-0000-0000-000097030000}"/>
    <cellStyle name="DateYearEstimate 8 2 2" xfId="16167" xr:uid="{00000000-0005-0000-0000-000097030000}"/>
    <cellStyle name="DateYearEstimate 8 2 2 2" xfId="34539" xr:uid="{00000000-0005-0000-0000-000097030000}"/>
    <cellStyle name="DateYearEstimate 8 2 2 3" xfId="52902" xr:uid="{00000000-0005-0000-0000-000097030000}"/>
    <cellStyle name="DateYearEstimate 8 2 3" xfId="25286" xr:uid="{00000000-0005-0000-0000-000097030000}"/>
    <cellStyle name="DateYearEstimate 8 2 3 2" xfId="43655" xr:uid="{00000000-0005-0000-0000-000097030000}"/>
    <cellStyle name="DateYearEstimate 8 2 4" xfId="21607" xr:uid="{00000000-0005-0000-0000-000097030000}"/>
    <cellStyle name="DateYearEstimate 8 2 5" xfId="39986" xr:uid="{00000000-0005-0000-0000-000097030000}"/>
    <cellStyle name="DateYearEstimate 8 3" xfId="23215" xr:uid="{00000000-0005-0000-0000-000097030000}"/>
    <cellStyle name="DateYearEstimate 8 3 2" xfId="41584" xr:uid="{00000000-0005-0000-0000-000097030000}"/>
    <cellStyle name="DateYearEstimate 8 4" xfId="17801" xr:uid="{00000000-0005-0000-0000-000097030000}"/>
    <cellStyle name="DateYearEstimate 8 5" xfId="36217" xr:uid="{00000000-0005-0000-0000-000097030000}"/>
    <cellStyle name="DateYearEstimate 9" xfId="3997" xr:uid="{00000000-0005-0000-0000-000090030000}"/>
    <cellStyle name="DateYearEstimate 9 2" xfId="14758" xr:uid="{00000000-0005-0000-0000-000090030000}"/>
    <cellStyle name="DateYearEstimate 9 2 2" xfId="33170" xr:uid="{00000000-0005-0000-0000-000090030000}"/>
    <cellStyle name="DateYearEstimate 9 2 3" xfId="51533" xr:uid="{00000000-0005-0000-0000-000090030000}"/>
    <cellStyle name="DateYearEstimate 9 3" xfId="23894" xr:uid="{00000000-0005-0000-0000-000090030000}"/>
    <cellStyle name="DateYearEstimate 9 3 2" xfId="42263" xr:uid="{00000000-0005-0000-0000-000090030000}"/>
    <cellStyle name="DateYearEstimate 9 4" xfId="20214" xr:uid="{00000000-0005-0000-0000-000090030000}"/>
    <cellStyle name="DateYearEstimate 9 5" xfId="38617" xr:uid="{00000000-0005-0000-0000-000090030000}"/>
    <cellStyle name="DateYearWholeEstimate" xfId="380" xr:uid="{00000000-0005-0000-0000-000098030000}"/>
    <cellStyle name="DateYearWholeEstimate 10" xfId="19515" xr:uid="{00000000-0005-0000-0000-000098030000}"/>
    <cellStyle name="DateYearWholeEstimate 10 2" xfId="37921" xr:uid="{00000000-0005-0000-0000-000098030000}"/>
    <cellStyle name="DateYearWholeEstimate 11" xfId="7114" xr:uid="{00000000-0005-0000-0000-000098030000}"/>
    <cellStyle name="DateYearWholeEstimate 12" xfId="8337" xr:uid="{00000000-0005-0000-0000-000098030000}"/>
    <cellStyle name="DateYearWholeEstimate 2" xfId="1124" xr:uid="{00000000-0005-0000-0000-000099030000}"/>
    <cellStyle name="DateYearWholeEstimate 2 2" xfId="4223" xr:uid="{00000000-0005-0000-0000-000099030000}"/>
    <cellStyle name="DateYearWholeEstimate 2 2 2" xfId="14968" xr:uid="{00000000-0005-0000-0000-000099030000}"/>
    <cellStyle name="DateYearWholeEstimate 2 2 2 2" xfId="33372" xr:uid="{00000000-0005-0000-0000-000099030000}"/>
    <cellStyle name="DateYearWholeEstimate 2 2 2 3" xfId="51735" xr:uid="{00000000-0005-0000-0000-000099030000}"/>
    <cellStyle name="DateYearWholeEstimate 2 2 3" xfId="24101" xr:uid="{00000000-0005-0000-0000-000099030000}"/>
    <cellStyle name="DateYearWholeEstimate 2 2 3 2" xfId="42470" xr:uid="{00000000-0005-0000-0000-000099030000}"/>
    <cellStyle name="DateYearWholeEstimate 2 2 4" xfId="20421" xr:uid="{00000000-0005-0000-0000-000099030000}"/>
    <cellStyle name="DateYearWholeEstimate 2 2 5" xfId="38819" xr:uid="{00000000-0005-0000-0000-000099030000}"/>
    <cellStyle name="DateYearWholeEstimate 2 3" xfId="18246" xr:uid="{00000000-0005-0000-0000-000099030000}"/>
    <cellStyle name="DateYearWholeEstimate 2 3 2" xfId="36652" xr:uid="{00000000-0005-0000-0000-000099030000}"/>
    <cellStyle name="DateYearWholeEstimate 2 4" xfId="11823" xr:uid="{00000000-0005-0000-0000-000099030000}"/>
    <cellStyle name="DateYearWholeEstimate 2 5" xfId="7600" xr:uid="{00000000-0005-0000-0000-000099030000}"/>
    <cellStyle name="DateYearWholeEstimate 3" xfId="1864" xr:uid="{00000000-0005-0000-0000-00009A030000}"/>
    <cellStyle name="DateYearWholeEstimate 3 2" xfId="4789" xr:uid="{00000000-0005-0000-0000-00009A030000}"/>
    <cellStyle name="DateYearWholeEstimate 3 2 2" xfId="15515" xr:uid="{00000000-0005-0000-0000-00009A030000}"/>
    <cellStyle name="DateYearWholeEstimate 3 2 2 2" xfId="33908" xr:uid="{00000000-0005-0000-0000-00009A030000}"/>
    <cellStyle name="DateYearWholeEstimate 3 2 2 3" xfId="52271" xr:uid="{00000000-0005-0000-0000-00009A030000}"/>
    <cellStyle name="DateYearWholeEstimate 3 2 3" xfId="24639" xr:uid="{00000000-0005-0000-0000-00009A030000}"/>
    <cellStyle name="DateYearWholeEstimate 3 2 3 2" xfId="43008" xr:uid="{00000000-0005-0000-0000-00009A030000}"/>
    <cellStyle name="DateYearWholeEstimate 3 2 4" xfId="20966" xr:uid="{00000000-0005-0000-0000-00009A030000}"/>
    <cellStyle name="DateYearWholeEstimate 3 2 5" xfId="39355" xr:uid="{00000000-0005-0000-0000-00009A030000}"/>
    <cellStyle name="DateYearWholeEstimate 3 3" xfId="18255" xr:uid="{00000000-0005-0000-0000-00009A030000}"/>
    <cellStyle name="DateYearWholeEstimate 3 3 2" xfId="36661" xr:uid="{00000000-0005-0000-0000-00009A030000}"/>
    <cellStyle name="DateYearWholeEstimate 3 4" xfId="11705" xr:uid="{00000000-0005-0000-0000-00009A030000}"/>
    <cellStyle name="DateYearWholeEstimate 3 5" xfId="8495" xr:uid="{00000000-0005-0000-0000-00009A030000}"/>
    <cellStyle name="DateYearWholeEstimate 4" xfId="2042" xr:uid="{00000000-0005-0000-0000-00009B030000}"/>
    <cellStyle name="DateYearWholeEstimate 4 2" xfId="4881" xr:uid="{00000000-0005-0000-0000-00009B030000}"/>
    <cellStyle name="DateYearWholeEstimate 4 2 2" xfId="15607" xr:uid="{00000000-0005-0000-0000-00009B030000}"/>
    <cellStyle name="DateYearWholeEstimate 4 2 2 2" xfId="33998" xr:uid="{00000000-0005-0000-0000-00009B030000}"/>
    <cellStyle name="DateYearWholeEstimate 4 2 2 3" xfId="52361" xr:uid="{00000000-0005-0000-0000-00009B030000}"/>
    <cellStyle name="DateYearWholeEstimate 4 2 3" xfId="24729" xr:uid="{00000000-0005-0000-0000-00009B030000}"/>
    <cellStyle name="DateYearWholeEstimate 4 2 3 2" xfId="43098" xr:uid="{00000000-0005-0000-0000-00009B030000}"/>
    <cellStyle name="DateYearWholeEstimate 4 2 4" xfId="21056" xr:uid="{00000000-0005-0000-0000-00009B030000}"/>
    <cellStyle name="DateYearWholeEstimate 4 2 5" xfId="39445" xr:uid="{00000000-0005-0000-0000-00009B030000}"/>
    <cellStyle name="DateYearWholeEstimate 4 3" xfId="18908" xr:uid="{00000000-0005-0000-0000-00009B030000}"/>
    <cellStyle name="DateYearWholeEstimate 4 3 2" xfId="37317" xr:uid="{00000000-0005-0000-0000-00009B030000}"/>
    <cellStyle name="DateYearWholeEstimate 4 4" xfId="8590" xr:uid="{00000000-0005-0000-0000-00009B030000}"/>
    <cellStyle name="DateYearWholeEstimate 4 5" xfId="7897" xr:uid="{00000000-0005-0000-0000-00009B030000}"/>
    <cellStyle name="DateYearWholeEstimate 5" xfId="2495" xr:uid="{00000000-0005-0000-0000-00009C030000}"/>
    <cellStyle name="DateYearWholeEstimate 5 2" xfId="5045" xr:uid="{00000000-0005-0000-0000-00009C030000}"/>
    <cellStyle name="DateYearWholeEstimate 5 2 2" xfId="15758" xr:uid="{00000000-0005-0000-0000-00009C030000}"/>
    <cellStyle name="DateYearWholeEstimate 5 2 2 2" xfId="34146" xr:uid="{00000000-0005-0000-0000-00009C030000}"/>
    <cellStyle name="DateYearWholeEstimate 5 2 2 3" xfId="52509" xr:uid="{00000000-0005-0000-0000-00009C030000}"/>
    <cellStyle name="DateYearWholeEstimate 5 2 3" xfId="24882" xr:uid="{00000000-0005-0000-0000-00009C030000}"/>
    <cellStyle name="DateYearWholeEstimate 5 2 3 2" xfId="43251" xr:uid="{00000000-0005-0000-0000-00009C030000}"/>
    <cellStyle name="DateYearWholeEstimate 5 2 4" xfId="21206" xr:uid="{00000000-0005-0000-0000-00009C030000}"/>
    <cellStyle name="DateYearWholeEstimate 5 2 5" xfId="39593" xr:uid="{00000000-0005-0000-0000-00009C030000}"/>
    <cellStyle name="DateYearWholeEstimate 5 3" xfId="18016" xr:uid="{00000000-0005-0000-0000-00009C030000}"/>
    <cellStyle name="DateYearWholeEstimate 5 3 2" xfId="36424" xr:uid="{00000000-0005-0000-0000-00009C030000}"/>
    <cellStyle name="DateYearWholeEstimate 5 4" xfId="8729" xr:uid="{00000000-0005-0000-0000-00009C030000}"/>
    <cellStyle name="DateYearWholeEstimate 5 5" xfId="35862" xr:uid="{00000000-0005-0000-0000-00009C030000}"/>
    <cellStyle name="DateYearWholeEstimate 6" xfId="3029" xr:uid="{00000000-0005-0000-0000-00009D030000}"/>
    <cellStyle name="DateYearWholeEstimate 6 2" xfId="5282" xr:uid="{00000000-0005-0000-0000-00009D030000}"/>
    <cellStyle name="DateYearWholeEstimate 6 2 2" xfId="15974" xr:uid="{00000000-0005-0000-0000-00009D030000}"/>
    <cellStyle name="DateYearWholeEstimate 6 2 2 2" xfId="34348" xr:uid="{00000000-0005-0000-0000-00009D030000}"/>
    <cellStyle name="DateYearWholeEstimate 6 2 2 3" xfId="52711" xr:uid="{00000000-0005-0000-0000-00009D030000}"/>
    <cellStyle name="DateYearWholeEstimate 6 2 3" xfId="25095" xr:uid="{00000000-0005-0000-0000-00009D030000}"/>
    <cellStyle name="DateYearWholeEstimate 6 2 3 2" xfId="43464" xr:uid="{00000000-0005-0000-0000-00009D030000}"/>
    <cellStyle name="DateYearWholeEstimate 6 2 4" xfId="21416" xr:uid="{00000000-0005-0000-0000-00009D030000}"/>
    <cellStyle name="DateYearWholeEstimate 6 2 5" xfId="39795" xr:uid="{00000000-0005-0000-0000-00009D030000}"/>
    <cellStyle name="DateYearWholeEstimate 6 3" xfId="23033" xr:uid="{00000000-0005-0000-0000-00009D030000}"/>
    <cellStyle name="DateYearWholeEstimate 6 3 2" xfId="41402" xr:uid="{00000000-0005-0000-0000-00009D030000}"/>
    <cellStyle name="DateYearWholeEstimate 6 4" xfId="17593" xr:uid="{00000000-0005-0000-0000-00009D030000}"/>
    <cellStyle name="DateYearWholeEstimate 6 5" xfId="36035" xr:uid="{00000000-0005-0000-0000-00009D030000}"/>
    <cellStyle name="DateYearWholeEstimate 7" xfId="3147" xr:uid="{00000000-0005-0000-0000-00009E030000}"/>
    <cellStyle name="DateYearWholeEstimate 7 2" xfId="5367" xr:uid="{00000000-0005-0000-0000-00009E030000}"/>
    <cellStyle name="DateYearWholeEstimate 7 2 2" xfId="16059" xr:uid="{00000000-0005-0000-0000-00009E030000}"/>
    <cellStyle name="DateYearWholeEstimate 7 2 2 2" xfId="34432" xr:uid="{00000000-0005-0000-0000-00009E030000}"/>
    <cellStyle name="DateYearWholeEstimate 7 2 2 3" xfId="52795" xr:uid="{00000000-0005-0000-0000-00009E030000}"/>
    <cellStyle name="DateYearWholeEstimate 7 2 3" xfId="25179" xr:uid="{00000000-0005-0000-0000-00009E030000}"/>
    <cellStyle name="DateYearWholeEstimate 7 2 3 2" xfId="43548" xr:uid="{00000000-0005-0000-0000-00009E030000}"/>
    <cellStyle name="DateYearWholeEstimate 7 2 4" xfId="21500" xr:uid="{00000000-0005-0000-0000-00009E030000}"/>
    <cellStyle name="DateYearWholeEstimate 7 2 5" xfId="39879" xr:uid="{00000000-0005-0000-0000-00009E030000}"/>
    <cellStyle name="DateYearWholeEstimate 7 3" xfId="23108" xr:uid="{00000000-0005-0000-0000-00009E030000}"/>
    <cellStyle name="DateYearWholeEstimate 7 3 2" xfId="41477" xr:uid="{00000000-0005-0000-0000-00009E030000}"/>
    <cellStyle name="DateYearWholeEstimate 7 4" xfId="17684" xr:uid="{00000000-0005-0000-0000-00009E030000}"/>
    <cellStyle name="DateYearWholeEstimate 7 5" xfId="36110" xr:uid="{00000000-0005-0000-0000-00009E030000}"/>
    <cellStyle name="DateYearWholeEstimate 8" xfId="3282" xr:uid="{00000000-0005-0000-0000-00009F030000}"/>
    <cellStyle name="DateYearWholeEstimate 8 2" xfId="5475" xr:uid="{00000000-0005-0000-0000-00009F030000}"/>
    <cellStyle name="DateYearWholeEstimate 8 2 2" xfId="16166" xr:uid="{00000000-0005-0000-0000-00009F030000}"/>
    <cellStyle name="DateYearWholeEstimate 8 2 2 2" xfId="34538" xr:uid="{00000000-0005-0000-0000-00009F030000}"/>
    <cellStyle name="DateYearWholeEstimate 8 2 2 3" xfId="52901" xr:uid="{00000000-0005-0000-0000-00009F030000}"/>
    <cellStyle name="DateYearWholeEstimate 8 2 3" xfId="25285" xr:uid="{00000000-0005-0000-0000-00009F030000}"/>
    <cellStyle name="DateYearWholeEstimate 8 2 3 2" xfId="43654" xr:uid="{00000000-0005-0000-0000-00009F030000}"/>
    <cellStyle name="DateYearWholeEstimate 8 2 4" xfId="21606" xr:uid="{00000000-0005-0000-0000-00009F030000}"/>
    <cellStyle name="DateYearWholeEstimate 8 2 5" xfId="39985" xr:uid="{00000000-0005-0000-0000-00009F030000}"/>
    <cellStyle name="DateYearWholeEstimate 8 3" xfId="23214" xr:uid="{00000000-0005-0000-0000-00009F030000}"/>
    <cellStyle name="DateYearWholeEstimate 8 3 2" xfId="41583" xr:uid="{00000000-0005-0000-0000-00009F030000}"/>
    <cellStyle name="DateYearWholeEstimate 8 4" xfId="17800" xr:uid="{00000000-0005-0000-0000-00009F030000}"/>
    <cellStyle name="DateYearWholeEstimate 8 5" xfId="36216" xr:uid="{00000000-0005-0000-0000-00009F030000}"/>
    <cellStyle name="DateYearWholeEstimate 9" xfId="3998" xr:uid="{00000000-0005-0000-0000-000098030000}"/>
    <cellStyle name="DateYearWholeEstimate 9 2" xfId="14759" xr:uid="{00000000-0005-0000-0000-000098030000}"/>
    <cellStyle name="DateYearWholeEstimate 9 2 2" xfId="33171" xr:uid="{00000000-0005-0000-0000-000098030000}"/>
    <cellStyle name="DateYearWholeEstimate 9 2 3" xfId="51534" xr:uid="{00000000-0005-0000-0000-000098030000}"/>
    <cellStyle name="DateYearWholeEstimate 9 3" xfId="23895" xr:uid="{00000000-0005-0000-0000-000098030000}"/>
    <cellStyle name="DateYearWholeEstimate 9 3 2" xfId="42264" xr:uid="{00000000-0005-0000-0000-000098030000}"/>
    <cellStyle name="DateYearWholeEstimate 9 4" xfId="20215" xr:uid="{00000000-0005-0000-0000-000098030000}"/>
    <cellStyle name="DateYearWholeEstimate 9 5" xfId="38618" xr:uid="{00000000-0005-0000-0000-000098030000}"/>
    <cellStyle name="Decimal" xfId="381" xr:uid="{00000000-0005-0000-0000-0000A0030000}"/>
    <cellStyle name="Decimal 2" xfId="2043" xr:uid="{00000000-0005-0000-0000-0000A1030000}"/>
    <cellStyle name="Decimal 3" xfId="2496" xr:uid="{00000000-0005-0000-0000-0000A2030000}"/>
    <cellStyle name="Define your own named style" xfId="382" xr:uid="{00000000-0005-0000-0000-0000A3030000}"/>
    <cellStyle name="Define your own named style 2" xfId="2044" xr:uid="{00000000-0005-0000-0000-0000A4030000}"/>
    <cellStyle name="Define your own named style 3" xfId="2497" xr:uid="{00000000-0005-0000-0000-0000A5030000}"/>
    <cellStyle name="Design" xfId="383" xr:uid="{00000000-0005-0000-0000-0000A6030000}"/>
    <cellStyle name="Dezimal [0]_AddIn P+L Total" xfId="384" xr:uid="{00000000-0005-0000-0000-0000A7030000}"/>
    <cellStyle name="Dezimal_AddIn P+L Total" xfId="385" xr:uid="{00000000-0005-0000-0000-0000A8030000}"/>
    <cellStyle name="dolar" xfId="386" xr:uid="{00000000-0005-0000-0000-0000A9030000}"/>
    <cellStyle name="Dollar" xfId="387" xr:uid="{00000000-0005-0000-0000-0000AA030000}"/>
    <cellStyle name="Dollar (Canadian)" xfId="388" xr:uid="{00000000-0005-0000-0000-0000AB030000}"/>
    <cellStyle name="Dollar (zero dec)" xfId="389" xr:uid="{00000000-0005-0000-0000-0000AC030000}"/>
    <cellStyle name="Dollar Whole" xfId="390" xr:uid="{00000000-0005-0000-0000-0000AD030000}"/>
    <cellStyle name="Dollar_AV Model_MS_012505" xfId="391" xr:uid="{00000000-0005-0000-0000-0000AE030000}"/>
    <cellStyle name="Dollar1" xfId="392" xr:uid="{00000000-0005-0000-0000-0000AF030000}"/>
    <cellStyle name="Dollar1 2" xfId="2045" xr:uid="{00000000-0005-0000-0000-0000B0030000}"/>
    <cellStyle name="Dollar1 3" xfId="2498" xr:uid="{00000000-0005-0000-0000-0000B1030000}"/>
    <cellStyle name="Dollar1Blue" xfId="393" xr:uid="{00000000-0005-0000-0000-0000B2030000}"/>
    <cellStyle name="Dollar1Blue 2" xfId="2046" xr:uid="{00000000-0005-0000-0000-0000B3030000}"/>
    <cellStyle name="Dollar1Blue 3" xfId="2499" xr:uid="{00000000-0005-0000-0000-0000B4030000}"/>
    <cellStyle name="Dollar2" xfId="394" xr:uid="{00000000-0005-0000-0000-0000B5030000}"/>
    <cellStyle name="dollars" xfId="395" xr:uid="{00000000-0005-0000-0000-0000B6030000}"/>
    <cellStyle name="DollarWhole" xfId="396" xr:uid="{00000000-0005-0000-0000-0000B7030000}"/>
    <cellStyle name="Dotted Line" xfId="397" xr:uid="{00000000-0005-0000-0000-0000B8030000}"/>
    <cellStyle name="Double Accounting" xfId="398" xr:uid="{00000000-0005-0000-0000-0000B9030000}"/>
    <cellStyle name="Download" xfId="399" xr:uid="{00000000-0005-0000-0000-0000BA030000}"/>
    <cellStyle name="dp*Accent" xfId="400" xr:uid="{00000000-0005-0000-0000-0000BB030000}"/>
    <cellStyle name="dp*ChartSubTitle" xfId="401" xr:uid="{00000000-0005-0000-0000-0000BC030000}"/>
    <cellStyle name="dp*ChartTitle" xfId="402" xr:uid="{00000000-0005-0000-0000-0000BD030000}"/>
    <cellStyle name="dp*ColumnHeading1" xfId="403" xr:uid="{00000000-0005-0000-0000-0000BE030000}"/>
    <cellStyle name="dp*ColumnHeading2" xfId="404" xr:uid="{00000000-0005-0000-0000-0000BF030000}"/>
    <cellStyle name="dp*ColumnHeadingDate" xfId="405" xr:uid="{00000000-0005-0000-0000-0000C0030000}"/>
    <cellStyle name="dp*FiscalDate" xfId="406" xr:uid="{00000000-0005-0000-0000-0000C1030000}"/>
    <cellStyle name="dp*Footnote" xfId="407" xr:uid="{00000000-0005-0000-0000-0000C2030000}"/>
    <cellStyle name="dp*Information" xfId="408" xr:uid="{00000000-0005-0000-0000-0000C3030000}"/>
    <cellStyle name="dp*LabelItalics" xfId="409" xr:uid="{00000000-0005-0000-0000-0000C4030000}"/>
    <cellStyle name="dp*LabelItalicsLineAbove" xfId="410" xr:uid="{00000000-0005-0000-0000-0000C5030000}"/>
    <cellStyle name="dp*LabelItalicsLineAbove 2" xfId="1046" xr:uid="{00000000-0005-0000-0000-0000C6030000}"/>
    <cellStyle name="dp*LabelItalicsLineAbove 2 2" xfId="1238" xr:uid="{00000000-0005-0000-0000-0000C7030000}"/>
    <cellStyle name="dp*LabelItalicsLineAbove 3" xfId="1064" xr:uid="{00000000-0005-0000-0000-0000C8030000}"/>
    <cellStyle name="dp*LabelItalicsLineAbove 3 2" xfId="9732" xr:uid="{00000000-0005-0000-0000-0000C8030000}"/>
    <cellStyle name="dp*LabelItalicsLineAbove 3 3" xfId="7454" xr:uid="{00000000-0005-0000-0000-0000C8030000}"/>
    <cellStyle name="dp*LabelItalicsLineAbove 3 3 2" xfId="26833" xr:uid="{00000000-0005-0000-0000-0000C8030000}"/>
    <cellStyle name="dp*LabelItalicsLineAbove 4" xfId="1214" xr:uid="{00000000-0005-0000-0000-0000C9030000}"/>
    <cellStyle name="dp*LabelItalicsLineAbove 5" xfId="3028" xr:uid="{00000000-0005-0000-0000-0000CA030000}"/>
    <cellStyle name="dp*LabelItalicsLineAbove_Summary" xfId="2348" xr:uid="{00000000-0005-0000-0000-0000CB030000}"/>
    <cellStyle name="dp*LabelLine" xfId="411" xr:uid="{00000000-0005-0000-0000-0000CC030000}"/>
    <cellStyle name="dp*LabelLine 2" xfId="1047" xr:uid="{00000000-0005-0000-0000-0000CD030000}"/>
    <cellStyle name="dp*LabelLine 2 2" xfId="1239" xr:uid="{00000000-0005-0000-0000-0000CE030000}"/>
    <cellStyle name="dp*LabelLine 2 3" xfId="2770" xr:uid="{00000000-0005-0000-0000-0000CF030000}"/>
    <cellStyle name="dp*LabelLine 3" xfId="1063" xr:uid="{00000000-0005-0000-0000-0000D0030000}"/>
    <cellStyle name="dp*LabelLine 3 2" xfId="2774" xr:uid="{00000000-0005-0000-0000-0000D1030000}"/>
    <cellStyle name="dp*LabelLine 3 2 2" xfId="10017" xr:uid="{00000000-0005-0000-0000-0000D1030000}"/>
    <cellStyle name="dp*LabelLine 3 2 3" xfId="8644" xr:uid="{00000000-0005-0000-0000-0000D1030000}"/>
    <cellStyle name="dp*LabelLine 3 2 3 2" xfId="27552" xr:uid="{00000000-0005-0000-0000-0000D1030000}"/>
    <cellStyle name="dp*LabelLine 3 3" xfId="9834" xr:uid="{00000000-0005-0000-0000-0000D0030000}"/>
    <cellStyle name="dp*LabelLine 3 4" xfId="7453" xr:uid="{00000000-0005-0000-0000-0000D0030000}"/>
    <cellStyle name="dp*LabelLine 3 4 2" xfId="26832" xr:uid="{00000000-0005-0000-0000-0000D0030000}"/>
    <cellStyle name="dp*LabelLine 4" xfId="1213" xr:uid="{00000000-0005-0000-0000-0000D2030000}"/>
    <cellStyle name="dp*LabelLine 5" xfId="2047" xr:uid="{00000000-0005-0000-0000-0000D3030000}"/>
    <cellStyle name="dp*LabelLine 6" xfId="2500" xr:uid="{00000000-0005-0000-0000-0000D4030000}"/>
    <cellStyle name="dp*LabelLine 7" xfId="3027" xr:uid="{00000000-0005-0000-0000-0000D5030000}"/>
    <cellStyle name="dp*LabelLine_Summary" xfId="2349" xr:uid="{00000000-0005-0000-0000-0000D6030000}"/>
    <cellStyle name="dp*Labels" xfId="412" xr:uid="{00000000-0005-0000-0000-0000D7030000}"/>
    <cellStyle name="dp*Normal" xfId="413" xr:uid="{00000000-0005-0000-0000-0000D8030000}"/>
    <cellStyle name="dp*NormalCurrency1Dec." xfId="414" xr:uid="{00000000-0005-0000-0000-0000D9030000}"/>
    <cellStyle name="dp*NormalCurrency2Dec." xfId="415" xr:uid="{00000000-0005-0000-0000-0000DA030000}"/>
    <cellStyle name="dp*Number%Italics" xfId="416" xr:uid="{00000000-0005-0000-0000-0000DB030000}"/>
    <cellStyle name="dp*Number%ItalicsLineAbove" xfId="417" xr:uid="{00000000-0005-0000-0000-0000DC030000}"/>
    <cellStyle name="dp*Number%ItalicsLineAbove 10" xfId="8530" xr:uid="{00000000-0005-0000-0000-0000DC030000}"/>
    <cellStyle name="dp*Number%ItalicsLineAbove 2" xfId="1125" xr:uid="{00000000-0005-0000-0000-0000DD030000}"/>
    <cellStyle name="dp*Number%ItalicsLineAbove 2 2" xfId="4224" xr:uid="{00000000-0005-0000-0000-0000DD030000}"/>
    <cellStyle name="dp*Number%ItalicsLineAbove 2 2 2" xfId="14969" xr:uid="{00000000-0005-0000-0000-0000DD030000}"/>
    <cellStyle name="dp*Number%ItalicsLineAbove 2 2 2 2" xfId="33373" xr:uid="{00000000-0005-0000-0000-0000DD030000}"/>
    <cellStyle name="dp*Number%ItalicsLineAbove 2 2 2 3" xfId="51736" xr:uid="{00000000-0005-0000-0000-0000DD030000}"/>
    <cellStyle name="dp*Number%ItalicsLineAbove 2 2 3" xfId="24102" xr:uid="{00000000-0005-0000-0000-0000DD030000}"/>
    <cellStyle name="dp*Number%ItalicsLineAbove 2 2 3 2" xfId="42471" xr:uid="{00000000-0005-0000-0000-0000DD030000}"/>
    <cellStyle name="dp*Number%ItalicsLineAbove 2 2 4" xfId="20422" xr:uid="{00000000-0005-0000-0000-0000DD030000}"/>
    <cellStyle name="dp*Number%ItalicsLineAbove 2 2 5" xfId="38820" xr:uid="{00000000-0005-0000-0000-0000DD030000}"/>
    <cellStyle name="dp*Number%ItalicsLineAbove 2 3" xfId="17847" xr:uid="{00000000-0005-0000-0000-0000DD030000}"/>
    <cellStyle name="dp*Number%ItalicsLineAbove 2 3 2" xfId="36257" xr:uid="{00000000-0005-0000-0000-0000DD030000}"/>
    <cellStyle name="dp*Number%ItalicsLineAbove 2 4" xfId="8464" xr:uid="{00000000-0005-0000-0000-0000DD030000}"/>
    <cellStyle name="dp*Number%ItalicsLineAbove 2 5" xfId="10971" xr:uid="{00000000-0005-0000-0000-0000DD030000}"/>
    <cellStyle name="dp*Number%ItalicsLineAbove 3" xfId="1863" xr:uid="{00000000-0005-0000-0000-0000DE030000}"/>
    <cellStyle name="dp*Number%ItalicsLineAbove 3 2" xfId="4788" xr:uid="{00000000-0005-0000-0000-0000DE030000}"/>
    <cellStyle name="dp*Number%ItalicsLineAbove 3 2 2" xfId="15514" xr:uid="{00000000-0005-0000-0000-0000DE030000}"/>
    <cellStyle name="dp*Number%ItalicsLineAbove 3 2 2 2" xfId="33907" xr:uid="{00000000-0005-0000-0000-0000DE030000}"/>
    <cellStyle name="dp*Number%ItalicsLineAbove 3 2 2 3" xfId="52270" xr:uid="{00000000-0005-0000-0000-0000DE030000}"/>
    <cellStyle name="dp*Number%ItalicsLineAbove 3 2 3" xfId="24638" xr:uid="{00000000-0005-0000-0000-0000DE030000}"/>
    <cellStyle name="dp*Number%ItalicsLineAbove 3 2 3 2" xfId="43007" xr:uid="{00000000-0005-0000-0000-0000DE030000}"/>
    <cellStyle name="dp*Number%ItalicsLineAbove 3 2 4" xfId="20965" xr:uid="{00000000-0005-0000-0000-0000DE030000}"/>
    <cellStyle name="dp*Number%ItalicsLineAbove 3 2 5" xfId="39354" xr:uid="{00000000-0005-0000-0000-0000DE030000}"/>
    <cellStyle name="dp*Number%ItalicsLineAbove 3 3" xfId="18112" xr:uid="{00000000-0005-0000-0000-0000DE030000}"/>
    <cellStyle name="dp*Number%ItalicsLineAbove 3 3 2" xfId="36519" xr:uid="{00000000-0005-0000-0000-0000DE030000}"/>
    <cellStyle name="dp*Number%ItalicsLineAbove 3 4" xfId="7385" xr:uid="{00000000-0005-0000-0000-0000DE030000}"/>
    <cellStyle name="dp*Number%ItalicsLineAbove 3 5" xfId="7283" xr:uid="{00000000-0005-0000-0000-0000DE030000}"/>
    <cellStyle name="dp*Number%ItalicsLineAbove 4" xfId="3025" xr:uid="{00000000-0005-0000-0000-0000DF030000}"/>
    <cellStyle name="dp*Number%ItalicsLineAbove 4 2" xfId="5278" xr:uid="{00000000-0005-0000-0000-0000DF030000}"/>
    <cellStyle name="dp*Number%ItalicsLineAbove 4 2 2" xfId="15970" xr:uid="{00000000-0005-0000-0000-0000DF030000}"/>
    <cellStyle name="dp*Number%ItalicsLineAbove 4 2 2 2" xfId="34344" xr:uid="{00000000-0005-0000-0000-0000DF030000}"/>
    <cellStyle name="dp*Number%ItalicsLineAbove 4 2 2 3" xfId="52707" xr:uid="{00000000-0005-0000-0000-0000DF030000}"/>
    <cellStyle name="dp*Number%ItalicsLineAbove 4 2 3" xfId="25091" xr:uid="{00000000-0005-0000-0000-0000DF030000}"/>
    <cellStyle name="dp*Number%ItalicsLineAbove 4 2 3 2" xfId="43460" xr:uid="{00000000-0005-0000-0000-0000DF030000}"/>
    <cellStyle name="dp*Number%ItalicsLineAbove 4 2 4" xfId="21412" xr:uid="{00000000-0005-0000-0000-0000DF030000}"/>
    <cellStyle name="dp*Number%ItalicsLineAbove 4 2 5" xfId="39791" xr:uid="{00000000-0005-0000-0000-0000DF030000}"/>
    <cellStyle name="dp*Number%ItalicsLineAbove 4 3" xfId="23031" xr:uid="{00000000-0005-0000-0000-0000DF030000}"/>
    <cellStyle name="dp*Number%ItalicsLineAbove 4 3 2" xfId="41400" xr:uid="{00000000-0005-0000-0000-0000DF030000}"/>
    <cellStyle name="dp*Number%ItalicsLineAbove 4 4" xfId="17591" xr:uid="{00000000-0005-0000-0000-0000DF030000}"/>
    <cellStyle name="dp*Number%ItalicsLineAbove 4 5" xfId="36033" xr:uid="{00000000-0005-0000-0000-0000DF030000}"/>
    <cellStyle name="dp*Number%ItalicsLineAbove 5" xfId="2994" xr:uid="{00000000-0005-0000-0000-0000E0030000}"/>
    <cellStyle name="dp*Number%ItalicsLineAbove 5 2" xfId="5252" xr:uid="{00000000-0005-0000-0000-0000E0030000}"/>
    <cellStyle name="dp*Number%ItalicsLineAbove 5 2 2" xfId="15944" xr:uid="{00000000-0005-0000-0000-0000E0030000}"/>
    <cellStyle name="dp*Number%ItalicsLineAbove 5 2 2 2" xfId="34318" xr:uid="{00000000-0005-0000-0000-0000E0030000}"/>
    <cellStyle name="dp*Number%ItalicsLineAbove 5 2 2 3" xfId="52681" xr:uid="{00000000-0005-0000-0000-0000E0030000}"/>
    <cellStyle name="dp*Number%ItalicsLineAbove 5 2 3" xfId="25065" xr:uid="{00000000-0005-0000-0000-0000E0030000}"/>
    <cellStyle name="dp*Number%ItalicsLineAbove 5 2 3 2" xfId="43434" xr:uid="{00000000-0005-0000-0000-0000E0030000}"/>
    <cellStyle name="dp*Number%ItalicsLineAbove 5 2 4" xfId="21386" xr:uid="{00000000-0005-0000-0000-0000E0030000}"/>
    <cellStyle name="dp*Number%ItalicsLineAbove 5 2 5" xfId="39765" xr:uid="{00000000-0005-0000-0000-0000E0030000}"/>
    <cellStyle name="dp*Number%ItalicsLineAbove 5 3" xfId="23007" xr:uid="{00000000-0005-0000-0000-0000E0030000}"/>
    <cellStyle name="dp*Number%ItalicsLineAbove 5 3 2" xfId="41376" xr:uid="{00000000-0005-0000-0000-0000E0030000}"/>
    <cellStyle name="dp*Number%ItalicsLineAbove 5 4" xfId="17566" xr:uid="{00000000-0005-0000-0000-0000E0030000}"/>
    <cellStyle name="dp*Number%ItalicsLineAbove 5 5" xfId="36009" xr:uid="{00000000-0005-0000-0000-0000E0030000}"/>
    <cellStyle name="dp*Number%ItalicsLineAbove 6" xfId="3281" xr:uid="{00000000-0005-0000-0000-0000E1030000}"/>
    <cellStyle name="dp*Number%ItalicsLineAbove 6 2" xfId="5474" xr:uid="{00000000-0005-0000-0000-0000E1030000}"/>
    <cellStyle name="dp*Number%ItalicsLineAbove 6 2 2" xfId="16165" xr:uid="{00000000-0005-0000-0000-0000E1030000}"/>
    <cellStyle name="dp*Number%ItalicsLineAbove 6 2 2 2" xfId="34537" xr:uid="{00000000-0005-0000-0000-0000E1030000}"/>
    <cellStyle name="dp*Number%ItalicsLineAbove 6 2 2 3" xfId="52900" xr:uid="{00000000-0005-0000-0000-0000E1030000}"/>
    <cellStyle name="dp*Number%ItalicsLineAbove 6 2 3" xfId="25284" xr:uid="{00000000-0005-0000-0000-0000E1030000}"/>
    <cellStyle name="dp*Number%ItalicsLineAbove 6 2 3 2" xfId="43653" xr:uid="{00000000-0005-0000-0000-0000E1030000}"/>
    <cellStyle name="dp*Number%ItalicsLineAbove 6 2 4" xfId="21605" xr:uid="{00000000-0005-0000-0000-0000E1030000}"/>
    <cellStyle name="dp*Number%ItalicsLineAbove 6 2 5" xfId="39984" xr:uid="{00000000-0005-0000-0000-0000E1030000}"/>
    <cellStyle name="dp*Number%ItalicsLineAbove 6 3" xfId="23213" xr:uid="{00000000-0005-0000-0000-0000E1030000}"/>
    <cellStyle name="dp*Number%ItalicsLineAbove 6 3 2" xfId="41582" xr:uid="{00000000-0005-0000-0000-0000E1030000}"/>
    <cellStyle name="dp*Number%ItalicsLineAbove 6 4" xfId="17799" xr:uid="{00000000-0005-0000-0000-0000E1030000}"/>
    <cellStyle name="dp*Number%ItalicsLineAbove 6 5" xfId="36215" xr:uid="{00000000-0005-0000-0000-0000E1030000}"/>
    <cellStyle name="dp*Number%ItalicsLineAbove 7" xfId="4026" xr:uid="{00000000-0005-0000-0000-0000DC030000}"/>
    <cellStyle name="dp*Number%ItalicsLineAbove 7 2" xfId="14787" xr:uid="{00000000-0005-0000-0000-0000DC030000}"/>
    <cellStyle name="dp*Number%ItalicsLineAbove 7 2 2" xfId="33199" xr:uid="{00000000-0005-0000-0000-0000DC030000}"/>
    <cellStyle name="dp*Number%ItalicsLineAbove 7 2 3" xfId="51562" xr:uid="{00000000-0005-0000-0000-0000DC030000}"/>
    <cellStyle name="dp*Number%ItalicsLineAbove 7 3" xfId="23923" xr:uid="{00000000-0005-0000-0000-0000DC030000}"/>
    <cellStyle name="dp*Number%ItalicsLineAbove 7 3 2" xfId="42292" xr:uid="{00000000-0005-0000-0000-0000DC030000}"/>
    <cellStyle name="dp*Number%ItalicsLineAbove 7 4" xfId="20243" xr:uid="{00000000-0005-0000-0000-0000DC030000}"/>
    <cellStyle name="dp*Number%ItalicsLineAbove 7 5" xfId="38646" xr:uid="{00000000-0005-0000-0000-0000DC030000}"/>
    <cellStyle name="dp*Number%ItalicsLineAbove 8" xfId="19468" xr:uid="{00000000-0005-0000-0000-0000DC030000}"/>
    <cellStyle name="dp*Number%ItalicsLineAbove 8 2" xfId="37874" xr:uid="{00000000-0005-0000-0000-0000DC030000}"/>
    <cellStyle name="dp*Number%ItalicsLineAbove 9" xfId="6998" xr:uid="{00000000-0005-0000-0000-0000DC030000}"/>
    <cellStyle name="dp*NumberCurrencyLine" xfId="418" xr:uid="{00000000-0005-0000-0000-0000E2030000}"/>
    <cellStyle name="dp*NumberCurrencyLine 2" xfId="1048" xr:uid="{00000000-0005-0000-0000-0000E3030000}"/>
    <cellStyle name="dp*NumberCurrencyLine 2 2" xfId="1240" xr:uid="{00000000-0005-0000-0000-0000E4030000}"/>
    <cellStyle name="dp*NumberCurrencyLine 3" xfId="1062" xr:uid="{00000000-0005-0000-0000-0000E5030000}"/>
    <cellStyle name="dp*NumberCurrencyLine 3 2" xfId="9274" xr:uid="{00000000-0005-0000-0000-0000E5030000}"/>
    <cellStyle name="dp*NumberCurrencyLine 3 3" xfId="7452" xr:uid="{00000000-0005-0000-0000-0000E5030000}"/>
    <cellStyle name="dp*NumberCurrencyLine 3 3 2" xfId="26831" xr:uid="{00000000-0005-0000-0000-0000E5030000}"/>
    <cellStyle name="dp*NumberCurrencyLine 4" xfId="1212" xr:uid="{00000000-0005-0000-0000-0000E6030000}"/>
    <cellStyle name="dp*NumberCurrencyLine 5" xfId="3024" xr:uid="{00000000-0005-0000-0000-0000E7030000}"/>
    <cellStyle name="dp*NumberCurrencyLine_Summary" xfId="2350" xr:uid="{00000000-0005-0000-0000-0000E8030000}"/>
    <cellStyle name="dp*NumberGeneral" xfId="419" xr:uid="{00000000-0005-0000-0000-0000E9030000}"/>
    <cellStyle name="dp*NumberGeneral2Dec." xfId="420" xr:uid="{00000000-0005-0000-0000-0000EA030000}"/>
    <cellStyle name="dp*NumberLine" xfId="421" xr:uid="{00000000-0005-0000-0000-0000EB030000}"/>
    <cellStyle name="dp*NumberLine 2" xfId="1049" xr:uid="{00000000-0005-0000-0000-0000EC030000}"/>
    <cellStyle name="dp*NumberLine 2 10" xfId="11700" xr:uid="{00000000-0005-0000-0000-0000EC030000}"/>
    <cellStyle name="dp*NumberLine 2 10 2" xfId="30221" xr:uid="{00000000-0005-0000-0000-0000EC030000}"/>
    <cellStyle name="dp*NumberLine 2 10 3" xfId="48584" xr:uid="{00000000-0005-0000-0000-0000EC030000}"/>
    <cellStyle name="dp*NumberLine 2 11" xfId="7096" xr:uid="{00000000-0005-0000-0000-0000EC030000}"/>
    <cellStyle name="dp*NumberLine 2 2" xfId="1241" xr:uid="{00000000-0005-0000-0000-0000ED030000}"/>
    <cellStyle name="dp*NumberLine 2 2 10" xfId="10682" xr:uid="{00000000-0005-0000-0000-0000ED030000}"/>
    <cellStyle name="dp*NumberLine 2 2 2" xfId="1644" xr:uid="{00000000-0005-0000-0000-0000EE030000}"/>
    <cellStyle name="dp*NumberLine 2 2 2 10" xfId="18971" xr:uid="{00000000-0005-0000-0000-0000EE030000}"/>
    <cellStyle name="dp*NumberLine 2 2 2 10 2" xfId="37380" xr:uid="{00000000-0005-0000-0000-0000EE030000}"/>
    <cellStyle name="dp*NumberLine 2 2 2 11" xfId="7049" xr:uid="{00000000-0005-0000-0000-0000EE030000}"/>
    <cellStyle name="dp*NumberLine 2 2 2 12" xfId="8677" xr:uid="{00000000-0005-0000-0000-0000EE030000}"/>
    <cellStyle name="dp*NumberLine 2 2 2 2" xfId="1725" xr:uid="{00000000-0005-0000-0000-0000EF030000}"/>
    <cellStyle name="dp*NumberLine 2 2 2 2 10" xfId="7571" xr:uid="{00000000-0005-0000-0000-0000EF030000}"/>
    <cellStyle name="dp*NumberLine 2 2 2 2 2" xfId="3622" xr:uid="{00000000-0005-0000-0000-0000EF030000}"/>
    <cellStyle name="dp*NumberLine 2 2 2 2 2 2" xfId="5795" xr:uid="{00000000-0005-0000-0000-0000EF030000}"/>
    <cellStyle name="dp*NumberLine 2 2 2 2 2 2 2" xfId="12159" xr:uid="{00000000-0005-0000-0000-0000EF030000}"/>
    <cellStyle name="dp*NumberLine 2 2 2 2 2 2 2 2" xfId="30606" xr:uid="{00000000-0005-0000-0000-0000EF030000}"/>
    <cellStyle name="dp*NumberLine 2 2 2 2 2 2 2 3" xfId="48969" xr:uid="{00000000-0005-0000-0000-0000EF030000}"/>
    <cellStyle name="dp*NumberLine 2 2 2 2 2 2 3" xfId="16485" xr:uid="{00000000-0005-0000-0000-0000EF030000}"/>
    <cellStyle name="dp*NumberLine 2 2 2 2 2 2 3 2" xfId="34857" xr:uid="{00000000-0005-0000-0000-0000EF030000}"/>
    <cellStyle name="dp*NumberLine 2 2 2 2 2 2 3 3" xfId="53220" xr:uid="{00000000-0005-0000-0000-0000EF030000}"/>
    <cellStyle name="dp*NumberLine 2 2 2 2 2 2 4" xfId="25604" xr:uid="{00000000-0005-0000-0000-0000EF030000}"/>
    <cellStyle name="dp*NumberLine 2 2 2 2 2 2 4 2" xfId="43973" xr:uid="{00000000-0005-0000-0000-0000EF030000}"/>
    <cellStyle name="dp*NumberLine 2 2 2 2 2 2 5" xfId="21925" xr:uid="{00000000-0005-0000-0000-0000EF030000}"/>
    <cellStyle name="dp*NumberLine 2 2 2 2 2 2 6" xfId="40304" xr:uid="{00000000-0005-0000-0000-0000EF030000}"/>
    <cellStyle name="dp*NumberLine 2 2 2 2 2 3" xfId="6621" xr:uid="{00000000-0005-0000-0000-0000EF030000}"/>
    <cellStyle name="dp*NumberLine 2 2 2 2 2 3 2" xfId="12912" xr:uid="{00000000-0005-0000-0000-0000EF030000}"/>
    <cellStyle name="dp*NumberLine 2 2 2 2 2 3 2 2" xfId="31338" xr:uid="{00000000-0005-0000-0000-0000EF030000}"/>
    <cellStyle name="dp*NumberLine 2 2 2 2 2 3 2 3" xfId="49701" xr:uid="{00000000-0005-0000-0000-0000EF030000}"/>
    <cellStyle name="dp*NumberLine 2 2 2 2 2 3 3" xfId="17223" xr:uid="{00000000-0005-0000-0000-0000EF030000}"/>
    <cellStyle name="dp*NumberLine 2 2 2 2 2 3 3 2" xfId="35571" xr:uid="{00000000-0005-0000-0000-0000EF030000}"/>
    <cellStyle name="dp*NumberLine 2 2 2 2 2 3 3 3" xfId="53934" xr:uid="{00000000-0005-0000-0000-0000EF030000}"/>
    <cellStyle name="dp*NumberLine 2 2 2 2 2 3 4" xfId="26356" xr:uid="{00000000-0005-0000-0000-0000EF030000}"/>
    <cellStyle name="dp*NumberLine 2 2 2 2 2 3 4 2" xfId="44725" xr:uid="{00000000-0005-0000-0000-0000EF030000}"/>
    <cellStyle name="dp*NumberLine 2 2 2 2 2 3 5" xfId="22649" xr:uid="{00000000-0005-0000-0000-0000EF030000}"/>
    <cellStyle name="dp*NumberLine 2 2 2 2 2 3 6" xfId="41018" xr:uid="{00000000-0005-0000-0000-0000EF030000}"/>
    <cellStyle name="dp*NumberLine 2 2 2 2 2 4" xfId="10335" xr:uid="{00000000-0005-0000-0000-0000EF030000}"/>
    <cellStyle name="dp*NumberLine 2 2 2 2 2 4 2" xfId="14392" xr:uid="{00000000-0005-0000-0000-0000EF030000}"/>
    <cellStyle name="dp*NumberLine 2 2 2 2 2 4 2 2" xfId="32808" xr:uid="{00000000-0005-0000-0000-0000EF030000}"/>
    <cellStyle name="dp*NumberLine 2 2 2 2 2 4 2 3" xfId="51171" xr:uid="{00000000-0005-0000-0000-0000EF030000}"/>
    <cellStyle name="dp*NumberLine 2 2 2 2 2 4 3" xfId="29046" xr:uid="{00000000-0005-0000-0000-0000EF030000}"/>
    <cellStyle name="dp*NumberLine 2 2 2 2 2 4 3 2" xfId="47409" xr:uid="{00000000-0005-0000-0000-0000EF030000}"/>
    <cellStyle name="dp*NumberLine 2 2 2 2 2 4 4" xfId="19849" xr:uid="{00000000-0005-0000-0000-0000EF030000}"/>
    <cellStyle name="dp*NumberLine 2 2 2 2 2 4 5" xfId="38255" xr:uid="{00000000-0005-0000-0000-0000EF030000}"/>
    <cellStyle name="dp*NumberLine 2 2 2 2 2 5" xfId="9543" xr:uid="{00000000-0005-0000-0000-0000EF030000}"/>
    <cellStyle name="dp*NumberLine 2 2 2 2 2 5 2" xfId="28260" xr:uid="{00000000-0005-0000-0000-0000EF030000}"/>
    <cellStyle name="dp*NumberLine 2 2 2 2 2 5 3" xfId="46623" xr:uid="{00000000-0005-0000-0000-0000EF030000}"/>
    <cellStyle name="dp*NumberLine 2 2 2 2 2 6" xfId="13601" xr:uid="{00000000-0005-0000-0000-0000EF030000}"/>
    <cellStyle name="dp*NumberLine 2 2 2 2 2 6 2" xfId="32022" xr:uid="{00000000-0005-0000-0000-0000EF030000}"/>
    <cellStyle name="dp*NumberLine 2 2 2 2 2 6 3" xfId="50385" xr:uid="{00000000-0005-0000-0000-0000EF030000}"/>
    <cellStyle name="dp*NumberLine 2 2 2 2 2 7" xfId="23530" xr:uid="{00000000-0005-0000-0000-0000EF030000}"/>
    <cellStyle name="dp*NumberLine 2 2 2 2 2 7 2" xfId="41899" xr:uid="{00000000-0005-0000-0000-0000EF030000}"/>
    <cellStyle name="dp*NumberLine 2 2 2 2 2 8" xfId="18642" xr:uid="{00000000-0005-0000-0000-0000EF030000}"/>
    <cellStyle name="dp*NumberLine 2 2 2 2 2 9" xfId="37052" xr:uid="{00000000-0005-0000-0000-0000EF030000}"/>
    <cellStyle name="dp*NumberLine 2 2 2 2 3" xfId="4662" xr:uid="{00000000-0005-0000-0000-0000EF030000}"/>
    <cellStyle name="dp*NumberLine 2 2 2 2 3 2" xfId="11246" xr:uid="{00000000-0005-0000-0000-0000EF030000}"/>
    <cellStyle name="dp*NumberLine 2 2 2 2 3 2 2" xfId="29858" xr:uid="{00000000-0005-0000-0000-0000EF030000}"/>
    <cellStyle name="dp*NumberLine 2 2 2 2 3 2 3" xfId="48221" xr:uid="{00000000-0005-0000-0000-0000EF030000}"/>
    <cellStyle name="dp*NumberLine 2 2 2 2 3 3" xfId="15388" xr:uid="{00000000-0005-0000-0000-0000EF030000}"/>
    <cellStyle name="dp*NumberLine 2 2 2 2 3 3 2" xfId="33781" xr:uid="{00000000-0005-0000-0000-0000EF030000}"/>
    <cellStyle name="dp*NumberLine 2 2 2 2 3 3 3" xfId="52144" xr:uid="{00000000-0005-0000-0000-0000EF030000}"/>
    <cellStyle name="dp*NumberLine 2 2 2 2 3 4" xfId="24512" xr:uid="{00000000-0005-0000-0000-0000EF030000}"/>
    <cellStyle name="dp*NumberLine 2 2 2 2 3 4 2" xfId="42881" xr:uid="{00000000-0005-0000-0000-0000EF030000}"/>
    <cellStyle name="dp*NumberLine 2 2 2 2 3 5" xfId="20839" xr:uid="{00000000-0005-0000-0000-0000EF030000}"/>
    <cellStyle name="dp*NumberLine 2 2 2 2 3 6" xfId="39228" xr:uid="{00000000-0005-0000-0000-0000EF030000}"/>
    <cellStyle name="dp*NumberLine 2 2 2 2 4" xfId="4334" xr:uid="{00000000-0005-0000-0000-0000EF030000}"/>
    <cellStyle name="dp*NumberLine 2 2 2 2 4 2" xfId="10942" xr:uid="{00000000-0005-0000-0000-0000EF030000}"/>
    <cellStyle name="dp*NumberLine 2 2 2 2 4 2 2" xfId="29572" xr:uid="{00000000-0005-0000-0000-0000EF030000}"/>
    <cellStyle name="dp*NumberLine 2 2 2 2 4 2 3" xfId="47935" xr:uid="{00000000-0005-0000-0000-0000EF030000}"/>
    <cellStyle name="dp*NumberLine 2 2 2 2 4 3" xfId="15078" xr:uid="{00000000-0005-0000-0000-0000EF030000}"/>
    <cellStyle name="dp*NumberLine 2 2 2 2 4 3 2" xfId="33480" xr:uid="{00000000-0005-0000-0000-0000EF030000}"/>
    <cellStyle name="dp*NumberLine 2 2 2 2 4 3 3" xfId="51843" xr:uid="{00000000-0005-0000-0000-0000EF030000}"/>
    <cellStyle name="dp*NumberLine 2 2 2 2 4 4" xfId="24209" xr:uid="{00000000-0005-0000-0000-0000EF030000}"/>
    <cellStyle name="dp*NumberLine 2 2 2 2 4 4 2" xfId="42578" xr:uid="{00000000-0005-0000-0000-0000EF030000}"/>
    <cellStyle name="dp*NumberLine 2 2 2 2 4 5" xfId="20530" xr:uid="{00000000-0005-0000-0000-0000EF030000}"/>
    <cellStyle name="dp*NumberLine 2 2 2 2 4 6" xfId="38927" xr:uid="{00000000-0005-0000-0000-0000EF030000}"/>
    <cellStyle name="dp*NumberLine 2 2 2 2 5" xfId="9077" xr:uid="{00000000-0005-0000-0000-0000EF030000}"/>
    <cellStyle name="dp*NumberLine 2 2 2 2 5 2" xfId="6143" xr:uid="{00000000-0005-0000-0000-0000EF030000}"/>
    <cellStyle name="dp*NumberLine 2 2 2 2 5 2 2" xfId="25935" xr:uid="{00000000-0005-0000-0000-0000EF030000}"/>
    <cellStyle name="dp*NumberLine 2 2 2 2 5 2 3" xfId="44304" xr:uid="{00000000-0005-0000-0000-0000EF030000}"/>
    <cellStyle name="dp*NumberLine 2 2 2 2 5 3" xfId="27803" xr:uid="{00000000-0005-0000-0000-0000EF030000}"/>
    <cellStyle name="dp*NumberLine 2 2 2 2 5 3 2" xfId="46166" xr:uid="{00000000-0005-0000-0000-0000EF030000}"/>
    <cellStyle name="dp*NumberLine 2 2 2 2 5 4" xfId="17977" xr:uid="{00000000-0005-0000-0000-0000EF030000}"/>
    <cellStyle name="dp*NumberLine 2 2 2 2 5 5" xfId="36385" xr:uid="{00000000-0005-0000-0000-0000EF030000}"/>
    <cellStyle name="dp*NumberLine 2 2 2 2 6" xfId="7956" xr:uid="{00000000-0005-0000-0000-0000EF030000}"/>
    <cellStyle name="dp*NumberLine 2 2 2 2 6 2" xfId="27186" xr:uid="{00000000-0005-0000-0000-0000EF030000}"/>
    <cellStyle name="dp*NumberLine 2 2 2 2 6 3" xfId="45551" xr:uid="{00000000-0005-0000-0000-0000EF030000}"/>
    <cellStyle name="dp*NumberLine 2 2 2 2 7" xfId="8396" xr:uid="{00000000-0005-0000-0000-0000EF030000}"/>
    <cellStyle name="dp*NumberLine 2 2 2 2 7 2" xfId="27459" xr:uid="{00000000-0005-0000-0000-0000EF030000}"/>
    <cellStyle name="dp*NumberLine 2 2 2 2 7 3" xfId="45823" xr:uid="{00000000-0005-0000-0000-0000EF030000}"/>
    <cellStyle name="dp*NumberLine 2 2 2 2 8" xfId="18497" xr:uid="{00000000-0005-0000-0000-0000EF030000}"/>
    <cellStyle name="dp*NumberLine 2 2 2 2 8 2" xfId="36906" xr:uid="{00000000-0005-0000-0000-0000EF030000}"/>
    <cellStyle name="dp*NumberLine 2 2 2 2 9" xfId="10897" xr:uid="{00000000-0005-0000-0000-0000EF030000}"/>
    <cellStyle name="dp*NumberLine 2 2 2 3" xfId="1755" xr:uid="{00000000-0005-0000-0000-0000F0030000}"/>
    <cellStyle name="dp*NumberLine 2 2 2 3 10" xfId="8203" xr:uid="{00000000-0005-0000-0000-0000F0030000}"/>
    <cellStyle name="dp*NumberLine 2 2 2 3 2" xfId="3652" xr:uid="{00000000-0005-0000-0000-0000F0030000}"/>
    <cellStyle name="dp*NumberLine 2 2 2 3 2 2" xfId="5825" xr:uid="{00000000-0005-0000-0000-0000F0030000}"/>
    <cellStyle name="dp*NumberLine 2 2 2 3 2 2 2" xfId="12189" xr:uid="{00000000-0005-0000-0000-0000F0030000}"/>
    <cellStyle name="dp*NumberLine 2 2 2 3 2 2 2 2" xfId="30636" xr:uid="{00000000-0005-0000-0000-0000F0030000}"/>
    <cellStyle name="dp*NumberLine 2 2 2 3 2 2 2 3" xfId="48999" xr:uid="{00000000-0005-0000-0000-0000F0030000}"/>
    <cellStyle name="dp*NumberLine 2 2 2 3 2 2 3" xfId="16515" xr:uid="{00000000-0005-0000-0000-0000F0030000}"/>
    <cellStyle name="dp*NumberLine 2 2 2 3 2 2 3 2" xfId="34887" xr:uid="{00000000-0005-0000-0000-0000F0030000}"/>
    <cellStyle name="dp*NumberLine 2 2 2 3 2 2 3 3" xfId="53250" xr:uid="{00000000-0005-0000-0000-0000F0030000}"/>
    <cellStyle name="dp*NumberLine 2 2 2 3 2 2 4" xfId="25634" xr:uid="{00000000-0005-0000-0000-0000F0030000}"/>
    <cellStyle name="dp*NumberLine 2 2 2 3 2 2 4 2" xfId="44003" xr:uid="{00000000-0005-0000-0000-0000F0030000}"/>
    <cellStyle name="dp*NumberLine 2 2 2 3 2 2 5" xfId="21955" xr:uid="{00000000-0005-0000-0000-0000F0030000}"/>
    <cellStyle name="dp*NumberLine 2 2 2 3 2 2 6" xfId="40334" xr:uid="{00000000-0005-0000-0000-0000F0030000}"/>
    <cellStyle name="dp*NumberLine 2 2 2 3 2 3" xfId="6651" xr:uid="{00000000-0005-0000-0000-0000F0030000}"/>
    <cellStyle name="dp*NumberLine 2 2 2 3 2 3 2" xfId="12942" xr:uid="{00000000-0005-0000-0000-0000F0030000}"/>
    <cellStyle name="dp*NumberLine 2 2 2 3 2 3 2 2" xfId="31368" xr:uid="{00000000-0005-0000-0000-0000F0030000}"/>
    <cellStyle name="dp*NumberLine 2 2 2 3 2 3 2 3" xfId="49731" xr:uid="{00000000-0005-0000-0000-0000F0030000}"/>
    <cellStyle name="dp*NumberLine 2 2 2 3 2 3 3" xfId="17253" xr:uid="{00000000-0005-0000-0000-0000F0030000}"/>
    <cellStyle name="dp*NumberLine 2 2 2 3 2 3 3 2" xfId="35601" xr:uid="{00000000-0005-0000-0000-0000F0030000}"/>
    <cellStyle name="dp*NumberLine 2 2 2 3 2 3 3 3" xfId="53964" xr:uid="{00000000-0005-0000-0000-0000F0030000}"/>
    <cellStyle name="dp*NumberLine 2 2 2 3 2 3 4" xfId="26386" xr:uid="{00000000-0005-0000-0000-0000F0030000}"/>
    <cellStyle name="dp*NumberLine 2 2 2 3 2 3 4 2" xfId="44755" xr:uid="{00000000-0005-0000-0000-0000F0030000}"/>
    <cellStyle name="dp*NumberLine 2 2 2 3 2 3 5" xfId="22679" xr:uid="{00000000-0005-0000-0000-0000F0030000}"/>
    <cellStyle name="dp*NumberLine 2 2 2 3 2 3 6" xfId="41048" xr:uid="{00000000-0005-0000-0000-0000F0030000}"/>
    <cellStyle name="dp*NumberLine 2 2 2 3 2 4" xfId="10365" xr:uid="{00000000-0005-0000-0000-0000F0030000}"/>
    <cellStyle name="dp*NumberLine 2 2 2 3 2 4 2" xfId="14422" xr:uid="{00000000-0005-0000-0000-0000F0030000}"/>
    <cellStyle name="dp*NumberLine 2 2 2 3 2 4 2 2" xfId="32838" xr:uid="{00000000-0005-0000-0000-0000F0030000}"/>
    <cellStyle name="dp*NumberLine 2 2 2 3 2 4 2 3" xfId="51201" xr:uid="{00000000-0005-0000-0000-0000F0030000}"/>
    <cellStyle name="dp*NumberLine 2 2 2 3 2 4 3" xfId="29076" xr:uid="{00000000-0005-0000-0000-0000F0030000}"/>
    <cellStyle name="dp*NumberLine 2 2 2 3 2 4 3 2" xfId="47439" xr:uid="{00000000-0005-0000-0000-0000F0030000}"/>
    <cellStyle name="dp*NumberLine 2 2 2 3 2 4 4" xfId="19879" xr:uid="{00000000-0005-0000-0000-0000F0030000}"/>
    <cellStyle name="dp*NumberLine 2 2 2 3 2 4 5" xfId="38285" xr:uid="{00000000-0005-0000-0000-0000F0030000}"/>
    <cellStyle name="dp*NumberLine 2 2 2 3 2 5" xfId="9573" xr:uid="{00000000-0005-0000-0000-0000F0030000}"/>
    <cellStyle name="dp*NumberLine 2 2 2 3 2 5 2" xfId="28290" xr:uid="{00000000-0005-0000-0000-0000F0030000}"/>
    <cellStyle name="dp*NumberLine 2 2 2 3 2 5 3" xfId="46653" xr:uid="{00000000-0005-0000-0000-0000F0030000}"/>
    <cellStyle name="dp*NumberLine 2 2 2 3 2 6" xfId="13631" xr:uid="{00000000-0005-0000-0000-0000F0030000}"/>
    <cellStyle name="dp*NumberLine 2 2 2 3 2 6 2" xfId="32052" xr:uid="{00000000-0005-0000-0000-0000F0030000}"/>
    <cellStyle name="dp*NumberLine 2 2 2 3 2 6 3" xfId="50415" xr:uid="{00000000-0005-0000-0000-0000F0030000}"/>
    <cellStyle name="dp*NumberLine 2 2 2 3 2 7" xfId="23560" xr:uid="{00000000-0005-0000-0000-0000F0030000}"/>
    <cellStyle name="dp*NumberLine 2 2 2 3 2 7 2" xfId="41929" xr:uid="{00000000-0005-0000-0000-0000F0030000}"/>
    <cellStyle name="dp*NumberLine 2 2 2 3 2 8" xfId="18672" xr:uid="{00000000-0005-0000-0000-0000F0030000}"/>
    <cellStyle name="dp*NumberLine 2 2 2 3 2 9" xfId="37082" xr:uid="{00000000-0005-0000-0000-0000F0030000}"/>
    <cellStyle name="dp*NumberLine 2 2 2 3 3" xfId="4692" xr:uid="{00000000-0005-0000-0000-0000F0030000}"/>
    <cellStyle name="dp*NumberLine 2 2 2 3 3 2" xfId="11276" xr:uid="{00000000-0005-0000-0000-0000F0030000}"/>
    <cellStyle name="dp*NumberLine 2 2 2 3 3 2 2" xfId="29888" xr:uid="{00000000-0005-0000-0000-0000F0030000}"/>
    <cellStyle name="dp*NumberLine 2 2 2 3 3 2 3" xfId="48251" xr:uid="{00000000-0005-0000-0000-0000F0030000}"/>
    <cellStyle name="dp*NumberLine 2 2 2 3 3 3" xfId="15418" xr:uid="{00000000-0005-0000-0000-0000F0030000}"/>
    <cellStyle name="dp*NumberLine 2 2 2 3 3 3 2" xfId="33811" xr:uid="{00000000-0005-0000-0000-0000F0030000}"/>
    <cellStyle name="dp*NumberLine 2 2 2 3 3 3 3" xfId="52174" xr:uid="{00000000-0005-0000-0000-0000F0030000}"/>
    <cellStyle name="dp*NumberLine 2 2 2 3 3 4" xfId="24542" xr:uid="{00000000-0005-0000-0000-0000F0030000}"/>
    <cellStyle name="dp*NumberLine 2 2 2 3 3 4 2" xfId="42911" xr:uid="{00000000-0005-0000-0000-0000F0030000}"/>
    <cellStyle name="dp*NumberLine 2 2 2 3 3 5" xfId="20869" xr:uid="{00000000-0005-0000-0000-0000F0030000}"/>
    <cellStyle name="dp*NumberLine 2 2 2 3 3 6" xfId="39258" xr:uid="{00000000-0005-0000-0000-0000F0030000}"/>
    <cellStyle name="dp*NumberLine 2 2 2 3 4" xfId="3956" xr:uid="{00000000-0005-0000-0000-0000F0030000}"/>
    <cellStyle name="dp*NumberLine 2 2 2 3 4 2" xfId="10661" xr:uid="{00000000-0005-0000-0000-0000F0030000}"/>
    <cellStyle name="dp*NumberLine 2 2 2 3 4 2 2" xfId="29367" xr:uid="{00000000-0005-0000-0000-0000F0030000}"/>
    <cellStyle name="dp*NumberLine 2 2 2 3 4 2 3" xfId="47730" xr:uid="{00000000-0005-0000-0000-0000F0030000}"/>
    <cellStyle name="dp*NumberLine 2 2 2 3 4 3" xfId="14719" xr:uid="{00000000-0005-0000-0000-0000F0030000}"/>
    <cellStyle name="dp*NumberLine 2 2 2 3 4 3 2" xfId="33131" xr:uid="{00000000-0005-0000-0000-0000F0030000}"/>
    <cellStyle name="dp*NumberLine 2 2 2 3 4 3 3" xfId="51494" xr:uid="{00000000-0005-0000-0000-0000F0030000}"/>
    <cellStyle name="dp*NumberLine 2 2 2 3 4 4" xfId="23855" xr:uid="{00000000-0005-0000-0000-0000F0030000}"/>
    <cellStyle name="dp*NumberLine 2 2 2 3 4 4 2" xfId="42224" xr:uid="{00000000-0005-0000-0000-0000F0030000}"/>
    <cellStyle name="dp*NumberLine 2 2 2 3 4 5" xfId="20173" xr:uid="{00000000-0005-0000-0000-0000F0030000}"/>
    <cellStyle name="dp*NumberLine 2 2 2 3 4 6" xfId="38578" xr:uid="{00000000-0005-0000-0000-0000F0030000}"/>
    <cellStyle name="dp*NumberLine 2 2 2 3 5" xfId="9802" xr:uid="{00000000-0005-0000-0000-0000F0030000}"/>
    <cellStyle name="dp*NumberLine 2 2 2 3 5 2" xfId="13859" xr:uid="{00000000-0005-0000-0000-0000F0030000}"/>
    <cellStyle name="dp*NumberLine 2 2 2 3 5 2 2" xfId="32279" xr:uid="{00000000-0005-0000-0000-0000F0030000}"/>
    <cellStyle name="dp*NumberLine 2 2 2 3 5 2 3" xfId="50642" xr:uid="{00000000-0005-0000-0000-0000F0030000}"/>
    <cellStyle name="dp*NumberLine 2 2 2 3 5 3" xfId="28517" xr:uid="{00000000-0005-0000-0000-0000F0030000}"/>
    <cellStyle name="dp*NumberLine 2 2 2 3 5 3 2" xfId="46880" xr:uid="{00000000-0005-0000-0000-0000F0030000}"/>
    <cellStyle name="dp*NumberLine 2 2 2 3 5 4" xfId="19017" xr:uid="{00000000-0005-0000-0000-0000F0030000}"/>
    <cellStyle name="dp*NumberLine 2 2 2 3 5 5" xfId="37426" xr:uid="{00000000-0005-0000-0000-0000F0030000}"/>
    <cellStyle name="dp*NumberLine 2 2 2 3 6" xfId="7986" xr:uid="{00000000-0005-0000-0000-0000F0030000}"/>
    <cellStyle name="dp*NumberLine 2 2 2 3 6 2" xfId="27216" xr:uid="{00000000-0005-0000-0000-0000F0030000}"/>
    <cellStyle name="dp*NumberLine 2 2 2 3 6 3" xfId="45581" xr:uid="{00000000-0005-0000-0000-0000F0030000}"/>
    <cellStyle name="dp*NumberLine 2 2 2 3 7" xfId="8718" xr:uid="{00000000-0005-0000-0000-0000F0030000}"/>
    <cellStyle name="dp*NumberLine 2 2 2 3 7 2" xfId="27602" xr:uid="{00000000-0005-0000-0000-0000F0030000}"/>
    <cellStyle name="dp*NumberLine 2 2 2 3 7 3" xfId="45965" xr:uid="{00000000-0005-0000-0000-0000F0030000}"/>
    <cellStyle name="dp*NumberLine 2 2 2 3 8" xfId="17873" xr:uid="{00000000-0005-0000-0000-0000F0030000}"/>
    <cellStyle name="dp*NumberLine 2 2 2 3 8 2" xfId="36283" xr:uid="{00000000-0005-0000-0000-0000F0030000}"/>
    <cellStyle name="dp*NumberLine 2 2 2 3 9" xfId="11684" xr:uid="{00000000-0005-0000-0000-0000F0030000}"/>
    <cellStyle name="dp*NumberLine 2 2 2 4" xfId="1783" xr:uid="{00000000-0005-0000-0000-0000F1030000}"/>
    <cellStyle name="dp*NumberLine 2 2 2 4 10" xfId="7285" xr:uid="{00000000-0005-0000-0000-0000F1030000}"/>
    <cellStyle name="dp*NumberLine 2 2 2 4 2" xfId="3680" xr:uid="{00000000-0005-0000-0000-0000F1030000}"/>
    <cellStyle name="dp*NumberLine 2 2 2 4 2 2" xfId="5853" xr:uid="{00000000-0005-0000-0000-0000F1030000}"/>
    <cellStyle name="dp*NumberLine 2 2 2 4 2 2 2" xfId="12217" xr:uid="{00000000-0005-0000-0000-0000F1030000}"/>
    <cellStyle name="dp*NumberLine 2 2 2 4 2 2 2 2" xfId="30664" xr:uid="{00000000-0005-0000-0000-0000F1030000}"/>
    <cellStyle name="dp*NumberLine 2 2 2 4 2 2 2 3" xfId="49027" xr:uid="{00000000-0005-0000-0000-0000F1030000}"/>
    <cellStyle name="dp*NumberLine 2 2 2 4 2 2 3" xfId="16543" xr:uid="{00000000-0005-0000-0000-0000F1030000}"/>
    <cellStyle name="dp*NumberLine 2 2 2 4 2 2 3 2" xfId="34915" xr:uid="{00000000-0005-0000-0000-0000F1030000}"/>
    <cellStyle name="dp*NumberLine 2 2 2 4 2 2 3 3" xfId="53278" xr:uid="{00000000-0005-0000-0000-0000F1030000}"/>
    <cellStyle name="dp*NumberLine 2 2 2 4 2 2 4" xfId="25662" xr:uid="{00000000-0005-0000-0000-0000F1030000}"/>
    <cellStyle name="dp*NumberLine 2 2 2 4 2 2 4 2" xfId="44031" xr:uid="{00000000-0005-0000-0000-0000F1030000}"/>
    <cellStyle name="dp*NumberLine 2 2 2 4 2 2 5" xfId="21983" xr:uid="{00000000-0005-0000-0000-0000F1030000}"/>
    <cellStyle name="dp*NumberLine 2 2 2 4 2 2 6" xfId="40362" xr:uid="{00000000-0005-0000-0000-0000F1030000}"/>
    <cellStyle name="dp*NumberLine 2 2 2 4 2 3" xfId="6679" xr:uid="{00000000-0005-0000-0000-0000F1030000}"/>
    <cellStyle name="dp*NumberLine 2 2 2 4 2 3 2" xfId="12970" xr:uid="{00000000-0005-0000-0000-0000F1030000}"/>
    <cellStyle name="dp*NumberLine 2 2 2 4 2 3 2 2" xfId="31396" xr:uid="{00000000-0005-0000-0000-0000F1030000}"/>
    <cellStyle name="dp*NumberLine 2 2 2 4 2 3 2 3" xfId="49759" xr:uid="{00000000-0005-0000-0000-0000F1030000}"/>
    <cellStyle name="dp*NumberLine 2 2 2 4 2 3 3" xfId="17281" xr:uid="{00000000-0005-0000-0000-0000F1030000}"/>
    <cellStyle name="dp*NumberLine 2 2 2 4 2 3 3 2" xfId="35629" xr:uid="{00000000-0005-0000-0000-0000F1030000}"/>
    <cellStyle name="dp*NumberLine 2 2 2 4 2 3 3 3" xfId="53992" xr:uid="{00000000-0005-0000-0000-0000F1030000}"/>
    <cellStyle name="dp*NumberLine 2 2 2 4 2 3 4" xfId="26414" xr:uid="{00000000-0005-0000-0000-0000F1030000}"/>
    <cellStyle name="dp*NumberLine 2 2 2 4 2 3 4 2" xfId="44783" xr:uid="{00000000-0005-0000-0000-0000F1030000}"/>
    <cellStyle name="dp*NumberLine 2 2 2 4 2 3 5" xfId="22707" xr:uid="{00000000-0005-0000-0000-0000F1030000}"/>
    <cellStyle name="dp*NumberLine 2 2 2 4 2 3 6" xfId="41076" xr:uid="{00000000-0005-0000-0000-0000F1030000}"/>
    <cellStyle name="dp*NumberLine 2 2 2 4 2 4" xfId="10393" xr:uid="{00000000-0005-0000-0000-0000F1030000}"/>
    <cellStyle name="dp*NumberLine 2 2 2 4 2 4 2" xfId="14450" xr:uid="{00000000-0005-0000-0000-0000F1030000}"/>
    <cellStyle name="dp*NumberLine 2 2 2 4 2 4 2 2" xfId="32866" xr:uid="{00000000-0005-0000-0000-0000F1030000}"/>
    <cellStyle name="dp*NumberLine 2 2 2 4 2 4 2 3" xfId="51229" xr:uid="{00000000-0005-0000-0000-0000F1030000}"/>
    <cellStyle name="dp*NumberLine 2 2 2 4 2 4 3" xfId="29104" xr:uid="{00000000-0005-0000-0000-0000F1030000}"/>
    <cellStyle name="dp*NumberLine 2 2 2 4 2 4 3 2" xfId="47467" xr:uid="{00000000-0005-0000-0000-0000F1030000}"/>
    <cellStyle name="dp*NumberLine 2 2 2 4 2 4 4" xfId="19907" xr:uid="{00000000-0005-0000-0000-0000F1030000}"/>
    <cellStyle name="dp*NumberLine 2 2 2 4 2 4 5" xfId="38313" xr:uid="{00000000-0005-0000-0000-0000F1030000}"/>
    <cellStyle name="dp*NumberLine 2 2 2 4 2 5" xfId="9601" xr:uid="{00000000-0005-0000-0000-0000F1030000}"/>
    <cellStyle name="dp*NumberLine 2 2 2 4 2 5 2" xfId="28318" xr:uid="{00000000-0005-0000-0000-0000F1030000}"/>
    <cellStyle name="dp*NumberLine 2 2 2 4 2 5 3" xfId="46681" xr:uid="{00000000-0005-0000-0000-0000F1030000}"/>
    <cellStyle name="dp*NumberLine 2 2 2 4 2 6" xfId="13659" xr:uid="{00000000-0005-0000-0000-0000F1030000}"/>
    <cellStyle name="dp*NumberLine 2 2 2 4 2 6 2" xfId="32080" xr:uid="{00000000-0005-0000-0000-0000F1030000}"/>
    <cellStyle name="dp*NumberLine 2 2 2 4 2 6 3" xfId="50443" xr:uid="{00000000-0005-0000-0000-0000F1030000}"/>
    <cellStyle name="dp*NumberLine 2 2 2 4 2 7" xfId="23588" xr:uid="{00000000-0005-0000-0000-0000F1030000}"/>
    <cellStyle name="dp*NumberLine 2 2 2 4 2 7 2" xfId="41957" xr:uid="{00000000-0005-0000-0000-0000F1030000}"/>
    <cellStyle name="dp*NumberLine 2 2 2 4 2 8" xfId="18700" xr:uid="{00000000-0005-0000-0000-0000F1030000}"/>
    <cellStyle name="dp*NumberLine 2 2 2 4 2 9" xfId="37110" xr:uid="{00000000-0005-0000-0000-0000F1030000}"/>
    <cellStyle name="dp*NumberLine 2 2 2 4 3" xfId="4720" xr:uid="{00000000-0005-0000-0000-0000F1030000}"/>
    <cellStyle name="dp*NumberLine 2 2 2 4 3 2" xfId="11304" xr:uid="{00000000-0005-0000-0000-0000F1030000}"/>
    <cellStyle name="dp*NumberLine 2 2 2 4 3 2 2" xfId="29916" xr:uid="{00000000-0005-0000-0000-0000F1030000}"/>
    <cellStyle name="dp*NumberLine 2 2 2 4 3 2 3" xfId="48279" xr:uid="{00000000-0005-0000-0000-0000F1030000}"/>
    <cellStyle name="dp*NumberLine 2 2 2 4 3 3" xfId="15446" xr:uid="{00000000-0005-0000-0000-0000F1030000}"/>
    <cellStyle name="dp*NumberLine 2 2 2 4 3 3 2" xfId="33839" xr:uid="{00000000-0005-0000-0000-0000F1030000}"/>
    <cellStyle name="dp*NumberLine 2 2 2 4 3 3 3" xfId="52202" xr:uid="{00000000-0005-0000-0000-0000F1030000}"/>
    <cellStyle name="dp*NumberLine 2 2 2 4 3 4" xfId="24570" xr:uid="{00000000-0005-0000-0000-0000F1030000}"/>
    <cellStyle name="dp*NumberLine 2 2 2 4 3 4 2" xfId="42939" xr:uid="{00000000-0005-0000-0000-0000F1030000}"/>
    <cellStyle name="dp*NumberLine 2 2 2 4 3 5" xfId="20897" xr:uid="{00000000-0005-0000-0000-0000F1030000}"/>
    <cellStyle name="dp*NumberLine 2 2 2 4 3 6" xfId="39286" xr:uid="{00000000-0005-0000-0000-0000F1030000}"/>
    <cellStyle name="dp*NumberLine 2 2 2 4 4" xfId="3943" xr:uid="{00000000-0005-0000-0000-0000F1030000}"/>
    <cellStyle name="dp*NumberLine 2 2 2 4 4 2" xfId="10648" xr:uid="{00000000-0005-0000-0000-0000F1030000}"/>
    <cellStyle name="dp*NumberLine 2 2 2 4 4 2 2" xfId="29354" xr:uid="{00000000-0005-0000-0000-0000F1030000}"/>
    <cellStyle name="dp*NumberLine 2 2 2 4 4 2 3" xfId="47717" xr:uid="{00000000-0005-0000-0000-0000F1030000}"/>
    <cellStyle name="dp*NumberLine 2 2 2 4 4 3" xfId="14706" xr:uid="{00000000-0005-0000-0000-0000F1030000}"/>
    <cellStyle name="dp*NumberLine 2 2 2 4 4 3 2" xfId="33118" xr:uid="{00000000-0005-0000-0000-0000F1030000}"/>
    <cellStyle name="dp*NumberLine 2 2 2 4 4 3 3" xfId="51481" xr:uid="{00000000-0005-0000-0000-0000F1030000}"/>
    <cellStyle name="dp*NumberLine 2 2 2 4 4 4" xfId="23842" xr:uid="{00000000-0005-0000-0000-0000F1030000}"/>
    <cellStyle name="dp*NumberLine 2 2 2 4 4 4 2" xfId="42211" xr:uid="{00000000-0005-0000-0000-0000F1030000}"/>
    <cellStyle name="dp*NumberLine 2 2 2 4 4 5" xfId="20160" xr:uid="{00000000-0005-0000-0000-0000F1030000}"/>
    <cellStyle name="dp*NumberLine 2 2 2 4 4 6" xfId="38565" xr:uid="{00000000-0005-0000-0000-0000F1030000}"/>
    <cellStyle name="dp*NumberLine 2 2 2 4 5" xfId="9059" xr:uid="{00000000-0005-0000-0000-0000F1030000}"/>
    <cellStyle name="dp*NumberLine 2 2 2 4 5 2" xfId="6902" xr:uid="{00000000-0005-0000-0000-0000F1030000}"/>
    <cellStyle name="dp*NumberLine 2 2 2 4 5 2 2" xfId="26637" xr:uid="{00000000-0005-0000-0000-0000F1030000}"/>
    <cellStyle name="dp*NumberLine 2 2 2 4 5 2 3" xfId="45006" xr:uid="{00000000-0005-0000-0000-0000F1030000}"/>
    <cellStyle name="dp*NumberLine 2 2 2 4 5 3" xfId="27785" xr:uid="{00000000-0005-0000-0000-0000F1030000}"/>
    <cellStyle name="dp*NumberLine 2 2 2 4 5 3 2" xfId="46148" xr:uid="{00000000-0005-0000-0000-0000F1030000}"/>
    <cellStyle name="dp*NumberLine 2 2 2 4 5 4" xfId="17959" xr:uid="{00000000-0005-0000-0000-0000F1030000}"/>
    <cellStyle name="dp*NumberLine 2 2 2 4 5 5" xfId="36367" xr:uid="{00000000-0005-0000-0000-0000F1030000}"/>
    <cellStyle name="dp*NumberLine 2 2 2 4 6" xfId="8014" xr:uid="{00000000-0005-0000-0000-0000F1030000}"/>
    <cellStyle name="dp*NumberLine 2 2 2 4 6 2" xfId="27244" xr:uid="{00000000-0005-0000-0000-0000F1030000}"/>
    <cellStyle name="dp*NumberLine 2 2 2 4 6 3" xfId="45609" xr:uid="{00000000-0005-0000-0000-0000F1030000}"/>
    <cellStyle name="dp*NumberLine 2 2 2 4 7" xfId="8663" xr:uid="{00000000-0005-0000-0000-0000F1030000}"/>
    <cellStyle name="dp*NumberLine 2 2 2 4 7 2" xfId="27570" xr:uid="{00000000-0005-0000-0000-0000F1030000}"/>
    <cellStyle name="dp*NumberLine 2 2 2 4 7 3" xfId="45933" xr:uid="{00000000-0005-0000-0000-0000F1030000}"/>
    <cellStyle name="dp*NumberLine 2 2 2 4 8" xfId="18314" xr:uid="{00000000-0005-0000-0000-0000F1030000}"/>
    <cellStyle name="dp*NumberLine 2 2 2 4 8 2" xfId="36720" xr:uid="{00000000-0005-0000-0000-0000F1030000}"/>
    <cellStyle name="dp*NumberLine 2 2 2 4 9" xfId="15762" xr:uid="{00000000-0005-0000-0000-0000F1030000}"/>
    <cellStyle name="dp*NumberLine 2 2 2 5" xfId="3556" xr:uid="{00000000-0005-0000-0000-0000EE030000}"/>
    <cellStyle name="dp*NumberLine 2 2 2 5 2" xfId="5729" xr:uid="{00000000-0005-0000-0000-0000EE030000}"/>
    <cellStyle name="dp*NumberLine 2 2 2 5 2 2" xfId="12093" xr:uid="{00000000-0005-0000-0000-0000EE030000}"/>
    <cellStyle name="dp*NumberLine 2 2 2 5 2 2 2" xfId="30540" xr:uid="{00000000-0005-0000-0000-0000EE030000}"/>
    <cellStyle name="dp*NumberLine 2 2 2 5 2 2 3" xfId="48903" xr:uid="{00000000-0005-0000-0000-0000EE030000}"/>
    <cellStyle name="dp*NumberLine 2 2 2 5 2 3" xfId="16419" xr:uid="{00000000-0005-0000-0000-0000EE030000}"/>
    <cellStyle name="dp*NumberLine 2 2 2 5 2 3 2" xfId="34791" xr:uid="{00000000-0005-0000-0000-0000EE030000}"/>
    <cellStyle name="dp*NumberLine 2 2 2 5 2 3 3" xfId="53154" xr:uid="{00000000-0005-0000-0000-0000EE030000}"/>
    <cellStyle name="dp*NumberLine 2 2 2 5 2 4" xfId="25538" xr:uid="{00000000-0005-0000-0000-0000EE030000}"/>
    <cellStyle name="dp*NumberLine 2 2 2 5 2 4 2" xfId="43907" xr:uid="{00000000-0005-0000-0000-0000EE030000}"/>
    <cellStyle name="dp*NumberLine 2 2 2 5 2 5" xfId="21859" xr:uid="{00000000-0005-0000-0000-0000EE030000}"/>
    <cellStyle name="dp*NumberLine 2 2 2 5 2 6" xfId="40238" xr:uid="{00000000-0005-0000-0000-0000EE030000}"/>
    <cellStyle name="dp*NumberLine 2 2 2 5 3" xfId="6555" xr:uid="{00000000-0005-0000-0000-0000EE030000}"/>
    <cellStyle name="dp*NumberLine 2 2 2 5 3 2" xfId="12846" xr:uid="{00000000-0005-0000-0000-0000EE030000}"/>
    <cellStyle name="dp*NumberLine 2 2 2 5 3 2 2" xfId="31272" xr:uid="{00000000-0005-0000-0000-0000EE030000}"/>
    <cellStyle name="dp*NumberLine 2 2 2 5 3 2 3" xfId="49635" xr:uid="{00000000-0005-0000-0000-0000EE030000}"/>
    <cellStyle name="dp*NumberLine 2 2 2 5 3 3" xfId="17157" xr:uid="{00000000-0005-0000-0000-0000EE030000}"/>
    <cellStyle name="dp*NumberLine 2 2 2 5 3 3 2" xfId="35505" xr:uid="{00000000-0005-0000-0000-0000EE030000}"/>
    <cellStyle name="dp*NumberLine 2 2 2 5 3 3 3" xfId="53868" xr:uid="{00000000-0005-0000-0000-0000EE030000}"/>
    <cellStyle name="dp*NumberLine 2 2 2 5 3 4" xfId="26290" xr:uid="{00000000-0005-0000-0000-0000EE030000}"/>
    <cellStyle name="dp*NumberLine 2 2 2 5 3 4 2" xfId="44659" xr:uid="{00000000-0005-0000-0000-0000EE030000}"/>
    <cellStyle name="dp*NumberLine 2 2 2 5 3 5" xfId="22583" xr:uid="{00000000-0005-0000-0000-0000EE030000}"/>
    <cellStyle name="dp*NumberLine 2 2 2 5 3 6" xfId="40952" xr:uid="{00000000-0005-0000-0000-0000EE030000}"/>
    <cellStyle name="dp*NumberLine 2 2 2 5 4" xfId="10269" xr:uid="{00000000-0005-0000-0000-0000EE030000}"/>
    <cellStyle name="dp*NumberLine 2 2 2 5 4 2" xfId="14326" xr:uid="{00000000-0005-0000-0000-0000EE030000}"/>
    <cellStyle name="dp*NumberLine 2 2 2 5 4 2 2" xfId="32742" xr:uid="{00000000-0005-0000-0000-0000EE030000}"/>
    <cellStyle name="dp*NumberLine 2 2 2 5 4 2 3" xfId="51105" xr:uid="{00000000-0005-0000-0000-0000EE030000}"/>
    <cellStyle name="dp*NumberLine 2 2 2 5 4 3" xfId="28980" xr:uid="{00000000-0005-0000-0000-0000EE030000}"/>
    <cellStyle name="dp*NumberLine 2 2 2 5 4 3 2" xfId="47343" xr:uid="{00000000-0005-0000-0000-0000EE030000}"/>
    <cellStyle name="dp*NumberLine 2 2 2 5 4 4" xfId="19783" xr:uid="{00000000-0005-0000-0000-0000EE030000}"/>
    <cellStyle name="dp*NumberLine 2 2 2 5 4 5" xfId="38189" xr:uid="{00000000-0005-0000-0000-0000EE030000}"/>
    <cellStyle name="dp*NumberLine 2 2 2 5 5" xfId="9477" xr:uid="{00000000-0005-0000-0000-0000EE030000}"/>
    <cellStyle name="dp*NumberLine 2 2 2 5 5 2" xfId="28194" xr:uid="{00000000-0005-0000-0000-0000EE030000}"/>
    <cellStyle name="dp*NumberLine 2 2 2 5 5 3" xfId="46557" xr:uid="{00000000-0005-0000-0000-0000EE030000}"/>
    <cellStyle name="dp*NumberLine 2 2 2 5 6" xfId="13535" xr:uid="{00000000-0005-0000-0000-0000EE030000}"/>
    <cellStyle name="dp*NumberLine 2 2 2 5 6 2" xfId="31956" xr:uid="{00000000-0005-0000-0000-0000EE030000}"/>
    <cellStyle name="dp*NumberLine 2 2 2 5 6 3" xfId="50319" xr:uid="{00000000-0005-0000-0000-0000EE030000}"/>
    <cellStyle name="dp*NumberLine 2 2 2 5 7" xfId="23464" xr:uid="{00000000-0005-0000-0000-0000EE030000}"/>
    <cellStyle name="dp*NumberLine 2 2 2 5 7 2" xfId="41833" xr:uid="{00000000-0005-0000-0000-0000EE030000}"/>
    <cellStyle name="dp*NumberLine 2 2 2 5 8" xfId="18574" xr:uid="{00000000-0005-0000-0000-0000EE030000}"/>
    <cellStyle name="dp*NumberLine 2 2 2 5 9" xfId="36984" xr:uid="{00000000-0005-0000-0000-0000EE030000}"/>
    <cellStyle name="dp*NumberLine 2 2 2 6" xfId="4587" xr:uid="{00000000-0005-0000-0000-0000EE030000}"/>
    <cellStyle name="dp*NumberLine 2 2 2 6 2" xfId="11172" xr:uid="{00000000-0005-0000-0000-0000EE030000}"/>
    <cellStyle name="dp*NumberLine 2 2 2 6 2 2" xfId="29786" xr:uid="{00000000-0005-0000-0000-0000EE030000}"/>
    <cellStyle name="dp*NumberLine 2 2 2 6 2 3" xfId="48149" xr:uid="{00000000-0005-0000-0000-0000EE030000}"/>
    <cellStyle name="dp*NumberLine 2 2 2 6 3" xfId="15313" xr:uid="{00000000-0005-0000-0000-0000EE030000}"/>
    <cellStyle name="dp*NumberLine 2 2 2 6 3 2" xfId="33707" xr:uid="{00000000-0005-0000-0000-0000EE030000}"/>
    <cellStyle name="dp*NumberLine 2 2 2 6 3 3" xfId="52070" xr:uid="{00000000-0005-0000-0000-0000EE030000}"/>
    <cellStyle name="dp*NumberLine 2 2 2 6 4" xfId="24438" xr:uid="{00000000-0005-0000-0000-0000EE030000}"/>
    <cellStyle name="dp*NumberLine 2 2 2 6 4 2" xfId="42807" xr:uid="{00000000-0005-0000-0000-0000EE030000}"/>
    <cellStyle name="dp*NumberLine 2 2 2 6 5" xfId="20764" xr:uid="{00000000-0005-0000-0000-0000EE030000}"/>
    <cellStyle name="dp*NumberLine 2 2 2 6 6" xfId="39154" xr:uid="{00000000-0005-0000-0000-0000EE030000}"/>
    <cellStyle name="dp*NumberLine 2 2 2 7" xfId="3972" xr:uid="{00000000-0005-0000-0000-0000EE030000}"/>
    <cellStyle name="dp*NumberLine 2 2 2 7 2" xfId="10677" xr:uid="{00000000-0005-0000-0000-0000EE030000}"/>
    <cellStyle name="dp*NumberLine 2 2 2 7 2 2" xfId="29383" xr:uid="{00000000-0005-0000-0000-0000EE030000}"/>
    <cellStyle name="dp*NumberLine 2 2 2 7 2 3" xfId="47746" xr:uid="{00000000-0005-0000-0000-0000EE030000}"/>
    <cellStyle name="dp*NumberLine 2 2 2 7 3" xfId="14735" xr:uid="{00000000-0005-0000-0000-0000EE030000}"/>
    <cellStyle name="dp*NumberLine 2 2 2 7 3 2" xfId="33147" xr:uid="{00000000-0005-0000-0000-0000EE030000}"/>
    <cellStyle name="dp*NumberLine 2 2 2 7 3 3" xfId="51510" xr:uid="{00000000-0005-0000-0000-0000EE030000}"/>
    <cellStyle name="dp*NumberLine 2 2 2 7 4" xfId="23871" xr:uid="{00000000-0005-0000-0000-0000EE030000}"/>
    <cellStyle name="dp*NumberLine 2 2 2 7 4 2" xfId="42240" xr:uid="{00000000-0005-0000-0000-0000EE030000}"/>
    <cellStyle name="dp*NumberLine 2 2 2 7 5" xfId="20189" xr:uid="{00000000-0005-0000-0000-0000EE030000}"/>
    <cellStyle name="dp*NumberLine 2 2 2 7 6" xfId="38594" xr:uid="{00000000-0005-0000-0000-0000EE030000}"/>
    <cellStyle name="dp*NumberLine 2 2 2 8" xfId="7883" xr:uid="{00000000-0005-0000-0000-0000EE030000}"/>
    <cellStyle name="dp*NumberLine 2 2 2 8 2" xfId="27120" xr:uid="{00000000-0005-0000-0000-0000EE030000}"/>
    <cellStyle name="dp*NumberLine 2 2 2 8 3" xfId="45485" xr:uid="{00000000-0005-0000-0000-0000EE030000}"/>
    <cellStyle name="dp*NumberLine 2 2 2 9" xfId="8716" xr:uid="{00000000-0005-0000-0000-0000EE030000}"/>
    <cellStyle name="dp*NumberLine 2 2 2 9 2" xfId="27600" xr:uid="{00000000-0005-0000-0000-0000EE030000}"/>
    <cellStyle name="dp*NumberLine 2 2 2 9 3" xfId="45963" xr:uid="{00000000-0005-0000-0000-0000EE030000}"/>
    <cellStyle name="dp*NumberLine 2 2 3" xfId="1514" xr:uid="{00000000-0005-0000-0000-0000F2030000}"/>
    <cellStyle name="dp*NumberLine 2 2 3 10" xfId="8527" xr:uid="{00000000-0005-0000-0000-0000F2030000}"/>
    <cellStyle name="dp*NumberLine 2 2 3 10 2" xfId="27514" xr:uid="{00000000-0005-0000-0000-0000F2030000}"/>
    <cellStyle name="dp*NumberLine 2 2 3 10 3" xfId="45878" xr:uid="{00000000-0005-0000-0000-0000F2030000}"/>
    <cellStyle name="dp*NumberLine 2 2 3 11" xfId="7008" xr:uid="{00000000-0005-0000-0000-0000F2030000}"/>
    <cellStyle name="dp*NumberLine 2 2 3 12" xfId="7336" xr:uid="{00000000-0005-0000-0000-0000F2030000}"/>
    <cellStyle name="dp*NumberLine 2 2 3 2" xfId="1683" xr:uid="{00000000-0005-0000-0000-0000F3030000}"/>
    <cellStyle name="dp*NumberLine 2 2 3 2 10" xfId="7900" xr:uid="{00000000-0005-0000-0000-0000F3030000}"/>
    <cellStyle name="dp*NumberLine 2 2 3 2 2" xfId="3581" xr:uid="{00000000-0005-0000-0000-0000F3030000}"/>
    <cellStyle name="dp*NumberLine 2 2 3 2 2 2" xfId="5754" xr:uid="{00000000-0005-0000-0000-0000F3030000}"/>
    <cellStyle name="dp*NumberLine 2 2 3 2 2 2 2" xfId="12118" xr:uid="{00000000-0005-0000-0000-0000F3030000}"/>
    <cellStyle name="dp*NumberLine 2 2 3 2 2 2 2 2" xfId="30565" xr:uid="{00000000-0005-0000-0000-0000F3030000}"/>
    <cellStyle name="dp*NumberLine 2 2 3 2 2 2 2 3" xfId="48928" xr:uid="{00000000-0005-0000-0000-0000F3030000}"/>
    <cellStyle name="dp*NumberLine 2 2 3 2 2 2 3" xfId="16444" xr:uid="{00000000-0005-0000-0000-0000F3030000}"/>
    <cellStyle name="dp*NumberLine 2 2 3 2 2 2 3 2" xfId="34816" xr:uid="{00000000-0005-0000-0000-0000F3030000}"/>
    <cellStyle name="dp*NumberLine 2 2 3 2 2 2 3 3" xfId="53179" xr:uid="{00000000-0005-0000-0000-0000F3030000}"/>
    <cellStyle name="dp*NumberLine 2 2 3 2 2 2 4" xfId="25563" xr:uid="{00000000-0005-0000-0000-0000F3030000}"/>
    <cellStyle name="dp*NumberLine 2 2 3 2 2 2 4 2" xfId="43932" xr:uid="{00000000-0005-0000-0000-0000F3030000}"/>
    <cellStyle name="dp*NumberLine 2 2 3 2 2 2 5" xfId="21884" xr:uid="{00000000-0005-0000-0000-0000F3030000}"/>
    <cellStyle name="dp*NumberLine 2 2 3 2 2 2 6" xfId="40263" xr:uid="{00000000-0005-0000-0000-0000F3030000}"/>
    <cellStyle name="dp*NumberLine 2 2 3 2 2 3" xfId="6580" xr:uid="{00000000-0005-0000-0000-0000F3030000}"/>
    <cellStyle name="dp*NumberLine 2 2 3 2 2 3 2" xfId="12871" xr:uid="{00000000-0005-0000-0000-0000F3030000}"/>
    <cellStyle name="dp*NumberLine 2 2 3 2 2 3 2 2" xfId="31297" xr:uid="{00000000-0005-0000-0000-0000F3030000}"/>
    <cellStyle name="dp*NumberLine 2 2 3 2 2 3 2 3" xfId="49660" xr:uid="{00000000-0005-0000-0000-0000F3030000}"/>
    <cellStyle name="dp*NumberLine 2 2 3 2 2 3 3" xfId="17182" xr:uid="{00000000-0005-0000-0000-0000F3030000}"/>
    <cellStyle name="dp*NumberLine 2 2 3 2 2 3 3 2" xfId="35530" xr:uid="{00000000-0005-0000-0000-0000F3030000}"/>
    <cellStyle name="dp*NumberLine 2 2 3 2 2 3 3 3" xfId="53893" xr:uid="{00000000-0005-0000-0000-0000F3030000}"/>
    <cellStyle name="dp*NumberLine 2 2 3 2 2 3 4" xfId="26315" xr:uid="{00000000-0005-0000-0000-0000F3030000}"/>
    <cellStyle name="dp*NumberLine 2 2 3 2 2 3 4 2" xfId="44684" xr:uid="{00000000-0005-0000-0000-0000F3030000}"/>
    <cellStyle name="dp*NumberLine 2 2 3 2 2 3 5" xfId="22608" xr:uid="{00000000-0005-0000-0000-0000F3030000}"/>
    <cellStyle name="dp*NumberLine 2 2 3 2 2 3 6" xfId="40977" xr:uid="{00000000-0005-0000-0000-0000F3030000}"/>
    <cellStyle name="dp*NumberLine 2 2 3 2 2 4" xfId="10294" xr:uid="{00000000-0005-0000-0000-0000F3030000}"/>
    <cellStyle name="dp*NumberLine 2 2 3 2 2 4 2" xfId="14351" xr:uid="{00000000-0005-0000-0000-0000F3030000}"/>
    <cellStyle name="dp*NumberLine 2 2 3 2 2 4 2 2" xfId="32767" xr:uid="{00000000-0005-0000-0000-0000F3030000}"/>
    <cellStyle name="dp*NumberLine 2 2 3 2 2 4 2 3" xfId="51130" xr:uid="{00000000-0005-0000-0000-0000F3030000}"/>
    <cellStyle name="dp*NumberLine 2 2 3 2 2 4 3" xfId="29005" xr:uid="{00000000-0005-0000-0000-0000F3030000}"/>
    <cellStyle name="dp*NumberLine 2 2 3 2 2 4 3 2" xfId="47368" xr:uid="{00000000-0005-0000-0000-0000F3030000}"/>
    <cellStyle name="dp*NumberLine 2 2 3 2 2 4 4" xfId="19808" xr:uid="{00000000-0005-0000-0000-0000F3030000}"/>
    <cellStyle name="dp*NumberLine 2 2 3 2 2 4 5" xfId="38214" xr:uid="{00000000-0005-0000-0000-0000F3030000}"/>
    <cellStyle name="dp*NumberLine 2 2 3 2 2 5" xfId="9502" xr:uid="{00000000-0005-0000-0000-0000F3030000}"/>
    <cellStyle name="dp*NumberLine 2 2 3 2 2 5 2" xfId="28219" xr:uid="{00000000-0005-0000-0000-0000F3030000}"/>
    <cellStyle name="dp*NumberLine 2 2 3 2 2 5 3" xfId="46582" xr:uid="{00000000-0005-0000-0000-0000F3030000}"/>
    <cellStyle name="dp*NumberLine 2 2 3 2 2 6" xfId="13560" xr:uid="{00000000-0005-0000-0000-0000F3030000}"/>
    <cellStyle name="dp*NumberLine 2 2 3 2 2 6 2" xfId="31981" xr:uid="{00000000-0005-0000-0000-0000F3030000}"/>
    <cellStyle name="dp*NumberLine 2 2 3 2 2 6 3" xfId="50344" xr:uid="{00000000-0005-0000-0000-0000F3030000}"/>
    <cellStyle name="dp*NumberLine 2 2 3 2 2 7" xfId="23489" xr:uid="{00000000-0005-0000-0000-0000F3030000}"/>
    <cellStyle name="dp*NumberLine 2 2 3 2 2 7 2" xfId="41858" xr:uid="{00000000-0005-0000-0000-0000F3030000}"/>
    <cellStyle name="dp*NumberLine 2 2 3 2 2 8" xfId="18600" xr:uid="{00000000-0005-0000-0000-0000F3030000}"/>
    <cellStyle name="dp*NumberLine 2 2 3 2 2 9" xfId="37010" xr:uid="{00000000-0005-0000-0000-0000F3030000}"/>
    <cellStyle name="dp*NumberLine 2 2 3 2 3" xfId="4622" xr:uid="{00000000-0005-0000-0000-0000F3030000}"/>
    <cellStyle name="dp*NumberLine 2 2 3 2 3 2" xfId="11206" xr:uid="{00000000-0005-0000-0000-0000F3030000}"/>
    <cellStyle name="dp*NumberLine 2 2 3 2 3 2 2" xfId="29818" xr:uid="{00000000-0005-0000-0000-0000F3030000}"/>
    <cellStyle name="dp*NumberLine 2 2 3 2 3 2 3" xfId="48181" xr:uid="{00000000-0005-0000-0000-0000F3030000}"/>
    <cellStyle name="dp*NumberLine 2 2 3 2 3 3" xfId="15348" xr:uid="{00000000-0005-0000-0000-0000F3030000}"/>
    <cellStyle name="dp*NumberLine 2 2 3 2 3 3 2" xfId="33741" xr:uid="{00000000-0005-0000-0000-0000F3030000}"/>
    <cellStyle name="dp*NumberLine 2 2 3 2 3 3 3" xfId="52104" xr:uid="{00000000-0005-0000-0000-0000F3030000}"/>
    <cellStyle name="dp*NumberLine 2 2 3 2 3 4" xfId="24472" xr:uid="{00000000-0005-0000-0000-0000F3030000}"/>
    <cellStyle name="dp*NumberLine 2 2 3 2 3 4 2" xfId="42841" xr:uid="{00000000-0005-0000-0000-0000F3030000}"/>
    <cellStyle name="dp*NumberLine 2 2 3 2 3 5" xfId="20799" xr:uid="{00000000-0005-0000-0000-0000F3030000}"/>
    <cellStyle name="dp*NumberLine 2 2 3 2 3 6" xfId="39188" xr:uid="{00000000-0005-0000-0000-0000F3030000}"/>
    <cellStyle name="dp*NumberLine 2 2 3 2 4" xfId="4801" xr:uid="{00000000-0005-0000-0000-0000F3030000}"/>
    <cellStyle name="dp*NumberLine 2 2 3 2 4 2" xfId="11363" xr:uid="{00000000-0005-0000-0000-0000F3030000}"/>
    <cellStyle name="dp*NumberLine 2 2 3 2 4 2 2" xfId="29957" xr:uid="{00000000-0005-0000-0000-0000F3030000}"/>
    <cellStyle name="dp*NumberLine 2 2 3 2 4 2 3" xfId="48320" xr:uid="{00000000-0005-0000-0000-0000F3030000}"/>
    <cellStyle name="dp*NumberLine 2 2 3 2 4 3" xfId="15527" xr:uid="{00000000-0005-0000-0000-0000F3030000}"/>
    <cellStyle name="dp*NumberLine 2 2 3 2 4 3 2" xfId="33920" xr:uid="{00000000-0005-0000-0000-0000F3030000}"/>
    <cellStyle name="dp*NumberLine 2 2 3 2 4 3 3" xfId="52283" xr:uid="{00000000-0005-0000-0000-0000F3030000}"/>
    <cellStyle name="dp*NumberLine 2 2 3 2 4 4" xfId="24651" xr:uid="{00000000-0005-0000-0000-0000F3030000}"/>
    <cellStyle name="dp*NumberLine 2 2 3 2 4 4 2" xfId="43020" xr:uid="{00000000-0005-0000-0000-0000F3030000}"/>
    <cellStyle name="dp*NumberLine 2 2 3 2 4 5" xfId="20978" xr:uid="{00000000-0005-0000-0000-0000F3030000}"/>
    <cellStyle name="dp*NumberLine 2 2 3 2 4 6" xfId="39367" xr:uid="{00000000-0005-0000-0000-0000F3030000}"/>
    <cellStyle name="dp*NumberLine 2 2 3 2 5" xfId="9777" xr:uid="{00000000-0005-0000-0000-0000F3030000}"/>
    <cellStyle name="dp*NumberLine 2 2 3 2 5 2" xfId="13834" xr:uid="{00000000-0005-0000-0000-0000F3030000}"/>
    <cellStyle name="dp*NumberLine 2 2 3 2 5 2 2" xfId="32254" xr:uid="{00000000-0005-0000-0000-0000F3030000}"/>
    <cellStyle name="dp*NumberLine 2 2 3 2 5 2 3" xfId="50617" xr:uid="{00000000-0005-0000-0000-0000F3030000}"/>
    <cellStyle name="dp*NumberLine 2 2 3 2 5 3" xfId="28492" xr:uid="{00000000-0005-0000-0000-0000F3030000}"/>
    <cellStyle name="dp*NumberLine 2 2 3 2 5 3 2" xfId="46855" xr:uid="{00000000-0005-0000-0000-0000F3030000}"/>
    <cellStyle name="dp*NumberLine 2 2 3 2 5 4" xfId="18960" xr:uid="{00000000-0005-0000-0000-0000F3030000}"/>
    <cellStyle name="dp*NumberLine 2 2 3 2 5 5" xfId="37369" xr:uid="{00000000-0005-0000-0000-0000F3030000}"/>
    <cellStyle name="dp*NumberLine 2 2 3 2 6" xfId="7916" xr:uid="{00000000-0005-0000-0000-0000F3030000}"/>
    <cellStyle name="dp*NumberLine 2 2 3 2 6 2" xfId="27148" xr:uid="{00000000-0005-0000-0000-0000F3030000}"/>
    <cellStyle name="dp*NumberLine 2 2 3 2 6 3" xfId="45513" xr:uid="{00000000-0005-0000-0000-0000F3030000}"/>
    <cellStyle name="dp*NumberLine 2 2 3 2 7" xfId="8660" xr:uid="{00000000-0005-0000-0000-0000F3030000}"/>
    <cellStyle name="dp*NumberLine 2 2 3 2 7 2" xfId="27567" xr:uid="{00000000-0005-0000-0000-0000F3030000}"/>
    <cellStyle name="dp*NumberLine 2 2 3 2 7 3" xfId="45930" xr:uid="{00000000-0005-0000-0000-0000F3030000}"/>
    <cellStyle name="dp*NumberLine 2 2 3 2 8" xfId="18973" xr:uid="{00000000-0005-0000-0000-0000F3030000}"/>
    <cellStyle name="dp*NumberLine 2 2 3 2 8 2" xfId="37382" xr:uid="{00000000-0005-0000-0000-0000F3030000}"/>
    <cellStyle name="dp*NumberLine 2 2 3 2 9" xfId="8056" xr:uid="{00000000-0005-0000-0000-0000F3030000}"/>
    <cellStyle name="dp*NumberLine 2 2 3 3" xfId="1451" xr:uid="{00000000-0005-0000-0000-0000F4030000}"/>
    <cellStyle name="dp*NumberLine 2 2 3 3 10" xfId="8234" xr:uid="{00000000-0005-0000-0000-0000F4030000}"/>
    <cellStyle name="dp*NumberLine 2 2 3 3 2" xfId="3470" xr:uid="{00000000-0005-0000-0000-0000F4030000}"/>
    <cellStyle name="dp*NumberLine 2 2 3 3 2 2" xfId="5645" xr:uid="{00000000-0005-0000-0000-0000F4030000}"/>
    <cellStyle name="dp*NumberLine 2 2 3 3 2 2 2" xfId="12009" xr:uid="{00000000-0005-0000-0000-0000F4030000}"/>
    <cellStyle name="dp*NumberLine 2 2 3 3 2 2 2 2" xfId="30456" xr:uid="{00000000-0005-0000-0000-0000F4030000}"/>
    <cellStyle name="dp*NumberLine 2 2 3 3 2 2 2 3" xfId="48819" xr:uid="{00000000-0005-0000-0000-0000F4030000}"/>
    <cellStyle name="dp*NumberLine 2 2 3 3 2 2 3" xfId="16335" xr:uid="{00000000-0005-0000-0000-0000F4030000}"/>
    <cellStyle name="dp*NumberLine 2 2 3 3 2 2 3 2" xfId="34707" xr:uid="{00000000-0005-0000-0000-0000F4030000}"/>
    <cellStyle name="dp*NumberLine 2 2 3 3 2 2 3 3" xfId="53070" xr:uid="{00000000-0005-0000-0000-0000F4030000}"/>
    <cellStyle name="dp*NumberLine 2 2 3 3 2 2 4" xfId="25454" xr:uid="{00000000-0005-0000-0000-0000F4030000}"/>
    <cellStyle name="dp*NumberLine 2 2 3 3 2 2 4 2" xfId="43823" xr:uid="{00000000-0005-0000-0000-0000F4030000}"/>
    <cellStyle name="dp*NumberLine 2 2 3 3 2 2 5" xfId="21775" xr:uid="{00000000-0005-0000-0000-0000F4030000}"/>
    <cellStyle name="dp*NumberLine 2 2 3 3 2 2 6" xfId="40154" xr:uid="{00000000-0005-0000-0000-0000F4030000}"/>
    <cellStyle name="dp*NumberLine 2 2 3 3 2 3" xfId="6469" xr:uid="{00000000-0005-0000-0000-0000F4030000}"/>
    <cellStyle name="dp*NumberLine 2 2 3 3 2 3 2" xfId="12760" xr:uid="{00000000-0005-0000-0000-0000F4030000}"/>
    <cellStyle name="dp*NumberLine 2 2 3 3 2 3 2 2" xfId="31186" xr:uid="{00000000-0005-0000-0000-0000F4030000}"/>
    <cellStyle name="dp*NumberLine 2 2 3 3 2 3 2 3" xfId="49549" xr:uid="{00000000-0005-0000-0000-0000F4030000}"/>
    <cellStyle name="dp*NumberLine 2 2 3 3 2 3 3" xfId="17071" xr:uid="{00000000-0005-0000-0000-0000F4030000}"/>
    <cellStyle name="dp*NumberLine 2 2 3 3 2 3 3 2" xfId="35419" xr:uid="{00000000-0005-0000-0000-0000F4030000}"/>
    <cellStyle name="dp*NumberLine 2 2 3 3 2 3 3 3" xfId="53782" xr:uid="{00000000-0005-0000-0000-0000F4030000}"/>
    <cellStyle name="dp*NumberLine 2 2 3 3 2 3 4" xfId="26204" xr:uid="{00000000-0005-0000-0000-0000F4030000}"/>
    <cellStyle name="dp*NumberLine 2 2 3 3 2 3 4 2" xfId="44573" xr:uid="{00000000-0005-0000-0000-0000F4030000}"/>
    <cellStyle name="dp*NumberLine 2 2 3 3 2 3 5" xfId="22497" xr:uid="{00000000-0005-0000-0000-0000F4030000}"/>
    <cellStyle name="dp*NumberLine 2 2 3 3 2 3 6" xfId="40866" xr:uid="{00000000-0005-0000-0000-0000F4030000}"/>
    <cellStyle name="dp*NumberLine 2 2 3 3 2 4" xfId="10183" xr:uid="{00000000-0005-0000-0000-0000F4030000}"/>
    <cellStyle name="dp*NumberLine 2 2 3 3 2 4 2" xfId="14240" xr:uid="{00000000-0005-0000-0000-0000F4030000}"/>
    <cellStyle name="dp*NumberLine 2 2 3 3 2 4 2 2" xfId="32656" xr:uid="{00000000-0005-0000-0000-0000F4030000}"/>
    <cellStyle name="dp*NumberLine 2 2 3 3 2 4 2 3" xfId="51019" xr:uid="{00000000-0005-0000-0000-0000F4030000}"/>
    <cellStyle name="dp*NumberLine 2 2 3 3 2 4 3" xfId="28894" xr:uid="{00000000-0005-0000-0000-0000F4030000}"/>
    <cellStyle name="dp*NumberLine 2 2 3 3 2 4 3 2" xfId="47257" xr:uid="{00000000-0005-0000-0000-0000F4030000}"/>
    <cellStyle name="dp*NumberLine 2 2 3 3 2 4 4" xfId="19697" xr:uid="{00000000-0005-0000-0000-0000F4030000}"/>
    <cellStyle name="dp*NumberLine 2 2 3 3 2 4 5" xfId="38103" xr:uid="{00000000-0005-0000-0000-0000F4030000}"/>
    <cellStyle name="dp*NumberLine 2 2 3 3 2 5" xfId="9374" xr:uid="{00000000-0005-0000-0000-0000F4030000}"/>
    <cellStyle name="dp*NumberLine 2 2 3 3 2 5 2" xfId="28093" xr:uid="{00000000-0005-0000-0000-0000F4030000}"/>
    <cellStyle name="dp*NumberLine 2 2 3 3 2 5 3" xfId="46456" xr:uid="{00000000-0005-0000-0000-0000F4030000}"/>
    <cellStyle name="dp*NumberLine 2 2 3 3 2 6" xfId="13430" xr:uid="{00000000-0005-0000-0000-0000F4030000}"/>
    <cellStyle name="dp*NumberLine 2 2 3 3 2 6 2" xfId="31851" xr:uid="{00000000-0005-0000-0000-0000F4030000}"/>
    <cellStyle name="dp*NumberLine 2 2 3 3 2 6 3" xfId="50214" xr:uid="{00000000-0005-0000-0000-0000F4030000}"/>
    <cellStyle name="dp*NumberLine 2 2 3 3 2 7" xfId="23378" xr:uid="{00000000-0005-0000-0000-0000F4030000}"/>
    <cellStyle name="dp*NumberLine 2 2 3 3 2 7 2" xfId="41747" xr:uid="{00000000-0005-0000-0000-0000F4030000}"/>
    <cellStyle name="dp*NumberLine 2 2 3 3 2 8" xfId="18456" xr:uid="{00000000-0005-0000-0000-0000F4030000}"/>
    <cellStyle name="dp*NumberLine 2 2 3 3 2 9" xfId="36862" xr:uid="{00000000-0005-0000-0000-0000F4030000}"/>
    <cellStyle name="dp*NumberLine 2 2 3 3 3" xfId="4468" xr:uid="{00000000-0005-0000-0000-0000F4030000}"/>
    <cellStyle name="dp*NumberLine 2 2 3 3 3 2" xfId="11064" xr:uid="{00000000-0005-0000-0000-0000F4030000}"/>
    <cellStyle name="dp*NumberLine 2 2 3 3 3 2 2" xfId="29684" xr:uid="{00000000-0005-0000-0000-0000F4030000}"/>
    <cellStyle name="dp*NumberLine 2 2 3 3 3 2 3" xfId="48047" xr:uid="{00000000-0005-0000-0000-0000F4030000}"/>
    <cellStyle name="dp*NumberLine 2 2 3 3 3 3" xfId="15202" xr:uid="{00000000-0005-0000-0000-0000F4030000}"/>
    <cellStyle name="dp*NumberLine 2 2 3 3 3 3 2" xfId="33597" xr:uid="{00000000-0005-0000-0000-0000F4030000}"/>
    <cellStyle name="dp*NumberLine 2 2 3 3 3 3 3" xfId="51960" xr:uid="{00000000-0005-0000-0000-0000F4030000}"/>
    <cellStyle name="dp*NumberLine 2 2 3 3 3 4" xfId="24328" xr:uid="{00000000-0005-0000-0000-0000F4030000}"/>
    <cellStyle name="dp*NumberLine 2 2 3 3 3 4 2" xfId="42697" xr:uid="{00000000-0005-0000-0000-0000F4030000}"/>
    <cellStyle name="dp*NumberLine 2 2 3 3 3 5" xfId="20652" xr:uid="{00000000-0005-0000-0000-0000F4030000}"/>
    <cellStyle name="dp*NumberLine 2 2 3 3 3 6" xfId="39044" xr:uid="{00000000-0005-0000-0000-0000F4030000}"/>
    <cellStyle name="dp*NumberLine 2 2 3 3 4" xfId="4193" xr:uid="{00000000-0005-0000-0000-0000F4030000}"/>
    <cellStyle name="dp*NumberLine 2 2 3 3 4 2" xfId="10842" xr:uid="{00000000-0005-0000-0000-0000F4030000}"/>
    <cellStyle name="dp*NumberLine 2 2 3 3 4 2 2" xfId="29513" xr:uid="{00000000-0005-0000-0000-0000F4030000}"/>
    <cellStyle name="dp*NumberLine 2 2 3 3 4 2 3" xfId="47876" xr:uid="{00000000-0005-0000-0000-0000F4030000}"/>
    <cellStyle name="dp*NumberLine 2 2 3 3 4 3" xfId="14939" xr:uid="{00000000-0005-0000-0000-0000F4030000}"/>
    <cellStyle name="dp*NumberLine 2 2 3 3 4 3 2" xfId="33343" xr:uid="{00000000-0005-0000-0000-0000F4030000}"/>
    <cellStyle name="dp*NumberLine 2 2 3 3 4 3 3" xfId="51706" xr:uid="{00000000-0005-0000-0000-0000F4030000}"/>
    <cellStyle name="dp*NumberLine 2 2 3 3 4 4" xfId="24072" xr:uid="{00000000-0005-0000-0000-0000F4030000}"/>
    <cellStyle name="dp*NumberLine 2 2 3 3 4 4 2" xfId="42441" xr:uid="{00000000-0005-0000-0000-0000F4030000}"/>
    <cellStyle name="dp*NumberLine 2 2 3 3 4 5" xfId="20392" xr:uid="{00000000-0005-0000-0000-0000F4030000}"/>
    <cellStyle name="dp*NumberLine 2 2 3 3 4 6" xfId="38790" xr:uid="{00000000-0005-0000-0000-0000F4030000}"/>
    <cellStyle name="dp*NumberLine 2 2 3 3 5" xfId="9829" xr:uid="{00000000-0005-0000-0000-0000F4030000}"/>
    <cellStyle name="dp*NumberLine 2 2 3 3 5 2" xfId="13886" xr:uid="{00000000-0005-0000-0000-0000F4030000}"/>
    <cellStyle name="dp*NumberLine 2 2 3 3 5 2 2" xfId="32306" xr:uid="{00000000-0005-0000-0000-0000F4030000}"/>
    <cellStyle name="dp*NumberLine 2 2 3 3 5 2 3" xfId="50669" xr:uid="{00000000-0005-0000-0000-0000F4030000}"/>
    <cellStyle name="dp*NumberLine 2 2 3 3 5 3" xfId="28544" xr:uid="{00000000-0005-0000-0000-0000F4030000}"/>
    <cellStyle name="dp*NumberLine 2 2 3 3 5 3 2" xfId="46907" xr:uid="{00000000-0005-0000-0000-0000F4030000}"/>
    <cellStyle name="dp*NumberLine 2 2 3 3 5 4" xfId="19049" xr:uid="{00000000-0005-0000-0000-0000F4030000}"/>
    <cellStyle name="dp*NumberLine 2 2 3 3 5 5" xfId="37458" xr:uid="{00000000-0005-0000-0000-0000F4030000}"/>
    <cellStyle name="dp*NumberLine 2 2 3 3 6" xfId="7738" xr:uid="{00000000-0005-0000-0000-0000F4030000}"/>
    <cellStyle name="dp*NumberLine 2 2 3 3 6 2" xfId="27015" xr:uid="{00000000-0005-0000-0000-0000F4030000}"/>
    <cellStyle name="dp*NumberLine 2 2 3 3 6 3" xfId="45380" xr:uid="{00000000-0005-0000-0000-0000F4030000}"/>
    <cellStyle name="dp*NumberLine 2 2 3 3 7" xfId="8269" xr:uid="{00000000-0005-0000-0000-0000F4030000}"/>
    <cellStyle name="dp*NumberLine 2 2 3 3 7 2" xfId="27399" xr:uid="{00000000-0005-0000-0000-0000F4030000}"/>
    <cellStyle name="dp*NumberLine 2 2 3 3 7 3" xfId="45764" xr:uid="{00000000-0005-0000-0000-0000F4030000}"/>
    <cellStyle name="dp*NumberLine 2 2 3 3 8" xfId="19061" xr:uid="{00000000-0005-0000-0000-0000F4030000}"/>
    <cellStyle name="dp*NumberLine 2 2 3 3 8 2" xfId="37470" xr:uid="{00000000-0005-0000-0000-0000F4030000}"/>
    <cellStyle name="dp*NumberLine 2 2 3 3 9" xfId="8278" xr:uid="{00000000-0005-0000-0000-0000F4030000}"/>
    <cellStyle name="dp*NumberLine 2 2 3 4" xfId="1366" xr:uid="{00000000-0005-0000-0000-0000F5030000}"/>
    <cellStyle name="dp*NumberLine 2 2 3 4 10" xfId="20289" xr:uid="{00000000-0005-0000-0000-0000F5030000}"/>
    <cellStyle name="dp*NumberLine 2 2 3 4 2" xfId="3408" xr:uid="{00000000-0005-0000-0000-0000F5030000}"/>
    <cellStyle name="dp*NumberLine 2 2 3 4 2 2" xfId="5583" xr:uid="{00000000-0005-0000-0000-0000F5030000}"/>
    <cellStyle name="dp*NumberLine 2 2 3 4 2 2 2" xfId="11947" xr:uid="{00000000-0005-0000-0000-0000F5030000}"/>
    <cellStyle name="dp*NumberLine 2 2 3 4 2 2 2 2" xfId="30394" xr:uid="{00000000-0005-0000-0000-0000F5030000}"/>
    <cellStyle name="dp*NumberLine 2 2 3 4 2 2 2 3" xfId="48757" xr:uid="{00000000-0005-0000-0000-0000F5030000}"/>
    <cellStyle name="dp*NumberLine 2 2 3 4 2 2 3" xfId="16273" xr:uid="{00000000-0005-0000-0000-0000F5030000}"/>
    <cellStyle name="dp*NumberLine 2 2 3 4 2 2 3 2" xfId="34645" xr:uid="{00000000-0005-0000-0000-0000F5030000}"/>
    <cellStyle name="dp*NumberLine 2 2 3 4 2 2 3 3" xfId="53008" xr:uid="{00000000-0005-0000-0000-0000F5030000}"/>
    <cellStyle name="dp*NumberLine 2 2 3 4 2 2 4" xfId="25392" xr:uid="{00000000-0005-0000-0000-0000F5030000}"/>
    <cellStyle name="dp*NumberLine 2 2 3 4 2 2 4 2" xfId="43761" xr:uid="{00000000-0005-0000-0000-0000F5030000}"/>
    <cellStyle name="dp*NumberLine 2 2 3 4 2 2 5" xfId="21713" xr:uid="{00000000-0005-0000-0000-0000F5030000}"/>
    <cellStyle name="dp*NumberLine 2 2 3 4 2 2 6" xfId="40092" xr:uid="{00000000-0005-0000-0000-0000F5030000}"/>
    <cellStyle name="dp*NumberLine 2 2 3 4 2 3" xfId="6407" xr:uid="{00000000-0005-0000-0000-0000F5030000}"/>
    <cellStyle name="dp*NumberLine 2 2 3 4 2 3 2" xfId="12698" xr:uid="{00000000-0005-0000-0000-0000F5030000}"/>
    <cellStyle name="dp*NumberLine 2 2 3 4 2 3 2 2" xfId="31124" xr:uid="{00000000-0005-0000-0000-0000F5030000}"/>
    <cellStyle name="dp*NumberLine 2 2 3 4 2 3 2 3" xfId="49487" xr:uid="{00000000-0005-0000-0000-0000F5030000}"/>
    <cellStyle name="dp*NumberLine 2 2 3 4 2 3 3" xfId="17009" xr:uid="{00000000-0005-0000-0000-0000F5030000}"/>
    <cellStyle name="dp*NumberLine 2 2 3 4 2 3 3 2" xfId="35357" xr:uid="{00000000-0005-0000-0000-0000F5030000}"/>
    <cellStyle name="dp*NumberLine 2 2 3 4 2 3 3 3" xfId="53720" xr:uid="{00000000-0005-0000-0000-0000F5030000}"/>
    <cellStyle name="dp*NumberLine 2 2 3 4 2 3 4" xfId="26142" xr:uid="{00000000-0005-0000-0000-0000F5030000}"/>
    <cellStyle name="dp*NumberLine 2 2 3 4 2 3 4 2" xfId="44511" xr:uid="{00000000-0005-0000-0000-0000F5030000}"/>
    <cellStyle name="dp*NumberLine 2 2 3 4 2 3 5" xfId="22435" xr:uid="{00000000-0005-0000-0000-0000F5030000}"/>
    <cellStyle name="dp*NumberLine 2 2 3 4 2 3 6" xfId="40804" xr:uid="{00000000-0005-0000-0000-0000F5030000}"/>
    <cellStyle name="dp*NumberLine 2 2 3 4 2 4" xfId="10121" xr:uid="{00000000-0005-0000-0000-0000F5030000}"/>
    <cellStyle name="dp*NumberLine 2 2 3 4 2 4 2" xfId="14178" xr:uid="{00000000-0005-0000-0000-0000F5030000}"/>
    <cellStyle name="dp*NumberLine 2 2 3 4 2 4 2 2" xfId="32594" xr:uid="{00000000-0005-0000-0000-0000F5030000}"/>
    <cellStyle name="dp*NumberLine 2 2 3 4 2 4 2 3" xfId="50957" xr:uid="{00000000-0005-0000-0000-0000F5030000}"/>
    <cellStyle name="dp*NumberLine 2 2 3 4 2 4 3" xfId="28832" xr:uid="{00000000-0005-0000-0000-0000F5030000}"/>
    <cellStyle name="dp*NumberLine 2 2 3 4 2 4 3 2" xfId="47195" xr:uid="{00000000-0005-0000-0000-0000F5030000}"/>
    <cellStyle name="dp*NumberLine 2 2 3 4 2 4 4" xfId="19635" xr:uid="{00000000-0005-0000-0000-0000F5030000}"/>
    <cellStyle name="dp*NumberLine 2 2 3 4 2 4 5" xfId="38041" xr:uid="{00000000-0005-0000-0000-0000F5030000}"/>
    <cellStyle name="dp*NumberLine 2 2 3 4 2 5" xfId="9308" xr:uid="{00000000-0005-0000-0000-0000F5030000}"/>
    <cellStyle name="dp*NumberLine 2 2 3 4 2 5 2" xfId="28027" xr:uid="{00000000-0005-0000-0000-0000F5030000}"/>
    <cellStyle name="dp*NumberLine 2 2 3 4 2 5 3" xfId="46390" xr:uid="{00000000-0005-0000-0000-0000F5030000}"/>
    <cellStyle name="dp*NumberLine 2 2 3 4 2 6" xfId="13364" xr:uid="{00000000-0005-0000-0000-0000F5030000}"/>
    <cellStyle name="dp*NumberLine 2 2 3 4 2 6 2" xfId="31785" xr:uid="{00000000-0005-0000-0000-0000F5030000}"/>
    <cellStyle name="dp*NumberLine 2 2 3 4 2 6 3" xfId="50148" xr:uid="{00000000-0005-0000-0000-0000F5030000}"/>
    <cellStyle name="dp*NumberLine 2 2 3 4 2 7" xfId="23316" xr:uid="{00000000-0005-0000-0000-0000F5030000}"/>
    <cellStyle name="dp*NumberLine 2 2 3 4 2 7 2" xfId="41685" xr:uid="{00000000-0005-0000-0000-0000F5030000}"/>
    <cellStyle name="dp*NumberLine 2 2 3 4 2 8" xfId="18384" xr:uid="{00000000-0005-0000-0000-0000F5030000}"/>
    <cellStyle name="dp*NumberLine 2 2 3 4 2 9" xfId="36790" xr:uid="{00000000-0005-0000-0000-0000F5030000}"/>
    <cellStyle name="dp*NumberLine 2 2 3 4 3" xfId="4399" xr:uid="{00000000-0005-0000-0000-0000F5030000}"/>
    <cellStyle name="dp*NumberLine 2 2 3 4 3 2" xfId="10998" xr:uid="{00000000-0005-0000-0000-0000F5030000}"/>
    <cellStyle name="dp*NumberLine 2 2 3 4 3 2 2" xfId="29620" xr:uid="{00000000-0005-0000-0000-0000F5030000}"/>
    <cellStyle name="dp*NumberLine 2 2 3 4 3 2 3" xfId="47983" xr:uid="{00000000-0005-0000-0000-0000F5030000}"/>
    <cellStyle name="dp*NumberLine 2 2 3 4 3 3" xfId="15134" xr:uid="{00000000-0005-0000-0000-0000F5030000}"/>
    <cellStyle name="dp*NumberLine 2 2 3 4 3 3 2" xfId="33531" xr:uid="{00000000-0005-0000-0000-0000F5030000}"/>
    <cellStyle name="dp*NumberLine 2 2 3 4 3 3 3" xfId="51894" xr:uid="{00000000-0005-0000-0000-0000F5030000}"/>
    <cellStyle name="dp*NumberLine 2 2 3 4 3 4" xfId="24262" xr:uid="{00000000-0005-0000-0000-0000F5030000}"/>
    <cellStyle name="dp*NumberLine 2 2 3 4 3 4 2" xfId="42631" xr:uid="{00000000-0005-0000-0000-0000F5030000}"/>
    <cellStyle name="dp*NumberLine 2 2 3 4 3 5" xfId="20585" xr:uid="{00000000-0005-0000-0000-0000F5030000}"/>
    <cellStyle name="dp*NumberLine 2 2 3 4 3 6" xfId="38978" xr:uid="{00000000-0005-0000-0000-0000F5030000}"/>
    <cellStyle name="dp*NumberLine 2 2 3 4 4" xfId="4052" xr:uid="{00000000-0005-0000-0000-0000F5030000}"/>
    <cellStyle name="dp*NumberLine 2 2 3 4 4 2" xfId="10753" xr:uid="{00000000-0005-0000-0000-0000F5030000}"/>
    <cellStyle name="dp*NumberLine 2 2 3 4 4 2 2" xfId="29456" xr:uid="{00000000-0005-0000-0000-0000F5030000}"/>
    <cellStyle name="dp*NumberLine 2 2 3 4 4 2 3" xfId="47819" xr:uid="{00000000-0005-0000-0000-0000F5030000}"/>
    <cellStyle name="dp*NumberLine 2 2 3 4 4 3" xfId="14813" xr:uid="{00000000-0005-0000-0000-0000F5030000}"/>
    <cellStyle name="dp*NumberLine 2 2 3 4 4 3 2" xfId="33225" xr:uid="{00000000-0005-0000-0000-0000F5030000}"/>
    <cellStyle name="dp*NumberLine 2 2 3 4 4 3 3" xfId="51588" xr:uid="{00000000-0005-0000-0000-0000F5030000}"/>
    <cellStyle name="dp*NumberLine 2 2 3 4 4 4" xfId="23949" xr:uid="{00000000-0005-0000-0000-0000F5030000}"/>
    <cellStyle name="dp*NumberLine 2 2 3 4 4 4 2" xfId="42318" xr:uid="{00000000-0005-0000-0000-0000F5030000}"/>
    <cellStyle name="dp*NumberLine 2 2 3 4 4 5" xfId="20269" xr:uid="{00000000-0005-0000-0000-0000F5030000}"/>
    <cellStyle name="dp*NumberLine 2 2 3 4 4 6" xfId="38672" xr:uid="{00000000-0005-0000-0000-0000F5030000}"/>
    <cellStyle name="dp*NumberLine 2 2 3 4 5" xfId="9278" xr:uid="{00000000-0005-0000-0000-0000F5030000}"/>
    <cellStyle name="dp*NumberLine 2 2 3 4 5 2" xfId="13334" xr:uid="{00000000-0005-0000-0000-0000F5030000}"/>
    <cellStyle name="dp*NumberLine 2 2 3 4 5 2 2" xfId="31755" xr:uid="{00000000-0005-0000-0000-0000F5030000}"/>
    <cellStyle name="dp*NumberLine 2 2 3 4 5 2 3" xfId="50118" xr:uid="{00000000-0005-0000-0000-0000F5030000}"/>
    <cellStyle name="dp*NumberLine 2 2 3 4 5 3" xfId="27997" xr:uid="{00000000-0005-0000-0000-0000F5030000}"/>
    <cellStyle name="dp*NumberLine 2 2 3 4 5 3 2" xfId="46360" xr:uid="{00000000-0005-0000-0000-0000F5030000}"/>
    <cellStyle name="dp*NumberLine 2 2 3 4 5 4" xfId="18344" xr:uid="{00000000-0005-0000-0000-0000F5030000}"/>
    <cellStyle name="dp*NumberLine 2 2 3 4 5 5" xfId="36750" xr:uid="{00000000-0005-0000-0000-0000F5030000}"/>
    <cellStyle name="dp*NumberLine 2 2 3 4 6" xfId="7661" xr:uid="{00000000-0005-0000-0000-0000F5030000}"/>
    <cellStyle name="dp*NumberLine 2 2 3 4 6 2" xfId="26945" xr:uid="{00000000-0005-0000-0000-0000F5030000}"/>
    <cellStyle name="dp*NumberLine 2 2 3 4 6 3" xfId="45310" xr:uid="{00000000-0005-0000-0000-0000F5030000}"/>
    <cellStyle name="dp*NumberLine 2 2 3 4 7" xfId="11876" xr:uid="{00000000-0005-0000-0000-0000F5030000}"/>
    <cellStyle name="dp*NumberLine 2 2 3 4 7 2" xfId="30323" xr:uid="{00000000-0005-0000-0000-0000F5030000}"/>
    <cellStyle name="dp*NumberLine 2 2 3 4 7 3" xfId="48686" xr:uid="{00000000-0005-0000-0000-0000F5030000}"/>
    <cellStyle name="dp*NumberLine 2 2 3 4 8" xfId="19426" xr:uid="{00000000-0005-0000-0000-0000F5030000}"/>
    <cellStyle name="dp*NumberLine 2 2 3 4 8 2" xfId="37832" xr:uid="{00000000-0005-0000-0000-0000F5030000}"/>
    <cellStyle name="dp*NumberLine 2 2 3 4 9" xfId="12594" xr:uid="{00000000-0005-0000-0000-0000F5030000}"/>
    <cellStyle name="dp*NumberLine 2 2 3 5" xfId="3520" xr:uid="{00000000-0005-0000-0000-0000F2030000}"/>
    <cellStyle name="dp*NumberLine 2 2 3 5 2" xfId="5694" xr:uid="{00000000-0005-0000-0000-0000F2030000}"/>
    <cellStyle name="dp*NumberLine 2 2 3 5 2 2" xfId="12058" xr:uid="{00000000-0005-0000-0000-0000F2030000}"/>
    <cellStyle name="dp*NumberLine 2 2 3 5 2 2 2" xfId="30505" xr:uid="{00000000-0005-0000-0000-0000F2030000}"/>
    <cellStyle name="dp*NumberLine 2 2 3 5 2 2 3" xfId="48868" xr:uid="{00000000-0005-0000-0000-0000F2030000}"/>
    <cellStyle name="dp*NumberLine 2 2 3 5 2 3" xfId="16384" xr:uid="{00000000-0005-0000-0000-0000F2030000}"/>
    <cellStyle name="dp*NumberLine 2 2 3 5 2 3 2" xfId="34756" xr:uid="{00000000-0005-0000-0000-0000F2030000}"/>
    <cellStyle name="dp*NumberLine 2 2 3 5 2 3 3" xfId="53119" xr:uid="{00000000-0005-0000-0000-0000F2030000}"/>
    <cellStyle name="dp*NumberLine 2 2 3 5 2 4" xfId="25503" xr:uid="{00000000-0005-0000-0000-0000F2030000}"/>
    <cellStyle name="dp*NumberLine 2 2 3 5 2 4 2" xfId="43872" xr:uid="{00000000-0005-0000-0000-0000F2030000}"/>
    <cellStyle name="dp*NumberLine 2 2 3 5 2 5" xfId="21824" xr:uid="{00000000-0005-0000-0000-0000F2030000}"/>
    <cellStyle name="dp*NumberLine 2 2 3 5 2 6" xfId="40203" xr:uid="{00000000-0005-0000-0000-0000F2030000}"/>
    <cellStyle name="dp*NumberLine 2 2 3 5 3" xfId="6519" xr:uid="{00000000-0005-0000-0000-0000F2030000}"/>
    <cellStyle name="dp*NumberLine 2 2 3 5 3 2" xfId="12810" xr:uid="{00000000-0005-0000-0000-0000F2030000}"/>
    <cellStyle name="dp*NumberLine 2 2 3 5 3 2 2" xfId="31236" xr:uid="{00000000-0005-0000-0000-0000F2030000}"/>
    <cellStyle name="dp*NumberLine 2 2 3 5 3 2 3" xfId="49599" xr:uid="{00000000-0005-0000-0000-0000F2030000}"/>
    <cellStyle name="dp*NumberLine 2 2 3 5 3 3" xfId="17121" xr:uid="{00000000-0005-0000-0000-0000F2030000}"/>
    <cellStyle name="dp*NumberLine 2 2 3 5 3 3 2" xfId="35469" xr:uid="{00000000-0005-0000-0000-0000F2030000}"/>
    <cellStyle name="dp*NumberLine 2 2 3 5 3 3 3" xfId="53832" xr:uid="{00000000-0005-0000-0000-0000F2030000}"/>
    <cellStyle name="dp*NumberLine 2 2 3 5 3 4" xfId="26254" xr:uid="{00000000-0005-0000-0000-0000F2030000}"/>
    <cellStyle name="dp*NumberLine 2 2 3 5 3 4 2" xfId="44623" xr:uid="{00000000-0005-0000-0000-0000F2030000}"/>
    <cellStyle name="dp*NumberLine 2 2 3 5 3 5" xfId="22547" xr:uid="{00000000-0005-0000-0000-0000F2030000}"/>
    <cellStyle name="dp*NumberLine 2 2 3 5 3 6" xfId="40916" xr:uid="{00000000-0005-0000-0000-0000F2030000}"/>
    <cellStyle name="dp*NumberLine 2 2 3 5 4" xfId="10233" xr:uid="{00000000-0005-0000-0000-0000F2030000}"/>
    <cellStyle name="dp*NumberLine 2 2 3 5 4 2" xfId="14290" xr:uid="{00000000-0005-0000-0000-0000F2030000}"/>
    <cellStyle name="dp*NumberLine 2 2 3 5 4 2 2" xfId="32706" xr:uid="{00000000-0005-0000-0000-0000F2030000}"/>
    <cellStyle name="dp*NumberLine 2 2 3 5 4 2 3" xfId="51069" xr:uid="{00000000-0005-0000-0000-0000F2030000}"/>
    <cellStyle name="dp*NumberLine 2 2 3 5 4 3" xfId="28944" xr:uid="{00000000-0005-0000-0000-0000F2030000}"/>
    <cellStyle name="dp*NumberLine 2 2 3 5 4 3 2" xfId="47307" xr:uid="{00000000-0005-0000-0000-0000F2030000}"/>
    <cellStyle name="dp*NumberLine 2 2 3 5 4 4" xfId="19747" xr:uid="{00000000-0005-0000-0000-0000F2030000}"/>
    <cellStyle name="dp*NumberLine 2 2 3 5 4 5" xfId="38153" xr:uid="{00000000-0005-0000-0000-0000F2030000}"/>
    <cellStyle name="dp*NumberLine 2 2 3 5 5" xfId="9428" xr:uid="{00000000-0005-0000-0000-0000F2030000}"/>
    <cellStyle name="dp*NumberLine 2 2 3 5 5 2" xfId="28145" xr:uid="{00000000-0005-0000-0000-0000F2030000}"/>
    <cellStyle name="dp*NumberLine 2 2 3 5 5 3" xfId="46508" xr:uid="{00000000-0005-0000-0000-0000F2030000}"/>
    <cellStyle name="dp*NumberLine 2 2 3 5 6" xfId="13485" xr:uid="{00000000-0005-0000-0000-0000F2030000}"/>
    <cellStyle name="dp*NumberLine 2 2 3 5 6 2" xfId="31906" xr:uid="{00000000-0005-0000-0000-0000F2030000}"/>
    <cellStyle name="dp*NumberLine 2 2 3 5 6 3" xfId="50269" xr:uid="{00000000-0005-0000-0000-0000F2030000}"/>
    <cellStyle name="dp*NumberLine 2 2 3 5 7" xfId="23428" xr:uid="{00000000-0005-0000-0000-0000F2030000}"/>
    <cellStyle name="dp*NumberLine 2 2 3 5 7 2" xfId="41797" xr:uid="{00000000-0005-0000-0000-0000F2030000}"/>
    <cellStyle name="dp*NumberLine 2 2 3 5 8" xfId="18513" xr:uid="{00000000-0005-0000-0000-0000F2030000}"/>
    <cellStyle name="dp*NumberLine 2 2 3 5 9" xfId="36922" xr:uid="{00000000-0005-0000-0000-0000F2030000}"/>
    <cellStyle name="dp*NumberLine 2 2 3 6" xfId="4524" xr:uid="{00000000-0005-0000-0000-0000F2030000}"/>
    <cellStyle name="dp*NumberLine 2 2 3 6 2" xfId="11115" xr:uid="{00000000-0005-0000-0000-0000F2030000}"/>
    <cellStyle name="dp*NumberLine 2 2 3 6 2 2" xfId="29733" xr:uid="{00000000-0005-0000-0000-0000F2030000}"/>
    <cellStyle name="dp*NumberLine 2 2 3 6 2 3" xfId="48096" xr:uid="{00000000-0005-0000-0000-0000F2030000}"/>
    <cellStyle name="dp*NumberLine 2 2 3 6 3" xfId="15253" xr:uid="{00000000-0005-0000-0000-0000F2030000}"/>
    <cellStyle name="dp*NumberLine 2 2 3 6 3 2" xfId="33647" xr:uid="{00000000-0005-0000-0000-0000F2030000}"/>
    <cellStyle name="dp*NumberLine 2 2 3 6 3 3" xfId="52010" xr:uid="{00000000-0005-0000-0000-0000F2030000}"/>
    <cellStyle name="dp*NumberLine 2 2 3 6 4" xfId="24378" xr:uid="{00000000-0005-0000-0000-0000F2030000}"/>
    <cellStyle name="dp*NumberLine 2 2 3 6 4 2" xfId="42747" xr:uid="{00000000-0005-0000-0000-0000F2030000}"/>
    <cellStyle name="dp*NumberLine 2 2 3 6 5" xfId="20702" xr:uid="{00000000-0005-0000-0000-0000F2030000}"/>
    <cellStyle name="dp*NumberLine 2 2 3 6 6" xfId="39094" xr:uid="{00000000-0005-0000-0000-0000F2030000}"/>
    <cellStyle name="dp*NumberLine 2 2 3 7" xfId="3987" xr:uid="{00000000-0005-0000-0000-0000F2030000}"/>
    <cellStyle name="dp*NumberLine 2 2 3 7 2" xfId="10692" xr:uid="{00000000-0005-0000-0000-0000F2030000}"/>
    <cellStyle name="dp*NumberLine 2 2 3 7 2 2" xfId="29397" xr:uid="{00000000-0005-0000-0000-0000F2030000}"/>
    <cellStyle name="dp*NumberLine 2 2 3 7 2 3" xfId="47760" xr:uid="{00000000-0005-0000-0000-0000F2030000}"/>
    <cellStyle name="dp*NumberLine 2 2 3 7 3" xfId="14748" xr:uid="{00000000-0005-0000-0000-0000F2030000}"/>
    <cellStyle name="dp*NumberLine 2 2 3 7 3 2" xfId="33160" xr:uid="{00000000-0005-0000-0000-0000F2030000}"/>
    <cellStyle name="dp*NumberLine 2 2 3 7 3 3" xfId="51523" xr:uid="{00000000-0005-0000-0000-0000F2030000}"/>
    <cellStyle name="dp*NumberLine 2 2 3 7 4" xfId="23884" xr:uid="{00000000-0005-0000-0000-0000F2030000}"/>
    <cellStyle name="dp*NumberLine 2 2 3 7 4 2" xfId="42253" xr:uid="{00000000-0005-0000-0000-0000F2030000}"/>
    <cellStyle name="dp*NumberLine 2 2 3 7 5" xfId="20204" xr:uid="{00000000-0005-0000-0000-0000F2030000}"/>
    <cellStyle name="dp*NumberLine 2 2 3 7 6" xfId="38607" xr:uid="{00000000-0005-0000-0000-0000F2030000}"/>
    <cellStyle name="dp*NumberLine 2 2 3 8" xfId="9107" xr:uid="{00000000-0005-0000-0000-0000F2030000}"/>
    <cellStyle name="dp*NumberLine 2 2 3 8 2" xfId="8411" xr:uid="{00000000-0005-0000-0000-0000F2030000}"/>
    <cellStyle name="dp*NumberLine 2 2 3 8 2 2" xfId="27472" xr:uid="{00000000-0005-0000-0000-0000F2030000}"/>
    <cellStyle name="dp*NumberLine 2 2 3 8 2 3" xfId="45836" xr:uid="{00000000-0005-0000-0000-0000F2030000}"/>
    <cellStyle name="dp*NumberLine 2 2 3 8 3" xfId="27833" xr:uid="{00000000-0005-0000-0000-0000F2030000}"/>
    <cellStyle name="dp*NumberLine 2 2 3 8 3 2" xfId="46196" xr:uid="{00000000-0005-0000-0000-0000F2030000}"/>
    <cellStyle name="dp*NumberLine 2 2 3 8 4" xfId="18019" xr:uid="{00000000-0005-0000-0000-0000F2030000}"/>
    <cellStyle name="dp*NumberLine 2 2 3 8 5" xfId="36427" xr:uid="{00000000-0005-0000-0000-0000F2030000}"/>
    <cellStyle name="dp*NumberLine 2 2 3 9" xfId="7793" xr:uid="{00000000-0005-0000-0000-0000F2030000}"/>
    <cellStyle name="dp*NumberLine 2 2 3 9 2" xfId="27064" xr:uid="{00000000-0005-0000-0000-0000F2030000}"/>
    <cellStyle name="dp*NumberLine 2 2 3 9 3" xfId="45429" xr:uid="{00000000-0005-0000-0000-0000F2030000}"/>
    <cellStyle name="dp*NumberLine 2 2 4" xfId="1394" xr:uid="{00000000-0005-0000-0000-0000F6030000}"/>
    <cellStyle name="dp*NumberLine 2 2 4 10" xfId="8506" xr:uid="{00000000-0005-0000-0000-0000F6030000}"/>
    <cellStyle name="dp*NumberLine 2 2 4 2" xfId="3427" xr:uid="{00000000-0005-0000-0000-0000F6030000}"/>
    <cellStyle name="dp*NumberLine 2 2 4 2 2" xfId="5602" xr:uid="{00000000-0005-0000-0000-0000F6030000}"/>
    <cellStyle name="dp*NumberLine 2 2 4 2 2 2" xfId="11966" xr:uid="{00000000-0005-0000-0000-0000F6030000}"/>
    <cellStyle name="dp*NumberLine 2 2 4 2 2 2 2" xfId="30413" xr:uid="{00000000-0005-0000-0000-0000F6030000}"/>
    <cellStyle name="dp*NumberLine 2 2 4 2 2 2 3" xfId="48776" xr:uid="{00000000-0005-0000-0000-0000F6030000}"/>
    <cellStyle name="dp*NumberLine 2 2 4 2 2 3" xfId="16292" xr:uid="{00000000-0005-0000-0000-0000F6030000}"/>
    <cellStyle name="dp*NumberLine 2 2 4 2 2 3 2" xfId="34664" xr:uid="{00000000-0005-0000-0000-0000F6030000}"/>
    <cellStyle name="dp*NumberLine 2 2 4 2 2 3 3" xfId="53027" xr:uid="{00000000-0005-0000-0000-0000F6030000}"/>
    <cellStyle name="dp*NumberLine 2 2 4 2 2 4" xfId="25411" xr:uid="{00000000-0005-0000-0000-0000F6030000}"/>
    <cellStyle name="dp*NumberLine 2 2 4 2 2 4 2" xfId="43780" xr:uid="{00000000-0005-0000-0000-0000F6030000}"/>
    <cellStyle name="dp*NumberLine 2 2 4 2 2 5" xfId="21732" xr:uid="{00000000-0005-0000-0000-0000F6030000}"/>
    <cellStyle name="dp*NumberLine 2 2 4 2 2 6" xfId="40111" xr:uid="{00000000-0005-0000-0000-0000F6030000}"/>
    <cellStyle name="dp*NumberLine 2 2 4 2 3" xfId="6426" xr:uid="{00000000-0005-0000-0000-0000F6030000}"/>
    <cellStyle name="dp*NumberLine 2 2 4 2 3 2" xfId="12717" xr:uid="{00000000-0005-0000-0000-0000F6030000}"/>
    <cellStyle name="dp*NumberLine 2 2 4 2 3 2 2" xfId="31143" xr:uid="{00000000-0005-0000-0000-0000F6030000}"/>
    <cellStyle name="dp*NumberLine 2 2 4 2 3 2 3" xfId="49506" xr:uid="{00000000-0005-0000-0000-0000F6030000}"/>
    <cellStyle name="dp*NumberLine 2 2 4 2 3 3" xfId="17028" xr:uid="{00000000-0005-0000-0000-0000F6030000}"/>
    <cellStyle name="dp*NumberLine 2 2 4 2 3 3 2" xfId="35376" xr:uid="{00000000-0005-0000-0000-0000F6030000}"/>
    <cellStyle name="dp*NumberLine 2 2 4 2 3 3 3" xfId="53739" xr:uid="{00000000-0005-0000-0000-0000F6030000}"/>
    <cellStyle name="dp*NumberLine 2 2 4 2 3 4" xfId="26161" xr:uid="{00000000-0005-0000-0000-0000F6030000}"/>
    <cellStyle name="dp*NumberLine 2 2 4 2 3 4 2" xfId="44530" xr:uid="{00000000-0005-0000-0000-0000F6030000}"/>
    <cellStyle name="dp*NumberLine 2 2 4 2 3 5" xfId="22454" xr:uid="{00000000-0005-0000-0000-0000F6030000}"/>
    <cellStyle name="dp*NumberLine 2 2 4 2 3 6" xfId="40823" xr:uid="{00000000-0005-0000-0000-0000F6030000}"/>
    <cellStyle name="dp*NumberLine 2 2 4 2 4" xfId="10140" xr:uid="{00000000-0005-0000-0000-0000F6030000}"/>
    <cellStyle name="dp*NumberLine 2 2 4 2 4 2" xfId="14197" xr:uid="{00000000-0005-0000-0000-0000F6030000}"/>
    <cellStyle name="dp*NumberLine 2 2 4 2 4 2 2" xfId="32613" xr:uid="{00000000-0005-0000-0000-0000F6030000}"/>
    <cellStyle name="dp*NumberLine 2 2 4 2 4 2 3" xfId="50976" xr:uid="{00000000-0005-0000-0000-0000F6030000}"/>
    <cellStyle name="dp*NumberLine 2 2 4 2 4 3" xfId="28851" xr:uid="{00000000-0005-0000-0000-0000F6030000}"/>
    <cellStyle name="dp*NumberLine 2 2 4 2 4 3 2" xfId="47214" xr:uid="{00000000-0005-0000-0000-0000F6030000}"/>
    <cellStyle name="dp*NumberLine 2 2 4 2 4 4" xfId="19654" xr:uid="{00000000-0005-0000-0000-0000F6030000}"/>
    <cellStyle name="dp*NumberLine 2 2 4 2 4 5" xfId="38060" xr:uid="{00000000-0005-0000-0000-0000F6030000}"/>
    <cellStyle name="dp*NumberLine 2 2 4 2 5" xfId="9327" xr:uid="{00000000-0005-0000-0000-0000F6030000}"/>
    <cellStyle name="dp*NumberLine 2 2 4 2 5 2" xfId="28046" xr:uid="{00000000-0005-0000-0000-0000F6030000}"/>
    <cellStyle name="dp*NumberLine 2 2 4 2 5 3" xfId="46409" xr:uid="{00000000-0005-0000-0000-0000F6030000}"/>
    <cellStyle name="dp*NumberLine 2 2 4 2 6" xfId="13383" xr:uid="{00000000-0005-0000-0000-0000F6030000}"/>
    <cellStyle name="dp*NumberLine 2 2 4 2 6 2" xfId="31804" xr:uid="{00000000-0005-0000-0000-0000F6030000}"/>
    <cellStyle name="dp*NumberLine 2 2 4 2 6 3" xfId="50167" xr:uid="{00000000-0005-0000-0000-0000F6030000}"/>
    <cellStyle name="dp*NumberLine 2 2 4 2 7" xfId="23335" xr:uid="{00000000-0005-0000-0000-0000F6030000}"/>
    <cellStyle name="dp*NumberLine 2 2 4 2 7 2" xfId="41704" xr:uid="{00000000-0005-0000-0000-0000F6030000}"/>
    <cellStyle name="dp*NumberLine 2 2 4 2 8" xfId="18406" xr:uid="{00000000-0005-0000-0000-0000F6030000}"/>
    <cellStyle name="dp*NumberLine 2 2 4 2 9" xfId="36812" xr:uid="{00000000-0005-0000-0000-0000F6030000}"/>
    <cellStyle name="dp*NumberLine 2 2 4 3" xfId="4420" xr:uid="{00000000-0005-0000-0000-0000F6030000}"/>
    <cellStyle name="dp*NumberLine 2 2 4 3 2" xfId="11019" xr:uid="{00000000-0005-0000-0000-0000F6030000}"/>
    <cellStyle name="dp*NumberLine 2 2 4 3 2 2" xfId="29639" xr:uid="{00000000-0005-0000-0000-0000F6030000}"/>
    <cellStyle name="dp*NumberLine 2 2 4 3 2 3" xfId="48002" xr:uid="{00000000-0005-0000-0000-0000F6030000}"/>
    <cellStyle name="dp*NumberLine 2 2 4 3 3" xfId="15154" xr:uid="{00000000-0005-0000-0000-0000F6030000}"/>
    <cellStyle name="dp*NumberLine 2 2 4 3 3 2" xfId="33551" xr:uid="{00000000-0005-0000-0000-0000F6030000}"/>
    <cellStyle name="dp*NumberLine 2 2 4 3 3 3" xfId="51914" xr:uid="{00000000-0005-0000-0000-0000F6030000}"/>
    <cellStyle name="dp*NumberLine 2 2 4 3 4" xfId="24282" xr:uid="{00000000-0005-0000-0000-0000F6030000}"/>
    <cellStyle name="dp*NumberLine 2 2 4 3 4 2" xfId="42651" xr:uid="{00000000-0005-0000-0000-0000F6030000}"/>
    <cellStyle name="dp*NumberLine 2 2 4 3 5" xfId="20605" xr:uid="{00000000-0005-0000-0000-0000F6030000}"/>
    <cellStyle name="dp*NumberLine 2 2 4 3 6" xfId="38998" xr:uid="{00000000-0005-0000-0000-0000F6030000}"/>
    <cellStyle name="dp*NumberLine 2 2 4 4" xfId="4046" xr:uid="{00000000-0005-0000-0000-0000F6030000}"/>
    <cellStyle name="dp*NumberLine 2 2 4 4 2" xfId="10747" xr:uid="{00000000-0005-0000-0000-0000F6030000}"/>
    <cellStyle name="dp*NumberLine 2 2 4 4 2 2" xfId="29450" xr:uid="{00000000-0005-0000-0000-0000F6030000}"/>
    <cellStyle name="dp*NumberLine 2 2 4 4 2 3" xfId="47813" xr:uid="{00000000-0005-0000-0000-0000F6030000}"/>
    <cellStyle name="dp*NumberLine 2 2 4 4 3" xfId="14807" xr:uid="{00000000-0005-0000-0000-0000F6030000}"/>
    <cellStyle name="dp*NumberLine 2 2 4 4 3 2" xfId="33219" xr:uid="{00000000-0005-0000-0000-0000F6030000}"/>
    <cellStyle name="dp*NumberLine 2 2 4 4 3 3" xfId="51582" xr:uid="{00000000-0005-0000-0000-0000F6030000}"/>
    <cellStyle name="dp*NumberLine 2 2 4 4 4" xfId="23943" xr:uid="{00000000-0005-0000-0000-0000F6030000}"/>
    <cellStyle name="dp*NumberLine 2 2 4 4 4 2" xfId="42312" xr:uid="{00000000-0005-0000-0000-0000F6030000}"/>
    <cellStyle name="dp*NumberLine 2 2 4 4 5" xfId="20263" xr:uid="{00000000-0005-0000-0000-0000F6030000}"/>
    <cellStyle name="dp*NumberLine 2 2 4 4 6" xfId="38666" xr:uid="{00000000-0005-0000-0000-0000F6030000}"/>
    <cellStyle name="dp*NumberLine 2 2 4 5" xfId="9248" xr:uid="{00000000-0005-0000-0000-0000F6030000}"/>
    <cellStyle name="dp*NumberLine 2 2 4 5 2" xfId="13305" xr:uid="{00000000-0005-0000-0000-0000F6030000}"/>
    <cellStyle name="dp*NumberLine 2 2 4 5 2 2" xfId="31726" xr:uid="{00000000-0005-0000-0000-0000F6030000}"/>
    <cellStyle name="dp*NumberLine 2 2 4 5 2 3" xfId="50089" xr:uid="{00000000-0005-0000-0000-0000F6030000}"/>
    <cellStyle name="dp*NumberLine 2 2 4 5 3" xfId="27968" xr:uid="{00000000-0005-0000-0000-0000F6030000}"/>
    <cellStyle name="dp*NumberLine 2 2 4 5 3 2" xfId="46331" xr:uid="{00000000-0005-0000-0000-0000F6030000}"/>
    <cellStyle name="dp*NumberLine 2 2 4 5 4" xfId="18300" xr:uid="{00000000-0005-0000-0000-0000F6030000}"/>
    <cellStyle name="dp*NumberLine 2 2 4 5 5" xfId="36706" xr:uid="{00000000-0005-0000-0000-0000F6030000}"/>
    <cellStyle name="dp*NumberLine 2 2 4 6" xfId="7686" xr:uid="{00000000-0005-0000-0000-0000F6030000}"/>
    <cellStyle name="dp*NumberLine 2 2 4 6 2" xfId="26968" xr:uid="{00000000-0005-0000-0000-0000F6030000}"/>
    <cellStyle name="dp*NumberLine 2 2 4 6 3" xfId="45333" xr:uid="{00000000-0005-0000-0000-0000F6030000}"/>
    <cellStyle name="dp*NumberLine 2 2 4 7" xfId="8093" xr:uid="{00000000-0005-0000-0000-0000F6030000}"/>
    <cellStyle name="dp*NumberLine 2 2 4 7 2" xfId="27300" xr:uid="{00000000-0005-0000-0000-0000F6030000}"/>
    <cellStyle name="dp*NumberLine 2 2 4 7 3" xfId="45665" xr:uid="{00000000-0005-0000-0000-0000F6030000}"/>
    <cellStyle name="dp*NumberLine 2 2 4 8" xfId="19450" xr:uid="{00000000-0005-0000-0000-0000F6030000}"/>
    <cellStyle name="dp*NumberLine 2 2 4 8 2" xfId="37856" xr:uid="{00000000-0005-0000-0000-0000F6030000}"/>
    <cellStyle name="dp*NumberLine 2 2 4 9" xfId="7872" xr:uid="{00000000-0005-0000-0000-0000F6030000}"/>
    <cellStyle name="dp*NumberLine 2 2 5" xfId="3371" xr:uid="{00000000-0005-0000-0000-0000ED030000}"/>
    <cellStyle name="dp*NumberLine 2 2 5 2" xfId="5546" xr:uid="{00000000-0005-0000-0000-0000ED030000}"/>
    <cellStyle name="dp*NumberLine 2 2 5 2 2" xfId="11910" xr:uid="{00000000-0005-0000-0000-0000ED030000}"/>
    <cellStyle name="dp*NumberLine 2 2 5 2 2 2" xfId="30357" xr:uid="{00000000-0005-0000-0000-0000ED030000}"/>
    <cellStyle name="dp*NumberLine 2 2 5 2 2 3" xfId="48720" xr:uid="{00000000-0005-0000-0000-0000ED030000}"/>
    <cellStyle name="dp*NumberLine 2 2 5 2 3" xfId="16236" xr:uid="{00000000-0005-0000-0000-0000ED030000}"/>
    <cellStyle name="dp*NumberLine 2 2 5 2 3 2" xfId="34608" xr:uid="{00000000-0005-0000-0000-0000ED030000}"/>
    <cellStyle name="dp*NumberLine 2 2 5 2 3 3" xfId="52971" xr:uid="{00000000-0005-0000-0000-0000ED030000}"/>
    <cellStyle name="dp*NumberLine 2 2 5 2 4" xfId="25355" xr:uid="{00000000-0005-0000-0000-0000ED030000}"/>
    <cellStyle name="dp*NumberLine 2 2 5 2 4 2" xfId="43724" xr:uid="{00000000-0005-0000-0000-0000ED030000}"/>
    <cellStyle name="dp*NumberLine 2 2 5 2 5" xfId="21676" xr:uid="{00000000-0005-0000-0000-0000ED030000}"/>
    <cellStyle name="dp*NumberLine 2 2 5 2 6" xfId="40055" xr:uid="{00000000-0005-0000-0000-0000ED030000}"/>
    <cellStyle name="dp*NumberLine 2 2 5 3" xfId="6370" xr:uid="{00000000-0005-0000-0000-0000ED030000}"/>
    <cellStyle name="dp*NumberLine 2 2 5 3 2" xfId="12661" xr:uid="{00000000-0005-0000-0000-0000ED030000}"/>
    <cellStyle name="dp*NumberLine 2 2 5 3 2 2" xfId="31087" xr:uid="{00000000-0005-0000-0000-0000ED030000}"/>
    <cellStyle name="dp*NumberLine 2 2 5 3 2 3" xfId="49450" xr:uid="{00000000-0005-0000-0000-0000ED030000}"/>
    <cellStyle name="dp*NumberLine 2 2 5 3 3" xfId="16972" xr:uid="{00000000-0005-0000-0000-0000ED030000}"/>
    <cellStyle name="dp*NumberLine 2 2 5 3 3 2" xfId="35320" xr:uid="{00000000-0005-0000-0000-0000ED030000}"/>
    <cellStyle name="dp*NumberLine 2 2 5 3 3 3" xfId="53683" xr:uid="{00000000-0005-0000-0000-0000ED030000}"/>
    <cellStyle name="dp*NumberLine 2 2 5 3 4" xfId="26105" xr:uid="{00000000-0005-0000-0000-0000ED030000}"/>
    <cellStyle name="dp*NumberLine 2 2 5 3 4 2" xfId="44474" xr:uid="{00000000-0005-0000-0000-0000ED030000}"/>
    <cellStyle name="dp*NumberLine 2 2 5 3 5" xfId="22398" xr:uid="{00000000-0005-0000-0000-0000ED030000}"/>
    <cellStyle name="dp*NumberLine 2 2 5 3 6" xfId="40767" xr:uid="{00000000-0005-0000-0000-0000ED030000}"/>
    <cellStyle name="dp*NumberLine 2 2 5 4" xfId="10084" xr:uid="{00000000-0005-0000-0000-0000ED030000}"/>
    <cellStyle name="dp*NumberLine 2 2 5 4 2" xfId="14141" xr:uid="{00000000-0005-0000-0000-0000ED030000}"/>
    <cellStyle name="dp*NumberLine 2 2 5 4 2 2" xfId="32557" xr:uid="{00000000-0005-0000-0000-0000ED030000}"/>
    <cellStyle name="dp*NumberLine 2 2 5 4 2 3" xfId="50920" xr:uid="{00000000-0005-0000-0000-0000ED030000}"/>
    <cellStyle name="dp*NumberLine 2 2 5 4 3" xfId="28795" xr:uid="{00000000-0005-0000-0000-0000ED030000}"/>
    <cellStyle name="dp*NumberLine 2 2 5 4 3 2" xfId="47158" xr:uid="{00000000-0005-0000-0000-0000ED030000}"/>
    <cellStyle name="dp*NumberLine 2 2 5 4 4" xfId="19598" xr:uid="{00000000-0005-0000-0000-0000ED030000}"/>
    <cellStyle name="dp*NumberLine 2 2 5 4 5" xfId="38004" xr:uid="{00000000-0005-0000-0000-0000ED030000}"/>
    <cellStyle name="dp*NumberLine 2 2 5 5" xfId="9236" xr:uid="{00000000-0005-0000-0000-0000ED030000}"/>
    <cellStyle name="dp*NumberLine 2 2 5 5 2" xfId="27956" xr:uid="{00000000-0005-0000-0000-0000ED030000}"/>
    <cellStyle name="dp*NumberLine 2 2 5 5 3" xfId="46319" xr:uid="{00000000-0005-0000-0000-0000ED030000}"/>
    <cellStyle name="dp*NumberLine 2 2 5 6" xfId="13293" xr:uid="{00000000-0005-0000-0000-0000ED030000}"/>
    <cellStyle name="dp*NumberLine 2 2 5 6 2" xfId="31714" xr:uid="{00000000-0005-0000-0000-0000ED030000}"/>
    <cellStyle name="dp*NumberLine 2 2 5 6 3" xfId="50077" xr:uid="{00000000-0005-0000-0000-0000ED030000}"/>
    <cellStyle name="dp*NumberLine 2 2 5 7" xfId="23279" xr:uid="{00000000-0005-0000-0000-0000ED030000}"/>
    <cellStyle name="dp*NumberLine 2 2 5 7 2" xfId="41648" xr:uid="{00000000-0005-0000-0000-0000ED030000}"/>
    <cellStyle name="dp*NumberLine 2 2 5 8" xfId="18288" xr:uid="{00000000-0005-0000-0000-0000ED030000}"/>
    <cellStyle name="dp*NumberLine 2 2 5 9" xfId="36694" xr:uid="{00000000-0005-0000-0000-0000ED030000}"/>
    <cellStyle name="dp*NumberLine 2 2 6" xfId="4321" xr:uid="{00000000-0005-0000-0000-0000ED030000}"/>
    <cellStyle name="dp*NumberLine 2 2 6 2" xfId="10929" xr:uid="{00000000-0005-0000-0000-0000ED030000}"/>
    <cellStyle name="dp*NumberLine 2 2 6 2 2" xfId="29559" xr:uid="{00000000-0005-0000-0000-0000ED030000}"/>
    <cellStyle name="dp*NumberLine 2 2 6 2 3" xfId="47922" xr:uid="{00000000-0005-0000-0000-0000ED030000}"/>
    <cellStyle name="dp*NumberLine 2 2 6 3" xfId="15065" xr:uid="{00000000-0005-0000-0000-0000ED030000}"/>
    <cellStyle name="dp*NumberLine 2 2 6 3 2" xfId="33467" xr:uid="{00000000-0005-0000-0000-0000ED030000}"/>
    <cellStyle name="dp*NumberLine 2 2 6 3 3" xfId="51830" xr:uid="{00000000-0005-0000-0000-0000ED030000}"/>
    <cellStyle name="dp*NumberLine 2 2 6 4" xfId="24196" xr:uid="{00000000-0005-0000-0000-0000ED030000}"/>
    <cellStyle name="dp*NumberLine 2 2 6 4 2" xfId="42565" xr:uid="{00000000-0005-0000-0000-0000ED030000}"/>
    <cellStyle name="dp*NumberLine 2 2 6 5" xfId="20517" xr:uid="{00000000-0005-0000-0000-0000ED030000}"/>
    <cellStyle name="dp*NumberLine 2 2 6 6" xfId="38914" xr:uid="{00000000-0005-0000-0000-0000ED030000}"/>
    <cellStyle name="dp*NumberLine 2 2 7" xfId="5262" xr:uid="{00000000-0005-0000-0000-0000ED030000}"/>
    <cellStyle name="dp*NumberLine 2 2 7 2" xfId="11720" xr:uid="{00000000-0005-0000-0000-0000ED030000}"/>
    <cellStyle name="dp*NumberLine 2 2 7 2 2" xfId="30230" xr:uid="{00000000-0005-0000-0000-0000ED030000}"/>
    <cellStyle name="dp*NumberLine 2 2 7 2 3" xfId="48593" xr:uid="{00000000-0005-0000-0000-0000ED030000}"/>
    <cellStyle name="dp*NumberLine 2 2 7 3" xfId="15954" xr:uid="{00000000-0005-0000-0000-0000ED030000}"/>
    <cellStyle name="dp*NumberLine 2 2 7 3 2" xfId="34328" xr:uid="{00000000-0005-0000-0000-0000ED030000}"/>
    <cellStyle name="dp*NumberLine 2 2 7 3 3" xfId="52691" xr:uid="{00000000-0005-0000-0000-0000ED030000}"/>
    <cellStyle name="dp*NumberLine 2 2 7 4" xfId="25075" xr:uid="{00000000-0005-0000-0000-0000ED030000}"/>
    <cellStyle name="dp*NumberLine 2 2 7 4 2" xfId="43444" xr:uid="{00000000-0005-0000-0000-0000ED030000}"/>
    <cellStyle name="dp*NumberLine 2 2 7 5" xfId="21396" xr:uid="{00000000-0005-0000-0000-0000ED030000}"/>
    <cellStyle name="dp*NumberLine 2 2 7 6" xfId="39775" xr:uid="{00000000-0005-0000-0000-0000ED030000}"/>
    <cellStyle name="dp*NumberLine 2 2 8" xfId="7573" xr:uid="{00000000-0005-0000-0000-0000ED030000}"/>
    <cellStyle name="dp*NumberLine 2 2 8 2" xfId="26881" xr:uid="{00000000-0005-0000-0000-0000ED030000}"/>
    <cellStyle name="dp*NumberLine 2 2 8 3" xfId="45246" xr:uid="{00000000-0005-0000-0000-0000ED030000}"/>
    <cellStyle name="dp*NumberLine 2 2 9" xfId="11836" xr:uid="{00000000-0005-0000-0000-0000ED030000}"/>
    <cellStyle name="dp*NumberLine 2 2 9 2" xfId="30288" xr:uid="{00000000-0005-0000-0000-0000ED030000}"/>
    <cellStyle name="dp*NumberLine 2 2 9 3" xfId="48651" xr:uid="{00000000-0005-0000-0000-0000ED030000}"/>
    <cellStyle name="dp*NumberLine 2 3" xfId="1438" xr:uid="{00000000-0005-0000-0000-0000F7030000}"/>
    <cellStyle name="dp*NumberLine 2 3 10" xfId="8953" xr:uid="{00000000-0005-0000-0000-0000F7030000}"/>
    <cellStyle name="dp*NumberLine 2 3 2" xfId="3458" xr:uid="{00000000-0005-0000-0000-0000F7030000}"/>
    <cellStyle name="dp*NumberLine 2 3 2 2" xfId="5633" xr:uid="{00000000-0005-0000-0000-0000F7030000}"/>
    <cellStyle name="dp*NumberLine 2 3 2 2 2" xfId="11997" xr:uid="{00000000-0005-0000-0000-0000F7030000}"/>
    <cellStyle name="dp*NumberLine 2 3 2 2 2 2" xfId="30444" xr:uid="{00000000-0005-0000-0000-0000F7030000}"/>
    <cellStyle name="dp*NumberLine 2 3 2 2 2 3" xfId="48807" xr:uid="{00000000-0005-0000-0000-0000F7030000}"/>
    <cellStyle name="dp*NumberLine 2 3 2 2 3" xfId="16323" xr:uid="{00000000-0005-0000-0000-0000F7030000}"/>
    <cellStyle name="dp*NumberLine 2 3 2 2 3 2" xfId="34695" xr:uid="{00000000-0005-0000-0000-0000F7030000}"/>
    <cellStyle name="dp*NumberLine 2 3 2 2 3 3" xfId="53058" xr:uid="{00000000-0005-0000-0000-0000F7030000}"/>
    <cellStyle name="dp*NumberLine 2 3 2 2 4" xfId="25442" xr:uid="{00000000-0005-0000-0000-0000F7030000}"/>
    <cellStyle name="dp*NumberLine 2 3 2 2 4 2" xfId="43811" xr:uid="{00000000-0005-0000-0000-0000F7030000}"/>
    <cellStyle name="dp*NumberLine 2 3 2 2 5" xfId="21763" xr:uid="{00000000-0005-0000-0000-0000F7030000}"/>
    <cellStyle name="dp*NumberLine 2 3 2 2 6" xfId="40142" xr:uid="{00000000-0005-0000-0000-0000F7030000}"/>
    <cellStyle name="dp*NumberLine 2 3 2 3" xfId="6457" xr:uid="{00000000-0005-0000-0000-0000F7030000}"/>
    <cellStyle name="dp*NumberLine 2 3 2 3 2" xfId="12748" xr:uid="{00000000-0005-0000-0000-0000F7030000}"/>
    <cellStyle name="dp*NumberLine 2 3 2 3 2 2" xfId="31174" xr:uid="{00000000-0005-0000-0000-0000F7030000}"/>
    <cellStyle name="dp*NumberLine 2 3 2 3 2 3" xfId="49537" xr:uid="{00000000-0005-0000-0000-0000F7030000}"/>
    <cellStyle name="dp*NumberLine 2 3 2 3 3" xfId="17059" xr:uid="{00000000-0005-0000-0000-0000F7030000}"/>
    <cellStyle name="dp*NumberLine 2 3 2 3 3 2" xfId="35407" xr:uid="{00000000-0005-0000-0000-0000F7030000}"/>
    <cellStyle name="dp*NumberLine 2 3 2 3 3 3" xfId="53770" xr:uid="{00000000-0005-0000-0000-0000F7030000}"/>
    <cellStyle name="dp*NumberLine 2 3 2 3 4" xfId="26192" xr:uid="{00000000-0005-0000-0000-0000F7030000}"/>
    <cellStyle name="dp*NumberLine 2 3 2 3 4 2" xfId="44561" xr:uid="{00000000-0005-0000-0000-0000F7030000}"/>
    <cellStyle name="dp*NumberLine 2 3 2 3 5" xfId="22485" xr:uid="{00000000-0005-0000-0000-0000F7030000}"/>
    <cellStyle name="dp*NumberLine 2 3 2 3 6" xfId="40854" xr:uid="{00000000-0005-0000-0000-0000F7030000}"/>
    <cellStyle name="dp*NumberLine 2 3 2 4" xfId="10171" xr:uid="{00000000-0005-0000-0000-0000F7030000}"/>
    <cellStyle name="dp*NumberLine 2 3 2 4 2" xfId="14228" xr:uid="{00000000-0005-0000-0000-0000F7030000}"/>
    <cellStyle name="dp*NumberLine 2 3 2 4 2 2" xfId="32644" xr:uid="{00000000-0005-0000-0000-0000F7030000}"/>
    <cellStyle name="dp*NumberLine 2 3 2 4 2 3" xfId="51007" xr:uid="{00000000-0005-0000-0000-0000F7030000}"/>
    <cellStyle name="dp*NumberLine 2 3 2 4 3" xfId="28882" xr:uid="{00000000-0005-0000-0000-0000F7030000}"/>
    <cellStyle name="dp*NumberLine 2 3 2 4 3 2" xfId="47245" xr:uid="{00000000-0005-0000-0000-0000F7030000}"/>
    <cellStyle name="dp*NumberLine 2 3 2 4 4" xfId="19685" xr:uid="{00000000-0005-0000-0000-0000F7030000}"/>
    <cellStyle name="dp*NumberLine 2 3 2 4 5" xfId="38091" xr:uid="{00000000-0005-0000-0000-0000F7030000}"/>
    <cellStyle name="dp*NumberLine 2 3 2 5" xfId="9361" xr:uid="{00000000-0005-0000-0000-0000F7030000}"/>
    <cellStyle name="dp*NumberLine 2 3 2 5 2" xfId="28080" xr:uid="{00000000-0005-0000-0000-0000F7030000}"/>
    <cellStyle name="dp*NumberLine 2 3 2 5 3" xfId="46443" xr:uid="{00000000-0005-0000-0000-0000F7030000}"/>
    <cellStyle name="dp*NumberLine 2 3 2 6" xfId="13417" xr:uid="{00000000-0005-0000-0000-0000F7030000}"/>
    <cellStyle name="dp*NumberLine 2 3 2 6 2" xfId="31838" xr:uid="{00000000-0005-0000-0000-0000F7030000}"/>
    <cellStyle name="dp*NumberLine 2 3 2 6 3" xfId="50201" xr:uid="{00000000-0005-0000-0000-0000F7030000}"/>
    <cellStyle name="dp*NumberLine 2 3 2 7" xfId="23366" xr:uid="{00000000-0005-0000-0000-0000F7030000}"/>
    <cellStyle name="dp*NumberLine 2 3 2 7 2" xfId="41735" xr:uid="{00000000-0005-0000-0000-0000F7030000}"/>
    <cellStyle name="dp*NumberLine 2 3 2 8" xfId="18443" xr:uid="{00000000-0005-0000-0000-0000F7030000}"/>
    <cellStyle name="dp*NumberLine 2 3 2 9" xfId="36849" xr:uid="{00000000-0005-0000-0000-0000F7030000}"/>
    <cellStyle name="dp*NumberLine 2 3 3" xfId="4455" xr:uid="{00000000-0005-0000-0000-0000F7030000}"/>
    <cellStyle name="dp*NumberLine 2 3 3 2" xfId="11052" xr:uid="{00000000-0005-0000-0000-0000F7030000}"/>
    <cellStyle name="dp*NumberLine 2 3 3 2 2" xfId="29672" xr:uid="{00000000-0005-0000-0000-0000F7030000}"/>
    <cellStyle name="dp*NumberLine 2 3 3 2 3" xfId="48035" xr:uid="{00000000-0005-0000-0000-0000F7030000}"/>
    <cellStyle name="dp*NumberLine 2 3 3 3" xfId="15189" xr:uid="{00000000-0005-0000-0000-0000F7030000}"/>
    <cellStyle name="dp*NumberLine 2 3 3 3 2" xfId="33585" xr:uid="{00000000-0005-0000-0000-0000F7030000}"/>
    <cellStyle name="dp*NumberLine 2 3 3 3 3" xfId="51948" xr:uid="{00000000-0005-0000-0000-0000F7030000}"/>
    <cellStyle name="dp*NumberLine 2 3 3 4" xfId="24316" xr:uid="{00000000-0005-0000-0000-0000F7030000}"/>
    <cellStyle name="dp*NumberLine 2 3 3 4 2" xfId="42685" xr:uid="{00000000-0005-0000-0000-0000F7030000}"/>
    <cellStyle name="dp*NumberLine 2 3 3 5" xfId="20640" xr:uid="{00000000-0005-0000-0000-0000F7030000}"/>
    <cellStyle name="dp*NumberLine 2 3 3 6" xfId="39032" xr:uid="{00000000-0005-0000-0000-0000F7030000}"/>
    <cellStyle name="dp*NumberLine 2 3 4" xfId="4178" xr:uid="{00000000-0005-0000-0000-0000F7030000}"/>
    <cellStyle name="dp*NumberLine 2 3 4 2" xfId="10830" xr:uid="{00000000-0005-0000-0000-0000F7030000}"/>
    <cellStyle name="dp*NumberLine 2 3 4 2 2" xfId="29502" xr:uid="{00000000-0005-0000-0000-0000F7030000}"/>
    <cellStyle name="dp*NumberLine 2 3 4 2 3" xfId="47865" xr:uid="{00000000-0005-0000-0000-0000F7030000}"/>
    <cellStyle name="dp*NumberLine 2 3 4 3" xfId="14924" xr:uid="{00000000-0005-0000-0000-0000F7030000}"/>
    <cellStyle name="dp*NumberLine 2 3 4 3 2" xfId="33328" xr:uid="{00000000-0005-0000-0000-0000F7030000}"/>
    <cellStyle name="dp*NumberLine 2 3 4 3 3" xfId="51691" xr:uid="{00000000-0005-0000-0000-0000F7030000}"/>
    <cellStyle name="dp*NumberLine 2 3 4 4" xfId="24057" xr:uid="{00000000-0005-0000-0000-0000F7030000}"/>
    <cellStyle name="dp*NumberLine 2 3 4 4 2" xfId="42426" xr:uid="{00000000-0005-0000-0000-0000F7030000}"/>
    <cellStyle name="dp*NumberLine 2 3 4 5" xfId="20377" xr:uid="{00000000-0005-0000-0000-0000F7030000}"/>
    <cellStyle name="dp*NumberLine 2 3 4 6" xfId="38775" xr:uid="{00000000-0005-0000-0000-0000F7030000}"/>
    <cellStyle name="dp*NumberLine 2 3 5" xfId="9457" xr:uid="{00000000-0005-0000-0000-0000F7030000}"/>
    <cellStyle name="dp*NumberLine 2 3 5 2" xfId="13514" xr:uid="{00000000-0005-0000-0000-0000F7030000}"/>
    <cellStyle name="dp*NumberLine 2 3 5 2 2" xfId="31935" xr:uid="{00000000-0005-0000-0000-0000F7030000}"/>
    <cellStyle name="dp*NumberLine 2 3 5 2 3" xfId="50298" xr:uid="{00000000-0005-0000-0000-0000F7030000}"/>
    <cellStyle name="dp*NumberLine 2 3 5 3" xfId="28174" xr:uid="{00000000-0005-0000-0000-0000F7030000}"/>
    <cellStyle name="dp*NumberLine 2 3 5 3 2" xfId="46537" xr:uid="{00000000-0005-0000-0000-0000F7030000}"/>
    <cellStyle name="dp*NumberLine 2 3 5 4" xfId="18548" xr:uid="{00000000-0005-0000-0000-0000F7030000}"/>
    <cellStyle name="dp*NumberLine 2 3 5 5" xfId="36957" xr:uid="{00000000-0005-0000-0000-0000F7030000}"/>
    <cellStyle name="dp*NumberLine 2 3 6" xfId="7726" xr:uid="{00000000-0005-0000-0000-0000F7030000}"/>
    <cellStyle name="dp*NumberLine 2 3 6 2" xfId="27003" xr:uid="{00000000-0005-0000-0000-0000F7030000}"/>
    <cellStyle name="dp*NumberLine 2 3 6 3" xfId="45368" xr:uid="{00000000-0005-0000-0000-0000F7030000}"/>
    <cellStyle name="dp*NumberLine 2 3 7" xfId="7596" xr:uid="{00000000-0005-0000-0000-0000F7030000}"/>
    <cellStyle name="dp*NumberLine 2 3 7 2" xfId="26900" xr:uid="{00000000-0005-0000-0000-0000F7030000}"/>
    <cellStyle name="dp*NumberLine 2 3 7 3" xfId="45265" xr:uid="{00000000-0005-0000-0000-0000F7030000}"/>
    <cellStyle name="dp*NumberLine 2 3 8" xfId="19283" xr:uid="{00000000-0005-0000-0000-0000F7030000}"/>
    <cellStyle name="dp*NumberLine 2 3 8 2" xfId="37690" xr:uid="{00000000-0005-0000-0000-0000F7030000}"/>
    <cellStyle name="dp*NumberLine 2 3 9" xfId="7556" xr:uid="{00000000-0005-0000-0000-0000F7030000}"/>
    <cellStyle name="dp*NumberLine 2 4" xfId="1905" xr:uid="{00000000-0005-0000-0000-0000F8030000}"/>
    <cellStyle name="dp*NumberLine 2 4 10" xfId="7353" xr:uid="{00000000-0005-0000-0000-0000F8030000}"/>
    <cellStyle name="dp*NumberLine 2 4 2" xfId="3723" xr:uid="{00000000-0005-0000-0000-0000F8030000}"/>
    <cellStyle name="dp*NumberLine 2 4 2 2" xfId="5896" xr:uid="{00000000-0005-0000-0000-0000F8030000}"/>
    <cellStyle name="dp*NumberLine 2 4 2 2 2" xfId="12260" xr:uid="{00000000-0005-0000-0000-0000F8030000}"/>
    <cellStyle name="dp*NumberLine 2 4 2 2 2 2" xfId="30707" xr:uid="{00000000-0005-0000-0000-0000F8030000}"/>
    <cellStyle name="dp*NumberLine 2 4 2 2 2 3" xfId="49070" xr:uid="{00000000-0005-0000-0000-0000F8030000}"/>
    <cellStyle name="dp*NumberLine 2 4 2 2 3" xfId="16586" xr:uid="{00000000-0005-0000-0000-0000F8030000}"/>
    <cellStyle name="dp*NumberLine 2 4 2 2 3 2" xfId="34958" xr:uid="{00000000-0005-0000-0000-0000F8030000}"/>
    <cellStyle name="dp*NumberLine 2 4 2 2 3 3" xfId="53321" xr:uid="{00000000-0005-0000-0000-0000F8030000}"/>
    <cellStyle name="dp*NumberLine 2 4 2 2 4" xfId="25705" xr:uid="{00000000-0005-0000-0000-0000F8030000}"/>
    <cellStyle name="dp*NumberLine 2 4 2 2 4 2" xfId="44074" xr:uid="{00000000-0005-0000-0000-0000F8030000}"/>
    <cellStyle name="dp*NumberLine 2 4 2 2 5" xfId="22026" xr:uid="{00000000-0005-0000-0000-0000F8030000}"/>
    <cellStyle name="dp*NumberLine 2 4 2 2 6" xfId="40405" xr:uid="{00000000-0005-0000-0000-0000F8030000}"/>
    <cellStyle name="dp*NumberLine 2 4 2 3" xfId="6722" xr:uid="{00000000-0005-0000-0000-0000F8030000}"/>
    <cellStyle name="dp*NumberLine 2 4 2 3 2" xfId="13013" xr:uid="{00000000-0005-0000-0000-0000F8030000}"/>
    <cellStyle name="dp*NumberLine 2 4 2 3 2 2" xfId="31439" xr:uid="{00000000-0005-0000-0000-0000F8030000}"/>
    <cellStyle name="dp*NumberLine 2 4 2 3 2 3" xfId="49802" xr:uid="{00000000-0005-0000-0000-0000F8030000}"/>
    <cellStyle name="dp*NumberLine 2 4 2 3 3" xfId="17324" xr:uid="{00000000-0005-0000-0000-0000F8030000}"/>
    <cellStyle name="dp*NumberLine 2 4 2 3 3 2" xfId="35672" xr:uid="{00000000-0005-0000-0000-0000F8030000}"/>
    <cellStyle name="dp*NumberLine 2 4 2 3 3 3" xfId="54035" xr:uid="{00000000-0005-0000-0000-0000F8030000}"/>
    <cellStyle name="dp*NumberLine 2 4 2 3 4" xfId="26457" xr:uid="{00000000-0005-0000-0000-0000F8030000}"/>
    <cellStyle name="dp*NumberLine 2 4 2 3 4 2" xfId="44826" xr:uid="{00000000-0005-0000-0000-0000F8030000}"/>
    <cellStyle name="dp*NumberLine 2 4 2 3 5" xfId="22750" xr:uid="{00000000-0005-0000-0000-0000F8030000}"/>
    <cellStyle name="dp*NumberLine 2 4 2 3 6" xfId="41119" xr:uid="{00000000-0005-0000-0000-0000F8030000}"/>
    <cellStyle name="dp*NumberLine 2 4 2 4" xfId="10436" xr:uid="{00000000-0005-0000-0000-0000F8030000}"/>
    <cellStyle name="dp*NumberLine 2 4 2 4 2" xfId="14493" xr:uid="{00000000-0005-0000-0000-0000F8030000}"/>
    <cellStyle name="dp*NumberLine 2 4 2 4 2 2" xfId="32909" xr:uid="{00000000-0005-0000-0000-0000F8030000}"/>
    <cellStyle name="dp*NumberLine 2 4 2 4 2 3" xfId="51272" xr:uid="{00000000-0005-0000-0000-0000F8030000}"/>
    <cellStyle name="dp*NumberLine 2 4 2 4 3" xfId="29147" xr:uid="{00000000-0005-0000-0000-0000F8030000}"/>
    <cellStyle name="dp*NumberLine 2 4 2 4 3 2" xfId="47510" xr:uid="{00000000-0005-0000-0000-0000F8030000}"/>
    <cellStyle name="dp*NumberLine 2 4 2 4 4" xfId="19950" xr:uid="{00000000-0005-0000-0000-0000F8030000}"/>
    <cellStyle name="dp*NumberLine 2 4 2 4 5" xfId="38356" xr:uid="{00000000-0005-0000-0000-0000F8030000}"/>
    <cellStyle name="dp*NumberLine 2 4 2 5" xfId="9652" xr:uid="{00000000-0005-0000-0000-0000F8030000}"/>
    <cellStyle name="dp*NumberLine 2 4 2 5 2" xfId="28368" xr:uid="{00000000-0005-0000-0000-0000F8030000}"/>
    <cellStyle name="dp*NumberLine 2 4 2 5 3" xfId="46731" xr:uid="{00000000-0005-0000-0000-0000F8030000}"/>
    <cellStyle name="dp*NumberLine 2 4 2 6" xfId="13709" xr:uid="{00000000-0005-0000-0000-0000F8030000}"/>
    <cellStyle name="dp*NumberLine 2 4 2 6 2" xfId="32130" xr:uid="{00000000-0005-0000-0000-0000F8030000}"/>
    <cellStyle name="dp*NumberLine 2 4 2 6 3" xfId="50493" xr:uid="{00000000-0005-0000-0000-0000F8030000}"/>
    <cellStyle name="dp*NumberLine 2 4 2 7" xfId="23631" xr:uid="{00000000-0005-0000-0000-0000F8030000}"/>
    <cellStyle name="dp*NumberLine 2 4 2 7 2" xfId="42000" xr:uid="{00000000-0005-0000-0000-0000F8030000}"/>
    <cellStyle name="dp*NumberLine 2 4 2 8" xfId="18777" xr:uid="{00000000-0005-0000-0000-0000F8030000}"/>
    <cellStyle name="dp*NumberLine 2 4 2 9" xfId="37186" xr:uid="{00000000-0005-0000-0000-0000F8030000}"/>
    <cellStyle name="dp*NumberLine 2 4 3" xfId="4816" xr:uid="{00000000-0005-0000-0000-0000F8030000}"/>
    <cellStyle name="dp*NumberLine 2 4 3 2" xfId="11377" xr:uid="{00000000-0005-0000-0000-0000F8030000}"/>
    <cellStyle name="dp*NumberLine 2 4 3 2 2" xfId="29969" xr:uid="{00000000-0005-0000-0000-0000F8030000}"/>
    <cellStyle name="dp*NumberLine 2 4 3 2 3" xfId="48332" xr:uid="{00000000-0005-0000-0000-0000F8030000}"/>
    <cellStyle name="dp*NumberLine 2 4 3 3" xfId="15542" xr:uid="{00000000-0005-0000-0000-0000F8030000}"/>
    <cellStyle name="dp*NumberLine 2 4 3 3 2" xfId="33935" xr:uid="{00000000-0005-0000-0000-0000F8030000}"/>
    <cellStyle name="dp*NumberLine 2 4 3 3 3" xfId="52298" xr:uid="{00000000-0005-0000-0000-0000F8030000}"/>
    <cellStyle name="dp*NumberLine 2 4 3 4" xfId="24666" xr:uid="{00000000-0005-0000-0000-0000F8030000}"/>
    <cellStyle name="dp*NumberLine 2 4 3 4 2" xfId="43035" xr:uid="{00000000-0005-0000-0000-0000F8030000}"/>
    <cellStyle name="dp*NumberLine 2 4 3 5" xfId="20993" xr:uid="{00000000-0005-0000-0000-0000F8030000}"/>
    <cellStyle name="dp*NumberLine 2 4 3 6" xfId="39382" xr:uid="{00000000-0005-0000-0000-0000F8030000}"/>
    <cellStyle name="dp*NumberLine 2 4 4" xfId="4580" xr:uid="{00000000-0005-0000-0000-0000F8030000}"/>
    <cellStyle name="dp*NumberLine 2 4 4 2" xfId="11165" xr:uid="{00000000-0005-0000-0000-0000F8030000}"/>
    <cellStyle name="dp*NumberLine 2 4 4 2 2" xfId="29779" xr:uid="{00000000-0005-0000-0000-0000F8030000}"/>
    <cellStyle name="dp*NumberLine 2 4 4 2 3" xfId="48142" xr:uid="{00000000-0005-0000-0000-0000F8030000}"/>
    <cellStyle name="dp*NumberLine 2 4 4 3" xfId="15306" xr:uid="{00000000-0005-0000-0000-0000F8030000}"/>
    <cellStyle name="dp*NumberLine 2 4 4 3 2" xfId="33700" xr:uid="{00000000-0005-0000-0000-0000F8030000}"/>
    <cellStyle name="dp*NumberLine 2 4 4 3 3" xfId="52063" xr:uid="{00000000-0005-0000-0000-0000F8030000}"/>
    <cellStyle name="dp*NumberLine 2 4 4 4" xfId="24431" xr:uid="{00000000-0005-0000-0000-0000F8030000}"/>
    <cellStyle name="dp*NumberLine 2 4 4 4 2" xfId="42800" xr:uid="{00000000-0005-0000-0000-0000F8030000}"/>
    <cellStyle name="dp*NumberLine 2 4 4 5" xfId="20757" xr:uid="{00000000-0005-0000-0000-0000F8030000}"/>
    <cellStyle name="dp*NumberLine 2 4 4 6" xfId="39147" xr:uid="{00000000-0005-0000-0000-0000F8030000}"/>
    <cellStyle name="dp*NumberLine 2 4 5" xfId="9928" xr:uid="{00000000-0005-0000-0000-0000F8030000}"/>
    <cellStyle name="dp*NumberLine 2 4 5 2" xfId="13985" xr:uid="{00000000-0005-0000-0000-0000F8030000}"/>
    <cellStyle name="dp*NumberLine 2 4 5 2 2" xfId="32402" xr:uid="{00000000-0005-0000-0000-0000F8030000}"/>
    <cellStyle name="dp*NumberLine 2 4 5 2 3" xfId="50765" xr:uid="{00000000-0005-0000-0000-0000F8030000}"/>
    <cellStyle name="dp*NumberLine 2 4 5 3" xfId="28640" xr:uid="{00000000-0005-0000-0000-0000F8030000}"/>
    <cellStyle name="dp*NumberLine 2 4 5 3 2" xfId="47003" xr:uid="{00000000-0005-0000-0000-0000F8030000}"/>
    <cellStyle name="dp*NumberLine 2 4 5 4" xfId="19234" xr:uid="{00000000-0005-0000-0000-0000F8030000}"/>
    <cellStyle name="dp*NumberLine 2 4 5 5" xfId="37641" xr:uid="{00000000-0005-0000-0000-0000F8030000}"/>
    <cellStyle name="dp*NumberLine 2 4 6" xfId="8104" xr:uid="{00000000-0005-0000-0000-0000F8030000}"/>
    <cellStyle name="dp*NumberLine 2 4 6 2" xfId="27309" xr:uid="{00000000-0005-0000-0000-0000F8030000}"/>
    <cellStyle name="dp*NumberLine 2 4 6 3" xfId="45674" xr:uid="{00000000-0005-0000-0000-0000F8030000}"/>
    <cellStyle name="dp*NumberLine 2 4 7" xfId="7539" xr:uid="{00000000-0005-0000-0000-0000F8030000}"/>
    <cellStyle name="dp*NumberLine 2 4 7 2" xfId="26865" xr:uid="{00000000-0005-0000-0000-0000F8030000}"/>
    <cellStyle name="dp*NumberLine 2 4 7 3" xfId="45230" xr:uid="{00000000-0005-0000-0000-0000F8030000}"/>
    <cellStyle name="dp*NumberLine 2 4 8" xfId="18222" xr:uid="{00000000-0005-0000-0000-0000F8030000}"/>
    <cellStyle name="dp*NumberLine 2 4 8 2" xfId="36628" xr:uid="{00000000-0005-0000-0000-0000F8030000}"/>
    <cellStyle name="dp*NumberLine 2 4 9" xfId="7078" xr:uid="{00000000-0005-0000-0000-0000F8030000}"/>
    <cellStyle name="dp*NumberLine 2 5" xfId="2320" xr:uid="{00000000-0005-0000-0000-0000F9030000}"/>
    <cellStyle name="dp*NumberLine 2 5 10" xfId="14696" xr:uid="{00000000-0005-0000-0000-0000F9030000}"/>
    <cellStyle name="dp*NumberLine 2 5 2" xfId="3768" xr:uid="{00000000-0005-0000-0000-0000F9030000}"/>
    <cellStyle name="dp*NumberLine 2 5 2 2" xfId="5941" xr:uid="{00000000-0005-0000-0000-0000F9030000}"/>
    <cellStyle name="dp*NumberLine 2 5 2 2 2" xfId="12305" xr:uid="{00000000-0005-0000-0000-0000F9030000}"/>
    <cellStyle name="dp*NumberLine 2 5 2 2 2 2" xfId="30752" xr:uid="{00000000-0005-0000-0000-0000F9030000}"/>
    <cellStyle name="dp*NumberLine 2 5 2 2 2 3" xfId="49115" xr:uid="{00000000-0005-0000-0000-0000F9030000}"/>
    <cellStyle name="dp*NumberLine 2 5 2 2 3" xfId="16631" xr:uid="{00000000-0005-0000-0000-0000F9030000}"/>
    <cellStyle name="dp*NumberLine 2 5 2 2 3 2" xfId="35003" xr:uid="{00000000-0005-0000-0000-0000F9030000}"/>
    <cellStyle name="dp*NumberLine 2 5 2 2 3 3" xfId="53366" xr:uid="{00000000-0005-0000-0000-0000F9030000}"/>
    <cellStyle name="dp*NumberLine 2 5 2 2 4" xfId="25750" xr:uid="{00000000-0005-0000-0000-0000F9030000}"/>
    <cellStyle name="dp*NumberLine 2 5 2 2 4 2" xfId="44119" xr:uid="{00000000-0005-0000-0000-0000F9030000}"/>
    <cellStyle name="dp*NumberLine 2 5 2 2 5" xfId="22071" xr:uid="{00000000-0005-0000-0000-0000F9030000}"/>
    <cellStyle name="dp*NumberLine 2 5 2 2 6" xfId="40450" xr:uid="{00000000-0005-0000-0000-0000F9030000}"/>
    <cellStyle name="dp*NumberLine 2 5 2 3" xfId="6767" xr:uid="{00000000-0005-0000-0000-0000F9030000}"/>
    <cellStyle name="dp*NumberLine 2 5 2 3 2" xfId="13058" xr:uid="{00000000-0005-0000-0000-0000F9030000}"/>
    <cellStyle name="dp*NumberLine 2 5 2 3 2 2" xfId="31484" xr:uid="{00000000-0005-0000-0000-0000F9030000}"/>
    <cellStyle name="dp*NumberLine 2 5 2 3 2 3" xfId="49847" xr:uid="{00000000-0005-0000-0000-0000F9030000}"/>
    <cellStyle name="dp*NumberLine 2 5 2 3 3" xfId="17369" xr:uid="{00000000-0005-0000-0000-0000F9030000}"/>
    <cellStyle name="dp*NumberLine 2 5 2 3 3 2" xfId="35717" xr:uid="{00000000-0005-0000-0000-0000F9030000}"/>
    <cellStyle name="dp*NumberLine 2 5 2 3 3 3" xfId="54080" xr:uid="{00000000-0005-0000-0000-0000F9030000}"/>
    <cellStyle name="dp*NumberLine 2 5 2 3 4" xfId="26502" xr:uid="{00000000-0005-0000-0000-0000F9030000}"/>
    <cellStyle name="dp*NumberLine 2 5 2 3 4 2" xfId="44871" xr:uid="{00000000-0005-0000-0000-0000F9030000}"/>
    <cellStyle name="dp*NumberLine 2 5 2 3 5" xfId="22795" xr:uid="{00000000-0005-0000-0000-0000F9030000}"/>
    <cellStyle name="dp*NumberLine 2 5 2 3 6" xfId="41164" xr:uid="{00000000-0005-0000-0000-0000F9030000}"/>
    <cellStyle name="dp*NumberLine 2 5 2 4" xfId="10481" xr:uid="{00000000-0005-0000-0000-0000F9030000}"/>
    <cellStyle name="dp*NumberLine 2 5 2 4 2" xfId="14538" xr:uid="{00000000-0005-0000-0000-0000F9030000}"/>
    <cellStyle name="dp*NumberLine 2 5 2 4 2 2" xfId="32954" xr:uid="{00000000-0005-0000-0000-0000F9030000}"/>
    <cellStyle name="dp*NumberLine 2 5 2 4 2 3" xfId="51317" xr:uid="{00000000-0005-0000-0000-0000F9030000}"/>
    <cellStyle name="dp*NumberLine 2 5 2 4 3" xfId="29192" xr:uid="{00000000-0005-0000-0000-0000F9030000}"/>
    <cellStyle name="dp*NumberLine 2 5 2 4 3 2" xfId="47555" xr:uid="{00000000-0005-0000-0000-0000F9030000}"/>
    <cellStyle name="dp*NumberLine 2 5 2 4 4" xfId="19995" xr:uid="{00000000-0005-0000-0000-0000F9030000}"/>
    <cellStyle name="dp*NumberLine 2 5 2 4 5" xfId="38401" xr:uid="{00000000-0005-0000-0000-0000F9030000}"/>
    <cellStyle name="dp*NumberLine 2 5 2 5" xfId="9752" xr:uid="{00000000-0005-0000-0000-0000F9030000}"/>
    <cellStyle name="dp*NumberLine 2 5 2 5 2" xfId="28467" xr:uid="{00000000-0005-0000-0000-0000F9030000}"/>
    <cellStyle name="dp*NumberLine 2 5 2 5 3" xfId="46830" xr:uid="{00000000-0005-0000-0000-0000F9030000}"/>
    <cellStyle name="dp*NumberLine 2 5 2 6" xfId="13809" xr:uid="{00000000-0005-0000-0000-0000F9030000}"/>
    <cellStyle name="dp*NumberLine 2 5 2 6 2" xfId="32229" xr:uid="{00000000-0005-0000-0000-0000F9030000}"/>
    <cellStyle name="dp*NumberLine 2 5 2 6 3" xfId="50592" xr:uid="{00000000-0005-0000-0000-0000F9030000}"/>
    <cellStyle name="dp*NumberLine 2 5 2 7" xfId="23676" xr:uid="{00000000-0005-0000-0000-0000F9030000}"/>
    <cellStyle name="dp*NumberLine 2 5 2 7 2" xfId="42045" xr:uid="{00000000-0005-0000-0000-0000F9030000}"/>
    <cellStyle name="dp*NumberLine 2 5 2 8" xfId="18934" xr:uid="{00000000-0005-0000-0000-0000F9030000}"/>
    <cellStyle name="dp*NumberLine 2 5 2 9" xfId="37343" xr:uid="{00000000-0005-0000-0000-0000F9030000}"/>
    <cellStyle name="dp*NumberLine 2 5 3" xfId="4968" xr:uid="{00000000-0005-0000-0000-0000F9030000}"/>
    <cellStyle name="dp*NumberLine 2 5 3 2" xfId="11498" xr:uid="{00000000-0005-0000-0000-0000F9030000}"/>
    <cellStyle name="dp*NumberLine 2 5 3 2 2" xfId="30071" xr:uid="{00000000-0005-0000-0000-0000F9030000}"/>
    <cellStyle name="dp*NumberLine 2 5 3 2 3" xfId="48434" xr:uid="{00000000-0005-0000-0000-0000F9030000}"/>
    <cellStyle name="dp*NumberLine 2 5 3 3" xfId="15684" xr:uid="{00000000-0005-0000-0000-0000F9030000}"/>
    <cellStyle name="dp*NumberLine 2 5 3 3 2" xfId="34073" xr:uid="{00000000-0005-0000-0000-0000F9030000}"/>
    <cellStyle name="dp*NumberLine 2 5 3 3 3" xfId="52436" xr:uid="{00000000-0005-0000-0000-0000F9030000}"/>
    <cellStyle name="dp*NumberLine 2 5 3 4" xfId="24808" xr:uid="{00000000-0005-0000-0000-0000F9030000}"/>
    <cellStyle name="dp*NumberLine 2 5 3 4 2" xfId="43177" xr:uid="{00000000-0005-0000-0000-0000F9030000}"/>
    <cellStyle name="dp*NumberLine 2 5 3 5" xfId="21133" xr:uid="{00000000-0005-0000-0000-0000F9030000}"/>
    <cellStyle name="dp*NumberLine 2 5 3 6" xfId="39520" xr:uid="{00000000-0005-0000-0000-0000F9030000}"/>
    <cellStyle name="dp*NumberLine 2 5 4" xfId="6108" xr:uid="{00000000-0005-0000-0000-0000F9030000}"/>
    <cellStyle name="dp*NumberLine 2 5 4 2" xfId="12462" xr:uid="{00000000-0005-0000-0000-0000F9030000}"/>
    <cellStyle name="dp*NumberLine 2 5 4 2 2" xfId="30902" xr:uid="{00000000-0005-0000-0000-0000F9030000}"/>
    <cellStyle name="dp*NumberLine 2 5 4 2 3" xfId="49265" xr:uid="{00000000-0005-0000-0000-0000F9030000}"/>
    <cellStyle name="dp*NumberLine 2 5 4 3" xfId="16781" xr:uid="{00000000-0005-0000-0000-0000F9030000}"/>
    <cellStyle name="dp*NumberLine 2 5 4 3 2" xfId="35150" xr:uid="{00000000-0005-0000-0000-0000F9030000}"/>
    <cellStyle name="dp*NumberLine 2 5 4 3 3" xfId="53513" xr:uid="{00000000-0005-0000-0000-0000F9030000}"/>
    <cellStyle name="dp*NumberLine 2 5 4 4" xfId="25904" xr:uid="{00000000-0005-0000-0000-0000F9030000}"/>
    <cellStyle name="dp*NumberLine 2 5 4 4 2" xfId="44273" xr:uid="{00000000-0005-0000-0000-0000F9030000}"/>
    <cellStyle name="dp*NumberLine 2 5 4 5" xfId="22220" xr:uid="{00000000-0005-0000-0000-0000F9030000}"/>
    <cellStyle name="dp*NumberLine 2 5 4 6" xfId="40597" xr:uid="{00000000-0005-0000-0000-0000F9030000}"/>
    <cellStyle name="dp*NumberLine 2 5 5" xfId="9873" xr:uid="{00000000-0005-0000-0000-0000F9030000}"/>
    <cellStyle name="dp*NumberLine 2 5 5 2" xfId="13931" xr:uid="{00000000-0005-0000-0000-0000F9030000}"/>
    <cellStyle name="dp*NumberLine 2 5 5 2 2" xfId="32349" xr:uid="{00000000-0005-0000-0000-0000F9030000}"/>
    <cellStyle name="dp*NumberLine 2 5 5 2 3" xfId="50712" xr:uid="{00000000-0005-0000-0000-0000F9030000}"/>
    <cellStyle name="dp*NumberLine 2 5 5 3" xfId="28587" xr:uid="{00000000-0005-0000-0000-0000F9030000}"/>
    <cellStyle name="dp*NumberLine 2 5 5 3 2" xfId="46950" xr:uid="{00000000-0005-0000-0000-0000F9030000}"/>
    <cellStyle name="dp*NumberLine 2 5 5 4" xfId="19132" xr:uid="{00000000-0005-0000-0000-0000F9030000}"/>
    <cellStyle name="dp*NumberLine 2 5 5 5" xfId="37540" xr:uid="{00000000-0005-0000-0000-0000F9030000}"/>
    <cellStyle name="dp*NumberLine 2 5 6" xfId="8361" xr:uid="{00000000-0005-0000-0000-0000F9030000}"/>
    <cellStyle name="dp*NumberLine 2 5 6 2" xfId="27428" xr:uid="{00000000-0005-0000-0000-0000F9030000}"/>
    <cellStyle name="dp*NumberLine 2 5 6 3" xfId="45792" xr:uid="{00000000-0005-0000-0000-0000F9030000}"/>
    <cellStyle name="dp*NumberLine 2 5 7" xfId="11457" xr:uid="{00000000-0005-0000-0000-0000F9030000}"/>
    <cellStyle name="dp*NumberLine 2 5 7 2" xfId="30045" xr:uid="{00000000-0005-0000-0000-0000F9030000}"/>
    <cellStyle name="dp*NumberLine 2 5 7 3" xfId="48408" xr:uid="{00000000-0005-0000-0000-0000F9030000}"/>
    <cellStyle name="dp*NumberLine 2 5 8" xfId="19317" xr:uid="{00000000-0005-0000-0000-0000F9030000}"/>
    <cellStyle name="dp*NumberLine 2 5 8 2" xfId="37724" xr:uid="{00000000-0005-0000-0000-0000F9030000}"/>
    <cellStyle name="dp*NumberLine 2 5 9" xfId="7625" xr:uid="{00000000-0005-0000-0000-0000F9030000}"/>
    <cellStyle name="dp*NumberLine 2 6" xfId="3344" xr:uid="{00000000-0005-0000-0000-0000EC030000}"/>
    <cellStyle name="dp*NumberLine 2 6 2" xfId="5519" xr:uid="{00000000-0005-0000-0000-0000EC030000}"/>
    <cellStyle name="dp*NumberLine 2 6 2 2" xfId="11883" xr:uid="{00000000-0005-0000-0000-0000EC030000}"/>
    <cellStyle name="dp*NumberLine 2 6 2 2 2" xfId="30330" xr:uid="{00000000-0005-0000-0000-0000EC030000}"/>
    <cellStyle name="dp*NumberLine 2 6 2 2 3" xfId="48693" xr:uid="{00000000-0005-0000-0000-0000EC030000}"/>
    <cellStyle name="dp*NumberLine 2 6 2 3" xfId="16209" xr:uid="{00000000-0005-0000-0000-0000EC030000}"/>
    <cellStyle name="dp*NumberLine 2 6 2 3 2" xfId="34581" xr:uid="{00000000-0005-0000-0000-0000EC030000}"/>
    <cellStyle name="dp*NumberLine 2 6 2 3 3" xfId="52944" xr:uid="{00000000-0005-0000-0000-0000EC030000}"/>
    <cellStyle name="dp*NumberLine 2 6 2 4" xfId="25328" xr:uid="{00000000-0005-0000-0000-0000EC030000}"/>
    <cellStyle name="dp*NumberLine 2 6 2 4 2" xfId="43697" xr:uid="{00000000-0005-0000-0000-0000EC030000}"/>
    <cellStyle name="dp*NumberLine 2 6 2 5" xfId="21649" xr:uid="{00000000-0005-0000-0000-0000EC030000}"/>
    <cellStyle name="dp*NumberLine 2 6 2 6" xfId="40028" xr:uid="{00000000-0005-0000-0000-0000EC030000}"/>
    <cellStyle name="dp*NumberLine 2 6 3" xfId="6343" xr:uid="{00000000-0005-0000-0000-0000EC030000}"/>
    <cellStyle name="dp*NumberLine 2 6 3 2" xfId="12634" xr:uid="{00000000-0005-0000-0000-0000EC030000}"/>
    <cellStyle name="dp*NumberLine 2 6 3 2 2" xfId="31060" xr:uid="{00000000-0005-0000-0000-0000EC030000}"/>
    <cellStyle name="dp*NumberLine 2 6 3 2 3" xfId="49423" xr:uid="{00000000-0005-0000-0000-0000EC030000}"/>
    <cellStyle name="dp*NumberLine 2 6 3 3" xfId="16945" xr:uid="{00000000-0005-0000-0000-0000EC030000}"/>
    <cellStyle name="dp*NumberLine 2 6 3 3 2" xfId="35293" xr:uid="{00000000-0005-0000-0000-0000EC030000}"/>
    <cellStyle name="dp*NumberLine 2 6 3 3 3" xfId="53656" xr:uid="{00000000-0005-0000-0000-0000EC030000}"/>
    <cellStyle name="dp*NumberLine 2 6 3 4" xfId="26078" xr:uid="{00000000-0005-0000-0000-0000EC030000}"/>
    <cellStyle name="dp*NumberLine 2 6 3 4 2" xfId="44447" xr:uid="{00000000-0005-0000-0000-0000EC030000}"/>
    <cellStyle name="dp*NumberLine 2 6 3 5" xfId="22371" xr:uid="{00000000-0005-0000-0000-0000EC030000}"/>
    <cellStyle name="dp*NumberLine 2 6 3 6" xfId="40740" xr:uid="{00000000-0005-0000-0000-0000EC030000}"/>
    <cellStyle name="dp*NumberLine 2 6 4" xfId="10057" xr:uid="{00000000-0005-0000-0000-0000EC030000}"/>
    <cellStyle name="dp*NumberLine 2 6 4 2" xfId="14114" xr:uid="{00000000-0005-0000-0000-0000EC030000}"/>
    <cellStyle name="dp*NumberLine 2 6 4 2 2" xfId="32530" xr:uid="{00000000-0005-0000-0000-0000EC030000}"/>
    <cellStyle name="dp*NumberLine 2 6 4 2 3" xfId="50893" xr:uid="{00000000-0005-0000-0000-0000EC030000}"/>
    <cellStyle name="dp*NumberLine 2 6 4 3" xfId="28768" xr:uid="{00000000-0005-0000-0000-0000EC030000}"/>
    <cellStyle name="dp*NumberLine 2 6 4 3 2" xfId="47131" xr:uid="{00000000-0005-0000-0000-0000EC030000}"/>
    <cellStyle name="dp*NumberLine 2 6 4 4" xfId="19571" xr:uid="{00000000-0005-0000-0000-0000EC030000}"/>
    <cellStyle name="dp*NumberLine 2 6 4 5" xfId="37977" xr:uid="{00000000-0005-0000-0000-0000EC030000}"/>
    <cellStyle name="dp*NumberLine 2 6 5" xfId="9184" xr:uid="{00000000-0005-0000-0000-0000EC030000}"/>
    <cellStyle name="dp*NumberLine 2 6 5 2" xfId="27905" xr:uid="{00000000-0005-0000-0000-0000EC030000}"/>
    <cellStyle name="dp*NumberLine 2 6 5 3" xfId="46268" xr:uid="{00000000-0005-0000-0000-0000EC030000}"/>
    <cellStyle name="dp*NumberLine 2 6 6" xfId="13242" xr:uid="{00000000-0005-0000-0000-0000EC030000}"/>
    <cellStyle name="dp*NumberLine 2 6 6 2" xfId="31663" xr:uid="{00000000-0005-0000-0000-0000EC030000}"/>
    <cellStyle name="dp*NumberLine 2 6 6 3" xfId="50026" xr:uid="{00000000-0005-0000-0000-0000EC030000}"/>
    <cellStyle name="dp*NumberLine 2 6 7" xfId="23252" xr:uid="{00000000-0005-0000-0000-0000EC030000}"/>
    <cellStyle name="dp*NumberLine 2 6 7 2" xfId="41621" xr:uid="{00000000-0005-0000-0000-0000EC030000}"/>
    <cellStyle name="dp*NumberLine 2 6 8" xfId="18199" xr:uid="{00000000-0005-0000-0000-0000EC030000}"/>
    <cellStyle name="dp*NumberLine 2 6 9" xfId="36605" xr:uid="{00000000-0005-0000-0000-0000EC030000}"/>
    <cellStyle name="dp*NumberLine 2 7" xfId="4179" xr:uid="{00000000-0005-0000-0000-0000EC030000}"/>
    <cellStyle name="dp*NumberLine 2 7 2" xfId="10831" xr:uid="{00000000-0005-0000-0000-0000EC030000}"/>
    <cellStyle name="dp*NumberLine 2 7 2 2" xfId="29503" xr:uid="{00000000-0005-0000-0000-0000EC030000}"/>
    <cellStyle name="dp*NumberLine 2 7 2 3" xfId="47866" xr:uid="{00000000-0005-0000-0000-0000EC030000}"/>
    <cellStyle name="dp*NumberLine 2 7 3" xfId="14925" xr:uid="{00000000-0005-0000-0000-0000EC030000}"/>
    <cellStyle name="dp*NumberLine 2 7 3 2" xfId="33329" xr:uid="{00000000-0005-0000-0000-0000EC030000}"/>
    <cellStyle name="dp*NumberLine 2 7 3 3" xfId="51692" xr:uid="{00000000-0005-0000-0000-0000EC030000}"/>
    <cellStyle name="dp*NumberLine 2 7 4" xfId="24058" xr:uid="{00000000-0005-0000-0000-0000EC030000}"/>
    <cellStyle name="dp*NumberLine 2 7 4 2" xfId="42427" xr:uid="{00000000-0005-0000-0000-0000EC030000}"/>
    <cellStyle name="dp*NumberLine 2 7 5" xfId="20378" xr:uid="{00000000-0005-0000-0000-0000EC030000}"/>
    <cellStyle name="dp*NumberLine 2 7 6" xfId="38776" xr:uid="{00000000-0005-0000-0000-0000EC030000}"/>
    <cellStyle name="dp*NumberLine 2 8" xfId="4165" xr:uid="{00000000-0005-0000-0000-0000EC030000}"/>
    <cellStyle name="dp*NumberLine 2 8 2" xfId="10820" xr:uid="{00000000-0005-0000-0000-0000EC030000}"/>
    <cellStyle name="dp*NumberLine 2 8 2 2" xfId="29492" xr:uid="{00000000-0005-0000-0000-0000EC030000}"/>
    <cellStyle name="dp*NumberLine 2 8 2 3" xfId="47855" xr:uid="{00000000-0005-0000-0000-0000EC030000}"/>
    <cellStyle name="dp*NumberLine 2 8 3" xfId="14915" xr:uid="{00000000-0005-0000-0000-0000EC030000}"/>
    <cellStyle name="dp*NumberLine 2 8 3 2" xfId="33319" xr:uid="{00000000-0005-0000-0000-0000EC030000}"/>
    <cellStyle name="dp*NumberLine 2 8 3 3" xfId="51682" xr:uid="{00000000-0005-0000-0000-0000EC030000}"/>
    <cellStyle name="dp*NumberLine 2 8 4" xfId="24045" xr:uid="{00000000-0005-0000-0000-0000EC030000}"/>
    <cellStyle name="dp*NumberLine 2 8 4 2" xfId="42414" xr:uid="{00000000-0005-0000-0000-0000EC030000}"/>
    <cellStyle name="dp*NumberLine 2 8 5" xfId="20368" xr:uid="{00000000-0005-0000-0000-0000EC030000}"/>
    <cellStyle name="dp*NumberLine 2 8 6" xfId="38766" xr:uid="{00000000-0005-0000-0000-0000EC030000}"/>
    <cellStyle name="dp*NumberLine 2 9" xfId="7445" xr:uid="{00000000-0005-0000-0000-0000EC030000}"/>
    <cellStyle name="dp*NumberLine 2 9 2" xfId="26825" xr:uid="{00000000-0005-0000-0000-0000EC030000}"/>
    <cellStyle name="dp*NumberLine 2 9 3" xfId="45193" xr:uid="{00000000-0005-0000-0000-0000EC030000}"/>
    <cellStyle name="dp*NumberLine 3" xfId="1862" xr:uid="{00000000-0005-0000-0000-0000FA030000}"/>
    <cellStyle name="dp*NumberLine 3 10" xfId="8177" xr:uid="{00000000-0005-0000-0000-0000FA030000}"/>
    <cellStyle name="dp*NumberLine 3 2" xfId="3711" xr:uid="{00000000-0005-0000-0000-0000FA030000}"/>
    <cellStyle name="dp*NumberLine 3 2 2" xfId="5884" xr:uid="{00000000-0005-0000-0000-0000FA030000}"/>
    <cellStyle name="dp*NumberLine 3 2 2 2" xfId="12248" xr:uid="{00000000-0005-0000-0000-0000FA030000}"/>
    <cellStyle name="dp*NumberLine 3 2 2 2 2" xfId="30695" xr:uid="{00000000-0005-0000-0000-0000FA030000}"/>
    <cellStyle name="dp*NumberLine 3 2 2 2 3" xfId="49058" xr:uid="{00000000-0005-0000-0000-0000FA030000}"/>
    <cellStyle name="dp*NumberLine 3 2 2 3" xfId="16574" xr:uid="{00000000-0005-0000-0000-0000FA030000}"/>
    <cellStyle name="dp*NumberLine 3 2 2 3 2" xfId="34946" xr:uid="{00000000-0005-0000-0000-0000FA030000}"/>
    <cellStyle name="dp*NumberLine 3 2 2 3 3" xfId="53309" xr:uid="{00000000-0005-0000-0000-0000FA030000}"/>
    <cellStyle name="dp*NumberLine 3 2 2 4" xfId="25693" xr:uid="{00000000-0005-0000-0000-0000FA030000}"/>
    <cellStyle name="dp*NumberLine 3 2 2 4 2" xfId="44062" xr:uid="{00000000-0005-0000-0000-0000FA030000}"/>
    <cellStyle name="dp*NumberLine 3 2 2 5" xfId="22014" xr:uid="{00000000-0005-0000-0000-0000FA030000}"/>
    <cellStyle name="dp*NumberLine 3 2 2 6" xfId="40393" xr:uid="{00000000-0005-0000-0000-0000FA030000}"/>
    <cellStyle name="dp*NumberLine 3 2 3" xfId="6710" xr:uid="{00000000-0005-0000-0000-0000FA030000}"/>
    <cellStyle name="dp*NumberLine 3 2 3 2" xfId="13001" xr:uid="{00000000-0005-0000-0000-0000FA030000}"/>
    <cellStyle name="dp*NumberLine 3 2 3 2 2" xfId="31427" xr:uid="{00000000-0005-0000-0000-0000FA030000}"/>
    <cellStyle name="dp*NumberLine 3 2 3 2 3" xfId="49790" xr:uid="{00000000-0005-0000-0000-0000FA030000}"/>
    <cellStyle name="dp*NumberLine 3 2 3 3" xfId="17312" xr:uid="{00000000-0005-0000-0000-0000FA030000}"/>
    <cellStyle name="dp*NumberLine 3 2 3 3 2" xfId="35660" xr:uid="{00000000-0005-0000-0000-0000FA030000}"/>
    <cellStyle name="dp*NumberLine 3 2 3 3 3" xfId="54023" xr:uid="{00000000-0005-0000-0000-0000FA030000}"/>
    <cellStyle name="dp*NumberLine 3 2 3 4" xfId="26445" xr:uid="{00000000-0005-0000-0000-0000FA030000}"/>
    <cellStyle name="dp*NumberLine 3 2 3 4 2" xfId="44814" xr:uid="{00000000-0005-0000-0000-0000FA030000}"/>
    <cellStyle name="dp*NumberLine 3 2 3 5" xfId="22738" xr:uid="{00000000-0005-0000-0000-0000FA030000}"/>
    <cellStyle name="dp*NumberLine 3 2 3 6" xfId="41107" xr:uid="{00000000-0005-0000-0000-0000FA030000}"/>
    <cellStyle name="dp*NumberLine 3 2 4" xfId="10424" xr:uid="{00000000-0005-0000-0000-0000FA030000}"/>
    <cellStyle name="dp*NumberLine 3 2 4 2" xfId="14481" xr:uid="{00000000-0005-0000-0000-0000FA030000}"/>
    <cellStyle name="dp*NumberLine 3 2 4 2 2" xfId="32897" xr:uid="{00000000-0005-0000-0000-0000FA030000}"/>
    <cellStyle name="dp*NumberLine 3 2 4 2 3" xfId="51260" xr:uid="{00000000-0005-0000-0000-0000FA030000}"/>
    <cellStyle name="dp*NumberLine 3 2 4 3" xfId="29135" xr:uid="{00000000-0005-0000-0000-0000FA030000}"/>
    <cellStyle name="dp*NumberLine 3 2 4 3 2" xfId="47498" xr:uid="{00000000-0005-0000-0000-0000FA030000}"/>
    <cellStyle name="dp*NumberLine 3 2 4 4" xfId="19938" xr:uid="{00000000-0005-0000-0000-0000FA030000}"/>
    <cellStyle name="dp*NumberLine 3 2 4 5" xfId="38344" xr:uid="{00000000-0005-0000-0000-0000FA030000}"/>
    <cellStyle name="dp*NumberLine 3 2 5" xfId="9638" xr:uid="{00000000-0005-0000-0000-0000FA030000}"/>
    <cellStyle name="dp*NumberLine 3 2 5 2" xfId="28354" xr:uid="{00000000-0005-0000-0000-0000FA030000}"/>
    <cellStyle name="dp*NumberLine 3 2 5 3" xfId="46717" xr:uid="{00000000-0005-0000-0000-0000FA030000}"/>
    <cellStyle name="dp*NumberLine 3 2 6" xfId="13695" xr:uid="{00000000-0005-0000-0000-0000FA030000}"/>
    <cellStyle name="dp*NumberLine 3 2 6 2" xfId="32116" xr:uid="{00000000-0005-0000-0000-0000FA030000}"/>
    <cellStyle name="dp*NumberLine 3 2 6 3" xfId="50479" xr:uid="{00000000-0005-0000-0000-0000FA030000}"/>
    <cellStyle name="dp*NumberLine 3 2 7" xfId="23619" xr:uid="{00000000-0005-0000-0000-0000FA030000}"/>
    <cellStyle name="dp*NumberLine 3 2 7 2" xfId="41988" xr:uid="{00000000-0005-0000-0000-0000FA030000}"/>
    <cellStyle name="dp*NumberLine 3 2 8" xfId="18753" xr:uid="{00000000-0005-0000-0000-0000FA030000}"/>
    <cellStyle name="dp*NumberLine 3 2 9" xfId="37162" xr:uid="{00000000-0005-0000-0000-0000FA030000}"/>
    <cellStyle name="dp*NumberLine 3 3" xfId="4787" xr:uid="{00000000-0005-0000-0000-0000FA030000}"/>
    <cellStyle name="dp*NumberLine 3 3 2" xfId="11357" xr:uid="{00000000-0005-0000-0000-0000FA030000}"/>
    <cellStyle name="dp*NumberLine 3 3 2 2" xfId="29952" xr:uid="{00000000-0005-0000-0000-0000FA030000}"/>
    <cellStyle name="dp*NumberLine 3 3 2 3" xfId="48315" xr:uid="{00000000-0005-0000-0000-0000FA030000}"/>
    <cellStyle name="dp*NumberLine 3 3 3" xfId="15513" xr:uid="{00000000-0005-0000-0000-0000FA030000}"/>
    <cellStyle name="dp*NumberLine 3 3 3 2" xfId="33906" xr:uid="{00000000-0005-0000-0000-0000FA030000}"/>
    <cellStyle name="dp*NumberLine 3 3 3 3" xfId="52269" xr:uid="{00000000-0005-0000-0000-0000FA030000}"/>
    <cellStyle name="dp*NumberLine 3 3 4" xfId="24637" xr:uid="{00000000-0005-0000-0000-0000FA030000}"/>
    <cellStyle name="dp*NumberLine 3 3 4 2" xfId="43006" xr:uid="{00000000-0005-0000-0000-0000FA030000}"/>
    <cellStyle name="dp*NumberLine 3 3 5" xfId="20964" xr:uid="{00000000-0005-0000-0000-0000FA030000}"/>
    <cellStyle name="dp*NumberLine 3 3 6" xfId="39353" xr:uid="{00000000-0005-0000-0000-0000FA030000}"/>
    <cellStyle name="dp*NumberLine 3 4" xfId="4846" xr:uid="{00000000-0005-0000-0000-0000FA030000}"/>
    <cellStyle name="dp*NumberLine 3 4 2" xfId="11407" xr:uid="{00000000-0005-0000-0000-0000FA030000}"/>
    <cellStyle name="dp*NumberLine 3 4 2 2" xfId="29998" xr:uid="{00000000-0005-0000-0000-0000FA030000}"/>
    <cellStyle name="dp*NumberLine 3 4 2 3" xfId="48361" xr:uid="{00000000-0005-0000-0000-0000FA030000}"/>
    <cellStyle name="dp*NumberLine 3 4 3" xfId="15572" xr:uid="{00000000-0005-0000-0000-0000FA030000}"/>
    <cellStyle name="dp*NumberLine 3 4 3 2" xfId="33964" xr:uid="{00000000-0005-0000-0000-0000FA030000}"/>
    <cellStyle name="dp*NumberLine 3 4 3 3" xfId="52327" xr:uid="{00000000-0005-0000-0000-0000FA030000}"/>
    <cellStyle name="dp*NumberLine 3 4 4" xfId="24695" xr:uid="{00000000-0005-0000-0000-0000FA030000}"/>
    <cellStyle name="dp*NumberLine 3 4 4 2" xfId="43064" xr:uid="{00000000-0005-0000-0000-0000FA030000}"/>
    <cellStyle name="dp*NumberLine 3 4 5" xfId="21022" xr:uid="{00000000-0005-0000-0000-0000FA030000}"/>
    <cellStyle name="dp*NumberLine 3 4 6" xfId="39411" xr:uid="{00000000-0005-0000-0000-0000FA030000}"/>
    <cellStyle name="dp*NumberLine 3 5" xfId="9049" xr:uid="{00000000-0005-0000-0000-0000FA030000}"/>
    <cellStyle name="dp*NumberLine 3 5 2" xfId="8148" xr:uid="{00000000-0005-0000-0000-0000FA030000}"/>
    <cellStyle name="dp*NumberLine 3 5 2 2" xfId="27352" xr:uid="{00000000-0005-0000-0000-0000FA030000}"/>
    <cellStyle name="dp*NumberLine 3 5 2 3" xfId="45717" xr:uid="{00000000-0005-0000-0000-0000FA030000}"/>
    <cellStyle name="dp*NumberLine 3 5 3" xfId="27775" xr:uid="{00000000-0005-0000-0000-0000FA030000}"/>
    <cellStyle name="dp*NumberLine 3 5 3 2" xfId="46138" xr:uid="{00000000-0005-0000-0000-0000FA030000}"/>
    <cellStyle name="dp*NumberLine 3 5 4" xfId="17945" xr:uid="{00000000-0005-0000-0000-0000FA030000}"/>
    <cellStyle name="dp*NumberLine 3 5 5" xfId="36353" xr:uid="{00000000-0005-0000-0000-0000FA030000}"/>
    <cellStyle name="dp*NumberLine 3 6" xfId="8072" xr:uid="{00000000-0005-0000-0000-0000FA030000}"/>
    <cellStyle name="dp*NumberLine 3 6 2" xfId="27284" xr:uid="{00000000-0005-0000-0000-0000FA030000}"/>
    <cellStyle name="dp*NumberLine 3 6 3" xfId="45649" xr:uid="{00000000-0005-0000-0000-0000FA030000}"/>
    <cellStyle name="dp*NumberLine 3 7" xfId="8742" xr:uid="{00000000-0005-0000-0000-0000FA030000}"/>
    <cellStyle name="dp*NumberLine 3 7 2" xfId="27616" xr:uid="{00000000-0005-0000-0000-0000FA030000}"/>
    <cellStyle name="dp*NumberLine 3 7 3" xfId="45979" xr:uid="{00000000-0005-0000-0000-0000FA030000}"/>
    <cellStyle name="dp*NumberLine 3 8" xfId="19321" xr:uid="{00000000-0005-0000-0000-0000FA030000}"/>
    <cellStyle name="dp*NumberLine 3 8 2" xfId="37728" xr:uid="{00000000-0005-0000-0000-0000FA030000}"/>
    <cellStyle name="dp*NumberLine 3 9" xfId="8231" xr:uid="{00000000-0005-0000-0000-0000FA030000}"/>
    <cellStyle name="dp*NumberLine 4" xfId="3023" xr:uid="{00000000-0005-0000-0000-0000FB030000}"/>
    <cellStyle name="dp*NumberLine 4 10" xfId="36032" xr:uid="{00000000-0005-0000-0000-0000FB030000}"/>
    <cellStyle name="dp*NumberLine 4 2" xfId="3843" xr:uid="{00000000-0005-0000-0000-0000FB030000}"/>
    <cellStyle name="dp*NumberLine 4 2 2" xfId="6016" xr:uid="{00000000-0005-0000-0000-0000FB030000}"/>
    <cellStyle name="dp*NumberLine 4 2 2 2" xfId="12380" xr:uid="{00000000-0005-0000-0000-0000FB030000}"/>
    <cellStyle name="dp*NumberLine 4 2 2 2 2" xfId="30827" xr:uid="{00000000-0005-0000-0000-0000FB030000}"/>
    <cellStyle name="dp*NumberLine 4 2 2 2 3" xfId="49190" xr:uid="{00000000-0005-0000-0000-0000FB030000}"/>
    <cellStyle name="dp*NumberLine 4 2 2 3" xfId="16706" xr:uid="{00000000-0005-0000-0000-0000FB030000}"/>
    <cellStyle name="dp*NumberLine 4 2 2 3 2" xfId="35078" xr:uid="{00000000-0005-0000-0000-0000FB030000}"/>
    <cellStyle name="dp*NumberLine 4 2 2 3 3" xfId="53441" xr:uid="{00000000-0005-0000-0000-0000FB030000}"/>
    <cellStyle name="dp*NumberLine 4 2 2 4" xfId="25825" xr:uid="{00000000-0005-0000-0000-0000FB030000}"/>
    <cellStyle name="dp*NumberLine 4 2 2 4 2" xfId="44194" xr:uid="{00000000-0005-0000-0000-0000FB030000}"/>
    <cellStyle name="dp*NumberLine 4 2 2 5" xfId="22146" xr:uid="{00000000-0005-0000-0000-0000FB030000}"/>
    <cellStyle name="dp*NumberLine 4 2 2 6" xfId="40525" xr:uid="{00000000-0005-0000-0000-0000FB030000}"/>
    <cellStyle name="dp*NumberLine 4 2 3" xfId="6842" xr:uid="{00000000-0005-0000-0000-0000FB030000}"/>
    <cellStyle name="dp*NumberLine 4 2 3 2" xfId="13133" xr:uid="{00000000-0005-0000-0000-0000FB030000}"/>
    <cellStyle name="dp*NumberLine 4 2 3 2 2" xfId="31559" xr:uid="{00000000-0005-0000-0000-0000FB030000}"/>
    <cellStyle name="dp*NumberLine 4 2 3 2 3" xfId="49922" xr:uid="{00000000-0005-0000-0000-0000FB030000}"/>
    <cellStyle name="dp*NumberLine 4 2 3 3" xfId="17444" xr:uid="{00000000-0005-0000-0000-0000FB030000}"/>
    <cellStyle name="dp*NumberLine 4 2 3 3 2" xfId="35792" xr:uid="{00000000-0005-0000-0000-0000FB030000}"/>
    <cellStyle name="dp*NumberLine 4 2 3 3 3" xfId="54155" xr:uid="{00000000-0005-0000-0000-0000FB030000}"/>
    <cellStyle name="dp*NumberLine 4 2 3 4" xfId="26577" xr:uid="{00000000-0005-0000-0000-0000FB030000}"/>
    <cellStyle name="dp*NumberLine 4 2 3 4 2" xfId="44946" xr:uid="{00000000-0005-0000-0000-0000FB030000}"/>
    <cellStyle name="dp*NumberLine 4 2 3 5" xfId="22870" xr:uid="{00000000-0005-0000-0000-0000FB030000}"/>
    <cellStyle name="dp*NumberLine 4 2 3 6" xfId="41239" xr:uid="{00000000-0005-0000-0000-0000FB030000}"/>
    <cellStyle name="dp*NumberLine 4 2 4" xfId="10556" xr:uid="{00000000-0005-0000-0000-0000FB030000}"/>
    <cellStyle name="dp*NumberLine 4 2 4 2" xfId="14613" xr:uid="{00000000-0005-0000-0000-0000FB030000}"/>
    <cellStyle name="dp*NumberLine 4 2 4 2 2" xfId="33029" xr:uid="{00000000-0005-0000-0000-0000FB030000}"/>
    <cellStyle name="dp*NumberLine 4 2 4 2 3" xfId="51392" xr:uid="{00000000-0005-0000-0000-0000FB030000}"/>
    <cellStyle name="dp*NumberLine 4 2 4 3" xfId="29267" xr:uid="{00000000-0005-0000-0000-0000FB030000}"/>
    <cellStyle name="dp*NumberLine 4 2 4 3 2" xfId="47630" xr:uid="{00000000-0005-0000-0000-0000FB030000}"/>
    <cellStyle name="dp*NumberLine 4 2 4 4" xfId="20070" xr:uid="{00000000-0005-0000-0000-0000FB030000}"/>
    <cellStyle name="dp*NumberLine 4 2 4 5" xfId="38476" xr:uid="{00000000-0005-0000-0000-0000FB030000}"/>
    <cellStyle name="dp*NumberLine 4 2 5" xfId="9927" xr:uid="{00000000-0005-0000-0000-0000FB030000}"/>
    <cellStyle name="dp*NumberLine 4 2 5 2" xfId="28639" xr:uid="{00000000-0005-0000-0000-0000FB030000}"/>
    <cellStyle name="dp*NumberLine 4 2 5 3" xfId="47002" xr:uid="{00000000-0005-0000-0000-0000FB030000}"/>
    <cellStyle name="dp*NumberLine 4 2 6" xfId="13984" xr:uid="{00000000-0005-0000-0000-0000FB030000}"/>
    <cellStyle name="dp*NumberLine 4 2 6 2" xfId="32401" xr:uid="{00000000-0005-0000-0000-0000FB030000}"/>
    <cellStyle name="dp*NumberLine 4 2 6 3" xfId="50764" xr:uid="{00000000-0005-0000-0000-0000FB030000}"/>
    <cellStyle name="dp*NumberLine 4 2 7" xfId="23751" xr:uid="{00000000-0005-0000-0000-0000FB030000}"/>
    <cellStyle name="dp*NumberLine 4 2 7 2" xfId="42120" xr:uid="{00000000-0005-0000-0000-0000FB030000}"/>
    <cellStyle name="dp*NumberLine 4 2 8" xfId="19233" xr:uid="{00000000-0005-0000-0000-0000FB030000}"/>
    <cellStyle name="dp*NumberLine 4 2 9" xfId="37640" xr:uid="{00000000-0005-0000-0000-0000FB030000}"/>
    <cellStyle name="dp*NumberLine 4 3" xfId="5276" xr:uid="{00000000-0005-0000-0000-0000FB030000}"/>
    <cellStyle name="dp*NumberLine 4 3 2" xfId="11732" xr:uid="{00000000-0005-0000-0000-0000FB030000}"/>
    <cellStyle name="dp*NumberLine 4 3 2 2" xfId="30238" xr:uid="{00000000-0005-0000-0000-0000FB030000}"/>
    <cellStyle name="dp*NumberLine 4 3 2 3" xfId="48601" xr:uid="{00000000-0005-0000-0000-0000FB030000}"/>
    <cellStyle name="dp*NumberLine 4 3 3" xfId="15968" xr:uid="{00000000-0005-0000-0000-0000FB030000}"/>
    <cellStyle name="dp*NumberLine 4 3 3 2" xfId="34342" xr:uid="{00000000-0005-0000-0000-0000FB030000}"/>
    <cellStyle name="dp*NumberLine 4 3 3 3" xfId="52705" xr:uid="{00000000-0005-0000-0000-0000FB030000}"/>
    <cellStyle name="dp*NumberLine 4 3 4" xfId="25089" xr:uid="{00000000-0005-0000-0000-0000FB030000}"/>
    <cellStyle name="dp*NumberLine 4 3 4 2" xfId="43458" xr:uid="{00000000-0005-0000-0000-0000FB030000}"/>
    <cellStyle name="dp*NumberLine 4 3 5" xfId="21410" xr:uid="{00000000-0005-0000-0000-0000FB030000}"/>
    <cellStyle name="dp*NumberLine 4 3 6" xfId="39789" xr:uid="{00000000-0005-0000-0000-0000FB030000}"/>
    <cellStyle name="dp*NumberLine 4 4" xfId="6238" xr:uid="{00000000-0005-0000-0000-0000FB030000}"/>
    <cellStyle name="dp*NumberLine 4 4 2" xfId="12553" xr:uid="{00000000-0005-0000-0000-0000FB030000}"/>
    <cellStyle name="dp*NumberLine 4 4 2 2" xfId="30985" xr:uid="{00000000-0005-0000-0000-0000FB030000}"/>
    <cellStyle name="dp*NumberLine 4 4 2 3" xfId="49348" xr:uid="{00000000-0005-0000-0000-0000FB030000}"/>
    <cellStyle name="dp*NumberLine 4 4 3" xfId="16870" xr:uid="{00000000-0005-0000-0000-0000FB030000}"/>
    <cellStyle name="dp*NumberLine 4 4 3 2" xfId="35227" xr:uid="{00000000-0005-0000-0000-0000FB030000}"/>
    <cellStyle name="dp*NumberLine 4 4 3 3" xfId="53590" xr:uid="{00000000-0005-0000-0000-0000FB030000}"/>
    <cellStyle name="dp*NumberLine 4 4 4" xfId="26002" xr:uid="{00000000-0005-0000-0000-0000FB030000}"/>
    <cellStyle name="dp*NumberLine 4 4 4 2" xfId="44371" xr:uid="{00000000-0005-0000-0000-0000FB030000}"/>
    <cellStyle name="dp*NumberLine 4 4 5" xfId="22301" xr:uid="{00000000-0005-0000-0000-0000FB030000}"/>
    <cellStyle name="dp*NumberLine 4 4 6" xfId="40674" xr:uid="{00000000-0005-0000-0000-0000FB030000}"/>
    <cellStyle name="dp*NumberLine 4 5" xfId="10041" xr:uid="{00000000-0005-0000-0000-0000FB030000}"/>
    <cellStyle name="dp*NumberLine 4 5 2" xfId="14098" xr:uid="{00000000-0005-0000-0000-0000FB030000}"/>
    <cellStyle name="dp*NumberLine 4 5 2 2" xfId="32514" xr:uid="{00000000-0005-0000-0000-0000FB030000}"/>
    <cellStyle name="dp*NumberLine 4 5 2 3" xfId="50877" xr:uid="{00000000-0005-0000-0000-0000FB030000}"/>
    <cellStyle name="dp*NumberLine 4 5 3" xfId="28752" xr:uid="{00000000-0005-0000-0000-0000FB030000}"/>
    <cellStyle name="dp*NumberLine 4 5 3 2" xfId="47115" xr:uid="{00000000-0005-0000-0000-0000FB030000}"/>
    <cellStyle name="dp*NumberLine 4 5 4" xfId="19496" xr:uid="{00000000-0005-0000-0000-0000FB030000}"/>
    <cellStyle name="dp*NumberLine 4 5 5" xfId="37902" xr:uid="{00000000-0005-0000-0000-0000FB030000}"/>
    <cellStyle name="dp*NumberLine 4 6" xfId="8814" xr:uid="{00000000-0005-0000-0000-0000FB030000}"/>
    <cellStyle name="dp*NumberLine 4 6 2" xfId="27643" xr:uid="{00000000-0005-0000-0000-0000FB030000}"/>
    <cellStyle name="dp*NumberLine 4 6 3" xfId="46006" xr:uid="{00000000-0005-0000-0000-0000FB030000}"/>
    <cellStyle name="dp*NumberLine 4 7" xfId="8444" xr:uid="{00000000-0005-0000-0000-0000FB030000}"/>
    <cellStyle name="dp*NumberLine 4 7 2" xfId="27489" xr:uid="{00000000-0005-0000-0000-0000FB030000}"/>
    <cellStyle name="dp*NumberLine 4 7 3" xfId="45853" xr:uid="{00000000-0005-0000-0000-0000FB030000}"/>
    <cellStyle name="dp*NumberLine 4 8" xfId="23030" xr:uid="{00000000-0005-0000-0000-0000FB030000}"/>
    <cellStyle name="dp*NumberLine 4 8 2" xfId="41399" xr:uid="{00000000-0005-0000-0000-0000FB030000}"/>
    <cellStyle name="dp*NumberLine 4 9" xfId="17590" xr:uid="{00000000-0005-0000-0000-0000FB030000}"/>
    <cellStyle name="dp*NumberLine 5" xfId="3171" xr:uid="{00000000-0005-0000-0000-0000FC030000}"/>
    <cellStyle name="dp*NumberLine 5 2" xfId="3865" xr:uid="{00000000-0005-0000-0000-0000FC030000}"/>
    <cellStyle name="dp*NumberLine 5 2 2" xfId="6038" xr:uid="{00000000-0005-0000-0000-0000FC030000}"/>
    <cellStyle name="dp*NumberLine 5 2 2 2" xfId="12402" xr:uid="{00000000-0005-0000-0000-0000FC030000}"/>
    <cellStyle name="dp*NumberLine 5 2 2 2 2" xfId="30849" xr:uid="{00000000-0005-0000-0000-0000FC030000}"/>
    <cellStyle name="dp*NumberLine 5 2 2 2 3" xfId="49212" xr:uid="{00000000-0005-0000-0000-0000FC030000}"/>
    <cellStyle name="dp*NumberLine 5 2 2 3" xfId="16728" xr:uid="{00000000-0005-0000-0000-0000FC030000}"/>
    <cellStyle name="dp*NumberLine 5 2 2 3 2" xfId="35100" xr:uid="{00000000-0005-0000-0000-0000FC030000}"/>
    <cellStyle name="dp*NumberLine 5 2 2 3 3" xfId="53463" xr:uid="{00000000-0005-0000-0000-0000FC030000}"/>
    <cellStyle name="dp*NumberLine 5 2 2 4" xfId="25847" xr:uid="{00000000-0005-0000-0000-0000FC030000}"/>
    <cellStyle name="dp*NumberLine 5 2 2 4 2" xfId="44216" xr:uid="{00000000-0005-0000-0000-0000FC030000}"/>
    <cellStyle name="dp*NumberLine 5 2 2 5" xfId="22168" xr:uid="{00000000-0005-0000-0000-0000FC030000}"/>
    <cellStyle name="dp*NumberLine 5 2 2 6" xfId="40547" xr:uid="{00000000-0005-0000-0000-0000FC030000}"/>
    <cellStyle name="dp*NumberLine 5 2 3" xfId="6864" xr:uid="{00000000-0005-0000-0000-0000FC030000}"/>
    <cellStyle name="dp*NumberLine 5 2 3 2" xfId="13155" xr:uid="{00000000-0005-0000-0000-0000FC030000}"/>
    <cellStyle name="dp*NumberLine 5 2 3 2 2" xfId="31581" xr:uid="{00000000-0005-0000-0000-0000FC030000}"/>
    <cellStyle name="dp*NumberLine 5 2 3 2 3" xfId="49944" xr:uid="{00000000-0005-0000-0000-0000FC030000}"/>
    <cellStyle name="dp*NumberLine 5 2 3 3" xfId="17466" xr:uid="{00000000-0005-0000-0000-0000FC030000}"/>
    <cellStyle name="dp*NumberLine 5 2 3 3 2" xfId="35814" xr:uid="{00000000-0005-0000-0000-0000FC030000}"/>
    <cellStyle name="dp*NumberLine 5 2 3 3 3" xfId="54177" xr:uid="{00000000-0005-0000-0000-0000FC030000}"/>
    <cellStyle name="dp*NumberLine 5 2 3 4" xfId="26599" xr:uid="{00000000-0005-0000-0000-0000FC030000}"/>
    <cellStyle name="dp*NumberLine 5 2 3 4 2" xfId="44968" xr:uid="{00000000-0005-0000-0000-0000FC030000}"/>
    <cellStyle name="dp*NumberLine 5 2 3 5" xfId="22892" xr:uid="{00000000-0005-0000-0000-0000FC030000}"/>
    <cellStyle name="dp*NumberLine 5 2 3 6" xfId="41261" xr:uid="{00000000-0005-0000-0000-0000FC030000}"/>
    <cellStyle name="dp*NumberLine 5 2 4" xfId="10578" xr:uid="{00000000-0005-0000-0000-0000FC030000}"/>
    <cellStyle name="dp*NumberLine 5 2 4 2" xfId="14635" xr:uid="{00000000-0005-0000-0000-0000FC030000}"/>
    <cellStyle name="dp*NumberLine 5 2 4 2 2" xfId="33051" xr:uid="{00000000-0005-0000-0000-0000FC030000}"/>
    <cellStyle name="dp*NumberLine 5 2 4 2 3" xfId="51414" xr:uid="{00000000-0005-0000-0000-0000FC030000}"/>
    <cellStyle name="dp*NumberLine 5 2 4 3" xfId="29289" xr:uid="{00000000-0005-0000-0000-0000FC030000}"/>
    <cellStyle name="dp*NumberLine 5 2 4 3 2" xfId="47652" xr:uid="{00000000-0005-0000-0000-0000FC030000}"/>
    <cellStyle name="dp*NumberLine 5 2 4 4" xfId="20092" xr:uid="{00000000-0005-0000-0000-0000FC030000}"/>
    <cellStyle name="dp*NumberLine 5 2 4 5" xfId="38498" xr:uid="{00000000-0005-0000-0000-0000FC030000}"/>
    <cellStyle name="dp*NumberLine 5 2 5" xfId="9965" xr:uid="{00000000-0005-0000-0000-0000FC030000}"/>
    <cellStyle name="dp*NumberLine 5 2 5 2" xfId="28677" xr:uid="{00000000-0005-0000-0000-0000FC030000}"/>
    <cellStyle name="dp*NumberLine 5 2 5 3" xfId="47040" xr:uid="{00000000-0005-0000-0000-0000FC030000}"/>
    <cellStyle name="dp*NumberLine 5 2 6" xfId="14022" xr:uid="{00000000-0005-0000-0000-0000FC030000}"/>
    <cellStyle name="dp*NumberLine 5 2 6 2" xfId="32439" xr:uid="{00000000-0005-0000-0000-0000FC030000}"/>
    <cellStyle name="dp*NumberLine 5 2 6 3" xfId="50802" xr:uid="{00000000-0005-0000-0000-0000FC030000}"/>
    <cellStyle name="dp*NumberLine 5 2 7" xfId="23773" xr:uid="{00000000-0005-0000-0000-0000FC030000}"/>
    <cellStyle name="dp*NumberLine 5 2 7 2" xfId="42142" xr:uid="{00000000-0005-0000-0000-0000FC030000}"/>
    <cellStyle name="dp*NumberLine 5 2 8" xfId="19302" xr:uid="{00000000-0005-0000-0000-0000FC030000}"/>
    <cellStyle name="dp*NumberLine 5 2 9" xfId="37709" xr:uid="{00000000-0005-0000-0000-0000FC030000}"/>
    <cellStyle name="dp*NumberLine 5 3" xfId="5386" xr:uid="{00000000-0005-0000-0000-0000FC030000}"/>
    <cellStyle name="dp*NumberLine 5 3 2" xfId="11803" xr:uid="{00000000-0005-0000-0000-0000FC030000}"/>
    <cellStyle name="dp*NumberLine 5 3 2 2" xfId="30276" xr:uid="{00000000-0005-0000-0000-0000FC030000}"/>
    <cellStyle name="dp*NumberLine 5 3 2 3" xfId="48639" xr:uid="{00000000-0005-0000-0000-0000FC030000}"/>
    <cellStyle name="dp*NumberLine 5 3 3" xfId="16078" xr:uid="{00000000-0005-0000-0000-0000FC030000}"/>
    <cellStyle name="dp*NumberLine 5 3 3 2" xfId="34450" xr:uid="{00000000-0005-0000-0000-0000FC030000}"/>
    <cellStyle name="dp*NumberLine 5 3 3 3" xfId="52813" xr:uid="{00000000-0005-0000-0000-0000FC030000}"/>
    <cellStyle name="dp*NumberLine 5 3 4" xfId="25197" xr:uid="{00000000-0005-0000-0000-0000FC030000}"/>
    <cellStyle name="dp*NumberLine 5 3 4 2" xfId="43566" xr:uid="{00000000-0005-0000-0000-0000FC030000}"/>
    <cellStyle name="dp*NumberLine 5 3 5" xfId="21518" xr:uid="{00000000-0005-0000-0000-0000FC030000}"/>
    <cellStyle name="dp*NumberLine 5 3 6" xfId="39897" xr:uid="{00000000-0005-0000-0000-0000FC030000}"/>
    <cellStyle name="dp*NumberLine 5 4" xfId="6279" xr:uid="{00000000-0005-0000-0000-0000FC030000}"/>
    <cellStyle name="dp*NumberLine 5 4 2" xfId="12581" xr:uid="{00000000-0005-0000-0000-0000FC030000}"/>
    <cellStyle name="dp*NumberLine 5 4 2 2" xfId="31010" xr:uid="{00000000-0005-0000-0000-0000FC030000}"/>
    <cellStyle name="dp*NumberLine 5 4 2 3" xfId="49373" xr:uid="{00000000-0005-0000-0000-0000FC030000}"/>
    <cellStyle name="dp*NumberLine 5 4 3" xfId="16894" xr:uid="{00000000-0005-0000-0000-0000FC030000}"/>
    <cellStyle name="dp*NumberLine 5 4 3 2" xfId="35249" xr:uid="{00000000-0005-0000-0000-0000FC030000}"/>
    <cellStyle name="dp*NumberLine 5 4 3 3" xfId="53612" xr:uid="{00000000-0005-0000-0000-0000FC030000}"/>
    <cellStyle name="dp*NumberLine 5 4 4" xfId="26029" xr:uid="{00000000-0005-0000-0000-0000FC030000}"/>
    <cellStyle name="dp*NumberLine 5 4 4 2" xfId="44398" xr:uid="{00000000-0005-0000-0000-0000FC030000}"/>
    <cellStyle name="dp*NumberLine 5 4 5" xfId="22326" xr:uid="{00000000-0005-0000-0000-0000FC030000}"/>
    <cellStyle name="dp*NumberLine 5 4 6" xfId="40696" xr:uid="{00000000-0005-0000-0000-0000FC030000}"/>
    <cellStyle name="dp*NumberLine 5 5" xfId="8912" xr:uid="{00000000-0005-0000-0000-0000FC030000}"/>
    <cellStyle name="dp*NumberLine 5 5 2" xfId="27688" xr:uid="{00000000-0005-0000-0000-0000FC030000}"/>
    <cellStyle name="dp*NumberLine 5 5 3" xfId="46051" xr:uid="{00000000-0005-0000-0000-0000FC030000}"/>
    <cellStyle name="dp*NumberLine 5 6" xfId="11663" xr:uid="{00000000-0005-0000-0000-0000FC030000}"/>
    <cellStyle name="dp*NumberLine 5 6 2" xfId="30209" xr:uid="{00000000-0005-0000-0000-0000FC030000}"/>
    <cellStyle name="dp*NumberLine 5 6 3" xfId="48572" xr:uid="{00000000-0005-0000-0000-0000FC030000}"/>
    <cellStyle name="dp*NumberLine 5 7" xfId="23126" xr:uid="{00000000-0005-0000-0000-0000FC030000}"/>
    <cellStyle name="dp*NumberLine 5 7 2" xfId="41495" xr:uid="{00000000-0005-0000-0000-0000FC030000}"/>
    <cellStyle name="dp*NumberLine 5 8" xfId="17705" xr:uid="{00000000-0005-0000-0000-0000FC030000}"/>
    <cellStyle name="dp*NumberLine 5 9" xfId="36128" xr:uid="{00000000-0005-0000-0000-0000FC030000}"/>
    <cellStyle name="dp*NumberLine 6" xfId="3280" xr:uid="{00000000-0005-0000-0000-0000FD030000}"/>
    <cellStyle name="dp*NumberLine 6 2" xfId="3881" xr:uid="{00000000-0005-0000-0000-0000FD030000}"/>
    <cellStyle name="dp*NumberLine 6 2 2" xfId="6054" xr:uid="{00000000-0005-0000-0000-0000FD030000}"/>
    <cellStyle name="dp*NumberLine 6 2 2 2" xfId="12418" xr:uid="{00000000-0005-0000-0000-0000FD030000}"/>
    <cellStyle name="dp*NumberLine 6 2 2 2 2" xfId="30865" xr:uid="{00000000-0005-0000-0000-0000FD030000}"/>
    <cellStyle name="dp*NumberLine 6 2 2 2 3" xfId="49228" xr:uid="{00000000-0005-0000-0000-0000FD030000}"/>
    <cellStyle name="dp*NumberLine 6 2 2 3" xfId="16744" xr:uid="{00000000-0005-0000-0000-0000FD030000}"/>
    <cellStyle name="dp*NumberLine 6 2 2 3 2" xfId="35116" xr:uid="{00000000-0005-0000-0000-0000FD030000}"/>
    <cellStyle name="dp*NumberLine 6 2 2 3 3" xfId="53479" xr:uid="{00000000-0005-0000-0000-0000FD030000}"/>
    <cellStyle name="dp*NumberLine 6 2 2 4" xfId="25863" xr:uid="{00000000-0005-0000-0000-0000FD030000}"/>
    <cellStyle name="dp*NumberLine 6 2 2 4 2" xfId="44232" xr:uid="{00000000-0005-0000-0000-0000FD030000}"/>
    <cellStyle name="dp*NumberLine 6 2 2 5" xfId="22184" xr:uid="{00000000-0005-0000-0000-0000FD030000}"/>
    <cellStyle name="dp*NumberLine 6 2 2 6" xfId="40563" xr:uid="{00000000-0005-0000-0000-0000FD030000}"/>
    <cellStyle name="dp*NumberLine 6 2 3" xfId="6880" xr:uid="{00000000-0005-0000-0000-0000FD030000}"/>
    <cellStyle name="dp*NumberLine 6 2 3 2" xfId="13171" xr:uid="{00000000-0005-0000-0000-0000FD030000}"/>
    <cellStyle name="dp*NumberLine 6 2 3 2 2" xfId="31597" xr:uid="{00000000-0005-0000-0000-0000FD030000}"/>
    <cellStyle name="dp*NumberLine 6 2 3 2 3" xfId="49960" xr:uid="{00000000-0005-0000-0000-0000FD030000}"/>
    <cellStyle name="dp*NumberLine 6 2 3 3" xfId="17482" xr:uid="{00000000-0005-0000-0000-0000FD030000}"/>
    <cellStyle name="dp*NumberLine 6 2 3 3 2" xfId="35830" xr:uid="{00000000-0005-0000-0000-0000FD030000}"/>
    <cellStyle name="dp*NumberLine 6 2 3 3 3" xfId="54193" xr:uid="{00000000-0005-0000-0000-0000FD030000}"/>
    <cellStyle name="dp*NumberLine 6 2 3 4" xfId="26615" xr:uid="{00000000-0005-0000-0000-0000FD030000}"/>
    <cellStyle name="dp*NumberLine 6 2 3 4 2" xfId="44984" xr:uid="{00000000-0005-0000-0000-0000FD030000}"/>
    <cellStyle name="dp*NumberLine 6 2 3 5" xfId="22908" xr:uid="{00000000-0005-0000-0000-0000FD030000}"/>
    <cellStyle name="dp*NumberLine 6 2 3 6" xfId="41277" xr:uid="{00000000-0005-0000-0000-0000FD030000}"/>
    <cellStyle name="dp*NumberLine 6 2 4" xfId="10594" xr:uid="{00000000-0005-0000-0000-0000FD030000}"/>
    <cellStyle name="dp*NumberLine 6 2 4 2" xfId="14651" xr:uid="{00000000-0005-0000-0000-0000FD030000}"/>
    <cellStyle name="dp*NumberLine 6 2 4 2 2" xfId="33067" xr:uid="{00000000-0005-0000-0000-0000FD030000}"/>
    <cellStyle name="dp*NumberLine 6 2 4 2 3" xfId="51430" xr:uid="{00000000-0005-0000-0000-0000FD030000}"/>
    <cellStyle name="dp*NumberLine 6 2 4 3" xfId="29305" xr:uid="{00000000-0005-0000-0000-0000FD030000}"/>
    <cellStyle name="dp*NumberLine 6 2 4 3 2" xfId="47668" xr:uid="{00000000-0005-0000-0000-0000FD030000}"/>
    <cellStyle name="dp*NumberLine 6 2 4 4" xfId="20108" xr:uid="{00000000-0005-0000-0000-0000FD030000}"/>
    <cellStyle name="dp*NumberLine 6 2 4 5" xfId="38514" xr:uid="{00000000-0005-0000-0000-0000FD030000}"/>
    <cellStyle name="dp*NumberLine 6 2 5" xfId="9986" xr:uid="{00000000-0005-0000-0000-0000FD030000}"/>
    <cellStyle name="dp*NumberLine 6 2 5 2" xfId="28698" xr:uid="{00000000-0005-0000-0000-0000FD030000}"/>
    <cellStyle name="dp*NumberLine 6 2 5 3" xfId="47061" xr:uid="{00000000-0005-0000-0000-0000FD030000}"/>
    <cellStyle name="dp*NumberLine 6 2 6" xfId="14043" xr:uid="{00000000-0005-0000-0000-0000FD030000}"/>
    <cellStyle name="dp*NumberLine 6 2 6 2" xfId="32460" xr:uid="{00000000-0005-0000-0000-0000FD030000}"/>
    <cellStyle name="dp*NumberLine 6 2 6 3" xfId="50823" xr:uid="{00000000-0005-0000-0000-0000FD030000}"/>
    <cellStyle name="dp*NumberLine 6 2 7" xfId="23789" xr:uid="{00000000-0005-0000-0000-0000FD030000}"/>
    <cellStyle name="dp*NumberLine 6 2 7 2" xfId="42158" xr:uid="{00000000-0005-0000-0000-0000FD030000}"/>
    <cellStyle name="dp*NumberLine 6 2 8" xfId="19353" xr:uid="{00000000-0005-0000-0000-0000FD030000}"/>
    <cellStyle name="dp*NumberLine 6 2 9" xfId="37760" xr:uid="{00000000-0005-0000-0000-0000FD030000}"/>
    <cellStyle name="dp*NumberLine 6 3" xfId="5473" xr:uid="{00000000-0005-0000-0000-0000FD030000}"/>
    <cellStyle name="dp*NumberLine 6 3 2" xfId="11844" xr:uid="{00000000-0005-0000-0000-0000FD030000}"/>
    <cellStyle name="dp*NumberLine 6 3 2 2" xfId="30295" xr:uid="{00000000-0005-0000-0000-0000FD030000}"/>
    <cellStyle name="dp*NumberLine 6 3 2 3" xfId="48658" xr:uid="{00000000-0005-0000-0000-0000FD030000}"/>
    <cellStyle name="dp*NumberLine 6 3 3" xfId="16164" xr:uid="{00000000-0005-0000-0000-0000FD030000}"/>
    <cellStyle name="dp*NumberLine 6 3 3 2" xfId="34536" xr:uid="{00000000-0005-0000-0000-0000FD030000}"/>
    <cellStyle name="dp*NumberLine 6 3 3 3" xfId="52899" xr:uid="{00000000-0005-0000-0000-0000FD030000}"/>
    <cellStyle name="dp*NumberLine 6 3 4" xfId="25283" xr:uid="{00000000-0005-0000-0000-0000FD030000}"/>
    <cellStyle name="dp*NumberLine 6 3 4 2" xfId="43652" xr:uid="{00000000-0005-0000-0000-0000FD030000}"/>
    <cellStyle name="dp*NumberLine 6 3 5" xfId="21604" xr:uid="{00000000-0005-0000-0000-0000FD030000}"/>
    <cellStyle name="dp*NumberLine 6 3 6" xfId="39983" xr:uid="{00000000-0005-0000-0000-0000FD030000}"/>
    <cellStyle name="dp*NumberLine 6 4" xfId="6312" xr:uid="{00000000-0005-0000-0000-0000FD030000}"/>
    <cellStyle name="dp*NumberLine 6 4 2" xfId="12603" xr:uid="{00000000-0005-0000-0000-0000FD030000}"/>
    <cellStyle name="dp*NumberLine 6 4 2 2" xfId="31029" xr:uid="{00000000-0005-0000-0000-0000FD030000}"/>
    <cellStyle name="dp*NumberLine 6 4 2 3" xfId="49392" xr:uid="{00000000-0005-0000-0000-0000FD030000}"/>
    <cellStyle name="dp*NumberLine 6 4 3" xfId="16915" xr:uid="{00000000-0005-0000-0000-0000FD030000}"/>
    <cellStyle name="dp*NumberLine 6 4 3 2" xfId="35265" xr:uid="{00000000-0005-0000-0000-0000FD030000}"/>
    <cellStyle name="dp*NumberLine 6 4 3 3" xfId="53628" xr:uid="{00000000-0005-0000-0000-0000FD030000}"/>
    <cellStyle name="dp*NumberLine 6 4 4" xfId="26050" xr:uid="{00000000-0005-0000-0000-0000FD030000}"/>
    <cellStyle name="dp*NumberLine 6 4 4 2" xfId="44419" xr:uid="{00000000-0005-0000-0000-0000FD030000}"/>
    <cellStyle name="dp*NumberLine 6 4 5" xfId="22343" xr:uid="{00000000-0005-0000-0000-0000FD030000}"/>
    <cellStyle name="dp*NumberLine 6 4 6" xfId="40712" xr:uid="{00000000-0005-0000-0000-0000FD030000}"/>
    <cellStyle name="dp*NumberLine 6 5" xfId="8975" xr:uid="{00000000-0005-0000-0000-0000FD030000}"/>
    <cellStyle name="dp*NumberLine 6 5 2" xfId="27712" xr:uid="{00000000-0005-0000-0000-0000FD030000}"/>
    <cellStyle name="dp*NumberLine 6 5 3" xfId="46075" xr:uid="{00000000-0005-0000-0000-0000FD030000}"/>
    <cellStyle name="dp*NumberLine 6 6" xfId="6954" xr:uid="{00000000-0005-0000-0000-0000FD030000}"/>
    <cellStyle name="dp*NumberLine 6 6 2" xfId="26684" xr:uid="{00000000-0005-0000-0000-0000FD030000}"/>
    <cellStyle name="dp*NumberLine 6 6 3" xfId="45053" xr:uid="{00000000-0005-0000-0000-0000FD030000}"/>
    <cellStyle name="dp*NumberLine 6 7" xfId="23212" xr:uid="{00000000-0005-0000-0000-0000FD030000}"/>
    <cellStyle name="dp*NumberLine 6 7 2" xfId="41581" xr:uid="{00000000-0005-0000-0000-0000FD030000}"/>
    <cellStyle name="dp*NumberLine 6 8" xfId="17798" xr:uid="{00000000-0005-0000-0000-0000FD030000}"/>
    <cellStyle name="dp*NumberLine 6 9" xfId="36214" xr:uid="{00000000-0005-0000-0000-0000FD030000}"/>
    <cellStyle name="dp*NumberLine 7" xfId="3317" xr:uid="{00000000-0005-0000-0000-0000FE030000}"/>
    <cellStyle name="dp*NumberLine 7 2" xfId="3897" xr:uid="{00000000-0005-0000-0000-0000FE030000}"/>
    <cellStyle name="dp*NumberLine 7 2 2" xfId="6070" xr:uid="{00000000-0005-0000-0000-0000FE030000}"/>
    <cellStyle name="dp*NumberLine 7 2 2 2" xfId="12434" xr:uid="{00000000-0005-0000-0000-0000FE030000}"/>
    <cellStyle name="dp*NumberLine 7 2 2 2 2" xfId="30881" xr:uid="{00000000-0005-0000-0000-0000FE030000}"/>
    <cellStyle name="dp*NumberLine 7 2 2 2 3" xfId="49244" xr:uid="{00000000-0005-0000-0000-0000FE030000}"/>
    <cellStyle name="dp*NumberLine 7 2 2 3" xfId="16760" xr:uid="{00000000-0005-0000-0000-0000FE030000}"/>
    <cellStyle name="dp*NumberLine 7 2 2 3 2" xfId="35132" xr:uid="{00000000-0005-0000-0000-0000FE030000}"/>
    <cellStyle name="dp*NumberLine 7 2 2 3 3" xfId="53495" xr:uid="{00000000-0005-0000-0000-0000FE030000}"/>
    <cellStyle name="dp*NumberLine 7 2 2 4" xfId="25879" xr:uid="{00000000-0005-0000-0000-0000FE030000}"/>
    <cellStyle name="dp*NumberLine 7 2 2 4 2" xfId="44248" xr:uid="{00000000-0005-0000-0000-0000FE030000}"/>
    <cellStyle name="dp*NumberLine 7 2 2 5" xfId="22200" xr:uid="{00000000-0005-0000-0000-0000FE030000}"/>
    <cellStyle name="dp*NumberLine 7 2 2 6" xfId="40579" xr:uid="{00000000-0005-0000-0000-0000FE030000}"/>
    <cellStyle name="dp*NumberLine 7 2 3" xfId="6896" xr:uid="{00000000-0005-0000-0000-0000FE030000}"/>
    <cellStyle name="dp*NumberLine 7 2 3 2" xfId="13187" xr:uid="{00000000-0005-0000-0000-0000FE030000}"/>
    <cellStyle name="dp*NumberLine 7 2 3 2 2" xfId="31613" xr:uid="{00000000-0005-0000-0000-0000FE030000}"/>
    <cellStyle name="dp*NumberLine 7 2 3 2 3" xfId="49976" xr:uid="{00000000-0005-0000-0000-0000FE030000}"/>
    <cellStyle name="dp*NumberLine 7 2 3 3" xfId="17498" xr:uid="{00000000-0005-0000-0000-0000FE030000}"/>
    <cellStyle name="dp*NumberLine 7 2 3 3 2" xfId="35846" xr:uid="{00000000-0005-0000-0000-0000FE030000}"/>
    <cellStyle name="dp*NumberLine 7 2 3 3 3" xfId="54209" xr:uid="{00000000-0005-0000-0000-0000FE030000}"/>
    <cellStyle name="dp*NumberLine 7 2 3 4" xfId="26631" xr:uid="{00000000-0005-0000-0000-0000FE030000}"/>
    <cellStyle name="dp*NumberLine 7 2 3 4 2" xfId="45000" xr:uid="{00000000-0005-0000-0000-0000FE030000}"/>
    <cellStyle name="dp*NumberLine 7 2 3 5" xfId="22924" xr:uid="{00000000-0005-0000-0000-0000FE030000}"/>
    <cellStyle name="dp*NumberLine 7 2 3 6" xfId="41293" xr:uid="{00000000-0005-0000-0000-0000FE030000}"/>
    <cellStyle name="dp*NumberLine 7 2 4" xfId="10610" xr:uid="{00000000-0005-0000-0000-0000FE030000}"/>
    <cellStyle name="dp*NumberLine 7 2 4 2" xfId="14667" xr:uid="{00000000-0005-0000-0000-0000FE030000}"/>
    <cellStyle name="dp*NumberLine 7 2 4 2 2" xfId="33083" xr:uid="{00000000-0005-0000-0000-0000FE030000}"/>
    <cellStyle name="dp*NumberLine 7 2 4 2 3" xfId="51446" xr:uid="{00000000-0005-0000-0000-0000FE030000}"/>
    <cellStyle name="dp*NumberLine 7 2 4 3" xfId="29321" xr:uid="{00000000-0005-0000-0000-0000FE030000}"/>
    <cellStyle name="dp*NumberLine 7 2 4 3 2" xfId="47684" xr:uid="{00000000-0005-0000-0000-0000FE030000}"/>
    <cellStyle name="dp*NumberLine 7 2 4 4" xfId="20124" xr:uid="{00000000-0005-0000-0000-0000FE030000}"/>
    <cellStyle name="dp*NumberLine 7 2 4 5" xfId="38530" xr:uid="{00000000-0005-0000-0000-0000FE030000}"/>
    <cellStyle name="dp*NumberLine 7 2 5" xfId="10004" xr:uid="{00000000-0005-0000-0000-0000FE030000}"/>
    <cellStyle name="dp*NumberLine 7 2 5 2" xfId="28716" xr:uid="{00000000-0005-0000-0000-0000FE030000}"/>
    <cellStyle name="dp*NumberLine 7 2 5 3" xfId="47079" xr:uid="{00000000-0005-0000-0000-0000FE030000}"/>
    <cellStyle name="dp*NumberLine 7 2 6" xfId="14061" xr:uid="{00000000-0005-0000-0000-0000FE030000}"/>
    <cellStyle name="dp*NumberLine 7 2 6 2" xfId="32478" xr:uid="{00000000-0005-0000-0000-0000FE030000}"/>
    <cellStyle name="dp*NumberLine 7 2 6 3" xfId="50841" xr:uid="{00000000-0005-0000-0000-0000FE030000}"/>
    <cellStyle name="dp*NumberLine 7 2 7" xfId="23805" xr:uid="{00000000-0005-0000-0000-0000FE030000}"/>
    <cellStyle name="dp*NumberLine 7 2 7 2" xfId="42174" xr:uid="{00000000-0005-0000-0000-0000FE030000}"/>
    <cellStyle name="dp*NumberLine 7 2 8" xfId="19374" xr:uid="{00000000-0005-0000-0000-0000FE030000}"/>
    <cellStyle name="dp*NumberLine 7 2 9" xfId="37781" xr:uid="{00000000-0005-0000-0000-0000FE030000}"/>
    <cellStyle name="dp*NumberLine 7 3" xfId="5502" xr:uid="{00000000-0005-0000-0000-0000FE030000}"/>
    <cellStyle name="dp*NumberLine 7 3 2" xfId="11867" xr:uid="{00000000-0005-0000-0000-0000FE030000}"/>
    <cellStyle name="dp*NumberLine 7 3 2 2" xfId="30314" xr:uid="{00000000-0005-0000-0000-0000FE030000}"/>
    <cellStyle name="dp*NumberLine 7 3 2 3" xfId="48677" xr:uid="{00000000-0005-0000-0000-0000FE030000}"/>
    <cellStyle name="dp*NumberLine 7 3 3" xfId="16193" xr:uid="{00000000-0005-0000-0000-0000FE030000}"/>
    <cellStyle name="dp*NumberLine 7 3 3 2" xfId="34565" xr:uid="{00000000-0005-0000-0000-0000FE030000}"/>
    <cellStyle name="dp*NumberLine 7 3 3 3" xfId="52928" xr:uid="{00000000-0005-0000-0000-0000FE030000}"/>
    <cellStyle name="dp*NumberLine 7 3 4" xfId="25312" xr:uid="{00000000-0005-0000-0000-0000FE030000}"/>
    <cellStyle name="dp*NumberLine 7 3 4 2" xfId="43681" xr:uid="{00000000-0005-0000-0000-0000FE030000}"/>
    <cellStyle name="dp*NumberLine 7 3 5" xfId="21633" xr:uid="{00000000-0005-0000-0000-0000FE030000}"/>
    <cellStyle name="dp*NumberLine 7 3 6" xfId="40012" xr:uid="{00000000-0005-0000-0000-0000FE030000}"/>
    <cellStyle name="dp*NumberLine 7 4" xfId="6330" xr:uid="{00000000-0005-0000-0000-0000FE030000}"/>
    <cellStyle name="dp*NumberLine 7 4 2" xfId="12621" xr:uid="{00000000-0005-0000-0000-0000FE030000}"/>
    <cellStyle name="dp*NumberLine 7 4 2 2" xfId="31047" xr:uid="{00000000-0005-0000-0000-0000FE030000}"/>
    <cellStyle name="dp*NumberLine 7 4 2 3" xfId="49410" xr:uid="{00000000-0005-0000-0000-0000FE030000}"/>
    <cellStyle name="dp*NumberLine 7 4 3" xfId="16932" xr:uid="{00000000-0005-0000-0000-0000FE030000}"/>
    <cellStyle name="dp*NumberLine 7 4 3 2" xfId="35281" xr:uid="{00000000-0005-0000-0000-0000FE030000}"/>
    <cellStyle name="dp*NumberLine 7 4 3 3" xfId="53644" xr:uid="{00000000-0005-0000-0000-0000FE030000}"/>
    <cellStyle name="dp*NumberLine 7 4 4" xfId="26066" xr:uid="{00000000-0005-0000-0000-0000FE030000}"/>
    <cellStyle name="dp*NumberLine 7 4 4 2" xfId="44435" xr:uid="{00000000-0005-0000-0000-0000FE030000}"/>
    <cellStyle name="dp*NumberLine 7 4 5" xfId="22359" xr:uid="{00000000-0005-0000-0000-0000FE030000}"/>
    <cellStyle name="dp*NumberLine 7 4 6" xfId="40728" xr:uid="{00000000-0005-0000-0000-0000FE030000}"/>
    <cellStyle name="dp*NumberLine 7 5" xfId="9002" xr:uid="{00000000-0005-0000-0000-0000FE030000}"/>
    <cellStyle name="dp*NumberLine 7 5 2" xfId="27730" xr:uid="{00000000-0005-0000-0000-0000FE030000}"/>
    <cellStyle name="dp*NumberLine 7 5 3" xfId="46093" xr:uid="{00000000-0005-0000-0000-0000FE030000}"/>
    <cellStyle name="dp*NumberLine 7 6" xfId="8422" xr:uid="{00000000-0005-0000-0000-0000FE030000}"/>
    <cellStyle name="dp*NumberLine 7 6 2" xfId="27483" xr:uid="{00000000-0005-0000-0000-0000FE030000}"/>
    <cellStyle name="dp*NumberLine 7 6 3" xfId="45847" xr:uid="{00000000-0005-0000-0000-0000FE030000}"/>
    <cellStyle name="dp*NumberLine 7 7" xfId="23239" xr:uid="{00000000-0005-0000-0000-0000FE030000}"/>
    <cellStyle name="dp*NumberLine 7 7 2" xfId="41608" xr:uid="{00000000-0005-0000-0000-0000FE030000}"/>
    <cellStyle name="dp*NumberLine 7 8" xfId="17828" xr:uid="{00000000-0005-0000-0000-0000FE030000}"/>
    <cellStyle name="dp*NumberLine 7 9" xfId="36241" xr:uid="{00000000-0005-0000-0000-0000FE030000}"/>
    <cellStyle name="dp*NumberLine 8" xfId="7081" xr:uid="{00000000-0005-0000-0000-0000EB030000}"/>
    <cellStyle name="dp*NumberLine 8 2" xfId="26711" xr:uid="{00000000-0005-0000-0000-0000EB030000}"/>
    <cellStyle name="dp*NumberLine 8 3" xfId="45079" xr:uid="{00000000-0005-0000-0000-0000EB030000}"/>
    <cellStyle name="dp*NumberLine_Summary" xfId="2351" xr:uid="{00000000-0005-0000-0000-0000FF030000}"/>
    <cellStyle name="dp*NumberLineEPS" xfId="422" xr:uid="{00000000-0005-0000-0000-000000040000}"/>
    <cellStyle name="dp*NumberLineEPS 2" xfId="1050" xr:uid="{00000000-0005-0000-0000-000001040000}"/>
    <cellStyle name="dp*NumberLineEPS 2 10" xfId="8778" xr:uid="{00000000-0005-0000-0000-000001040000}"/>
    <cellStyle name="dp*NumberLineEPS 2 10 2" xfId="27629" xr:uid="{00000000-0005-0000-0000-000001040000}"/>
    <cellStyle name="dp*NumberLineEPS 2 10 3" xfId="45992" xr:uid="{00000000-0005-0000-0000-000001040000}"/>
    <cellStyle name="dp*NumberLineEPS 2 11" xfId="7176" xr:uid="{00000000-0005-0000-0000-000001040000}"/>
    <cellStyle name="dp*NumberLineEPS 2 2" xfId="1242" xr:uid="{00000000-0005-0000-0000-000002040000}"/>
    <cellStyle name="dp*NumberLineEPS 2 2 10" xfId="10799" xr:uid="{00000000-0005-0000-0000-000002040000}"/>
    <cellStyle name="dp*NumberLineEPS 2 2 2" xfId="1645" xr:uid="{00000000-0005-0000-0000-000003040000}"/>
    <cellStyle name="dp*NumberLineEPS 2 2 2 10" xfId="18829" xr:uid="{00000000-0005-0000-0000-000003040000}"/>
    <cellStyle name="dp*NumberLineEPS 2 2 2 10 2" xfId="37238" xr:uid="{00000000-0005-0000-0000-000003040000}"/>
    <cellStyle name="dp*NumberLineEPS 2 2 2 11" xfId="8227" xr:uid="{00000000-0005-0000-0000-000003040000}"/>
    <cellStyle name="dp*NumberLineEPS 2 2 2 12" xfId="13789" xr:uid="{00000000-0005-0000-0000-000003040000}"/>
    <cellStyle name="dp*NumberLineEPS 2 2 2 2" xfId="1726" xr:uid="{00000000-0005-0000-0000-000004040000}"/>
    <cellStyle name="dp*NumberLineEPS 2 2 2 2 10" xfId="7632" xr:uid="{00000000-0005-0000-0000-000004040000}"/>
    <cellStyle name="dp*NumberLineEPS 2 2 2 2 2" xfId="3623" xr:uid="{00000000-0005-0000-0000-000004040000}"/>
    <cellStyle name="dp*NumberLineEPS 2 2 2 2 2 2" xfId="5796" xr:uid="{00000000-0005-0000-0000-000004040000}"/>
    <cellStyle name="dp*NumberLineEPS 2 2 2 2 2 2 2" xfId="12160" xr:uid="{00000000-0005-0000-0000-000004040000}"/>
    <cellStyle name="dp*NumberLineEPS 2 2 2 2 2 2 2 2" xfId="30607" xr:uid="{00000000-0005-0000-0000-000004040000}"/>
    <cellStyle name="dp*NumberLineEPS 2 2 2 2 2 2 2 3" xfId="48970" xr:uid="{00000000-0005-0000-0000-000004040000}"/>
    <cellStyle name="dp*NumberLineEPS 2 2 2 2 2 2 3" xfId="16486" xr:uid="{00000000-0005-0000-0000-000004040000}"/>
    <cellStyle name="dp*NumberLineEPS 2 2 2 2 2 2 3 2" xfId="34858" xr:uid="{00000000-0005-0000-0000-000004040000}"/>
    <cellStyle name="dp*NumberLineEPS 2 2 2 2 2 2 3 3" xfId="53221" xr:uid="{00000000-0005-0000-0000-000004040000}"/>
    <cellStyle name="dp*NumberLineEPS 2 2 2 2 2 2 4" xfId="25605" xr:uid="{00000000-0005-0000-0000-000004040000}"/>
    <cellStyle name="dp*NumberLineEPS 2 2 2 2 2 2 4 2" xfId="43974" xr:uid="{00000000-0005-0000-0000-000004040000}"/>
    <cellStyle name="dp*NumberLineEPS 2 2 2 2 2 2 5" xfId="21926" xr:uid="{00000000-0005-0000-0000-000004040000}"/>
    <cellStyle name="dp*NumberLineEPS 2 2 2 2 2 2 6" xfId="40305" xr:uid="{00000000-0005-0000-0000-000004040000}"/>
    <cellStyle name="dp*NumberLineEPS 2 2 2 2 2 3" xfId="6622" xr:uid="{00000000-0005-0000-0000-000004040000}"/>
    <cellStyle name="dp*NumberLineEPS 2 2 2 2 2 3 2" xfId="12913" xr:uid="{00000000-0005-0000-0000-000004040000}"/>
    <cellStyle name="dp*NumberLineEPS 2 2 2 2 2 3 2 2" xfId="31339" xr:uid="{00000000-0005-0000-0000-000004040000}"/>
    <cellStyle name="dp*NumberLineEPS 2 2 2 2 2 3 2 3" xfId="49702" xr:uid="{00000000-0005-0000-0000-000004040000}"/>
    <cellStyle name="dp*NumberLineEPS 2 2 2 2 2 3 3" xfId="17224" xr:uid="{00000000-0005-0000-0000-000004040000}"/>
    <cellStyle name="dp*NumberLineEPS 2 2 2 2 2 3 3 2" xfId="35572" xr:uid="{00000000-0005-0000-0000-000004040000}"/>
    <cellStyle name="dp*NumberLineEPS 2 2 2 2 2 3 3 3" xfId="53935" xr:uid="{00000000-0005-0000-0000-000004040000}"/>
    <cellStyle name="dp*NumberLineEPS 2 2 2 2 2 3 4" xfId="26357" xr:uid="{00000000-0005-0000-0000-000004040000}"/>
    <cellStyle name="dp*NumberLineEPS 2 2 2 2 2 3 4 2" xfId="44726" xr:uid="{00000000-0005-0000-0000-000004040000}"/>
    <cellStyle name="dp*NumberLineEPS 2 2 2 2 2 3 5" xfId="22650" xr:uid="{00000000-0005-0000-0000-000004040000}"/>
    <cellStyle name="dp*NumberLineEPS 2 2 2 2 2 3 6" xfId="41019" xr:uid="{00000000-0005-0000-0000-000004040000}"/>
    <cellStyle name="dp*NumberLineEPS 2 2 2 2 2 4" xfId="10336" xr:uid="{00000000-0005-0000-0000-000004040000}"/>
    <cellStyle name="dp*NumberLineEPS 2 2 2 2 2 4 2" xfId="14393" xr:uid="{00000000-0005-0000-0000-000004040000}"/>
    <cellStyle name="dp*NumberLineEPS 2 2 2 2 2 4 2 2" xfId="32809" xr:uid="{00000000-0005-0000-0000-000004040000}"/>
    <cellStyle name="dp*NumberLineEPS 2 2 2 2 2 4 2 3" xfId="51172" xr:uid="{00000000-0005-0000-0000-000004040000}"/>
    <cellStyle name="dp*NumberLineEPS 2 2 2 2 2 4 3" xfId="29047" xr:uid="{00000000-0005-0000-0000-000004040000}"/>
    <cellStyle name="dp*NumberLineEPS 2 2 2 2 2 4 3 2" xfId="47410" xr:uid="{00000000-0005-0000-0000-000004040000}"/>
    <cellStyle name="dp*NumberLineEPS 2 2 2 2 2 4 4" xfId="19850" xr:uid="{00000000-0005-0000-0000-000004040000}"/>
    <cellStyle name="dp*NumberLineEPS 2 2 2 2 2 4 5" xfId="38256" xr:uid="{00000000-0005-0000-0000-000004040000}"/>
    <cellStyle name="dp*NumberLineEPS 2 2 2 2 2 5" xfId="9544" xr:uid="{00000000-0005-0000-0000-000004040000}"/>
    <cellStyle name="dp*NumberLineEPS 2 2 2 2 2 5 2" xfId="28261" xr:uid="{00000000-0005-0000-0000-000004040000}"/>
    <cellStyle name="dp*NumberLineEPS 2 2 2 2 2 5 3" xfId="46624" xr:uid="{00000000-0005-0000-0000-000004040000}"/>
    <cellStyle name="dp*NumberLineEPS 2 2 2 2 2 6" xfId="13602" xr:uid="{00000000-0005-0000-0000-000004040000}"/>
    <cellStyle name="dp*NumberLineEPS 2 2 2 2 2 6 2" xfId="32023" xr:uid="{00000000-0005-0000-0000-000004040000}"/>
    <cellStyle name="dp*NumberLineEPS 2 2 2 2 2 6 3" xfId="50386" xr:uid="{00000000-0005-0000-0000-000004040000}"/>
    <cellStyle name="dp*NumberLineEPS 2 2 2 2 2 7" xfId="23531" xr:uid="{00000000-0005-0000-0000-000004040000}"/>
    <cellStyle name="dp*NumberLineEPS 2 2 2 2 2 7 2" xfId="41900" xr:uid="{00000000-0005-0000-0000-000004040000}"/>
    <cellStyle name="dp*NumberLineEPS 2 2 2 2 2 8" xfId="18643" xr:uid="{00000000-0005-0000-0000-000004040000}"/>
    <cellStyle name="dp*NumberLineEPS 2 2 2 2 2 9" xfId="37053" xr:uid="{00000000-0005-0000-0000-000004040000}"/>
    <cellStyle name="dp*NumberLineEPS 2 2 2 2 3" xfId="4663" xr:uid="{00000000-0005-0000-0000-000004040000}"/>
    <cellStyle name="dp*NumberLineEPS 2 2 2 2 3 2" xfId="11247" xr:uid="{00000000-0005-0000-0000-000004040000}"/>
    <cellStyle name="dp*NumberLineEPS 2 2 2 2 3 2 2" xfId="29859" xr:uid="{00000000-0005-0000-0000-000004040000}"/>
    <cellStyle name="dp*NumberLineEPS 2 2 2 2 3 2 3" xfId="48222" xr:uid="{00000000-0005-0000-0000-000004040000}"/>
    <cellStyle name="dp*NumberLineEPS 2 2 2 2 3 3" xfId="15389" xr:uid="{00000000-0005-0000-0000-000004040000}"/>
    <cellStyle name="dp*NumberLineEPS 2 2 2 2 3 3 2" xfId="33782" xr:uid="{00000000-0005-0000-0000-000004040000}"/>
    <cellStyle name="dp*NumberLineEPS 2 2 2 2 3 3 3" xfId="52145" xr:uid="{00000000-0005-0000-0000-000004040000}"/>
    <cellStyle name="dp*NumberLineEPS 2 2 2 2 3 4" xfId="24513" xr:uid="{00000000-0005-0000-0000-000004040000}"/>
    <cellStyle name="dp*NumberLineEPS 2 2 2 2 3 4 2" xfId="42882" xr:uid="{00000000-0005-0000-0000-000004040000}"/>
    <cellStyle name="dp*NumberLineEPS 2 2 2 2 3 5" xfId="20840" xr:uid="{00000000-0005-0000-0000-000004040000}"/>
    <cellStyle name="dp*NumberLineEPS 2 2 2 2 3 6" xfId="39229" xr:uid="{00000000-0005-0000-0000-000004040000}"/>
    <cellStyle name="dp*NumberLineEPS 2 2 2 2 4" xfId="4307" xr:uid="{00000000-0005-0000-0000-000004040000}"/>
    <cellStyle name="dp*NumberLineEPS 2 2 2 2 4 2" xfId="10917" xr:uid="{00000000-0005-0000-0000-000004040000}"/>
    <cellStyle name="dp*NumberLineEPS 2 2 2 2 4 2 2" xfId="29548" xr:uid="{00000000-0005-0000-0000-000004040000}"/>
    <cellStyle name="dp*NumberLineEPS 2 2 2 2 4 2 3" xfId="47911" xr:uid="{00000000-0005-0000-0000-000004040000}"/>
    <cellStyle name="dp*NumberLineEPS 2 2 2 2 4 3" xfId="15052" xr:uid="{00000000-0005-0000-0000-000004040000}"/>
    <cellStyle name="dp*NumberLineEPS 2 2 2 2 4 3 2" xfId="33454" xr:uid="{00000000-0005-0000-0000-000004040000}"/>
    <cellStyle name="dp*NumberLineEPS 2 2 2 2 4 3 3" xfId="51817" xr:uid="{00000000-0005-0000-0000-000004040000}"/>
    <cellStyle name="dp*NumberLineEPS 2 2 2 2 4 4" xfId="24183" xr:uid="{00000000-0005-0000-0000-000004040000}"/>
    <cellStyle name="dp*NumberLineEPS 2 2 2 2 4 4 2" xfId="42552" xr:uid="{00000000-0005-0000-0000-000004040000}"/>
    <cellStyle name="dp*NumberLineEPS 2 2 2 2 4 5" xfId="20504" xr:uid="{00000000-0005-0000-0000-000004040000}"/>
    <cellStyle name="dp*NumberLineEPS 2 2 2 2 4 6" xfId="38901" xr:uid="{00000000-0005-0000-0000-000004040000}"/>
    <cellStyle name="dp*NumberLineEPS 2 2 2 2 5" xfId="9076" xr:uid="{00000000-0005-0000-0000-000004040000}"/>
    <cellStyle name="dp*NumberLineEPS 2 2 2 2 5 2" xfId="4999" xr:uid="{00000000-0005-0000-0000-000004040000}"/>
    <cellStyle name="dp*NumberLineEPS 2 2 2 2 5 2 2" xfId="24838" xr:uid="{00000000-0005-0000-0000-000004040000}"/>
    <cellStyle name="dp*NumberLineEPS 2 2 2 2 5 2 3" xfId="43207" xr:uid="{00000000-0005-0000-0000-000004040000}"/>
    <cellStyle name="dp*NumberLineEPS 2 2 2 2 5 3" xfId="27802" xr:uid="{00000000-0005-0000-0000-000004040000}"/>
    <cellStyle name="dp*NumberLineEPS 2 2 2 2 5 3 2" xfId="46165" xr:uid="{00000000-0005-0000-0000-000004040000}"/>
    <cellStyle name="dp*NumberLineEPS 2 2 2 2 5 4" xfId="17976" xr:uid="{00000000-0005-0000-0000-000004040000}"/>
    <cellStyle name="dp*NumberLineEPS 2 2 2 2 5 5" xfId="36384" xr:uid="{00000000-0005-0000-0000-000004040000}"/>
    <cellStyle name="dp*NumberLineEPS 2 2 2 2 6" xfId="7957" xr:uid="{00000000-0005-0000-0000-000004040000}"/>
    <cellStyle name="dp*NumberLineEPS 2 2 2 2 6 2" xfId="27187" xr:uid="{00000000-0005-0000-0000-000004040000}"/>
    <cellStyle name="dp*NumberLineEPS 2 2 2 2 6 3" xfId="45552" xr:uid="{00000000-0005-0000-0000-000004040000}"/>
    <cellStyle name="dp*NumberLineEPS 2 2 2 2 7" xfId="8351" xr:uid="{00000000-0005-0000-0000-000004040000}"/>
    <cellStyle name="dp*NumberLineEPS 2 2 2 2 7 2" xfId="27418" xr:uid="{00000000-0005-0000-0000-000004040000}"/>
    <cellStyle name="dp*NumberLineEPS 2 2 2 2 7 3" xfId="45782" xr:uid="{00000000-0005-0000-0000-000004040000}"/>
    <cellStyle name="dp*NumberLineEPS 2 2 2 2 8" xfId="18886" xr:uid="{00000000-0005-0000-0000-000004040000}"/>
    <cellStyle name="dp*NumberLineEPS 2 2 2 2 8 2" xfId="37295" xr:uid="{00000000-0005-0000-0000-000004040000}"/>
    <cellStyle name="dp*NumberLineEPS 2 2 2 2 9" xfId="7060" xr:uid="{00000000-0005-0000-0000-000004040000}"/>
    <cellStyle name="dp*NumberLineEPS 2 2 2 3" xfId="1756" xr:uid="{00000000-0005-0000-0000-000005040000}"/>
    <cellStyle name="dp*NumberLineEPS 2 2 2 3 10" xfId="7288" xr:uid="{00000000-0005-0000-0000-000005040000}"/>
    <cellStyle name="dp*NumberLineEPS 2 2 2 3 2" xfId="3653" xr:uid="{00000000-0005-0000-0000-000005040000}"/>
    <cellStyle name="dp*NumberLineEPS 2 2 2 3 2 2" xfId="5826" xr:uid="{00000000-0005-0000-0000-000005040000}"/>
    <cellStyle name="dp*NumberLineEPS 2 2 2 3 2 2 2" xfId="12190" xr:uid="{00000000-0005-0000-0000-000005040000}"/>
    <cellStyle name="dp*NumberLineEPS 2 2 2 3 2 2 2 2" xfId="30637" xr:uid="{00000000-0005-0000-0000-000005040000}"/>
    <cellStyle name="dp*NumberLineEPS 2 2 2 3 2 2 2 3" xfId="49000" xr:uid="{00000000-0005-0000-0000-000005040000}"/>
    <cellStyle name="dp*NumberLineEPS 2 2 2 3 2 2 3" xfId="16516" xr:uid="{00000000-0005-0000-0000-000005040000}"/>
    <cellStyle name="dp*NumberLineEPS 2 2 2 3 2 2 3 2" xfId="34888" xr:uid="{00000000-0005-0000-0000-000005040000}"/>
    <cellStyle name="dp*NumberLineEPS 2 2 2 3 2 2 3 3" xfId="53251" xr:uid="{00000000-0005-0000-0000-000005040000}"/>
    <cellStyle name="dp*NumberLineEPS 2 2 2 3 2 2 4" xfId="25635" xr:uid="{00000000-0005-0000-0000-000005040000}"/>
    <cellStyle name="dp*NumberLineEPS 2 2 2 3 2 2 4 2" xfId="44004" xr:uid="{00000000-0005-0000-0000-000005040000}"/>
    <cellStyle name="dp*NumberLineEPS 2 2 2 3 2 2 5" xfId="21956" xr:uid="{00000000-0005-0000-0000-000005040000}"/>
    <cellStyle name="dp*NumberLineEPS 2 2 2 3 2 2 6" xfId="40335" xr:uid="{00000000-0005-0000-0000-000005040000}"/>
    <cellStyle name="dp*NumberLineEPS 2 2 2 3 2 3" xfId="6652" xr:uid="{00000000-0005-0000-0000-000005040000}"/>
    <cellStyle name="dp*NumberLineEPS 2 2 2 3 2 3 2" xfId="12943" xr:uid="{00000000-0005-0000-0000-000005040000}"/>
    <cellStyle name="dp*NumberLineEPS 2 2 2 3 2 3 2 2" xfId="31369" xr:uid="{00000000-0005-0000-0000-000005040000}"/>
    <cellStyle name="dp*NumberLineEPS 2 2 2 3 2 3 2 3" xfId="49732" xr:uid="{00000000-0005-0000-0000-000005040000}"/>
    <cellStyle name="dp*NumberLineEPS 2 2 2 3 2 3 3" xfId="17254" xr:uid="{00000000-0005-0000-0000-000005040000}"/>
    <cellStyle name="dp*NumberLineEPS 2 2 2 3 2 3 3 2" xfId="35602" xr:uid="{00000000-0005-0000-0000-000005040000}"/>
    <cellStyle name="dp*NumberLineEPS 2 2 2 3 2 3 3 3" xfId="53965" xr:uid="{00000000-0005-0000-0000-000005040000}"/>
    <cellStyle name="dp*NumberLineEPS 2 2 2 3 2 3 4" xfId="26387" xr:uid="{00000000-0005-0000-0000-000005040000}"/>
    <cellStyle name="dp*NumberLineEPS 2 2 2 3 2 3 4 2" xfId="44756" xr:uid="{00000000-0005-0000-0000-000005040000}"/>
    <cellStyle name="dp*NumberLineEPS 2 2 2 3 2 3 5" xfId="22680" xr:uid="{00000000-0005-0000-0000-000005040000}"/>
    <cellStyle name="dp*NumberLineEPS 2 2 2 3 2 3 6" xfId="41049" xr:uid="{00000000-0005-0000-0000-000005040000}"/>
    <cellStyle name="dp*NumberLineEPS 2 2 2 3 2 4" xfId="10366" xr:uid="{00000000-0005-0000-0000-000005040000}"/>
    <cellStyle name="dp*NumberLineEPS 2 2 2 3 2 4 2" xfId="14423" xr:uid="{00000000-0005-0000-0000-000005040000}"/>
    <cellStyle name="dp*NumberLineEPS 2 2 2 3 2 4 2 2" xfId="32839" xr:uid="{00000000-0005-0000-0000-000005040000}"/>
    <cellStyle name="dp*NumberLineEPS 2 2 2 3 2 4 2 3" xfId="51202" xr:uid="{00000000-0005-0000-0000-000005040000}"/>
    <cellStyle name="dp*NumberLineEPS 2 2 2 3 2 4 3" xfId="29077" xr:uid="{00000000-0005-0000-0000-000005040000}"/>
    <cellStyle name="dp*NumberLineEPS 2 2 2 3 2 4 3 2" xfId="47440" xr:uid="{00000000-0005-0000-0000-000005040000}"/>
    <cellStyle name="dp*NumberLineEPS 2 2 2 3 2 4 4" xfId="19880" xr:uid="{00000000-0005-0000-0000-000005040000}"/>
    <cellStyle name="dp*NumberLineEPS 2 2 2 3 2 4 5" xfId="38286" xr:uid="{00000000-0005-0000-0000-000005040000}"/>
    <cellStyle name="dp*NumberLineEPS 2 2 2 3 2 5" xfId="9574" xr:uid="{00000000-0005-0000-0000-000005040000}"/>
    <cellStyle name="dp*NumberLineEPS 2 2 2 3 2 5 2" xfId="28291" xr:uid="{00000000-0005-0000-0000-000005040000}"/>
    <cellStyle name="dp*NumberLineEPS 2 2 2 3 2 5 3" xfId="46654" xr:uid="{00000000-0005-0000-0000-000005040000}"/>
    <cellStyle name="dp*NumberLineEPS 2 2 2 3 2 6" xfId="13632" xr:uid="{00000000-0005-0000-0000-000005040000}"/>
    <cellStyle name="dp*NumberLineEPS 2 2 2 3 2 6 2" xfId="32053" xr:uid="{00000000-0005-0000-0000-000005040000}"/>
    <cellStyle name="dp*NumberLineEPS 2 2 2 3 2 6 3" xfId="50416" xr:uid="{00000000-0005-0000-0000-000005040000}"/>
    <cellStyle name="dp*NumberLineEPS 2 2 2 3 2 7" xfId="23561" xr:uid="{00000000-0005-0000-0000-000005040000}"/>
    <cellStyle name="dp*NumberLineEPS 2 2 2 3 2 7 2" xfId="41930" xr:uid="{00000000-0005-0000-0000-000005040000}"/>
    <cellStyle name="dp*NumberLineEPS 2 2 2 3 2 8" xfId="18673" xr:uid="{00000000-0005-0000-0000-000005040000}"/>
    <cellStyle name="dp*NumberLineEPS 2 2 2 3 2 9" xfId="37083" xr:uid="{00000000-0005-0000-0000-000005040000}"/>
    <cellStyle name="dp*NumberLineEPS 2 2 2 3 3" xfId="4693" xr:uid="{00000000-0005-0000-0000-000005040000}"/>
    <cellStyle name="dp*NumberLineEPS 2 2 2 3 3 2" xfId="11277" xr:uid="{00000000-0005-0000-0000-000005040000}"/>
    <cellStyle name="dp*NumberLineEPS 2 2 2 3 3 2 2" xfId="29889" xr:uid="{00000000-0005-0000-0000-000005040000}"/>
    <cellStyle name="dp*NumberLineEPS 2 2 2 3 3 2 3" xfId="48252" xr:uid="{00000000-0005-0000-0000-000005040000}"/>
    <cellStyle name="dp*NumberLineEPS 2 2 2 3 3 3" xfId="15419" xr:uid="{00000000-0005-0000-0000-000005040000}"/>
    <cellStyle name="dp*NumberLineEPS 2 2 2 3 3 3 2" xfId="33812" xr:uid="{00000000-0005-0000-0000-000005040000}"/>
    <cellStyle name="dp*NumberLineEPS 2 2 2 3 3 3 3" xfId="52175" xr:uid="{00000000-0005-0000-0000-000005040000}"/>
    <cellStyle name="dp*NumberLineEPS 2 2 2 3 3 4" xfId="24543" xr:uid="{00000000-0005-0000-0000-000005040000}"/>
    <cellStyle name="dp*NumberLineEPS 2 2 2 3 3 4 2" xfId="42912" xr:uid="{00000000-0005-0000-0000-000005040000}"/>
    <cellStyle name="dp*NumberLineEPS 2 2 2 3 3 5" xfId="20870" xr:uid="{00000000-0005-0000-0000-000005040000}"/>
    <cellStyle name="dp*NumberLineEPS 2 2 2 3 3 6" xfId="39259" xr:uid="{00000000-0005-0000-0000-000005040000}"/>
    <cellStyle name="dp*NumberLineEPS 2 2 2 3 4" xfId="5027" xr:uid="{00000000-0005-0000-0000-000005040000}"/>
    <cellStyle name="dp*NumberLineEPS 2 2 2 3 4 2" xfId="11550" xr:uid="{00000000-0005-0000-0000-000005040000}"/>
    <cellStyle name="dp*NumberLineEPS 2 2 2 3 4 2 2" xfId="30122" xr:uid="{00000000-0005-0000-0000-000005040000}"/>
    <cellStyle name="dp*NumberLineEPS 2 2 2 3 4 2 3" xfId="48485" xr:uid="{00000000-0005-0000-0000-000005040000}"/>
    <cellStyle name="dp*NumberLineEPS 2 2 2 3 4 3" xfId="15740" xr:uid="{00000000-0005-0000-0000-000005040000}"/>
    <cellStyle name="dp*NumberLineEPS 2 2 2 3 4 3 2" xfId="34128" xr:uid="{00000000-0005-0000-0000-000005040000}"/>
    <cellStyle name="dp*NumberLineEPS 2 2 2 3 4 3 3" xfId="52491" xr:uid="{00000000-0005-0000-0000-000005040000}"/>
    <cellStyle name="dp*NumberLineEPS 2 2 2 3 4 4" xfId="24864" xr:uid="{00000000-0005-0000-0000-000005040000}"/>
    <cellStyle name="dp*NumberLineEPS 2 2 2 3 4 4 2" xfId="43233" xr:uid="{00000000-0005-0000-0000-000005040000}"/>
    <cellStyle name="dp*NumberLineEPS 2 2 2 3 4 5" xfId="21188" xr:uid="{00000000-0005-0000-0000-000005040000}"/>
    <cellStyle name="dp*NumberLineEPS 2 2 2 3 4 6" xfId="39575" xr:uid="{00000000-0005-0000-0000-000005040000}"/>
    <cellStyle name="dp*NumberLineEPS 2 2 2 3 5" xfId="9700" xr:uid="{00000000-0005-0000-0000-000005040000}"/>
    <cellStyle name="dp*NumberLineEPS 2 2 2 3 5 2" xfId="13757" xr:uid="{00000000-0005-0000-0000-000005040000}"/>
    <cellStyle name="dp*NumberLineEPS 2 2 2 3 5 2 2" xfId="32178" xr:uid="{00000000-0005-0000-0000-000005040000}"/>
    <cellStyle name="dp*NumberLineEPS 2 2 2 3 5 2 3" xfId="50541" xr:uid="{00000000-0005-0000-0000-000005040000}"/>
    <cellStyle name="dp*NumberLineEPS 2 2 2 3 5 3" xfId="28416" xr:uid="{00000000-0005-0000-0000-000005040000}"/>
    <cellStyle name="dp*NumberLineEPS 2 2 2 3 5 3 2" xfId="46779" xr:uid="{00000000-0005-0000-0000-000005040000}"/>
    <cellStyle name="dp*NumberLineEPS 2 2 2 3 5 4" xfId="18847" xr:uid="{00000000-0005-0000-0000-000005040000}"/>
    <cellStyle name="dp*NumberLineEPS 2 2 2 3 5 5" xfId="37256" xr:uid="{00000000-0005-0000-0000-000005040000}"/>
    <cellStyle name="dp*NumberLineEPS 2 2 2 3 6" xfId="7987" xr:uid="{00000000-0005-0000-0000-000005040000}"/>
    <cellStyle name="dp*NumberLineEPS 2 2 2 3 6 2" xfId="27217" xr:uid="{00000000-0005-0000-0000-000005040000}"/>
    <cellStyle name="dp*NumberLineEPS 2 2 2 3 6 3" xfId="45582" xr:uid="{00000000-0005-0000-0000-000005040000}"/>
    <cellStyle name="dp*NumberLineEPS 2 2 2 3 7" xfId="7668" xr:uid="{00000000-0005-0000-0000-000005040000}"/>
    <cellStyle name="dp*NumberLineEPS 2 2 2 3 7 2" xfId="26952" xr:uid="{00000000-0005-0000-0000-000005040000}"/>
    <cellStyle name="dp*NumberLineEPS 2 2 2 3 7 3" xfId="45317" xr:uid="{00000000-0005-0000-0000-000005040000}"/>
    <cellStyle name="dp*NumberLineEPS 2 2 2 3 8" xfId="18279" xr:uid="{00000000-0005-0000-0000-000005040000}"/>
    <cellStyle name="dp*NumberLineEPS 2 2 2 3 8 2" xfId="36685" xr:uid="{00000000-0005-0000-0000-000005040000}"/>
    <cellStyle name="dp*NumberLineEPS 2 2 2 3 9" xfId="7064" xr:uid="{00000000-0005-0000-0000-000005040000}"/>
    <cellStyle name="dp*NumberLineEPS 2 2 2 4" xfId="1784" xr:uid="{00000000-0005-0000-0000-000006040000}"/>
    <cellStyle name="dp*NumberLineEPS 2 2 2 4 10" xfId="8483" xr:uid="{00000000-0005-0000-0000-000006040000}"/>
    <cellStyle name="dp*NumberLineEPS 2 2 2 4 2" xfId="3681" xr:uid="{00000000-0005-0000-0000-000006040000}"/>
    <cellStyle name="dp*NumberLineEPS 2 2 2 4 2 2" xfId="5854" xr:uid="{00000000-0005-0000-0000-000006040000}"/>
    <cellStyle name="dp*NumberLineEPS 2 2 2 4 2 2 2" xfId="12218" xr:uid="{00000000-0005-0000-0000-000006040000}"/>
    <cellStyle name="dp*NumberLineEPS 2 2 2 4 2 2 2 2" xfId="30665" xr:uid="{00000000-0005-0000-0000-000006040000}"/>
    <cellStyle name="dp*NumberLineEPS 2 2 2 4 2 2 2 3" xfId="49028" xr:uid="{00000000-0005-0000-0000-000006040000}"/>
    <cellStyle name="dp*NumberLineEPS 2 2 2 4 2 2 3" xfId="16544" xr:uid="{00000000-0005-0000-0000-000006040000}"/>
    <cellStyle name="dp*NumberLineEPS 2 2 2 4 2 2 3 2" xfId="34916" xr:uid="{00000000-0005-0000-0000-000006040000}"/>
    <cellStyle name="dp*NumberLineEPS 2 2 2 4 2 2 3 3" xfId="53279" xr:uid="{00000000-0005-0000-0000-000006040000}"/>
    <cellStyle name="dp*NumberLineEPS 2 2 2 4 2 2 4" xfId="25663" xr:uid="{00000000-0005-0000-0000-000006040000}"/>
    <cellStyle name="dp*NumberLineEPS 2 2 2 4 2 2 4 2" xfId="44032" xr:uid="{00000000-0005-0000-0000-000006040000}"/>
    <cellStyle name="dp*NumberLineEPS 2 2 2 4 2 2 5" xfId="21984" xr:uid="{00000000-0005-0000-0000-000006040000}"/>
    <cellStyle name="dp*NumberLineEPS 2 2 2 4 2 2 6" xfId="40363" xr:uid="{00000000-0005-0000-0000-000006040000}"/>
    <cellStyle name="dp*NumberLineEPS 2 2 2 4 2 3" xfId="6680" xr:uid="{00000000-0005-0000-0000-000006040000}"/>
    <cellStyle name="dp*NumberLineEPS 2 2 2 4 2 3 2" xfId="12971" xr:uid="{00000000-0005-0000-0000-000006040000}"/>
    <cellStyle name="dp*NumberLineEPS 2 2 2 4 2 3 2 2" xfId="31397" xr:uid="{00000000-0005-0000-0000-000006040000}"/>
    <cellStyle name="dp*NumberLineEPS 2 2 2 4 2 3 2 3" xfId="49760" xr:uid="{00000000-0005-0000-0000-000006040000}"/>
    <cellStyle name="dp*NumberLineEPS 2 2 2 4 2 3 3" xfId="17282" xr:uid="{00000000-0005-0000-0000-000006040000}"/>
    <cellStyle name="dp*NumberLineEPS 2 2 2 4 2 3 3 2" xfId="35630" xr:uid="{00000000-0005-0000-0000-000006040000}"/>
    <cellStyle name="dp*NumberLineEPS 2 2 2 4 2 3 3 3" xfId="53993" xr:uid="{00000000-0005-0000-0000-000006040000}"/>
    <cellStyle name="dp*NumberLineEPS 2 2 2 4 2 3 4" xfId="26415" xr:uid="{00000000-0005-0000-0000-000006040000}"/>
    <cellStyle name="dp*NumberLineEPS 2 2 2 4 2 3 4 2" xfId="44784" xr:uid="{00000000-0005-0000-0000-000006040000}"/>
    <cellStyle name="dp*NumberLineEPS 2 2 2 4 2 3 5" xfId="22708" xr:uid="{00000000-0005-0000-0000-000006040000}"/>
    <cellStyle name="dp*NumberLineEPS 2 2 2 4 2 3 6" xfId="41077" xr:uid="{00000000-0005-0000-0000-000006040000}"/>
    <cellStyle name="dp*NumberLineEPS 2 2 2 4 2 4" xfId="10394" xr:uid="{00000000-0005-0000-0000-000006040000}"/>
    <cellStyle name="dp*NumberLineEPS 2 2 2 4 2 4 2" xfId="14451" xr:uid="{00000000-0005-0000-0000-000006040000}"/>
    <cellStyle name="dp*NumberLineEPS 2 2 2 4 2 4 2 2" xfId="32867" xr:uid="{00000000-0005-0000-0000-000006040000}"/>
    <cellStyle name="dp*NumberLineEPS 2 2 2 4 2 4 2 3" xfId="51230" xr:uid="{00000000-0005-0000-0000-000006040000}"/>
    <cellStyle name="dp*NumberLineEPS 2 2 2 4 2 4 3" xfId="29105" xr:uid="{00000000-0005-0000-0000-000006040000}"/>
    <cellStyle name="dp*NumberLineEPS 2 2 2 4 2 4 3 2" xfId="47468" xr:uid="{00000000-0005-0000-0000-000006040000}"/>
    <cellStyle name="dp*NumberLineEPS 2 2 2 4 2 4 4" xfId="19908" xr:uid="{00000000-0005-0000-0000-000006040000}"/>
    <cellStyle name="dp*NumberLineEPS 2 2 2 4 2 4 5" xfId="38314" xr:uid="{00000000-0005-0000-0000-000006040000}"/>
    <cellStyle name="dp*NumberLineEPS 2 2 2 4 2 5" xfId="9602" xr:uid="{00000000-0005-0000-0000-000006040000}"/>
    <cellStyle name="dp*NumberLineEPS 2 2 2 4 2 5 2" xfId="28319" xr:uid="{00000000-0005-0000-0000-000006040000}"/>
    <cellStyle name="dp*NumberLineEPS 2 2 2 4 2 5 3" xfId="46682" xr:uid="{00000000-0005-0000-0000-000006040000}"/>
    <cellStyle name="dp*NumberLineEPS 2 2 2 4 2 6" xfId="13660" xr:uid="{00000000-0005-0000-0000-000006040000}"/>
    <cellStyle name="dp*NumberLineEPS 2 2 2 4 2 6 2" xfId="32081" xr:uid="{00000000-0005-0000-0000-000006040000}"/>
    <cellStyle name="dp*NumberLineEPS 2 2 2 4 2 6 3" xfId="50444" xr:uid="{00000000-0005-0000-0000-000006040000}"/>
    <cellStyle name="dp*NumberLineEPS 2 2 2 4 2 7" xfId="23589" xr:uid="{00000000-0005-0000-0000-000006040000}"/>
    <cellStyle name="dp*NumberLineEPS 2 2 2 4 2 7 2" xfId="41958" xr:uid="{00000000-0005-0000-0000-000006040000}"/>
    <cellStyle name="dp*NumberLineEPS 2 2 2 4 2 8" xfId="18701" xr:uid="{00000000-0005-0000-0000-000006040000}"/>
    <cellStyle name="dp*NumberLineEPS 2 2 2 4 2 9" xfId="37111" xr:uid="{00000000-0005-0000-0000-000006040000}"/>
    <cellStyle name="dp*NumberLineEPS 2 2 2 4 3" xfId="4721" xr:uid="{00000000-0005-0000-0000-000006040000}"/>
    <cellStyle name="dp*NumberLineEPS 2 2 2 4 3 2" xfId="11305" xr:uid="{00000000-0005-0000-0000-000006040000}"/>
    <cellStyle name="dp*NumberLineEPS 2 2 2 4 3 2 2" xfId="29917" xr:uid="{00000000-0005-0000-0000-000006040000}"/>
    <cellStyle name="dp*NumberLineEPS 2 2 2 4 3 2 3" xfId="48280" xr:uid="{00000000-0005-0000-0000-000006040000}"/>
    <cellStyle name="dp*NumberLineEPS 2 2 2 4 3 3" xfId="15447" xr:uid="{00000000-0005-0000-0000-000006040000}"/>
    <cellStyle name="dp*NumberLineEPS 2 2 2 4 3 3 2" xfId="33840" xr:uid="{00000000-0005-0000-0000-000006040000}"/>
    <cellStyle name="dp*NumberLineEPS 2 2 2 4 3 3 3" xfId="52203" xr:uid="{00000000-0005-0000-0000-000006040000}"/>
    <cellStyle name="dp*NumberLineEPS 2 2 2 4 3 4" xfId="24571" xr:uid="{00000000-0005-0000-0000-000006040000}"/>
    <cellStyle name="dp*NumberLineEPS 2 2 2 4 3 4 2" xfId="42940" xr:uid="{00000000-0005-0000-0000-000006040000}"/>
    <cellStyle name="dp*NumberLineEPS 2 2 2 4 3 5" xfId="20898" xr:uid="{00000000-0005-0000-0000-000006040000}"/>
    <cellStyle name="dp*NumberLineEPS 2 2 2 4 3 6" xfId="39287" xr:uid="{00000000-0005-0000-0000-000006040000}"/>
    <cellStyle name="dp*NumberLineEPS 2 2 2 4 4" xfId="5478" xr:uid="{00000000-0005-0000-0000-000006040000}"/>
    <cellStyle name="dp*NumberLineEPS 2 2 2 4 4 2" xfId="11848" xr:uid="{00000000-0005-0000-0000-000006040000}"/>
    <cellStyle name="dp*NumberLineEPS 2 2 2 4 4 2 2" xfId="30297" xr:uid="{00000000-0005-0000-0000-000006040000}"/>
    <cellStyle name="dp*NumberLineEPS 2 2 2 4 4 2 3" xfId="48660" xr:uid="{00000000-0005-0000-0000-000006040000}"/>
    <cellStyle name="dp*NumberLineEPS 2 2 2 4 4 3" xfId="16169" xr:uid="{00000000-0005-0000-0000-000006040000}"/>
    <cellStyle name="dp*NumberLineEPS 2 2 2 4 4 3 2" xfId="34541" xr:uid="{00000000-0005-0000-0000-000006040000}"/>
    <cellStyle name="dp*NumberLineEPS 2 2 2 4 4 3 3" xfId="52904" xr:uid="{00000000-0005-0000-0000-000006040000}"/>
    <cellStyle name="dp*NumberLineEPS 2 2 2 4 4 4" xfId="25288" xr:uid="{00000000-0005-0000-0000-000006040000}"/>
    <cellStyle name="dp*NumberLineEPS 2 2 2 4 4 4 2" xfId="43657" xr:uid="{00000000-0005-0000-0000-000006040000}"/>
    <cellStyle name="dp*NumberLineEPS 2 2 2 4 4 5" xfId="21609" xr:uid="{00000000-0005-0000-0000-000006040000}"/>
    <cellStyle name="dp*NumberLineEPS 2 2 2 4 4 6" xfId="39988" xr:uid="{00000000-0005-0000-0000-000006040000}"/>
    <cellStyle name="dp*NumberLineEPS 2 2 2 4 5" xfId="9058" xr:uid="{00000000-0005-0000-0000-000006040000}"/>
    <cellStyle name="dp*NumberLineEPS 2 2 2 4 5 2" xfId="8147" xr:uid="{00000000-0005-0000-0000-000006040000}"/>
    <cellStyle name="dp*NumberLineEPS 2 2 2 4 5 2 2" xfId="27351" xr:uid="{00000000-0005-0000-0000-000006040000}"/>
    <cellStyle name="dp*NumberLineEPS 2 2 2 4 5 2 3" xfId="45716" xr:uid="{00000000-0005-0000-0000-000006040000}"/>
    <cellStyle name="dp*NumberLineEPS 2 2 2 4 5 3" xfId="27784" xr:uid="{00000000-0005-0000-0000-000006040000}"/>
    <cellStyle name="dp*NumberLineEPS 2 2 2 4 5 3 2" xfId="46147" xr:uid="{00000000-0005-0000-0000-000006040000}"/>
    <cellStyle name="dp*NumberLineEPS 2 2 2 4 5 4" xfId="17958" xr:uid="{00000000-0005-0000-0000-000006040000}"/>
    <cellStyle name="dp*NumberLineEPS 2 2 2 4 5 5" xfId="36366" xr:uid="{00000000-0005-0000-0000-000006040000}"/>
    <cellStyle name="dp*NumberLineEPS 2 2 2 4 6" xfId="8015" xr:uid="{00000000-0005-0000-0000-000006040000}"/>
    <cellStyle name="dp*NumberLineEPS 2 2 2 4 6 2" xfId="27245" xr:uid="{00000000-0005-0000-0000-000006040000}"/>
    <cellStyle name="dp*NumberLineEPS 2 2 2 4 6 3" xfId="45610" xr:uid="{00000000-0005-0000-0000-000006040000}"/>
    <cellStyle name="dp*NumberLineEPS 2 2 2 4 7" xfId="7483" xr:uid="{00000000-0005-0000-0000-000006040000}"/>
    <cellStyle name="dp*NumberLineEPS 2 2 2 4 7 2" xfId="26849" xr:uid="{00000000-0005-0000-0000-000006040000}"/>
    <cellStyle name="dp*NumberLineEPS 2 2 2 4 7 3" xfId="45214" xr:uid="{00000000-0005-0000-0000-000006040000}"/>
    <cellStyle name="dp*NumberLineEPS 2 2 2 4 8" xfId="17947" xr:uid="{00000000-0005-0000-0000-000006040000}"/>
    <cellStyle name="dp*NumberLineEPS 2 2 2 4 8 2" xfId="36355" xr:uid="{00000000-0005-0000-0000-000006040000}"/>
    <cellStyle name="dp*NumberLineEPS 2 2 2 4 9" xfId="14833" xr:uid="{00000000-0005-0000-0000-000006040000}"/>
    <cellStyle name="dp*NumberLineEPS 2 2 2 5" xfId="3557" xr:uid="{00000000-0005-0000-0000-000003040000}"/>
    <cellStyle name="dp*NumberLineEPS 2 2 2 5 2" xfId="5730" xr:uid="{00000000-0005-0000-0000-000003040000}"/>
    <cellStyle name="dp*NumberLineEPS 2 2 2 5 2 2" xfId="12094" xr:uid="{00000000-0005-0000-0000-000003040000}"/>
    <cellStyle name="dp*NumberLineEPS 2 2 2 5 2 2 2" xfId="30541" xr:uid="{00000000-0005-0000-0000-000003040000}"/>
    <cellStyle name="dp*NumberLineEPS 2 2 2 5 2 2 3" xfId="48904" xr:uid="{00000000-0005-0000-0000-000003040000}"/>
    <cellStyle name="dp*NumberLineEPS 2 2 2 5 2 3" xfId="16420" xr:uid="{00000000-0005-0000-0000-000003040000}"/>
    <cellStyle name="dp*NumberLineEPS 2 2 2 5 2 3 2" xfId="34792" xr:uid="{00000000-0005-0000-0000-000003040000}"/>
    <cellStyle name="dp*NumberLineEPS 2 2 2 5 2 3 3" xfId="53155" xr:uid="{00000000-0005-0000-0000-000003040000}"/>
    <cellStyle name="dp*NumberLineEPS 2 2 2 5 2 4" xfId="25539" xr:uid="{00000000-0005-0000-0000-000003040000}"/>
    <cellStyle name="dp*NumberLineEPS 2 2 2 5 2 4 2" xfId="43908" xr:uid="{00000000-0005-0000-0000-000003040000}"/>
    <cellStyle name="dp*NumberLineEPS 2 2 2 5 2 5" xfId="21860" xr:uid="{00000000-0005-0000-0000-000003040000}"/>
    <cellStyle name="dp*NumberLineEPS 2 2 2 5 2 6" xfId="40239" xr:uid="{00000000-0005-0000-0000-000003040000}"/>
    <cellStyle name="dp*NumberLineEPS 2 2 2 5 3" xfId="6556" xr:uid="{00000000-0005-0000-0000-000003040000}"/>
    <cellStyle name="dp*NumberLineEPS 2 2 2 5 3 2" xfId="12847" xr:uid="{00000000-0005-0000-0000-000003040000}"/>
    <cellStyle name="dp*NumberLineEPS 2 2 2 5 3 2 2" xfId="31273" xr:uid="{00000000-0005-0000-0000-000003040000}"/>
    <cellStyle name="dp*NumberLineEPS 2 2 2 5 3 2 3" xfId="49636" xr:uid="{00000000-0005-0000-0000-000003040000}"/>
    <cellStyle name="dp*NumberLineEPS 2 2 2 5 3 3" xfId="17158" xr:uid="{00000000-0005-0000-0000-000003040000}"/>
    <cellStyle name="dp*NumberLineEPS 2 2 2 5 3 3 2" xfId="35506" xr:uid="{00000000-0005-0000-0000-000003040000}"/>
    <cellStyle name="dp*NumberLineEPS 2 2 2 5 3 3 3" xfId="53869" xr:uid="{00000000-0005-0000-0000-000003040000}"/>
    <cellStyle name="dp*NumberLineEPS 2 2 2 5 3 4" xfId="26291" xr:uid="{00000000-0005-0000-0000-000003040000}"/>
    <cellStyle name="dp*NumberLineEPS 2 2 2 5 3 4 2" xfId="44660" xr:uid="{00000000-0005-0000-0000-000003040000}"/>
    <cellStyle name="dp*NumberLineEPS 2 2 2 5 3 5" xfId="22584" xr:uid="{00000000-0005-0000-0000-000003040000}"/>
    <cellStyle name="dp*NumberLineEPS 2 2 2 5 3 6" xfId="40953" xr:uid="{00000000-0005-0000-0000-000003040000}"/>
    <cellStyle name="dp*NumberLineEPS 2 2 2 5 4" xfId="10270" xr:uid="{00000000-0005-0000-0000-000003040000}"/>
    <cellStyle name="dp*NumberLineEPS 2 2 2 5 4 2" xfId="14327" xr:uid="{00000000-0005-0000-0000-000003040000}"/>
    <cellStyle name="dp*NumberLineEPS 2 2 2 5 4 2 2" xfId="32743" xr:uid="{00000000-0005-0000-0000-000003040000}"/>
    <cellStyle name="dp*NumberLineEPS 2 2 2 5 4 2 3" xfId="51106" xr:uid="{00000000-0005-0000-0000-000003040000}"/>
    <cellStyle name="dp*NumberLineEPS 2 2 2 5 4 3" xfId="28981" xr:uid="{00000000-0005-0000-0000-000003040000}"/>
    <cellStyle name="dp*NumberLineEPS 2 2 2 5 4 3 2" xfId="47344" xr:uid="{00000000-0005-0000-0000-000003040000}"/>
    <cellStyle name="dp*NumberLineEPS 2 2 2 5 4 4" xfId="19784" xr:uid="{00000000-0005-0000-0000-000003040000}"/>
    <cellStyle name="dp*NumberLineEPS 2 2 2 5 4 5" xfId="38190" xr:uid="{00000000-0005-0000-0000-000003040000}"/>
    <cellStyle name="dp*NumberLineEPS 2 2 2 5 5" xfId="9478" xr:uid="{00000000-0005-0000-0000-000003040000}"/>
    <cellStyle name="dp*NumberLineEPS 2 2 2 5 5 2" xfId="28195" xr:uid="{00000000-0005-0000-0000-000003040000}"/>
    <cellStyle name="dp*NumberLineEPS 2 2 2 5 5 3" xfId="46558" xr:uid="{00000000-0005-0000-0000-000003040000}"/>
    <cellStyle name="dp*NumberLineEPS 2 2 2 5 6" xfId="13536" xr:uid="{00000000-0005-0000-0000-000003040000}"/>
    <cellStyle name="dp*NumberLineEPS 2 2 2 5 6 2" xfId="31957" xr:uid="{00000000-0005-0000-0000-000003040000}"/>
    <cellStyle name="dp*NumberLineEPS 2 2 2 5 6 3" xfId="50320" xr:uid="{00000000-0005-0000-0000-000003040000}"/>
    <cellStyle name="dp*NumberLineEPS 2 2 2 5 7" xfId="23465" xr:uid="{00000000-0005-0000-0000-000003040000}"/>
    <cellStyle name="dp*NumberLineEPS 2 2 2 5 7 2" xfId="41834" xr:uid="{00000000-0005-0000-0000-000003040000}"/>
    <cellStyle name="dp*NumberLineEPS 2 2 2 5 8" xfId="18575" xr:uid="{00000000-0005-0000-0000-000003040000}"/>
    <cellStyle name="dp*NumberLineEPS 2 2 2 5 9" xfId="36985" xr:uid="{00000000-0005-0000-0000-000003040000}"/>
    <cellStyle name="dp*NumberLineEPS 2 2 2 6" xfId="4588" xr:uid="{00000000-0005-0000-0000-000003040000}"/>
    <cellStyle name="dp*NumberLineEPS 2 2 2 6 2" xfId="11173" xr:uid="{00000000-0005-0000-0000-000003040000}"/>
    <cellStyle name="dp*NumberLineEPS 2 2 2 6 2 2" xfId="29787" xr:uid="{00000000-0005-0000-0000-000003040000}"/>
    <cellStyle name="dp*NumberLineEPS 2 2 2 6 2 3" xfId="48150" xr:uid="{00000000-0005-0000-0000-000003040000}"/>
    <cellStyle name="dp*NumberLineEPS 2 2 2 6 3" xfId="15314" xr:uid="{00000000-0005-0000-0000-000003040000}"/>
    <cellStyle name="dp*NumberLineEPS 2 2 2 6 3 2" xfId="33708" xr:uid="{00000000-0005-0000-0000-000003040000}"/>
    <cellStyle name="dp*NumberLineEPS 2 2 2 6 3 3" xfId="52071" xr:uid="{00000000-0005-0000-0000-000003040000}"/>
    <cellStyle name="dp*NumberLineEPS 2 2 2 6 4" xfId="24439" xr:uid="{00000000-0005-0000-0000-000003040000}"/>
    <cellStyle name="dp*NumberLineEPS 2 2 2 6 4 2" xfId="42808" xr:uid="{00000000-0005-0000-0000-000003040000}"/>
    <cellStyle name="dp*NumberLineEPS 2 2 2 6 5" xfId="20765" xr:uid="{00000000-0005-0000-0000-000003040000}"/>
    <cellStyle name="dp*NumberLineEPS 2 2 2 6 6" xfId="39155" xr:uid="{00000000-0005-0000-0000-000003040000}"/>
    <cellStyle name="dp*NumberLineEPS 2 2 2 7" xfId="3971" xr:uid="{00000000-0005-0000-0000-000003040000}"/>
    <cellStyle name="dp*NumberLineEPS 2 2 2 7 2" xfId="10676" xr:uid="{00000000-0005-0000-0000-000003040000}"/>
    <cellStyle name="dp*NumberLineEPS 2 2 2 7 2 2" xfId="29382" xr:uid="{00000000-0005-0000-0000-000003040000}"/>
    <cellStyle name="dp*NumberLineEPS 2 2 2 7 2 3" xfId="47745" xr:uid="{00000000-0005-0000-0000-000003040000}"/>
    <cellStyle name="dp*NumberLineEPS 2 2 2 7 3" xfId="14734" xr:uid="{00000000-0005-0000-0000-000003040000}"/>
    <cellStyle name="dp*NumberLineEPS 2 2 2 7 3 2" xfId="33146" xr:uid="{00000000-0005-0000-0000-000003040000}"/>
    <cellStyle name="dp*NumberLineEPS 2 2 2 7 3 3" xfId="51509" xr:uid="{00000000-0005-0000-0000-000003040000}"/>
    <cellStyle name="dp*NumberLineEPS 2 2 2 7 4" xfId="23870" xr:uid="{00000000-0005-0000-0000-000003040000}"/>
    <cellStyle name="dp*NumberLineEPS 2 2 2 7 4 2" xfId="42239" xr:uid="{00000000-0005-0000-0000-000003040000}"/>
    <cellStyle name="dp*NumberLineEPS 2 2 2 7 5" xfId="20188" xr:uid="{00000000-0005-0000-0000-000003040000}"/>
    <cellStyle name="dp*NumberLineEPS 2 2 2 7 6" xfId="38593" xr:uid="{00000000-0005-0000-0000-000003040000}"/>
    <cellStyle name="dp*NumberLineEPS 2 2 2 8" xfId="7884" xr:uid="{00000000-0005-0000-0000-000003040000}"/>
    <cellStyle name="dp*NumberLineEPS 2 2 2 8 2" xfId="27121" xr:uid="{00000000-0005-0000-0000-000003040000}"/>
    <cellStyle name="dp*NumberLineEPS 2 2 2 8 3" xfId="45486" xr:uid="{00000000-0005-0000-0000-000003040000}"/>
    <cellStyle name="dp*NumberLineEPS 2 2 2 9" xfId="7489" xr:uid="{00000000-0005-0000-0000-000003040000}"/>
    <cellStyle name="dp*NumberLineEPS 2 2 2 9 2" xfId="26855" xr:uid="{00000000-0005-0000-0000-000003040000}"/>
    <cellStyle name="dp*NumberLineEPS 2 2 2 9 3" xfId="45220" xr:uid="{00000000-0005-0000-0000-000003040000}"/>
    <cellStyle name="dp*NumberLineEPS 2 2 3" xfId="1513" xr:uid="{00000000-0005-0000-0000-000007040000}"/>
    <cellStyle name="dp*NumberLineEPS 2 2 3 10" xfId="7201" xr:uid="{00000000-0005-0000-0000-000007040000}"/>
    <cellStyle name="dp*NumberLineEPS 2 2 3 10 2" xfId="26745" xr:uid="{00000000-0005-0000-0000-000007040000}"/>
    <cellStyle name="dp*NumberLineEPS 2 2 3 10 3" xfId="45113" xr:uid="{00000000-0005-0000-0000-000007040000}"/>
    <cellStyle name="dp*NumberLineEPS 2 2 3 11" xfId="11610" xr:uid="{00000000-0005-0000-0000-000007040000}"/>
    <cellStyle name="dp*NumberLineEPS 2 2 3 12" xfId="7617" xr:uid="{00000000-0005-0000-0000-000007040000}"/>
    <cellStyle name="dp*NumberLineEPS 2 2 3 2" xfId="1682" xr:uid="{00000000-0005-0000-0000-000008040000}"/>
    <cellStyle name="dp*NumberLineEPS 2 2 3 2 10" xfId="17668" xr:uid="{00000000-0005-0000-0000-000008040000}"/>
    <cellStyle name="dp*NumberLineEPS 2 2 3 2 2" xfId="3580" xr:uid="{00000000-0005-0000-0000-000008040000}"/>
    <cellStyle name="dp*NumberLineEPS 2 2 3 2 2 2" xfId="5753" xr:uid="{00000000-0005-0000-0000-000008040000}"/>
    <cellStyle name="dp*NumberLineEPS 2 2 3 2 2 2 2" xfId="12117" xr:uid="{00000000-0005-0000-0000-000008040000}"/>
    <cellStyle name="dp*NumberLineEPS 2 2 3 2 2 2 2 2" xfId="30564" xr:uid="{00000000-0005-0000-0000-000008040000}"/>
    <cellStyle name="dp*NumberLineEPS 2 2 3 2 2 2 2 3" xfId="48927" xr:uid="{00000000-0005-0000-0000-000008040000}"/>
    <cellStyle name="dp*NumberLineEPS 2 2 3 2 2 2 3" xfId="16443" xr:uid="{00000000-0005-0000-0000-000008040000}"/>
    <cellStyle name="dp*NumberLineEPS 2 2 3 2 2 2 3 2" xfId="34815" xr:uid="{00000000-0005-0000-0000-000008040000}"/>
    <cellStyle name="dp*NumberLineEPS 2 2 3 2 2 2 3 3" xfId="53178" xr:uid="{00000000-0005-0000-0000-000008040000}"/>
    <cellStyle name="dp*NumberLineEPS 2 2 3 2 2 2 4" xfId="25562" xr:uid="{00000000-0005-0000-0000-000008040000}"/>
    <cellStyle name="dp*NumberLineEPS 2 2 3 2 2 2 4 2" xfId="43931" xr:uid="{00000000-0005-0000-0000-000008040000}"/>
    <cellStyle name="dp*NumberLineEPS 2 2 3 2 2 2 5" xfId="21883" xr:uid="{00000000-0005-0000-0000-000008040000}"/>
    <cellStyle name="dp*NumberLineEPS 2 2 3 2 2 2 6" xfId="40262" xr:uid="{00000000-0005-0000-0000-000008040000}"/>
    <cellStyle name="dp*NumberLineEPS 2 2 3 2 2 3" xfId="6579" xr:uid="{00000000-0005-0000-0000-000008040000}"/>
    <cellStyle name="dp*NumberLineEPS 2 2 3 2 2 3 2" xfId="12870" xr:uid="{00000000-0005-0000-0000-000008040000}"/>
    <cellStyle name="dp*NumberLineEPS 2 2 3 2 2 3 2 2" xfId="31296" xr:uid="{00000000-0005-0000-0000-000008040000}"/>
    <cellStyle name="dp*NumberLineEPS 2 2 3 2 2 3 2 3" xfId="49659" xr:uid="{00000000-0005-0000-0000-000008040000}"/>
    <cellStyle name="dp*NumberLineEPS 2 2 3 2 2 3 3" xfId="17181" xr:uid="{00000000-0005-0000-0000-000008040000}"/>
    <cellStyle name="dp*NumberLineEPS 2 2 3 2 2 3 3 2" xfId="35529" xr:uid="{00000000-0005-0000-0000-000008040000}"/>
    <cellStyle name="dp*NumberLineEPS 2 2 3 2 2 3 3 3" xfId="53892" xr:uid="{00000000-0005-0000-0000-000008040000}"/>
    <cellStyle name="dp*NumberLineEPS 2 2 3 2 2 3 4" xfId="26314" xr:uid="{00000000-0005-0000-0000-000008040000}"/>
    <cellStyle name="dp*NumberLineEPS 2 2 3 2 2 3 4 2" xfId="44683" xr:uid="{00000000-0005-0000-0000-000008040000}"/>
    <cellStyle name="dp*NumberLineEPS 2 2 3 2 2 3 5" xfId="22607" xr:uid="{00000000-0005-0000-0000-000008040000}"/>
    <cellStyle name="dp*NumberLineEPS 2 2 3 2 2 3 6" xfId="40976" xr:uid="{00000000-0005-0000-0000-000008040000}"/>
    <cellStyle name="dp*NumberLineEPS 2 2 3 2 2 4" xfId="10293" xr:uid="{00000000-0005-0000-0000-000008040000}"/>
    <cellStyle name="dp*NumberLineEPS 2 2 3 2 2 4 2" xfId="14350" xr:uid="{00000000-0005-0000-0000-000008040000}"/>
    <cellStyle name="dp*NumberLineEPS 2 2 3 2 2 4 2 2" xfId="32766" xr:uid="{00000000-0005-0000-0000-000008040000}"/>
    <cellStyle name="dp*NumberLineEPS 2 2 3 2 2 4 2 3" xfId="51129" xr:uid="{00000000-0005-0000-0000-000008040000}"/>
    <cellStyle name="dp*NumberLineEPS 2 2 3 2 2 4 3" xfId="29004" xr:uid="{00000000-0005-0000-0000-000008040000}"/>
    <cellStyle name="dp*NumberLineEPS 2 2 3 2 2 4 3 2" xfId="47367" xr:uid="{00000000-0005-0000-0000-000008040000}"/>
    <cellStyle name="dp*NumberLineEPS 2 2 3 2 2 4 4" xfId="19807" xr:uid="{00000000-0005-0000-0000-000008040000}"/>
    <cellStyle name="dp*NumberLineEPS 2 2 3 2 2 4 5" xfId="38213" xr:uid="{00000000-0005-0000-0000-000008040000}"/>
    <cellStyle name="dp*NumberLineEPS 2 2 3 2 2 5" xfId="9501" xr:uid="{00000000-0005-0000-0000-000008040000}"/>
    <cellStyle name="dp*NumberLineEPS 2 2 3 2 2 5 2" xfId="28218" xr:uid="{00000000-0005-0000-0000-000008040000}"/>
    <cellStyle name="dp*NumberLineEPS 2 2 3 2 2 5 3" xfId="46581" xr:uid="{00000000-0005-0000-0000-000008040000}"/>
    <cellStyle name="dp*NumberLineEPS 2 2 3 2 2 6" xfId="13559" xr:uid="{00000000-0005-0000-0000-000008040000}"/>
    <cellStyle name="dp*NumberLineEPS 2 2 3 2 2 6 2" xfId="31980" xr:uid="{00000000-0005-0000-0000-000008040000}"/>
    <cellStyle name="dp*NumberLineEPS 2 2 3 2 2 6 3" xfId="50343" xr:uid="{00000000-0005-0000-0000-000008040000}"/>
    <cellStyle name="dp*NumberLineEPS 2 2 3 2 2 7" xfId="23488" xr:uid="{00000000-0005-0000-0000-000008040000}"/>
    <cellStyle name="dp*NumberLineEPS 2 2 3 2 2 7 2" xfId="41857" xr:uid="{00000000-0005-0000-0000-000008040000}"/>
    <cellStyle name="dp*NumberLineEPS 2 2 3 2 2 8" xfId="18599" xr:uid="{00000000-0005-0000-0000-000008040000}"/>
    <cellStyle name="dp*NumberLineEPS 2 2 3 2 2 9" xfId="37009" xr:uid="{00000000-0005-0000-0000-000008040000}"/>
    <cellStyle name="dp*NumberLineEPS 2 2 3 2 3" xfId="4621" xr:uid="{00000000-0005-0000-0000-000008040000}"/>
    <cellStyle name="dp*NumberLineEPS 2 2 3 2 3 2" xfId="11205" xr:uid="{00000000-0005-0000-0000-000008040000}"/>
    <cellStyle name="dp*NumberLineEPS 2 2 3 2 3 2 2" xfId="29817" xr:uid="{00000000-0005-0000-0000-000008040000}"/>
    <cellStyle name="dp*NumberLineEPS 2 2 3 2 3 2 3" xfId="48180" xr:uid="{00000000-0005-0000-0000-000008040000}"/>
    <cellStyle name="dp*NumberLineEPS 2 2 3 2 3 3" xfId="15347" xr:uid="{00000000-0005-0000-0000-000008040000}"/>
    <cellStyle name="dp*NumberLineEPS 2 2 3 2 3 3 2" xfId="33740" xr:uid="{00000000-0005-0000-0000-000008040000}"/>
    <cellStyle name="dp*NumberLineEPS 2 2 3 2 3 3 3" xfId="52103" xr:uid="{00000000-0005-0000-0000-000008040000}"/>
    <cellStyle name="dp*NumberLineEPS 2 2 3 2 3 4" xfId="24471" xr:uid="{00000000-0005-0000-0000-000008040000}"/>
    <cellStyle name="dp*NumberLineEPS 2 2 3 2 3 4 2" xfId="42840" xr:uid="{00000000-0005-0000-0000-000008040000}"/>
    <cellStyle name="dp*NumberLineEPS 2 2 3 2 3 5" xfId="20798" xr:uid="{00000000-0005-0000-0000-000008040000}"/>
    <cellStyle name="dp*NumberLineEPS 2 2 3 2 3 6" xfId="39187" xr:uid="{00000000-0005-0000-0000-000008040000}"/>
    <cellStyle name="dp*NumberLineEPS 2 2 3 2 4" xfId="4803" xr:uid="{00000000-0005-0000-0000-000008040000}"/>
    <cellStyle name="dp*NumberLineEPS 2 2 3 2 4 2" xfId="11365" xr:uid="{00000000-0005-0000-0000-000008040000}"/>
    <cellStyle name="dp*NumberLineEPS 2 2 3 2 4 2 2" xfId="29959" xr:uid="{00000000-0005-0000-0000-000008040000}"/>
    <cellStyle name="dp*NumberLineEPS 2 2 3 2 4 2 3" xfId="48322" xr:uid="{00000000-0005-0000-0000-000008040000}"/>
    <cellStyle name="dp*NumberLineEPS 2 2 3 2 4 3" xfId="15529" xr:uid="{00000000-0005-0000-0000-000008040000}"/>
    <cellStyle name="dp*NumberLineEPS 2 2 3 2 4 3 2" xfId="33922" xr:uid="{00000000-0005-0000-0000-000008040000}"/>
    <cellStyle name="dp*NumberLineEPS 2 2 3 2 4 3 3" xfId="52285" xr:uid="{00000000-0005-0000-0000-000008040000}"/>
    <cellStyle name="dp*NumberLineEPS 2 2 3 2 4 4" xfId="24653" xr:uid="{00000000-0005-0000-0000-000008040000}"/>
    <cellStyle name="dp*NumberLineEPS 2 2 3 2 4 4 2" xfId="43022" xr:uid="{00000000-0005-0000-0000-000008040000}"/>
    <cellStyle name="dp*NumberLineEPS 2 2 3 2 4 5" xfId="20980" xr:uid="{00000000-0005-0000-0000-000008040000}"/>
    <cellStyle name="dp*NumberLineEPS 2 2 3 2 4 6" xfId="39369" xr:uid="{00000000-0005-0000-0000-000008040000}"/>
    <cellStyle name="dp*NumberLineEPS 2 2 3 2 5" xfId="9097" xr:uid="{00000000-0005-0000-0000-000008040000}"/>
    <cellStyle name="dp*NumberLineEPS 2 2 3 2 5 2" xfId="4164" xr:uid="{00000000-0005-0000-0000-000008040000}"/>
    <cellStyle name="dp*NumberLineEPS 2 2 3 2 5 2 2" xfId="24044" xr:uid="{00000000-0005-0000-0000-000008040000}"/>
    <cellStyle name="dp*NumberLineEPS 2 2 3 2 5 2 3" xfId="42413" xr:uid="{00000000-0005-0000-0000-000008040000}"/>
    <cellStyle name="dp*NumberLineEPS 2 2 3 2 5 3" xfId="27823" xr:uid="{00000000-0005-0000-0000-000008040000}"/>
    <cellStyle name="dp*NumberLineEPS 2 2 3 2 5 3 2" xfId="46186" xr:uid="{00000000-0005-0000-0000-000008040000}"/>
    <cellStyle name="dp*NumberLineEPS 2 2 3 2 5 4" xfId="17997" xr:uid="{00000000-0005-0000-0000-000008040000}"/>
    <cellStyle name="dp*NumberLineEPS 2 2 3 2 5 5" xfId="36405" xr:uid="{00000000-0005-0000-0000-000008040000}"/>
    <cellStyle name="dp*NumberLineEPS 2 2 3 2 6" xfId="7915" xr:uid="{00000000-0005-0000-0000-000008040000}"/>
    <cellStyle name="dp*NumberLineEPS 2 2 3 2 6 2" xfId="27147" xr:uid="{00000000-0005-0000-0000-000008040000}"/>
    <cellStyle name="dp*NumberLineEPS 2 2 3 2 6 3" xfId="45512" xr:uid="{00000000-0005-0000-0000-000008040000}"/>
    <cellStyle name="dp*NumberLineEPS 2 2 3 2 7" xfId="8697" xr:uid="{00000000-0005-0000-0000-000008040000}"/>
    <cellStyle name="dp*NumberLineEPS 2 2 3 2 7 2" xfId="27589" xr:uid="{00000000-0005-0000-0000-000008040000}"/>
    <cellStyle name="dp*NumberLineEPS 2 2 3 2 7 3" xfId="45952" xr:uid="{00000000-0005-0000-0000-000008040000}"/>
    <cellStyle name="dp*NumberLineEPS 2 2 3 2 8" xfId="18098" xr:uid="{00000000-0005-0000-0000-000008040000}"/>
    <cellStyle name="dp*NumberLineEPS 2 2 3 2 8 2" xfId="36505" xr:uid="{00000000-0005-0000-0000-000008040000}"/>
    <cellStyle name="dp*NumberLineEPS 2 2 3 2 9" xfId="10896" xr:uid="{00000000-0005-0000-0000-000008040000}"/>
    <cellStyle name="dp*NumberLineEPS 2 2 3 3" xfId="1407" xr:uid="{00000000-0005-0000-0000-000009040000}"/>
    <cellStyle name="dp*NumberLineEPS 2 2 3 3 10" xfId="8971" xr:uid="{00000000-0005-0000-0000-000009040000}"/>
    <cellStyle name="dp*NumberLineEPS 2 2 3 3 2" xfId="3440" xr:uid="{00000000-0005-0000-0000-000009040000}"/>
    <cellStyle name="dp*NumberLineEPS 2 2 3 3 2 2" xfId="5615" xr:uid="{00000000-0005-0000-0000-000009040000}"/>
    <cellStyle name="dp*NumberLineEPS 2 2 3 3 2 2 2" xfId="11979" xr:uid="{00000000-0005-0000-0000-000009040000}"/>
    <cellStyle name="dp*NumberLineEPS 2 2 3 3 2 2 2 2" xfId="30426" xr:uid="{00000000-0005-0000-0000-000009040000}"/>
    <cellStyle name="dp*NumberLineEPS 2 2 3 3 2 2 2 3" xfId="48789" xr:uid="{00000000-0005-0000-0000-000009040000}"/>
    <cellStyle name="dp*NumberLineEPS 2 2 3 3 2 2 3" xfId="16305" xr:uid="{00000000-0005-0000-0000-000009040000}"/>
    <cellStyle name="dp*NumberLineEPS 2 2 3 3 2 2 3 2" xfId="34677" xr:uid="{00000000-0005-0000-0000-000009040000}"/>
    <cellStyle name="dp*NumberLineEPS 2 2 3 3 2 2 3 3" xfId="53040" xr:uid="{00000000-0005-0000-0000-000009040000}"/>
    <cellStyle name="dp*NumberLineEPS 2 2 3 3 2 2 4" xfId="25424" xr:uid="{00000000-0005-0000-0000-000009040000}"/>
    <cellStyle name="dp*NumberLineEPS 2 2 3 3 2 2 4 2" xfId="43793" xr:uid="{00000000-0005-0000-0000-000009040000}"/>
    <cellStyle name="dp*NumberLineEPS 2 2 3 3 2 2 5" xfId="21745" xr:uid="{00000000-0005-0000-0000-000009040000}"/>
    <cellStyle name="dp*NumberLineEPS 2 2 3 3 2 2 6" xfId="40124" xr:uid="{00000000-0005-0000-0000-000009040000}"/>
    <cellStyle name="dp*NumberLineEPS 2 2 3 3 2 3" xfId="6439" xr:uid="{00000000-0005-0000-0000-000009040000}"/>
    <cellStyle name="dp*NumberLineEPS 2 2 3 3 2 3 2" xfId="12730" xr:uid="{00000000-0005-0000-0000-000009040000}"/>
    <cellStyle name="dp*NumberLineEPS 2 2 3 3 2 3 2 2" xfId="31156" xr:uid="{00000000-0005-0000-0000-000009040000}"/>
    <cellStyle name="dp*NumberLineEPS 2 2 3 3 2 3 2 3" xfId="49519" xr:uid="{00000000-0005-0000-0000-000009040000}"/>
    <cellStyle name="dp*NumberLineEPS 2 2 3 3 2 3 3" xfId="17041" xr:uid="{00000000-0005-0000-0000-000009040000}"/>
    <cellStyle name="dp*NumberLineEPS 2 2 3 3 2 3 3 2" xfId="35389" xr:uid="{00000000-0005-0000-0000-000009040000}"/>
    <cellStyle name="dp*NumberLineEPS 2 2 3 3 2 3 3 3" xfId="53752" xr:uid="{00000000-0005-0000-0000-000009040000}"/>
    <cellStyle name="dp*NumberLineEPS 2 2 3 3 2 3 4" xfId="26174" xr:uid="{00000000-0005-0000-0000-000009040000}"/>
    <cellStyle name="dp*NumberLineEPS 2 2 3 3 2 3 4 2" xfId="44543" xr:uid="{00000000-0005-0000-0000-000009040000}"/>
    <cellStyle name="dp*NumberLineEPS 2 2 3 3 2 3 5" xfId="22467" xr:uid="{00000000-0005-0000-0000-000009040000}"/>
    <cellStyle name="dp*NumberLineEPS 2 2 3 3 2 3 6" xfId="40836" xr:uid="{00000000-0005-0000-0000-000009040000}"/>
    <cellStyle name="dp*NumberLineEPS 2 2 3 3 2 4" xfId="10153" xr:uid="{00000000-0005-0000-0000-000009040000}"/>
    <cellStyle name="dp*NumberLineEPS 2 2 3 3 2 4 2" xfId="14210" xr:uid="{00000000-0005-0000-0000-000009040000}"/>
    <cellStyle name="dp*NumberLineEPS 2 2 3 3 2 4 2 2" xfId="32626" xr:uid="{00000000-0005-0000-0000-000009040000}"/>
    <cellStyle name="dp*NumberLineEPS 2 2 3 3 2 4 2 3" xfId="50989" xr:uid="{00000000-0005-0000-0000-000009040000}"/>
    <cellStyle name="dp*NumberLineEPS 2 2 3 3 2 4 3" xfId="28864" xr:uid="{00000000-0005-0000-0000-000009040000}"/>
    <cellStyle name="dp*NumberLineEPS 2 2 3 3 2 4 3 2" xfId="47227" xr:uid="{00000000-0005-0000-0000-000009040000}"/>
    <cellStyle name="dp*NumberLineEPS 2 2 3 3 2 4 4" xfId="19667" xr:uid="{00000000-0005-0000-0000-000009040000}"/>
    <cellStyle name="dp*NumberLineEPS 2 2 3 3 2 4 5" xfId="38073" xr:uid="{00000000-0005-0000-0000-000009040000}"/>
    <cellStyle name="dp*NumberLineEPS 2 2 3 3 2 5" xfId="9340" xr:uid="{00000000-0005-0000-0000-000009040000}"/>
    <cellStyle name="dp*NumberLineEPS 2 2 3 3 2 5 2" xfId="28059" xr:uid="{00000000-0005-0000-0000-000009040000}"/>
    <cellStyle name="dp*NumberLineEPS 2 2 3 3 2 5 3" xfId="46422" xr:uid="{00000000-0005-0000-0000-000009040000}"/>
    <cellStyle name="dp*NumberLineEPS 2 2 3 3 2 6" xfId="13396" xr:uid="{00000000-0005-0000-0000-000009040000}"/>
    <cellStyle name="dp*NumberLineEPS 2 2 3 3 2 6 2" xfId="31817" xr:uid="{00000000-0005-0000-0000-000009040000}"/>
    <cellStyle name="dp*NumberLineEPS 2 2 3 3 2 6 3" xfId="50180" xr:uid="{00000000-0005-0000-0000-000009040000}"/>
    <cellStyle name="dp*NumberLineEPS 2 2 3 3 2 7" xfId="23348" xr:uid="{00000000-0005-0000-0000-000009040000}"/>
    <cellStyle name="dp*NumberLineEPS 2 2 3 3 2 7 2" xfId="41717" xr:uid="{00000000-0005-0000-0000-000009040000}"/>
    <cellStyle name="dp*NumberLineEPS 2 2 3 3 2 8" xfId="18419" xr:uid="{00000000-0005-0000-0000-000009040000}"/>
    <cellStyle name="dp*NumberLineEPS 2 2 3 3 2 9" xfId="36825" xr:uid="{00000000-0005-0000-0000-000009040000}"/>
    <cellStyle name="dp*NumberLineEPS 2 2 3 3 3" xfId="4433" xr:uid="{00000000-0005-0000-0000-000009040000}"/>
    <cellStyle name="dp*NumberLineEPS 2 2 3 3 3 2" xfId="11032" xr:uid="{00000000-0005-0000-0000-000009040000}"/>
    <cellStyle name="dp*NumberLineEPS 2 2 3 3 3 2 2" xfId="29652" xr:uid="{00000000-0005-0000-0000-000009040000}"/>
    <cellStyle name="dp*NumberLineEPS 2 2 3 3 3 2 3" xfId="48015" xr:uid="{00000000-0005-0000-0000-000009040000}"/>
    <cellStyle name="dp*NumberLineEPS 2 2 3 3 3 3" xfId="15167" xr:uid="{00000000-0005-0000-0000-000009040000}"/>
    <cellStyle name="dp*NumberLineEPS 2 2 3 3 3 3 2" xfId="33564" xr:uid="{00000000-0005-0000-0000-000009040000}"/>
    <cellStyle name="dp*NumberLineEPS 2 2 3 3 3 3 3" xfId="51927" xr:uid="{00000000-0005-0000-0000-000009040000}"/>
    <cellStyle name="dp*NumberLineEPS 2 2 3 3 3 4" xfId="24295" xr:uid="{00000000-0005-0000-0000-000009040000}"/>
    <cellStyle name="dp*NumberLineEPS 2 2 3 3 3 4 2" xfId="42664" xr:uid="{00000000-0005-0000-0000-000009040000}"/>
    <cellStyle name="dp*NumberLineEPS 2 2 3 3 3 5" xfId="20618" xr:uid="{00000000-0005-0000-0000-000009040000}"/>
    <cellStyle name="dp*NumberLineEPS 2 2 3 3 3 6" xfId="39011" xr:uid="{00000000-0005-0000-0000-000009040000}"/>
    <cellStyle name="dp*NumberLineEPS 2 2 3 3 4" xfId="4039" xr:uid="{00000000-0005-0000-0000-000009040000}"/>
    <cellStyle name="dp*NumberLineEPS 2 2 3 3 4 2" xfId="10740" xr:uid="{00000000-0005-0000-0000-000009040000}"/>
    <cellStyle name="dp*NumberLineEPS 2 2 3 3 4 2 2" xfId="29443" xr:uid="{00000000-0005-0000-0000-000009040000}"/>
    <cellStyle name="dp*NumberLineEPS 2 2 3 3 4 2 3" xfId="47806" xr:uid="{00000000-0005-0000-0000-000009040000}"/>
    <cellStyle name="dp*NumberLineEPS 2 2 3 3 4 3" xfId="14800" xr:uid="{00000000-0005-0000-0000-000009040000}"/>
    <cellStyle name="dp*NumberLineEPS 2 2 3 3 4 3 2" xfId="33212" xr:uid="{00000000-0005-0000-0000-000009040000}"/>
    <cellStyle name="dp*NumberLineEPS 2 2 3 3 4 3 3" xfId="51575" xr:uid="{00000000-0005-0000-0000-000009040000}"/>
    <cellStyle name="dp*NumberLineEPS 2 2 3 3 4 4" xfId="23936" xr:uid="{00000000-0005-0000-0000-000009040000}"/>
    <cellStyle name="dp*NumberLineEPS 2 2 3 3 4 4 2" xfId="42305" xr:uid="{00000000-0005-0000-0000-000009040000}"/>
    <cellStyle name="dp*NumberLineEPS 2 2 3 3 4 5" xfId="20256" xr:uid="{00000000-0005-0000-0000-000009040000}"/>
    <cellStyle name="dp*NumberLineEPS 2 2 3 3 4 6" xfId="38659" xr:uid="{00000000-0005-0000-0000-000009040000}"/>
    <cellStyle name="dp*NumberLineEPS 2 2 3 3 5" xfId="9744" xr:uid="{00000000-0005-0000-0000-000009040000}"/>
    <cellStyle name="dp*NumberLineEPS 2 2 3 3 5 2" xfId="13801" xr:uid="{00000000-0005-0000-0000-000009040000}"/>
    <cellStyle name="dp*NumberLineEPS 2 2 3 3 5 2 2" xfId="32221" xr:uid="{00000000-0005-0000-0000-000009040000}"/>
    <cellStyle name="dp*NumberLineEPS 2 2 3 3 5 2 3" xfId="50584" xr:uid="{00000000-0005-0000-0000-000009040000}"/>
    <cellStyle name="dp*NumberLineEPS 2 2 3 3 5 3" xfId="28459" xr:uid="{00000000-0005-0000-0000-000009040000}"/>
    <cellStyle name="dp*NumberLineEPS 2 2 3 3 5 3 2" xfId="46822" xr:uid="{00000000-0005-0000-0000-000009040000}"/>
    <cellStyle name="dp*NumberLineEPS 2 2 3 3 5 4" xfId="18926" xr:uid="{00000000-0005-0000-0000-000009040000}"/>
    <cellStyle name="dp*NumberLineEPS 2 2 3 3 5 5" xfId="37335" xr:uid="{00000000-0005-0000-0000-000009040000}"/>
    <cellStyle name="dp*NumberLineEPS 2 2 3 3 6" xfId="7699" xr:uid="{00000000-0005-0000-0000-000009040000}"/>
    <cellStyle name="dp*NumberLineEPS 2 2 3 3 6 2" xfId="26981" xr:uid="{00000000-0005-0000-0000-000009040000}"/>
    <cellStyle name="dp*NumberLineEPS 2 2 3 3 6 3" xfId="45346" xr:uid="{00000000-0005-0000-0000-000009040000}"/>
    <cellStyle name="dp*NumberLineEPS 2 2 3 3 7" xfId="7476" xr:uid="{00000000-0005-0000-0000-000009040000}"/>
    <cellStyle name="dp*NumberLineEPS 2 2 3 3 7 2" xfId="26842" xr:uid="{00000000-0005-0000-0000-000009040000}"/>
    <cellStyle name="dp*NumberLineEPS 2 2 3 3 7 3" xfId="45207" xr:uid="{00000000-0005-0000-0000-000009040000}"/>
    <cellStyle name="dp*NumberLineEPS 2 2 3 3 8" xfId="19436" xr:uid="{00000000-0005-0000-0000-000009040000}"/>
    <cellStyle name="dp*NumberLineEPS 2 2 3 3 8 2" xfId="37842" xr:uid="{00000000-0005-0000-0000-000009040000}"/>
    <cellStyle name="dp*NumberLineEPS 2 2 3 3 9" xfId="8181" xr:uid="{00000000-0005-0000-0000-000009040000}"/>
    <cellStyle name="dp*NumberLineEPS 2 2 3 4" xfId="1367" xr:uid="{00000000-0005-0000-0000-00000A040000}"/>
    <cellStyle name="dp*NumberLineEPS 2 2 3 4 10" xfId="8576" xr:uid="{00000000-0005-0000-0000-00000A040000}"/>
    <cellStyle name="dp*NumberLineEPS 2 2 3 4 2" xfId="3409" xr:uid="{00000000-0005-0000-0000-00000A040000}"/>
    <cellStyle name="dp*NumberLineEPS 2 2 3 4 2 2" xfId="5584" xr:uid="{00000000-0005-0000-0000-00000A040000}"/>
    <cellStyle name="dp*NumberLineEPS 2 2 3 4 2 2 2" xfId="11948" xr:uid="{00000000-0005-0000-0000-00000A040000}"/>
    <cellStyle name="dp*NumberLineEPS 2 2 3 4 2 2 2 2" xfId="30395" xr:uid="{00000000-0005-0000-0000-00000A040000}"/>
    <cellStyle name="dp*NumberLineEPS 2 2 3 4 2 2 2 3" xfId="48758" xr:uid="{00000000-0005-0000-0000-00000A040000}"/>
    <cellStyle name="dp*NumberLineEPS 2 2 3 4 2 2 3" xfId="16274" xr:uid="{00000000-0005-0000-0000-00000A040000}"/>
    <cellStyle name="dp*NumberLineEPS 2 2 3 4 2 2 3 2" xfId="34646" xr:uid="{00000000-0005-0000-0000-00000A040000}"/>
    <cellStyle name="dp*NumberLineEPS 2 2 3 4 2 2 3 3" xfId="53009" xr:uid="{00000000-0005-0000-0000-00000A040000}"/>
    <cellStyle name="dp*NumberLineEPS 2 2 3 4 2 2 4" xfId="25393" xr:uid="{00000000-0005-0000-0000-00000A040000}"/>
    <cellStyle name="dp*NumberLineEPS 2 2 3 4 2 2 4 2" xfId="43762" xr:uid="{00000000-0005-0000-0000-00000A040000}"/>
    <cellStyle name="dp*NumberLineEPS 2 2 3 4 2 2 5" xfId="21714" xr:uid="{00000000-0005-0000-0000-00000A040000}"/>
    <cellStyle name="dp*NumberLineEPS 2 2 3 4 2 2 6" xfId="40093" xr:uid="{00000000-0005-0000-0000-00000A040000}"/>
    <cellStyle name="dp*NumberLineEPS 2 2 3 4 2 3" xfId="6408" xr:uid="{00000000-0005-0000-0000-00000A040000}"/>
    <cellStyle name="dp*NumberLineEPS 2 2 3 4 2 3 2" xfId="12699" xr:uid="{00000000-0005-0000-0000-00000A040000}"/>
    <cellStyle name="dp*NumberLineEPS 2 2 3 4 2 3 2 2" xfId="31125" xr:uid="{00000000-0005-0000-0000-00000A040000}"/>
    <cellStyle name="dp*NumberLineEPS 2 2 3 4 2 3 2 3" xfId="49488" xr:uid="{00000000-0005-0000-0000-00000A040000}"/>
    <cellStyle name="dp*NumberLineEPS 2 2 3 4 2 3 3" xfId="17010" xr:uid="{00000000-0005-0000-0000-00000A040000}"/>
    <cellStyle name="dp*NumberLineEPS 2 2 3 4 2 3 3 2" xfId="35358" xr:uid="{00000000-0005-0000-0000-00000A040000}"/>
    <cellStyle name="dp*NumberLineEPS 2 2 3 4 2 3 3 3" xfId="53721" xr:uid="{00000000-0005-0000-0000-00000A040000}"/>
    <cellStyle name="dp*NumberLineEPS 2 2 3 4 2 3 4" xfId="26143" xr:uid="{00000000-0005-0000-0000-00000A040000}"/>
    <cellStyle name="dp*NumberLineEPS 2 2 3 4 2 3 4 2" xfId="44512" xr:uid="{00000000-0005-0000-0000-00000A040000}"/>
    <cellStyle name="dp*NumberLineEPS 2 2 3 4 2 3 5" xfId="22436" xr:uid="{00000000-0005-0000-0000-00000A040000}"/>
    <cellStyle name="dp*NumberLineEPS 2 2 3 4 2 3 6" xfId="40805" xr:uid="{00000000-0005-0000-0000-00000A040000}"/>
    <cellStyle name="dp*NumberLineEPS 2 2 3 4 2 4" xfId="10122" xr:uid="{00000000-0005-0000-0000-00000A040000}"/>
    <cellStyle name="dp*NumberLineEPS 2 2 3 4 2 4 2" xfId="14179" xr:uid="{00000000-0005-0000-0000-00000A040000}"/>
    <cellStyle name="dp*NumberLineEPS 2 2 3 4 2 4 2 2" xfId="32595" xr:uid="{00000000-0005-0000-0000-00000A040000}"/>
    <cellStyle name="dp*NumberLineEPS 2 2 3 4 2 4 2 3" xfId="50958" xr:uid="{00000000-0005-0000-0000-00000A040000}"/>
    <cellStyle name="dp*NumberLineEPS 2 2 3 4 2 4 3" xfId="28833" xr:uid="{00000000-0005-0000-0000-00000A040000}"/>
    <cellStyle name="dp*NumberLineEPS 2 2 3 4 2 4 3 2" xfId="47196" xr:uid="{00000000-0005-0000-0000-00000A040000}"/>
    <cellStyle name="dp*NumberLineEPS 2 2 3 4 2 4 4" xfId="19636" xr:uid="{00000000-0005-0000-0000-00000A040000}"/>
    <cellStyle name="dp*NumberLineEPS 2 2 3 4 2 4 5" xfId="38042" xr:uid="{00000000-0005-0000-0000-00000A040000}"/>
    <cellStyle name="dp*NumberLineEPS 2 2 3 4 2 5" xfId="9309" xr:uid="{00000000-0005-0000-0000-00000A040000}"/>
    <cellStyle name="dp*NumberLineEPS 2 2 3 4 2 5 2" xfId="28028" xr:uid="{00000000-0005-0000-0000-00000A040000}"/>
    <cellStyle name="dp*NumberLineEPS 2 2 3 4 2 5 3" xfId="46391" xr:uid="{00000000-0005-0000-0000-00000A040000}"/>
    <cellStyle name="dp*NumberLineEPS 2 2 3 4 2 6" xfId="13365" xr:uid="{00000000-0005-0000-0000-00000A040000}"/>
    <cellStyle name="dp*NumberLineEPS 2 2 3 4 2 6 2" xfId="31786" xr:uid="{00000000-0005-0000-0000-00000A040000}"/>
    <cellStyle name="dp*NumberLineEPS 2 2 3 4 2 6 3" xfId="50149" xr:uid="{00000000-0005-0000-0000-00000A040000}"/>
    <cellStyle name="dp*NumberLineEPS 2 2 3 4 2 7" xfId="23317" xr:uid="{00000000-0005-0000-0000-00000A040000}"/>
    <cellStyle name="dp*NumberLineEPS 2 2 3 4 2 7 2" xfId="41686" xr:uid="{00000000-0005-0000-0000-00000A040000}"/>
    <cellStyle name="dp*NumberLineEPS 2 2 3 4 2 8" xfId="18385" xr:uid="{00000000-0005-0000-0000-00000A040000}"/>
    <cellStyle name="dp*NumberLineEPS 2 2 3 4 2 9" xfId="36791" xr:uid="{00000000-0005-0000-0000-00000A040000}"/>
    <cellStyle name="dp*NumberLineEPS 2 2 3 4 3" xfId="4400" xr:uid="{00000000-0005-0000-0000-00000A040000}"/>
    <cellStyle name="dp*NumberLineEPS 2 2 3 4 3 2" xfId="10999" xr:uid="{00000000-0005-0000-0000-00000A040000}"/>
    <cellStyle name="dp*NumberLineEPS 2 2 3 4 3 2 2" xfId="29621" xr:uid="{00000000-0005-0000-0000-00000A040000}"/>
    <cellStyle name="dp*NumberLineEPS 2 2 3 4 3 2 3" xfId="47984" xr:uid="{00000000-0005-0000-0000-00000A040000}"/>
    <cellStyle name="dp*NumberLineEPS 2 2 3 4 3 3" xfId="15135" xr:uid="{00000000-0005-0000-0000-00000A040000}"/>
    <cellStyle name="dp*NumberLineEPS 2 2 3 4 3 3 2" xfId="33532" xr:uid="{00000000-0005-0000-0000-00000A040000}"/>
    <cellStyle name="dp*NumberLineEPS 2 2 3 4 3 3 3" xfId="51895" xr:uid="{00000000-0005-0000-0000-00000A040000}"/>
    <cellStyle name="dp*NumberLineEPS 2 2 3 4 3 4" xfId="24263" xr:uid="{00000000-0005-0000-0000-00000A040000}"/>
    <cellStyle name="dp*NumberLineEPS 2 2 3 4 3 4 2" xfId="42632" xr:uid="{00000000-0005-0000-0000-00000A040000}"/>
    <cellStyle name="dp*NumberLineEPS 2 2 3 4 3 5" xfId="20586" xr:uid="{00000000-0005-0000-0000-00000A040000}"/>
    <cellStyle name="dp*NumberLineEPS 2 2 3 4 3 6" xfId="38979" xr:uid="{00000000-0005-0000-0000-00000A040000}"/>
    <cellStyle name="dp*NumberLineEPS 2 2 3 4 4" xfId="5059" xr:uid="{00000000-0005-0000-0000-00000A040000}"/>
    <cellStyle name="dp*NumberLineEPS 2 2 3 4 4 2" xfId="11581" xr:uid="{00000000-0005-0000-0000-00000A040000}"/>
    <cellStyle name="dp*NumberLineEPS 2 2 3 4 4 2 2" xfId="30149" xr:uid="{00000000-0005-0000-0000-00000A040000}"/>
    <cellStyle name="dp*NumberLineEPS 2 2 3 4 4 2 3" xfId="48512" xr:uid="{00000000-0005-0000-0000-00000A040000}"/>
    <cellStyle name="dp*NumberLineEPS 2 2 3 4 4 3" xfId="15772" xr:uid="{00000000-0005-0000-0000-00000A040000}"/>
    <cellStyle name="dp*NumberLineEPS 2 2 3 4 4 3 2" xfId="34159" xr:uid="{00000000-0005-0000-0000-00000A040000}"/>
    <cellStyle name="dp*NumberLineEPS 2 2 3 4 4 3 3" xfId="52522" xr:uid="{00000000-0005-0000-0000-00000A040000}"/>
    <cellStyle name="dp*NumberLineEPS 2 2 3 4 4 4" xfId="24895" xr:uid="{00000000-0005-0000-0000-00000A040000}"/>
    <cellStyle name="dp*NumberLineEPS 2 2 3 4 4 4 2" xfId="43264" xr:uid="{00000000-0005-0000-0000-00000A040000}"/>
    <cellStyle name="dp*NumberLineEPS 2 2 3 4 4 5" xfId="21220" xr:uid="{00000000-0005-0000-0000-00000A040000}"/>
    <cellStyle name="dp*NumberLineEPS 2 2 3 4 4 6" xfId="39606" xr:uid="{00000000-0005-0000-0000-00000A040000}"/>
    <cellStyle name="dp*NumberLineEPS 2 2 3 4 5" xfId="9951" xr:uid="{00000000-0005-0000-0000-00000A040000}"/>
    <cellStyle name="dp*NumberLineEPS 2 2 3 4 5 2" xfId="14008" xr:uid="{00000000-0005-0000-0000-00000A040000}"/>
    <cellStyle name="dp*NumberLineEPS 2 2 3 4 5 2 2" xfId="32425" xr:uid="{00000000-0005-0000-0000-00000A040000}"/>
    <cellStyle name="dp*NumberLineEPS 2 2 3 4 5 2 3" xfId="50788" xr:uid="{00000000-0005-0000-0000-00000A040000}"/>
    <cellStyle name="dp*NumberLineEPS 2 2 3 4 5 3" xfId="28663" xr:uid="{00000000-0005-0000-0000-00000A040000}"/>
    <cellStyle name="dp*NumberLineEPS 2 2 3 4 5 3 2" xfId="47026" xr:uid="{00000000-0005-0000-0000-00000A040000}"/>
    <cellStyle name="dp*NumberLineEPS 2 2 3 4 5 4" xfId="19281" xr:uid="{00000000-0005-0000-0000-00000A040000}"/>
    <cellStyle name="dp*NumberLineEPS 2 2 3 4 5 5" xfId="37688" xr:uid="{00000000-0005-0000-0000-00000A040000}"/>
    <cellStyle name="dp*NumberLineEPS 2 2 3 4 6" xfId="7662" xr:uid="{00000000-0005-0000-0000-00000A040000}"/>
    <cellStyle name="dp*NumberLineEPS 2 2 3 4 6 2" xfId="26946" xr:uid="{00000000-0005-0000-0000-00000A040000}"/>
    <cellStyle name="dp*NumberLineEPS 2 2 3 4 6 3" xfId="45311" xr:uid="{00000000-0005-0000-0000-00000A040000}"/>
    <cellStyle name="dp*NumberLineEPS 2 2 3 4 7" xfId="12596" xr:uid="{00000000-0005-0000-0000-00000A040000}"/>
    <cellStyle name="dp*NumberLineEPS 2 2 3 4 7 2" xfId="31022" xr:uid="{00000000-0005-0000-0000-00000A040000}"/>
    <cellStyle name="dp*NumberLineEPS 2 2 3 4 7 3" xfId="49385" xr:uid="{00000000-0005-0000-0000-00000A040000}"/>
    <cellStyle name="dp*NumberLineEPS 2 2 3 4 8" xfId="19421" xr:uid="{00000000-0005-0000-0000-00000A040000}"/>
    <cellStyle name="dp*NumberLineEPS 2 2 3 4 8 2" xfId="37827" xr:uid="{00000000-0005-0000-0000-00000A040000}"/>
    <cellStyle name="dp*NumberLineEPS 2 2 3 4 9" xfId="8041" xr:uid="{00000000-0005-0000-0000-00000A040000}"/>
    <cellStyle name="dp*NumberLineEPS 2 2 3 5" xfId="3519" xr:uid="{00000000-0005-0000-0000-000007040000}"/>
    <cellStyle name="dp*NumberLineEPS 2 2 3 5 2" xfId="5693" xr:uid="{00000000-0005-0000-0000-000007040000}"/>
    <cellStyle name="dp*NumberLineEPS 2 2 3 5 2 2" xfId="12057" xr:uid="{00000000-0005-0000-0000-000007040000}"/>
    <cellStyle name="dp*NumberLineEPS 2 2 3 5 2 2 2" xfId="30504" xr:uid="{00000000-0005-0000-0000-000007040000}"/>
    <cellStyle name="dp*NumberLineEPS 2 2 3 5 2 2 3" xfId="48867" xr:uid="{00000000-0005-0000-0000-000007040000}"/>
    <cellStyle name="dp*NumberLineEPS 2 2 3 5 2 3" xfId="16383" xr:uid="{00000000-0005-0000-0000-000007040000}"/>
    <cellStyle name="dp*NumberLineEPS 2 2 3 5 2 3 2" xfId="34755" xr:uid="{00000000-0005-0000-0000-000007040000}"/>
    <cellStyle name="dp*NumberLineEPS 2 2 3 5 2 3 3" xfId="53118" xr:uid="{00000000-0005-0000-0000-000007040000}"/>
    <cellStyle name="dp*NumberLineEPS 2 2 3 5 2 4" xfId="25502" xr:uid="{00000000-0005-0000-0000-000007040000}"/>
    <cellStyle name="dp*NumberLineEPS 2 2 3 5 2 4 2" xfId="43871" xr:uid="{00000000-0005-0000-0000-000007040000}"/>
    <cellStyle name="dp*NumberLineEPS 2 2 3 5 2 5" xfId="21823" xr:uid="{00000000-0005-0000-0000-000007040000}"/>
    <cellStyle name="dp*NumberLineEPS 2 2 3 5 2 6" xfId="40202" xr:uid="{00000000-0005-0000-0000-000007040000}"/>
    <cellStyle name="dp*NumberLineEPS 2 2 3 5 3" xfId="6518" xr:uid="{00000000-0005-0000-0000-000007040000}"/>
    <cellStyle name="dp*NumberLineEPS 2 2 3 5 3 2" xfId="12809" xr:uid="{00000000-0005-0000-0000-000007040000}"/>
    <cellStyle name="dp*NumberLineEPS 2 2 3 5 3 2 2" xfId="31235" xr:uid="{00000000-0005-0000-0000-000007040000}"/>
    <cellStyle name="dp*NumberLineEPS 2 2 3 5 3 2 3" xfId="49598" xr:uid="{00000000-0005-0000-0000-000007040000}"/>
    <cellStyle name="dp*NumberLineEPS 2 2 3 5 3 3" xfId="17120" xr:uid="{00000000-0005-0000-0000-000007040000}"/>
    <cellStyle name="dp*NumberLineEPS 2 2 3 5 3 3 2" xfId="35468" xr:uid="{00000000-0005-0000-0000-000007040000}"/>
    <cellStyle name="dp*NumberLineEPS 2 2 3 5 3 3 3" xfId="53831" xr:uid="{00000000-0005-0000-0000-000007040000}"/>
    <cellStyle name="dp*NumberLineEPS 2 2 3 5 3 4" xfId="26253" xr:uid="{00000000-0005-0000-0000-000007040000}"/>
    <cellStyle name="dp*NumberLineEPS 2 2 3 5 3 4 2" xfId="44622" xr:uid="{00000000-0005-0000-0000-000007040000}"/>
    <cellStyle name="dp*NumberLineEPS 2 2 3 5 3 5" xfId="22546" xr:uid="{00000000-0005-0000-0000-000007040000}"/>
    <cellStyle name="dp*NumberLineEPS 2 2 3 5 3 6" xfId="40915" xr:uid="{00000000-0005-0000-0000-000007040000}"/>
    <cellStyle name="dp*NumberLineEPS 2 2 3 5 4" xfId="10232" xr:uid="{00000000-0005-0000-0000-000007040000}"/>
    <cellStyle name="dp*NumberLineEPS 2 2 3 5 4 2" xfId="14289" xr:uid="{00000000-0005-0000-0000-000007040000}"/>
    <cellStyle name="dp*NumberLineEPS 2 2 3 5 4 2 2" xfId="32705" xr:uid="{00000000-0005-0000-0000-000007040000}"/>
    <cellStyle name="dp*NumberLineEPS 2 2 3 5 4 2 3" xfId="51068" xr:uid="{00000000-0005-0000-0000-000007040000}"/>
    <cellStyle name="dp*NumberLineEPS 2 2 3 5 4 3" xfId="28943" xr:uid="{00000000-0005-0000-0000-000007040000}"/>
    <cellStyle name="dp*NumberLineEPS 2 2 3 5 4 3 2" xfId="47306" xr:uid="{00000000-0005-0000-0000-000007040000}"/>
    <cellStyle name="dp*NumberLineEPS 2 2 3 5 4 4" xfId="19746" xr:uid="{00000000-0005-0000-0000-000007040000}"/>
    <cellStyle name="dp*NumberLineEPS 2 2 3 5 4 5" xfId="38152" xr:uid="{00000000-0005-0000-0000-000007040000}"/>
    <cellStyle name="dp*NumberLineEPS 2 2 3 5 5" xfId="9427" xr:uid="{00000000-0005-0000-0000-000007040000}"/>
    <cellStyle name="dp*NumberLineEPS 2 2 3 5 5 2" xfId="28144" xr:uid="{00000000-0005-0000-0000-000007040000}"/>
    <cellStyle name="dp*NumberLineEPS 2 2 3 5 5 3" xfId="46507" xr:uid="{00000000-0005-0000-0000-000007040000}"/>
    <cellStyle name="dp*NumberLineEPS 2 2 3 5 6" xfId="13484" xr:uid="{00000000-0005-0000-0000-000007040000}"/>
    <cellStyle name="dp*NumberLineEPS 2 2 3 5 6 2" xfId="31905" xr:uid="{00000000-0005-0000-0000-000007040000}"/>
    <cellStyle name="dp*NumberLineEPS 2 2 3 5 6 3" xfId="50268" xr:uid="{00000000-0005-0000-0000-000007040000}"/>
    <cellStyle name="dp*NumberLineEPS 2 2 3 5 7" xfId="23427" xr:uid="{00000000-0005-0000-0000-000007040000}"/>
    <cellStyle name="dp*NumberLineEPS 2 2 3 5 7 2" xfId="41796" xr:uid="{00000000-0005-0000-0000-000007040000}"/>
    <cellStyle name="dp*NumberLineEPS 2 2 3 5 8" xfId="18512" xr:uid="{00000000-0005-0000-0000-000007040000}"/>
    <cellStyle name="dp*NumberLineEPS 2 2 3 5 9" xfId="36921" xr:uid="{00000000-0005-0000-0000-000007040000}"/>
    <cellStyle name="dp*NumberLineEPS 2 2 3 6" xfId="4523" xr:uid="{00000000-0005-0000-0000-000007040000}"/>
    <cellStyle name="dp*NumberLineEPS 2 2 3 6 2" xfId="11114" xr:uid="{00000000-0005-0000-0000-000007040000}"/>
    <cellStyle name="dp*NumberLineEPS 2 2 3 6 2 2" xfId="29732" xr:uid="{00000000-0005-0000-0000-000007040000}"/>
    <cellStyle name="dp*NumberLineEPS 2 2 3 6 2 3" xfId="48095" xr:uid="{00000000-0005-0000-0000-000007040000}"/>
    <cellStyle name="dp*NumberLineEPS 2 2 3 6 3" xfId="15252" xr:uid="{00000000-0005-0000-0000-000007040000}"/>
    <cellStyle name="dp*NumberLineEPS 2 2 3 6 3 2" xfId="33646" xr:uid="{00000000-0005-0000-0000-000007040000}"/>
    <cellStyle name="dp*NumberLineEPS 2 2 3 6 3 3" xfId="52009" xr:uid="{00000000-0005-0000-0000-000007040000}"/>
    <cellStyle name="dp*NumberLineEPS 2 2 3 6 4" xfId="24377" xr:uid="{00000000-0005-0000-0000-000007040000}"/>
    <cellStyle name="dp*NumberLineEPS 2 2 3 6 4 2" xfId="42746" xr:uid="{00000000-0005-0000-0000-000007040000}"/>
    <cellStyle name="dp*NumberLineEPS 2 2 3 6 5" xfId="20701" xr:uid="{00000000-0005-0000-0000-000007040000}"/>
    <cellStyle name="dp*NumberLineEPS 2 2 3 6 6" xfId="39093" xr:uid="{00000000-0005-0000-0000-000007040000}"/>
    <cellStyle name="dp*NumberLineEPS 2 2 3 7" xfId="3988" xr:uid="{00000000-0005-0000-0000-000007040000}"/>
    <cellStyle name="dp*NumberLineEPS 2 2 3 7 2" xfId="10693" xr:uid="{00000000-0005-0000-0000-000007040000}"/>
    <cellStyle name="dp*NumberLineEPS 2 2 3 7 2 2" xfId="29398" xr:uid="{00000000-0005-0000-0000-000007040000}"/>
    <cellStyle name="dp*NumberLineEPS 2 2 3 7 2 3" xfId="47761" xr:uid="{00000000-0005-0000-0000-000007040000}"/>
    <cellStyle name="dp*NumberLineEPS 2 2 3 7 3" xfId="14749" xr:uid="{00000000-0005-0000-0000-000007040000}"/>
    <cellStyle name="dp*NumberLineEPS 2 2 3 7 3 2" xfId="33161" xr:uid="{00000000-0005-0000-0000-000007040000}"/>
    <cellStyle name="dp*NumberLineEPS 2 2 3 7 3 3" xfId="51524" xr:uid="{00000000-0005-0000-0000-000007040000}"/>
    <cellStyle name="dp*NumberLineEPS 2 2 3 7 4" xfId="23885" xr:uid="{00000000-0005-0000-0000-000007040000}"/>
    <cellStyle name="dp*NumberLineEPS 2 2 3 7 4 2" xfId="42254" xr:uid="{00000000-0005-0000-0000-000007040000}"/>
    <cellStyle name="dp*NumberLineEPS 2 2 3 7 5" xfId="20205" xr:uid="{00000000-0005-0000-0000-000007040000}"/>
    <cellStyle name="dp*NumberLineEPS 2 2 3 7 6" xfId="38608" xr:uid="{00000000-0005-0000-0000-000007040000}"/>
    <cellStyle name="dp*NumberLineEPS 2 2 3 8" xfId="9108" xr:uid="{00000000-0005-0000-0000-000007040000}"/>
    <cellStyle name="dp*NumberLineEPS 2 2 3 8 2" xfId="8140" xr:uid="{00000000-0005-0000-0000-000007040000}"/>
    <cellStyle name="dp*NumberLineEPS 2 2 3 8 2 2" xfId="27344" xr:uid="{00000000-0005-0000-0000-000007040000}"/>
    <cellStyle name="dp*NumberLineEPS 2 2 3 8 2 3" xfId="45709" xr:uid="{00000000-0005-0000-0000-000007040000}"/>
    <cellStyle name="dp*NumberLineEPS 2 2 3 8 3" xfId="27834" xr:uid="{00000000-0005-0000-0000-000007040000}"/>
    <cellStyle name="dp*NumberLineEPS 2 2 3 8 3 2" xfId="46197" xr:uid="{00000000-0005-0000-0000-000007040000}"/>
    <cellStyle name="dp*NumberLineEPS 2 2 3 8 4" xfId="18020" xr:uid="{00000000-0005-0000-0000-000007040000}"/>
    <cellStyle name="dp*NumberLineEPS 2 2 3 8 5" xfId="36428" xr:uid="{00000000-0005-0000-0000-000007040000}"/>
    <cellStyle name="dp*NumberLineEPS 2 2 3 9" xfId="7792" xr:uid="{00000000-0005-0000-0000-000007040000}"/>
    <cellStyle name="dp*NumberLineEPS 2 2 3 9 2" xfId="27063" xr:uid="{00000000-0005-0000-0000-000007040000}"/>
    <cellStyle name="dp*NumberLineEPS 2 2 3 9 3" xfId="45428" xr:uid="{00000000-0005-0000-0000-000007040000}"/>
    <cellStyle name="dp*NumberLineEPS 2 2 4" xfId="1395" xr:uid="{00000000-0005-0000-0000-00000B040000}"/>
    <cellStyle name="dp*NumberLineEPS 2 2 4 10" xfId="8690" xr:uid="{00000000-0005-0000-0000-00000B040000}"/>
    <cellStyle name="dp*NumberLineEPS 2 2 4 2" xfId="3428" xr:uid="{00000000-0005-0000-0000-00000B040000}"/>
    <cellStyle name="dp*NumberLineEPS 2 2 4 2 2" xfId="5603" xr:uid="{00000000-0005-0000-0000-00000B040000}"/>
    <cellStyle name="dp*NumberLineEPS 2 2 4 2 2 2" xfId="11967" xr:uid="{00000000-0005-0000-0000-00000B040000}"/>
    <cellStyle name="dp*NumberLineEPS 2 2 4 2 2 2 2" xfId="30414" xr:uid="{00000000-0005-0000-0000-00000B040000}"/>
    <cellStyle name="dp*NumberLineEPS 2 2 4 2 2 2 3" xfId="48777" xr:uid="{00000000-0005-0000-0000-00000B040000}"/>
    <cellStyle name="dp*NumberLineEPS 2 2 4 2 2 3" xfId="16293" xr:uid="{00000000-0005-0000-0000-00000B040000}"/>
    <cellStyle name="dp*NumberLineEPS 2 2 4 2 2 3 2" xfId="34665" xr:uid="{00000000-0005-0000-0000-00000B040000}"/>
    <cellStyle name="dp*NumberLineEPS 2 2 4 2 2 3 3" xfId="53028" xr:uid="{00000000-0005-0000-0000-00000B040000}"/>
    <cellStyle name="dp*NumberLineEPS 2 2 4 2 2 4" xfId="25412" xr:uid="{00000000-0005-0000-0000-00000B040000}"/>
    <cellStyle name="dp*NumberLineEPS 2 2 4 2 2 4 2" xfId="43781" xr:uid="{00000000-0005-0000-0000-00000B040000}"/>
    <cellStyle name="dp*NumberLineEPS 2 2 4 2 2 5" xfId="21733" xr:uid="{00000000-0005-0000-0000-00000B040000}"/>
    <cellStyle name="dp*NumberLineEPS 2 2 4 2 2 6" xfId="40112" xr:uid="{00000000-0005-0000-0000-00000B040000}"/>
    <cellStyle name="dp*NumberLineEPS 2 2 4 2 3" xfId="6427" xr:uid="{00000000-0005-0000-0000-00000B040000}"/>
    <cellStyle name="dp*NumberLineEPS 2 2 4 2 3 2" xfId="12718" xr:uid="{00000000-0005-0000-0000-00000B040000}"/>
    <cellStyle name="dp*NumberLineEPS 2 2 4 2 3 2 2" xfId="31144" xr:uid="{00000000-0005-0000-0000-00000B040000}"/>
    <cellStyle name="dp*NumberLineEPS 2 2 4 2 3 2 3" xfId="49507" xr:uid="{00000000-0005-0000-0000-00000B040000}"/>
    <cellStyle name="dp*NumberLineEPS 2 2 4 2 3 3" xfId="17029" xr:uid="{00000000-0005-0000-0000-00000B040000}"/>
    <cellStyle name="dp*NumberLineEPS 2 2 4 2 3 3 2" xfId="35377" xr:uid="{00000000-0005-0000-0000-00000B040000}"/>
    <cellStyle name="dp*NumberLineEPS 2 2 4 2 3 3 3" xfId="53740" xr:uid="{00000000-0005-0000-0000-00000B040000}"/>
    <cellStyle name="dp*NumberLineEPS 2 2 4 2 3 4" xfId="26162" xr:uid="{00000000-0005-0000-0000-00000B040000}"/>
    <cellStyle name="dp*NumberLineEPS 2 2 4 2 3 4 2" xfId="44531" xr:uid="{00000000-0005-0000-0000-00000B040000}"/>
    <cellStyle name="dp*NumberLineEPS 2 2 4 2 3 5" xfId="22455" xr:uid="{00000000-0005-0000-0000-00000B040000}"/>
    <cellStyle name="dp*NumberLineEPS 2 2 4 2 3 6" xfId="40824" xr:uid="{00000000-0005-0000-0000-00000B040000}"/>
    <cellStyle name="dp*NumberLineEPS 2 2 4 2 4" xfId="10141" xr:uid="{00000000-0005-0000-0000-00000B040000}"/>
    <cellStyle name="dp*NumberLineEPS 2 2 4 2 4 2" xfId="14198" xr:uid="{00000000-0005-0000-0000-00000B040000}"/>
    <cellStyle name="dp*NumberLineEPS 2 2 4 2 4 2 2" xfId="32614" xr:uid="{00000000-0005-0000-0000-00000B040000}"/>
    <cellStyle name="dp*NumberLineEPS 2 2 4 2 4 2 3" xfId="50977" xr:uid="{00000000-0005-0000-0000-00000B040000}"/>
    <cellStyle name="dp*NumberLineEPS 2 2 4 2 4 3" xfId="28852" xr:uid="{00000000-0005-0000-0000-00000B040000}"/>
    <cellStyle name="dp*NumberLineEPS 2 2 4 2 4 3 2" xfId="47215" xr:uid="{00000000-0005-0000-0000-00000B040000}"/>
    <cellStyle name="dp*NumberLineEPS 2 2 4 2 4 4" xfId="19655" xr:uid="{00000000-0005-0000-0000-00000B040000}"/>
    <cellStyle name="dp*NumberLineEPS 2 2 4 2 4 5" xfId="38061" xr:uid="{00000000-0005-0000-0000-00000B040000}"/>
    <cellStyle name="dp*NumberLineEPS 2 2 4 2 5" xfId="9328" xr:uid="{00000000-0005-0000-0000-00000B040000}"/>
    <cellStyle name="dp*NumberLineEPS 2 2 4 2 5 2" xfId="28047" xr:uid="{00000000-0005-0000-0000-00000B040000}"/>
    <cellStyle name="dp*NumberLineEPS 2 2 4 2 5 3" xfId="46410" xr:uid="{00000000-0005-0000-0000-00000B040000}"/>
    <cellStyle name="dp*NumberLineEPS 2 2 4 2 6" xfId="13384" xr:uid="{00000000-0005-0000-0000-00000B040000}"/>
    <cellStyle name="dp*NumberLineEPS 2 2 4 2 6 2" xfId="31805" xr:uid="{00000000-0005-0000-0000-00000B040000}"/>
    <cellStyle name="dp*NumberLineEPS 2 2 4 2 6 3" xfId="50168" xr:uid="{00000000-0005-0000-0000-00000B040000}"/>
    <cellStyle name="dp*NumberLineEPS 2 2 4 2 7" xfId="23336" xr:uid="{00000000-0005-0000-0000-00000B040000}"/>
    <cellStyle name="dp*NumberLineEPS 2 2 4 2 7 2" xfId="41705" xr:uid="{00000000-0005-0000-0000-00000B040000}"/>
    <cellStyle name="dp*NumberLineEPS 2 2 4 2 8" xfId="18407" xr:uid="{00000000-0005-0000-0000-00000B040000}"/>
    <cellStyle name="dp*NumberLineEPS 2 2 4 2 9" xfId="36813" xr:uid="{00000000-0005-0000-0000-00000B040000}"/>
    <cellStyle name="dp*NumberLineEPS 2 2 4 3" xfId="4421" xr:uid="{00000000-0005-0000-0000-00000B040000}"/>
    <cellStyle name="dp*NumberLineEPS 2 2 4 3 2" xfId="11020" xr:uid="{00000000-0005-0000-0000-00000B040000}"/>
    <cellStyle name="dp*NumberLineEPS 2 2 4 3 2 2" xfId="29640" xr:uid="{00000000-0005-0000-0000-00000B040000}"/>
    <cellStyle name="dp*NumberLineEPS 2 2 4 3 2 3" xfId="48003" xr:uid="{00000000-0005-0000-0000-00000B040000}"/>
    <cellStyle name="dp*NumberLineEPS 2 2 4 3 3" xfId="15155" xr:uid="{00000000-0005-0000-0000-00000B040000}"/>
    <cellStyle name="dp*NumberLineEPS 2 2 4 3 3 2" xfId="33552" xr:uid="{00000000-0005-0000-0000-00000B040000}"/>
    <cellStyle name="dp*NumberLineEPS 2 2 4 3 3 3" xfId="51915" xr:uid="{00000000-0005-0000-0000-00000B040000}"/>
    <cellStyle name="dp*NumberLineEPS 2 2 4 3 4" xfId="24283" xr:uid="{00000000-0005-0000-0000-00000B040000}"/>
    <cellStyle name="dp*NumberLineEPS 2 2 4 3 4 2" xfId="42652" xr:uid="{00000000-0005-0000-0000-00000B040000}"/>
    <cellStyle name="dp*NumberLineEPS 2 2 4 3 5" xfId="20606" xr:uid="{00000000-0005-0000-0000-00000B040000}"/>
    <cellStyle name="dp*NumberLineEPS 2 2 4 3 6" xfId="38999" xr:uid="{00000000-0005-0000-0000-00000B040000}"/>
    <cellStyle name="dp*NumberLineEPS 2 2 4 4" xfId="4045" xr:uid="{00000000-0005-0000-0000-00000B040000}"/>
    <cellStyle name="dp*NumberLineEPS 2 2 4 4 2" xfId="10746" xr:uid="{00000000-0005-0000-0000-00000B040000}"/>
    <cellStyle name="dp*NumberLineEPS 2 2 4 4 2 2" xfId="29449" xr:uid="{00000000-0005-0000-0000-00000B040000}"/>
    <cellStyle name="dp*NumberLineEPS 2 2 4 4 2 3" xfId="47812" xr:uid="{00000000-0005-0000-0000-00000B040000}"/>
    <cellStyle name="dp*NumberLineEPS 2 2 4 4 3" xfId="14806" xr:uid="{00000000-0005-0000-0000-00000B040000}"/>
    <cellStyle name="dp*NumberLineEPS 2 2 4 4 3 2" xfId="33218" xr:uid="{00000000-0005-0000-0000-00000B040000}"/>
    <cellStyle name="dp*NumberLineEPS 2 2 4 4 3 3" xfId="51581" xr:uid="{00000000-0005-0000-0000-00000B040000}"/>
    <cellStyle name="dp*NumberLineEPS 2 2 4 4 4" xfId="23942" xr:uid="{00000000-0005-0000-0000-00000B040000}"/>
    <cellStyle name="dp*NumberLineEPS 2 2 4 4 4 2" xfId="42311" xr:uid="{00000000-0005-0000-0000-00000B040000}"/>
    <cellStyle name="dp*NumberLineEPS 2 2 4 4 5" xfId="20262" xr:uid="{00000000-0005-0000-0000-00000B040000}"/>
    <cellStyle name="dp*NumberLineEPS 2 2 4 4 6" xfId="38665" xr:uid="{00000000-0005-0000-0000-00000B040000}"/>
    <cellStyle name="dp*NumberLineEPS 2 2 4 5" xfId="9411" xr:uid="{00000000-0005-0000-0000-00000B040000}"/>
    <cellStyle name="dp*NumberLineEPS 2 2 4 5 2" xfId="13468" xr:uid="{00000000-0005-0000-0000-00000B040000}"/>
    <cellStyle name="dp*NumberLineEPS 2 2 4 5 2 2" xfId="31889" xr:uid="{00000000-0005-0000-0000-00000B040000}"/>
    <cellStyle name="dp*NumberLineEPS 2 2 4 5 2 3" xfId="50252" xr:uid="{00000000-0005-0000-0000-00000B040000}"/>
    <cellStyle name="dp*NumberLineEPS 2 2 4 5 3" xfId="28128" xr:uid="{00000000-0005-0000-0000-00000B040000}"/>
    <cellStyle name="dp*NumberLineEPS 2 2 4 5 3 2" xfId="46491" xr:uid="{00000000-0005-0000-0000-00000B040000}"/>
    <cellStyle name="dp*NumberLineEPS 2 2 4 5 4" xfId="18492" xr:uid="{00000000-0005-0000-0000-00000B040000}"/>
    <cellStyle name="dp*NumberLineEPS 2 2 4 5 5" xfId="36901" xr:uid="{00000000-0005-0000-0000-00000B040000}"/>
    <cellStyle name="dp*NumberLineEPS 2 2 4 6" xfId="7687" xr:uid="{00000000-0005-0000-0000-00000B040000}"/>
    <cellStyle name="dp*NumberLineEPS 2 2 4 6 2" xfId="26969" xr:uid="{00000000-0005-0000-0000-00000B040000}"/>
    <cellStyle name="dp*NumberLineEPS 2 2 4 6 3" xfId="45334" xr:uid="{00000000-0005-0000-0000-00000B040000}"/>
    <cellStyle name="dp*NumberLineEPS 2 2 4 7" xfId="8089" xr:uid="{00000000-0005-0000-0000-00000B040000}"/>
    <cellStyle name="dp*NumberLineEPS 2 2 4 7 2" xfId="27296" xr:uid="{00000000-0005-0000-0000-00000B040000}"/>
    <cellStyle name="dp*NumberLineEPS 2 2 4 7 3" xfId="45661" xr:uid="{00000000-0005-0000-0000-00000B040000}"/>
    <cellStyle name="dp*NumberLineEPS 2 2 4 8" xfId="18499" xr:uid="{00000000-0005-0000-0000-00000B040000}"/>
    <cellStyle name="dp*NumberLineEPS 2 2 4 8 2" xfId="36908" xr:uid="{00000000-0005-0000-0000-00000B040000}"/>
    <cellStyle name="dp*NumberLineEPS 2 2 4 9" xfId="7771" xr:uid="{00000000-0005-0000-0000-00000B040000}"/>
    <cellStyle name="dp*NumberLineEPS 2 2 5" xfId="3372" xr:uid="{00000000-0005-0000-0000-000002040000}"/>
    <cellStyle name="dp*NumberLineEPS 2 2 5 2" xfId="5547" xr:uid="{00000000-0005-0000-0000-000002040000}"/>
    <cellStyle name="dp*NumberLineEPS 2 2 5 2 2" xfId="11911" xr:uid="{00000000-0005-0000-0000-000002040000}"/>
    <cellStyle name="dp*NumberLineEPS 2 2 5 2 2 2" xfId="30358" xr:uid="{00000000-0005-0000-0000-000002040000}"/>
    <cellStyle name="dp*NumberLineEPS 2 2 5 2 2 3" xfId="48721" xr:uid="{00000000-0005-0000-0000-000002040000}"/>
    <cellStyle name="dp*NumberLineEPS 2 2 5 2 3" xfId="16237" xr:uid="{00000000-0005-0000-0000-000002040000}"/>
    <cellStyle name="dp*NumberLineEPS 2 2 5 2 3 2" xfId="34609" xr:uid="{00000000-0005-0000-0000-000002040000}"/>
    <cellStyle name="dp*NumberLineEPS 2 2 5 2 3 3" xfId="52972" xr:uid="{00000000-0005-0000-0000-000002040000}"/>
    <cellStyle name="dp*NumberLineEPS 2 2 5 2 4" xfId="25356" xr:uid="{00000000-0005-0000-0000-000002040000}"/>
    <cellStyle name="dp*NumberLineEPS 2 2 5 2 4 2" xfId="43725" xr:uid="{00000000-0005-0000-0000-000002040000}"/>
    <cellStyle name="dp*NumberLineEPS 2 2 5 2 5" xfId="21677" xr:uid="{00000000-0005-0000-0000-000002040000}"/>
    <cellStyle name="dp*NumberLineEPS 2 2 5 2 6" xfId="40056" xr:uid="{00000000-0005-0000-0000-000002040000}"/>
    <cellStyle name="dp*NumberLineEPS 2 2 5 3" xfId="6371" xr:uid="{00000000-0005-0000-0000-000002040000}"/>
    <cellStyle name="dp*NumberLineEPS 2 2 5 3 2" xfId="12662" xr:uid="{00000000-0005-0000-0000-000002040000}"/>
    <cellStyle name="dp*NumberLineEPS 2 2 5 3 2 2" xfId="31088" xr:uid="{00000000-0005-0000-0000-000002040000}"/>
    <cellStyle name="dp*NumberLineEPS 2 2 5 3 2 3" xfId="49451" xr:uid="{00000000-0005-0000-0000-000002040000}"/>
    <cellStyle name="dp*NumberLineEPS 2 2 5 3 3" xfId="16973" xr:uid="{00000000-0005-0000-0000-000002040000}"/>
    <cellStyle name="dp*NumberLineEPS 2 2 5 3 3 2" xfId="35321" xr:uid="{00000000-0005-0000-0000-000002040000}"/>
    <cellStyle name="dp*NumberLineEPS 2 2 5 3 3 3" xfId="53684" xr:uid="{00000000-0005-0000-0000-000002040000}"/>
    <cellStyle name="dp*NumberLineEPS 2 2 5 3 4" xfId="26106" xr:uid="{00000000-0005-0000-0000-000002040000}"/>
    <cellStyle name="dp*NumberLineEPS 2 2 5 3 4 2" xfId="44475" xr:uid="{00000000-0005-0000-0000-000002040000}"/>
    <cellStyle name="dp*NumberLineEPS 2 2 5 3 5" xfId="22399" xr:uid="{00000000-0005-0000-0000-000002040000}"/>
    <cellStyle name="dp*NumberLineEPS 2 2 5 3 6" xfId="40768" xr:uid="{00000000-0005-0000-0000-000002040000}"/>
    <cellStyle name="dp*NumberLineEPS 2 2 5 4" xfId="10085" xr:uid="{00000000-0005-0000-0000-000002040000}"/>
    <cellStyle name="dp*NumberLineEPS 2 2 5 4 2" xfId="14142" xr:uid="{00000000-0005-0000-0000-000002040000}"/>
    <cellStyle name="dp*NumberLineEPS 2 2 5 4 2 2" xfId="32558" xr:uid="{00000000-0005-0000-0000-000002040000}"/>
    <cellStyle name="dp*NumberLineEPS 2 2 5 4 2 3" xfId="50921" xr:uid="{00000000-0005-0000-0000-000002040000}"/>
    <cellStyle name="dp*NumberLineEPS 2 2 5 4 3" xfId="28796" xr:uid="{00000000-0005-0000-0000-000002040000}"/>
    <cellStyle name="dp*NumberLineEPS 2 2 5 4 3 2" xfId="47159" xr:uid="{00000000-0005-0000-0000-000002040000}"/>
    <cellStyle name="dp*NumberLineEPS 2 2 5 4 4" xfId="19599" xr:uid="{00000000-0005-0000-0000-000002040000}"/>
    <cellStyle name="dp*NumberLineEPS 2 2 5 4 5" xfId="38005" xr:uid="{00000000-0005-0000-0000-000002040000}"/>
    <cellStyle name="dp*NumberLineEPS 2 2 5 5" xfId="9237" xr:uid="{00000000-0005-0000-0000-000002040000}"/>
    <cellStyle name="dp*NumberLineEPS 2 2 5 5 2" xfId="27957" xr:uid="{00000000-0005-0000-0000-000002040000}"/>
    <cellStyle name="dp*NumberLineEPS 2 2 5 5 3" xfId="46320" xr:uid="{00000000-0005-0000-0000-000002040000}"/>
    <cellStyle name="dp*NumberLineEPS 2 2 5 6" xfId="13294" xr:uid="{00000000-0005-0000-0000-000002040000}"/>
    <cellStyle name="dp*NumberLineEPS 2 2 5 6 2" xfId="31715" xr:uid="{00000000-0005-0000-0000-000002040000}"/>
    <cellStyle name="dp*NumberLineEPS 2 2 5 6 3" xfId="50078" xr:uid="{00000000-0005-0000-0000-000002040000}"/>
    <cellStyle name="dp*NumberLineEPS 2 2 5 7" xfId="23280" xr:uid="{00000000-0005-0000-0000-000002040000}"/>
    <cellStyle name="dp*NumberLineEPS 2 2 5 7 2" xfId="41649" xr:uid="{00000000-0005-0000-0000-000002040000}"/>
    <cellStyle name="dp*NumberLineEPS 2 2 5 8" xfId="18289" xr:uid="{00000000-0005-0000-0000-000002040000}"/>
    <cellStyle name="dp*NumberLineEPS 2 2 5 9" xfId="36695" xr:uid="{00000000-0005-0000-0000-000002040000}"/>
    <cellStyle name="dp*NumberLineEPS 2 2 6" xfId="4322" xr:uid="{00000000-0005-0000-0000-000002040000}"/>
    <cellStyle name="dp*NumberLineEPS 2 2 6 2" xfId="10930" xr:uid="{00000000-0005-0000-0000-000002040000}"/>
    <cellStyle name="dp*NumberLineEPS 2 2 6 2 2" xfId="29560" xr:uid="{00000000-0005-0000-0000-000002040000}"/>
    <cellStyle name="dp*NumberLineEPS 2 2 6 2 3" xfId="47923" xr:uid="{00000000-0005-0000-0000-000002040000}"/>
    <cellStyle name="dp*NumberLineEPS 2 2 6 3" xfId="15066" xr:uid="{00000000-0005-0000-0000-000002040000}"/>
    <cellStyle name="dp*NumberLineEPS 2 2 6 3 2" xfId="33468" xr:uid="{00000000-0005-0000-0000-000002040000}"/>
    <cellStyle name="dp*NumberLineEPS 2 2 6 3 3" xfId="51831" xr:uid="{00000000-0005-0000-0000-000002040000}"/>
    <cellStyle name="dp*NumberLineEPS 2 2 6 4" xfId="24197" xr:uid="{00000000-0005-0000-0000-000002040000}"/>
    <cellStyle name="dp*NumberLineEPS 2 2 6 4 2" xfId="42566" xr:uid="{00000000-0005-0000-0000-000002040000}"/>
    <cellStyle name="dp*NumberLineEPS 2 2 6 5" xfId="20518" xr:uid="{00000000-0005-0000-0000-000002040000}"/>
    <cellStyle name="dp*NumberLineEPS 2 2 6 6" xfId="38915" xr:uid="{00000000-0005-0000-0000-000002040000}"/>
    <cellStyle name="dp*NumberLineEPS 2 2 7" xfId="4070" xr:uid="{00000000-0005-0000-0000-000002040000}"/>
    <cellStyle name="dp*NumberLineEPS 2 2 7 2" xfId="10770" xr:uid="{00000000-0005-0000-0000-000002040000}"/>
    <cellStyle name="dp*NumberLineEPS 2 2 7 2 2" xfId="29473" xr:uid="{00000000-0005-0000-0000-000002040000}"/>
    <cellStyle name="dp*NumberLineEPS 2 2 7 2 3" xfId="47836" xr:uid="{00000000-0005-0000-0000-000002040000}"/>
    <cellStyle name="dp*NumberLineEPS 2 2 7 3" xfId="14830" xr:uid="{00000000-0005-0000-0000-000002040000}"/>
    <cellStyle name="dp*NumberLineEPS 2 2 7 3 2" xfId="33242" xr:uid="{00000000-0005-0000-0000-000002040000}"/>
    <cellStyle name="dp*NumberLineEPS 2 2 7 3 3" xfId="51605" xr:uid="{00000000-0005-0000-0000-000002040000}"/>
    <cellStyle name="dp*NumberLineEPS 2 2 7 4" xfId="23966" xr:uid="{00000000-0005-0000-0000-000002040000}"/>
    <cellStyle name="dp*NumberLineEPS 2 2 7 4 2" xfId="42335" xr:uid="{00000000-0005-0000-0000-000002040000}"/>
    <cellStyle name="dp*NumberLineEPS 2 2 7 5" xfId="20286" xr:uid="{00000000-0005-0000-0000-000002040000}"/>
    <cellStyle name="dp*NumberLineEPS 2 2 7 6" xfId="38689" xr:uid="{00000000-0005-0000-0000-000002040000}"/>
    <cellStyle name="dp*NumberLineEPS 2 2 8" xfId="7574" xr:uid="{00000000-0005-0000-0000-000002040000}"/>
    <cellStyle name="dp*NumberLineEPS 2 2 8 2" xfId="26882" xr:uid="{00000000-0005-0000-0000-000002040000}"/>
    <cellStyle name="dp*NumberLineEPS 2 2 8 3" xfId="45247" xr:uid="{00000000-0005-0000-0000-000002040000}"/>
    <cellStyle name="dp*NumberLineEPS 2 2 9" xfId="8959" xr:uid="{00000000-0005-0000-0000-000002040000}"/>
    <cellStyle name="dp*NumberLineEPS 2 2 9 2" xfId="27703" xr:uid="{00000000-0005-0000-0000-000002040000}"/>
    <cellStyle name="dp*NumberLineEPS 2 2 9 3" xfId="46066" xr:uid="{00000000-0005-0000-0000-000002040000}"/>
    <cellStyle name="dp*NumberLineEPS 2 3" xfId="1439" xr:uid="{00000000-0005-0000-0000-00000C040000}"/>
    <cellStyle name="dp*NumberLineEPS 2 3 10" xfId="8593" xr:uid="{00000000-0005-0000-0000-00000C040000}"/>
    <cellStyle name="dp*NumberLineEPS 2 3 2" xfId="3459" xr:uid="{00000000-0005-0000-0000-00000C040000}"/>
    <cellStyle name="dp*NumberLineEPS 2 3 2 2" xfId="5634" xr:uid="{00000000-0005-0000-0000-00000C040000}"/>
    <cellStyle name="dp*NumberLineEPS 2 3 2 2 2" xfId="11998" xr:uid="{00000000-0005-0000-0000-00000C040000}"/>
    <cellStyle name="dp*NumberLineEPS 2 3 2 2 2 2" xfId="30445" xr:uid="{00000000-0005-0000-0000-00000C040000}"/>
    <cellStyle name="dp*NumberLineEPS 2 3 2 2 2 3" xfId="48808" xr:uid="{00000000-0005-0000-0000-00000C040000}"/>
    <cellStyle name="dp*NumberLineEPS 2 3 2 2 3" xfId="16324" xr:uid="{00000000-0005-0000-0000-00000C040000}"/>
    <cellStyle name="dp*NumberLineEPS 2 3 2 2 3 2" xfId="34696" xr:uid="{00000000-0005-0000-0000-00000C040000}"/>
    <cellStyle name="dp*NumberLineEPS 2 3 2 2 3 3" xfId="53059" xr:uid="{00000000-0005-0000-0000-00000C040000}"/>
    <cellStyle name="dp*NumberLineEPS 2 3 2 2 4" xfId="25443" xr:uid="{00000000-0005-0000-0000-00000C040000}"/>
    <cellStyle name="dp*NumberLineEPS 2 3 2 2 4 2" xfId="43812" xr:uid="{00000000-0005-0000-0000-00000C040000}"/>
    <cellStyle name="dp*NumberLineEPS 2 3 2 2 5" xfId="21764" xr:uid="{00000000-0005-0000-0000-00000C040000}"/>
    <cellStyle name="dp*NumberLineEPS 2 3 2 2 6" xfId="40143" xr:uid="{00000000-0005-0000-0000-00000C040000}"/>
    <cellStyle name="dp*NumberLineEPS 2 3 2 3" xfId="6458" xr:uid="{00000000-0005-0000-0000-00000C040000}"/>
    <cellStyle name="dp*NumberLineEPS 2 3 2 3 2" xfId="12749" xr:uid="{00000000-0005-0000-0000-00000C040000}"/>
    <cellStyle name="dp*NumberLineEPS 2 3 2 3 2 2" xfId="31175" xr:uid="{00000000-0005-0000-0000-00000C040000}"/>
    <cellStyle name="dp*NumberLineEPS 2 3 2 3 2 3" xfId="49538" xr:uid="{00000000-0005-0000-0000-00000C040000}"/>
    <cellStyle name="dp*NumberLineEPS 2 3 2 3 3" xfId="17060" xr:uid="{00000000-0005-0000-0000-00000C040000}"/>
    <cellStyle name="dp*NumberLineEPS 2 3 2 3 3 2" xfId="35408" xr:uid="{00000000-0005-0000-0000-00000C040000}"/>
    <cellStyle name="dp*NumberLineEPS 2 3 2 3 3 3" xfId="53771" xr:uid="{00000000-0005-0000-0000-00000C040000}"/>
    <cellStyle name="dp*NumberLineEPS 2 3 2 3 4" xfId="26193" xr:uid="{00000000-0005-0000-0000-00000C040000}"/>
    <cellStyle name="dp*NumberLineEPS 2 3 2 3 4 2" xfId="44562" xr:uid="{00000000-0005-0000-0000-00000C040000}"/>
    <cellStyle name="dp*NumberLineEPS 2 3 2 3 5" xfId="22486" xr:uid="{00000000-0005-0000-0000-00000C040000}"/>
    <cellStyle name="dp*NumberLineEPS 2 3 2 3 6" xfId="40855" xr:uid="{00000000-0005-0000-0000-00000C040000}"/>
    <cellStyle name="dp*NumberLineEPS 2 3 2 4" xfId="10172" xr:uid="{00000000-0005-0000-0000-00000C040000}"/>
    <cellStyle name="dp*NumberLineEPS 2 3 2 4 2" xfId="14229" xr:uid="{00000000-0005-0000-0000-00000C040000}"/>
    <cellStyle name="dp*NumberLineEPS 2 3 2 4 2 2" xfId="32645" xr:uid="{00000000-0005-0000-0000-00000C040000}"/>
    <cellStyle name="dp*NumberLineEPS 2 3 2 4 2 3" xfId="51008" xr:uid="{00000000-0005-0000-0000-00000C040000}"/>
    <cellStyle name="dp*NumberLineEPS 2 3 2 4 3" xfId="28883" xr:uid="{00000000-0005-0000-0000-00000C040000}"/>
    <cellStyle name="dp*NumberLineEPS 2 3 2 4 3 2" xfId="47246" xr:uid="{00000000-0005-0000-0000-00000C040000}"/>
    <cellStyle name="dp*NumberLineEPS 2 3 2 4 4" xfId="19686" xr:uid="{00000000-0005-0000-0000-00000C040000}"/>
    <cellStyle name="dp*NumberLineEPS 2 3 2 4 5" xfId="38092" xr:uid="{00000000-0005-0000-0000-00000C040000}"/>
    <cellStyle name="dp*NumberLineEPS 2 3 2 5" xfId="9362" xr:uid="{00000000-0005-0000-0000-00000C040000}"/>
    <cellStyle name="dp*NumberLineEPS 2 3 2 5 2" xfId="28081" xr:uid="{00000000-0005-0000-0000-00000C040000}"/>
    <cellStyle name="dp*NumberLineEPS 2 3 2 5 3" xfId="46444" xr:uid="{00000000-0005-0000-0000-00000C040000}"/>
    <cellStyle name="dp*NumberLineEPS 2 3 2 6" xfId="13418" xr:uid="{00000000-0005-0000-0000-00000C040000}"/>
    <cellStyle name="dp*NumberLineEPS 2 3 2 6 2" xfId="31839" xr:uid="{00000000-0005-0000-0000-00000C040000}"/>
    <cellStyle name="dp*NumberLineEPS 2 3 2 6 3" xfId="50202" xr:uid="{00000000-0005-0000-0000-00000C040000}"/>
    <cellStyle name="dp*NumberLineEPS 2 3 2 7" xfId="23367" xr:uid="{00000000-0005-0000-0000-00000C040000}"/>
    <cellStyle name="dp*NumberLineEPS 2 3 2 7 2" xfId="41736" xr:uid="{00000000-0005-0000-0000-00000C040000}"/>
    <cellStyle name="dp*NumberLineEPS 2 3 2 8" xfId="18444" xr:uid="{00000000-0005-0000-0000-00000C040000}"/>
    <cellStyle name="dp*NumberLineEPS 2 3 2 9" xfId="36850" xr:uid="{00000000-0005-0000-0000-00000C040000}"/>
    <cellStyle name="dp*NumberLineEPS 2 3 3" xfId="4456" xr:uid="{00000000-0005-0000-0000-00000C040000}"/>
    <cellStyle name="dp*NumberLineEPS 2 3 3 2" xfId="11053" xr:uid="{00000000-0005-0000-0000-00000C040000}"/>
    <cellStyle name="dp*NumberLineEPS 2 3 3 2 2" xfId="29673" xr:uid="{00000000-0005-0000-0000-00000C040000}"/>
    <cellStyle name="dp*NumberLineEPS 2 3 3 2 3" xfId="48036" xr:uid="{00000000-0005-0000-0000-00000C040000}"/>
    <cellStyle name="dp*NumberLineEPS 2 3 3 3" xfId="15190" xr:uid="{00000000-0005-0000-0000-00000C040000}"/>
    <cellStyle name="dp*NumberLineEPS 2 3 3 3 2" xfId="33586" xr:uid="{00000000-0005-0000-0000-00000C040000}"/>
    <cellStyle name="dp*NumberLineEPS 2 3 3 3 3" xfId="51949" xr:uid="{00000000-0005-0000-0000-00000C040000}"/>
    <cellStyle name="dp*NumberLineEPS 2 3 3 4" xfId="24317" xr:uid="{00000000-0005-0000-0000-00000C040000}"/>
    <cellStyle name="dp*NumberLineEPS 2 3 3 4 2" xfId="42686" xr:uid="{00000000-0005-0000-0000-00000C040000}"/>
    <cellStyle name="dp*NumberLineEPS 2 3 3 5" xfId="20641" xr:uid="{00000000-0005-0000-0000-00000C040000}"/>
    <cellStyle name="dp*NumberLineEPS 2 3 3 6" xfId="39033" xr:uid="{00000000-0005-0000-0000-00000C040000}"/>
    <cellStyle name="dp*NumberLineEPS 2 3 4" xfId="4027" xr:uid="{00000000-0005-0000-0000-00000C040000}"/>
    <cellStyle name="dp*NumberLineEPS 2 3 4 2" xfId="10730" xr:uid="{00000000-0005-0000-0000-00000C040000}"/>
    <cellStyle name="dp*NumberLineEPS 2 3 4 2 2" xfId="29434" xr:uid="{00000000-0005-0000-0000-00000C040000}"/>
    <cellStyle name="dp*NumberLineEPS 2 3 4 2 3" xfId="47797" xr:uid="{00000000-0005-0000-0000-00000C040000}"/>
    <cellStyle name="dp*NumberLineEPS 2 3 4 3" xfId="14788" xr:uid="{00000000-0005-0000-0000-00000C040000}"/>
    <cellStyle name="dp*NumberLineEPS 2 3 4 3 2" xfId="33200" xr:uid="{00000000-0005-0000-0000-00000C040000}"/>
    <cellStyle name="dp*NumberLineEPS 2 3 4 3 3" xfId="51563" xr:uid="{00000000-0005-0000-0000-00000C040000}"/>
    <cellStyle name="dp*NumberLineEPS 2 3 4 4" xfId="23924" xr:uid="{00000000-0005-0000-0000-00000C040000}"/>
    <cellStyle name="dp*NumberLineEPS 2 3 4 4 2" xfId="42293" xr:uid="{00000000-0005-0000-0000-00000C040000}"/>
    <cellStyle name="dp*NumberLineEPS 2 3 4 5" xfId="20244" xr:uid="{00000000-0005-0000-0000-00000C040000}"/>
    <cellStyle name="dp*NumberLineEPS 2 3 4 6" xfId="38647" xr:uid="{00000000-0005-0000-0000-00000C040000}"/>
    <cellStyle name="dp*NumberLineEPS 2 3 5" xfId="9171" xr:uid="{00000000-0005-0000-0000-00000C040000}"/>
    <cellStyle name="dp*NumberLineEPS 2 3 5 2" xfId="13229" xr:uid="{00000000-0005-0000-0000-00000C040000}"/>
    <cellStyle name="dp*NumberLineEPS 2 3 5 2 2" xfId="31650" xr:uid="{00000000-0005-0000-0000-00000C040000}"/>
    <cellStyle name="dp*NumberLineEPS 2 3 5 2 3" xfId="50013" xr:uid="{00000000-0005-0000-0000-00000C040000}"/>
    <cellStyle name="dp*NumberLineEPS 2 3 5 3" xfId="27892" xr:uid="{00000000-0005-0000-0000-00000C040000}"/>
    <cellStyle name="dp*NumberLineEPS 2 3 5 3 2" xfId="46255" xr:uid="{00000000-0005-0000-0000-00000C040000}"/>
    <cellStyle name="dp*NumberLineEPS 2 3 5 4" xfId="18172" xr:uid="{00000000-0005-0000-0000-00000C040000}"/>
    <cellStyle name="dp*NumberLineEPS 2 3 5 5" xfId="36578" xr:uid="{00000000-0005-0000-0000-00000C040000}"/>
    <cellStyle name="dp*NumberLineEPS 2 3 6" xfId="7727" xr:uid="{00000000-0005-0000-0000-00000C040000}"/>
    <cellStyle name="dp*NumberLineEPS 2 3 6 2" xfId="27004" xr:uid="{00000000-0005-0000-0000-00000C040000}"/>
    <cellStyle name="dp*NumberLineEPS 2 3 6 3" xfId="45369" xr:uid="{00000000-0005-0000-0000-00000C040000}"/>
    <cellStyle name="dp*NumberLineEPS 2 3 7" xfId="7595" xr:uid="{00000000-0005-0000-0000-00000C040000}"/>
    <cellStyle name="dp*NumberLineEPS 2 3 7 2" xfId="26899" xr:uid="{00000000-0005-0000-0000-00000C040000}"/>
    <cellStyle name="dp*NumberLineEPS 2 3 7 3" xfId="45264" xr:uid="{00000000-0005-0000-0000-00000C040000}"/>
    <cellStyle name="dp*NumberLineEPS 2 3 8" xfId="19422" xr:uid="{00000000-0005-0000-0000-00000C040000}"/>
    <cellStyle name="dp*NumberLineEPS 2 3 8 2" xfId="37828" xr:uid="{00000000-0005-0000-0000-00000C040000}"/>
    <cellStyle name="dp*NumberLineEPS 2 3 9" xfId="9213" xr:uid="{00000000-0005-0000-0000-00000C040000}"/>
    <cellStyle name="dp*NumberLineEPS 2 4" xfId="1906" xr:uid="{00000000-0005-0000-0000-00000D040000}"/>
    <cellStyle name="dp*NumberLineEPS 2 4 10" xfId="7332" xr:uid="{00000000-0005-0000-0000-00000D040000}"/>
    <cellStyle name="dp*NumberLineEPS 2 4 2" xfId="3724" xr:uid="{00000000-0005-0000-0000-00000D040000}"/>
    <cellStyle name="dp*NumberLineEPS 2 4 2 2" xfId="5897" xr:uid="{00000000-0005-0000-0000-00000D040000}"/>
    <cellStyle name="dp*NumberLineEPS 2 4 2 2 2" xfId="12261" xr:uid="{00000000-0005-0000-0000-00000D040000}"/>
    <cellStyle name="dp*NumberLineEPS 2 4 2 2 2 2" xfId="30708" xr:uid="{00000000-0005-0000-0000-00000D040000}"/>
    <cellStyle name="dp*NumberLineEPS 2 4 2 2 2 3" xfId="49071" xr:uid="{00000000-0005-0000-0000-00000D040000}"/>
    <cellStyle name="dp*NumberLineEPS 2 4 2 2 3" xfId="16587" xr:uid="{00000000-0005-0000-0000-00000D040000}"/>
    <cellStyle name="dp*NumberLineEPS 2 4 2 2 3 2" xfId="34959" xr:uid="{00000000-0005-0000-0000-00000D040000}"/>
    <cellStyle name="dp*NumberLineEPS 2 4 2 2 3 3" xfId="53322" xr:uid="{00000000-0005-0000-0000-00000D040000}"/>
    <cellStyle name="dp*NumberLineEPS 2 4 2 2 4" xfId="25706" xr:uid="{00000000-0005-0000-0000-00000D040000}"/>
    <cellStyle name="dp*NumberLineEPS 2 4 2 2 4 2" xfId="44075" xr:uid="{00000000-0005-0000-0000-00000D040000}"/>
    <cellStyle name="dp*NumberLineEPS 2 4 2 2 5" xfId="22027" xr:uid="{00000000-0005-0000-0000-00000D040000}"/>
    <cellStyle name="dp*NumberLineEPS 2 4 2 2 6" xfId="40406" xr:uid="{00000000-0005-0000-0000-00000D040000}"/>
    <cellStyle name="dp*NumberLineEPS 2 4 2 3" xfId="6723" xr:uid="{00000000-0005-0000-0000-00000D040000}"/>
    <cellStyle name="dp*NumberLineEPS 2 4 2 3 2" xfId="13014" xr:uid="{00000000-0005-0000-0000-00000D040000}"/>
    <cellStyle name="dp*NumberLineEPS 2 4 2 3 2 2" xfId="31440" xr:uid="{00000000-0005-0000-0000-00000D040000}"/>
    <cellStyle name="dp*NumberLineEPS 2 4 2 3 2 3" xfId="49803" xr:uid="{00000000-0005-0000-0000-00000D040000}"/>
    <cellStyle name="dp*NumberLineEPS 2 4 2 3 3" xfId="17325" xr:uid="{00000000-0005-0000-0000-00000D040000}"/>
    <cellStyle name="dp*NumberLineEPS 2 4 2 3 3 2" xfId="35673" xr:uid="{00000000-0005-0000-0000-00000D040000}"/>
    <cellStyle name="dp*NumberLineEPS 2 4 2 3 3 3" xfId="54036" xr:uid="{00000000-0005-0000-0000-00000D040000}"/>
    <cellStyle name="dp*NumberLineEPS 2 4 2 3 4" xfId="26458" xr:uid="{00000000-0005-0000-0000-00000D040000}"/>
    <cellStyle name="dp*NumberLineEPS 2 4 2 3 4 2" xfId="44827" xr:uid="{00000000-0005-0000-0000-00000D040000}"/>
    <cellStyle name="dp*NumberLineEPS 2 4 2 3 5" xfId="22751" xr:uid="{00000000-0005-0000-0000-00000D040000}"/>
    <cellStyle name="dp*NumberLineEPS 2 4 2 3 6" xfId="41120" xr:uid="{00000000-0005-0000-0000-00000D040000}"/>
    <cellStyle name="dp*NumberLineEPS 2 4 2 4" xfId="10437" xr:uid="{00000000-0005-0000-0000-00000D040000}"/>
    <cellStyle name="dp*NumberLineEPS 2 4 2 4 2" xfId="14494" xr:uid="{00000000-0005-0000-0000-00000D040000}"/>
    <cellStyle name="dp*NumberLineEPS 2 4 2 4 2 2" xfId="32910" xr:uid="{00000000-0005-0000-0000-00000D040000}"/>
    <cellStyle name="dp*NumberLineEPS 2 4 2 4 2 3" xfId="51273" xr:uid="{00000000-0005-0000-0000-00000D040000}"/>
    <cellStyle name="dp*NumberLineEPS 2 4 2 4 3" xfId="29148" xr:uid="{00000000-0005-0000-0000-00000D040000}"/>
    <cellStyle name="dp*NumberLineEPS 2 4 2 4 3 2" xfId="47511" xr:uid="{00000000-0005-0000-0000-00000D040000}"/>
    <cellStyle name="dp*NumberLineEPS 2 4 2 4 4" xfId="19951" xr:uid="{00000000-0005-0000-0000-00000D040000}"/>
    <cellStyle name="dp*NumberLineEPS 2 4 2 4 5" xfId="38357" xr:uid="{00000000-0005-0000-0000-00000D040000}"/>
    <cellStyle name="dp*NumberLineEPS 2 4 2 5" xfId="9653" xr:uid="{00000000-0005-0000-0000-00000D040000}"/>
    <cellStyle name="dp*NumberLineEPS 2 4 2 5 2" xfId="28369" xr:uid="{00000000-0005-0000-0000-00000D040000}"/>
    <cellStyle name="dp*NumberLineEPS 2 4 2 5 3" xfId="46732" xr:uid="{00000000-0005-0000-0000-00000D040000}"/>
    <cellStyle name="dp*NumberLineEPS 2 4 2 6" xfId="13710" xr:uid="{00000000-0005-0000-0000-00000D040000}"/>
    <cellStyle name="dp*NumberLineEPS 2 4 2 6 2" xfId="32131" xr:uid="{00000000-0005-0000-0000-00000D040000}"/>
    <cellStyle name="dp*NumberLineEPS 2 4 2 6 3" xfId="50494" xr:uid="{00000000-0005-0000-0000-00000D040000}"/>
    <cellStyle name="dp*NumberLineEPS 2 4 2 7" xfId="23632" xr:uid="{00000000-0005-0000-0000-00000D040000}"/>
    <cellStyle name="dp*NumberLineEPS 2 4 2 7 2" xfId="42001" xr:uid="{00000000-0005-0000-0000-00000D040000}"/>
    <cellStyle name="dp*NumberLineEPS 2 4 2 8" xfId="18778" xr:uid="{00000000-0005-0000-0000-00000D040000}"/>
    <cellStyle name="dp*NumberLineEPS 2 4 2 9" xfId="37187" xr:uid="{00000000-0005-0000-0000-00000D040000}"/>
    <cellStyle name="dp*NumberLineEPS 2 4 3" xfId="4817" xr:uid="{00000000-0005-0000-0000-00000D040000}"/>
    <cellStyle name="dp*NumberLineEPS 2 4 3 2" xfId="11378" xr:uid="{00000000-0005-0000-0000-00000D040000}"/>
    <cellStyle name="dp*NumberLineEPS 2 4 3 2 2" xfId="29970" xr:uid="{00000000-0005-0000-0000-00000D040000}"/>
    <cellStyle name="dp*NumberLineEPS 2 4 3 2 3" xfId="48333" xr:uid="{00000000-0005-0000-0000-00000D040000}"/>
    <cellStyle name="dp*NumberLineEPS 2 4 3 3" xfId="15543" xr:uid="{00000000-0005-0000-0000-00000D040000}"/>
    <cellStyle name="dp*NumberLineEPS 2 4 3 3 2" xfId="33936" xr:uid="{00000000-0005-0000-0000-00000D040000}"/>
    <cellStyle name="dp*NumberLineEPS 2 4 3 3 3" xfId="52299" xr:uid="{00000000-0005-0000-0000-00000D040000}"/>
    <cellStyle name="dp*NumberLineEPS 2 4 3 4" xfId="24667" xr:uid="{00000000-0005-0000-0000-00000D040000}"/>
    <cellStyle name="dp*NumberLineEPS 2 4 3 4 2" xfId="43036" xr:uid="{00000000-0005-0000-0000-00000D040000}"/>
    <cellStyle name="dp*NumberLineEPS 2 4 3 5" xfId="20994" xr:uid="{00000000-0005-0000-0000-00000D040000}"/>
    <cellStyle name="dp*NumberLineEPS 2 4 3 6" xfId="39383" xr:uid="{00000000-0005-0000-0000-00000D040000}"/>
    <cellStyle name="dp*NumberLineEPS 2 4 4" xfId="4364" xr:uid="{00000000-0005-0000-0000-00000D040000}"/>
    <cellStyle name="dp*NumberLineEPS 2 4 4 2" xfId="10967" xr:uid="{00000000-0005-0000-0000-00000D040000}"/>
    <cellStyle name="dp*NumberLineEPS 2 4 4 2 2" xfId="29592" xr:uid="{00000000-0005-0000-0000-00000D040000}"/>
    <cellStyle name="dp*NumberLineEPS 2 4 4 2 3" xfId="47955" xr:uid="{00000000-0005-0000-0000-00000D040000}"/>
    <cellStyle name="dp*NumberLineEPS 2 4 4 3" xfId="15103" xr:uid="{00000000-0005-0000-0000-00000D040000}"/>
    <cellStyle name="dp*NumberLineEPS 2 4 4 3 2" xfId="33503" xr:uid="{00000000-0005-0000-0000-00000D040000}"/>
    <cellStyle name="dp*NumberLineEPS 2 4 4 3 3" xfId="51866" xr:uid="{00000000-0005-0000-0000-00000D040000}"/>
    <cellStyle name="dp*NumberLineEPS 2 4 4 4" xfId="24233" xr:uid="{00000000-0005-0000-0000-00000D040000}"/>
    <cellStyle name="dp*NumberLineEPS 2 4 4 4 2" xfId="42602" xr:uid="{00000000-0005-0000-0000-00000D040000}"/>
    <cellStyle name="dp*NumberLineEPS 2 4 4 5" xfId="20556" xr:uid="{00000000-0005-0000-0000-00000D040000}"/>
    <cellStyle name="dp*NumberLineEPS 2 4 4 6" xfId="38950" xr:uid="{00000000-0005-0000-0000-00000D040000}"/>
    <cellStyle name="dp*NumberLineEPS 2 4 5" xfId="9225" xr:uid="{00000000-0005-0000-0000-00000D040000}"/>
    <cellStyle name="dp*NumberLineEPS 2 4 5 2" xfId="13282" xr:uid="{00000000-0005-0000-0000-00000D040000}"/>
    <cellStyle name="dp*NumberLineEPS 2 4 5 2 2" xfId="31703" xr:uid="{00000000-0005-0000-0000-00000D040000}"/>
    <cellStyle name="dp*NumberLineEPS 2 4 5 2 3" xfId="50066" xr:uid="{00000000-0005-0000-0000-00000D040000}"/>
    <cellStyle name="dp*NumberLineEPS 2 4 5 3" xfId="27945" xr:uid="{00000000-0005-0000-0000-00000D040000}"/>
    <cellStyle name="dp*NumberLineEPS 2 4 5 3 2" xfId="46308" xr:uid="{00000000-0005-0000-0000-00000D040000}"/>
    <cellStyle name="dp*NumberLineEPS 2 4 5 4" xfId="18272" xr:uid="{00000000-0005-0000-0000-00000D040000}"/>
    <cellStyle name="dp*NumberLineEPS 2 4 5 5" xfId="36678" xr:uid="{00000000-0005-0000-0000-00000D040000}"/>
    <cellStyle name="dp*NumberLineEPS 2 4 6" xfId="8105" xr:uid="{00000000-0005-0000-0000-00000D040000}"/>
    <cellStyle name="dp*NumberLineEPS 2 4 6 2" xfId="27310" xr:uid="{00000000-0005-0000-0000-00000D040000}"/>
    <cellStyle name="dp*NumberLineEPS 2 4 6 3" xfId="45675" xr:uid="{00000000-0005-0000-0000-00000D040000}"/>
    <cellStyle name="dp*NumberLineEPS 2 4 7" xfId="8890" xr:uid="{00000000-0005-0000-0000-00000D040000}"/>
    <cellStyle name="dp*NumberLineEPS 2 4 7 2" xfId="27673" xr:uid="{00000000-0005-0000-0000-00000D040000}"/>
    <cellStyle name="dp*NumberLineEPS 2 4 7 3" xfId="46036" xr:uid="{00000000-0005-0000-0000-00000D040000}"/>
    <cellStyle name="dp*NumberLineEPS 2 4 8" xfId="19077" xr:uid="{00000000-0005-0000-0000-00000D040000}"/>
    <cellStyle name="dp*NumberLineEPS 2 4 8 2" xfId="37485" xr:uid="{00000000-0005-0000-0000-00000D040000}"/>
    <cellStyle name="dp*NumberLineEPS 2 4 9" xfId="8504" xr:uid="{00000000-0005-0000-0000-00000D040000}"/>
    <cellStyle name="dp*NumberLineEPS 2 5" xfId="2321" xr:uid="{00000000-0005-0000-0000-00000E040000}"/>
    <cellStyle name="dp*NumberLineEPS 2 5 10" xfId="8943" xr:uid="{00000000-0005-0000-0000-00000E040000}"/>
    <cellStyle name="dp*NumberLineEPS 2 5 2" xfId="3769" xr:uid="{00000000-0005-0000-0000-00000E040000}"/>
    <cellStyle name="dp*NumberLineEPS 2 5 2 2" xfId="5942" xr:uid="{00000000-0005-0000-0000-00000E040000}"/>
    <cellStyle name="dp*NumberLineEPS 2 5 2 2 2" xfId="12306" xr:uid="{00000000-0005-0000-0000-00000E040000}"/>
    <cellStyle name="dp*NumberLineEPS 2 5 2 2 2 2" xfId="30753" xr:uid="{00000000-0005-0000-0000-00000E040000}"/>
    <cellStyle name="dp*NumberLineEPS 2 5 2 2 2 3" xfId="49116" xr:uid="{00000000-0005-0000-0000-00000E040000}"/>
    <cellStyle name="dp*NumberLineEPS 2 5 2 2 3" xfId="16632" xr:uid="{00000000-0005-0000-0000-00000E040000}"/>
    <cellStyle name="dp*NumberLineEPS 2 5 2 2 3 2" xfId="35004" xr:uid="{00000000-0005-0000-0000-00000E040000}"/>
    <cellStyle name="dp*NumberLineEPS 2 5 2 2 3 3" xfId="53367" xr:uid="{00000000-0005-0000-0000-00000E040000}"/>
    <cellStyle name="dp*NumberLineEPS 2 5 2 2 4" xfId="25751" xr:uid="{00000000-0005-0000-0000-00000E040000}"/>
    <cellStyle name="dp*NumberLineEPS 2 5 2 2 4 2" xfId="44120" xr:uid="{00000000-0005-0000-0000-00000E040000}"/>
    <cellStyle name="dp*NumberLineEPS 2 5 2 2 5" xfId="22072" xr:uid="{00000000-0005-0000-0000-00000E040000}"/>
    <cellStyle name="dp*NumberLineEPS 2 5 2 2 6" xfId="40451" xr:uid="{00000000-0005-0000-0000-00000E040000}"/>
    <cellStyle name="dp*NumberLineEPS 2 5 2 3" xfId="6768" xr:uid="{00000000-0005-0000-0000-00000E040000}"/>
    <cellStyle name="dp*NumberLineEPS 2 5 2 3 2" xfId="13059" xr:uid="{00000000-0005-0000-0000-00000E040000}"/>
    <cellStyle name="dp*NumberLineEPS 2 5 2 3 2 2" xfId="31485" xr:uid="{00000000-0005-0000-0000-00000E040000}"/>
    <cellStyle name="dp*NumberLineEPS 2 5 2 3 2 3" xfId="49848" xr:uid="{00000000-0005-0000-0000-00000E040000}"/>
    <cellStyle name="dp*NumberLineEPS 2 5 2 3 3" xfId="17370" xr:uid="{00000000-0005-0000-0000-00000E040000}"/>
    <cellStyle name="dp*NumberLineEPS 2 5 2 3 3 2" xfId="35718" xr:uid="{00000000-0005-0000-0000-00000E040000}"/>
    <cellStyle name="dp*NumberLineEPS 2 5 2 3 3 3" xfId="54081" xr:uid="{00000000-0005-0000-0000-00000E040000}"/>
    <cellStyle name="dp*NumberLineEPS 2 5 2 3 4" xfId="26503" xr:uid="{00000000-0005-0000-0000-00000E040000}"/>
    <cellStyle name="dp*NumberLineEPS 2 5 2 3 4 2" xfId="44872" xr:uid="{00000000-0005-0000-0000-00000E040000}"/>
    <cellStyle name="dp*NumberLineEPS 2 5 2 3 5" xfId="22796" xr:uid="{00000000-0005-0000-0000-00000E040000}"/>
    <cellStyle name="dp*NumberLineEPS 2 5 2 3 6" xfId="41165" xr:uid="{00000000-0005-0000-0000-00000E040000}"/>
    <cellStyle name="dp*NumberLineEPS 2 5 2 4" xfId="10482" xr:uid="{00000000-0005-0000-0000-00000E040000}"/>
    <cellStyle name="dp*NumberLineEPS 2 5 2 4 2" xfId="14539" xr:uid="{00000000-0005-0000-0000-00000E040000}"/>
    <cellStyle name="dp*NumberLineEPS 2 5 2 4 2 2" xfId="32955" xr:uid="{00000000-0005-0000-0000-00000E040000}"/>
    <cellStyle name="dp*NumberLineEPS 2 5 2 4 2 3" xfId="51318" xr:uid="{00000000-0005-0000-0000-00000E040000}"/>
    <cellStyle name="dp*NumberLineEPS 2 5 2 4 3" xfId="29193" xr:uid="{00000000-0005-0000-0000-00000E040000}"/>
    <cellStyle name="dp*NumberLineEPS 2 5 2 4 3 2" xfId="47556" xr:uid="{00000000-0005-0000-0000-00000E040000}"/>
    <cellStyle name="dp*NumberLineEPS 2 5 2 4 4" xfId="19996" xr:uid="{00000000-0005-0000-0000-00000E040000}"/>
    <cellStyle name="dp*NumberLineEPS 2 5 2 4 5" xfId="38402" xr:uid="{00000000-0005-0000-0000-00000E040000}"/>
    <cellStyle name="dp*NumberLineEPS 2 5 2 5" xfId="9753" xr:uid="{00000000-0005-0000-0000-00000E040000}"/>
    <cellStyle name="dp*NumberLineEPS 2 5 2 5 2" xfId="28468" xr:uid="{00000000-0005-0000-0000-00000E040000}"/>
    <cellStyle name="dp*NumberLineEPS 2 5 2 5 3" xfId="46831" xr:uid="{00000000-0005-0000-0000-00000E040000}"/>
    <cellStyle name="dp*NumberLineEPS 2 5 2 6" xfId="13810" xr:uid="{00000000-0005-0000-0000-00000E040000}"/>
    <cellStyle name="dp*NumberLineEPS 2 5 2 6 2" xfId="32230" xr:uid="{00000000-0005-0000-0000-00000E040000}"/>
    <cellStyle name="dp*NumberLineEPS 2 5 2 6 3" xfId="50593" xr:uid="{00000000-0005-0000-0000-00000E040000}"/>
    <cellStyle name="dp*NumberLineEPS 2 5 2 7" xfId="23677" xr:uid="{00000000-0005-0000-0000-00000E040000}"/>
    <cellStyle name="dp*NumberLineEPS 2 5 2 7 2" xfId="42046" xr:uid="{00000000-0005-0000-0000-00000E040000}"/>
    <cellStyle name="dp*NumberLineEPS 2 5 2 8" xfId="18935" xr:uid="{00000000-0005-0000-0000-00000E040000}"/>
    <cellStyle name="dp*NumberLineEPS 2 5 2 9" xfId="37344" xr:uid="{00000000-0005-0000-0000-00000E040000}"/>
    <cellStyle name="dp*NumberLineEPS 2 5 3" xfId="4969" xr:uid="{00000000-0005-0000-0000-00000E040000}"/>
    <cellStyle name="dp*NumberLineEPS 2 5 3 2" xfId="11499" xr:uid="{00000000-0005-0000-0000-00000E040000}"/>
    <cellStyle name="dp*NumberLineEPS 2 5 3 2 2" xfId="30072" xr:uid="{00000000-0005-0000-0000-00000E040000}"/>
    <cellStyle name="dp*NumberLineEPS 2 5 3 2 3" xfId="48435" xr:uid="{00000000-0005-0000-0000-00000E040000}"/>
    <cellStyle name="dp*NumberLineEPS 2 5 3 3" xfId="15685" xr:uid="{00000000-0005-0000-0000-00000E040000}"/>
    <cellStyle name="dp*NumberLineEPS 2 5 3 3 2" xfId="34074" xr:uid="{00000000-0005-0000-0000-00000E040000}"/>
    <cellStyle name="dp*NumberLineEPS 2 5 3 3 3" xfId="52437" xr:uid="{00000000-0005-0000-0000-00000E040000}"/>
    <cellStyle name="dp*NumberLineEPS 2 5 3 4" xfId="24809" xr:uid="{00000000-0005-0000-0000-00000E040000}"/>
    <cellStyle name="dp*NumberLineEPS 2 5 3 4 2" xfId="43178" xr:uid="{00000000-0005-0000-0000-00000E040000}"/>
    <cellStyle name="dp*NumberLineEPS 2 5 3 5" xfId="21134" xr:uid="{00000000-0005-0000-0000-00000E040000}"/>
    <cellStyle name="dp*NumberLineEPS 2 5 3 6" xfId="39521" xr:uid="{00000000-0005-0000-0000-00000E040000}"/>
    <cellStyle name="dp*NumberLineEPS 2 5 4" xfId="6109" xr:uid="{00000000-0005-0000-0000-00000E040000}"/>
    <cellStyle name="dp*NumberLineEPS 2 5 4 2" xfId="12463" xr:uid="{00000000-0005-0000-0000-00000E040000}"/>
    <cellStyle name="dp*NumberLineEPS 2 5 4 2 2" xfId="30903" xr:uid="{00000000-0005-0000-0000-00000E040000}"/>
    <cellStyle name="dp*NumberLineEPS 2 5 4 2 3" xfId="49266" xr:uid="{00000000-0005-0000-0000-00000E040000}"/>
    <cellStyle name="dp*NumberLineEPS 2 5 4 3" xfId="16782" xr:uid="{00000000-0005-0000-0000-00000E040000}"/>
    <cellStyle name="dp*NumberLineEPS 2 5 4 3 2" xfId="35151" xr:uid="{00000000-0005-0000-0000-00000E040000}"/>
    <cellStyle name="dp*NumberLineEPS 2 5 4 3 3" xfId="53514" xr:uid="{00000000-0005-0000-0000-00000E040000}"/>
    <cellStyle name="dp*NumberLineEPS 2 5 4 4" xfId="25905" xr:uid="{00000000-0005-0000-0000-00000E040000}"/>
    <cellStyle name="dp*NumberLineEPS 2 5 4 4 2" xfId="44274" xr:uid="{00000000-0005-0000-0000-00000E040000}"/>
    <cellStyle name="dp*NumberLineEPS 2 5 4 5" xfId="22221" xr:uid="{00000000-0005-0000-0000-00000E040000}"/>
    <cellStyle name="dp*NumberLineEPS 2 5 4 6" xfId="40598" xr:uid="{00000000-0005-0000-0000-00000E040000}"/>
    <cellStyle name="dp*NumberLineEPS 2 5 5" xfId="9785" xr:uid="{00000000-0005-0000-0000-00000E040000}"/>
    <cellStyle name="dp*NumberLineEPS 2 5 5 2" xfId="13842" xr:uid="{00000000-0005-0000-0000-00000E040000}"/>
    <cellStyle name="dp*NumberLineEPS 2 5 5 2 2" xfId="32262" xr:uid="{00000000-0005-0000-0000-00000E040000}"/>
    <cellStyle name="dp*NumberLineEPS 2 5 5 2 3" xfId="50625" xr:uid="{00000000-0005-0000-0000-00000E040000}"/>
    <cellStyle name="dp*NumberLineEPS 2 5 5 3" xfId="28500" xr:uid="{00000000-0005-0000-0000-00000E040000}"/>
    <cellStyle name="dp*NumberLineEPS 2 5 5 3 2" xfId="46863" xr:uid="{00000000-0005-0000-0000-00000E040000}"/>
    <cellStyle name="dp*NumberLineEPS 2 5 5 4" xfId="18987" xr:uid="{00000000-0005-0000-0000-00000E040000}"/>
    <cellStyle name="dp*NumberLineEPS 2 5 5 5" xfId="37396" xr:uid="{00000000-0005-0000-0000-00000E040000}"/>
    <cellStyle name="dp*NumberLineEPS 2 5 6" xfId="8362" xr:uid="{00000000-0005-0000-0000-00000E040000}"/>
    <cellStyle name="dp*NumberLineEPS 2 5 6 2" xfId="27429" xr:uid="{00000000-0005-0000-0000-00000E040000}"/>
    <cellStyle name="dp*NumberLineEPS 2 5 6 3" xfId="45793" xr:uid="{00000000-0005-0000-0000-00000E040000}"/>
    <cellStyle name="dp*NumberLineEPS 2 5 7" xfId="8211" xr:uid="{00000000-0005-0000-0000-00000E040000}"/>
    <cellStyle name="dp*NumberLineEPS 2 5 7 2" xfId="27374" xr:uid="{00000000-0005-0000-0000-00000E040000}"/>
    <cellStyle name="dp*NumberLineEPS 2 5 7 3" xfId="45739" xr:uid="{00000000-0005-0000-0000-00000E040000}"/>
    <cellStyle name="dp*NumberLineEPS 2 5 8" xfId="17886" xr:uid="{00000000-0005-0000-0000-00000E040000}"/>
    <cellStyle name="dp*NumberLineEPS 2 5 8 2" xfId="36296" xr:uid="{00000000-0005-0000-0000-00000E040000}"/>
    <cellStyle name="dp*NumberLineEPS 2 5 9" xfId="7011" xr:uid="{00000000-0005-0000-0000-00000E040000}"/>
    <cellStyle name="dp*NumberLineEPS 2 6" xfId="3345" xr:uid="{00000000-0005-0000-0000-000001040000}"/>
    <cellStyle name="dp*NumberLineEPS 2 6 2" xfId="5520" xr:uid="{00000000-0005-0000-0000-000001040000}"/>
    <cellStyle name="dp*NumberLineEPS 2 6 2 2" xfId="11884" xr:uid="{00000000-0005-0000-0000-000001040000}"/>
    <cellStyle name="dp*NumberLineEPS 2 6 2 2 2" xfId="30331" xr:uid="{00000000-0005-0000-0000-000001040000}"/>
    <cellStyle name="dp*NumberLineEPS 2 6 2 2 3" xfId="48694" xr:uid="{00000000-0005-0000-0000-000001040000}"/>
    <cellStyle name="dp*NumberLineEPS 2 6 2 3" xfId="16210" xr:uid="{00000000-0005-0000-0000-000001040000}"/>
    <cellStyle name="dp*NumberLineEPS 2 6 2 3 2" xfId="34582" xr:uid="{00000000-0005-0000-0000-000001040000}"/>
    <cellStyle name="dp*NumberLineEPS 2 6 2 3 3" xfId="52945" xr:uid="{00000000-0005-0000-0000-000001040000}"/>
    <cellStyle name="dp*NumberLineEPS 2 6 2 4" xfId="25329" xr:uid="{00000000-0005-0000-0000-000001040000}"/>
    <cellStyle name="dp*NumberLineEPS 2 6 2 4 2" xfId="43698" xr:uid="{00000000-0005-0000-0000-000001040000}"/>
    <cellStyle name="dp*NumberLineEPS 2 6 2 5" xfId="21650" xr:uid="{00000000-0005-0000-0000-000001040000}"/>
    <cellStyle name="dp*NumberLineEPS 2 6 2 6" xfId="40029" xr:uid="{00000000-0005-0000-0000-000001040000}"/>
    <cellStyle name="dp*NumberLineEPS 2 6 3" xfId="6344" xr:uid="{00000000-0005-0000-0000-000001040000}"/>
    <cellStyle name="dp*NumberLineEPS 2 6 3 2" xfId="12635" xr:uid="{00000000-0005-0000-0000-000001040000}"/>
    <cellStyle name="dp*NumberLineEPS 2 6 3 2 2" xfId="31061" xr:uid="{00000000-0005-0000-0000-000001040000}"/>
    <cellStyle name="dp*NumberLineEPS 2 6 3 2 3" xfId="49424" xr:uid="{00000000-0005-0000-0000-000001040000}"/>
    <cellStyle name="dp*NumberLineEPS 2 6 3 3" xfId="16946" xr:uid="{00000000-0005-0000-0000-000001040000}"/>
    <cellStyle name="dp*NumberLineEPS 2 6 3 3 2" xfId="35294" xr:uid="{00000000-0005-0000-0000-000001040000}"/>
    <cellStyle name="dp*NumberLineEPS 2 6 3 3 3" xfId="53657" xr:uid="{00000000-0005-0000-0000-000001040000}"/>
    <cellStyle name="dp*NumberLineEPS 2 6 3 4" xfId="26079" xr:uid="{00000000-0005-0000-0000-000001040000}"/>
    <cellStyle name="dp*NumberLineEPS 2 6 3 4 2" xfId="44448" xr:uid="{00000000-0005-0000-0000-000001040000}"/>
    <cellStyle name="dp*NumberLineEPS 2 6 3 5" xfId="22372" xr:uid="{00000000-0005-0000-0000-000001040000}"/>
    <cellStyle name="dp*NumberLineEPS 2 6 3 6" xfId="40741" xr:uid="{00000000-0005-0000-0000-000001040000}"/>
    <cellStyle name="dp*NumberLineEPS 2 6 4" xfId="10058" xr:uid="{00000000-0005-0000-0000-000001040000}"/>
    <cellStyle name="dp*NumberLineEPS 2 6 4 2" xfId="14115" xr:uid="{00000000-0005-0000-0000-000001040000}"/>
    <cellStyle name="dp*NumberLineEPS 2 6 4 2 2" xfId="32531" xr:uid="{00000000-0005-0000-0000-000001040000}"/>
    <cellStyle name="dp*NumberLineEPS 2 6 4 2 3" xfId="50894" xr:uid="{00000000-0005-0000-0000-000001040000}"/>
    <cellStyle name="dp*NumberLineEPS 2 6 4 3" xfId="28769" xr:uid="{00000000-0005-0000-0000-000001040000}"/>
    <cellStyle name="dp*NumberLineEPS 2 6 4 3 2" xfId="47132" xr:uid="{00000000-0005-0000-0000-000001040000}"/>
    <cellStyle name="dp*NumberLineEPS 2 6 4 4" xfId="19572" xr:uid="{00000000-0005-0000-0000-000001040000}"/>
    <cellStyle name="dp*NumberLineEPS 2 6 4 5" xfId="37978" xr:uid="{00000000-0005-0000-0000-000001040000}"/>
    <cellStyle name="dp*NumberLineEPS 2 6 5" xfId="9185" xr:uid="{00000000-0005-0000-0000-000001040000}"/>
    <cellStyle name="dp*NumberLineEPS 2 6 5 2" xfId="27906" xr:uid="{00000000-0005-0000-0000-000001040000}"/>
    <cellStyle name="dp*NumberLineEPS 2 6 5 3" xfId="46269" xr:uid="{00000000-0005-0000-0000-000001040000}"/>
    <cellStyle name="dp*NumberLineEPS 2 6 6" xfId="13243" xr:uid="{00000000-0005-0000-0000-000001040000}"/>
    <cellStyle name="dp*NumberLineEPS 2 6 6 2" xfId="31664" xr:uid="{00000000-0005-0000-0000-000001040000}"/>
    <cellStyle name="dp*NumberLineEPS 2 6 6 3" xfId="50027" xr:uid="{00000000-0005-0000-0000-000001040000}"/>
    <cellStyle name="dp*NumberLineEPS 2 6 7" xfId="23253" xr:uid="{00000000-0005-0000-0000-000001040000}"/>
    <cellStyle name="dp*NumberLineEPS 2 6 7 2" xfId="41622" xr:uid="{00000000-0005-0000-0000-000001040000}"/>
    <cellStyle name="dp*NumberLineEPS 2 6 8" xfId="18200" xr:uid="{00000000-0005-0000-0000-000001040000}"/>
    <cellStyle name="dp*NumberLineEPS 2 6 9" xfId="36606" xr:uid="{00000000-0005-0000-0000-000001040000}"/>
    <cellStyle name="dp*NumberLineEPS 2 7" xfId="4180" xr:uid="{00000000-0005-0000-0000-000001040000}"/>
    <cellStyle name="dp*NumberLineEPS 2 7 2" xfId="10832" xr:uid="{00000000-0005-0000-0000-000001040000}"/>
    <cellStyle name="dp*NumberLineEPS 2 7 2 2" xfId="29504" xr:uid="{00000000-0005-0000-0000-000001040000}"/>
    <cellStyle name="dp*NumberLineEPS 2 7 2 3" xfId="47867" xr:uid="{00000000-0005-0000-0000-000001040000}"/>
    <cellStyle name="dp*NumberLineEPS 2 7 3" xfId="14926" xr:uid="{00000000-0005-0000-0000-000001040000}"/>
    <cellStyle name="dp*NumberLineEPS 2 7 3 2" xfId="33330" xr:uid="{00000000-0005-0000-0000-000001040000}"/>
    <cellStyle name="dp*NumberLineEPS 2 7 3 3" xfId="51693" xr:uid="{00000000-0005-0000-0000-000001040000}"/>
    <cellStyle name="dp*NumberLineEPS 2 7 4" xfId="24059" xr:uid="{00000000-0005-0000-0000-000001040000}"/>
    <cellStyle name="dp*NumberLineEPS 2 7 4 2" xfId="42428" xr:uid="{00000000-0005-0000-0000-000001040000}"/>
    <cellStyle name="dp*NumberLineEPS 2 7 5" xfId="20379" xr:uid="{00000000-0005-0000-0000-000001040000}"/>
    <cellStyle name="dp*NumberLineEPS 2 7 6" xfId="38777" xr:uid="{00000000-0005-0000-0000-000001040000}"/>
    <cellStyle name="dp*NumberLineEPS 2 8" xfId="5179" xr:uid="{00000000-0005-0000-0000-000001040000}"/>
    <cellStyle name="dp*NumberLineEPS 2 8 2" xfId="11672" xr:uid="{00000000-0005-0000-0000-000001040000}"/>
    <cellStyle name="dp*NumberLineEPS 2 8 2 2" xfId="30215" xr:uid="{00000000-0005-0000-0000-000001040000}"/>
    <cellStyle name="dp*NumberLineEPS 2 8 2 3" xfId="48578" xr:uid="{00000000-0005-0000-0000-000001040000}"/>
    <cellStyle name="dp*NumberLineEPS 2 8 3" xfId="15871" xr:uid="{00000000-0005-0000-0000-000001040000}"/>
    <cellStyle name="dp*NumberLineEPS 2 8 3 2" xfId="34245" xr:uid="{00000000-0005-0000-0000-000001040000}"/>
    <cellStyle name="dp*NumberLineEPS 2 8 3 3" xfId="52608" xr:uid="{00000000-0005-0000-0000-000001040000}"/>
    <cellStyle name="dp*NumberLineEPS 2 8 4" xfId="24992" xr:uid="{00000000-0005-0000-0000-000001040000}"/>
    <cellStyle name="dp*NumberLineEPS 2 8 4 2" xfId="43361" xr:uid="{00000000-0005-0000-0000-000001040000}"/>
    <cellStyle name="dp*NumberLineEPS 2 8 5" xfId="21313" xr:uid="{00000000-0005-0000-0000-000001040000}"/>
    <cellStyle name="dp*NumberLineEPS 2 8 6" xfId="39692" xr:uid="{00000000-0005-0000-0000-000001040000}"/>
    <cellStyle name="dp*NumberLineEPS 2 9" xfId="7446" xr:uid="{00000000-0005-0000-0000-000001040000}"/>
    <cellStyle name="dp*NumberLineEPS 2 9 2" xfId="26826" xr:uid="{00000000-0005-0000-0000-000001040000}"/>
    <cellStyle name="dp*NumberLineEPS 2 9 3" xfId="45194" xr:uid="{00000000-0005-0000-0000-000001040000}"/>
    <cellStyle name="dp*NumberLineEPS 3" xfId="1861" xr:uid="{00000000-0005-0000-0000-00000F040000}"/>
    <cellStyle name="dp*NumberLineEPS 3 10" xfId="6248" xr:uid="{00000000-0005-0000-0000-00000F040000}"/>
    <cellStyle name="dp*NumberLineEPS 3 2" xfId="3710" xr:uid="{00000000-0005-0000-0000-00000F040000}"/>
    <cellStyle name="dp*NumberLineEPS 3 2 2" xfId="5883" xr:uid="{00000000-0005-0000-0000-00000F040000}"/>
    <cellStyle name="dp*NumberLineEPS 3 2 2 2" xfId="12247" xr:uid="{00000000-0005-0000-0000-00000F040000}"/>
    <cellStyle name="dp*NumberLineEPS 3 2 2 2 2" xfId="30694" xr:uid="{00000000-0005-0000-0000-00000F040000}"/>
    <cellStyle name="dp*NumberLineEPS 3 2 2 2 3" xfId="49057" xr:uid="{00000000-0005-0000-0000-00000F040000}"/>
    <cellStyle name="dp*NumberLineEPS 3 2 2 3" xfId="16573" xr:uid="{00000000-0005-0000-0000-00000F040000}"/>
    <cellStyle name="dp*NumberLineEPS 3 2 2 3 2" xfId="34945" xr:uid="{00000000-0005-0000-0000-00000F040000}"/>
    <cellStyle name="dp*NumberLineEPS 3 2 2 3 3" xfId="53308" xr:uid="{00000000-0005-0000-0000-00000F040000}"/>
    <cellStyle name="dp*NumberLineEPS 3 2 2 4" xfId="25692" xr:uid="{00000000-0005-0000-0000-00000F040000}"/>
    <cellStyle name="dp*NumberLineEPS 3 2 2 4 2" xfId="44061" xr:uid="{00000000-0005-0000-0000-00000F040000}"/>
    <cellStyle name="dp*NumberLineEPS 3 2 2 5" xfId="22013" xr:uid="{00000000-0005-0000-0000-00000F040000}"/>
    <cellStyle name="dp*NumberLineEPS 3 2 2 6" xfId="40392" xr:uid="{00000000-0005-0000-0000-00000F040000}"/>
    <cellStyle name="dp*NumberLineEPS 3 2 3" xfId="6709" xr:uid="{00000000-0005-0000-0000-00000F040000}"/>
    <cellStyle name="dp*NumberLineEPS 3 2 3 2" xfId="13000" xr:uid="{00000000-0005-0000-0000-00000F040000}"/>
    <cellStyle name="dp*NumberLineEPS 3 2 3 2 2" xfId="31426" xr:uid="{00000000-0005-0000-0000-00000F040000}"/>
    <cellStyle name="dp*NumberLineEPS 3 2 3 2 3" xfId="49789" xr:uid="{00000000-0005-0000-0000-00000F040000}"/>
    <cellStyle name="dp*NumberLineEPS 3 2 3 3" xfId="17311" xr:uid="{00000000-0005-0000-0000-00000F040000}"/>
    <cellStyle name="dp*NumberLineEPS 3 2 3 3 2" xfId="35659" xr:uid="{00000000-0005-0000-0000-00000F040000}"/>
    <cellStyle name="dp*NumberLineEPS 3 2 3 3 3" xfId="54022" xr:uid="{00000000-0005-0000-0000-00000F040000}"/>
    <cellStyle name="dp*NumberLineEPS 3 2 3 4" xfId="26444" xr:uid="{00000000-0005-0000-0000-00000F040000}"/>
    <cellStyle name="dp*NumberLineEPS 3 2 3 4 2" xfId="44813" xr:uid="{00000000-0005-0000-0000-00000F040000}"/>
    <cellStyle name="dp*NumberLineEPS 3 2 3 5" xfId="22737" xr:uid="{00000000-0005-0000-0000-00000F040000}"/>
    <cellStyle name="dp*NumberLineEPS 3 2 3 6" xfId="41106" xr:uid="{00000000-0005-0000-0000-00000F040000}"/>
    <cellStyle name="dp*NumberLineEPS 3 2 4" xfId="10423" xr:uid="{00000000-0005-0000-0000-00000F040000}"/>
    <cellStyle name="dp*NumberLineEPS 3 2 4 2" xfId="14480" xr:uid="{00000000-0005-0000-0000-00000F040000}"/>
    <cellStyle name="dp*NumberLineEPS 3 2 4 2 2" xfId="32896" xr:uid="{00000000-0005-0000-0000-00000F040000}"/>
    <cellStyle name="dp*NumberLineEPS 3 2 4 2 3" xfId="51259" xr:uid="{00000000-0005-0000-0000-00000F040000}"/>
    <cellStyle name="dp*NumberLineEPS 3 2 4 3" xfId="29134" xr:uid="{00000000-0005-0000-0000-00000F040000}"/>
    <cellStyle name="dp*NumberLineEPS 3 2 4 3 2" xfId="47497" xr:uid="{00000000-0005-0000-0000-00000F040000}"/>
    <cellStyle name="dp*NumberLineEPS 3 2 4 4" xfId="19937" xr:uid="{00000000-0005-0000-0000-00000F040000}"/>
    <cellStyle name="dp*NumberLineEPS 3 2 4 5" xfId="38343" xr:uid="{00000000-0005-0000-0000-00000F040000}"/>
    <cellStyle name="dp*NumberLineEPS 3 2 5" xfId="9637" xr:uid="{00000000-0005-0000-0000-00000F040000}"/>
    <cellStyle name="dp*NumberLineEPS 3 2 5 2" xfId="28353" xr:uid="{00000000-0005-0000-0000-00000F040000}"/>
    <cellStyle name="dp*NumberLineEPS 3 2 5 3" xfId="46716" xr:uid="{00000000-0005-0000-0000-00000F040000}"/>
    <cellStyle name="dp*NumberLineEPS 3 2 6" xfId="13694" xr:uid="{00000000-0005-0000-0000-00000F040000}"/>
    <cellStyle name="dp*NumberLineEPS 3 2 6 2" xfId="32115" xr:uid="{00000000-0005-0000-0000-00000F040000}"/>
    <cellStyle name="dp*NumberLineEPS 3 2 6 3" xfId="50478" xr:uid="{00000000-0005-0000-0000-00000F040000}"/>
    <cellStyle name="dp*NumberLineEPS 3 2 7" xfId="23618" xr:uid="{00000000-0005-0000-0000-00000F040000}"/>
    <cellStyle name="dp*NumberLineEPS 3 2 7 2" xfId="41987" xr:uid="{00000000-0005-0000-0000-00000F040000}"/>
    <cellStyle name="dp*NumberLineEPS 3 2 8" xfId="18752" xr:uid="{00000000-0005-0000-0000-00000F040000}"/>
    <cellStyle name="dp*NumberLineEPS 3 2 9" xfId="37161" xr:uid="{00000000-0005-0000-0000-00000F040000}"/>
    <cellStyle name="dp*NumberLineEPS 3 3" xfId="4786" xr:uid="{00000000-0005-0000-0000-00000F040000}"/>
    <cellStyle name="dp*NumberLineEPS 3 3 2" xfId="11356" xr:uid="{00000000-0005-0000-0000-00000F040000}"/>
    <cellStyle name="dp*NumberLineEPS 3 3 2 2" xfId="29951" xr:uid="{00000000-0005-0000-0000-00000F040000}"/>
    <cellStyle name="dp*NumberLineEPS 3 3 2 3" xfId="48314" xr:uid="{00000000-0005-0000-0000-00000F040000}"/>
    <cellStyle name="dp*NumberLineEPS 3 3 3" xfId="15512" xr:uid="{00000000-0005-0000-0000-00000F040000}"/>
    <cellStyle name="dp*NumberLineEPS 3 3 3 2" xfId="33905" xr:uid="{00000000-0005-0000-0000-00000F040000}"/>
    <cellStyle name="dp*NumberLineEPS 3 3 3 3" xfId="52268" xr:uid="{00000000-0005-0000-0000-00000F040000}"/>
    <cellStyle name="dp*NumberLineEPS 3 3 4" xfId="24636" xr:uid="{00000000-0005-0000-0000-00000F040000}"/>
    <cellStyle name="dp*NumberLineEPS 3 3 4 2" xfId="43005" xr:uid="{00000000-0005-0000-0000-00000F040000}"/>
    <cellStyle name="dp*NumberLineEPS 3 3 5" xfId="20963" xr:uid="{00000000-0005-0000-0000-00000F040000}"/>
    <cellStyle name="dp*NumberLineEPS 3 3 6" xfId="39352" xr:uid="{00000000-0005-0000-0000-00000F040000}"/>
    <cellStyle name="dp*NumberLineEPS 3 4" xfId="5006" xr:uid="{00000000-0005-0000-0000-00000F040000}"/>
    <cellStyle name="dp*NumberLineEPS 3 4 2" xfId="11531" xr:uid="{00000000-0005-0000-0000-00000F040000}"/>
    <cellStyle name="dp*NumberLineEPS 3 4 2 2" xfId="30104" xr:uid="{00000000-0005-0000-0000-00000F040000}"/>
    <cellStyle name="dp*NumberLineEPS 3 4 2 3" xfId="48467" xr:uid="{00000000-0005-0000-0000-00000F040000}"/>
    <cellStyle name="dp*NumberLineEPS 3 4 3" xfId="15720" xr:uid="{00000000-0005-0000-0000-00000F040000}"/>
    <cellStyle name="dp*NumberLineEPS 3 4 3 2" xfId="34108" xr:uid="{00000000-0005-0000-0000-00000F040000}"/>
    <cellStyle name="dp*NumberLineEPS 3 4 3 3" xfId="52471" xr:uid="{00000000-0005-0000-0000-00000F040000}"/>
    <cellStyle name="dp*NumberLineEPS 3 4 4" xfId="24844" xr:uid="{00000000-0005-0000-0000-00000F040000}"/>
    <cellStyle name="dp*NumberLineEPS 3 4 4 2" xfId="43213" xr:uid="{00000000-0005-0000-0000-00000F040000}"/>
    <cellStyle name="dp*NumberLineEPS 3 4 5" xfId="21168" xr:uid="{00000000-0005-0000-0000-00000F040000}"/>
    <cellStyle name="dp*NumberLineEPS 3 4 6" xfId="39555" xr:uid="{00000000-0005-0000-0000-00000F040000}"/>
    <cellStyle name="dp*NumberLineEPS 3 5" xfId="9050" xr:uid="{00000000-0005-0000-0000-00000F040000}"/>
    <cellStyle name="dp*NumberLineEPS 3 5 2" xfId="6909" xr:uid="{00000000-0005-0000-0000-00000F040000}"/>
    <cellStyle name="dp*NumberLineEPS 3 5 2 2" xfId="26644" xr:uid="{00000000-0005-0000-0000-00000F040000}"/>
    <cellStyle name="dp*NumberLineEPS 3 5 2 3" xfId="45013" xr:uid="{00000000-0005-0000-0000-00000F040000}"/>
    <cellStyle name="dp*NumberLineEPS 3 5 3" xfId="27776" xr:uid="{00000000-0005-0000-0000-00000F040000}"/>
    <cellStyle name="dp*NumberLineEPS 3 5 3 2" xfId="46139" xr:uid="{00000000-0005-0000-0000-00000F040000}"/>
    <cellStyle name="dp*NumberLineEPS 3 5 4" xfId="17946" xr:uid="{00000000-0005-0000-0000-00000F040000}"/>
    <cellStyle name="dp*NumberLineEPS 3 5 5" xfId="36354" xr:uid="{00000000-0005-0000-0000-00000F040000}"/>
    <cellStyle name="dp*NumberLineEPS 3 6" xfId="8071" xr:uid="{00000000-0005-0000-0000-00000F040000}"/>
    <cellStyle name="dp*NumberLineEPS 3 6 2" xfId="27283" xr:uid="{00000000-0005-0000-0000-00000F040000}"/>
    <cellStyle name="dp*NumberLineEPS 3 6 3" xfId="45648" xr:uid="{00000000-0005-0000-0000-00000F040000}"/>
    <cellStyle name="dp*NumberLineEPS 3 7" xfId="8741" xr:uid="{00000000-0005-0000-0000-00000F040000}"/>
    <cellStyle name="dp*NumberLineEPS 3 7 2" xfId="27615" xr:uid="{00000000-0005-0000-0000-00000F040000}"/>
    <cellStyle name="dp*NumberLineEPS 3 7 3" xfId="45978" xr:uid="{00000000-0005-0000-0000-00000F040000}"/>
    <cellStyle name="dp*NumberLineEPS 3 8" xfId="19263" xr:uid="{00000000-0005-0000-0000-00000F040000}"/>
    <cellStyle name="dp*NumberLineEPS 3 8 2" xfId="37670" xr:uid="{00000000-0005-0000-0000-00000F040000}"/>
    <cellStyle name="dp*NumberLineEPS 3 9" xfId="7443" xr:uid="{00000000-0005-0000-0000-00000F040000}"/>
    <cellStyle name="dp*NumberLineEPS 4" xfId="3022" xr:uid="{00000000-0005-0000-0000-000010040000}"/>
    <cellStyle name="dp*NumberLineEPS 4 10" xfId="36031" xr:uid="{00000000-0005-0000-0000-000010040000}"/>
    <cellStyle name="dp*NumberLineEPS 4 2" xfId="3842" xr:uid="{00000000-0005-0000-0000-000010040000}"/>
    <cellStyle name="dp*NumberLineEPS 4 2 2" xfId="6015" xr:uid="{00000000-0005-0000-0000-000010040000}"/>
    <cellStyle name="dp*NumberLineEPS 4 2 2 2" xfId="12379" xr:uid="{00000000-0005-0000-0000-000010040000}"/>
    <cellStyle name="dp*NumberLineEPS 4 2 2 2 2" xfId="30826" xr:uid="{00000000-0005-0000-0000-000010040000}"/>
    <cellStyle name="dp*NumberLineEPS 4 2 2 2 3" xfId="49189" xr:uid="{00000000-0005-0000-0000-000010040000}"/>
    <cellStyle name="dp*NumberLineEPS 4 2 2 3" xfId="16705" xr:uid="{00000000-0005-0000-0000-000010040000}"/>
    <cellStyle name="dp*NumberLineEPS 4 2 2 3 2" xfId="35077" xr:uid="{00000000-0005-0000-0000-000010040000}"/>
    <cellStyle name="dp*NumberLineEPS 4 2 2 3 3" xfId="53440" xr:uid="{00000000-0005-0000-0000-000010040000}"/>
    <cellStyle name="dp*NumberLineEPS 4 2 2 4" xfId="25824" xr:uid="{00000000-0005-0000-0000-000010040000}"/>
    <cellStyle name="dp*NumberLineEPS 4 2 2 4 2" xfId="44193" xr:uid="{00000000-0005-0000-0000-000010040000}"/>
    <cellStyle name="dp*NumberLineEPS 4 2 2 5" xfId="22145" xr:uid="{00000000-0005-0000-0000-000010040000}"/>
    <cellStyle name="dp*NumberLineEPS 4 2 2 6" xfId="40524" xr:uid="{00000000-0005-0000-0000-000010040000}"/>
    <cellStyle name="dp*NumberLineEPS 4 2 3" xfId="6841" xr:uid="{00000000-0005-0000-0000-000010040000}"/>
    <cellStyle name="dp*NumberLineEPS 4 2 3 2" xfId="13132" xr:uid="{00000000-0005-0000-0000-000010040000}"/>
    <cellStyle name="dp*NumberLineEPS 4 2 3 2 2" xfId="31558" xr:uid="{00000000-0005-0000-0000-000010040000}"/>
    <cellStyle name="dp*NumberLineEPS 4 2 3 2 3" xfId="49921" xr:uid="{00000000-0005-0000-0000-000010040000}"/>
    <cellStyle name="dp*NumberLineEPS 4 2 3 3" xfId="17443" xr:uid="{00000000-0005-0000-0000-000010040000}"/>
    <cellStyle name="dp*NumberLineEPS 4 2 3 3 2" xfId="35791" xr:uid="{00000000-0005-0000-0000-000010040000}"/>
    <cellStyle name="dp*NumberLineEPS 4 2 3 3 3" xfId="54154" xr:uid="{00000000-0005-0000-0000-000010040000}"/>
    <cellStyle name="dp*NumberLineEPS 4 2 3 4" xfId="26576" xr:uid="{00000000-0005-0000-0000-000010040000}"/>
    <cellStyle name="dp*NumberLineEPS 4 2 3 4 2" xfId="44945" xr:uid="{00000000-0005-0000-0000-000010040000}"/>
    <cellStyle name="dp*NumberLineEPS 4 2 3 5" xfId="22869" xr:uid="{00000000-0005-0000-0000-000010040000}"/>
    <cellStyle name="dp*NumberLineEPS 4 2 3 6" xfId="41238" xr:uid="{00000000-0005-0000-0000-000010040000}"/>
    <cellStyle name="dp*NumberLineEPS 4 2 4" xfId="10555" xr:uid="{00000000-0005-0000-0000-000010040000}"/>
    <cellStyle name="dp*NumberLineEPS 4 2 4 2" xfId="14612" xr:uid="{00000000-0005-0000-0000-000010040000}"/>
    <cellStyle name="dp*NumberLineEPS 4 2 4 2 2" xfId="33028" xr:uid="{00000000-0005-0000-0000-000010040000}"/>
    <cellStyle name="dp*NumberLineEPS 4 2 4 2 3" xfId="51391" xr:uid="{00000000-0005-0000-0000-000010040000}"/>
    <cellStyle name="dp*NumberLineEPS 4 2 4 3" xfId="29266" xr:uid="{00000000-0005-0000-0000-000010040000}"/>
    <cellStyle name="dp*NumberLineEPS 4 2 4 3 2" xfId="47629" xr:uid="{00000000-0005-0000-0000-000010040000}"/>
    <cellStyle name="dp*NumberLineEPS 4 2 4 4" xfId="20069" xr:uid="{00000000-0005-0000-0000-000010040000}"/>
    <cellStyle name="dp*NumberLineEPS 4 2 4 5" xfId="38475" xr:uid="{00000000-0005-0000-0000-000010040000}"/>
    <cellStyle name="dp*NumberLineEPS 4 2 5" xfId="9926" xr:uid="{00000000-0005-0000-0000-000010040000}"/>
    <cellStyle name="dp*NumberLineEPS 4 2 5 2" xfId="28638" xr:uid="{00000000-0005-0000-0000-000010040000}"/>
    <cellStyle name="dp*NumberLineEPS 4 2 5 3" xfId="47001" xr:uid="{00000000-0005-0000-0000-000010040000}"/>
    <cellStyle name="dp*NumberLineEPS 4 2 6" xfId="13983" xr:uid="{00000000-0005-0000-0000-000010040000}"/>
    <cellStyle name="dp*NumberLineEPS 4 2 6 2" xfId="32400" xr:uid="{00000000-0005-0000-0000-000010040000}"/>
    <cellStyle name="dp*NumberLineEPS 4 2 6 3" xfId="50763" xr:uid="{00000000-0005-0000-0000-000010040000}"/>
    <cellStyle name="dp*NumberLineEPS 4 2 7" xfId="23750" xr:uid="{00000000-0005-0000-0000-000010040000}"/>
    <cellStyle name="dp*NumberLineEPS 4 2 7 2" xfId="42119" xr:uid="{00000000-0005-0000-0000-000010040000}"/>
    <cellStyle name="dp*NumberLineEPS 4 2 8" xfId="19232" xr:uid="{00000000-0005-0000-0000-000010040000}"/>
    <cellStyle name="dp*NumberLineEPS 4 2 9" xfId="37639" xr:uid="{00000000-0005-0000-0000-000010040000}"/>
    <cellStyle name="dp*NumberLineEPS 4 3" xfId="5275" xr:uid="{00000000-0005-0000-0000-000010040000}"/>
    <cellStyle name="dp*NumberLineEPS 4 3 2" xfId="11731" xr:uid="{00000000-0005-0000-0000-000010040000}"/>
    <cellStyle name="dp*NumberLineEPS 4 3 2 2" xfId="30237" xr:uid="{00000000-0005-0000-0000-000010040000}"/>
    <cellStyle name="dp*NumberLineEPS 4 3 2 3" xfId="48600" xr:uid="{00000000-0005-0000-0000-000010040000}"/>
    <cellStyle name="dp*NumberLineEPS 4 3 3" xfId="15967" xr:uid="{00000000-0005-0000-0000-000010040000}"/>
    <cellStyle name="dp*NumberLineEPS 4 3 3 2" xfId="34341" xr:uid="{00000000-0005-0000-0000-000010040000}"/>
    <cellStyle name="dp*NumberLineEPS 4 3 3 3" xfId="52704" xr:uid="{00000000-0005-0000-0000-000010040000}"/>
    <cellStyle name="dp*NumberLineEPS 4 3 4" xfId="25088" xr:uid="{00000000-0005-0000-0000-000010040000}"/>
    <cellStyle name="dp*NumberLineEPS 4 3 4 2" xfId="43457" xr:uid="{00000000-0005-0000-0000-000010040000}"/>
    <cellStyle name="dp*NumberLineEPS 4 3 5" xfId="21409" xr:uid="{00000000-0005-0000-0000-000010040000}"/>
    <cellStyle name="dp*NumberLineEPS 4 3 6" xfId="39788" xr:uid="{00000000-0005-0000-0000-000010040000}"/>
    <cellStyle name="dp*NumberLineEPS 4 4" xfId="6237" xr:uid="{00000000-0005-0000-0000-000010040000}"/>
    <cellStyle name="dp*NumberLineEPS 4 4 2" xfId="12552" xr:uid="{00000000-0005-0000-0000-000010040000}"/>
    <cellStyle name="dp*NumberLineEPS 4 4 2 2" xfId="30984" xr:uid="{00000000-0005-0000-0000-000010040000}"/>
    <cellStyle name="dp*NumberLineEPS 4 4 2 3" xfId="49347" xr:uid="{00000000-0005-0000-0000-000010040000}"/>
    <cellStyle name="dp*NumberLineEPS 4 4 3" xfId="16869" xr:uid="{00000000-0005-0000-0000-000010040000}"/>
    <cellStyle name="dp*NumberLineEPS 4 4 3 2" xfId="35226" xr:uid="{00000000-0005-0000-0000-000010040000}"/>
    <cellStyle name="dp*NumberLineEPS 4 4 3 3" xfId="53589" xr:uid="{00000000-0005-0000-0000-000010040000}"/>
    <cellStyle name="dp*NumberLineEPS 4 4 4" xfId="26001" xr:uid="{00000000-0005-0000-0000-000010040000}"/>
    <cellStyle name="dp*NumberLineEPS 4 4 4 2" xfId="44370" xr:uid="{00000000-0005-0000-0000-000010040000}"/>
    <cellStyle name="dp*NumberLineEPS 4 4 5" xfId="22300" xr:uid="{00000000-0005-0000-0000-000010040000}"/>
    <cellStyle name="dp*NumberLineEPS 4 4 6" xfId="40673" xr:uid="{00000000-0005-0000-0000-000010040000}"/>
    <cellStyle name="dp*NumberLineEPS 4 5" xfId="10040" xr:uid="{00000000-0005-0000-0000-000010040000}"/>
    <cellStyle name="dp*NumberLineEPS 4 5 2" xfId="14097" xr:uid="{00000000-0005-0000-0000-000010040000}"/>
    <cellStyle name="dp*NumberLineEPS 4 5 2 2" xfId="32513" xr:uid="{00000000-0005-0000-0000-000010040000}"/>
    <cellStyle name="dp*NumberLineEPS 4 5 2 3" xfId="50876" xr:uid="{00000000-0005-0000-0000-000010040000}"/>
    <cellStyle name="dp*NumberLineEPS 4 5 3" xfId="28751" xr:uid="{00000000-0005-0000-0000-000010040000}"/>
    <cellStyle name="dp*NumberLineEPS 4 5 3 2" xfId="47114" xr:uid="{00000000-0005-0000-0000-000010040000}"/>
    <cellStyle name="dp*NumberLineEPS 4 5 4" xfId="19495" xr:uid="{00000000-0005-0000-0000-000010040000}"/>
    <cellStyle name="dp*NumberLineEPS 4 5 5" xfId="37901" xr:uid="{00000000-0005-0000-0000-000010040000}"/>
    <cellStyle name="dp*NumberLineEPS 4 6" xfId="8813" xr:uid="{00000000-0005-0000-0000-000010040000}"/>
    <cellStyle name="dp*NumberLineEPS 4 6 2" xfId="27642" xr:uid="{00000000-0005-0000-0000-000010040000}"/>
    <cellStyle name="dp*NumberLineEPS 4 6 3" xfId="46005" xr:uid="{00000000-0005-0000-0000-000010040000}"/>
    <cellStyle name="dp*NumberLineEPS 4 7" xfId="11533" xr:uid="{00000000-0005-0000-0000-000010040000}"/>
    <cellStyle name="dp*NumberLineEPS 4 7 2" xfId="30106" xr:uid="{00000000-0005-0000-0000-000010040000}"/>
    <cellStyle name="dp*NumberLineEPS 4 7 3" xfId="48469" xr:uid="{00000000-0005-0000-0000-000010040000}"/>
    <cellStyle name="dp*NumberLineEPS 4 8" xfId="23029" xr:uid="{00000000-0005-0000-0000-000010040000}"/>
    <cellStyle name="dp*NumberLineEPS 4 8 2" xfId="41398" xr:uid="{00000000-0005-0000-0000-000010040000}"/>
    <cellStyle name="dp*NumberLineEPS 4 9" xfId="17589" xr:uid="{00000000-0005-0000-0000-000010040000}"/>
    <cellStyle name="dp*NumberLineEPS 5" xfId="3170" xr:uid="{00000000-0005-0000-0000-000011040000}"/>
    <cellStyle name="dp*NumberLineEPS 5 2" xfId="3864" xr:uid="{00000000-0005-0000-0000-000011040000}"/>
    <cellStyle name="dp*NumberLineEPS 5 2 2" xfId="6037" xr:uid="{00000000-0005-0000-0000-000011040000}"/>
    <cellStyle name="dp*NumberLineEPS 5 2 2 2" xfId="12401" xr:uid="{00000000-0005-0000-0000-000011040000}"/>
    <cellStyle name="dp*NumberLineEPS 5 2 2 2 2" xfId="30848" xr:uid="{00000000-0005-0000-0000-000011040000}"/>
    <cellStyle name="dp*NumberLineEPS 5 2 2 2 3" xfId="49211" xr:uid="{00000000-0005-0000-0000-000011040000}"/>
    <cellStyle name="dp*NumberLineEPS 5 2 2 3" xfId="16727" xr:uid="{00000000-0005-0000-0000-000011040000}"/>
    <cellStyle name="dp*NumberLineEPS 5 2 2 3 2" xfId="35099" xr:uid="{00000000-0005-0000-0000-000011040000}"/>
    <cellStyle name="dp*NumberLineEPS 5 2 2 3 3" xfId="53462" xr:uid="{00000000-0005-0000-0000-000011040000}"/>
    <cellStyle name="dp*NumberLineEPS 5 2 2 4" xfId="25846" xr:uid="{00000000-0005-0000-0000-000011040000}"/>
    <cellStyle name="dp*NumberLineEPS 5 2 2 4 2" xfId="44215" xr:uid="{00000000-0005-0000-0000-000011040000}"/>
    <cellStyle name="dp*NumberLineEPS 5 2 2 5" xfId="22167" xr:uid="{00000000-0005-0000-0000-000011040000}"/>
    <cellStyle name="dp*NumberLineEPS 5 2 2 6" xfId="40546" xr:uid="{00000000-0005-0000-0000-000011040000}"/>
    <cellStyle name="dp*NumberLineEPS 5 2 3" xfId="6863" xr:uid="{00000000-0005-0000-0000-000011040000}"/>
    <cellStyle name="dp*NumberLineEPS 5 2 3 2" xfId="13154" xr:uid="{00000000-0005-0000-0000-000011040000}"/>
    <cellStyle name="dp*NumberLineEPS 5 2 3 2 2" xfId="31580" xr:uid="{00000000-0005-0000-0000-000011040000}"/>
    <cellStyle name="dp*NumberLineEPS 5 2 3 2 3" xfId="49943" xr:uid="{00000000-0005-0000-0000-000011040000}"/>
    <cellStyle name="dp*NumberLineEPS 5 2 3 3" xfId="17465" xr:uid="{00000000-0005-0000-0000-000011040000}"/>
    <cellStyle name="dp*NumberLineEPS 5 2 3 3 2" xfId="35813" xr:uid="{00000000-0005-0000-0000-000011040000}"/>
    <cellStyle name="dp*NumberLineEPS 5 2 3 3 3" xfId="54176" xr:uid="{00000000-0005-0000-0000-000011040000}"/>
    <cellStyle name="dp*NumberLineEPS 5 2 3 4" xfId="26598" xr:uid="{00000000-0005-0000-0000-000011040000}"/>
    <cellStyle name="dp*NumberLineEPS 5 2 3 4 2" xfId="44967" xr:uid="{00000000-0005-0000-0000-000011040000}"/>
    <cellStyle name="dp*NumberLineEPS 5 2 3 5" xfId="22891" xr:uid="{00000000-0005-0000-0000-000011040000}"/>
    <cellStyle name="dp*NumberLineEPS 5 2 3 6" xfId="41260" xr:uid="{00000000-0005-0000-0000-000011040000}"/>
    <cellStyle name="dp*NumberLineEPS 5 2 4" xfId="10577" xr:uid="{00000000-0005-0000-0000-000011040000}"/>
    <cellStyle name="dp*NumberLineEPS 5 2 4 2" xfId="14634" xr:uid="{00000000-0005-0000-0000-000011040000}"/>
    <cellStyle name="dp*NumberLineEPS 5 2 4 2 2" xfId="33050" xr:uid="{00000000-0005-0000-0000-000011040000}"/>
    <cellStyle name="dp*NumberLineEPS 5 2 4 2 3" xfId="51413" xr:uid="{00000000-0005-0000-0000-000011040000}"/>
    <cellStyle name="dp*NumberLineEPS 5 2 4 3" xfId="29288" xr:uid="{00000000-0005-0000-0000-000011040000}"/>
    <cellStyle name="dp*NumberLineEPS 5 2 4 3 2" xfId="47651" xr:uid="{00000000-0005-0000-0000-000011040000}"/>
    <cellStyle name="dp*NumberLineEPS 5 2 4 4" xfId="20091" xr:uid="{00000000-0005-0000-0000-000011040000}"/>
    <cellStyle name="dp*NumberLineEPS 5 2 4 5" xfId="38497" xr:uid="{00000000-0005-0000-0000-000011040000}"/>
    <cellStyle name="dp*NumberLineEPS 5 2 5" xfId="9964" xr:uid="{00000000-0005-0000-0000-000011040000}"/>
    <cellStyle name="dp*NumberLineEPS 5 2 5 2" xfId="28676" xr:uid="{00000000-0005-0000-0000-000011040000}"/>
    <cellStyle name="dp*NumberLineEPS 5 2 5 3" xfId="47039" xr:uid="{00000000-0005-0000-0000-000011040000}"/>
    <cellStyle name="dp*NumberLineEPS 5 2 6" xfId="14021" xr:uid="{00000000-0005-0000-0000-000011040000}"/>
    <cellStyle name="dp*NumberLineEPS 5 2 6 2" xfId="32438" xr:uid="{00000000-0005-0000-0000-000011040000}"/>
    <cellStyle name="dp*NumberLineEPS 5 2 6 3" xfId="50801" xr:uid="{00000000-0005-0000-0000-000011040000}"/>
    <cellStyle name="dp*NumberLineEPS 5 2 7" xfId="23772" xr:uid="{00000000-0005-0000-0000-000011040000}"/>
    <cellStyle name="dp*NumberLineEPS 5 2 7 2" xfId="42141" xr:uid="{00000000-0005-0000-0000-000011040000}"/>
    <cellStyle name="dp*NumberLineEPS 5 2 8" xfId="19301" xr:uid="{00000000-0005-0000-0000-000011040000}"/>
    <cellStyle name="dp*NumberLineEPS 5 2 9" xfId="37708" xr:uid="{00000000-0005-0000-0000-000011040000}"/>
    <cellStyle name="dp*NumberLineEPS 5 3" xfId="5385" xr:uid="{00000000-0005-0000-0000-000011040000}"/>
    <cellStyle name="dp*NumberLineEPS 5 3 2" xfId="11802" xr:uid="{00000000-0005-0000-0000-000011040000}"/>
    <cellStyle name="dp*NumberLineEPS 5 3 2 2" xfId="30275" xr:uid="{00000000-0005-0000-0000-000011040000}"/>
    <cellStyle name="dp*NumberLineEPS 5 3 2 3" xfId="48638" xr:uid="{00000000-0005-0000-0000-000011040000}"/>
    <cellStyle name="dp*NumberLineEPS 5 3 3" xfId="16077" xr:uid="{00000000-0005-0000-0000-000011040000}"/>
    <cellStyle name="dp*NumberLineEPS 5 3 3 2" xfId="34449" xr:uid="{00000000-0005-0000-0000-000011040000}"/>
    <cellStyle name="dp*NumberLineEPS 5 3 3 3" xfId="52812" xr:uid="{00000000-0005-0000-0000-000011040000}"/>
    <cellStyle name="dp*NumberLineEPS 5 3 4" xfId="25196" xr:uid="{00000000-0005-0000-0000-000011040000}"/>
    <cellStyle name="dp*NumberLineEPS 5 3 4 2" xfId="43565" xr:uid="{00000000-0005-0000-0000-000011040000}"/>
    <cellStyle name="dp*NumberLineEPS 5 3 5" xfId="21517" xr:uid="{00000000-0005-0000-0000-000011040000}"/>
    <cellStyle name="dp*NumberLineEPS 5 3 6" xfId="39896" xr:uid="{00000000-0005-0000-0000-000011040000}"/>
    <cellStyle name="dp*NumberLineEPS 5 4" xfId="6278" xr:uid="{00000000-0005-0000-0000-000011040000}"/>
    <cellStyle name="dp*NumberLineEPS 5 4 2" xfId="12580" xr:uid="{00000000-0005-0000-0000-000011040000}"/>
    <cellStyle name="dp*NumberLineEPS 5 4 2 2" xfId="31009" xr:uid="{00000000-0005-0000-0000-000011040000}"/>
    <cellStyle name="dp*NumberLineEPS 5 4 2 3" xfId="49372" xr:uid="{00000000-0005-0000-0000-000011040000}"/>
    <cellStyle name="dp*NumberLineEPS 5 4 3" xfId="16893" xr:uid="{00000000-0005-0000-0000-000011040000}"/>
    <cellStyle name="dp*NumberLineEPS 5 4 3 2" xfId="35248" xr:uid="{00000000-0005-0000-0000-000011040000}"/>
    <cellStyle name="dp*NumberLineEPS 5 4 3 3" xfId="53611" xr:uid="{00000000-0005-0000-0000-000011040000}"/>
    <cellStyle name="dp*NumberLineEPS 5 4 4" xfId="26028" xr:uid="{00000000-0005-0000-0000-000011040000}"/>
    <cellStyle name="dp*NumberLineEPS 5 4 4 2" xfId="44397" xr:uid="{00000000-0005-0000-0000-000011040000}"/>
    <cellStyle name="dp*NumberLineEPS 5 4 5" xfId="22325" xr:uid="{00000000-0005-0000-0000-000011040000}"/>
    <cellStyle name="dp*NumberLineEPS 5 4 6" xfId="40695" xr:uid="{00000000-0005-0000-0000-000011040000}"/>
    <cellStyle name="dp*NumberLineEPS 5 5" xfId="8911" xr:uid="{00000000-0005-0000-0000-000011040000}"/>
    <cellStyle name="dp*NumberLineEPS 5 5 2" xfId="27687" xr:uid="{00000000-0005-0000-0000-000011040000}"/>
    <cellStyle name="dp*NumberLineEPS 5 5 3" xfId="46050" xr:uid="{00000000-0005-0000-0000-000011040000}"/>
    <cellStyle name="dp*NumberLineEPS 5 6" xfId="6150" xr:uid="{00000000-0005-0000-0000-000011040000}"/>
    <cellStyle name="dp*NumberLineEPS 5 6 2" xfId="25939" xr:uid="{00000000-0005-0000-0000-000011040000}"/>
    <cellStyle name="dp*NumberLineEPS 5 6 3" xfId="44308" xr:uid="{00000000-0005-0000-0000-000011040000}"/>
    <cellStyle name="dp*NumberLineEPS 5 7" xfId="23125" xr:uid="{00000000-0005-0000-0000-000011040000}"/>
    <cellStyle name="dp*NumberLineEPS 5 7 2" xfId="41494" xr:uid="{00000000-0005-0000-0000-000011040000}"/>
    <cellStyle name="dp*NumberLineEPS 5 8" xfId="17704" xr:uid="{00000000-0005-0000-0000-000011040000}"/>
    <cellStyle name="dp*NumberLineEPS 5 9" xfId="36127" xr:uid="{00000000-0005-0000-0000-000011040000}"/>
    <cellStyle name="dp*NumberLineEPS 6" xfId="3279" xr:uid="{00000000-0005-0000-0000-000012040000}"/>
    <cellStyle name="dp*NumberLineEPS 6 2" xfId="3880" xr:uid="{00000000-0005-0000-0000-000012040000}"/>
    <cellStyle name="dp*NumberLineEPS 6 2 2" xfId="6053" xr:uid="{00000000-0005-0000-0000-000012040000}"/>
    <cellStyle name="dp*NumberLineEPS 6 2 2 2" xfId="12417" xr:uid="{00000000-0005-0000-0000-000012040000}"/>
    <cellStyle name="dp*NumberLineEPS 6 2 2 2 2" xfId="30864" xr:uid="{00000000-0005-0000-0000-000012040000}"/>
    <cellStyle name="dp*NumberLineEPS 6 2 2 2 3" xfId="49227" xr:uid="{00000000-0005-0000-0000-000012040000}"/>
    <cellStyle name="dp*NumberLineEPS 6 2 2 3" xfId="16743" xr:uid="{00000000-0005-0000-0000-000012040000}"/>
    <cellStyle name="dp*NumberLineEPS 6 2 2 3 2" xfId="35115" xr:uid="{00000000-0005-0000-0000-000012040000}"/>
    <cellStyle name="dp*NumberLineEPS 6 2 2 3 3" xfId="53478" xr:uid="{00000000-0005-0000-0000-000012040000}"/>
    <cellStyle name="dp*NumberLineEPS 6 2 2 4" xfId="25862" xr:uid="{00000000-0005-0000-0000-000012040000}"/>
    <cellStyle name="dp*NumberLineEPS 6 2 2 4 2" xfId="44231" xr:uid="{00000000-0005-0000-0000-000012040000}"/>
    <cellStyle name="dp*NumberLineEPS 6 2 2 5" xfId="22183" xr:uid="{00000000-0005-0000-0000-000012040000}"/>
    <cellStyle name="dp*NumberLineEPS 6 2 2 6" xfId="40562" xr:uid="{00000000-0005-0000-0000-000012040000}"/>
    <cellStyle name="dp*NumberLineEPS 6 2 3" xfId="6879" xr:uid="{00000000-0005-0000-0000-000012040000}"/>
    <cellStyle name="dp*NumberLineEPS 6 2 3 2" xfId="13170" xr:uid="{00000000-0005-0000-0000-000012040000}"/>
    <cellStyle name="dp*NumberLineEPS 6 2 3 2 2" xfId="31596" xr:uid="{00000000-0005-0000-0000-000012040000}"/>
    <cellStyle name="dp*NumberLineEPS 6 2 3 2 3" xfId="49959" xr:uid="{00000000-0005-0000-0000-000012040000}"/>
    <cellStyle name="dp*NumberLineEPS 6 2 3 3" xfId="17481" xr:uid="{00000000-0005-0000-0000-000012040000}"/>
    <cellStyle name="dp*NumberLineEPS 6 2 3 3 2" xfId="35829" xr:uid="{00000000-0005-0000-0000-000012040000}"/>
    <cellStyle name="dp*NumberLineEPS 6 2 3 3 3" xfId="54192" xr:uid="{00000000-0005-0000-0000-000012040000}"/>
    <cellStyle name="dp*NumberLineEPS 6 2 3 4" xfId="26614" xr:uid="{00000000-0005-0000-0000-000012040000}"/>
    <cellStyle name="dp*NumberLineEPS 6 2 3 4 2" xfId="44983" xr:uid="{00000000-0005-0000-0000-000012040000}"/>
    <cellStyle name="dp*NumberLineEPS 6 2 3 5" xfId="22907" xr:uid="{00000000-0005-0000-0000-000012040000}"/>
    <cellStyle name="dp*NumberLineEPS 6 2 3 6" xfId="41276" xr:uid="{00000000-0005-0000-0000-000012040000}"/>
    <cellStyle name="dp*NumberLineEPS 6 2 4" xfId="10593" xr:uid="{00000000-0005-0000-0000-000012040000}"/>
    <cellStyle name="dp*NumberLineEPS 6 2 4 2" xfId="14650" xr:uid="{00000000-0005-0000-0000-000012040000}"/>
    <cellStyle name="dp*NumberLineEPS 6 2 4 2 2" xfId="33066" xr:uid="{00000000-0005-0000-0000-000012040000}"/>
    <cellStyle name="dp*NumberLineEPS 6 2 4 2 3" xfId="51429" xr:uid="{00000000-0005-0000-0000-000012040000}"/>
    <cellStyle name="dp*NumberLineEPS 6 2 4 3" xfId="29304" xr:uid="{00000000-0005-0000-0000-000012040000}"/>
    <cellStyle name="dp*NumberLineEPS 6 2 4 3 2" xfId="47667" xr:uid="{00000000-0005-0000-0000-000012040000}"/>
    <cellStyle name="dp*NumberLineEPS 6 2 4 4" xfId="20107" xr:uid="{00000000-0005-0000-0000-000012040000}"/>
    <cellStyle name="dp*NumberLineEPS 6 2 4 5" xfId="38513" xr:uid="{00000000-0005-0000-0000-000012040000}"/>
    <cellStyle name="dp*NumberLineEPS 6 2 5" xfId="9985" xr:uid="{00000000-0005-0000-0000-000012040000}"/>
    <cellStyle name="dp*NumberLineEPS 6 2 5 2" xfId="28697" xr:uid="{00000000-0005-0000-0000-000012040000}"/>
    <cellStyle name="dp*NumberLineEPS 6 2 5 3" xfId="47060" xr:uid="{00000000-0005-0000-0000-000012040000}"/>
    <cellStyle name="dp*NumberLineEPS 6 2 6" xfId="14042" xr:uid="{00000000-0005-0000-0000-000012040000}"/>
    <cellStyle name="dp*NumberLineEPS 6 2 6 2" xfId="32459" xr:uid="{00000000-0005-0000-0000-000012040000}"/>
    <cellStyle name="dp*NumberLineEPS 6 2 6 3" xfId="50822" xr:uid="{00000000-0005-0000-0000-000012040000}"/>
    <cellStyle name="dp*NumberLineEPS 6 2 7" xfId="23788" xr:uid="{00000000-0005-0000-0000-000012040000}"/>
    <cellStyle name="dp*NumberLineEPS 6 2 7 2" xfId="42157" xr:uid="{00000000-0005-0000-0000-000012040000}"/>
    <cellStyle name="dp*NumberLineEPS 6 2 8" xfId="19352" xr:uid="{00000000-0005-0000-0000-000012040000}"/>
    <cellStyle name="dp*NumberLineEPS 6 2 9" xfId="37759" xr:uid="{00000000-0005-0000-0000-000012040000}"/>
    <cellStyle name="dp*NumberLineEPS 6 3" xfId="5472" xr:uid="{00000000-0005-0000-0000-000012040000}"/>
    <cellStyle name="dp*NumberLineEPS 6 3 2" xfId="11843" xr:uid="{00000000-0005-0000-0000-000012040000}"/>
    <cellStyle name="dp*NumberLineEPS 6 3 2 2" xfId="30294" xr:uid="{00000000-0005-0000-0000-000012040000}"/>
    <cellStyle name="dp*NumberLineEPS 6 3 2 3" xfId="48657" xr:uid="{00000000-0005-0000-0000-000012040000}"/>
    <cellStyle name="dp*NumberLineEPS 6 3 3" xfId="16163" xr:uid="{00000000-0005-0000-0000-000012040000}"/>
    <cellStyle name="dp*NumberLineEPS 6 3 3 2" xfId="34535" xr:uid="{00000000-0005-0000-0000-000012040000}"/>
    <cellStyle name="dp*NumberLineEPS 6 3 3 3" xfId="52898" xr:uid="{00000000-0005-0000-0000-000012040000}"/>
    <cellStyle name="dp*NumberLineEPS 6 3 4" xfId="25282" xr:uid="{00000000-0005-0000-0000-000012040000}"/>
    <cellStyle name="dp*NumberLineEPS 6 3 4 2" xfId="43651" xr:uid="{00000000-0005-0000-0000-000012040000}"/>
    <cellStyle name="dp*NumberLineEPS 6 3 5" xfId="21603" xr:uid="{00000000-0005-0000-0000-000012040000}"/>
    <cellStyle name="dp*NumberLineEPS 6 3 6" xfId="39982" xr:uid="{00000000-0005-0000-0000-000012040000}"/>
    <cellStyle name="dp*NumberLineEPS 6 4" xfId="6311" xr:uid="{00000000-0005-0000-0000-000012040000}"/>
    <cellStyle name="dp*NumberLineEPS 6 4 2" xfId="12602" xr:uid="{00000000-0005-0000-0000-000012040000}"/>
    <cellStyle name="dp*NumberLineEPS 6 4 2 2" xfId="31028" xr:uid="{00000000-0005-0000-0000-000012040000}"/>
    <cellStyle name="dp*NumberLineEPS 6 4 2 3" xfId="49391" xr:uid="{00000000-0005-0000-0000-000012040000}"/>
    <cellStyle name="dp*NumberLineEPS 6 4 3" xfId="16914" xr:uid="{00000000-0005-0000-0000-000012040000}"/>
    <cellStyle name="dp*NumberLineEPS 6 4 3 2" xfId="35264" xr:uid="{00000000-0005-0000-0000-000012040000}"/>
    <cellStyle name="dp*NumberLineEPS 6 4 3 3" xfId="53627" xr:uid="{00000000-0005-0000-0000-000012040000}"/>
    <cellStyle name="dp*NumberLineEPS 6 4 4" xfId="26049" xr:uid="{00000000-0005-0000-0000-000012040000}"/>
    <cellStyle name="dp*NumberLineEPS 6 4 4 2" xfId="44418" xr:uid="{00000000-0005-0000-0000-000012040000}"/>
    <cellStyle name="dp*NumberLineEPS 6 4 5" xfId="22342" xr:uid="{00000000-0005-0000-0000-000012040000}"/>
    <cellStyle name="dp*NumberLineEPS 6 4 6" xfId="40711" xr:uid="{00000000-0005-0000-0000-000012040000}"/>
    <cellStyle name="dp*NumberLineEPS 6 5" xfId="8974" xr:uid="{00000000-0005-0000-0000-000012040000}"/>
    <cellStyle name="dp*NumberLineEPS 6 5 2" xfId="27711" xr:uid="{00000000-0005-0000-0000-000012040000}"/>
    <cellStyle name="dp*NumberLineEPS 6 5 3" xfId="46074" xr:uid="{00000000-0005-0000-0000-000012040000}"/>
    <cellStyle name="dp*NumberLineEPS 6 6" xfId="6955" xr:uid="{00000000-0005-0000-0000-000012040000}"/>
    <cellStyle name="dp*NumberLineEPS 6 6 2" xfId="26685" xr:uid="{00000000-0005-0000-0000-000012040000}"/>
    <cellStyle name="dp*NumberLineEPS 6 6 3" xfId="45054" xr:uid="{00000000-0005-0000-0000-000012040000}"/>
    <cellStyle name="dp*NumberLineEPS 6 7" xfId="23211" xr:uid="{00000000-0005-0000-0000-000012040000}"/>
    <cellStyle name="dp*NumberLineEPS 6 7 2" xfId="41580" xr:uid="{00000000-0005-0000-0000-000012040000}"/>
    <cellStyle name="dp*NumberLineEPS 6 8" xfId="17797" xr:uid="{00000000-0005-0000-0000-000012040000}"/>
    <cellStyle name="dp*NumberLineEPS 6 9" xfId="36213" xr:uid="{00000000-0005-0000-0000-000012040000}"/>
    <cellStyle name="dp*NumberLineEPS 7" xfId="3316" xr:uid="{00000000-0005-0000-0000-000013040000}"/>
    <cellStyle name="dp*NumberLineEPS 7 2" xfId="3896" xr:uid="{00000000-0005-0000-0000-000013040000}"/>
    <cellStyle name="dp*NumberLineEPS 7 2 2" xfId="6069" xr:uid="{00000000-0005-0000-0000-000013040000}"/>
    <cellStyle name="dp*NumberLineEPS 7 2 2 2" xfId="12433" xr:uid="{00000000-0005-0000-0000-000013040000}"/>
    <cellStyle name="dp*NumberLineEPS 7 2 2 2 2" xfId="30880" xr:uid="{00000000-0005-0000-0000-000013040000}"/>
    <cellStyle name="dp*NumberLineEPS 7 2 2 2 3" xfId="49243" xr:uid="{00000000-0005-0000-0000-000013040000}"/>
    <cellStyle name="dp*NumberLineEPS 7 2 2 3" xfId="16759" xr:uid="{00000000-0005-0000-0000-000013040000}"/>
    <cellStyle name="dp*NumberLineEPS 7 2 2 3 2" xfId="35131" xr:uid="{00000000-0005-0000-0000-000013040000}"/>
    <cellStyle name="dp*NumberLineEPS 7 2 2 3 3" xfId="53494" xr:uid="{00000000-0005-0000-0000-000013040000}"/>
    <cellStyle name="dp*NumberLineEPS 7 2 2 4" xfId="25878" xr:uid="{00000000-0005-0000-0000-000013040000}"/>
    <cellStyle name="dp*NumberLineEPS 7 2 2 4 2" xfId="44247" xr:uid="{00000000-0005-0000-0000-000013040000}"/>
    <cellStyle name="dp*NumberLineEPS 7 2 2 5" xfId="22199" xr:uid="{00000000-0005-0000-0000-000013040000}"/>
    <cellStyle name="dp*NumberLineEPS 7 2 2 6" xfId="40578" xr:uid="{00000000-0005-0000-0000-000013040000}"/>
    <cellStyle name="dp*NumberLineEPS 7 2 3" xfId="6895" xr:uid="{00000000-0005-0000-0000-000013040000}"/>
    <cellStyle name="dp*NumberLineEPS 7 2 3 2" xfId="13186" xr:uid="{00000000-0005-0000-0000-000013040000}"/>
    <cellStyle name="dp*NumberLineEPS 7 2 3 2 2" xfId="31612" xr:uid="{00000000-0005-0000-0000-000013040000}"/>
    <cellStyle name="dp*NumberLineEPS 7 2 3 2 3" xfId="49975" xr:uid="{00000000-0005-0000-0000-000013040000}"/>
    <cellStyle name="dp*NumberLineEPS 7 2 3 3" xfId="17497" xr:uid="{00000000-0005-0000-0000-000013040000}"/>
    <cellStyle name="dp*NumberLineEPS 7 2 3 3 2" xfId="35845" xr:uid="{00000000-0005-0000-0000-000013040000}"/>
    <cellStyle name="dp*NumberLineEPS 7 2 3 3 3" xfId="54208" xr:uid="{00000000-0005-0000-0000-000013040000}"/>
    <cellStyle name="dp*NumberLineEPS 7 2 3 4" xfId="26630" xr:uid="{00000000-0005-0000-0000-000013040000}"/>
    <cellStyle name="dp*NumberLineEPS 7 2 3 4 2" xfId="44999" xr:uid="{00000000-0005-0000-0000-000013040000}"/>
    <cellStyle name="dp*NumberLineEPS 7 2 3 5" xfId="22923" xr:uid="{00000000-0005-0000-0000-000013040000}"/>
    <cellStyle name="dp*NumberLineEPS 7 2 3 6" xfId="41292" xr:uid="{00000000-0005-0000-0000-000013040000}"/>
    <cellStyle name="dp*NumberLineEPS 7 2 4" xfId="10609" xr:uid="{00000000-0005-0000-0000-000013040000}"/>
    <cellStyle name="dp*NumberLineEPS 7 2 4 2" xfId="14666" xr:uid="{00000000-0005-0000-0000-000013040000}"/>
    <cellStyle name="dp*NumberLineEPS 7 2 4 2 2" xfId="33082" xr:uid="{00000000-0005-0000-0000-000013040000}"/>
    <cellStyle name="dp*NumberLineEPS 7 2 4 2 3" xfId="51445" xr:uid="{00000000-0005-0000-0000-000013040000}"/>
    <cellStyle name="dp*NumberLineEPS 7 2 4 3" xfId="29320" xr:uid="{00000000-0005-0000-0000-000013040000}"/>
    <cellStyle name="dp*NumberLineEPS 7 2 4 3 2" xfId="47683" xr:uid="{00000000-0005-0000-0000-000013040000}"/>
    <cellStyle name="dp*NumberLineEPS 7 2 4 4" xfId="20123" xr:uid="{00000000-0005-0000-0000-000013040000}"/>
    <cellStyle name="dp*NumberLineEPS 7 2 4 5" xfId="38529" xr:uid="{00000000-0005-0000-0000-000013040000}"/>
    <cellStyle name="dp*NumberLineEPS 7 2 5" xfId="10003" xr:uid="{00000000-0005-0000-0000-000013040000}"/>
    <cellStyle name="dp*NumberLineEPS 7 2 5 2" xfId="28715" xr:uid="{00000000-0005-0000-0000-000013040000}"/>
    <cellStyle name="dp*NumberLineEPS 7 2 5 3" xfId="47078" xr:uid="{00000000-0005-0000-0000-000013040000}"/>
    <cellStyle name="dp*NumberLineEPS 7 2 6" xfId="14060" xr:uid="{00000000-0005-0000-0000-000013040000}"/>
    <cellStyle name="dp*NumberLineEPS 7 2 6 2" xfId="32477" xr:uid="{00000000-0005-0000-0000-000013040000}"/>
    <cellStyle name="dp*NumberLineEPS 7 2 6 3" xfId="50840" xr:uid="{00000000-0005-0000-0000-000013040000}"/>
    <cellStyle name="dp*NumberLineEPS 7 2 7" xfId="23804" xr:uid="{00000000-0005-0000-0000-000013040000}"/>
    <cellStyle name="dp*NumberLineEPS 7 2 7 2" xfId="42173" xr:uid="{00000000-0005-0000-0000-000013040000}"/>
    <cellStyle name="dp*NumberLineEPS 7 2 8" xfId="19373" xr:uid="{00000000-0005-0000-0000-000013040000}"/>
    <cellStyle name="dp*NumberLineEPS 7 2 9" xfId="37780" xr:uid="{00000000-0005-0000-0000-000013040000}"/>
    <cellStyle name="dp*NumberLineEPS 7 3" xfId="5501" xr:uid="{00000000-0005-0000-0000-000013040000}"/>
    <cellStyle name="dp*NumberLineEPS 7 3 2" xfId="11866" xr:uid="{00000000-0005-0000-0000-000013040000}"/>
    <cellStyle name="dp*NumberLineEPS 7 3 2 2" xfId="30313" xr:uid="{00000000-0005-0000-0000-000013040000}"/>
    <cellStyle name="dp*NumberLineEPS 7 3 2 3" xfId="48676" xr:uid="{00000000-0005-0000-0000-000013040000}"/>
    <cellStyle name="dp*NumberLineEPS 7 3 3" xfId="16192" xr:uid="{00000000-0005-0000-0000-000013040000}"/>
    <cellStyle name="dp*NumberLineEPS 7 3 3 2" xfId="34564" xr:uid="{00000000-0005-0000-0000-000013040000}"/>
    <cellStyle name="dp*NumberLineEPS 7 3 3 3" xfId="52927" xr:uid="{00000000-0005-0000-0000-000013040000}"/>
    <cellStyle name="dp*NumberLineEPS 7 3 4" xfId="25311" xr:uid="{00000000-0005-0000-0000-000013040000}"/>
    <cellStyle name="dp*NumberLineEPS 7 3 4 2" xfId="43680" xr:uid="{00000000-0005-0000-0000-000013040000}"/>
    <cellStyle name="dp*NumberLineEPS 7 3 5" xfId="21632" xr:uid="{00000000-0005-0000-0000-000013040000}"/>
    <cellStyle name="dp*NumberLineEPS 7 3 6" xfId="40011" xr:uid="{00000000-0005-0000-0000-000013040000}"/>
    <cellStyle name="dp*NumberLineEPS 7 4" xfId="6329" xr:uid="{00000000-0005-0000-0000-000013040000}"/>
    <cellStyle name="dp*NumberLineEPS 7 4 2" xfId="12620" xr:uid="{00000000-0005-0000-0000-000013040000}"/>
    <cellStyle name="dp*NumberLineEPS 7 4 2 2" xfId="31046" xr:uid="{00000000-0005-0000-0000-000013040000}"/>
    <cellStyle name="dp*NumberLineEPS 7 4 2 3" xfId="49409" xr:uid="{00000000-0005-0000-0000-000013040000}"/>
    <cellStyle name="dp*NumberLineEPS 7 4 3" xfId="16931" xr:uid="{00000000-0005-0000-0000-000013040000}"/>
    <cellStyle name="dp*NumberLineEPS 7 4 3 2" xfId="35280" xr:uid="{00000000-0005-0000-0000-000013040000}"/>
    <cellStyle name="dp*NumberLineEPS 7 4 3 3" xfId="53643" xr:uid="{00000000-0005-0000-0000-000013040000}"/>
    <cellStyle name="dp*NumberLineEPS 7 4 4" xfId="26065" xr:uid="{00000000-0005-0000-0000-000013040000}"/>
    <cellStyle name="dp*NumberLineEPS 7 4 4 2" xfId="44434" xr:uid="{00000000-0005-0000-0000-000013040000}"/>
    <cellStyle name="dp*NumberLineEPS 7 4 5" xfId="22358" xr:uid="{00000000-0005-0000-0000-000013040000}"/>
    <cellStyle name="dp*NumberLineEPS 7 4 6" xfId="40727" xr:uid="{00000000-0005-0000-0000-000013040000}"/>
    <cellStyle name="dp*NumberLineEPS 7 5" xfId="9001" xr:uid="{00000000-0005-0000-0000-000013040000}"/>
    <cellStyle name="dp*NumberLineEPS 7 5 2" xfId="27729" xr:uid="{00000000-0005-0000-0000-000013040000}"/>
    <cellStyle name="dp*NumberLineEPS 7 5 3" xfId="46092" xr:uid="{00000000-0005-0000-0000-000013040000}"/>
    <cellStyle name="dp*NumberLineEPS 7 6" xfId="6945" xr:uid="{00000000-0005-0000-0000-000013040000}"/>
    <cellStyle name="dp*NumberLineEPS 7 6 2" xfId="26677" xr:uid="{00000000-0005-0000-0000-000013040000}"/>
    <cellStyle name="dp*NumberLineEPS 7 6 3" xfId="45046" xr:uid="{00000000-0005-0000-0000-000013040000}"/>
    <cellStyle name="dp*NumberLineEPS 7 7" xfId="23238" xr:uid="{00000000-0005-0000-0000-000013040000}"/>
    <cellStyle name="dp*NumberLineEPS 7 7 2" xfId="41607" xr:uid="{00000000-0005-0000-0000-000013040000}"/>
    <cellStyle name="dp*NumberLineEPS 7 8" xfId="17827" xr:uid="{00000000-0005-0000-0000-000013040000}"/>
    <cellStyle name="dp*NumberLineEPS 7 9" xfId="36240" xr:uid="{00000000-0005-0000-0000-000013040000}"/>
    <cellStyle name="dp*NumberLineEPS 8" xfId="7082" xr:uid="{00000000-0005-0000-0000-000000040000}"/>
    <cellStyle name="dp*NumberLineEPS 8 2" xfId="26712" xr:uid="{00000000-0005-0000-0000-000000040000}"/>
    <cellStyle name="dp*NumberLineEPS 8 3" xfId="45080" xr:uid="{00000000-0005-0000-0000-000000040000}"/>
    <cellStyle name="dp*NumberLineEPS_Summary" xfId="2352" xr:uid="{00000000-0005-0000-0000-000014040000}"/>
    <cellStyle name="dp*NumberSpecial" xfId="423" xr:uid="{00000000-0005-0000-0000-000015040000}"/>
    <cellStyle name="dp*RatioX" xfId="424" xr:uid="{00000000-0005-0000-0000-000016040000}"/>
    <cellStyle name="dp*SeriesName" xfId="425" xr:uid="{00000000-0005-0000-0000-000017040000}"/>
    <cellStyle name="dp*SheetSubTitle" xfId="426" xr:uid="{00000000-0005-0000-0000-000018040000}"/>
    <cellStyle name="dp*SheetSubTitle 2" xfId="1051" xr:uid="{00000000-0005-0000-0000-000019040000}"/>
    <cellStyle name="dp*SheetSubTitle 2 10" xfId="11607" xr:uid="{00000000-0005-0000-0000-000019040000}"/>
    <cellStyle name="dp*SheetSubTitle 2 10 2" xfId="30170" xr:uid="{00000000-0005-0000-0000-000019040000}"/>
    <cellStyle name="dp*SheetSubTitle 2 10 3" xfId="48533" xr:uid="{00000000-0005-0000-0000-000019040000}"/>
    <cellStyle name="dp*SheetSubTitle 2 11" xfId="7166" xr:uid="{00000000-0005-0000-0000-000019040000}"/>
    <cellStyle name="dp*SheetSubTitle 2 2" xfId="1243" xr:uid="{00000000-0005-0000-0000-00001A040000}"/>
    <cellStyle name="dp*SheetSubTitle 2 2 10" xfId="16826" xr:uid="{00000000-0005-0000-0000-00001A040000}"/>
    <cellStyle name="dp*SheetSubTitle 2 2 2" xfId="1646" xr:uid="{00000000-0005-0000-0000-00001B040000}"/>
    <cellStyle name="dp*SheetSubTitle 2 2 2 10" xfId="18094" xr:uid="{00000000-0005-0000-0000-00001B040000}"/>
    <cellStyle name="dp*SheetSubTitle 2 2 2 10 2" xfId="36501" xr:uid="{00000000-0005-0000-0000-00001B040000}"/>
    <cellStyle name="dp*SheetSubTitle 2 2 2 11" xfId="8765" xr:uid="{00000000-0005-0000-0000-00001B040000}"/>
    <cellStyle name="dp*SheetSubTitle 2 2 2 12" xfId="8484" xr:uid="{00000000-0005-0000-0000-00001B040000}"/>
    <cellStyle name="dp*SheetSubTitle 2 2 2 2" xfId="1727" xr:uid="{00000000-0005-0000-0000-00001C040000}"/>
    <cellStyle name="dp*SheetSubTitle 2 2 2 2 10" xfId="7605" xr:uid="{00000000-0005-0000-0000-00001C040000}"/>
    <cellStyle name="dp*SheetSubTitle 2 2 2 2 2" xfId="3624" xr:uid="{00000000-0005-0000-0000-00001C040000}"/>
    <cellStyle name="dp*SheetSubTitle 2 2 2 2 2 2" xfId="5797" xr:uid="{00000000-0005-0000-0000-00001C040000}"/>
    <cellStyle name="dp*SheetSubTitle 2 2 2 2 2 2 2" xfId="12161" xr:uid="{00000000-0005-0000-0000-00001C040000}"/>
    <cellStyle name="dp*SheetSubTitle 2 2 2 2 2 2 2 2" xfId="30608" xr:uid="{00000000-0005-0000-0000-00001C040000}"/>
    <cellStyle name="dp*SheetSubTitle 2 2 2 2 2 2 2 3" xfId="48971" xr:uid="{00000000-0005-0000-0000-00001C040000}"/>
    <cellStyle name="dp*SheetSubTitle 2 2 2 2 2 2 3" xfId="16487" xr:uid="{00000000-0005-0000-0000-00001C040000}"/>
    <cellStyle name="dp*SheetSubTitle 2 2 2 2 2 2 3 2" xfId="34859" xr:uid="{00000000-0005-0000-0000-00001C040000}"/>
    <cellStyle name="dp*SheetSubTitle 2 2 2 2 2 2 3 3" xfId="53222" xr:uid="{00000000-0005-0000-0000-00001C040000}"/>
    <cellStyle name="dp*SheetSubTitle 2 2 2 2 2 2 4" xfId="25606" xr:uid="{00000000-0005-0000-0000-00001C040000}"/>
    <cellStyle name="dp*SheetSubTitle 2 2 2 2 2 2 4 2" xfId="43975" xr:uid="{00000000-0005-0000-0000-00001C040000}"/>
    <cellStyle name="dp*SheetSubTitle 2 2 2 2 2 2 5" xfId="21927" xr:uid="{00000000-0005-0000-0000-00001C040000}"/>
    <cellStyle name="dp*SheetSubTitle 2 2 2 2 2 2 6" xfId="40306" xr:uid="{00000000-0005-0000-0000-00001C040000}"/>
    <cellStyle name="dp*SheetSubTitle 2 2 2 2 2 3" xfId="6623" xr:uid="{00000000-0005-0000-0000-00001C040000}"/>
    <cellStyle name="dp*SheetSubTitle 2 2 2 2 2 3 2" xfId="12914" xr:uid="{00000000-0005-0000-0000-00001C040000}"/>
    <cellStyle name="dp*SheetSubTitle 2 2 2 2 2 3 2 2" xfId="31340" xr:uid="{00000000-0005-0000-0000-00001C040000}"/>
    <cellStyle name="dp*SheetSubTitle 2 2 2 2 2 3 2 3" xfId="49703" xr:uid="{00000000-0005-0000-0000-00001C040000}"/>
    <cellStyle name="dp*SheetSubTitle 2 2 2 2 2 3 3" xfId="17225" xr:uid="{00000000-0005-0000-0000-00001C040000}"/>
    <cellStyle name="dp*SheetSubTitle 2 2 2 2 2 3 3 2" xfId="35573" xr:uid="{00000000-0005-0000-0000-00001C040000}"/>
    <cellStyle name="dp*SheetSubTitle 2 2 2 2 2 3 3 3" xfId="53936" xr:uid="{00000000-0005-0000-0000-00001C040000}"/>
    <cellStyle name="dp*SheetSubTitle 2 2 2 2 2 3 4" xfId="26358" xr:uid="{00000000-0005-0000-0000-00001C040000}"/>
    <cellStyle name="dp*SheetSubTitle 2 2 2 2 2 3 4 2" xfId="44727" xr:uid="{00000000-0005-0000-0000-00001C040000}"/>
    <cellStyle name="dp*SheetSubTitle 2 2 2 2 2 3 5" xfId="22651" xr:uid="{00000000-0005-0000-0000-00001C040000}"/>
    <cellStyle name="dp*SheetSubTitle 2 2 2 2 2 3 6" xfId="41020" xr:uid="{00000000-0005-0000-0000-00001C040000}"/>
    <cellStyle name="dp*SheetSubTitle 2 2 2 2 2 4" xfId="10337" xr:uid="{00000000-0005-0000-0000-00001C040000}"/>
    <cellStyle name="dp*SheetSubTitle 2 2 2 2 2 4 2" xfId="14394" xr:uid="{00000000-0005-0000-0000-00001C040000}"/>
    <cellStyle name="dp*SheetSubTitle 2 2 2 2 2 4 2 2" xfId="32810" xr:uid="{00000000-0005-0000-0000-00001C040000}"/>
    <cellStyle name="dp*SheetSubTitle 2 2 2 2 2 4 2 3" xfId="51173" xr:uid="{00000000-0005-0000-0000-00001C040000}"/>
    <cellStyle name="dp*SheetSubTitle 2 2 2 2 2 4 3" xfId="29048" xr:uid="{00000000-0005-0000-0000-00001C040000}"/>
    <cellStyle name="dp*SheetSubTitle 2 2 2 2 2 4 3 2" xfId="47411" xr:uid="{00000000-0005-0000-0000-00001C040000}"/>
    <cellStyle name="dp*SheetSubTitle 2 2 2 2 2 4 4" xfId="19851" xr:uid="{00000000-0005-0000-0000-00001C040000}"/>
    <cellStyle name="dp*SheetSubTitle 2 2 2 2 2 4 5" xfId="38257" xr:uid="{00000000-0005-0000-0000-00001C040000}"/>
    <cellStyle name="dp*SheetSubTitle 2 2 2 2 2 5" xfId="9545" xr:uid="{00000000-0005-0000-0000-00001C040000}"/>
    <cellStyle name="dp*SheetSubTitle 2 2 2 2 2 5 2" xfId="28262" xr:uid="{00000000-0005-0000-0000-00001C040000}"/>
    <cellStyle name="dp*SheetSubTitle 2 2 2 2 2 5 3" xfId="46625" xr:uid="{00000000-0005-0000-0000-00001C040000}"/>
    <cellStyle name="dp*SheetSubTitle 2 2 2 2 2 6" xfId="13603" xr:uid="{00000000-0005-0000-0000-00001C040000}"/>
    <cellStyle name="dp*SheetSubTitle 2 2 2 2 2 6 2" xfId="32024" xr:uid="{00000000-0005-0000-0000-00001C040000}"/>
    <cellStyle name="dp*SheetSubTitle 2 2 2 2 2 6 3" xfId="50387" xr:uid="{00000000-0005-0000-0000-00001C040000}"/>
    <cellStyle name="dp*SheetSubTitle 2 2 2 2 2 7" xfId="23532" xr:uid="{00000000-0005-0000-0000-00001C040000}"/>
    <cellStyle name="dp*SheetSubTitle 2 2 2 2 2 7 2" xfId="41901" xr:uid="{00000000-0005-0000-0000-00001C040000}"/>
    <cellStyle name="dp*SheetSubTitle 2 2 2 2 2 8" xfId="18644" xr:uid="{00000000-0005-0000-0000-00001C040000}"/>
    <cellStyle name="dp*SheetSubTitle 2 2 2 2 2 9" xfId="37054" xr:uid="{00000000-0005-0000-0000-00001C040000}"/>
    <cellStyle name="dp*SheetSubTitle 2 2 2 2 3" xfId="4664" xr:uid="{00000000-0005-0000-0000-00001C040000}"/>
    <cellStyle name="dp*SheetSubTitle 2 2 2 2 3 2" xfId="11248" xr:uid="{00000000-0005-0000-0000-00001C040000}"/>
    <cellStyle name="dp*SheetSubTitle 2 2 2 2 3 2 2" xfId="29860" xr:uid="{00000000-0005-0000-0000-00001C040000}"/>
    <cellStyle name="dp*SheetSubTitle 2 2 2 2 3 2 3" xfId="48223" xr:uid="{00000000-0005-0000-0000-00001C040000}"/>
    <cellStyle name="dp*SheetSubTitle 2 2 2 2 3 3" xfId="15390" xr:uid="{00000000-0005-0000-0000-00001C040000}"/>
    <cellStyle name="dp*SheetSubTitle 2 2 2 2 3 3 2" xfId="33783" xr:uid="{00000000-0005-0000-0000-00001C040000}"/>
    <cellStyle name="dp*SheetSubTitle 2 2 2 2 3 3 3" xfId="52146" xr:uid="{00000000-0005-0000-0000-00001C040000}"/>
    <cellStyle name="dp*SheetSubTitle 2 2 2 2 3 4" xfId="24514" xr:uid="{00000000-0005-0000-0000-00001C040000}"/>
    <cellStyle name="dp*SheetSubTitle 2 2 2 2 3 4 2" xfId="42883" xr:uid="{00000000-0005-0000-0000-00001C040000}"/>
    <cellStyle name="dp*SheetSubTitle 2 2 2 2 3 5" xfId="20841" xr:uid="{00000000-0005-0000-0000-00001C040000}"/>
    <cellStyle name="dp*SheetSubTitle 2 2 2 2 3 6" xfId="39230" xr:uid="{00000000-0005-0000-0000-00001C040000}"/>
    <cellStyle name="dp*SheetSubTitle 2 2 2 2 4" xfId="4305" xr:uid="{00000000-0005-0000-0000-00001C040000}"/>
    <cellStyle name="dp*SheetSubTitle 2 2 2 2 4 2" xfId="10916" xr:uid="{00000000-0005-0000-0000-00001C040000}"/>
    <cellStyle name="dp*SheetSubTitle 2 2 2 2 4 2 2" xfId="29547" xr:uid="{00000000-0005-0000-0000-00001C040000}"/>
    <cellStyle name="dp*SheetSubTitle 2 2 2 2 4 2 3" xfId="47910" xr:uid="{00000000-0005-0000-0000-00001C040000}"/>
    <cellStyle name="dp*SheetSubTitle 2 2 2 2 4 3" xfId="15050" xr:uid="{00000000-0005-0000-0000-00001C040000}"/>
    <cellStyle name="dp*SheetSubTitle 2 2 2 2 4 3 2" xfId="33453" xr:uid="{00000000-0005-0000-0000-00001C040000}"/>
    <cellStyle name="dp*SheetSubTitle 2 2 2 2 4 3 3" xfId="51816" xr:uid="{00000000-0005-0000-0000-00001C040000}"/>
    <cellStyle name="dp*SheetSubTitle 2 2 2 2 4 4" xfId="24182" xr:uid="{00000000-0005-0000-0000-00001C040000}"/>
    <cellStyle name="dp*SheetSubTitle 2 2 2 2 4 4 2" xfId="42551" xr:uid="{00000000-0005-0000-0000-00001C040000}"/>
    <cellStyle name="dp*SheetSubTitle 2 2 2 2 4 5" xfId="20502" xr:uid="{00000000-0005-0000-0000-00001C040000}"/>
    <cellStyle name="dp*SheetSubTitle 2 2 2 2 4 6" xfId="38900" xr:uid="{00000000-0005-0000-0000-00001C040000}"/>
    <cellStyle name="dp*SheetSubTitle 2 2 2 2 5" xfId="9808" xr:uid="{00000000-0005-0000-0000-00001C040000}"/>
    <cellStyle name="dp*SheetSubTitle 2 2 2 2 5 2" xfId="13865" xr:uid="{00000000-0005-0000-0000-00001C040000}"/>
    <cellStyle name="dp*SheetSubTitle 2 2 2 2 5 2 2" xfId="32285" xr:uid="{00000000-0005-0000-0000-00001C040000}"/>
    <cellStyle name="dp*SheetSubTitle 2 2 2 2 5 2 3" xfId="50648" xr:uid="{00000000-0005-0000-0000-00001C040000}"/>
    <cellStyle name="dp*SheetSubTitle 2 2 2 2 5 3" xfId="28523" xr:uid="{00000000-0005-0000-0000-00001C040000}"/>
    <cellStyle name="dp*SheetSubTitle 2 2 2 2 5 3 2" xfId="46886" xr:uid="{00000000-0005-0000-0000-00001C040000}"/>
    <cellStyle name="dp*SheetSubTitle 2 2 2 2 5 4" xfId="19023" xr:uid="{00000000-0005-0000-0000-00001C040000}"/>
    <cellStyle name="dp*SheetSubTitle 2 2 2 2 5 5" xfId="37432" xr:uid="{00000000-0005-0000-0000-00001C040000}"/>
    <cellStyle name="dp*SheetSubTitle 2 2 2 2 6" xfId="7958" xr:uid="{00000000-0005-0000-0000-00001C040000}"/>
    <cellStyle name="dp*SheetSubTitle 2 2 2 2 6 2" xfId="27188" xr:uid="{00000000-0005-0000-0000-00001C040000}"/>
    <cellStyle name="dp*SheetSubTitle 2 2 2 2 6 3" xfId="45553" xr:uid="{00000000-0005-0000-0000-00001C040000}"/>
    <cellStyle name="dp*SheetSubTitle 2 2 2 2 7" xfId="8131" xr:uid="{00000000-0005-0000-0000-00001C040000}"/>
    <cellStyle name="dp*SheetSubTitle 2 2 2 2 7 2" xfId="27335" xr:uid="{00000000-0005-0000-0000-00001C040000}"/>
    <cellStyle name="dp*SheetSubTitle 2 2 2 2 7 3" xfId="45700" xr:uid="{00000000-0005-0000-0000-00001C040000}"/>
    <cellStyle name="dp*SheetSubTitle 2 2 2 2 8" xfId="19070" xr:uid="{00000000-0005-0000-0000-00001C040000}"/>
    <cellStyle name="dp*SheetSubTitle 2 2 2 2 8 2" xfId="37478" xr:uid="{00000000-0005-0000-0000-00001C040000}"/>
    <cellStyle name="dp*SheetSubTitle 2 2 2 2 9" xfId="10909" xr:uid="{00000000-0005-0000-0000-00001C040000}"/>
    <cellStyle name="dp*SheetSubTitle 2 2 2 3" xfId="1757" xr:uid="{00000000-0005-0000-0000-00001D040000}"/>
    <cellStyle name="dp*SheetSubTitle 2 2 2 3 10" xfId="17676" xr:uid="{00000000-0005-0000-0000-00001D040000}"/>
    <cellStyle name="dp*SheetSubTitle 2 2 2 3 2" xfId="3654" xr:uid="{00000000-0005-0000-0000-00001D040000}"/>
    <cellStyle name="dp*SheetSubTitle 2 2 2 3 2 2" xfId="5827" xr:uid="{00000000-0005-0000-0000-00001D040000}"/>
    <cellStyle name="dp*SheetSubTitle 2 2 2 3 2 2 2" xfId="12191" xr:uid="{00000000-0005-0000-0000-00001D040000}"/>
    <cellStyle name="dp*SheetSubTitle 2 2 2 3 2 2 2 2" xfId="30638" xr:uid="{00000000-0005-0000-0000-00001D040000}"/>
    <cellStyle name="dp*SheetSubTitle 2 2 2 3 2 2 2 3" xfId="49001" xr:uid="{00000000-0005-0000-0000-00001D040000}"/>
    <cellStyle name="dp*SheetSubTitle 2 2 2 3 2 2 3" xfId="16517" xr:uid="{00000000-0005-0000-0000-00001D040000}"/>
    <cellStyle name="dp*SheetSubTitle 2 2 2 3 2 2 3 2" xfId="34889" xr:uid="{00000000-0005-0000-0000-00001D040000}"/>
    <cellStyle name="dp*SheetSubTitle 2 2 2 3 2 2 3 3" xfId="53252" xr:uid="{00000000-0005-0000-0000-00001D040000}"/>
    <cellStyle name="dp*SheetSubTitle 2 2 2 3 2 2 4" xfId="25636" xr:uid="{00000000-0005-0000-0000-00001D040000}"/>
    <cellStyle name="dp*SheetSubTitle 2 2 2 3 2 2 4 2" xfId="44005" xr:uid="{00000000-0005-0000-0000-00001D040000}"/>
    <cellStyle name="dp*SheetSubTitle 2 2 2 3 2 2 5" xfId="21957" xr:uid="{00000000-0005-0000-0000-00001D040000}"/>
    <cellStyle name="dp*SheetSubTitle 2 2 2 3 2 2 6" xfId="40336" xr:uid="{00000000-0005-0000-0000-00001D040000}"/>
    <cellStyle name="dp*SheetSubTitle 2 2 2 3 2 3" xfId="6653" xr:uid="{00000000-0005-0000-0000-00001D040000}"/>
    <cellStyle name="dp*SheetSubTitle 2 2 2 3 2 3 2" xfId="12944" xr:uid="{00000000-0005-0000-0000-00001D040000}"/>
    <cellStyle name="dp*SheetSubTitle 2 2 2 3 2 3 2 2" xfId="31370" xr:uid="{00000000-0005-0000-0000-00001D040000}"/>
    <cellStyle name="dp*SheetSubTitle 2 2 2 3 2 3 2 3" xfId="49733" xr:uid="{00000000-0005-0000-0000-00001D040000}"/>
    <cellStyle name="dp*SheetSubTitle 2 2 2 3 2 3 3" xfId="17255" xr:uid="{00000000-0005-0000-0000-00001D040000}"/>
    <cellStyle name="dp*SheetSubTitle 2 2 2 3 2 3 3 2" xfId="35603" xr:uid="{00000000-0005-0000-0000-00001D040000}"/>
    <cellStyle name="dp*SheetSubTitle 2 2 2 3 2 3 3 3" xfId="53966" xr:uid="{00000000-0005-0000-0000-00001D040000}"/>
    <cellStyle name="dp*SheetSubTitle 2 2 2 3 2 3 4" xfId="26388" xr:uid="{00000000-0005-0000-0000-00001D040000}"/>
    <cellStyle name="dp*SheetSubTitle 2 2 2 3 2 3 4 2" xfId="44757" xr:uid="{00000000-0005-0000-0000-00001D040000}"/>
    <cellStyle name="dp*SheetSubTitle 2 2 2 3 2 3 5" xfId="22681" xr:uid="{00000000-0005-0000-0000-00001D040000}"/>
    <cellStyle name="dp*SheetSubTitle 2 2 2 3 2 3 6" xfId="41050" xr:uid="{00000000-0005-0000-0000-00001D040000}"/>
    <cellStyle name="dp*SheetSubTitle 2 2 2 3 2 4" xfId="10367" xr:uid="{00000000-0005-0000-0000-00001D040000}"/>
    <cellStyle name="dp*SheetSubTitle 2 2 2 3 2 4 2" xfId="14424" xr:uid="{00000000-0005-0000-0000-00001D040000}"/>
    <cellStyle name="dp*SheetSubTitle 2 2 2 3 2 4 2 2" xfId="32840" xr:uid="{00000000-0005-0000-0000-00001D040000}"/>
    <cellStyle name="dp*SheetSubTitle 2 2 2 3 2 4 2 3" xfId="51203" xr:uid="{00000000-0005-0000-0000-00001D040000}"/>
    <cellStyle name="dp*SheetSubTitle 2 2 2 3 2 4 3" xfId="29078" xr:uid="{00000000-0005-0000-0000-00001D040000}"/>
    <cellStyle name="dp*SheetSubTitle 2 2 2 3 2 4 3 2" xfId="47441" xr:uid="{00000000-0005-0000-0000-00001D040000}"/>
    <cellStyle name="dp*SheetSubTitle 2 2 2 3 2 4 4" xfId="19881" xr:uid="{00000000-0005-0000-0000-00001D040000}"/>
    <cellStyle name="dp*SheetSubTitle 2 2 2 3 2 4 5" xfId="38287" xr:uid="{00000000-0005-0000-0000-00001D040000}"/>
    <cellStyle name="dp*SheetSubTitle 2 2 2 3 2 5" xfId="9575" xr:uid="{00000000-0005-0000-0000-00001D040000}"/>
    <cellStyle name="dp*SheetSubTitle 2 2 2 3 2 5 2" xfId="28292" xr:uid="{00000000-0005-0000-0000-00001D040000}"/>
    <cellStyle name="dp*SheetSubTitle 2 2 2 3 2 5 3" xfId="46655" xr:uid="{00000000-0005-0000-0000-00001D040000}"/>
    <cellStyle name="dp*SheetSubTitle 2 2 2 3 2 6" xfId="13633" xr:uid="{00000000-0005-0000-0000-00001D040000}"/>
    <cellStyle name="dp*SheetSubTitle 2 2 2 3 2 6 2" xfId="32054" xr:uid="{00000000-0005-0000-0000-00001D040000}"/>
    <cellStyle name="dp*SheetSubTitle 2 2 2 3 2 6 3" xfId="50417" xr:uid="{00000000-0005-0000-0000-00001D040000}"/>
    <cellStyle name="dp*SheetSubTitle 2 2 2 3 2 7" xfId="23562" xr:uid="{00000000-0005-0000-0000-00001D040000}"/>
    <cellStyle name="dp*SheetSubTitle 2 2 2 3 2 7 2" xfId="41931" xr:uid="{00000000-0005-0000-0000-00001D040000}"/>
    <cellStyle name="dp*SheetSubTitle 2 2 2 3 2 8" xfId="18674" xr:uid="{00000000-0005-0000-0000-00001D040000}"/>
    <cellStyle name="dp*SheetSubTitle 2 2 2 3 2 9" xfId="37084" xr:uid="{00000000-0005-0000-0000-00001D040000}"/>
    <cellStyle name="dp*SheetSubTitle 2 2 2 3 3" xfId="4694" xr:uid="{00000000-0005-0000-0000-00001D040000}"/>
    <cellStyle name="dp*SheetSubTitle 2 2 2 3 3 2" xfId="11278" xr:uid="{00000000-0005-0000-0000-00001D040000}"/>
    <cellStyle name="dp*SheetSubTitle 2 2 2 3 3 2 2" xfId="29890" xr:uid="{00000000-0005-0000-0000-00001D040000}"/>
    <cellStyle name="dp*SheetSubTitle 2 2 2 3 3 2 3" xfId="48253" xr:uid="{00000000-0005-0000-0000-00001D040000}"/>
    <cellStyle name="dp*SheetSubTitle 2 2 2 3 3 3" xfId="15420" xr:uid="{00000000-0005-0000-0000-00001D040000}"/>
    <cellStyle name="dp*SheetSubTitle 2 2 2 3 3 3 2" xfId="33813" xr:uid="{00000000-0005-0000-0000-00001D040000}"/>
    <cellStyle name="dp*SheetSubTitle 2 2 2 3 3 3 3" xfId="52176" xr:uid="{00000000-0005-0000-0000-00001D040000}"/>
    <cellStyle name="dp*SheetSubTitle 2 2 2 3 3 4" xfId="24544" xr:uid="{00000000-0005-0000-0000-00001D040000}"/>
    <cellStyle name="dp*SheetSubTitle 2 2 2 3 3 4 2" xfId="42913" xr:uid="{00000000-0005-0000-0000-00001D040000}"/>
    <cellStyle name="dp*SheetSubTitle 2 2 2 3 3 5" xfId="20871" xr:uid="{00000000-0005-0000-0000-00001D040000}"/>
    <cellStyle name="dp*SheetSubTitle 2 2 2 3 3 6" xfId="39260" xr:uid="{00000000-0005-0000-0000-00001D040000}"/>
    <cellStyle name="dp*SheetSubTitle 2 2 2 3 4" xfId="4866" xr:uid="{00000000-0005-0000-0000-00001D040000}"/>
    <cellStyle name="dp*SheetSubTitle 2 2 2 3 4 2" xfId="11424" xr:uid="{00000000-0005-0000-0000-00001D040000}"/>
    <cellStyle name="dp*SheetSubTitle 2 2 2 3 4 2 2" xfId="30014" xr:uid="{00000000-0005-0000-0000-00001D040000}"/>
    <cellStyle name="dp*SheetSubTitle 2 2 2 3 4 2 3" xfId="48377" xr:uid="{00000000-0005-0000-0000-00001D040000}"/>
    <cellStyle name="dp*SheetSubTitle 2 2 2 3 4 3" xfId="15592" xr:uid="{00000000-0005-0000-0000-00001D040000}"/>
    <cellStyle name="dp*SheetSubTitle 2 2 2 3 4 3 2" xfId="33983" xr:uid="{00000000-0005-0000-0000-00001D040000}"/>
    <cellStyle name="dp*SheetSubTitle 2 2 2 3 4 3 3" xfId="52346" xr:uid="{00000000-0005-0000-0000-00001D040000}"/>
    <cellStyle name="dp*SheetSubTitle 2 2 2 3 4 4" xfId="24714" xr:uid="{00000000-0005-0000-0000-00001D040000}"/>
    <cellStyle name="dp*SheetSubTitle 2 2 2 3 4 4 2" xfId="43083" xr:uid="{00000000-0005-0000-0000-00001D040000}"/>
    <cellStyle name="dp*SheetSubTitle 2 2 2 3 4 5" xfId="21041" xr:uid="{00000000-0005-0000-0000-00001D040000}"/>
    <cellStyle name="dp*SheetSubTitle 2 2 2 3 4 6" xfId="39430" xr:uid="{00000000-0005-0000-0000-00001D040000}"/>
    <cellStyle name="dp*SheetSubTitle 2 2 2 3 5" xfId="9069" xr:uid="{00000000-0005-0000-0000-00001D040000}"/>
    <cellStyle name="dp*SheetSubTitle 2 2 2 3 5 2" xfId="6229" xr:uid="{00000000-0005-0000-0000-00001D040000}"/>
    <cellStyle name="dp*SheetSubTitle 2 2 2 3 5 2 2" xfId="25994" xr:uid="{00000000-0005-0000-0000-00001D040000}"/>
    <cellStyle name="dp*SheetSubTitle 2 2 2 3 5 2 3" xfId="44363" xr:uid="{00000000-0005-0000-0000-00001D040000}"/>
    <cellStyle name="dp*SheetSubTitle 2 2 2 3 5 3" xfId="27795" xr:uid="{00000000-0005-0000-0000-00001D040000}"/>
    <cellStyle name="dp*SheetSubTitle 2 2 2 3 5 3 2" xfId="46158" xr:uid="{00000000-0005-0000-0000-00001D040000}"/>
    <cellStyle name="dp*SheetSubTitle 2 2 2 3 5 4" xfId="17969" xr:uid="{00000000-0005-0000-0000-00001D040000}"/>
    <cellStyle name="dp*SheetSubTitle 2 2 2 3 5 5" xfId="36377" xr:uid="{00000000-0005-0000-0000-00001D040000}"/>
    <cellStyle name="dp*SheetSubTitle 2 2 2 3 6" xfId="7988" xr:uid="{00000000-0005-0000-0000-00001D040000}"/>
    <cellStyle name="dp*SheetSubTitle 2 2 2 3 6 2" xfId="27218" xr:uid="{00000000-0005-0000-0000-00001D040000}"/>
    <cellStyle name="dp*SheetSubTitle 2 2 2 3 6 3" xfId="45583" xr:uid="{00000000-0005-0000-0000-00001D040000}"/>
    <cellStyle name="dp*SheetSubTitle 2 2 2 3 7" xfId="8870" xr:uid="{00000000-0005-0000-0000-00001D040000}"/>
    <cellStyle name="dp*SheetSubTitle 2 2 2 3 7 2" xfId="27661" xr:uid="{00000000-0005-0000-0000-00001D040000}"/>
    <cellStyle name="dp*SheetSubTitle 2 2 2 3 7 3" xfId="46024" xr:uid="{00000000-0005-0000-0000-00001D040000}"/>
    <cellStyle name="dp*SheetSubTitle 2 2 2 3 8" xfId="19074" xr:uid="{00000000-0005-0000-0000-00001D040000}"/>
    <cellStyle name="dp*SheetSubTitle 2 2 2 3 8 2" xfId="37482" xr:uid="{00000000-0005-0000-0000-00001D040000}"/>
    <cellStyle name="dp*SheetSubTitle 2 2 2 3 9" xfId="12595" xr:uid="{00000000-0005-0000-0000-00001D040000}"/>
    <cellStyle name="dp*SheetSubTitle 2 2 2 4" xfId="1785" xr:uid="{00000000-0005-0000-0000-00001E040000}"/>
    <cellStyle name="dp*SheetSubTitle 2 2 2 4 10" xfId="7817" xr:uid="{00000000-0005-0000-0000-00001E040000}"/>
    <cellStyle name="dp*SheetSubTitle 2 2 2 4 2" xfId="3682" xr:uid="{00000000-0005-0000-0000-00001E040000}"/>
    <cellStyle name="dp*SheetSubTitle 2 2 2 4 2 2" xfId="5855" xr:uid="{00000000-0005-0000-0000-00001E040000}"/>
    <cellStyle name="dp*SheetSubTitle 2 2 2 4 2 2 2" xfId="12219" xr:uid="{00000000-0005-0000-0000-00001E040000}"/>
    <cellStyle name="dp*SheetSubTitle 2 2 2 4 2 2 2 2" xfId="30666" xr:uid="{00000000-0005-0000-0000-00001E040000}"/>
    <cellStyle name="dp*SheetSubTitle 2 2 2 4 2 2 2 3" xfId="49029" xr:uid="{00000000-0005-0000-0000-00001E040000}"/>
    <cellStyle name="dp*SheetSubTitle 2 2 2 4 2 2 3" xfId="16545" xr:uid="{00000000-0005-0000-0000-00001E040000}"/>
    <cellStyle name="dp*SheetSubTitle 2 2 2 4 2 2 3 2" xfId="34917" xr:uid="{00000000-0005-0000-0000-00001E040000}"/>
    <cellStyle name="dp*SheetSubTitle 2 2 2 4 2 2 3 3" xfId="53280" xr:uid="{00000000-0005-0000-0000-00001E040000}"/>
    <cellStyle name="dp*SheetSubTitle 2 2 2 4 2 2 4" xfId="25664" xr:uid="{00000000-0005-0000-0000-00001E040000}"/>
    <cellStyle name="dp*SheetSubTitle 2 2 2 4 2 2 4 2" xfId="44033" xr:uid="{00000000-0005-0000-0000-00001E040000}"/>
    <cellStyle name="dp*SheetSubTitle 2 2 2 4 2 2 5" xfId="21985" xr:uid="{00000000-0005-0000-0000-00001E040000}"/>
    <cellStyle name="dp*SheetSubTitle 2 2 2 4 2 2 6" xfId="40364" xr:uid="{00000000-0005-0000-0000-00001E040000}"/>
    <cellStyle name="dp*SheetSubTitle 2 2 2 4 2 3" xfId="6681" xr:uid="{00000000-0005-0000-0000-00001E040000}"/>
    <cellStyle name="dp*SheetSubTitle 2 2 2 4 2 3 2" xfId="12972" xr:uid="{00000000-0005-0000-0000-00001E040000}"/>
    <cellStyle name="dp*SheetSubTitle 2 2 2 4 2 3 2 2" xfId="31398" xr:uid="{00000000-0005-0000-0000-00001E040000}"/>
    <cellStyle name="dp*SheetSubTitle 2 2 2 4 2 3 2 3" xfId="49761" xr:uid="{00000000-0005-0000-0000-00001E040000}"/>
    <cellStyle name="dp*SheetSubTitle 2 2 2 4 2 3 3" xfId="17283" xr:uid="{00000000-0005-0000-0000-00001E040000}"/>
    <cellStyle name="dp*SheetSubTitle 2 2 2 4 2 3 3 2" xfId="35631" xr:uid="{00000000-0005-0000-0000-00001E040000}"/>
    <cellStyle name="dp*SheetSubTitle 2 2 2 4 2 3 3 3" xfId="53994" xr:uid="{00000000-0005-0000-0000-00001E040000}"/>
    <cellStyle name="dp*SheetSubTitle 2 2 2 4 2 3 4" xfId="26416" xr:uid="{00000000-0005-0000-0000-00001E040000}"/>
    <cellStyle name="dp*SheetSubTitle 2 2 2 4 2 3 4 2" xfId="44785" xr:uid="{00000000-0005-0000-0000-00001E040000}"/>
    <cellStyle name="dp*SheetSubTitle 2 2 2 4 2 3 5" xfId="22709" xr:uid="{00000000-0005-0000-0000-00001E040000}"/>
    <cellStyle name="dp*SheetSubTitle 2 2 2 4 2 3 6" xfId="41078" xr:uid="{00000000-0005-0000-0000-00001E040000}"/>
    <cellStyle name="dp*SheetSubTitle 2 2 2 4 2 4" xfId="10395" xr:uid="{00000000-0005-0000-0000-00001E040000}"/>
    <cellStyle name="dp*SheetSubTitle 2 2 2 4 2 4 2" xfId="14452" xr:uid="{00000000-0005-0000-0000-00001E040000}"/>
    <cellStyle name="dp*SheetSubTitle 2 2 2 4 2 4 2 2" xfId="32868" xr:uid="{00000000-0005-0000-0000-00001E040000}"/>
    <cellStyle name="dp*SheetSubTitle 2 2 2 4 2 4 2 3" xfId="51231" xr:uid="{00000000-0005-0000-0000-00001E040000}"/>
    <cellStyle name="dp*SheetSubTitle 2 2 2 4 2 4 3" xfId="29106" xr:uid="{00000000-0005-0000-0000-00001E040000}"/>
    <cellStyle name="dp*SheetSubTitle 2 2 2 4 2 4 3 2" xfId="47469" xr:uid="{00000000-0005-0000-0000-00001E040000}"/>
    <cellStyle name="dp*SheetSubTitle 2 2 2 4 2 4 4" xfId="19909" xr:uid="{00000000-0005-0000-0000-00001E040000}"/>
    <cellStyle name="dp*SheetSubTitle 2 2 2 4 2 4 5" xfId="38315" xr:uid="{00000000-0005-0000-0000-00001E040000}"/>
    <cellStyle name="dp*SheetSubTitle 2 2 2 4 2 5" xfId="9603" xr:uid="{00000000-0005-0000-0000-00001E040000}"/>
    <cellStyle name="dp*SheetSubTitle 2 2 2 4 2 5 2" xfId="28320" xr:uid="{00000000-0005-0000-0000-00001E040000}"/>
    <cellStyle name="dp*SheetSubTitle 2 2 2 4 2 5 3" xfId="46683" xr:uid="{00000000-0005-0000-0000-00001E040000}"/>
    <cellStyle name="dp*SheetSubTitle 2 2 2 4 2 6" xfId="13661" xr:uid="{00000000-0005-0000-0000-00001E040000}"/>
    <cellStyle name="dp*SheetSubTitle 2 2 2 4 2 6 2" xfId="32082" xr:uid="{00000000-0005-0000-0000-00001E040000}"/>
    <cellStyle name="dp*SheetSubTitle 2 2 2 4 2 6 3" xfId="50445" xr:uid="{00000000-0005-0000-0000-00001E040000}"/>
    <cellStyle name="dp*SheetSubTitle 2 2 2 4 2 7" xfId="23590" xr:uid="{00000000-0005-0000-0000-00001E040000}"/>
    <cellStyle name="dp*SheetSubTitle 2 2 2 4 2 7 2" xfId="41959" xr:uid="{00000000-0005-0000-0000-00001E040000}"/>
    <cellStyle name="dp*SheetSubTitle 2 2 2 4 2 8" xfId="18702" xr:uid="{00000000-0005-0000-0000-00001E040000}"/>
    <cellStyle name="dp*SheetSubTitle 2 2 2 4 2 9" xfId="37112" xr:uid="{00000000-0005-0000-0000-00001E040000}"/>
    <cellStyle name="dp*SheetSubTitle 2 2 2 4 3" xfId="4722" xr:uid="{00000000-0005-0000-0000-00001E040000}"/>
    <cellStyle name="dp*SheetSubTitle 2 2 2 4 3 2" xfId="11306" xr:uid="{00000000-0005-0000-0000-00001E040000}"/>
    <cellStyle name="dp*SheetSubTitle 2 2 2 4 3 2 2" xfId="29918" xr:uid="{00000000-0005-0000-0000-00001E040000}"/>
    <cellStyle name="dp*SheetSubTitle 2 2 2 4 3 2 3" xfId="48281" xr:uid="{00000000-0005-0000-0000-00001E040000}"/>
    <cellStyle name="dp*SheetSubTitle 2 2 2 4 3 3" xfId="15448" xr:uid="{00000000-0005-0000-0000-00001E040000}"/>
    <cellStyle name="dp*SheetSubTitle 2 2 2 4 3 3 2" xfId="33841" xr:uid="{00000000-0005-0000-0000-00001E040000}"/>
    <cellStyle name="dp*SheetSubTitle 2 2 2 4 3 3 3" xfId="52204" xr:uid="{00000000-0005-0000-0000-00001E040000}"/>
    <cellStyle name="dp*SheetSubTitle 2 2 2 4 3 4" xfId="24572" xr:uid="{00000000-0005-0000-0000-00001E040000}"/>
    <cellStyle name="dp*SheetSubTitle 2 2 2 4 3 4 2" xfId="42941" xr:uid="{00000000-0005-0000-0000-00001E040000}"/>
    <cellStyle name="dp*SheetSubTitle 2 2 2 4 3 5" xfId="20899" xr:uid="{00000000-0005-0000-0000-00001E040000}"/>
    <cellStyle name="dp*SheetSubTitle 2 2 2 4 3 6" xfId="39288" xr:uid="{00000000-0005-0000-0000-00001E040000}"/>
    <cellStyle name="dp*SheetSubTitle 2 2 2 4 4" xfId="5287" xr:uid="{00000000-0005-0000-0000-00001E040000}"/>
    <cellStyle name="dp*SheetSubTitle 2 2 2 4 4 2" xfId="11742" xr:uid="{00000000-0005-0000-0000-00001E040000}"/>
    <cellStyle name="dp*SheetSubTitle 2 2 2 4 4 2 2" xfId="30245" xr:uid="{00000000-0005-0000-0000-00001E040000}"/>
    <cellStyle name="dp*SheetSubTitle 2 2 2 4 4 2 3" xfId="48608" xr:uid="{00000000-0005-0000-0000-00001E040000}"/>
    <cellStyle name="dp*SheetSubTitle 2 2 2 4 4 3" xfId="15979" xr:uid="{00000000-0005-0000-0000-00001E040000}"/>
    <cellStyle name="dp*SheetSubTitle 2 2 2 4 4 3 2" xfId="34353" xr:uid="{00000000-0005-0000-0000-00001E040000}"/>
    <cellStyle name="dp*SheetSubTitle 2 2 2 4 4 3 3" xfId="52716" xr:uid="{00000000-0005-0000-0000-00001E040000}"/>
    <cellStyle name="dp*SheetSubTitle 2 2 2 4 4 4" xfId="25100" xr:uid="{00000000-0005-0000-0000-00001E040000}"/>
    <cellStyle name="dp*SheetSubTitle 2 2 2 4 4 4 2" xfId="43469" xr:uid="{00000000-0005-0000-0000-00001E040000}"/>
    <cellStyle name="dp*SheetSubTitle 2 2 2 4 4 5" xfId="21421" xr:uid="{00000000-0005-0000-0000-00001E040000}"/>
    <cellStyle name="dp*SheetSubTitle 2 2 2 4 4 6" xfId="39800" xr:uid="{00000000-0005-0000-0000-00001E040000}"/>
    <cellStyle name="dp*SheetSubTitle 2 2 2 4 5" xfId="9793" xr:uid="{00000000-0005-0000-0000-00001E040000}"/>
    <cellStyle name="dp*SheetSubTitle 2 2 2 4 5 2" xfId="13850" xr:uid="{00000000-0005-0000-0000-00001E040000}"/>
    <cellStyle name="dp*SheetSubTitle 2 2 2 4 5 2 2" xfId="32270" xr:uid="{00000000-0005-0000-0000-00001E040000}"/>
    <cellStyle name="dp*SheetSubTitle 2 2 2 4 5 2 3" xfId="50633" xr:uid="{00000000-0005-0000-0000-00001E040000}"/>
    <cellStyle name="dp*SheetSubTitle 2 2 2 4 5 3" xfId="28508" xr:uid="{00000000-0005-0000-0000-00001E040000}"/>
    <cellStyle name="dp*SheetSubTitle 2 2 2 4 5 3 2" xfId="46871" xr:uid="{00000000-0005-0000-0000-00001E040000}"/>
    <cellStyle name="dp*SheetSubTitle 2 2 2 4 5 4" xfId="19008" xr:uid="{00000000-0005-0000-0000-00001E040000}"/>
    <cellStyle name="dp*SheetSubTitle 2 2 2 4 5 5" xfId="37417" xr:uid="{00000000-0005-0000-0000-00001E040000}"/>
    <cellStyle name="dp*SheetSubTitle 2 2 2 4 6" xfId="8016" xr:uid="{00000000-0005-0000-0000-00001E040000}"/>
    <cellStyle name="dp*SheetSubTitle 2 2 2 4 6 2" xfId="27246" xr:uid="{00000000-0005-0000-0000-00001E040000}"/>
    <cellStyle name="dp*SheetSubTitle 2 2 2 4 6 3" xfId="45611" xr:uid="{00000000-0005-0000-0000-00001E040000}"/>
    <cellStyle name="dp*SheetSubTitle 2 2 2 4 7" xfId="7426" xr:uid="{00000000-0005-0000-0000-00001E040000}"/>
    <cellStyle name="dp*SheetSubTitle 2 2 2 4 7 2" xfId="26814" xr:uid="{00000000-0005-0000-0000-00001E040000}"/>
    <cellStyle name="dp*SheetSubTitle 2 2 2 4 7 3" xfId="45182" xr:uid="{00000000-0005-0000-0000-00001E040000}"/>
    <cellStyle name="dp*SheetSubTitle 2 2 2 4 8" xfId="19103" xr:uid="{00000000-0005-0000-0000-00001E040000}"/>
    <cellStyle name="dp*SheetSubTitle 2 2 2 4 8 2" xfId="37511" xr:uid="{00000000-0005-0000-0000-00001E040000}"/>
    <cellStyle name="dp*SheetSubTitle 2 2 2 4 9" xfId="8634" xr:uid="{00000000-0005-0000-0000-00001E040000}"/>
    <cellStyle name="dp*SheetSubTitle 2 2 2 5" xfId="3558" xr:uid="{00000000-0005-0000-0000-00001B040000}"/>
    <cellStyle name="dp*SheetSubTitle 2 2 2 5 2" xfId="5731" xr:uid="{00000000-0005-0000-0000-00001B040000}"/>
    <cellStyle name="dp*SheetSubTitle 2 2 2 5 2 2" xfId="12095" xr:uid="{00000000-0005-0000-0000-00001B040000}"/>
    <cellStyle name="dp*SheetSubTitle 2 2 2 5 2 2 2" xfId="30542" xr:uid="{00000000-0005-0000-0000-00001B040000}"/>
    <cellStyle name="dp*SheetSubTitle 2 2 2 5 2 2 3" xfId="48905" xr:uid="{00000000-0005-0000-0000-00001B040000}"/>
    <cellStyle name="dp*SheetSubTitle 2 2 2 5 2 3" xfId="16421" xr:uid="{00000000-0005-0000-0000-00001B040000}"/>
    <cellStyle name="dp*SheetSubTitle 2 2 2 5 2 3 2" xfId="34793" xr:uid="{00000000-0005-0000-0000-00001B040000}"/>
    <cellStyle name="dp*SheetSubTitle 2 2 2 5 2 3 3" xfId="53156" xr:uid="{00000000-0005-0000-0000-00001B040000}"/>
    <cellStyle name="dp*SheetSubTitle 2 2 2 5 2 4" xfId="25540" xr:uid="{00000000-0005-0000-0000-00001B040000}"/>
    <cellStyle name="dp*SheetSubTitle 2 2 2 5 2 4 2" xfId="43909" xr:uid="{00000000-0005-0000-0000-00001B040000}"/>
    <cellStyle name="dp*SheetSubTitle 2 2 2 5 2 5" xfId="21861" xr:uid="{00000000-0005-0000-0000-00001B040000}"/>
    <cellStyle name="dp*SheetSubTitle 2 2 2 5 2 6" xfId="40240" xr:uid="{00000000-0005-0000-0000-00001B040000}"/>
    <cellStyle name="dp*SheetSubTitle 2 2 2 5 3" xfId="6557" xr:uid="{00000000-0005-0000-0000-00001B040000}"/>
    <cellStyle name="dp*SheetSubTitle 2 2 2 5 3 2" xfId="12848" xr:uid="{00000000-0005-0000-0000-00001B040000}"/>
    <cellStyle name="dp*SheetSubTitle 2 2 2 5 3 2 2" xfId="31274" xr:uid="{00000000-0005-0000-0000-00001B040000}"/>
    <cellStyle name="dp*SheetSubTitle 2 2 2 5 3 2 3" xfId="49637" xr:uid="{00000000-0005-0000-0000-00001B040000}"/>
    <cellStyle name="dp*SheetSubTitle 2 2 2 5 3 3" xfId="17159" xr:uid="{00000000-0005-0000-0000-00001B040000}"/>
    <cellStyle name="dp*SheetSubTitle 2 2 2 5 3 3 2" xfId="35507" xr:uid="{00000000-0005-0000-0000-00001B040000}"/>
    <cellStyle name="dp*SheetSubTitle 2 2 2 5 3 3 3" xfId="53870" xr:uid="{00000000-0005-0000-0000-00001B040000}"/>
    <cellStyle name="dp*SheetSubTitle 2 2 2 5 3 4" xfId="26292" xr:uid="{00000000-0005-0000-0000-00001B040000}"/>
    <cellStyle name="dp*SheetSubTitle 2 2 2 5 3 4 2" xfId="44661" xr:uid="{00000000-0005-0000-0000-00001B040000}"/>
    <cellStyle name="dp*SheetSubTitle 2 2 2 5 3 5" xfId="22585" xr:uid="{00000000-0005-0000-0000-00001B040000}"/>
    <cellStyle name="dp*SheetSubTitle 2 2 2 5 3 6" xfId="40954" xr:uid="{00000000-0005-0000-0000-00001B040000}"/>
    <cellStyle name="dp*SheetSubTitle 2 2 2 5 4" xfId="10271" xr:uid="{00000000-0005-0000-0000-00001B040000}"/>
    <cellStyle name="dp*SheetSubTitle 2 2 2 5 4 2" xfId="14328" xr:uid="{00000000-0005-0000-0000-00001B040000}"/>
    <cellStyle name="dp*SheetSubTitle 2 2 2 5 4 2 2" xfId="32744" xr:uid="{00000000-0005-0000-0000-00001B040000}"/>
    <cellStyle name="dp*SheetSubTitle 2 2 2 5 4 2 3" xfId="51107" xr:uid="{00000000-0005-0000-0000-00001B040000}"/>
    <cellStyle name="dp*SheetSubTitle 2 2 2 5 4 3" xfId="28982" xr:uid="{00000000-0005-0000-0000-00001B040000}"/>
    <cellStyle name="dp*SheetSubTitle 2 2 2 5 4 3 2" xfId="47345" xr:uid="{00000000-0005-0000-0000-00001B040000}"/>
    <cellStyle name="dp*SheetSubTitle 2 2 2 5 4 4" xfId="19785" xr:uid="{00000000-0005-0000-0000-00001B040000}"/>
    <cellStyle name="dp*SheetSubTitle 2 2 2 5 4 5" xfId="38191" xr:uid="{00000000-0005-0000-0000-00001B040000}"/>
    <cellStyle name="dp*SheetSubTitle 2 2 2 5 5" xfId="9479" xr:uid="{00000000-0005-0000-0000-00001B040000}"/>
    <cellStyle name="dp*SheetSubTitle 2 2 2 5 5 2" xfId="28196" xr:uid="{00000000-0005-0000-0000-00001B040000}"/>
    <cellStyle name="dp*SheetSubTitle 2 2 2 5 5 3" xfId="46559" xr:uid="{00000000-0005-0000-0000-00001B040000}"/>
    <cellStyle name="dp*SheetSubTitle 2 2 2 5 6" xfId="13537" xr:uid="{00000000-0005-0000-0000-00001B040000}"/>
    <cellStyle name="dp*SheetSubTitle 2 2 2 5 6 2" xfId="31958" xr:uid="{00000000-0005-0000-0000-00001B040000}"/>
    <cellStyle name="dp*SheetSubTitle 2 2 2 5 6 3" xfId="50321" xr:uid="{00000000-0005-0000-0000-00001B040000}"/>
    <cellStyle name="dp*SheetSubTitle 2 2 2 5 7" xfId="23466" xr:uid="{00000000-0005-0000-0000-00001B040000}"/>
    <cellStyle name="dp*SheetSubTitle 2 2 2 5 7 2" xfId="41835" xr:uid="{00000000-0005-0000-0000-00001B040000}"/>
    <cellStyle name="dp*SheetSubTitle 2 2 2 5 8" xfId="18576" xr:uid="{00000000-0005-0000-0000-00001B040000}"/>
    <cellStyle name="dp*SheetSubTitle 2 2 2 5 9" xfId="36986" xr:uid="{00000000-0005-0000-0000-00001B040000}"/>
    <cellStyle name="dp*SheetSubTitle 2 2 2 6" xfId="4589" xr:uid="{00000000-0005-0000-0000-00001B040000}"/>
    <cellStyle name="dp*SheetSubTitle 2 2 2 6 2" xfId="11174" xr:uid="{00000000-0005-0000-0000-00001B040000}"/>
    <cellStyle name="dp*SheetSubTitle 2 2 2 6 2 2" xfId="29788" xr:uid="{00000000-0005-0000-0000-00001B040000}"/>
    <cellStyle name="dp*SheetSubTitle 2 2 2 6 2 3" xfId="48151" xr:uid="{00000000-0005-0000-0000-00001B040000}"/>
    <cellStyle name="dp*SheetSubTitle 2 2 2 6 3" xfId="15315" xr:uid="{00000000-0005-0000-0000-00001B040000}"/>
    <cellStyle name="dp*SheetSubTitle 2 2 2 6 3 2" xfId="33709" xr:uid="{00000000-0005-0000-0000-00001B040000}"/>
    <cellStyle name="dp*SheetSubTitle 2 2 2 6 3 3" xfId="52072" xr:uid="{00000000-0005-0000-0000-00001B040000}"/>
    <cellStyle name="dp*SheetSubTitle 2 2 2 6 4" xfId="24440" xr:uid="{00000000-0005-0000-0000-00001B040000}"/>
    <cellStyle name="dp*SheetSubTitle 2 2 2 6 4 2" xfId="42809" xr:uid="{00000000-0005-0000-0000-00001B040000}"/>
    <cellStyle name="dp*SheetSubTitle 2 2 2 6 5" xfId="20766" xr:uid="{00000000-0005-0000-0000-00001B040000}"/>
    <cellStyle name="dp*SheetSubTitle 2 2 2 6 6" xfId="39156" xr:uid="{00000000-0005-0000-0000-00001B040000}"/>
    <cellStyle name="dp*SheetSubTitle 2 2 2 7" xfId="4294" xr:uid="{00000000-0005-0000-0000-00001B040000}"/>
    <cellStyle name="dp*SheetSubTitle 2 2 2 7 2" xfId="10906" xr:uid="{00000000-0005-0000-0000-00001B040000}"/>
    <cellStyle name="dp*SheetSubTitle 2 2 2 7 2 2" xfId="29540" xr:uid="{00000000-0005-0000-0000-00001B040000}"/>
    <cellStyle name="dp*SheetSubTitle 2 2 2 7 2 3" xfId="47903" xr:uid="{00000000-0005-0000-0000-00001B040000}"/>
    <cellStyle name="dp*SheetSubTitle 2 2 2 7 3" xfId="15039" xr:uid="{00000000-0005-0000-0000-00001B040000}"/>
    <cellStyle name="dp*SheetSubTitle 2 2 2 7 3 2" xfId="33443" xr:uid="{00000000-0005-0000-0000-00001B040000}"/>
    <cellStyle name="dp*SheetSubTitle 2 2 2 7 3 3" xfId="51806" xr:uid="{00000000-0005-0000-0000-00001B040000}"/>
    <cellStyle name="dp*SheetSubTitle 2 2 2 7 4" xfId="24172" xr:uid="{00000000-0005-0000-0000-00001B040000}"/>
    <cellStyle name="dp*SheetSubTitle 2 2 2 7 4 2" xfId="42541" xr:uid="{00000000-0005-0000-0000-00001B040000}"/>
    <cellStyle name="dp*SheetSubTitle 2 2 2 7 5" xfId="20492" xr:uid="{00000000-0005-0000-0000-00001B040000}"/>
    <cellStyle name="dp*SheetSubTitle 2 2 2 7 6" xfId="38890" xr:uid="{00000000-0005-0000-0000-00001B040000}"/>
    <cellStyle name="dp*SheetSubTitle 2 2 2 8" xfId="7885" xr:uid="{00000000-0005-0000-0000-00001B040000}"/>
    <cellStyle name="dp*SheetSubTitle 2 2 2 8 2" xfId="27122" xr:uid="{00000000-0005-0000-0000-00001B040000}"/>
    <cellStyle name="dp*SheetSubTitle 2 2 2 8 3" xfId="45487" xr:uid="{00000000-0005-0000-0000-00001B040000}"/>
    <cellStyle name="dp*SheetSubTitle 2 2 2 9" xfId="7487" xr:uid="{00000000-0005-0000-0000-00001B040000}"/>
    <cellStyle name="dp*SheetSubTitle 2 2 2 9 2" xfId="26853" xr:uid="{00000000-0005-0000-0000-00001B040000}"/>
    <cellStyle name="dp*SheetSubTitle 2 2 2 9 3" xfId="45218" xr:uid="{00000000-0005-0000-0000-00001B040000}"/>
    <cellStyle name="dp*SheetSubTitle 2 2 3" xfId="1512" xr:uid="{00000000-0005-0000-0000-00001F040000}"/>
    <cellStyle name="dp*SheetSubTitle 2 2 3 10" xfId="8259" xr:uid="{00000000-0005-0000-0000-00001F040000}"/>
    <cellStyle name="dp*SheetSubTitle 2 2 3 10 2" xfId="27389" xr:uid="{00000000-0005-0000-0000-00001F040000}"/>
    <cellStyle name="dp*SheetSubTitle 2 2 3 10 3" xfId="45754" xr:uid="{00000000-0005-0000-0000-00001F040000}"/>
    <cellStyle name="dp*SheetSubTitle 2 2 3 11" xfId="7515" xr:uid="{00000000-0005-0000-0000-00001F040000}"/>
    <cellStyle name="dp*SheetSubTitle 2 2 3 12" xfId="7606" xr:uid="{00000000-0005-0000-0000-00001F040000}"/>
    <cellStyle name="dp*SheetSubTitle 2 2 3 2" xfId="1681" xr:uid="{00000000-0005-0000-0000-000020040000}"/>
    <cellStyle name="dp*SheetSubTitle 2 2 3 2 10" xfId="8184" xr:uid="{00000000-0005-0000-0000-000020040000}"/>
    <cellStyle name="dp*SheetSubTitle 2 2 3 2 2" xfId="3579" xr:uid="{00000000-0005-0000-0000-000020040000}"/>
    <cellStyle name="dp*SheetSubTitle 2 2 3 2 2 2" xfId="5752" xr:uid="{00000000-0005-0000-0000-000020040000}"/>
    <cellStyle name="dp*SheetSubTitle 2 2 3 2 2 2 2" xfId="12116" xr:uid="{00000000-0005-0000-0000-000020040000}"/>
    <cellStyle name="dp*SheetSubTitle 2 2 3 2 2 2 2 2" xfId="30563" xr:uid="{00000000-0005-0000-0000-000020040000}"/>
    <cellStyle name="dp*SheetSubTitle 2 2 3 2 2 2 2 3" xfId="48926" xr:uid="{00000000-0005-0000-0000-000020040000}"/>
    <cellStyle name="dp*SheetSubTitle 2 2 3 2 2 2 3" xfId="16442" xr:uid="{00000000-0005-0000-0000-000020040000}"/>
    <cellStyle name="dp*SheetSubTitle 2 2 3 2 2 2 3 2" xfId="34814" xr:uid="{00000000-0005-0000-0000-000020040000}"/>
    <cellStyle name="dp*SheetSubTitle 2 2 3 2 2 2 3 3" xfId="53177" xr:uid="{00000000-0005-0000-0000-000020040000}"/>
    <cellStyle name="dp*SheetSubTitle 2 2 3 2 2 2 4" xfId="25561" xr:uid="{00000000-0005-0000-0000-000020040000}"/>
    <cellStyle name="dp*SheetSubTitle 2 2 3 2 2 2 4 2" xfId="43930" xr:uid="{00000000-0005-0000-0000-000020040000}"/>
    <cellStyle name="dp*SheetSubTitle 2 2 3 2 2 2 5" xfId="21882" xr:uid="{00000000-0005-0000-0000-000020040000}"/>
    <cellStyle name="dp*SheetSubTitle 2 2 3 2 2 2 6" xfId="40261" xr:uid="{00000000-0005-0000-0000-000020040000}"/>
    <cellStyle name="dp*SheetSubTitle 2 2 3 2 2 3" xfId="6578" xr:uid="{00000000-0005-0000-0000-000020040000}"/>
    <cellStyle name="dp*SheetSubTitle 2 2 3 2 2 3 2" xfId="12869" xr:uid="{00000000-0005-0000-0000-000020040000}"/>
    <cellStyle name="dp*SheetSubTitle 2 2 3 2 2 3 2 2" xfId="31295" xr:uid="{00000000-0005-0000-0000-000020040000}"/>
    <cellStyle name="dp*SheetSubTitle 2 2 3 2 2 3 2 3" xfId="49658" xr:uid="{00000000-0005-0000-0000-000020040000}"/>
    <cellStyle name="dp*SheetSubTitle 2 2 3 2 2 3 3" xfId="17180" xr:uid="{00000000-0005-0000-0000-000020040000}"/>
    <cellStyle name="dp*SheetSubTitle 2 2 3 2 2 3 3 2" xfId="35528" xr:uid="{00000000-0005-0000-0000-000020040000}"/>
    <cellStyle name="dp*SheetSubTitle 2 2 3 2 2 3 3 3" xfId="53891" xr:uid="{00000000-0005-0000-0000-000020040000}"/>
    <cellStyle name="dp*SheetSubTitle 2 2 3 2 2 3 4" xfId="26313" xr:uid="{00000000-0005-0000-0000-000020040000}"/>
    <cellStyle name="dp*SheetSubTitle 2 2 3 2 2 3 4 2" xfId="44682" xr:uid="{00000000-0005-0000-0000-000020040000}"/>
    <cellStyle name="dp*SheetSubTitle 2 2 3 2 2 3 5" xfId="22606" xr:uid="{00000000-0005-0000-0000-000020040000}"/>
    <cellStyle name="dp*SheetSubTitle 2 2 3 2 2 3 6" xfId="40975" xr:uid="{00000000-0005-0000-0000-000020040000}"/>
    <cellStyle name="dp*SheetSubTitle 2 2 3 2 2 4" xfId="10292" xr:uid="{00000000-0005-0000-0000-000020040000}"/>
    <cellStyle name="dp*SheetSubTitle 2 2 3 2 2 4 2" xfId="14349" xr:uid="{00000000-0005-0000-0000-000020040000}"/>
    <cellStyle name="dp*SheetSubTitle 2 2 3 2 2 4 2 2" xfId="32765" xr:uid="{00000000-0005-0000-0000-000020040000}"/>
    <cellStyle name="dp*SheetSubTitle 2 2 3 2 2 4 2 3" xfId="51128" xr:uid="{00000000-0005-0000-0000-000020040000}"/>
    <cellStyle name="dp*SheetSubTitle 2 2 3 2 2 4 3" xfId="29003" xr:uid="{00000000-0005-0000-0000-000020040000}"/>
    <cellStyle name="dp*SheetSubTitle 2 2 3 2 2 4 3 2" xfId="47366" xr:uid="{00000000-0005-0000-0000-000020040000}"/>
    <cellStyle name="dp*SheetSubTitle 2 2 3 2 2 4 4" xfId="19806" xr:uid="{00000000-0005-0000-0000-000020040000}"/>
    <cellStyle name="dp*SheetSubTitle 2 2 3 2 2 4 5" xfId="38212" xr:uid="{00000000-0005-0000-0000-000020040000}"/>
    <cellStyle name="dp*SheetSubTitle 2 2 3 2 2 5" xfId="9500" xr:uid="{00000000-0005-0000-0000-000020040000}"/>
    <cellStyle name="dp*SheetSubTitle 2 2 3 2 2 5 2" xfId="28217" xr:uid="{00000000-0005-0000-0000-000020040000}"/>
    <cellStyle name="dp*SheetSubTitle 2 2 3 2 2 5 3" xfId="46580" xr:uid="{00000000-0005-0000-0000-000020040000}"/>
    <cellStyle name="dp*SheetSubTitle 2 2 3 2 2 6" xfId="13558" xr:uid="{00000000-0005-0000-0000-000020040000}"/>
    <cellStyle name="dp*SheetSubTitle 2 2 3 2 2 6 2" xfId="31979" xr:uid="{00000000-0005-0000-0000-000020040000}"/>
    <cellStyle name="dp*SheetSubTitle 2 2 3 2 2 6 3" xfId="50342" xr:uid="{00000000-0005-0000-0000-000020040000}"/>
    <cellStyle name="dp*SheetSubTitle 2 2 3 2 2 7" xfId="23487" xr:uid="{00000000-0005-0000-0000-000020040000}"/>
    <cellStyle name="dp*SheetSubTitle 2 2 3 2 2 7 2" xfId="41856" xr:uid="{00000000-0005-0000-0000-000020040000}"/>
    <cellStyle name="dp*SheetSubTitle 2 2 3 2 2 8" xfId="18598" xr:uid="{00000000-0005-0000-0000-000020040000}"/>
    <cellStyle name="dp*SheetSubTitle 2 2 3 2 2 9" xfId="37008" xr:uid="{00000000-0005-0000-0000-000020040000}"/>
    <cellStyle name="dp*SheetSubTitle 2 2 3 2 3" xfId="4620" xr:uid="{00000000-0005-0000-0000-000020040000}"/>
    <cellStyle name="dp*SheetSubTitle 2 2 3 2 3 2" xfId="11204" xr:uid="{00000000-0005-0000-0000-000020040000}"/>
    <cellStyle name="dp*SheetSubTitle 2 2 3 2 3 2 2" xfId="29816" xr:uid="{00000000-0005-0000-0000-000020040000}"/>
    <cellStyle name="dp*SheetSubTitle 2 2 3 2 3 2 3" xfId="48179" xr:uid="{00000000-0005-0000-0000-000020040000}"/>
    <cellStyle name="dp*SheetSubTitle 2 2 3 2 3 3" xfId="15346" xr:uid="{00000000-0005-0000-0000-000020040000}"/>
    <cellStyle name="dp*SheetSubTitle 2 2 3 2 3 3 2" xfId="33739" xr:uid="{00000000-0005-0000-0000-000020040000}"/>
    <cellStyle name="dp*SheetSubTitle 2 2 3 2 3 3 3" xfId="52102" xr:uid="{00000000-0005-0000-0000-000020040000}"/>
    <cellStyle name="dp*SheetSubTitle 2 2 3 2 3 4" xfId="24470" xr:uid="{00000000-0005-0000-0000-000020040000}"/>
    <cellStyle name="dp*SheetSubTitle 2 2 3 2 3 4 2" xfId="42839" xr:uid="{00000000-0005-0000-0000-000020040000}"/>
    <cellStyle name="dp*SheetSubTitle 2 2 3 2 3 5" xfId="20797" xr:uid="{00000000-0005-0000-0000-000020040000}"/>
    <cellStyle name="dp*SheetSubTitle 2 2 3 2 3 6" xfId="39186" xr:uid="{00000000-0005-0000-0000-000020040000}"/>
    <cellStyle name="dp*SheetSubTitle 2 2 3 2 4" xfId="4806" xr:uid="{00000000-0005-0000-0000-000020040000}"/>
    <cellStyle name="dp*SheetSubTitle 2 2 3 2 4 2" xfId="11367" xr:uid="{00000000-0005-0000-0000-000020040000}"/>
    <cellStyle name="dp*SheetSubTitle 2 2 3 2 4 2 2" xfId="29961" xr:uid="{00000000-0005-0000-0000-000020040000}"/>
    <cellStyle name="dp*SheetSubTitle 2 2 3 2 4 2 3" xfId="48324" xr:uid="{00000000-0005-0000-0000-000020040000}"/>
    <cellStyle name="dp*SheetSubTitle 2 2 3 2 4 3" xfId="15532" xr:uid="{00000000-0005-0000-0000-000020040000}"/>
    <cellStyle name="dp*SheetSubTitle 2 2 3 2 4 3 2" xfId="33925" xr:uid="{00000000-0005-0000-0000-000020040000}"/>
    <cellStyle name="dp*SheetSubTitle 2 2 3 2 4 3 3" xfId="52288" xr:uid="{00000000-0005-0000-0000-000020040000}"/>
    <cellStyle name="dp*SheetSubTitle 2 2 3 2 4 4" xfId="24656" xr:uid="{00000000-0005-0000-0000-000020040000}"/>
    <cellStyle name="dp*SheetSubTitle 2 2 3 2 4 4 2" xfId="43025" xr:uid="{00000000-0005-0000-0000-000020040000}"/>
    <cellStyle name="dp*SheetSubTitle 2 2 3 2 4 5" xfId="20983" xr:uid="{00000000-0005-0000-0000-000020040000}"/>
    <cellStyle name="dp*SheetSubTitle 2 2 3 2 4 6" xfId="39372" xr:uid="{00000000-0005-0000-0000-000020040000}"/>
    <cellStyle name="dp*SheetSubTitle 2 2 3 2 5" xfId="9712" xr:uid="{00000000-0005-0000-0000-000020040000}"/>
    <cellStyle name="dp*SheetSubTitle 2 2 3 2 5 2" xfId="13769" xr:uid="{00000000-0005-0000-0000-000020040000}"/>
    <cellStyle name="dp*SheetSubTitle 2 2 3 2 5 2 2" xfId="32190" xr:uid="{00000000-0005-0000-0000-000020040000}"/>
    <cellStyle name="dp*SheetSubTitle 2 2 3 2 5 2 3" xfId="50553" xr:uid="{00000000-0005-0000-0000-000020040000}"/>
    <cellStyle name="dp*SheetSubTitle 2 2 3 2 5 3" xfId="28428" xr:uid="{00000000-0005-0000-0000-000020040000}"/>
    <cellStyle name="dp*SheetSubTitle 2 2 3 2 5 3 2" xfId="46791" xr:uid="{00000000-0005-0000-0000-000020040000}"/>
    <cellStyle name="dp*SheetSubTitle 2 2 3 2 5 4" xfId="18859" xr:uid="{00000000-0005-0000-0000-000020040000}"/>
    <cellStyle name="dp*SheetSubTitle 2 2 3 2 5 5" xfId="37268" xr:uid="{00000000-0005-0000-0000-000020040000}"/>
    <cellStyle name="dp*SheetSubTitle 2 2 3 2 6" xfId="7914" xr:uid="{00000000-0005-0000-0000-000020040000}"/>
    <cellStyle name="dp*SheetSubTitle 2 2 3 2 6 2" xfId="27146" xr:uid="{00000000-0005-0000-0000-000020040000}"/>
    <cellStyle name="dp*SheetSubTitle 2 2 3 2 6 3" xfId="45511" xr:uid="{00000000-0005-0000-0000-000020040000}"/>
    <cellStyle name="dp*SheetSubTitle 2 2 3 2 7" xfId="8245" xr:uid="{00000000-0005-0000-0000-000020040000}"/>
    <cellStyle name="dp*SheetSubTitle 2 2 3 2 7 2" xfId="27382" xr:uid="{00000000-0005-0000-0000-000020040000}"/>
    <cellStyle name="dp*SheetSubTitle 2 2 3 2 7 3" xfId="45747" xr:uid="{00000000-0005-0000-0000-000020040000}"/>
    <cellStyle name="dp*SheetSubTitle 2 2 3 2 8" xfId="17906" xr:uid="{00000000-0005-0000-0000-000020040000}"/>
    <cellStyle name="dp*SheetSubTitle 2 2 3 2 8 2" xfId="36315" xr:uid="{00000000-0005-0000-0000-000020040000}"/>
    <cellStyle name="dp*SheetSubTitle 2 2 3 2 9" xfId="7532" xr:uid="{00000000-0005-0000-0000-000020040000}"/>
    <cellStyle name="dp*SheetSubTitle 2 2 3 3" xfId="1474" xr:uid="{00000000-0005-0000-0000-000021040000}"/>
    <cellStyle name="dp*SheetSubTitle 2 2 3 3 10" xfId="10773" xr:uid="{00000000-0005-0000-0000-000021040000}"/>
    <cellStyle name="dp*SheetSubTitle 2 2 3 3 2" xfId="3490" xr:uid="{00000000-0005-0000-0000-000021040000}"/>
    <cellStyle name="dp*SheetSubTitle 2 2 3 3 2 2" xfId="5665" xr:uid="{00000000-0005-0000-0000-000021040000}"/>
    <cellStyle name="dp*SheetSubTitle 2 2 3 3 2 2 2" xfId="12029" xr:uid="{00000000-0005-0000-0000-000021040000}"/>
    <cellStyle name="dp*SheetSubTitle 2 2 3 3 2 2 2 2" xfId="30476" xr:uid="{00000000-0005-0000-0000-000021040000}"/>
    <cellStyle name="dp*SheetSubTitle 2 2 3 3 2 2 2 3" xfId="48839" xr:uid="{00000000-0005-0000-0000-000021040000}"/>
    <cellStyle name="dp*SheetSubTitle 2 2 3 3 2 2 3" xfId="16355" xr:uid="{00000000-0005-0000-0000-000021040000}"/>
    <cellStyle name="dp*SheetSubTitle 2 2 3 3 2 2 3 2" xfId="34727" xr:uid="{00000000-0005-0000-0000-000021040000}"/>
    <cellStyle name="dp*SheetSubTitle 2 2 3 3 2 2 3 3" xfId="53090" xr:uid="{00000000-0005-0000-0000-000021040000}"/>
    <cellStyle name="dp*SheetSubTitle 2 2 3 3 2 2 4" xfId="25474" xr:uid="{00000000-0005-0000-0000-000021040000}"/>
    <cellStyle name="dp*SheetSubTitle 2 2 3 3 2 2 4 2" xfId="43843" xr:uid="{00000000-0005-0000-0000-000021040000}"/>
    <cellStyle name="dp*SheetSubTitle 2 2 3 3 2 2 5" xfId="21795" xr:uid="{00000000-0005-0000-0000-000021040000}"/>
    <cellStyle name="dp*SheetSubTitle 2 2 3 3 2 2 6" xfId="40174" xr:uid="{00000000-0005-0000-0000-000021040000}"/>
    <cellStyle name="dp*SheetSubTitle 2 2 3 3 2 3" xfId="6489" xr:uid="{00000000-0005-0000-0000-000021040000}"/>
    <cellStyle name="dp*SheetSubTitle 2 2 3 3 2 3 2" xfId="12780" xr:uid="{00000000-0005-0000-0000-000021040000}"/>
    <cellStyle name="dp*SheetSubTitle 2 2 3 3 2 3 2 2" xfId="31206" xr:uid="{00000000-0005-0000-0000-000021040000}"/>
    <cellStyle name="dp*SheetSubTitle 2 2 3 3 2 3 2 3" xfId="49569" xr:uid="{00000000-0005-0000-0000-000021040000}"/>
    <cellStyle name="dp*SheetSubTitle 2 2 3 3 2 3 3" xfId="17091" xr:uid="{00000000-0005-0000-0000-000021040000}"/>
    <cellStyle name="dp*SheetSubTitle 2 2 3 3 2 3 3 2" xfId="35439" xr:uid="{00000000-0005-0000-0000-000021040000}"/>
    <cellStyle name="dp*SheetSubTitle 2 2 3 3 2 3 3 3" xfId="53802" xr:uid="{00000000-0005-0000-0000-000021040000}"/>
    <cellStyle name="dp*SheetSubTitle 2 2 3 3 2 3 4" xfId="26224" xr:uid="{00000000-0005-0000-0000-000021040000}"/>
    <cellStyle name="dp*SheetSubTitle 2 2 3 3 2 3 4 2" xfId="44593" xr:uid="{00000000-0005-0000-0000-000021040000}"/>
    <cellStyle name="dp*SheetSubTitle 2 2 3 3 2 3 5" xfId="22517" xr:uid="{00000000-0005-0000-0000-000021040000}"/>
    <cellStyle name="dp*SheetSubTitle 2 2 3 3 2 3 6" xfId="40886" xr:uid="{00000000-0005-0000-0000-000021040000}"/>
    <cellStyle name="dp*SheetSubTitle 2 2 3 3 2 4" xfId="10203" xr:uid="{00000000-0005-0000-0000-000021040000}"/>
    <cellStyle name="dp*SheetSubTitle 2 2 3 3 2 4 2" xfId="14260" xr:uid="{00000000-0005-0000-0000-000021040000}"/>
    <cellStyle name="dp*SheetSubTitle 2 2 3 3 2 4 2 2" xfId="32676" xr:uid="{00000000-0005-0000-0000-000021040000}"/>
    <cellStyle name="dp*SheetSubTitle 2 2 3 3 2 4 2 3" xfId="51039" xr:uid="{00000000-0005-0000-0000-000021040000}"/>
    <cellStyle name="dp*SheetSubTitle 2 2 3 3 2 4 3" xfId="28914" xr:uid="{00000000-0005-0000-0000-000021040000}"/>
    <cellStyle name="dp*SheetSubTitle 2 2 3 3 2 4 3 2" xfId="47277" xr:uid="{00000000-0005-0000-0000-000021040000}"/>
    <cellStyle name="dp*SheetSubTitle 2 2 3 3 2 4 4" xfId="19717" xr:uid="{00000000-0005-0000-0000-000021040000}"/>
    <cellStyle name="dp*SheetSubTitle 2 2 3 3 2 4 5" xfId="38123" xr:uid="{00000000-0005-0000-0000-000021040000}"/>
    <cellStyle name="dp*SheetSubTitle 2 2 3 3 2 5" xfId="9396" xr:uid="{00000000-0005-0000-0000-000021040000}"/>
    <cellStyle name="dp*SheetSubTitle 2 2 3 3 2 5 2" xfId="28115" xr:uid="{00000000-0005-0000-0000-000021040000}"/>
    <cellStyle name="dp*SheetSubTitle 2 2 3 3 2 5 3" xfId="46478" xr:uid="{00000000-0005-0000-0000-000021040000}"/>
    <cellStyle name="dp*SheetSubTitle 2 2 3 3 2 6" xfId="13452" xr:uid="{00000000-0005-0000-0000-000021040000}"/>
    <cellStyle name="dp*SheetSubTitle 2 2 3 3 2 6 2" xfId="31873" xr:uid="{00000000-0005-0000-0000-000021040000}"/>
    <cellStyle name="dp*SheetSubTitle 2 2 3 3 2 6 3" xfId="50236" xr:uid="{00000000-0005-0000-0000-000021040000}"/>
    <cellStyle name="dp*SheetSubTitle 2 2 3 3 2 7" xfId="23398" xr:uid="{00000000-0005-0000-0000-000021040000}"/>
    <cellStyle name="dp*SheetSubTitle 2 2 3 3 2 7 2" xfId="41767" xr:uid="{00000000-0005-0000-0000-000021040000}"/>
    <cellStyle name="dp*SheetSubTitle 2 2 3 3 2 8" xfId="18479" xr:uid="{00000000-0005-0000-0000-000021040000}"/>
    <cellStyle name="dp*SheetSubTitle 2 2 3 3 2 9" xfId="36885" xr:uid="{00000000-0005-0000-0000-000021040000}"/>
    <cellStyle name="dp*SheetSubTitle 2 2 3 3 3" xfId="4489" xr:uid="{00000000-0005-0000-0000-000021040000}"/>
    <cellStyle name="dp*SheetSubTitle 2 2 3 3 3 2" xfId="11084" xr:uid="{00000000-0005-0000-0000-000021040000}"/>
    <cellStyle name="dp*SheetSubTitle 2 2 3 3 3 2 2" xfId="29704" xr:uid="{00000000-0005-0000-0000-000021040000}"/>
    <cellStyle name="dp*SheetSubTitle 2 2 3 3 3 2 3" xfId="48067" xr:uid="{00000000-0005-0000-0000-000021040000}"/>
    <cellStyle name="dp*SheetSubTitle 2 2 3 3 3 3" xfId="15223" xr:uid="{00000000-0005-0000-0000-000021040000}"/>
    <cellStyle name="dp*SheetSubTitle 2 2 3 3 3 3 2" xfId="33618" xr:uid="{00000000-0005-0000-0000-000021040000}"/>
    <cellStyle name="dp*SheetSubTitle 2 2 3 3 3 3 3" xfId="51981" xr:uid="{00000000-0005-0000-0000-000021040000}"/>
    <cellStyle name="dp*SheetSubTitle 2 2 3 3 3 4" xfId="24349" xr:uid="{00000000-0005-0000-0000-000021040000}"/>
    <cellStyle name="dp*SheetSubTitle 2 2 3 3 3 4 2" xfId="42718" xr:uid="{00000000-0005-0000-0000-000021040000}"/>
    <cellStyle name="dp*SheetSubTitle 2 2 3 3 3 5" xfId="20673" xr:uid="{00000000-0005-0000-0000-000021040000}"/>
    <cellStyle name="dp*SheetSubTitle 2 2 3 3 3 6" xfId="39065" xr:uid="{00000000-0005-0000-0000-000021040000}"/>
    <cellStyle name="dp*SheetSubTitle 2 2 3 3 4" xfId="4008" xr:uid="{00000000-0005-0000-0000-000021040000}"/>
    <cellStyle name="dp*SheetSubTitle 2 2 3 3 4 2" xfId="10712" xr:uid="{00000000-0005-0000-0000-000021040000}"/>
    <cellStyle name="dp*SheetSubTitle 2 2 3 3 4 2 2" xfId="29416" xr:uid="{00000000-0005-0000-0000-000021040000}"/>
    <cellStyle name="dp*SheetSubTitle 2 2 3 3 4 2 3" xfId="47779" xr:uid="{00000000-0005-0000-0000-000021040000}"/>
    <cellStyle name="dp*SheetSubTitle 2 2 3 3 4 3" xfId="14769" xr:uid="{00000000-0005-0000-0000-000021040000}"/>
    <cellStyle name="dp*SheetSubTitle 2 2 3 3 4 3 2" xfId="33181" xr:uid="{00000000-0005-0000-0000-000021040000}"/>
    <cellStyle name="dp*SheetSubTitle 2 2 3 3 4 3 3" xfId="51544" xr:uid="{00000000-0005-0000-0000-000021040000}"/>
    <cellStyle name="dp*SheetSubTitle 2 2 3 3 4 4" xfId="23905" xr:uid="{00000000-0005-0000-0000-000021040000}"/>
    <cellStyle name="dp*SheetSubTitle 2 2 3 3 4 4 2" xfId="42274" xr:uid="{00000000-0005-0000-0000-000021040000}"/>
    <cellStyle name="dp*SheetSubTitle 2 2 3 3 4 5" xfId="20225" xr:uid="{00000000-0005-0000-0000-000021040000}"/>
    <cellStyle name="dp*SheetSubTitle 2 2 3 3 4 6" xfId="38628" xr:uid="{00000000-0005-0000-0000-000021040000}"/>
    <cellStyle name="dp*SheetSubTitle 2 2 3 3 5" xfId="9126" xr:uid="{00000000-0005-0000-0000-000021040000}"/>
    <cellStyle name="dp*SheetSubTitle 2 2 3 3 5 2" xfId="6152" xr:uid="{00000000-0005-0000-0000-000021040000}"/>
    <cellStyle name="dp*SheetSubTitle 2 2 3 3 5 2 2" xfId="25941" xr:uid="{00000000-0005-0000-0000-000021040000}"/>
    <cellStyle name="dp*SheetSubTitle 2 2 3 3 5 2 3" xfId="44310" xr:uid="{00000000-0005-0000-0000-000021040000}"/>
    <cellStyle name="dp*SheetSubTitle 2 2 3 3 5 3" xfId="27852" xr:uid="{00000000-0005-0000-0000-000021040000}"/>
    <cellStyle name="dp*SheetSubTitle 2 2 3 3 5 3 2" xfId="46215" xr:uid="{00000000-0005-0000-0000-000021040000}"/>
    <cellStyle name="dp*SheetSubTitle 2 2 3 3 5 4" xfId="18039" xr:uid="{00000000-0005-0000-0000-000021040000}"/>
    <cellStyle name="dp*SheetSubTitle 2 2 3 3 5 5" xfId="36447" xr:uid="{00000000-0005-0000-0000-000021040000}"/>
    <cellStyle name="dp*SheetSubTitle 2 2 3 3 6" xfId="7760" xr:uid="{00000000-0005-0000-0000-000021040000}"/>
    <cellStyle name="dp*SheetSubTitle 2 2 3 3 6 2" xfId="27036" xr:uid="{00000000-0005-0000-0000-000021040000}"/>
    <cellStyle name="dp*SheetSubTitle 2 2 3 3 6 3" xfId="45401" xr:uid="{00000000-0005-0000-0000-000021040000}"/>
    <cellStyle name="dp*SheetSubTitle 2 2 3 3 7" xfId="7211" xr:uid="{00000000-0005-0000-0000-000021040000}"/>
    <cellStyle name="dp*SheetSubTitle 2 2 3 3 7 2" xfId="26754" xr:uid="{00000000-0005-0000-0000-000021040000}"/>
    <cellStyle name="dp*SheetSubTitle 2 2 3 3 7 3" xfId="45122" xr:uid="{00000000-0005-0000-0000-000021040000}"/>
    <cellStyle name="dp*SheetSubTitle 2 2 3 3 8" xfId="18089" xr:uid="{00000000-0005-0000-0000-000021040000}"/>
    <cellStyle name="dp*SheetSubTitle 2 2 3 3 8 2" xfId="36496" xr:uid="{00000000-0005-0000-0000-000021040000}"/>
    <cellStyle name="dp*SheetSubTitle 2 2 3 3 9" xfId="11774" xr:uid="{00000000-0005-0000-0000-000021040000}"/>
    <cellStyle name="dp*SheetSubTitle 2 2 3 4" xfId="1368" xr:uid="{00000000-0005-0000-0000-000022040000}"/>
    <cellStyle name="dp*SheetSubTitle 2 2 3 4 10" xfId="11761" xr:uid="{00000000-0005-0000-0000-000022040000}"/>
    <cellStyle name="dp*SheetSubTitle 2 2 3 4 2" xfId="3410" xr:uid="{00000000-0005-0000-0000-000022040000}"/>
    <cellStyle name="dp*SheetSubTitle 2 2 3 4 2 2" xfId="5585" xr:uid="{00000000-0005-0000-0000-000022040000}"/>
    <cellStyle name="dp*SheetSubTitle 2 2 3 4 2 2 2" xfId="11949" xr:uid="{00000000-0005-0000-0000-000022040000}"/>
    <cellStyle name="dp*SheetSubTitle 2 2 3 4 2 2 2 2" xfId="30396" xr:uid="{00000000-0005-0000-0000-000022040000}"/>
    <cellStyle name="dp*SheetSubTitle 2 2 3 4 2 2 2 3" xfId="48759" xr:uid="{00000000-0005-0000-0000-000022040000}"/>
    <cellStyle name="dp*SheetSubTitle 2 2 3 4 2 2 3" xfId="16275" xr:uid="{00000000-0005-0000-0000-000022040000}"/>
    <cellStyle name="dp*SheetSubTitle 2 2 3 4 2 2 3 2" xfId="34647" xr:uid="{00000000-0005-0000-0000-000022040000}"/>
    <cellStyle name="dp*SheetSubTitle 2 2 3 4 2 2 3 3" xfId="53010" xr:uid="{00000000-0005-0000-0000-000022040000}"/>
    <cellStyle name="dp*SheetSubTitle 2 2 3 4 2 2 4" xfId="25394" xr:uid="{00000000-0005-0000-0000-000022040000}"/>
    <cellStyle name="dp*SheetSubTitle 2 2 3 4 2 2 4 2" xfId="43763" xr:uid="{00000000-0005-0000-0000-000022040000}"/>
    <cellStyle name="dp*SheetSubTitle 2 2 3 4 2 2 5" xfId="21715" xr:uid="{00000000-0005-0000-0000-000022040000}"/>
    <cellStyle name="dp*SheetSubTitle 2 2 3 4 2 2 6" xfId="40094" xr:uid="{00000000-0005-0000-0000-000022040000}"/>
    <cellStyle name="dp*SheetSubTitle 2 2 3 4 2 3" xfId="6409" xr:uid="{00000000-0005-0000-0000-000022040000}"/>
    <cellStyle name="dp*SheetSubTitle 2 2 3 4 2 3 2" xfId="12700" xr:uid="{00000000-0005-0000-0000-000022040000}"/>
    <cellStyle name="dp*SheetSubTitle 2 2 3 4 2 3 2 2" xfId="31126" xr:uid="{00000000-0005-0000-0000-000022040000}"/>
    <cellStyle name="dp*SheetSubTitle 2 2 3 4 2 3 2 3" xfId="49489" xr:uid="{00000000-0005-0000-0000-000022040000}"/>
    <cellStyle name="dp*SheetSubTitle 2 2 3 4 2 3 3" xfId="17011" xr:uid="{00000000-0005-0000-0000-000022040000}"/>
    <cellStyle name="dp*SheetSubTitle 2 2 3 4 2 3 3 2" xfId="35359" xr:uid="{00000000-0005-0000-0000-000022040000}"/>
    <cellStyle name="dp*SheetSubTitle 2 2 3 4 2 3 3 3" xfId="53722" xr:uid="{00000000-0005-0000-0000-000022040000}"/>
    <cellStyle name="dp*SheetSubTitle 2 2 3 4 2 3 4" xfId="26144" xr:uid="{00000000-0005-0000-0000-000022040000}"/>
    <cellStyle name="dp*SheetSubTitle 2 2 3 4 2 3 4 2" xfId="44513" xr:uid="{00000000-0005-0000-0000-000022040000}"/>
    <cellStyle name="dp*SheetSubTitle 2 2 3 4 2 3 5" xfId="22437" xr:uid="{00000000-0005-0000-0000-000022040000}"/>
    <cellStyle name="dp*SheetSubTitle 2 2 3 4 2 3 6" xfId="40806" xr:uid="{00000000-0005-0000-0000-000022040000}"/>
    <cellStyle name="dp*SheetSubTitle 2 2 3 4 2 4" xfId="10123" xr:uid="{00000000-0005-0000-0000-000022040000}"/>
    <cellStyle name="dp*SheetSubTitle 2 2 3 4 2 4 2" xfId="14180" xr:uid="{00000000-0005-0000-0000-000022040000}"/>
    <cellStyle name="dp*SheetSubTitle 2 2 3 4 2 4 2 2" xfId="32596" xr:uid="{00000000-0005-0000-0000-000022040000}"/>
    <cellStyle name="dp*SheetSubTitle 2 2 3 4 2 4 2 3" xfId="50959" xr:uid="{00000000-0005-0000-0000-000022040000}"/>
    <cellStyle name="dp*SheetSubTitle 2 2 3 4 2 4 3" xfId="28834" xr:uid="{00000000-0005-0000-0000-000022040000}"/>
    <cellStyle name="dp*SheetSubTitle 2 2 3 4 2 4 3 2" xfId="47197" xr:uid="{00000000-0005-0000-0000-000022040000}"/>
    <cellStyle name="dp*SheetSubTitle 2 2 3 4 2 4 4" xfId="19637" xr:uid="{00000000-0005-0000-0000-000022040000}"/>
    <cellStyle name="dp*SheetSubTitle 2 2 3 4 2 4 5" xfId="38043" xr:uid="{00000000-0005-0000-0000-000022040000}"/>
    <cellStyle name="dp*SheetSubTitle 2 2 3 4 2 5" xfId="9310" xr:uid="{00000000-0005-0000-0000-000022040000}"/>
    <cellStyle name="dp*SheetSubTitle 2 2 3 4 2 5 2" xfId="28029" xr:uid="{00000000-0005-0000-0000-000022040000}"/>
    <cellStyle name="dp*SheetSubTitle 2 2 3 4 2 5 3" xfId="46392" xr:uid="{00000000-0005-0000-0000-000022040000}"/>
    <cellStyle name="dp*SheetSubTitle 2 2 3 4 2 6" xfId="13366" xr:uid="{00000000-0005-0000-0000-000022040000}"/>
    <cellStyle name="dp*SheetSubTitle 2 2 3 4 2 6 2" xfId="31787" xr:uid="{00000000-0005-0000-0000-000022040000}"/>
    <cellStyle name="dp*SheetSubTitle 2 2 3 4 2 6 3" xfId="50150" xr:uid="{00000000-0005-0000-0000-000022040000}"/>
    <cellStyle name="dp*SheetSubTitle 2 2 3 4 2 7" xfId="23318" xr:uid="{00000000-0005-0000-0000-000022040000}"/>
    <cellStyle name="dp*SheetSubTitle 2 2 3 4 2 7 2" xfId="41687" xr:uid="{00000000-0005-0000-0000-000022040000}"/>
    <cellStyle name="dp*SheetSubTitle 2 2 3 4 2 8" xfId="18386" xr:uid="{00000000-0005-0000-0000-000022040000}"/>
    <cellStyle name="dp*SheetSubTitle 2 2 3 4 2 9" xfId="36792" xr:uid="{00000000-0005-0000-0000-000022040000}"/>
    <cellStyle name="dp*SheetSubTitle 2 2 3 4 3" xfId="4401" xr:uid="{00000000-0005-0000-0000-000022040000}"/>
    <cellStyle name="dp*SheetSubTitle 2 2 3 4 3 2" xfId="11000" xr:uid="{00000000-0005-0000-0000-000022040000}"/>
    <cellStyle name="dp*SheetSubTitle 2 2 3 4 3 2 2" xfId="29622" xr:uid="{00000000-0005-0000-0000-000022040000}"/>
    <cellStyle name="dp*SheetSubTitle 2 2 3 4 3 2 3" xfId="47985" xr:uid="{00000000-0005-0000-0000-000022040000}"/>
    <cellStyle name="dp*SheetSubTitle 2 2 3 4 3 3" xfId="15136" xr:uid="{00000000-0005-0000-0000-000022040000}"/>
    <cellStyle name="dp*SheetSubTitle 2 2 3 4 3 3 2" xfId="33533" xr:uid="{00000000-0005-0000-0000-000022040000}"/>
    <cellStyle name="dp*SheetSubTitle 2 2 3 4 3 3 3" xfId="51896" xr:uid="{00000000-0005-0000-0000-000022040000}"/>
    <cellStyle name="dp*SheetSubTitle 2 2 3 4 3 4" xfId="24264" xr:uid="{00000000-0005-0000-0000-000022040000}"/>
    <cellStyle name="dp*SheetSubTitle 2 2 3 4 3 4 2" xfId="42633" xr:uid="{00000000-0005-0000-0000-000022040000}"/>
    <cellStyle name="dp*SheetSubTitle 2 2 3 4 3 5" xfId="20587" xr:uid="{00000000-0005-0000-0000-000022040000}"/>
    <cellStyle name="dp*SheetSubTitle 2 2 3 4 3 6" xfId="38980" xr:uid="{00000000-0005-0000-0000-000022040000}"/>
    <cellStyle name="dp*SheetSubTitle 2 2 3 4 4" xfId="4892" xr:uid="{00000000-0005-0000-0000-000022040000}"/>
    <cellStyle name="dp*SheetSubTitle 2 2 3 4 4 2" xfId="11448" xr:uid="{00000000-0005-0000-0000-000022040000}"/>
    <cellStyle name="dp*SheetSubTitle 2 2 3 4 4 2 2" xfId="30036" xr:uid="{00000000-0005-0000-0000-000022040000}"/>
    <cellStyle name="dp*SheetSubTitle 2 2 3 4 4 2 3" xfId="48399" xr:uid="{00000000-0005-0000-0000-000022040000}"/>
    <cellStyle name="dp*SheetSubTitle 2 2 3 4 4 3" xfId="15618" xr:uid="{00000000-0005-0000-0000-000022040000}"/>
    <cellStyle name="dp*SheetSubTitle 2 2 3 4 4 3 2" xfId="34009" xr:uid="{00000000-0005-0000-0000-000022040000}"/>
    <cellStyle name="dp*SheetSubTitle 2 2 3 4 4 3 3" xfId="52372" xr:uid="{00000000-0005-0000-0000-000022040000}"/>
    <cellStyle name="dp*SheetSubTitle 2 2 3 4 4 4" xfId="24740" xr:uid="{00000000-0005-0000-0000-000022040000}"/>
    <cellStyle name="dp*SheetSubTitle 2 2 3 4 4 4 2" xfId="43109" xr:uid="{00000000-0005-0000-0000-000022040000}"/>
    <cellStyle name="dp*SheetSubTitle 2 2 3 4 4 5" xfId="21067" xr:uid="{00000000-0005-0000-0000-000022040000}"/>
    <cellStyle name="dp*SheetSubTitle 2 2 3 4 4 6" xfId="39456" xr:uid="{00000000-0005-0000-0000-000022040000}"/>
    <cellStyle name="dp*SheetSubTitle 2 2 3 4 5" xfId="9885" xr:uid="{00000000-0005-0000-0000-000022040000}"/>
    <cellStyle name="dp*SheetSubTitle 2 2 3 4 5 2" xfId="13943" xr:uid="{00000000-0005-0000-0000-000022040000}"/>
    <cellStyle name="dp*SheetSubTitle 2 2 3 4 5 2 2" xfId="32361" xr:uid="{00000000-0005-0000-0000-000022040000}"/>
    <cellStyle name="dp*SheetSubTitle 2 2 3 4 5 2 3" xfId="50724" xr:uid="{00000000-0005-0000-0000-000022040000}"/>
    <cellStyle name="dp*SheetSubTitle 2 2 3 4 5 3" xfId="28599" xr:uid="{00000000-0005-0000-0000-000022040000}"/>
    <cellStyle name="dp*SheetSubTitle 2 2 3 4 5 3 2" xfId="46962" xr:uid="{00000000-0005-0000-0000-000022040000}"/>
    <cellStyle name="dp*SheetSubTitle 2 2 3 4 5 4" xfId="19151" xr:uid="{00000000-0005-0000-0000-000022040000}"/>
    <cellStyle name="dp*SheetSubTitle 2 2 3 4 5 5" xfId="37559" xr:uid="{00000000-0005-0000-0000-000022040000}"/>
    <cellStyle name="dp*SheetSubTitle 2 2 3 4 6" xfId="7663" xr:uid="{00000000-0005-0000-0000-000022040000}"/>
    <cellStyle name="dp*SheetSubTitle 2 2 3 4 6 2" xfId="26947" xr:uid="{00000000-0005-0000-0000-000022040000}"/>
    <cellStyle name="dp*SheetSubTitle 2 2 3 4 6 3" xfId="45312" xr:uid="{00000000-0005-0000-0000-000022040000}"/>
    <cellStyle name="dp*SheetSubTitle 2 2 3 4 7" xfId="10630" xr:uid="{00000000-0005-0000-0000-000022040000}"/>
    <cellStyle name="dp*SheetSubTitle 2 2 3 4 7 2" xfId="29340" xr:uid="{00000000-0005-0000-0000-000022040000}"/>
    <cellStyle name="dp*SheetSubTitle 2 2 3 4 7 3" xfId="47703" xr:uid="{00000000-0005-0000-0000-000022040000}"/>
    <cellStyle name="dp*SheetSubTitle 2 2 3 4 8" xfId="19429" xr:uid="{00000000-0005-0000-0000-000022040000}"/>
    <cellStyle name="dp*SheetSubTitle 2 2 3 4 8 2" xfId="37835" xr:uid="{00000000-0005-0000-0000-000022040000}"/>
    <cellStyle name="dp*SheetSubTitle 2 2 3 4 9" xfId="8555" xr:uid="{00000000-0005-0000-0000-000022040000}"/>
    <cellStyle name="dp*SheetSubTitle 2 2 3 5" xfId="3518" xr:uid="{00000000-0005-0000-0000-00001F040000}"/>
    <cellStyle name="dp*SheetSubTitle 2 2 3 5 2" xfId="5692" xr:uid="{00000000-0005-0000-0000-00001F040000}"/>
    <cellStyle name="dp*SheetSubTitle 2 2 3 5 2 2" xfId="12056" xr:uid="{00000000-0005-0000-0000-00001F040000}"/>
    <cellStyle name="dp*SheetSubTitle 2 2 3 5 2 2 2" xfId="30503" xr:uid="{00000000-0005-0000-0000-00001F040000}"/>
    <cellStyle name="dp*SheetSubTitle 2 2 3 5 2 2 3" xfId="48866" xr:uid="{00000000-0005-0000-0000-00001F040000}"/>
    <cellStyle name="dp*SheetSubTitle 2 2 3 5 2 3" xfId="16382" xr:uid="{00000000-0005-0000-0000-00001F040000}"/>
    <cellStyle name="dp*SheetSubTitle 2 2 3 5 2 3 2" xfId="34754" xr:uid="{00000000-0005-0000-0000-00001F040000}"/>
    <cellStyle name="dp*SheetSubTitle 2 2 3 5 2 3 3" xfId="53117" xr:uid="{00000000-0005-0000-0000-00001F040000}"/>
    <cellStyle name="dp*SheetSubTitle 2 2 3 5 2 4" xfId="25501" xr:uid="{00000000-0005-0000-0000-00001F040000}"/>
    <cellStyle name="dp*SheetSubTitle 2 2 3 5 2 4 2" xfId="43870" xr:uid="{00000000-0005-0000-0000-00001F040000}"/>
    <cellStyle name="dp*SheetSubTitle 2 2 3 5 2 5" xfId="21822" xr:uid="{00000000-0005-0000-0000-00001F040000}"/>
    <cellStyle name="dp*SheetSubTitle 2 2 3 5 2 6" xfId="40201" xr:uid="{00000000-0005-0000-0000-00001F040000}"/>
    <cellStyle name="dp*SheetSubTitle 2 2 3 5 3" xfId="6517" xr:uid="{00000000-0005-0000-0000-00001F040000}"/>
    <cellStyle name="dp*SheetSubTitle 2 2 3 5 3 2" xfId="12808" xr:uid="{00000000-0005-0000-0000-00001F040000}"/>
    <cellStyle name="dp*SheetSubTitle 2 2 3 5 3 2 2" xfId="31234" xr:uid="{00000000-0005-0000-0000-00001F040000}"/>
    <cellStyle name="dp*SheetSubTitle 2 2 3 5 3 2 3" xfId="49597" xr:uid="{00000000-0005-0000-0000-00001F040000}"/>
    <cellStyle name="dp*SheetSubTitle 2 2 3 5 3 3" xfId="17119" xr:uid="{00000000-0005-0000-0000-00001F040000}"/>
    <cellStyle name="dp*SheetSubTitle 2 2 3 5 3 3 2" xfId="35467" xr:uid="{00000000-0005-0000-0000-00001F040000}"/>
    <cellStyle name="dp*SheetSubTitle 2 2 3 5 3 3 3" xfId="53830" xr:uid="{00000000-0005-0000-0000-00001F040000}"/>
    <cellStyle name="dp*SheetSubTitle 2 2 3 5 3 4" xfId="26252" xr:uid="{00000000-0005-0000-0000-00001F040000}"/>
    <cellStyle name="dp*SheetSubTitle 2 2 3 5 3 4 2" xfId="44621" xr:uid="{00000000-0005-0000-0000-00001F040000}"/>
    <cellStyle name="dp*SheetSubTitle 2 2 3 5 3 5" xfId="22545" xr:uid="{00000000-0005-0000-0000-00001F040000}"/>
    <cellStyle name="dp*SheetSubTitle 2 2 3 5 3 6" xfId="40914" xr:uid="{00000000-0005-0000-0000-00001F040000}"/>
    <cellStyle name="dp*SheetSubTitle 2 2 3 5 4" xfId="10231" xr:uid="{00000000-0005-0000-0000-00001F040000}"/>
    <cellStyle name="dp*SheetSubTitle 2 2 3 5 4 2" xfId="14288" xr:uid="{00000000-0005-0000-0000-00001F040000}"/>
    <cellStyle name="dp*SheetSubTitle 2 2 3 5 4 2 2" xfId="32704" xr:uid="{00000000-0005-0000-0000-00001F040000}"/>
    <cellStyle name="dp*SheetSubTitle 2 2 3 5 4 2 3" xfId="51067" xr:uid="{00000000-0005-0000-0000-00001F040000}"/>
    <cellStyle name="dp*SheetSubTitle 2 2 3 5 4 3" xfId="28942" xr:uid="{00000000-0005-0000-0000-00001F040000}"/>
    <cellStyle name="dp*SheetSubTitle 2 2 3 5 4 3 2" xfId="47305" xr:uid="{00000000-0005-0000-0000-00001F040000}"/>
    <cellStyle name="dp*SheetSubTitle 2 2 3 5 4 4" xfId="19745" xr:uid="{00000000-0005-0000-0000-00001F040000}"/>
    <cellStyle name="dp*SheetSubTitle 2 2 3 5 4 5" xfId="38151" xr:uid="{00000000-0005-0000-0000-00001F040000}"/>
    <cellStyle name="dp*SheetSubTitle 2 2 3 5 5" xfId="9426" xr:uid="{00000000-0005-0000-0000-00001F040000}"/>
    <cellStyle name="dp*SheetSubTitle 2 2 3 5 5 2" xfId="28143" xr:uid="{00000000-0005-0000-0000-00001F040000}"/>
    <cellStyle name="dp*SheetSubTitle 2 2 3 5 5 3" xfId="46506" xr:uid="{00000000-0005-0000-0000-00001F040000}"/>
    <cellStyle name="dp*SheetSubTitle 2 2 3 5 6" xfId="13483" xr:uid="{00000000-0005-0000-0000-00001F040000}"/>
    <cellStyle name="dp*SheetSubTitle 2 2 3 5 6 2" xfId="31904" xr:uid="{00000000-0005-0000-0000-00001F040000}"/>
    <cellStyle name="dp*SheetSubTitle 2 2 3 5 6 3" xfId="50267" xr:uid="{00000000-0005-0000-0000-00001F040000}"/>
    <cellStyle name="dp*SheetSubTitle 2 2 3 5 7" xfId="23426" xr:uid="{00000000-0005-0000-0000-00001F040000}"/>
    <cellStyle name="dp*SheetSubTitle 2 2 3 5 7 2" xfId="41795" xr:uid="{00000000-0005-0000-0000-00001F040000}"/>
    <cellStyle name="dp*SheetSubTitle 2 2 3 5 8" xfId="18511" xr:uid="{00000000-0005-0000-0000-00001F040000}"/>
    <cellStyle name="dp*SheetSubTitle 2 2 3 5 9" xfId="36920" xr:uid="{00000000-0005-0000-0000-00001F040000}"/>
    <cellStyle name="dp*SheetSubTitle 2 2 3 6" xfId="4522" xr:uid="{00000000-0005-0000-0000-00001F040000}"/>
    <cellStyle name="dp*SheetSubTitle 2 2 3 6 2" xfId="11113" xr:uid="{00000000-0005-0000-0000-00001F040000}"/>
    <cellStyle name="dp*SheetSubTitle 2 2 3 6 2 2" xfId="29731" xr:uid="{00000000-0005-0000-0000-00001F040000}"/>
    <cellStyle name="dp*SheetSubTitle 2 2 3 6 2 3" xfId="48094" xr:uid="{00000000-0005-0000-0000-00001F040000}"/>
    <cellStyle name="dp*SheetSubTitle 2 2 3 6 3" xfId="15251" xr:uid="{00000000-0005-0000-0000-00001F040000}"/>
    <cellStyle name="dp*SheetSubTitle 2 2 3 6 3 2" xfId="33645" xr:uid="{00000000-0005-0000-0000-00001F040000}"/>
    <cellStyle name="dp*SheetSubTitle 2 2 3 6 3 3" xfId="52008" xr:uid="{00000000-0005-0000-0000-00001F040000}"/>
    <cellStyle name="dp*SheetSubTitle 2 2 3 6 4" xfId="24376" xr:uid="{00000000-0005-0000-0000-00001F040000}"/>
    <cellStyle name="dp*SheetSubTitle 2 2 3 6 4 2" xfId="42745" xr:uid="{00000000-0005-0000-0000-00001F040000}"/>
    <cellStyle name="dp*SheetSubTitle 2 2 3 6 5" xfId="20700" xr:uid="{00000000-0005-0000-0000-00001F040000}"/>
    <cellStyle name="dp*SheetSubTitle 2 2 3 6 6" xfId="39092" xr:uid="{00000000-0005-0000-0000-00001F040000}"/>
    <cellStyle name="dp*SheetSubTitle 2 2 3 7" xfId="3989" xr:uid="{00000000-0005-0000-0000-00001F040000}"/>
    <cellStyle name="dp*SheetSubTitle 2 2 3 7 2" xfId="10694" xr:uid="{00000000-0005-0000-0000-00001F040000}"/>
    <cellStyle name="dp*SheetSubTitle 2 2 3 7 2 2" xfId="29399" xr:uid="{00000000-0005-0000-0000-00001F040000}"/>
    <cellStyle name="dp*SheetSubTitle 2 2 3 7 2 3" xfId="47762" xr:uid="{00000000-0005-0000-0000-00001F040000}"/>
    <cellStyle name="dp*SheetSubTitle 2 2 3 7 3" xfId="14750" xr:uid="{00000000-0005-0000-0000-00001F040000}"/>
    <cellStyle name="dp*SheetSubTitle 2 2 3 7 3 2" xfId="33162" xr:uid="{00000000-0005-0000-0000-00001F040000}"/>
    <cellStyle name="dp*SheetSubTitle 2 2 3 7 3 3" xfId="51525" xr:uid="{00000000-0005-0000-0000-00001F040000}"/>
    <cellStyle name="dp*SheetSubTitle 2 2 3 7 4" xfId="23886" xr:uid="{00000000-0005-0000-0000-00001F040000}"/>
    <cellStyle name="dp*SheetSubTitle 2 2 3 7 4 2" xfId="42255" xr:uid="{00000000-0005-0000-0000-00001F040000}"/>
    <cellStyle name="dp*SheetSubTitle 2 2 3 7 5" xfId="20206" xr:uid="{00000000-0005-0000-0000-00001F040000}"/>
    <cellStyle name="dp*SheetSubTitle 2 2 3 7 6" xfId="38609" xr:uid="{00000000-0005-0000-0000-00001F040000}"/>
    <cellStyle name="dp*SheetSubTitle 2 2 3 8" xfId="9109" xr:uid="{00000000-0005-0000-0000-00001F040000}"/>
    <cellStyle name="dp*SheetSubTitle 2 2 3 8 2" xfId="5150" xr:uid="{00000000-0005-0000-0000-00001F040000}"/>
    <cellStyle name="dp*SheetSubTitle 2 2 3 8 2 2" xfId="24977" xr:uid="{00000000-0005-0000-0000-00001F040000}"/>
    <cellStyle name="dp*SheetSubTitle 2 2 3 8 2 3" xfId="43346" xr:uid="{00000000-0005-0000-0000-00001F040000}"/>
    <cellStyle name="dp*SheetSubTitle 2 2 3 8 3" xfId="27835" xr:uid="{00000000-0005-0000-0000-00001F040000}"/>
    <cellStyle name="dp*SheetSubTitle 2 2 3 8 3 2" xfId="46198" xr:uid="{00000000-0005-0000-0000-00001F040000}"/>
    <cellStyle name="dp*SheetSubTitle 2 2 3 8 4" xfId="18021" xr:uid="{00000000-0005-0000-0000-00001F040000}"/>
    <cellStyle name="dp*SheetSubTitle 2 2 3 8 5" xfId="36429" xr:uid="{00000000-0005-0000-0000-00001F040000}"/>
    <cellStyle name="dp*SheetSubTitle 2 2 3 9" xfId="7791" xr:uid="{00000000-0005-0000-0000-00001F040000}"/>
    <cellStyle name="dp*SheetSubTitle 2 2 3 9 2" xfId="27062" xr:uid="{00000000-0005-0000-0000-00001F040000}"/>
    <cellStyle name="dp*SheetSubTitle 2 2 3 9 3" xfId="45427" xr:uid="{00000000-0005-0000-0000-00001F040000}"/>
    <cellStyle name="dp*SheetSubTitle 2 2 4" xfId="1396" xr:uid="{00000000-0005-0000-0000-000023040000}"/>
    <cellStyle name="dp*SheetSubTitle 2 2 4 10" xfId="8824" xr:uid="{00000000-0005-0000-0000-000023040000}"/>
    <cellStyle name="dp*SheetSubTitle 2 2 4 2" xfId="3429" xr:uid="{00000000-0005-0000-0000-000023040000}"/>
    <cellStyle name="dp*SheetSubTitle 2 2 4 2 2" xfId="5604" xr:uid="{00000000-0005-0000-0000-000023040000}"/>
    <cellStyle name="dp*SheetSubTitle 2 2 4 2 2 2" xfId="11968" xr:uid="{00000000-0005-0000-0000-000023040000}"/>
    <cellStyle name="dp*SheetSubTitle 2 2 4 2 2 2 2" xfId="30415" xr:uid="{00000000-0005-0000-0000-000023040000}"/>
    <cellStyle name="dp*SheetSubTitle 2 2 4 2 2 2 3" xfId="48778" xr:uid="{00000000-0005-0000-0000-000023040000}"/>
    <cellStyle name="dp*SheetSubTitle 2 2 4 2 2 3" xfId="16294" xr:uid="{00000000-0005-0000-0000-000023040000}"/>
    <cellStyle name="dp*SheetSubTitle 2 2 4 2 2 3 2" xfId="34666" xr:uid="{00000000-0005-0000-0000-000023040000}"/>
    <cellStyle name="dp*SheetSubTitle 2 2 4 2 2 3 3" xfId="53029" xr:uid="{00000000-0005-0000-0000-000023040000}"/>
    <cellStyle name="dp*SheetSubTitle 2 2 4 2 2 4" xfId="25413" xr:uid="{00000000-0005-0000-0000-000023040000}"/>
    <cellStyle name="dp*SheetSubTitle 2 2 4 2 2 4 2" xfId="43782" xr:uid="{00000000-0005-0000-0000-000023040000}"/>
    <cellStyle name="dp*SheetSubTitle 2 2 4 2 2 5" xfId="21734" xr:uid="{00000000-0005-0000-0000-000023040000}"/>
    <cellStyle name="dp*SheetSubTitle 2 2 4 2 2 6" xfId="40113" xr:uid="{00000000-0005-0000-0000-000023040000}"/>
    <cellStyle name="dp*SheetSubTitle 2 2 4 2 3" xfId="6428" xr:uid="{00000000-0005-0000-0000-000023040000}"/>
    <cellStyle name="dp*SheetSubTitle 2 2 4 2 3 2" xfId="12719" xr:uid="{00000000-0005-0000-0000-000023040000}"/>
    <cellStyle name="dp*SheetSubTitle 2 2 4 2 3 2 2" xfId="31145" xr:uid="{00000000-0005-0000-0000-000023040000}"/>
    <cellStyle name="dp*SheetSubTitle 2 2 4 2 3 2 3" xfId="49508" xr:uid="{00000000-0005-0000-0000-000023040000}"/>
    <cellStyle name="dp*SheetSubTitle 2 2 4 2 3 3" xfId="17030" xr:uid="{00000000-0005-0000-0000-000023040000}"/>
    <cellStyle name="dp*SheetSubTitle 2 2 4 2 3 3 2" xfId="35378" xr:uid="{00000000-0005-0000-0000-000023040000}"/>
    <cellStyle name="dp*SheetSubTitle 2 2 4 2 3 3 3" xfId="53741" xr:uid="{00000000-0005-0000-0000-000023040000}"/>
    <cellStyle name="dp*SheetSubTitle 2 2 4 2 3 4" xfId="26163" xr:uid="{00000000-0005-0000-0000-000023040000}"/>
    <cellStyle name="dp*SheetSubTitle 2 2 4 2 3 4 2" xfId="44532" xr:uid="{00000000-0005-0000-0000-000023040000}"/>
    <cellStyle name="dp*SheetSubTitle 2 2 4 2 3 5" xfId="22456" xr:uid="{00000000-0005-0000-0000-000023040000}"/>
    <cellStyle name="dp*SheetSubTitle 2 2 4 2 3 6" xfId="40825" xr:uid="{00000000-0005-0000-0000-000023040000}"/>
    <cellStyle name="dp*SheetSubTitle 2 2 4 2 4" xfId="10142" xr:uid="{00000000-0005-0000-0000-000023040000}"/>
    <cellStyle name="dp*SheetSubTitle 2 2 4 2 4 2" xfId="14199" xr:uid="{00000000-0005-0000-0000-000023040000}"/>
    <cellStyle name="dp*SheetSubTitle 2 2 4 2 4 2 2" xfId="32615" xr:uid="{00000000-0005-0000-0000-000023040000}"/>
    <cellStyle name="dp*SheetSubTitle 2 2 4 2 4 2 3" xfId="50978" xr:uid="{00000000-0005-0000-0000-000023040000}"/>
    <cellStyle name="dp*SheetSubTitle 2 2 4 2 4 3" xfId="28853" xr:uid="{00000000-0005-0000-0000-000023040000}"/>
    <cellStyle name="dp*SheetSubTitle 2 2 4 2 4 3 2" xfId="47216" xr:uid="{00000000-0005-0000-0000-000023040000}"/>
    <cellStyle name="dp*SheetSubTitle 2 2 4 2 4 4" xfId="19656" xr:uid="{00000000-0005-0000-0000-000023040000}"/>
    <cellStyle name="dp*SheetSubTitle 2 2 4 2 4 5" xfId="38062" xr:uid="{00000000-0005-0000-0000-000023040000}"/>
    <cellStyle name="dp*SheetSubTitle 2 2 4 2 5" xfId="9329" xr:uid="{00000000-0005-0000-0000-000023040000}"/>
    <cellStyle name="dp*SheetSubTitle 2 2 4 2 5 2" xfId="28048" xr:uid="{00000000-0005-0000-0000-000023040000}"/>
    <cellStyle name="dp*SheetSubTitle 2 2 4 2 5 3" xfId="46411" xr:uid="{00000000-0005-0000-0000-000023040000}"/>
    <cellStyle name="dp*SheetSubTitle 2 2 4 2 6" xfId="13385" xr:uid="{00000000-0005-0000-0000-000023040000}"/>
    <cellStyle name="dp*SheetSubTitle 2 2 4 2 6 2" xfId="31806" xr:uid="{00000000-0005-0000-0000-000023040000}"/>
    <cellStyle name="dp*SheetSubTitle 2 2 4 2 6 3" xfId="50169" xr:uid="{00000000-0005-0000-0000-000023040000}"/>
    <cellStyle name="dp*SheetSubTitle 2 2 4 2 7" xfId="23337" xr:uid="{00000000-0005-0000-0000-000023040000}"/>
    <cellStyle name="dp*SheetSubTitle 2 2 4 2 7 2" xfId="41706" xr:uid="{00000000-0005-0000-0000-000023040000}"/>
    <cellStyle name="dp*SheetSubTitle 2 2 4 2 8" xfId="18408" xr:uid="{00000000-0005-0000-0000-000023040000}"/>
    <cellStyle name="dp*SheetSubTitle 2 2 4 2 9" xfId="36814" xr:uid="{00000000-0005-0000-0000-000023040000}"/>
    <cellStyle name="dp*SheetSubTitle 2 2 4 3" xfId="4422" xr:uid="{00000000-0005-0000-0000-000023040000}"/>
    <cellStyle name="dp*SheetSubTitle 2 2 4 3 2" xfId="11021" xr:uid="{00000000-0005-0000-0000-000023040000}"/>
    <cellStyle name="dp*SheetSubTitle 2 2 4 3 2 2" xfId="29641" xr:uid="{00000000-0005-0000-0000-000023040000}"/>
    <cellStyle name="dp*SheetSubTitle 2 2 4 3 2 3" xfId="48004" xr:uid="{00000000-0005-0000-0000-000023040000}"/>
    <cellStyle name="dp*SheetSubTitle 2 2 4 3 3" xfId="15156" xr:uid="{00000000-0005-0000-0000-000023040000}"/>
    <cellStyle name="dp*SheetSubTitle 2 2 4 3 3 2" xfId="33553" xr:uid="{00000000-0005-0000-0000-000023040000}"/>
    <cellStyle name="dp*SheetSubTitle 2 2 4 3 3 3" xfId="51916" xr:uid="{00000000-0005-0000-0000-000023040000}"/>
    <cellStyle name="dp*SheetSubTitle 2 2 4 3 4" xfId="24284" xr:uid="{00000000-0005-0000-0000-000023040000}"/>
    <cellStyle name="dp*SheetSubTitle 2 2 4 3 4 2" xfId="42653" xr:uid="{00000000-0005-0000-0000-000023040000}"/>
    <cellStyle name="dp*SheetSubTitle 2 2 4 3 5" xfId="20607" xr:uid="{00000000-0005-0000-0000-000023040000}"/>
    <cellStyle name="dp*SheetSubTitle 2 2 4 3 6" xfId="39000" xr:uid="{00000000-0005-0000-0000-000023040000}"/>
    <cellStyle name="dp*SheetSubTitle 2 2 4 4" xfId="4044" xr:uid="{00000000-0005-0000-0000-000023040000}"/>
    <cellStyle name="dp*SheetSubTitle 2 2 4 4 2" xfId="10745" xr:uid="{00000000-0005-0000-0000-000023040000}"/>
    <cellStyle name="dp*SheetSubTitle 2 2 4 4 2 2" xfId="29448" xr:uid="{00000000-0005-0000-0000-000023040000}"/>
    <cellStyle name="dp*SheetSubTitle 2 2 4 4 2 3" xfId="47811" xr:uid="{00000000-0005-0000-0000-000023040000}"/>
    <cellStyle name="dp*SheetSubTitle 2 2 4 4 3" xfId="14805" xr:uid="{00000000-0005-0000-0000-000023040000}"/>
    <cellStyle name="dp*SheetSubTitle 2 2 4 4 3 2" xfId="33217" xr:uid="{00000000-0005-0000-0000-000023040000}"/>
    <cellStyle name="dp*SheetSubTitle 2 2 4 4 3 3" xfId="51580" xr:uid="{00000000-0005-0000-0000-000023040000}"/>
    <cellStyle name="dp*SheetSubTitle 2 2 4 4 4" xfId="23941" xr:uid="{00000000-0005-0000-0000-000023040000}"/>
    <cellStyle name="dp*SheetSubTitle 2 2 4 4 4 2" xfId="42310" xr:uid="{00000000-0005-0000-0000-000023040000}"/>
    <cellStyle name="dp*SheetSubTitle 2 2 4 4 5" xfId="20261" xr:uid="{00000000-0005-0000-0000-000023040000}"/>
    <cellStyle name="dp*SheetSubTitle 2 2 4 4 6" xfId="38664" xr:uid="{00000000-0005-0000-0000-000023040000}"/>
    <cellStyle name="dp*SheetSubTitle 2 2 4 5" xfId="9227" xr:uid="{00000000-0005-0000-0000-000023040000}"/>
    <cellStyle name="dp*SheetSubTitle 2 2 4 5 2" xfId="13284" xr:uid="{00000000-0005-0000-0000-000023040000}"/>
    <cellStyle name="dp*SheetSubTitle 2 2 4 5 2 2" xfId="31705" xr:uid="{00000000-0005-0000-0000-000023040000}"/>
    <cellStyle name="dp*SheetSubTitle 2 2 4 5 2 3" xfId="50068" xr:uid="{00000000-0005-0000-0000-000023040000}"/>
    <cellStyle name="dp*SheetSubTitle 2 2 4 5 3" xfId="27947" xr:uid="{00000000-0005-0000-0000-000023040000}"/>
    <cellStyle name="dp*SheetSubTitle 2 2 4 5 3 2" xfId="46310" xr:uid="{00000000-0005-0000-0000-000023040000}"/>
    <cellStyle name="dp*SheetSubTitle 2 2 4 5 4" xfId="18275" xr:uid="{00000000-0005-0000-0000-000023040000}"/>
    <cellStyle name="dp*SheetSubTitle 2 2 4 5 5" xfId="36681" xr:uid="{00000000-0005-0000-0000-000023040000}"/>
    <cellStyle name="dp*SheetSubTitle 2 2 4 6" xfId="7688" xr:uid="{00000000-0005-0000-0000-000023040000}"/>
    <cellStyle name="dp*SheetSubTitle 2 2 4 6 2" xfId="26970" xr:uid="{00000000-0005-0000-0000-000023040000}"/>
    <cellStyle name="dp*SheetSubTitle 2 2 4 6 3" xfId="45335" xr:uid="{00000000-0005-0000-0000-000023040000}"/>
    <cellStyle name="dp*SheetSubTitle 2 2 4 7" xfId="8083" xr:uid="{00000000-0005-0000-0000-000023040000}"/>
    <cellStyle name="dp*SheetSubTitle 2 2 4 7 2" xfId="27291" xr:uid="{00000000-0005-0000-0000-000023040000}"/>
    <cellStyle name="dp*SheetSubTitle 2 2 4 7 3" xfId="45656" xr:uid="{00000000-0005-0000-0000-000023040000}"/>
    <cellStyle name="dp*SheetSubTitle 2 2 4 8" xfId="19524" xr:uid="{00000000-0005-0000-0000-000023040000}"/>
    <cellStyle name="dp*SheetSubTitle 2 2 4 8 2" xfId="37930" xr:uid="{00000000-0005-0000-0000-000023040000}"/>
    <cellStyle name="dp*SheetSubTitle 2 2 4 9" xfId="7252" xr:uid="{00000000-0005-0000-0000-000023040000}"/>
    <cellStyle name="dp*SheetSubTitle 2 2 5" xfId="3373" xr:uid="{00000000-0005-0000-0000-00001A040000}"/>
    <cellStyle name="dp*SheetSubTitle 2 2 5 2" xfId="5548" xr:uid="{00000000-0005-0000-0000-00001A040000}"/>
    <cellStyle name="dp*SheetSubTitle 2 2 5 2 2" xfId="11912" xr:uid="{00000000-0005-0000-0000-00001A040000}"/>
    <cellStyle name="dp*SheetSubTitle 2 2 5 2 2 2" xfId="30359" xr:uid="{00000000-0005-0000-0000-00001A040000}"/>
    <cellStyle name="dp*SheetSubTitle 2 2 5 2 2 3" xfId="48722" xr:uid="{00000000-0005-0000-0000-00001A040000}"/>
    <cellStyle name="dp*SheetSubTitle 2 2 5 2 3" xfId="16238" xr:uid="{00000000-0005-0000-0000-00001A040000}"/>
    <cellStyle name="dp*SheetSubTitle 2 2 5 2 3 2" xfId="34610" xr:uid="{00000000-0005-0000-0000-00001A040000}"/>
    <cellStyle name="dp*SheetSubTitle 2 2 5 2 3 3" xfId="52973" xr:uid="{00000000-0005-0000-0000-00001A040000}"/>
    <cellStyle name="dp*SheetSubTitle 2 2 5 2 4" xfId="25357" xr:uid="{00000000-0005-0000-0000-00001A040000}"/>
    <cellStyle name="dp*SheetSubTitle 2 2 5 2 4 2" xfId="43726" xr:uid="{00000000-0005-0000-0000-00001A040000}"/>
    <cellStyle name="dp*SheetSubTitle 2 2 5 2 5" xfId="21678" xr:uid="{00000000-0005-0000-0000-00001A040000}"/>
    <cellStyle name="dp*SheetSubTitle 2 2 5 2 6" xfId="40057" xr:uid="{00000000-0005-0000-0000-00001A040000}"/>
    <cellStyle name="dp*SheetSubTitle 2 2 5 3" xfId="6372" xr:uid="{00000000-0005-0000-0000-00001A040000}"/>
    <cellStyle name="dp*SheetSubTitle 2 2 5 3 2" xfId="12663" xr:uid="{00000000-0005-0000-0000-00001A040000}"/>
    <cellStyle name="dp*SheetSubTitle 2 2 5 3 2 2" xfId="31089" xr:uid="{00000000-0005-0000-0000-00001A040000}"/>
    <cellStyle name="dp*SheetSubTitle 2 2 5 3 2 3" xfId="49452" xr:uid="{00000000-0005-0000-0000-00001A040000}"/>
    <cellStyle name="dp*SheetSubTitle 2 2 5 3 3" xfId="16974" xr:uid="{00000000-0005-0000-0000-00001A040000}"/>
    <cellStyle name="dp*SheetSubTitle 2 2 5 3 3 2" xfId="35322" xr:uid="{00000000-0005-0000-0000-00001A040000}"/>
    <cellStyle name="dp*SheetSubTitle 2 2 5 3 3 3" xfId="53685" xr:uid="{00000000-0005-0000-0000-00001A040000}"/>
    <cellStyle name="dp*SheetSubTitle 2 2 5 3 4" xfId="26107" xr:uid="{00000000-0005-0000-0000-00001A040000}"/>
    <cellStyle name="dp*SheetSubTitle 2 2 5 3 4 2" xfId="44476" xr:uid="{00000000-0005-0000-0000-00001A040000}"/>
    <cellStyle name="dp*SheetSubTitle 2 2 5 3 5" xfId="22400" xr:uid="{00000000-0005-0000-0000-00001A040000}"/>
    <cellStyle name="dp*SheetSubTitle 2 2 5 3 6" xfId="40769" xr:uid="{00000000-0005-0000-0000-00001A040000}"/>
    <cellStyle name="dp*SheetSubTitle 2 2 5 4" xfId="10086" xr:uid="{00000000-0005-0000-0000-00001A040000}"/>
    <cellStyle name="dp*SheetSubTitle 2 2 5 4 2" xfId="14143" xr:uid="{00000000-0005-0000-0000-00001A040000}"/>
    <cellStyle name="dp*SheetSubTitle 2 2 5 4 2 2" xfId="32559" xr:uid="{00000000-0005-0000-0000-00001A040000}"/>
    <cellStyle name="dp*SheetSubTitle 2 2 5 4 2 3" xfId="50922" xr:uid="{00000000-0005-0000-0000-00001A040000}"/>
    <cellStyle name="dp*SheetSubTitle 2 2 5 4 3" xfId="28797" xr:uid="{00000000-0005-0000-0000-00001A040000}"/>
    <cellStyle name="dp*SheetSubTitle 2 2 5 4 3 2" xfId="47160" xr:uid="{00000000-0005-0000-0000-00001A040000}"/>
    <cellStyle name="dp*SheetSubTitle 2 2 5 4 4" xfId="19600" xr:uid="{00000000-0005-0000-0000-00001A040000}"/>
    <cellStyle name="dp*SheetSubTitle 2 2 5 4 5" xfId="38006" xr:uid="{00000000-0005-0000-0000-00001A040000}"/>
    <cellStyle name="dp*SheetSubTitle 2 2 5 5" xfId="9238" xr:uid="{00000000-0005-0000-0000-00001A040000}"/>
    <cellStyle name="dp*SheetSubTitle 2 2 5 5 2" xfId="27958" xr:uid="{00000000-0005-0000-0000-00001A040000}"/>
    <cellStyle name="dp*SheetSubTitle 2 2 5 5 3" xfId="46321" xr:uid="{00000000-0005-0000-0000-00001A040000}"/>
    <cellStyle name="dp*SheetSubTitle 2 2 5 6" xfId="13295" xr:uid="{00000000-0005-0000-0000-00001A040000}"/>
    <cellStyle name="dp*SheetSubTitle 2 2 5 6 2" xfId="31716" xr:uid="{00000000-0005-0000-0000-00001A040000}"/>
    <cellStyle name="dp*SheetSubTitle 2 2 5 6 3" xfId="50079" xr:uid="{00000000-0005-0000-0000-00001A040000}"/>
    <cellStyle name="dp*SheetSubTitle 2 2 5 7" xfId="23281" xr:uid="{00000000-0005-0000-0000-00001A040000}"/>
    <cellStyle name="dp*SheetSubTitle 2 2 5 7 2" xfId="41650" xr:uid="{00000000-0005-0000-0000-00001A040000}"/>
    <cellStyle name="dp*SheetSubTitle 2 2 5 8" xfId="18290" xr:uid="{00000000-0005-0000-0000-00001A040000}"/>
    <cellStyle name="dp*SheetSubTitle 2 2 5 9" xfId="36696" xr:uid="{00000000-0005-0000-0000-00001A040000}"/>
    <cellStyle name="dp*SheetSubTitle 2 2 6" xfId="4323" xr:uid="{00000000-0005-0000-0000-00001A040000}"/>
    <cellStyle name="dp*SheetSubTitle 2 2 6 2" xfId="10931" xr:uid="{00000000-0005-0000-0000-00001A040000}"/>
    <cellStyle name="dp*SheetSubTitle 2 2 6 2 2" xfId="29561" xr:uid="{00000000-0005-0000-0000-00001A040000}"/>
    <cellStyle name="dp*SheetSubTitle 2 2 6 2 3" xfId="47924" xr:uid="{00000000-0005-0000-0000-00001A040000}"/>
    <cellStyle name="dp*SheetSubTitle 2 2 6 3" xfId="15067" xr:uid="{00000000-0005-0000-0000-00001A040000}"/>
    <cellStyle name="dp*SheetSubTitle 2 2 6 3 2" xfId="33469" xr:uid="{00000000-0005-0000-0000-00001A040000}"/>
    <cellStyle name="dp*SheetSubTitle 2 2 6 3 3" xfId="51832" xr:uid="{00000000-0005-0000-0000-00001A040000}"/>
    <cellStyle name="dp*SheetSubTitle 2 2 6 4" xfId="24198" xr:uid="{00000000-0005-0000-0000-00001A040000}"/>
    <cellStyle name="dp*SheetSubTitle 2 2 6 4 2" xfId="42567" xr:uid="{00000000-0005-0000-0000-00001A040000}"/>
    <cellStyle name="dp*SheetSubTitle 2 2 6 5" xfId="20519" xr:uid="{00000000-0005-0000-0000-00001A040000}"/>
    <cellStyle name="dp*SheetSubTitle 2 2 6 6" xfId="38916" xr:uid="{00000000-0005-0000-0000-00001A040000}"/>
    <cellStyle name="dp*SheetSubTitle 2 2 7" xfId="54" xr:uid="{00000000-0005-0000-0000-00001A040000}"/>
    <cellStyle name="dp*SheetSubTitle 2 2 7 2" xfId="9166" xr:uid="{00000000-0005-0000-0000-00001A040000}"/>
    <cellStyle name="dp*SheetSubTitle 2 2 7 2 2" xfId="27887" xr:uid="{00000000-0005-0000-0000-00001A040000}"/>
    <cellStyle name="dp*SheetSubTitle 2 2 7 2 3" xfId="46250" xr:uid="{00000000-0005-0000-0000-00001A040000}"/>
    <cellStyle name="dp*SheetSubTitle 2 2 7 3" xfId="13224" xr:uid="{00000000-0005-0000-0000-00001A040000}"/>
    <cellStyle name="dp*SheetSubTitle 2 2 7 3 2" xfId="31645" xr:uid="{00000000-0005-0000-0000-00001A040000}"/>
    <cellStyle name="dp*SheetSubTitle 2 2 7 3 3" xfId="50008" xr:uid="{00000000-0005-0000-0000-00001A040000}"/>
    <cellStyle name="dp*SheetSubTitle 2 2 7 4" xfId="18763" xr:uid="{00000000-0005-0000-0000-00001A040000}"/>
    <cellStyle name="dp*SheetSubTitle 2 2 7 4 2" xfId="37172" xr:uid="{00000000-0005-0000-0000-00001A040000}"/>
    <cellStyle name="dp*SheetSubTitle 2 2 7 5" xfId="18158" xr:uid="{00000000-0005-0000-0000-00001A040000}"/>
    <cellStyle name="dp*SheetSubTitle 2 2 7 6" xfId="36564" xr:uid="{00000000-0005-0000-0000-00001A040000}"/>
    <cellStyle name="dp*SheetSubTitle 2 2 8" xfId="7575" xr:uid="{00000000-0005-0000-0000-00001A040000}"/>
    <cellStyle name="dp*SheetSubTitle 2 2 8 2" xfId="26883" xr:uid="{00000000-0005-0000-0000-00001A040000}"/>
    <cellStyle name="dp*SheetSubTitle 2 2 8 3" xfId="45248" xr:uid="{00000000-0005-0000-0000-00001A040000}"/>
    <cellStyle name="dp*SheetSubTitle 2 2 9" xfId="11750" xr:uid="{00000000-0005-0000-0000-00001A040000}"/>
    <cellStyle name="dp*SheetSubTitle 2 2 9 2" xfId="30252" xr:uid="{00000000-0005-0000-0000-00001A040000}"/>
    <cellStyle name="dp*SheetSubTitle 2 2 9 3" xfId="48615" xr:uid="{00000000-0005-0000-0000-00001A040000}"/>
    <cellStyle name="dp*SheetSubTitle 2 3" xfId="1440" xr:uid="{00000000-0005-0000-0000-000024040000}"/>
    <cellStyle name="dp*SheetSubTitle 2 3 10" xfId="7295" xr:uid="{00000000-0005-0000-0000-000024040000}"/>
    <cellStyle name="dp*SheetSubTitle 2 3 2" xfId="3460" xr:uid="{00000000-0005-0000-0000-000024040000}"/>
    <cellStyle name="dp*SheetSubTitle 2 3 2 2" xfId="5635" xr:uid="{00000000-0005-0000-0000-000024040000}"/>
    <cellStyle name="dp*SheetSubTitle 2 3 2 2 2" xfId="11999" xr:uid="{00000000-0005-0000-0000-000024040000}"/>
    <cellStyle name="dp*SheetSubTitle 2 3 2 2 2 2" xfId="30446" xr:uid="{00000000-0005-0000-0000-000024040000}"/>
    <cellStyle name="dp*SheetSubTitle 2 3 2 2 2 3" xfId="48809" xr:uid="{00000000-0005-0000-0000-000024040000}"/>
    <cellStyle name="dp*SheetSubTitle 2 3 2 2 3" xfId="16325" xr:uid="{00000000-0005-0000-0000-000024040000}"/>
    <cellStyle name="dp*SheetSubTitle 2 3 2 2 3 2" xfId="34697" xr:uid="{00000000-0005-0000-0000-000024040000}"/>
    <cellStyle name="dp*SheetSubTitle 2 3 2 2 3 3" xfId="53060" xr:uid="{00000000-0005-0000-0000-000024040000}"/>
    <cellStyle name="dp*SheetSubTitle 2 3 2 2 4" xfId="25444" xr:uid="{00000000-0005-0000-0000-000024040000}"/>
    <cellStyle name="dp*SheetSubTitle 2 3 2 2 4 2" xfId="43813" xr:uid="{00000000-0005-0000-0000-000024040000}"/>
    <cellStyle name="dp*SheetSubTitle 2 3 2 2 5" xfId="21765" xr:uid="{00000000-0005-0000-0000-000024040000}"/>
    <cellStyle name="dp*SheetSubTitle 2 3 2 2 6" xfId="40144" xr:uid="{00000000-0005-0000-0000-000024040000}"/>
    <cellStyle name="dp*SheetSubTitle 2 3 2 3" xfId="6459" xr:uid="{00000000-0005-0000-0000-000024040000}"/>
    <cellStyle name="dp*SheetSubTitle 2 3 2 3 2" xfId="12750" xr:uid="{00000000-0005-0000-0000-000024040000}"/>
    <cellStyle name="dp*SheetSubTitle 2 3 2 3 2 2" xfId="31176" xr:uid="{00000000-0005-0000-0000-000024040000}"/>
    <cellStyle name="dp*SheetSubTitle 2 3 2 3 2 3" xfId="49539" xr:uid="{00000000-0005-0000-0000-000024040000}"/>
    <cellStyle name="dp*SheetSubTitle 2 3 2 3 3" xfId="17061" xr:uid="{00000000-0005-0000-0000-000024040000}"/>
    <cellStyle name="dp*SheetSubTitle 2 3 2 3 3 2" xfId="35409" xr:uid="{00000000-0005-0000-0000-000024040000}"/>
    <cellStyle name="dp*SheetSubTitle 2 3 2 3 3 3" xfId="53772" xr:uid="{00000000-0005-0000-0000-000024040000}"/>
    <cellStyle name="dp*SheetSubTitle 2 3 2 3 4" xfId="26194" xr:uid="{00000000-0005-0000-0000-000024040000}"/>
    <cellStyle name="dp*SheetSubTitle 2 3 2 3 4 2" xfId="44563" xr:uid="{00000000-0005-0000-0000-000024040000}"/>
    <cellStyle name="dp*SheetSubTitle 2 3 2 3 5" xfId="22487" xr:uid="{00000000-0005-0000-0000-000024040000}"/>
    <cellStyle name="dp*SheetSubTitle 2 3 2 3 6" xfId="40856" xr:uid="{00000000-0005-0000-0000-000024040000}"/>
    <cellStyle name="dp*SheetSubTitle 2 3 2 4" xfId="10173" xr:uid="{00000000-0005-0000-0000-000024040000}"/>
    <cellStyle name="dp*SheetSubTitle 2 3 2 4 2" xfId="14230" xr:uid="{00000000-0005-0000-0000-000024040000}"/>
    <cellStyle name="dp*SheetSubTitle 2 3 2 4 2 2" xfId="32646" xr:uid="{00000000-0005-0000-0000-000024040000}"/>
    <cellStyle name="dp*SheetSubTitle 2 3 2 4 2 3" xfId="51009" xr:uid="{00000000-0005-0000-0000-000024040000}"/>
    <cellStyle name="dp*SheetSubTitle 2 3 2 4 3" xfId="28884" xr:uid="{00000000-0005-0000-0000-000024040000}"/>
    <cellStyle name="dp*SheetSubTitle 2 3 2 4 3 2" xfId="47247" xr:uid="{00000000-0005-0000-0000-000024040000}"/>
    <cellStyle name="dp*SheetSubTitle 2 3 2 4 4" xfId="19687" xr:uid="{00000000-0005-0000-0000-000024040000}"/>
    <cellStyle name="dp*SheetSubTitle 2 3 2 4 5" xfId="38093" xr:uid="{00000000-0005-0000-0000-000024040000}"/>
    <cellStyle name="dp*SheetSubTitle 2 3 2 5" xfId="9363" xr:uid="{00000000-0005-0000-0000-000024040000}"/>
    <cellStyle name="dp*SheetSubTitle 2 3 2 5 2" xfId="28082" xr:uid="{00000000-0005-0000-0000-000024040000}"/>
    <cellStyle name="dp*SheetSubTitle 2 3 2 5 3" xfId="46445" xr:uid="{00000000-0005-0000-0000-000024040000}"/>
    <cellStyle name="dp*SheetSubTitle 2 3 2 6" xfId="13419" xr:uid="{00000000-0005-0000-0000-000024040000}"/>
    <cellStyle name="dp*SheetSubTitle 2 3 2 6 2" xfId="31840" xr:uid="{00000000-0005-0000-0000-000024040000}"/>
    <cellStyle name="dp*SheetSubTitle 2 3 2 6 3" xfId="50203" xr:uid="{00000000-0005-0000-0000-000024040000}"/>
    <cellStyle name="dp*SheetSubTitle 2 3 2 7" xfId="23368" xr:uid="{00000000-0005-0000-0000-000024040000}"/>
    <cellStyle name="dp*SheetSubTitle 2 3 2 7 2" xfId="41737" xr:uid="{00000000-0005-0000-0000-000024040000}"/>
    <cellStyle name="dp*SheetSubTitle 2 3 2 8" xfId="18445" xr:uid="{00000000-0005-0000-0000-000024040000}"/>
    <cellStyle name="dp*SheetSubTitle 2 3 2 9" xfId="36851" xr:uid="{00000000-0005-0000-0000-000024040000}"/>
    <cellStyle name="dp*SheetSubTitle 2 3 3" xfId="4457" xr:uid="{00000000-0005-0000-0000-000024040000}"/>
    <cellStyle name="dp*SheetSubTitle 2 3 3 2" xfId="11054" xr:uid="{00000000-0005-0000-0000-000024040000}"/>
    <cellStyle name="dp*SheetSubTitle 2 3 3 2 2" xfId="29674" xr:uid="{00000000-0005-0000-0000-000024040000}"/>
    <cellStyle name="dp*SheetSubTitle 2 3 3 2 3" xfId="48037" xr:uid="{00000000-0005-0000-0000-000024040000}"/>
    <cellStyle name="dp*SheetSubTitle 2 3 3 3" xfId="15191" xr:uid="{00000000-0005-0000-0000-000024040000}"/>
    <cellStyle name="dp*SheetSubTitle 2 3 3 3 2" xfId="33587" xr:uid="{00000000-0005-0000-0000-000024040000}"/>
    <cellStyle name="dp*SheetSubTitle 2 3 3 3 3" xfId="51950" xr:uid="{00000000-0005-0000-0000-000024040000}"/>
    <cellStyle name="dp*SheetSubTitle 2 3 3 4" xfId="24318" xr:uid="{00000000-0005-0000-0000-000024040000}"/>
    <cellStyle name="dp*SheetSubTitle 2 3 3 4 2" xfId="42687" xr:uid="{00000000-0005-0000-0000-000024040000}"/>
    <cellStyle name="dp*SheetSubTitle 2 3 3 5" xfId="20642" xr:uid="{00000000-0005-0000-0000-000024040000}"/>
    <cellStyle name="dp*SheetSubTitle 2 3 3 6" xfId="39034" xr:uid="{00000000-0005-0000-0000-000024040000}"/>
    <cellStyle name="dp*SheetSubTitle 2 3 4" xfId="4025" xr:uid="{00000000-0005-0000-0000-000024040000}"/>
    <cellStyle name="dp*SheetSubTitle 2 3 4 2" xfId="10729" xr:uid="{00000000-0005-0000-0000-000024040000}"/>
    <cellStyle name="dp*SheetSubTitle 2 3 4 2 2" xfId="29433" xr:uid="{00000000-0005-0000-0000-000024040000}"/>
    <cellStyle name="dp*SheetSubTitle 2 3 4 2 3" xfId="47796" xr:uid="{00000000-0005-0000-0000-000024040000}"/>
    <cellStyle name="dp*SheetSubTitle 2 3 4 3" xfId="14786" xr:uid="{00000000-0005-0000-0000-000024040000}"/>
    <cellStyle name="dp*SheetSubTitle 2 3 4 3 2" xfId="33198" xr:uid="{00000000-0005-0000-0000-000024040000}"/>
    <cellStyle name="dp*SheetSubTitle 2 3 4 3 3" xfId="51561" xr:uid="{00000000-0005-0000-0000-000024040000}"/>
    <cellStyle name="dp*SheetSubTitle 2 3 4 4" xfId="23922" xr:uid="{00000000-0005-0000-0000-000024040000}"/>
    <cellStyle name="dp*SheetSubTitle 2 3 4 4 2" xfId="42291" xr:uid="{00000000-0005-0000-0000-000024040000}"/>
    <cellStyle name="dp*SheetSubTitle 2 3 4 5" xfId="20242" xr:uid="{00000000-0005-0000-0000-000024040000}"/>
    <cellStyle name="dp*SheetSubTitle 2 3 4 6" xfId="38645" xr:uid="{00000000-0005-0000-0000-000024040000}"/>
    <cellStyle name="dp*SheetSubTitle 2 3 5" xfId="9831" xr:uid="{00000000-0005-0000-0000-000024040000}"/>
    <cellStyle name="dp*SheetSubTitle 2 3 5 2" xfId="13888" xr:uid="{00000000-0005-0000-0000-000024040000}"/>
    <cellStyle name="dp*SheetSubTitle 2 3 5 2 2" xfId="32308" xr:uid="{00000000-0005-0000-0000-000024040000}"/>
    <cellStyle name="dp*SheetSubTitle 2 3 5 2 3" xfId="50671" xr:uid="{00000000-0005-0000-0000-000024040000}"/>
    <cellStyle name="dp*SheetSubTitle 2 3 5 3" xfId="28546" xr:uid="{00000000-0005-0000-0000-000024040000}"/>
    <cellStyle name="dp*SheetSubTitle 2 3 5 3 2" xfId="46909" xr:uid="{00000000-0005-0000-0000-000024040000}"/>
    <cellStyle name="dp*SheetSubTitle 2 3 5 4" xfId="19051" xr:uid="{00000000-0005-0000-0000-000024040000}"/>
    <cellStyle name="dp*SheetSubTitle 2 3 5 5" xfId="37460" xr:uid="{00000000-0005-0000-0000-000024040000}"/>
    <cellStyle name="dp*SheetSubTitle 2 3 6" xfId="7728" xr:uid="{00000000-0005-0000-0000-000024040000}"/>
    <cellStyle name="dp*SheetSubTitle 2 3 6 2" xfId="27005" xr:uid="{00000000-0005-0000-0000-000024040000}"/>
    <cellStyle name="dp*SheetSubTitle 2 3 6 3" xfId="45370" xr:uid="{00000000-0005-0000-0000-000024040000}"/>
    <cellStyle name="dp*SheetSubTitle 2 3 7" xfId="7593" xr:uid="{00000000-0005-0000-0000-000024040000}"/>
    <cellStyle name="dp*SheetSubTitle 2 3 7 2" xfId="26898" xr:uid="{00000000-0005-0000-0000-000024040000}"/>
    <cellStyle name="dp*SheetSubTitle 2 3 7 3" xfId="45263" xr:uid="{00000000-0005-0000-0000-000024040000}"/>
    <cellStyle name="dp*SheetSubTitle 2 3 8" xfId="18877" xr:uid="{00000000-0005-0000-0000-000024040000}"/>
    <cellStyle name="dp*SheetSubTitle 2 3 8 2" xfId="37286" xr:uid="{00000000-0005-0000-0000-000024040000}"/>
    <cellStyle name="dp*SheetSubTitle 2 3 9" xfId="10884" xr:uid="{00000000-0005-0000-0000-000024040000}"/>
    <cellStyle name="dp*SheetSubTitle 2 4" xfId="1907" xr:uid="{00000000-0005-0000-0000-000025040000}"/>
    <cellStyle name="dp*SheetSubTitle 2 4 10" xfId="7654" xr:uid="{00000000-0005-0000-0000-000025040000}"/>
    <cellStyle name="dp*SheetSubTitle 2 4 2" xfId="3725" xr:uid="{00000000-0005-0000-0000-000025040000}"/>
    <cellStyle name="dp*SheetSubTitle 2 4 2 2" xfId="5898" xr:uid="{00000000-0005-0000-0000-000025040000}"/>
    <cellStyle name="dp*SheetSubTitle 2 4 2 2 2" xfId="12262" xr:uid="{00000000-0005-0000-0000-000025040000}"/>
    <cellStyle name="dp*SheetSubTitle 2 4 2 2 2 2" xfId="30709" xr:uid="{00000000-0005-0000-0000-000025040000}"/>
    <cellStyle name="dp*SheetSubTitle 2 4 2 2 2 3" xfId="49072" xr:uid="{00000000-0005-0000-0000-000025040000}"/>
    <cellStyle name="dp*SheetSubTitle 2 4 2 2 3" xfId="16588" xr:uid="{00000000-0005-0000-0000-000025040000}"/>
    <cellStyle name="dp*SheetSubTitle 2 4 2 2 3 2" xfId="34960" xr:uid="{00000000-0005-0000-0000-000025040000}"/>
    <cellStyle name="dp*SheetSubTitle 2 4 2 2 3 3" xfId="53323" xr:uid="{00000000-0005-0000-0000-000025040000}"/>
    <cellStyle name="dp*SheetSubTitle 2 4 2 2 4" xfId="25707" xr:uid="{00000000-0005-0000-0000-000025040000}"/>
    <cellStyle name="dp*SheetSubTitle 2 4 2 2 4 2" xfId="44076" xr:uid="{00000000-0005-0000-0000-000025040000}"/>
    <cellStyle name="dp*SheetSubTitle 2 4 2 2 5" xfId="22028" xr:uid="{00000000-0005-0000-0000-000025040000}"/>
    <cellStyle name="dp*SheetSubTitle 2 4 2 2 6" xfId="40407" xr:uid="{00000000-0005-0000-0000-000025040000}"/>
    <cellStyle name="dp*SheetSubTitle 2 4 2 3" xfId="6724" xr:uid="{00000000-0005-0000-0000-000025040000}"/>
    <cellStyle name="dp*SheetSubTitle 2 4 2 3 2" xfId="13015" xr:uid="{00000000-0005-0000-0000-000025040000}"/>
    <cellStyle name="dp*SheetSubTitle 2 4 2 3 2 2" xfId="31441" xr:uid="{00000000-0005-0000-0000-000025040000}"/>
    <cellStyle name="dp*SheetSubTitle 2 4 2 3 2 3" xfId="49804" xr:uid="{00000000-0005-0000-0000-000025040000}"/>
    <cellStyle name="dp*SheetSubTitle 2 4 2 3 3" xfId="17326" xr:uid="{00000000-0005-0000-0000-000025040000}"/>
    <cellStyle name="dp*SheetSubTitle 2 4 2 3 3 2" xfId="35674" xr:uid="{00000000-0005-0000-0000-000025040000}"/>
    <cellStyle name="dp*SheetSubTitle 2 4 2 3 3 3" xfId="54037" xr:uid="{00000000-0005-0000-0000-000025040000}"/>
    <cellStyle name="dp*SheetSubTitle 2 4 2 3 4" xfId="26459" xr:uid="{00000000-0005-0000-0000-000025040000}"/>
    <cellStyle name="dp*SheetSubTitle 2 4 2 3 4 2" xfId="44828" xr:uid="{00000000-0005-0000-0000-000025040000}"/>
    <cellStyle name="dp*SheetSubTitle 2 4 2 3 5" xfId="22752" xr:uid="{00000000-0005-0000-0000-000025040000}"/>
    <cellStyle name="dp*SheetSubTitle 2 4 2 3 6" xfId="41121" xr:uid="{00000000-0005-0000-0000-000025040000}"/>
    <cellStyle name="dp*SheetSubTitle 2 4 2 4" xfId="10438" xr:uid="{00000000-0005-0000-0000-000025040000}"/>
    <cellStyle name="dp*SheetSubTitle 2 4 2 4 2" xfId="14495" xr:uid="{00000000-0005-0000-0000-000025040000}"/>
    <cellStyle name="dp*SheetSubTitle 2 4 2 4 2 2" xfId="32911" xr:uid="{00000000-0005-0000-0000-000025040000}"/>
    <cellStyle name="dp*SheetSubTitle 2 4 2 4 2 3" xfId="51274" xr:uid="{00000000-0005-0000-0000-000025040000}"/>
    <cellStyle name="dp*SheetSubTitle 2 4 2 4 3" xfId="29149" xr:uid="{00000000-0005-0000-0000-000025040000}"/>
    <cellStyle name="dp*SheetSubTitle 2 4 2 4 3 2" xfId="47512" xr:uid="{00000000-0005-0000-0000-000025040000}"/>
    <cellStyle name="dp*SheetSubTitle 2 4 2 4 4" xfId="19952" xr:uid="{00000000-0005-0000-0000-000025040000}"/>
    <cellStyle name="dp*SheetSubTitle 2 4 2 4 5" xfId="38358" xr:uid="{00000000-0005-0000-0000-000025040000}"/>
    <cellStyle name="dp*SheetSubTitle 2 4 2 5" xfId="9654" xr:uid="{00000000-0005-0000-0000-000025040000}"/>
    <cellStyle name="dp*SheetSubTitle 2 4 2 5 2" xfId="28370" xr:uid="{00000000-0005-0000-0000-000025040000}"/>
    <cellStyle name="dp*SheetSubTitle 2 4 2 5 3" xfId="46733" xr:uid="{00000000-0005-0000-0000-000025040000}"/>
    <cellStyle name="dp*SheetSubTitle 2 4 2 6" xfId="13711" xr:uid="{00000000-0005-0000-0000-000025040000}"/>
    <cellStyle name="dp*SheetSubTitle 2 4 2 6 2" xfId="32132" xr:uid="{00000000-0005-0000-0000-000025040000}"/>
    <cellStyle name="dp*SheetSubTitle 2 4 2 6 3" xfId="50495" xr:uid="{00000000-0005-0000-0000-000025040000}"/>
    <cellStyle name="dp*SheetSubTitle 2 4 2 7" xfId="23633" xr:uid="{00000000-0005-0000-0000-000025040000}"/>
    <cellStyle name="dp*SheetSubTitle 2 4 2 7 2" xfId="42002" xr:uid="{00000000-0005-0000-0000-000025040000}"/>
    <cellStyle name="dp*SheetSubTitle 2 4 2 8" xfId="18779" xr:uid="{00000000-0005-0000-0000-000025040000}"/>
    <cellStyle name="dp*SheetSubTitle 2 4 2 9" xfId="37188" xr:uid="{00000000-0005-0000-0000-000025040000}"/>
    <cellStyle name="dp*SheetSubTitle 2 4 3" xfId="4818" xr:uid="{00000000-0005-0000-0000-000025040000}"/>
    <cellStyle name="dp*SheetSubTitle 2 4 3 2" xfId="11379" xr:uid="{00000000-0005-0000-0000-000025040000}"/>
    <cellStyle name="dp*SheetSubTitle 2 4 3 2 2" xfId="29971" xr:uid="{00000000-0005-0000-0000-000025040000}"/>
    <cellStyle name="dp*SheetSubTitle 2 4 3 2 3" xfId="48334" xr:uid="{00000000-0005-0000-0000-000025040000}"/>
    <cellStyle name="dp*SheetSubTitle 2 4 3 3" xfId="15544" xr:uid="{00000000-0005-0000-0000-000025040000}"/>
    <cellStyle name="dp*SheetSubTitle 2 4 3 3 2" xfId="33937" xr:uid="{00000000-0005-0000-0000-000025040000}"/>
    <cellStyle name="dp*SheetSubTitle 2 4 3 3 3" xfId="52300" xr:uid="{00000000-0005-0000-0000-000025040000}"/>
    <cellStyle name="dp*SheetSubTitle 2 4 3 4" xfId="24668" xr:uid="{00000000-0005-0000-0000-000025040000}"/>
    <cellStyle name="dp*SheetSubTitle 2 4 3 4 2" xfId="43037" xr:uid="{00000000-0005-0000-0000-000025040000}"/>
    <cellStyle name="dp*SheetSubTitle 2 4 3 5" xfId="20995" xr:uid="{00000000-0005-0000-0000-000025040000}"/>
    <cellStyle name="dp*SheetSubTitle 2 4 3 6" xfId="39384" xr:uid="{00000000-0005-0000-0000-000025040000}"/>
    <cellStyle name="dp*SheetSubTitle 2 4 4" xfId="73" xr:uid="{00000000-0005-0000-0000-000025040000}"/>
    <cellStyle name="dp*SheetSubTitle 2 4 4 2" xfId="9152" xr:uid="{00000000-0005-0000-0000-000025040000}"/>
    <cellStyle name="dp*SheetSubTitle 2 4 4 2 2" xfId="27875" xr:uid="{00000000-0005-0000-0000-000025040000}"/>
    <cellStyle name="dp*SheetSubTitle 2 4 4 2 3" xfId="46238" xr:uid="{00000000-0005-0000-0000-000025040000}"/>
    <cellStyle name="dp*SheetSubTitle 2 4 4 3" xfId="13210" xr:uid="{00000000-0005-0000-0000-000025040000}"/>
    <cellStyle name="dp*SheetSubTitle 2 4 4 3 2" xfId="31633" xr:uid="{00000000-0005-0000-0000-000025040000}"/>
    <cellStyle name="dp*SheetSubTitle 2 4 4 3 3" xfId="49996" xr:uid="{00000000-0005-0000-0000-000025040000}"/>
    <cellStyle name="dp*SheetSubTitle 2 4 4 4" xfId="19556" xr:uid="{00000000-0005-0000-0000-000025040000}"/>
    <cellStyle name="dp*SheetSubTitle 2 4 4 4 2" xfId="37962" xr:uid="{00000000-0005-0000-0000-000025040000}"/>
    <cellStyle name="dp*SheetSubTitle 2 4 4 5" xfId="18145" xr:uid="{00000000-0005-0000-0000-000025040000}"/>
    <cellStyle name="dp*SheetSubTitle 2 4 4 6" xfId="36552" xr:uid="{00000000-0005-0000-0000-000025040000}"/>
    <cellStyle name="dp*SheetSubTitle 2 4 5" xfId="9196" xr:uid="{00000000-0005-0000-0000-000025040000}"/>
    <cellStyle name="dp*SheetSubTitle 2 4 5 2" xfId="13254" xr:uid="{00000000-0005-0000-0000-000025040000}"/>
    <cellStyle name="dp*SheetSubTitle 2 4 5 2 2" xfId="31675" xr:uid="{00000000-0005-0000-0000-000025040000}"/>
    <cellStyle name="dp*SheetSubTitle 2 4 5 2 3" xfId="50038" xr:uid="{00000000-0005-0000-0000-000025040000}"/>
    <cellStyle name="dp*SheetSubTitle 2 4 5 3" xfId="27917" xr:uid="{00000000-0005-0000-0000-000025040000}"/>
    <cellStyle name="dp*SheetSubTitle 2 4 5 3 2" xfId="46280" xr:uid="{00000000-0005-0000-0000-000025040000}"/>
    <cellStyle name="dp*SheetSubTitle 2 4 5 4" xfId="18212" xr:uid="{00000000-0005-0000-0000-000025040000}"/>
    <cellStyle name="dp*SheetSubTitle 2 4 5 5" xfId="36618" xr:uid="{00000000-0005-0000-0000-000025040000}"/>
    <cellStyle name="dp*SheetSubTitle 2 4 6" xfId="8106" xr:uid="{00000000-0005-0000-0000-000025040000}"/>
    <cellStyle name="dp*SheetSubTitle 2 4 6 2" xfId="27311" xr:uid="{00000000-0005-0000-0000-000025040000}"/>
    <cellStyle name="dp*SheetSubTitle 2 4 6 3" xfId="45676" xr:uid="{00000000-0005-0000-0000-000025040000}"/>
    <cellStyle name="dp*SheetSubTitle 2 4 7" xfId="8693" xr:uid="{00000000-0005-0000-0000-000025040000}"/>
    <cellStyle name="dp*SheetSubTitle 2 4 7 2" xfId="27587" xr:uid="{00000000-0005-0000-0000-000025040000}"/>
    <cellStyle name="dp*SheetSubTitle 2 4 7 3" xfId="45950" xr:uid="{00000000-0005-0000-0000-000025040000}"/>
    <cellStyle name="dp*SheetSubTitle 2 4 8" xfId="19550" xr:uid="{00000000-0005-0000-0000-000025040000}"/>
    <cellStyle name="dp*SheetSubTitle 2 4 8 2" xfId="37956" xr:uid="{00000000-0005-0000-0000-000025040000}"/>
    <cellStyle name="dp*SheetSubTitle 2 4 9" xfId="7469" xr:uid="{00000000-0005-0000-0000-000025040000}"/>
    <cellStyle name="dp*SheetSubTitle 2 5" xfId="2322" xr:uid="{00000000-0005-0000-0000-000026040000}"/>
    <cellStyle name="dp*SheetSubTitle 2 5 10" xfId="11763" xr:uid="{00000000-0005-0000-0000-000026040000}"/>
    <cellStyle name="dp*SheetSubTitle 2 5 2" xfId="3770" xr:uid="{00000000-0005-0000-0000-000026040000}"/>
    <cellStyle name="dp*SheetSubTitle 2 5 2 2" xfId="5943" xr:uid="{00000000-0005-0000-0000-000026040000}"/>
    <cellStyle name="dp*SheetSubTitle 2 5 2 2 2" xfId="12307" xr:uid="{00000000-0005-0000-0000-000026040000}"/>
    <cellStyle name="dp*SheetSubTitle 2 5 2 2 2 2" xfId="30754" xr:uid="{00000000-0005-0000-0000-000026040000}"/>
    <cellStyle name="dp*SheetSubTitle 2 5 2 2 2 3" xfId="49117" xr:uid="{00000000-0005-0000-0000-000026040000}"/>
    <cellStyle name="dp*SheetSubTitle 2 5 2 2 3" xfId="16633" xr:uid="{00000000-0005-0000-0000-000026040000}"/>
    <cellStyle name="dp*SheetSubTitle 2 5 2 2 3 2" xfId="35005" xr:uid="{00000000-0005-0000-0000-000026040000}"/>
    <cellStyle name="dp*SheetSubTitle 2 5 2 2 3 3" xfId="53368" xr:uid="{00000000-0005-0000-0000-000026040000}"/>
    <cellStyle name="dp*SheetSubTitle 2 5 2 2 4" xfId="25752" xr:uid="{00000000-0005-0000-0000-000026040000}"/>
    <cellStyle name="dp*SheetSubTitle 2 5 2 2 4 2" xfId="44121" xr:uid="{00000000-0005-0000-0000-000026040000}"/>
    <cellStyle name="dp*SheetSubTitle 2 5 2 2 5" xfId="22073" xr:uid="{00000000-0005-0000-0000-000026040000}"/>
    <cellStyle name="dp*SheetSubTitle 2 5 2 2 6" xfId="40452" xr:uid="{00000000-0005-0000-0000-000026040000}"/>
    <cellStyle name="dp*SheetSubTitle 2 5 2 3" xfId="6769" xr:uid="{00000000-0005-0000-0000-000026040000}"/>
    <cellStyle name="dp*SheetSubTitle 2 5 2 3 2" xfId="13060" xr:uid="{00000000-0005-0000-0000-000026040000}"/>
    <cellStyle name="dp*SheetSubTitle 2 5 2 3 2 2" xfId="31486" xr:uid="{00000000-0005-0000-0000-000026040000}"/>
    <cellStyle name="dp*SheetSubTitle 2 5 2 3 2 3" xfId="49849" xr:uid="{00000000-0005-0000-0000-000026040000}"/>
    <cellStyle name="dp*SheetSubTitle 2 5 2 3 3" xfId="17371" xr:uid="{00000000-0005-0000-0000-000026040000}"/>
    <cellStyle name="dp*SheetSubTitle 2 5 2 3 3 2" xfId="35719" xr:uid="{00000000-0005-0000-0000-000026040000}"/>
    <cellStyle name="dp*SheetSubTitle 2 5 2 3 3 3" xfId="54082" xr:uid="{00000000-0005-0000-0000-000026040000}"/>
    <cellStyle name="dp*SheetSubTitle 2 5 2 3 4" xfId="26504" xr:uid="{00000000-0005-0000-0000-000026040000}"/>
    <cellStyle name="dp*SheetSubTitle 2 5 2 3 4 2" xfId="44873" xr:uid="{00000000-0005-0000-0000-000026040000}"/>
    <cellStyle name="dp*SheetSubTitle 2 5 2 3 5" xfId="22797" xr:uid="{00000000-0005-0000-0000-000026040000}"/>
    <cellStyle name="dp*SheetSubTitle 2 5 2 3 6" xfId="41166" xr:uid="{00000000-0005-0000-0000-000026040000}"/>
    <cellStyle name="dp*SheetSubTitle 2 5 2 4" xfId="10483" xr:uid="{00000000-0005-0000-0000-000026040000}"/>
    <cellStyle name="dp*SheetSubTitle 2 5 2 4 2" xfId="14540" xr:uid="{00000000-0005-0000-0000-000026040000}"/>
    <cellStyle name="dp*SheetSubTitle 2 5 2 4 2 2" xfId="32956" xr:uid="{00000000-0005-0000-0000-000026040000}"/>
    <cellStyle name="dp*SheetSubTitle 2 5 2 4 2 3" xfId="51319" xr:uid="{00000000-0005-0000-0000-000026040000}"/>
    <cellStyle name="dp*SheetSubTitle 2 5 2 4 3" xfId="29194" xr:uid="{00000000-0005-0000-0000-000026040000}"/>
    <cellStyle name="dp*SheetSubTitle 2 5 2 4 3 2" xfId="47557" xr:uid="{00000000-0005-0000-0000-000026040000}"/>
    <cellStyle name="dp*SheetSubTitle 2 5 2 4 4" xfId="19997" xr:uid="{00000000-0005-0000-0000-000026040000}"/>
    <cellStyle name="dp*SheetSubTitle 2 5 2 4 5" xfId="38403" xr:uid="{00000000-0005-0000-0000-000026040000}"/>
    <cellStyle name="dp*SheetSubTitle 2 5 2 5" xfId="9754" xr:uid="{00000000-0005-0000-0000-000026040000}"/>
    <cellStyle name="dp*SheetSubTitle 2 5 2 5 2" xfId="28469" xr:uid="{00000000-0005-0000-0000-000026040000}"/>
    <cellStyle name="dp*SheetSubTitle 2 5 2 5 3" xfId="46832" xr:uid="{00000000-0005-0000-0000-000026040000}"/>
    <cellStyle name="dp*SheetSubTitle 2 5 2 6" xfId="13811" xr:uid="{00000000-0005-0000-0000-000026040000}"/>
    <cellStyle name="dp*SheetSubTitle 2 5 2 6 2" xfId="32231" xr:uid="{00000000-0005-0000-0000-000026040000}"/>
    <cellStyle name="dp*SheetSubTitle 2 5 2 6 3" xfId="50594" xr:uid="{00000000-0005-0000-0000-000026040000}"/>
    <cellStyle name="dp*SheetSubTitle 2 5 2 7" xfId="23678" xr:uid="{00000000-0005-0000-0000-000026040000}"/>
    <cellStyle name="dp*SheetSubTitle 2 5 2 7 2" xfId="42047" xr:uid="{00000000-0005-0000-0000-000026040000}"/>
    <cellStyle name="dp*SheetSubTitle 2 5 2 8" xfId="18936" xr:uid="{00000000-0005-0000-0000-000026040000}"/>
    <cellStyle name="dp*SheetSubTitle 2 5 2 9" xfId="37345" xr:uid="{00000000-0005-0000-0000-000026040000}"/>
    <cellStyle name="dp*SheetSubTitle 2 5 3" xfId="4970" xr:uid="{00000000-0005-0000-0000-000026040000}"/>
    <cellStyle name="dp*SheetSubTitle 2 5 3 2" xfId="11500" xr:uid="{00000000-0005-0000-0000-000026040000}"/>
    <cellStyle name="dp*SheetSubTitle 2 5 3 2 2" xfId="30073" xr:uid="{00000000-0005-0000-0000-000026040000}"/>
    <cellStyle name="dp*SheetSubTitle 2 5 3 2 3" xfId="48436" xr:uid="{00000000-0005-0000-0000-000026040000}"/>
    <cellStyle name="dp*SheetSubTitle 2 5 3 3" xfId="15686" xr:uid="{00000000-0005-0000-0000-000026040000}"/>
    <cellStyle name="dp*SheetSubTitle 2 5 3 3 2" xfId="34075" xr:uid="{00000000-0005-0000-0000-000026040000}"/>
    <cellStyle name="dp*SheetSubTitle 2 5 3 3 3" xfId="52438" xr:uid="{00000000-0005-0000-0000-000026040000}"/>
    <cellStyle name="dp*SheetSubTitle 2 5 3 4" xfId="24810" xr:uid="{00000000-0005-0000-0000-000026040000}"/>
    <cellStyle name="dp*SheetSubTitle 2 5 3 4 2" xfId="43179" xr:uid="{00000000-0005-0000-0000-000026040000}"/>
    <cellStyle name="dp*SheetSubTitle 2 5 3 5" xfId="21135" xr:uid="{00000000-0005-0000-0000-000026040000}"/>
    <cellStyle name="dp*SheetSubTitle 2 5 3 6" xfId="39522" xr:uid="{00000000-0005-0000-0000-000026040000}"/>
    <cellStyle name="dp*SheetSubTitle 2 5 4" xfId="6110" xr:uid="{00000000-0005-0000-0000-000026040000}"/>
    <cellStyle name="dp*SheetSubTitle 2 5 4 2" xfId="12464" xr:uid="{00000000-0005-0000-0000-000026040000}"/>
    <cellStyle name="dp*SheetSubTitle 2 5 4 2 2" xfId="30904" xr:uid="{00000000-0005-0000-0000-000026040000}"/>
    <cellStyle name="dp*SheetSubTitle 2 5 4 2 3" xfId="49267" xr:uid="{00000000-0005-0000-0000-000026040000}"/>
    <cellStyle name="dp*SheetSubTitle 2 5 4 3" xfId="16783" xr:uid="{00000000-0005-0000-0000-000026040000}"/>
    <cellStyle name="dp*SheetSubTitle 2 5 4 3 2" xfId="35152" xr:uid="{00000000-0005-0000-0000-000026040000}"/>
    <cellStyle name="dp*SheetSubTitle 2 5 4 3 3" xfId="53515" xr:uid="{00000000-0005-0000-0000-000026040000}"/>
    <cellStyle name="dp*SheetSubTitle 2 5 4 4" xfId="25906" xr:uid="{00000000-0005-0000-0000-000026040000}"/>
    <cellStyle name="dp*SheetSubTitle 2 5 4 4 2" xfId="44275" xr:uid="{00000000-0005-0000-0000-000026040000}"/>
    <cellStyle name="dp*SheetSubTitle 2 5 4 5" xfId="22222" xr:uid="{00000000-0005-0000-0000-000026040000}"/>
    <cellStyle name="dp*SheetSubTitle 2 5 4 6" xfId="40599" xr:uid="{00000000-0005-0000-0000-000026040000}"/>
    <cellStyle name="dp*SheetSubTitle 2 5 5" xfId="9681" xr:uid="{00000000-0005-0000-0000-000026040000}"/>
    <cellStyle name="dp*SheetSubTitle 2 5 5 2" xfId="13738" xr:uid="{00000000-0005-0000-0000-000026040000}"/>
    <cellStyle name="dp*SheetSubTitle 2 5 5 2 2" xfId="32159" xr:uid="{00000000-0005-0000-0000-000026040000}"/>
    <cellStyle name="dp*SheetSubTitle 2 5 5 2 3" xfId="50522" xr:uid="{00000000-0005-0000-0000-000026040000}"/>
    <cellStyle name="dp*SheetSubTitle 2 5 5 3" xfId="28397" xr:uid="{00000000-0005-0000-0000-000026040000}"/>
    <cellStyle name="dp*SheetSubTitle 2 5 5 3 2" xfId="46760" xr:uid="{00000000-0005-0000-0000-000026040000}"/>
    <cellStyle name="dp*SheetSubTitle 2 5 5 4" xfId="18822" xr:uid="{00000000-0005-0000-0000-000026040000}"/>
    <cellStyle name="dp*SheetSubTitle 2 5 5 5" xfId="37231" xr:uid="{00000000-0005-0000-0000-000026040000}"/>
    <cellStyle name="dp*SheetSubTitle 2 5 6" xfId="8363" xr:uid="{00000000-0005-0000-0000-000026040000}"/>
    <cellStyle name="dp*SheetSubTitle 2 5 6 2" xfId="27430" xr:uid="{00000000-0005-0000-0000-000026040000}"/>
    <cellStyle name="dp*SheetSubTitle 2 5 6 3" xfId="45794" xr:uid="{00000000-0005-0000-0000-000026040000}"/>
    <cellStyle name="dp*SheetSubTitle 2 5 7" xfId="11354" xr:uid="{00000000-0005-0000-0000-000026040000}"/>
    <cellStyle name="dp*SheetSubTitle 2 5 7 2" xfId="29949" xr:uid="{00000000-0005-0000-0000-000026040000}"/>
    <cellStyle name="dp*SheetSubTitle 2 5 7 3" xfId="48312" xr:uid="{00000000-0005-0000-0000-000026040000}"/>
    <cellStyle name="dp*SheetSubTitle 2 5 8" xfId="17913" xr:uid="{00000000-0005-0000-0000-000026040000}"/>
    <cellStyle name="dp*SheetSubTitle 2 5 8 2" xfId="36321" xr:uid="{00000000-0005-0000-0000-000026040000}"/>
    <cellStyle name="dp*SheetSubTitle 2 5 9" xfId="8549" xr:uid="{00000000-0005-0000-0000-000026040000}"/>
    <cellStyle name="dp*SheetSubTitle 2 6" xfId="3346" xr:uid="{00000000-0005-0000-0000-000019040000}"/>
    <cellStyle name="dp*SheetSubTitle 2 6 2" xfId="5521" xr:uid="{00000000-0005-0000-0000-000019040000}"/>
    <cellStyle name="dp*SheetSubTitle 2 6 2 2" xfId="11885" xr:uid="{00000000-0005-0000-0000-000019040000}"/>
    <cellStyle name="dp*SheetSubTitle 2 6 2 2 2" xfId="30332" xr:uid="{00000000-0005-0000-0000-000019040000}"/>
    <cellStyle name="dp*SheetSubTitle 2 6 2 2 3" xfId="48695" xr:uid="{00000000-0005-0000-0000-000019040000}"/>
    <cellStyle name="dp*SheetSubTitle 2 6 2 3" xfId="16211" xr:uid="{00000000-0005-0000-0000-000019040000}"/>
    <cellStyle name="dp*SheetSubTitle 2 6 2 3 2" xfId="34583" xr:uid="{00000000-0005-0000-0000-000019040000}"/>
    <cellStyle name="dp*SheetSubTitle 2 6 2 3 3" xfId="52946" xr:uid="{00000000-0005-0000-0000-000019040000}"/>
    <cellStyle name="dp*SheetSubTitle 2 6 2 4" xfId="25330" xr:uid="{00000000-0005-0000-0000-000019040000}"/>
    <cellStyle name="dp*SheetSubTitle 2 6 2 4 2" xfId="43699" xr:uid="{00000000-0005-0000-0000-000019040000}"/>
    <cellStyle name="dp*SheetSubTitle 2 6 2 5" xfId="21651" xr:uid="{00000000-0005-0000-0000-000019040000}"/>
    <cellStyle name="dp*SheetSubTitle 2 6 2 6" xfId="40030" xr:uid="{00000000-0005-0000-0000-000019040000}"/>
    <cellStyle name="dp*SheetSubTitle 2 6 3" xfId="6345" xr:uid="{00000000-0005-0000-0000-000019040000}"/>
    <cellStyle name="dp*SheetSubTitle 2 6 3 2" xfId="12636" xr:uid="{00000000-0005-0000-0000-000019040000}"/>
    <cellStyle name="dp*SheetSubTitle 2 6 3 2 2" xfId="31062" xr:uid="{00000000-0005-0000-0000-000019040000}"/>
    <cellStyle name="dp*SheetSubTitle 2 6 3 2 3" xfId="49425" xr:uid="{00000000-0005-0000-0000-000019040000}"/>
    <cellStyle name="dp*SheetSubTitle 2 6 3 3" xfId="16947" xr:uid="{00000000-0005-0000-0000-000019040000}"/>
    <cellStyle name="dp*SheetSubTitle 2 6 3 3 2" xfId="35295" xr:uid="{00000000-0005-0000-0000-000019040000}"/>
    <cellStyle name="dp*SheetSubTitle 2 6 3 3 3" xfId="53658" xr:uid="{00000000-0005-0000-0000-000019040000}"/>
    <cellStyle name="dp*SheetSubTitle 2 6 3 4" xfId="26080" xr:uid="{00000000-0005-0000-0000-000019040000}"/>
    <cellStyle name="dp*SheetSubTitle 2 6 3 4 2" xfId="44449" xr:uid="{00000000-0005-0000-0000-000019040000}"/>
    <cellStyle name="dp*SheetSubTitle 2 6 3 5" xfId="22373" xr:uid="{00000000-0005-0000-0000-000019040000}"/>
    <cellStyle name="dp*SheetSubTitle 2 6 3 6" xfId="40742" xr:uid="{00000000-0005-0000-0000-000019040000}"/>
    <cellStyle name="dp*SheetSubTitle 2 6 4" xfId="10059" xr:uid="{00000000-0005-0000-0000-000019040000}"/>
    <cellStyle name="dp*SheetSubTitle 2 6 4 2" xfId="14116" xr:uid="{00000000-0005-0000-0000-000019040000}"/>
    <cellStyle name="dp*SheetSubTitle 2 6 4 2 2" xfId="32532" xr:uid="{00000000-0005-0000-0000-000019040000}"/>
    <cellStyle name="dp*SheetSubTitle 2 6 4 2 3" xfId="50895" xr:uid="{00000000-0005-0000-0000-000019040000}"/>
    <cellStyle name="dp*SheetSubTitle 2 6 4 3" xfId="28770" xr:uid="{00000000-0005-0000-0000-000019040000}"/>
    <cellStyle name="dp*SheetSubTitle 2 6 4 3 2" xfId="47133" xr:uid="{00000000-0005-0000-0000-000019040000}"/>
    <cellStyle name="dp*SheetSubTitle 2 6 4 4" xfId="19573" xr:uid="{00000000-0005-0000-0000-000019040000}"/>
    <cellStyle name="dp*SheetSubTitle 2 6 4 5" xfId="37979" xr:uid="{00000000-0005-0000-0000-000019040000}"/>
    <cellStyle name="dp*SheetSubTitle 2 6 5" xfId="9186" xr:uid="{00000000-0005-0000-0000-000019040000}"/>
    <cellStyle name="dp*SheetSubTitle 2 6 5 2" xfId="27907" xr:uid="{00000000-0005-0000-0000-000019040000}"/>
    <cellStyle name="dp*SheetSubTitle 2 6 5 3" xfId="46270" xr:uid="{00000000-0005-0000-0000-000019040000}"/>
    <cellStyle name="dp*SheetSubTitle 2 6 6" xfId="13244" xr:uid="{00000000-0005-0000-0000-000019040000}"/>
    <cellStyle name="dp*SheetSubTitle 2 6 6 2" xfId="31665" xr:uid="{00000000-0005-0000-0000-000019040000}"/>
    <cellStyle name="dp*SheetSubTitle 2 6 6 3" xfId="50028" xr:uid="{00000000-0005-0000-0000-000019040000}"/>
    <cellStyle name="dp*SheetSubTitle 2 6 7" xfId="23254" xr:uid="{00000000-0005-0000-0000-000019040000}"/>
    <cellStyle name="dp*SheetSubTitle 2 6 7 2" xfId="41623" xr:uid="{00000000-0005-0000-0000-000019040000}"/>
    <cellStyle name="dp*SheetSubTitle 2 6 8" xfId="18201" xr:uid="{00000000-0005-0000-0000-000019040000}"/>
    <cellStyle name="dp*SheetSubTitle 2 6 9" xfId="36607" xr:uid="{00000000-0005-0000-0000-000019040000}"/>
    <cellStyle name="dp*SheetSubTitle 2 7" xfId="4181" xr:uid="{00000000-0005-0000-0000-000019040000}"/>
    <cellStyle name="dp*SheetSubTitle 2 7 2" xfId="10833" xr:uid="{00000000-0005-0000-0000-000019040000}"/>
    <cellStyle name="dp*SheetSubTitle 2 7 2 2" xfId="29505" xr:uid="{00000000-0005-0000-0000-000019040000}"/>
    <cellStyle name="dp*SheetSubTitle 2 7 2 3" xfId="47868" xr:uid="{00000000-0005-0000-0000-000019040000}"/>
    <cellStyle name="dp*SheetSubTitle 2 7 3" xfId="14927" xr:uid="{00000000-0005-0000-0000-000019040000}"/>
    <cellStyle name="dp*SheetSubTitle 2 7 3 2" xfId="33331" xr:uid="{00000000-0005-0000-0000-000019040000}"/>
    <cellStyle name="dp*SheetSubTitle 2 7 3 3" xfId="51694" xr:uid="{00000000-0005-0000-0000-000019040000}"/>
    <cellStyle name="dp*SheetSubTitle 2 7 4" xfId="24060" xr:uid="{00000000-0005-0000-0000-000019040000}"/>
    <cellStyle name="dp*SheetSubTitle 2 7 4 2" xfId="42429" xr:uid="{00000000-0005-0000-0000-000019040000}"/>
    <cellStyle name="dp*SheetSubTitle 2 7 5" xfId="20380" xr:uid="{00000000-0005-0000-0000-000019040000}"/>
    <cellStyle name="dp*SheetSubTitle 2 7 6" xfId="38778" xr:uid="{00000000-0005-0000-0000-000019040000}"/>
    <cellStyle name="dp*SheetSubTitle 2 8" xfId="4449" xr:uid="{00000000-0005-0000-0000-000019040000}"/>
    <cellStyle name="dp*SheetSubTitle 2 8 2" xfId="11047" xr:uid="{00000000-0005-0000-0000-000019040000}"/>
    <cellStyle name="dp*SheetSubTitle 2 8 2 2" xfId="29667" xr:uid="{00000000-0005-0000-0000-000019040000}"/>
    <cellStyle name="dp*SheetSubTitle 2 8 2 3" xfId="48030" xr:uid="{00000000-0005-0000-0000-000019040000}"/>
    <cellStyle name="dp*SheetSubTitle 2 8 3" xfId="15183" xr:uid="{00000000-0005-0000-0000-000019040000}"/>
    <cellStyle name="dp*SheetSubTitle 2 8 3 2" xfId="33579" xr:uid="{00000000-0005-0000-0000-000019040000}"/>
    <cellStyle name="dp*SheetSubTitle 2 8 3 3" xfId="51942" xr:uid="{00000000-0005-0000-0000-000019040000}"/>
    <cellStyle name="dp*SheetSubTitle 2 8 4" xfId="24310" xr:uid="{00000000-0005-0000-0000-000019040000}"/>
    <cellStyle name="dp*SheetSubTitle 2 8 4 2" xfId="42679" xr:uid="{00000000-0005-0000-0000-000019040000}"/>
    <cellStyle name="dp*SheetSubTitle 2 8 5" xfId="20634" xr:uid="{00000000-0005-0000-0000-000019040000}"/>
    <cellStyle name="dp*SheetSubTitle 2 8 6" xfId="39026" xr:uid="{00000000-0005-0000-0000-000019040000}"/>
    <cellStyle name="dp*SheetSubTitle 2 9" xfId="7447" xr:uid="{00000000-0005-0000-0000-000019040000}"/>
    <cellStyle name="dp*SheetSubTitle 2 9 2" xfId="26827" xr:uid="{00000000-0005-0000-0000-000019040000}"/>
    <cellStyle name="dp*SheetSubTitle 2 9 3" xfId="45195" xr:uid="{00000000-0005-0000-0000-000019040000}"/>
    <cellStyle name="dp*SheetSubTitle 3" xfId="1860" xr:uid="{00000000-0005-0000-0000-000027040000}"/>
    <cellStyle name="dp*SheetSubTitle 3 10" xfId="17673" xr:uid="{00000000-0005-0000-0000-000027040000}"/>
    <cellStyle name="dp*SheetSubTitle 3 2" xfId="3709" xr:uid="{00000000-0005-0000-0000-000027040000}"/>
    <cellStyle name="dp*SheetSubTitle 3 2 2" xfId="5882" xr:uid="{00000000-0005-0000-0000-000027040000}"/>
    <cellStyle name="dp*SheetSubTitle 3 2 2 2" xfId="12246" xr:uid="{00000000-0005-0000-0000-000027040000}"/>
    <cellStyle name="dp*SheetSubTitle 3 2 2 2 2" xfId="30693" xr:uid="{00000000-0005-0000-0000-000027040000}"/>
    <cellStyle name="dp*SheetSubTitle 3 2 2 2 3" xfId="49056" xr:uid="{00000000-0005-0000-0000-000027040000}"/>
    <cellStyle name="dp*SheetSubTitle 3 2 2 3" xfId="16572" xr:uid="{00000000-0005-0000-0000-000027040000}"/>
    <cellStyle name="dp*SheetSubTitle 3 2 2 3 2" xfId="34944" xr:uid="{00000000-0005-0000-0000-000027040000}"/>
    <cellStyle name="dp*SheetSubTitle 3 2 2 3 3" xfId="53307" xr:uid="{00000000-0005-0000-0000-000027040000}"/>
    <cellStyle name="dp*SheetSubTitle 3 2 2 4" xfId="25691" xr:uid="{00000000-0005-0000-0000-000027040000}"/>
    <cellStyle name="dp*SheetSubTitle 3 2 2 4 2" xfId="44060" xr:uid="{00000000-0005-0000-0000-000027040000}"/>
    <cellStyle name="dp*SheetSubTitle 3 2 2 5" xfId="22012" xr:uid="{00000000-0005-0000-0000-000027040000}"/>
    <cellStyle name="dp*SheetSubTitle 3 2 2 6" xfId="40391" xr:uid="{00000000-0005-0000-0000-000027040000}"/>
    <cellStyle name="dp*SheetSubTitle 3 2 3" xfId="6708" xr:uid="{00000000-0005-0000-0000-000027040000}"/>
    <cellStyle name="dp*SheetSubTitle 3 2 3 2" xfId="12999" xr:uid="{00000000-0005-0000-0000-000027040000}"/>
    <cellStyle name="dp*SheetSubTitle 3 2 3 2 2" xfId="31425" xr:uid="{00000000-0005-0000-0000-000027040000}"/>
    <cellStyle name="dp*SheetSubTitle 3 2 3 2 3" xfId="49788" xr:uid="{00000000-0005-0000-0000-000027040000}"/>
    <cellStyle name="dp*SheetSubTitle 3 2 3 3" xfId="17310" xr:uid="{00000000-0005-0000-0000-000027040000}"/>
    <cellStyle name="dp*SheetSubTitle 3 2 3 3 2" xfId="35658" xr:uid="{00000000-0005-0000-0000-000027040000}"/>
    <cellStyle name="dp*SheetSubTitle 3 2 3 3 3" xfId="54021" xr:uid="{00000000-0005-0000-0000-000027040000}"/>
    <cellStyle name="dp*SheetSubTitle 3 2 3 4" xfId="26443" xr:uid="{00000000-0005-0000-0000-000027040000}"/>
    <cellStyle name="dp*SheetSubTitle 3 2 3 4 2" xfId="44812" xr:uid="{00000000-0005-0000-0000-000027040000}"/>
    <cellStyle name="dp*SheetSubTitle 3 2 3 5" xfId="22736" xr:uid="{00000000-0005-0000-0000-000027040000}"/>
    <cellStyle name="dp*SheetSubTitle 3 2 3 6" xfId="41105" xr:uid="{00000000-0005-0000-0000-000027040000}"/>
    <cellStyle name="dp*SheetSubTitle 3 2 4" xfId="10422" xr:uid="{00000000-0005-0000-0000-000027040000}"/>
    <cellStyle name="dp*SheetSubTitle 3 2 4 2" xfId="14479" xr:uid="{00000000-0005-0000-0000-000027040000}"/>
    <cellStyle name="dp*SheetSubTitle 3 2 4 2 2" xfId="32895" xr:uid="{00000000-0005-0000-0000-000027040000}"/>
    <cellStyle name="dp*SheetSubTitle 3 2 4 2 3" xfId="51258" xr:uid="{00000000-0005-0000-0000-000027040000}"/>
    <cellStyle name="dp*SheetSubTitle 3 2 4 3" xfId="29133" xr:uid="{00000000-0005-0000-0000-000027040000}"/>
    <cellStyle name="dp*SheetSubTitle 3 2 4 3 2" xfId="47496" xr:uid="{00000000-0005-0000-0000-000027040000}"/>
    <cellStyle name="dp*SheetSubTitle 3 2 4 4" xfId="19936" xr:uid="{00000000-0005-0000-0000-000027040000}"/>
    <cellStyle name="dp*SheetSubTitle 3 2 4 5" xfId="38342" xr:uid="{00000000-0005-0000-0000-000027040000}"/>
    <cellStyle name="dp*SheetSubTitle 3 2 5" xfId="9636" xr:uid="{00000000-0005-0000-0000-000027040000}"/>
    <cellStyle name="dp*SheetSubTitle 3 2 5 2" xfId="28352" xr:uid="{00000000-0005-0000-0000-000027040000}"/>
    <cellStyle name="dp*SheetSubTitle 3 2 5 3" xfId="46715" xr:uid="{00000000-0005-0000-0000-000027040000}"/>
    <cellStyle name="dp*SheetSubTitle 3 2 6" xfId="13693" xr:uid="{00000000-0005-0000-0000-000027040000}"/>
    <cellStyle name="dp*SheetSubTitle 3 2 6 2" xfId="32114" xr:uid="{00000000-0005-0000-0000-000027040000}"/>
    <cellStyle name="dp*SheetSubTitle 3 2 6 3" xfId="50477" xr:uid="{00000000-0005-0000-0000-000027040000}"/>
    <cellStyle name="dp*SheetSubTitle 3 2 7" xfId="23617" xr:uid="{00000000-0005-0000-0000-000027040000}"/>
    <cellStyle name="dp*SheetSubTitle 3 2 7 2" xfId="41986" xr:uid="{00000000-0005-0000-0000-000027040000}"/>
    <cellStyle name="dp*SheetSubTitle 3 2 8" xfId="18751" xr:uid="{00000000-0005-0000-0000-000027040000}"/>
    <cellStyle name="dp*SheetSubTitle 3 2 9" xfId="37160" xr:uid="{00000000-0005-0000-0000-000027040000}"/>
    <cellStyle name="dp*SheetSubTitle 3 3" xfId="4785" xr:uid="{00000000-0005-0000-0000-000027040000}"/>
    <cellStyle name="dp*SheetSubTitle 3 3 2" xfId="11355" xr:uid="{00000000-0005-0000-0000-000027040000}"/>
    <cellStyle name="dp*SheetSubTitle 3 3 2 2" xfId="29950" xr:uid="{00000000-0005-0000-0000-000027040000}"/>
    <cellStyle name="dp*SheetSubTitle 3 3 2 3" xfId="48313" xr:uid="{00000000-0005-0000-0000-000027040000}"/>
    <cellStyle name="dp*SheetSubTitle 3 3 3" xfId="15511" xr:uid="{00000000-0005-0000-0000-000027040000}"/>
    <cellStyle name="dp*SheetSubTitle 3 3 3 2" xfId="33904" xr:uid="{00000000-0005-0000-0000-000027040000}"/>
    <cellStyle name="dp*SheetSubTitle 3 3 3 3" xfId="52267" xr:uid="{00000000-0005-0000-0000-000027040000}"/>
    <cellStyle name="dp*SheetSubTitle 3 3 4" xfId="24635" xr:uid="{00000000-0005-0000-0000-000027040000}"/>
    <cellStyle name="dp*SheetSubTitle 3 3 4 2" xfId="43004" xr:uid="{00000000-0005-0000-0000-000027040000}"/>
    <cellStyle name="dp*SheetSubTitle 3 3 5" xfId="20962" xr:uid="{00000000-0005-0000-0000-000027040000}"/>
    <cellStyle name="dp*SheetSubTitle 3 3 6" xfId="39351" xr:uid="{00000000-0005-0000-0000-000027040000}"/>
    <cellStyle name="dp*SheetSubTitle 3 4" xfId="4845" xr:uid="{00000000-0005-0000-0000-000027040000}"/>
    <cellStyle name="dp*SheetSubTitle 3 4 2" xfId="11406" xr:uid="{00000000-0005-0000-0000-000027040000}"/>
    <cellStyle name="dp*SheetSubTitle 3 4 2 2" xfId="29997" xr:uid="{00000000-0005-0000-0000-000027040000}"/>
    <cellStyle name="dp*SheetSubTitle 3 4 2 3" xfId="48360" xr:uid="{00000000-0005-0000-0000-000027040000}"/>
    <cellStyle name="dp*SheetSubTitle 3 4 3" xfId="15571" xr:uid="{00000000-0005-0000-0000-000027040000}"/>
    <cellStyle name="dp*SheetSubTitle 3 4 3 2" xfId="33963" xr:uid="{00000000-0005-0000-0000-000027040000}"/>
    <cellStyle name="dp*SheetSubTitle 3 4 3 3" xfId="52326" xr:uid="{00000000-0005-0000-0000-000027040000}"/>
    <cellStyle name="dp*SheetSubTitle 3 4 4" xfId="24694" xr:uid="{00000000-0005-0000-0000-000027040000}"/>
    <cellStyle name="dp*SheetSubTitle 3 4 4 2" xfId="43063" xr:uid="{00000000-0005-0000-0000-000027040000}"/>
    <cellStyle name="dp*SheetSubTitle 3 4 5" xfId="21021" xr:uid="{00000000-0005-0000-0000-000027040000}"/>
    <cellStyle name="dp*SheetSubTitle 3 4 6" xfId="39410" xr:uid="{00000000-0005-0000-0000-000027040000}"/>
    <cellStyle name="dp*SheetSubTitle 3 5" xfId="9208" xr:uid="{00000000-0005-0000-0000-000027040000}"/>
    <cellStyle name="dp*SheetSubTitle 3 5 2" xfId="13266" xr:uid="{00000000-0005-0000-0000-000027040000}"/>
    <cellStyle name="dp*SheetSubTitle 3 5 2 2" xfId="31687" xr:uid="{00000000-0005-0000-0000-000027040000}"/>
    <cellStyle name="dp*SheetSubTitle 3 5 2 3" xfId="50050" xr:uid="{00000000-0005-0000-0000-000027040000}"/>
    <cellStyle name="dp*SheetSubTitle 3 5 3" xfId="27929" xr:uid="{00000000-0005-0000-0000-000027040000}"/>
    <cellStyle name="dp*SheetSubTitle 3 5 3 2" xfId="46292" xr:uid="{00000000-0005-0000-0000-000027040000}"/>
    <cellStyle name="dp*SheetSubTitle 3 5 4" xfId="18235" xr:uid="{00000000-0005-0000-0000-000027040000}"/>
    <cellStyle name="dp*SheetSubTitle 3 5 5" xfId="36641" xr:uid="{00000000-0005-0000-0000-000027040000}"/>
    <cellStyle name="dp*SheetSubTitle 3 6" xfId="8070" xr:uid="{00000000-0005-0000-0000-000027040000}"/>
    <cellStyle name="dp*SheetSubTitle 3 6 2" xfId="27282" xr:uid="{00000000-0005-0000-0000-000027040000}"/>
    <cellStyle name="dp*SheetSubTitle 3 6 3" xfId="45647" xr:uid="{00000000-0005-0000-0000-000027040000}"/>
    <cellStyle name="dp*SheetSubTitle 3 7" xfId="8241" xr:uid="{00000000-0005-0000-0000-000027040000}"/>
    <cellStyle name="dp*SheetSubTitle 3 7 2" xfId="27378" xr:uid="{00000000-0005-0000-0000-000027040000}"/>
    <cellStyle name="dp*SheetSubTitle 3 7 3" xfId="45743" xr:uid="{00000000-0005-0000-0000-000027040000}"/>
    <cellStyle name="dp*SheetSubTitle 3 8" xfId="19196" xr:uid="{00000000-0005-0000-0000-000027040000}"/>
    <cellStyle name="dp*SheetSubTitle 3 8 2" xfId="37603" xr:uid="{00000000-0005-0000-0000-000027040000}"/>
    <cellStyle name="dp*SheetSubTitle 3 9" xfId="7502" xr:uid="{00000000-0005-0000-0000-000027040000}"/>
    <cellStyle name="dp*SheetSubTitle 4" xfId="3021" xr:uid="{00000000-0005-0000-0000-000028040000}"/>
    <cellStyle name="dp*SheetSubTitle 4 10" xfId="36030" xr:uid="{00000000-0005-0000-0000-000028040000}"/>
    <cellStyle name="dp*SheetSubTitle 4 2" xfId="3841" xr:uid="{00000000-0005-0000-0000-000028040000}"/>
    <cellStyle name="dp*SheetSubTitle 4 2 2" xfId="6014" xr:uid="{00000000-0005-0000-0000-000028040000}"/>
    <cellStyle name="dp*SheetSubTitle 4 2 2 2" xfId="12378" xr:uid="{00000000-0005-0000-0000-000028040000}"/>
    <cellStyle name="dp*SheetSubTitle 4 2 2 2 2" xfId="30825" xr:uid="{00000000-0005-0000-0000-000028040000}"/>
    <cellStyle name="dp*SheetSubTitle 4 2 2 2 3" xfId="49188" xr:uid="{00000000-0005-0000-0000-000028040000}"/>
    <cellStyle name="dp*SheetSubTitle 4 2 2 3" xfId="16704" xr:uid="{00000000-0005-0000-0000-000028040000}"/>
    <cellStyle name="dp*SheetSubTitle 4 2 2 3 2" xfId="35076" xr:uid="{00000000-0005-0000-0000-000028040000}"/>
    <cellStyle name="dp*SheetSubTitle 4 2 2 3 3" xfId="53439" xr:uid="{00000000-0005-0000-0000-000028040000}"/>
    <cellStyle name="dp*SheetSubTitle 4 2 2 4" xfId="25823" xr:uid="{00000000-0005-0000-0000-000028040000}"/>
    <cellStyle name="dp*SheetSubTitle 4 2 2 4 2" xfId="44192" xr:uid="{00000000-0005-0000-0000-000028040000}"/>
    <cellStyle name="dp*SheetSubTitle 4 2 2 5" xfId="22144" xr:uid="{00000000-0005-0000-0000-000028040000}"/>
    <cellStyle name="dp*SheetSubTitle 4 2 2 6" xfId="40523" xr:uid="{00000000-0005-0000-0000-000028040000}"/>
    <cellStyle name="dp*SheetSubTitle 4 2 3" xfId="6840" xr:uid="{00000000-0005-0000-0000-000028040000}"/>
    <cellStyle name="dp*SheetSubTitle 4 2 3 2" xfId="13131" xr:uid="{00000000-0005-0000-0000-000028040000}"/>
    <cellStyle name="dp*SheetSubTitle 4 2 3 2 2" xfId="31557" xr:uid="{00000000-0005-0000-0000-000028040000}"/>
    <cellStyle name="dp*SheetSubTitle 4 2 3 2 3" xfId="49920" xr:uid="{00000000-0005-0000-0000-000028040000}"/>
    <cellStyle name="dp*SheetSubTitle 4 2 3 3" xfId="17442" xr:uid="{00000000-0005-0000-0000-000028040000}"/>
    <cellStyle name="dp*SheetSubTitle 4 2 3 3 2" xfId="35790" xr:uid="{00000000-0005-0000-0000-000028040000}"/>
    <cellStyle name="dp*SheetSubTitle 4 2 3 3 3" xfId="54153" xr:uid="{00000000-0005-0000-0000-000028040000}"/>
    <cellStyle name="dp*SheetSubTitle 4 2 3 4" xfId="26575" xr:uid="{00000000-0005-0000-0000-000028040000}"/>
    <cellStyle name="dp*SheetSubTitle 4 2 3 4 2" xfId="44944" xr:uid="{00000000-0005-0000-0000-000028040000}"/>
    <cellStyle name="dp*SheetSubTitle 4 2 3 5" xfId="22868" xr:uid="{00000000-0005-0000-0000-000028040000}"/>
    <cellStyle name="dp*SheetSubTitle 4 2 3 6" xfId="41237" xr:uid="{00000000-0005-0000-0000-000028040000}"/>
    <cellStyle name="dp*SheetSubTitle 4 2 4" xfId="10554" xr:uid="{00000000-0005-0000-0000-000028040000}"/>
    <cellStyle name="dp*SheetSubTitle 4 2 4 2" xfId="14611" xr:uid="{00000000-0005-0000-0000-000028040000}"/>
    <cellStyle name="dp*SheetSubTitle 4 2 4 2 2" xfId="33027" xr:uid="{00000000-0005-0000-0000-000028040000}"/>
    <cellStyle name="dp*SheetSubTitle 4 2 4 2 3" xfId="51390" xr:uid="{00000000-0005-0000-0000-000028040000}"/>
    <cellStyle name="dp*SheetSubTitle 4 2 4 3" xfId="29265" xr:uid="{00000000-0005-0000-0000-000028040000}"/>
    <cellStyle name="dp*SheetSubTitle 4 2 4 3 2" xfId="47628" xr:uid="{00000000-0005-0000-0000-000028040000}"/>
    <cellStyle name="dp*SheetSubTitle 4 2 4 4" xfId="20068" xr:uid="{00000000-0005-0000-0000-000028040000}"/>
    <cellStyle name="dp*SheetSubTitle 4 2 4 5" xfId="38474" xr:uid="{00000000-0005-0000-0000-000028040000}"/>
    <cellStyle name="dp*SheetSubTitle 4 2 5" xfId="9925" xr:uid="{00000000-0005-0000-0000-000028040000}"/>
    <cellStyle name="dp*SheetSubTitle 4 2 5 2" xfId="28637" xr:uid="{00000000-0005-0000-0000-000028040000}"/>
    <cellStyle name="dp*SheetSubTitle 4 2 5 3" xfId="47000" xr:uid="{00000000-0005-0000-0000-000028040000}"/>
    <cellStyle name="dp*SheetSubTitle 4 2 6" xfId="13982" xr:uid="{00000000-0005-0000-0000-000028040000}"/>
    <cellStyle name="dp*SheetSubTitle 4 2 6 2" xfId="32399" xr:uid="{00000000-0005-0000-0000-000028040000}"/>
    <cellStyle name="dp*SheetSubTitle 4 2 6 3" xfId="50762" xr:uid="{00000000-0005-0000-0000-000028040000}"/>
    <cellStyle name="dp*SheetSubTitle 4 2 7" xfId="23749" xr:uid="{00000000-0005-0000-0000-000028040000}"/>
    <cellStyle name="dp*SheetSubTitle 4 2 7 2" xfId="42118" xr:uid="{00000000-0005-0000-0000-000028040000}"/>
    <cellStyle name="dp*SheetSubTitle 4 2 8" xfId="19231" xr:uid="{00000000-0005-0000-0000-000028040000}"/>
    <cellStyle name="dp*SheetSubTitle 4 2 9" xfId="37638" xr:uid="{00000000-0005-0000-0000-000028040000}"/>
    <cellStyle name="dp*SheetSubTitle 4 3" xfId="5274" xr:uid="{00000000-0005-0000-0000-000028040000}"/>
    <cellStyle name="dp*SheetSubTitle 4 3 2" xfId="11730" xr:uid="{00000000-0005-0000-0000-000028040000}"/>
    <cellStyle name="dp*SheetSubTitle 4 3 2 2" xfId="30236" xr:uid="{00000000-0005-0000-0000-000028040000}"/>
    <cellStyle name="dp*SheetSubTitle 4 3 2 3" xfId="48599" xr:uid="{00000000-0005-0000-0000-000028040000}"/>
    <cellStyle name="dp*SheetSubTitle 4 3 3" xfId="15966" xr:uid="{00000000-0005-0000-0000-000028040000}"/>
    <cellStyle name="dp*SheetSubTitle 4 3 3 2" xfId="34340" xr:uid="{00000000-0005-0000-0000-000028040000}"/>
    <cellStyle name="dp*SheetSubTitle 4 3 3 3" xfId="52703" xr:uid="{00000000-0005-0000-0000-000028040000}"/>
    <cellStyle name="dp*SheetSubTitle 4 3 4" xfId="25087" xr:uid="{00000000-0005-0000-0000-000028040000}"/>
    <cellStyle name="dp*SheetSubTitle 4 3 4 2" xfId="43456" xr:uid="{00000000-0005-0000-0000-000028040000}"/>
    <cellStyle name="dp*SheetSubTitle 4 3 5" xfId="21408" xr:uid="{00000000-0005-0000-0000-000028040000}"/>
    <cellStyle name="dp*SheetSubTitle 4 3 6" xfId="39787" xr:uid="{00000000-0005-0000-0000-000028040000}"/>
    <cellStyle name="dp*SheetSubTitle 4 4" xfId="6236" xr:uid="{00000000-0005-0000-0000-000028040000}"/>
    <cellStyle name="dp*SheetSubTitle 4 4 2" xfId="12551" xr:uid="{00000000-0005-0000-0000-000028040000}"/>
    <cellStyle name="dp*SheetSubTitle 4 4 2 2" xfId="30983" xr:uid="{00000000-0005-0000-0000-000028040000}"/>
    <cellStyle name="dp*SheetSubTitle 4 4 2 3" xfId="49346" xr:uid="{00000000-0005-0000-0000-000028040000}"/>
    <cellStyle name="dp*SheetSubTitle 4 4 3" xfId="16868" xr:uid="{00000000-0005-0000-0000-000028040000}"/>
    <cellStyle name="dp*SheetSubTitle 4 4 3 2" xfId="35225" xr:uid="{00000000-0005-0000-0000-000028040000}"/>
    <cellStyle name="dp*SheetSubTitle 4 4 3 3" xfId="53588" xr:uid="{00000000-0005-0000-0000-000028040000}"/>
    <cellStyle name="dp*SheetSubTitle 4 4 4" xfId="26000" xr:uid="{00000000-0005-0000-0000-000028040000}"/>
    <cellStyle name="dp*SheetSubTitle 4 4 4 2" xfId="44369" xr:uid="{00000000-0005-0000-0000-000028040000}"/>
    <cellStyle name="dp*SheetSubTitle 4 4 5" xfId="22299" xr:uid="{00000000-0005-0000-0000-000028040000}"/>
    <cellStyle name="dp*SheetSubTitle 4 4 6" xfId="40672" xr:uid="{00000000-0005-0000-0000-000028040000}"/>
    <cellStyle name="dp*SheetSubTitle 4 5" xfId="10039" xr:uid="{00000000-0005-0000-0000-000028040000}"/>
    <cellStyle name="dp*SheetSubTitle 4 5 2" xfId="14096" xr:uid="{00000000-0005-0000-0000-000028040000}"/>
    <cellStyle name="dp*SheetSubTitle 4 5 2 2" xfId="32512" xr:uid="{00000000-0005-0000-0000-000028040000}"/>
    <cellStyle name="dp*SheetSubTitle 4 5 2 3" xfId="50875" xr:uid="{00000000-0005-0000-0000-000028040000}"/>
    <cellStyle name="dp*SheetSubTitle 4 5 3" xfId="28750" xr:uid="{00000000-0005-0000-0000-000028040000}"/>
    <cellStyle name="dp*SheetSubTitle 4 5 3 2" xfId="47113" xr:uid="{00000000-0005-0000-0000-000028040000}"/>
    <cellStyle name="dp*SheetSubTitle 4 5 4" xfId="19494" xr:uid="{00000000-0005-0000-0000-000028040000}"/>
    <cellStyle name="dp*SheetSubTitle 4 5 5" xfId="37900" xr:uid="{00000000-0005-0000-0000-000028040000}"/>
    <cellStyle name="dp*SheetSubTitle 4 6" xfId="8812" xr:uid="{00000000-0005-0000-0000-000028040000}"/>
    <cellStyle name="dp*SheetSubTitle 4 6 2" xfId="27641" xr:uid="{00000000-0005-0000-0000-000028040000}"/>
    <cellStyle name="dp*SheetSubTitle 4 6 3" xfId="46004" xr:uid="{00000000-0005-0000-0000-000028040000}"/>
    <cellStyle name="dp*SheetSubTitle 4 7" xfId="8827" xr:uid="{00000000-0005-0000-0000-000028040000}"/>
    <cellStyle name="dp*SheetSubTitle 4 7 2" xfId="27648" xr:uid="{00000000-0005-0000-0000-000028040000}"/>
    <cellStyle name="dp*SheetSubTitle 4 7 3" xfId="46011" xr:uid="{00000000-0005-0000-0000-000028040000}"/>
    <cellStyle name="dp*SheetSubTitle 4 8" xfId="23028" xr:uid="{00000000-0005-0000-0000-000028040000}"/>
    <cellStyle name="dp*SheetSubTitle 4 8 2" xfId="41397" xr:uid="{00000000-0005-0000-0000-000028040000}"/>
    <cellStyle name="dp*SheetSubTitle 4 9" xfId="17588" xr:uid="{00000000-0005-0000-0000-000028040000}"/>
    <cellStyle name="dp*SheetSubTitle 5" xfId="3169" xr:uid="{00000000-0005-0000-0000-000029040000}"/>
    <cellStyle name="dp*SheetSubTitle 5 2" xfId="3863" xr:uid="{00000000-0005-0000-0000-000029040000}"/>
    <cellStyle name="dp*SheetSubTitle 5 2 2" xfId="6036" xr:uid="{00000000-0005-0000-0000-000029040000}"/>
    <cellStyle name="dp*SheetSubTitle 5 2 2 2" xfId="12400" xr:uid="{00000000-0005-0000-0000-000029040000}"/>
    <cellStyle name="dp*SheetSubTitle 5 2 2 2 2" xfId="30847" xr:uid="{00000000-0005-0000-0000-000029040000}"/>
    <cellStyle name="dp*SheetSubTitle 5 2 2 2 3" xfId="49210" xr:uid="{00000000-0005-0000-0000-000029040000}"/>
    <cellStyle name="dp*SheetSubTitle 5 2 2 3" xfId="16726" xr:uid="{00000000-0005-0000-0000-000029040000}"/>
    <cellStyle name="dp*SheetSubTitle 5 2 2 3 2" xfId="35098" xr:uid="{00000000-0005-0000-0000-000029040000}"/>
    <cellStyle name="dp*SheetSubTitle 5 2 2 3 3" xfId="53461" xr:uid="{00000000-0005-0000-0000-000029040000}"/>
    <cellStyle name="dp*SheetSubTitle 5 2 2 4" xfId="25845" xr:uid="{00000000-0005-0000-0000-000029040000}"/>
    <cellStyle name="dp*SheetSubTitle 5 2 2 4 2" xfId="44214" xr:uid="{00000000-0005-0000-0000-000029040000}"/>
    <cellStyle name="dp*SheetSubTitle 5 2 2 5" xfId="22166" xr:uid="{00000000-0005-0000-0000-000029040000}"/>
    <cellStyle name="dp*SheetSubTitle 5 2 2 6" xfId="40545" xr:uid="{00000000-0005-0000-0000-000029040000}"/>
    <cellStyle name="dp*SheetSubTitle 5 2 3" xfId="6862" xr:uid="{00000000-0005-0000-0000-000029040000}"/>
    <cellStyle name="dp*SheetSubTitle 5 2 3 2" xfId="13153" xr:uid="{00000000-0005-0000-0000-000029040000}"/>
    <cellStyle name="dp*SheetSubTitle 5 2 3 2 2" xfId="31579" xr:uid="{00000000-0005-0000-0000-000029040000}"/>
    <cellStyle name="dp*SheetSubTitle 5 2 3 2 3" xfId="49942" xr:uid="{00000000-0005-0000-0000-000029040000}"/>
    <cellStyle name="dp*SheetSubTitle 5 2 3 3" xfId="17464" xr:uid="{00000000-0005-0000-0000-000029040000}"/>
    <cellStyle name="dp*SheetSubTitle 5 2 3 3 2" xfId="35812" xr:uid="{00000000-0005-0000-0000-000029040000}"/>
    <cellStyle name="dp*SheetSubTitle 5 2 3 3 3" xfId="54175" xr:uid="{00000000-0005-0000-0000-000029040000}"/>
    <cellStyle name="dp*SheetSubTitle 5 2 3 4" xfId="26597" xr:uid="{00000000-0005-0000-0000-000029040000}"/>
    <cellStyle name="dp*SheetSubTitle 5 2 3 4 2" xfId="44966" xr:uid="{00000000-0005-0000-0000-000029040000}"/>
    <cellStyle name="dp*SheetSubTitle 5 2 3 5" xfId="22890" xr:uid="{00000000-0005-0000-0000-000029040000}"/>
    <cellStyle name="dp*SheetSubTitle 5 2 3 6" xfId="41259" xr:uid="{00000000-0005-0000-0000-000029040000}"/>
    <cellStyle name="dp*SheetSubTitle 5 2 4" xfId="10576" xr:uid="{00000000-0005-0000-0000-000029040000}"/>
    <cellStyle name="dp*SheetSubTitle 5 2 4 2" xfId="14633" xr:uid="{00000000-0005-0000-0000-000029040000}"/>
    <cellStyle name="dp*SheetSubTitle 5 2 4 2 2" xfId="33049" xr:uid="{00000000-0005-0000-0000-000029040000}"/>
    <cellStyle name="dp*SheetSubTitle 5 2 4 2 3" xfId="51412" xr:uid="{00000000-0005-0000-0000-000029040000}"/>
    <cellStyle name="dp*SheetSubTitle 5 2 4 3" xfId="29287" xr:uid="{00000000-0005-0000-0000-000029040000}"/>
    <cellStyle name="dp*SheetSubTitle 5 2 4 3 2" xfId="47650" xr:uid="{00000000-0005-0000-0000-000029040000}"/>
    <cellStyle name="dp*SheetSubTitle 5 2 4 4" xfId="20090" xr:uid="{00000000-0005-0000-0000-000029040000}"/>
    <cellStyle name="dp*SheetSubTitle 5 2 4 5" xfId="38496" xr:uid="{00000000-0005-0000-0000-000029040000}"/>
    <cellStyle name="dp*SheetSubTitle 5 2 5" xfId="9963" xr:uid="{00000000-0005-0000-0000-000029040000}"/>
    <cellStyle name="dp*SheetSubTitle 5 2 5 2" xfId="28675" xr:uid="{00000000-0005-0000-0000-000029040000}"/>
    <cellStyle name="dp*SheetSubTitle 5 2 5 3" xfId="47038" xr:uid="{00000000-0005-0000-0000-000029040000}"/>
    <cellStyle name="dp*SheetSubTitle 5 2 6" xfId="14020" xr:uid="{00000000-0005-0000-0000-000029040000}"/>
    <cellStyle name="dp*SheetSubTitle 5 2 6 2" xfId="32437" xr:uid="{00000000-0005-0000-0000-000029040000}"/>
    <cellStyle name="dp*SheetSubTitle 5 2 6 3" xfId="50800" xr:uid="{00000000-0005-0000-0000-000029040000}"/>
    <cellStyle name="dp*SheetSubTitle 5 2 7" xfId="23771" xr:uid="{00000000-0005-0000-0000-000029040000}"/>
    <cellStyle name="dp*SheetSubTitle 5 2 7 2" xfId="42140" xr:uid="{00000000-0005-0000-0000-000029040000}"/>
    <cellStyle name="dp*SheetSubTitle 5 2 8" xfId="19300" xr:uid="{00000000-0005-0000-0000-000029040000}"/>
    <cellStyle name="dp*SheetSubTitle 5 2 9" xfId="37707" xr:uid="{00000000-0005-0000-0000-000029040000}"/>
    <cellStyle name="dp*SheetSubTitle 5 3" xfId="5384" xr:uid="{00000000-0005-0000-0000-000029040000}"/>
    <cellStyle name="dp*SheetSubTitle 5 3 2" xfId="11801" xr:uid="{00000000-0005-0000-0000-000029040000}"/>
    <cellStyle name="dp*SheetSubTitle 5 3 2 2" xfId="30274" xr:uid="{00000000-0005-0000-0000-000029040000}"/>
    <cellStyle name="dp*SheetSubTitle 5 3 2 3" xfId="48637" xr:uid="{00000000-0005-0000-0000-000029040000}"/>
    <cellStyle name="dp*SheetSubTitle 5 3 3" xfId="16076" xr:uid="{00000000-0005-0000-0000-000029040000}"/>
    <cellStyle name="dp*SheetSubTitle 5 3 3 2" xfId="34448" xr:uid="{00000000-0005-0000-0000-000029040000}"/>
    <cellStyle name="dp*SheetSubTitle 5 3 3 3" xfId="52811" xr:uid="{00000000-0005-0000-0000-000029040000}"/>
    <cellStyle name="dp*SheetSubTitle 5 3 4" xfId="25195" xr:uid="{00000000-0005-0000-0000-000029040000}"/>
    <cellStyle name="dp*SheetSubTitle 5 3 4 2" xfId="43564" xr:uid="{00000000-0005-0000-0000-000029040000}"/>
    <cellStyle name="dp*SheetSubTitle 5 3 5" xfId="21516" xr:uid="{00000000-0005-0000-0000-000029040000}"/>
    <cellStyle name="dp*SheetSubTitle 5 3 6" xfId="39895" xr:uid="{00000000-0005-0000-0000-000029040000}"/>
    <cellStyle name="dp*SheetSubTitle 5 4" xfId="6277" xr:uid="{00000000-0005-0000-0000-000029040000}"/>
    <cellStyle name="dp*SheetSubTitle 5 4 2" xfId="12579" xr:uid="{00000000-0005-0000-0000-000029040000}"/>
    <cellStyle name="dp*SheetSubTitle 5 4 2 2" xfId="31008" xr:uid="{00000000-0005-0000-0000-000029040000}"/>
    <cellStyle name="dp*SheetSubTitle 5 4 2 3" xfId="49371" xr:uid="{00000000-0005-0000-0000-000029040000}"/>
    <cellStyle name="dp*SheetSubTitle 5 4 3" xfId="16892" xr:uid="{00000000-0005-0000-0000-000029040000}"/>
    <cellStyle name="dp*SheetSubTitle 5 4 3 2" xfId="35247" xr:uid="{00000000-0005-0000-0000-000029040000}"/>
    <cellStyle name="dp*SheetSubTitle 5 4 3 3" xfId="53610" xr:uid="{00000000-0005-0000-0000-000029040000}"/>
    <cellStyle name="dp*SheetSubTitle 5 4 4" xfId="26027" xr:uid="{00000000-0005-0000-0000-000029040000}"/>
    <cellStyle name="dp*SheetSubTitle 5 4 4 2" xfId="44396" xr:uid="{00000000-0005-0000-0000-000029040000}"/>
    <cellStyle name="dp*SheetSubTitle 5 4 5" xfId="22324" xr:uid="{00000000-0005-0000-0000-000029040000}"/>
    <cellStyle name="dp*SheetSubTitle 5 4 6" xfId="40694" xr:uid="{00000000-0005-0000-0000-000029040000}"/>
    <cellStyle name="dp*SheetSubTitle 5 5" xfId="8910" xr:uid="{00000000-0005-0000-0000-000029040000}"/>
    <cellStyle name="dp*SheetSubTitle 5 5 2" xfId="27686" xr:uid="{00000000-0005-0000-0000-000029040000}"/>
    <cellStyle name="dp*SheetSubTitle 5 5 3" xfId="46049" xr:uid="{00000000-0005-0000-0000-000029040000}"/>
    <cellStyle name="dp*SheetSubTitle 5 6" xfId="7812" xr:uid="{00000000-0005-0000-0000-000029040000}"/>
    <cellStyle name="dp*SheetSubTitle 5 6 2" xfId="27082" xr:uid="{00000000-0005-0000-0000-000029040000}"/>
    <cellStyle name="dp*SheetSubTitle 5 6 3" xfId="45447" xr:uid="{00000000-0005-0000-0000-000029040000}"/>
    <cellStyle name="dp*SheetSubTitle 5 7" xfId="23124" xr:uid="{00000000-0005-0000-0000-000029040000}"/>
    <cellStyle name="dp*SheetSubTitle 5 7 2" xfId="41493" xr:uid="{00000000-0005-0000-0000-000029040000}"/>
    <cellStyle name="dp*SheetSubTitle 5 8" xfId="17703" xr:uid="{00000000-0005-0000-0000-000029040000}"/>
    <cellStyle name="dp*SheetSubTitle 5 9" xfId="36126" xr:uid="{00000000-0005-0000-0000-000029040000}"/>
    <cellStyle name="dp*SheetSubTitle 6" xfId="3278" xr:uid="{00000000-0005-0000-0000-00002A040000}"/>
    <cellStyle name="dp*SheetSubTitle 6 2" xfId="3879" xr:uid="{00000000-0005-0000-0000-00002A040000}"/>
    <cellStyle name="dp*SheetSubTitle 6 2 2" xfId="6052" xr:uid="{00000000-0005-0000-0000-00002A040000}"/>
    <cellStyle name="dp*SheetSubTitle 6 2 2 2" xfId="12416" xr:uid="{00000000-0005-0000-0000-00002A040000}"/>
    <cellStyle name="dp*SheetSubTitle 6 2 2 2 2" xfId="30863" xr:uid="{00000000-0005-0000-0000-00002A040000}"/>
    <cellStyle name="dp*SheetSubTitle 6 2 2 2 3" xfId="49226" xr:uid="{00000000-0005-0000-0000-00002A040000}"/>
    <cellStyle name="dp*SheetSubTitle 6 2 2 3" xfId="16742" xr:uid="{00000000-0005-0000-0000-00002A040000}"/>
    <cellStyle name="dp*SheetSubTitle 6 2 2 3 2" xfId="35114" xr:uid="{00000000-0005-0000-0000-00002A040000}"/>
    <cellStyle name="dp*SheetSubTitle 6 2 2 3 3" xfId="53477" xr:uid="{00000000-0005-0000-0000-00002A040000}"/>
    <cellStyle name="dp*SheetSubTitle 6 2 2 4" xfId="25861" xr:uid="{00000000-0005-0000-0000-00002A040000}"/>
    <cellStyle name="dp*SheetSubTitle 6 2 2 4 2" xfId="44230" xr:uid="{00000000-0005-0000-0000-00002A040000}"/>
    <cellStyle name="dp*SheetSubTitle 6 2 2 5" xfId="22182" xr:uid="{00000000-0005-0000-0000-00002A040000}"/>
    <cellStyle name="dp*SheetSubTitle 6 2 2 6" xfId="40561" xr:uid="{00000000-0005-0000-0000-00002A040000}"/>
    <cellStyle name="dp*SheetSubTitle 6 2 3" xfId="6878" xr:uid="{00000000-0005-0000-0000-00002A040000}"/>
    <cellStyle name="dp*SheetSubTitle 6 2 3 2" xfId="13169" xr:uid="{00000000-0005-0000-0000-00002A040000}"/>
    <cellStyle name="dp*SheetSubTitle 6 2 3 2 2" xfId="31595" xr:uid="{00000000-0005-0000-0000-00002A040000}"/>
    <cellStyle name="dp*SheetSubTitle 6 2 3 2 3" xfId="49958" xr:uid="{00000000-0005-0000-0000-00002A040000}"/>
    <cellStyle name="dp*SheetSubTitle 6 2 3 3" xfId="17480" xr:uid="{00000000-0005-0000-0000-00002A040000}"/>
    <cellStyle name="dp*SheetSubTitle 6 2 3 3 2" xfId="35828" xr:uid="{00000000-0005-0000-0000-00002A040000}"/>
    <cellStyle name="dp*SheetSubTitle 6 2 3 3 3" xfId="54191" xr:uid="{00000000-0005-0000-0000-00002A040000}"/>
    <cellStyle name="dp*SheetSubTitle 6 2 3 4" xfId="26613" xr:uid="{00000000-0005-0000-0000-00002A040000}"/>
    <cellStyle name="dp*SheetSubTitle 6 2 3 4 2" xfId="44982" xr:uid="{00000000-0005-0000-0000-00002A040000}"/>
    <cellStyle name="dp*SheetSubTitle 6 2 3 5" xfId="22906" xr:uid="{00000000-0005-0000-0000-00002A040000}"/>
    <cellStyle name="dp*SheetSubTitle 6 2 3 6" xfId="41275" xr:uid="{00000000-0005-0000-0000-00002A040000}"/>
    <cellStyle name="dp*SheetSubTitle 6 2 4" xfId="10592" xr:uid="{00000000-0005-0000-0000-00002A040000}"/>
    <cellStyle name="dp*SheetSubTitle 6 2 4 2" xfId="14649" xr:uid="{00000000-0005-0000-0000-00002A040000}"/>
    <cellStyle name="dp*SheetSubTitle 6 2 4 2 2" xfId="33065" xr:uid="{00000000-0005-0000-0000-00002A040000}"/>
    <cellStyle name="dp*SheetSubTitle 6 2 4 2 3" xfId="51428" xr:uid="{00000000-0005-0000-0000-00002A040000}"/>
    <cellStyle name="dp*SheetSubTitle 6 2 4 3" xfId="29303" xr:uid="{00000000-0005-0000-0000-00002A040000}"/>
    <cellStyle name="dp*SheetSubTitle 6 2 4 3 2" xfId="47666" xr:uid="{00000000-0005-0000-0000-00002A040000}"/>
    <cellStyle name="dp*SheetSubTitle 6 2 4 4" xfId="20106" xr:uid="{00000000-0005-0000-0000-00002A040000}"/>
    <cellStyle name="dp*SheetSubTitle 6 2 4 5" xfId="38512" xr:uid="{00000000-0005-0000-0000-00002A040000}"/>
    <cellStyle name="dp*SheetSubTitle 6 2 5" xfId="9984" xr:uid="{00000000-0005-0000-0000-00002A040000}"/>
    <cellStyle name="dp*SheetSubTitle 6 2 5 2" xfId="28696" xr:uid="{00000000-0005-0000-0000-00002A040000}"/>
    <cellStyle name="dp*SheetSubTitle 6 2 5 3" xfId="47059" xr:uid="{00000000-0005-0000-0000-00002A040000}"/>
    <cellStyle name="dp*SheetSubTitle 6 2 6" xfId="14041" xr:uid="{00000000-0005-0000-0000-00002A040000}"/>
    <cellStyle name="dp*SheetSubTitle 6 2 6 2" xfId="32458" xr:uid="{00000000-0005-0000-0000-00002A040000}"/>
    <cellStyle name="dp*SheetSubTitle 6 2 6 3" xfId="50821" xr:uid="{00000000-0005-0000-0000-00002A040000}"/>
    <cellStyle name="dp*SheetSubTitle 6 2 7" xfId="23787" xr:uid="{00000000-0005-0000-0000-00002A040000}"/>
    <cellStyle name="dp*SheetSubTitle 6 2 7 2" xfId="42156" xr:uid="{00000000-0005-0000-0000-00002A040000}"/>
    <cellStyle name="dp*SheetSubTitle 6 2 8" xfId="19351" xr:uid="{00000000-0005-0000-0000-00002A040000}"/>
    <cellStyle name="dp*SheetSubTitle 6 2 9" xfId="37758" xr:uid="{00000000-0005-0000-0000-00002A040000}"/>
    <cellStyle name="dp*SheetSubTitle 6 3" xfId="5471" xr:uid="{00000000-0005-0000-0000-00002A040000}"/>
    <cellStyle name="dp*SheetSubTitle 6 3 2" xfId="11842" xr:uid="{00000000-0005-0000-0000-00002A040000}"/>
    <cellStyle name="dp*SheetSubTitle 6 3 2 2" xfId="30293" xr:uid="{00000000-0005-0000-0000-00002A040000}"/>
    <cellStyle name="dp*SheetSubTitle 6 3 2 3" xfId="48656" xr:uid="{00000000-0005-0000-0000-00002A040000}"/>
    <cellStyle name="dp*SheetSubTitle 6 3 3" xfId="16162" xr:uid="{00000000-0005-0000-0000-00002A040000}"/>
    <cellStyle name="dp*SheetSubTitle 6 3 3 2" xfId="34534" xr:uid="{00000000-0005-0000-0000-00002A040000}"/>
    <cellStyle name="dp*SheetSubTitle 6 3 3 3" xfId="52897" xr:uid="{00000000-0005-0000-0000-00002A040000}"/>
    <cellStyle name="dp*SheetSubTitle 6 3 4" xfId="25281" xr:uid="{00000000-0005-0000-0000-00002A040000}"/>
    <cellStyle name="dp*SheetSubTitle 6 3 4 2" xfId="43650" xr:uid="{00000000-0005-0000-0000-00002A040000}"/>
    <cellStyle name="dp*SheetSubTitle 6 3 5" xfId="21602" xr:uid="{00000000-0005-0000-0000-00002A040000}"/>
    <cellStyle name="dp*SheetSubTitle 6 3 6" xfId="39981" xr:uid="{00000000-0005-0000-0000-00002A040000}"/>
    <cellStyle name="dp*SheetSubTitle 6 4" xfId="6310" xr:uid="{00000000-0005-0000-0000-00002A040000}"/>
    <cellStyle name="dp*SheetSubTitle 6 4 2" xfId="12601" xr:uid="{00000000-0005-0000-0000-00002A040000}"/>
    <cellStyle name="dp*SheetSubTitle 6 4 2 2" xfId="31027" xr:uid="{00000000-0005-0000-0000-00002A040000}"/>
    <cellStyle name="dp*SheetSubTitle 6 4 2 3" xfId="49390" xr:uid="{00000000-0005-0000-0000-00002A040000}"/>
    <cellStyle name="dp*SheetSubTitle 6 4 3" xfId="16913" xr:uid="{00000000-0005-0000-0000-00002A040000}"/>
    <cellStyle name="dp*SheetSubTitle 6 4 3 2" xfId="35263" xr:uid="{00000000-0005-0000-0000-00002A040000}"/>
    <cellStyle name="dp*SheetSubTitle 6 4 3 3" xfId="53626" xr:uid="{00000000-0005-0000-0000-00002A040000}"/>
    <cellStyle name="dp*SheetSubTitle 6 4 4" xfId="26048" xr:uid="{00000000-0005-0000-0000-00002A040000}"/>
    <cellStyle name="dp*SheetSubTitle 6 4 4 2" xfId="44417" xr:uid="{00000000-0005-0000-0000-00002A040000}"/>
    <cellStyle name="dp*SheetSubTitle 6 4 5" xfId="22341" xr:uid="{00000000-0005-0000-0000-00002A040000}"/>
    <cellStyle name="dp*SheetSubTitle 6 4 6" xfId="40710" xr:uid="{00000000-0005-0000-0000-00002A040000}"/>
    <cellStyle name="dp*SheetSubTitle 6 5" xfId="8973" xr:uid="{00000000-0005-0000-0000-00002A040000}"/>
    <cellStyle name="dp*SheetSubTitle 6 5 2" xfId="27710" xr:uid="{00000000-0005-0000-0000-00002A040000}"/>
    <cellStyle name="dp*SheetSubTitle 6 5 3" xfId="46073" xr:uid="{00000000-0005-0000-0000-00002A040000}"/>
    <cellStyle name="dp*SheetSubTitle 6 6" xfId="6956" xr:uid="{00000000-0005-0000-0000-00002A040000}"/>
    <cellStyle name="dp*SheetSubTitle 6 6 2" xfId="26686" xr:uid="{00000000-0005-0000-0000-00002A040000}"/>
    <cellStyle name="dp*SheetSubTitle 6 6 3" xfId="45055" xr:uid="{00000000-0005-0000-0000-00002A040000}"/>
    <cellStyle name="dp*SheetSubTitle 6 7" xfId="23210" xr:uid="{00000000-0005-0000-0000-00002A040000}"/>
    <cellStyle name="dp*SheetSubTitle 6 7 2" xfId="41579" xr:uid="{00000000-0005-0000-0000-00002A040000}"/>
    <cellStyle name="dp*SheetSubTitle 6 8" xfId="17796" xr:uid="{00000000-0005-0000-0000-00002A040000}"/>
    <cellStyle name="dp*SheetSubTitle 6 9" xfId="36212" xr:uid="{00000000-0005-0000-0000-00002A040000}"/>
    <cellStyle name="dp*SheetSubTitle 7" xfId="3315" xr:uid="{00000000-0005-0000-0000-00002B040000}"/>
    <cellStyle name="dp*SheetSubTitle 7 2" xfId="3895" xr:uid="{00000000-0005-0000-0000-00002B040000}"/>
    <cellStyle name="dp*SheetSubTitle 7 2 2" xfId="6068" xr:uid="{00000000-0005-0000-0000-00002B040000}"/>
    <cellStyle name="dp*SheetSubTitle 7 2 2 2" xfId="12432" xr:uid="{00000000-0005-0000-0000-00002B040000}"/>
    <cellStyle name="dp*SheetSubTitle 7 2 2 2 2" xfId="30879" xr:uid="{00000000-0005-0000-0000-00002B040000}"/>
    <cellStyle name="dp*SheetSubTitle 7 2 2 2 3" xfId="49242" xr:uid="{00000000-0005-0000-0000-00002B040000}"/>
    <cellStyle name="dp*SheetSubTitle 7 2 2 3" xfId="16758" xr:uid="{00000000-0005-0000-0000-00002B040000}"/>
    <cellStyle name="dp*SheetSubTitle 7 2 2 3 2" xfId="35130" xr:uid="{00000000-0005-0000-0000-00002B040000}"/>
    <cellStyle name="dp*SheetSubTitle 7 2 2 3 3" xfId="53493" xr:uid="{00000000-0005-0000-0000-00002B040000}"/>
    <cellStyle name="dp*SheetSubTitle 7 2 2 4" xfId="25877" xr:uid="{00000000-0005-0000-0000-00002B040000}"/>
    <cellStyle name="dp*SheetSubTitle 7 2 2 4 2" xfId="44246" xr:uid="{00000000-0005-0000-0000-00002B040000}"/>
    <cellStyle name="dp*SheetSubTitle 7 2 2 5" xfId="22198" xr:uid="{00000000-0005-0000-0000-00002B040000}"/>
    <cellStyle name="dp*SheetSubTitle 7 2 2 6" xfId="40577" xr:uid="{00000000-0005-0000-0000-00002B040000}"/>
    <cellStyle name="dp*SheetSubTitle 7 2 3" xfId="6894" xr:uid="{00000000-0005-0000-0000-00002B040000}"/>
    <cellStyle name="dp*SheetSubTitle 7 2 3 2" xfId="13185" xr:uid="{00000000-0005-0000-0000-00002B040000}"/>
    <cellStyle name="dp*SheetSubTitle 7 2 3 2 2" xfId="31611" xr:uid="{00000000-0005-0000-0000-00002B040000}"/>
    <cellStyle name="dp*SheetSubTitle 7 2 3 2 3" xfId="49974" xr:uid="{00000000-0005-0000-0000-00002B040000}"/>
    <cellStyle name="dp*SheetSubTitle 7 2 3 3" xfId="17496" xr:uid="{00000000-0005-0000-0000-00002B040000}"/>
    <cellStyle name="dp*SheetSubTitle 7 2 3 3 2" xfId="35844" xr:uid="{00000000-0005-0000-0000-00002B040000}"/>
    <cellStyle name="dp*SheetSubTitle 7 2 3 3 3" xfId="54207" xr:uid="{00000000-0005-0000-0000-00002B040000}"/>
    <cellStyle name="dp*SheetSubTitle 7 2 3 4" xfId="26629" xr:uid="{00000000-0005-0000-0000-00002B040000}"/>
    <cellStyle name="dp*SheetSubTitle 7 2 3 4 2" xfId="44998" xr:uid="{00000000-0005-0000-0000-00002B040000}"/>
    <cellStyle name="dp*SheetSubTitle 7 2 3 5" xfId="22922" xr:uid="{00000000-0005-0000-0000-00002B040000}"/>
    <cellStyle name="dp*SheetSubTitle 7 2 3 6" xfId="41291" xr:uid="{00000000-0005-0000-0000-00002B040000}"/>
    <cellStyle name="dp*SheetSubTitle 7 2 4" xfId="10608" xr:uid="{00000000-0005-0000-0000-00002B040000}"/>
    <cellStyle name="dp*SheetSubTitle 7 2 4 2" xfId="14665" xr:uid="{00000000-0005-0000-0000-00002B040000}"/>
    <cellStyle name="dp*SheetSubTitle 7 2 4 2 2" xfId="33081" xr:uid="{00000000-0005-0000-0000-00002B040000}"/>
    <cellStyle name="dp*SheetSubTitle 7 2 4 2 3" xfId="51444" xr:uid="{00000000-0005-0000-0000-00002B040000}"/>
    <cellStyle name="dp*SheetSubTitle 7 2 4 3" xfId="29319" xr:uid="{00000000-0005-0000-0000-00002B040000}"/>
    <cellStyle name="dp*SheetSubTitle 7 2 4 3 2" xfId="47682" xr:uid="{00000000-0005-0000-0000-00002B040000}"/>
    <cellStyle name="dp*SheetSubTitle 7 2 4 4" xfId="20122" xr:uid="{00000000-0005-0000-0000-00002B040000}"/>
    <cellStyle name="dp*SheetSubTitle 7 2 4 5" xfId="38528" xr:uid="{00000000-0005-0000-0000-00002B040000}"/>
    <cellStyle name="dp*SheetSubTitle 7 2 5" xfId="10002" xr:uid="{00000000-0005-0000-0000-00002B040000}"/>
    <cellStyle name="dp*SheetSubTitle 7 2 5 2" xfId="28714" xr:uid="{00000000-0005-0000-0000-00002B040000}"/>
    <cellStyle name="dp*SheetSubTitle 7 2 5 3" xfId="47077" xr:uid="{00000000-0005-0000-0000-00002B040000}"/>
    <cellStyle name="dp*SheetSubTitle 7 2 6" xfId="14059" xr:uid="{00000000-0005-0000-0000-00002B040000}"/>
    <cellStyle name="dp*SheetSubTitle 7 2 6 2" xfId="32476" xr:uid="{00000000-0005-0000-0000-00002B040000}"/>
    <cellStyle name="dp*SheetSubTitle 7 2 6 3" xfId="50839" xr:uid="{00000000-0005-0000-0000-00002B040000}"/>
    <cellStyle name="dp*SheetSubTitle 7 2 7" xfId="23803" xr:uid="{00000000-0005-0000-0000-00002B040000}"/>
    <cellStyle name="dp*SheetSubTitle 7 2 7 2" xfId="42172" xr:uid="{00000000-0005-0000-0000-00002B040000}"/>
    <cellStyle name="dp*SheetSubTitle 7 2 8" xfId="19372" xr:uid="{00000000-0005-0000-0000-00002B040000}"/>
    <cellStyle name="dp*SheetSubTitle 7 2 9" xfId="37779" xr:uid="{00000000-0005-0000-0000-00002B040000}"/>
    <cellStyle name="dp*SheetSubTitle 7 3" xfId="5500" xr:uid="{00000000-0005-0000-0000-00002B040000}"/>
    <cellStyle name="dp*SheetSubTitle 7 3 2" xfId="11865" xr:uid="{00000000-0005-0000-0000-00002B040000}"/>
    <cellStyle name="dp*SheetSubTitle 7 3 2 2" xfId="30312" xr:uid="{00000000-0005-0000-0000-00002B040000}"/>
    <cellStyle name="dp*SheetSubTitle 7 3 2 3" xfId="48675" xr:uid="{00000000-0005-0000-0000-00002B040000}"/>
    <cellStyle name="dp*SheetSubTitle 7 3 3" xfId="16191" xr:uid="{00000000-0005-0000-0000-00002B040000}"/>
    <cellStyle name="dp*SheetSubTitle 7 3 3 2" xfId="34563" xr:uid="{00000000-0005-0000-0000-00002B040000}"/>
    <cellStyle name="dp*SheetSubTitle 7 3 3 3" xfId="52926" xr:uid="{00000000-0005-0000-0000-00002B040000}"/>
    <cellStyle name="dp*SheetSubTitle 7 3 4" xfId="25310" xr:uid="{00000000-0005-0000-0000-00002B040000}"/>
    <cellStyle name="dp*SheetSubTitle 7 3 4 2" xfId="43679" xr:uid="{00000000-0005-0000-0000-00002B040000}"/>
    <cellStyle name="dp*SheetSubTitle 7 3 5" xfId="21631" xr:uid="{00000000-0005-0000-0000-00002B040000}"/>
    <cellStyle name="dp*SheetSubTitle 7 3 6" xfId="40010" xr:uid="{00000000-0005-0000-0000-00002B040000}"/>
    <cellStyle name="dp*SheetSubTitle 7 4" xfId="6328" xr:uid="{00000000-0005-0000-0000-00002B040000}"/>
    <cellStyle name="dp*SheetSubTitle 7 4 2" xfId="12619" xr:uid="{00000000-0005-0000-0000-00002B040000}"/>
    <cellStyle name="dp*SheetSubTitle 7 4 2 2" xfId="31045" xr:uid="{00000000-0005-0000-0000-00002B040000}"/>
    <cellStyle name="dp*SheetSubTitle 7 4 2 3" xfId="49408" xr:uid="{00000000-0005-0000-0000-00002B040000}"/>
    <cellStyle name="dp*SheetSubTitle 7 4 3" xfId="16930" xr:uid="{00000000-0005-0000-0000-00002B040000}"/>
    <cellStyle name="dp*SheetSubTitle 7 4 3 2" xfId="35279" xr:uid="{00000000-0005-0000-0000-00002B040000}"/>
    <cellStyle name="dp*SheetSubTitle 7 4 3 3" xfId="53642" xr:uid="{00000000-0005-0000-0000-00002B040000}"/>
    <cellStyle name="dp*SheetSubTitle 7 4 4" xfId="26064" xr:uid="{00000000-0005-0000-0000-00002B040000}"/>
    <cellStyle name="dp*SheetSubTitle 7 4 4 2" xfId="44433" xr:uid="{00000000-0005-0000-0000-00002B040000}"/>
    <cellStyle name="dp*SheetSubTitle 7 4 5" xfId="22357" xr:uid="{00000000-0005-0000-0000-00002B040000}"/>
    <cellStyle name="dp*SheetSubTitle 7 4 6" xfId="40726" xr:uid="{00000000-0005-0000-0000-00002B040000}"/>
    <cellStyle name="dp*SheetSubTitle 7 5" xfId="9000" xr:uid="{00000000-0005-0000-0000-00002B040000}"/>
    <cellStyle name="dp*SheetSubTitle 7 5 2" xfId="27728" xr:uid="{00000000-0005-0000-0000-00002B040000}"/>
    <cellStyle name="dp*SheetSubTitle 7 5 3" xfId="46091" xr:uid="{00000000-0005-0000-0000-00002B040000}"/>
    <cellStyle name="dp*SheetSubTitle 7 6" xfId="8152" xr:uid="{00000000-0005-0000-0000-00002B040000}"/>
    <cellStyle name="dp*SheetSubTitle 7 6 2" xfId="27356" xr:uid="{00000000-0005-0000-0000-00002B040000}"/>
    <cellStyle name="dp*SheetSubTitle 7 6 3" xfId="45721" xr:uid="{00000000-0005-0000-0000-00002B040000}"/>
    <cellStyle name="dp*SheetSubTitle 7 7" xfId="23237" xr:uid="{00000000-0005-0000-0000-00002B040000}"/>
    <cellStyle name="dp*SheetSubTitle 7 7 2" xfId="41606" xr:uid="{00000000-0005-0000-0000-00002B040000}"/>
    <cellStyle name="dp*SheetSubTitle 7 8" xfId="17826" xr:uid="{00000000-0005-0000-0000-00002B040000}"/>
    <cellStyle name="dp*SheetSubTitle 7 9" xfId="36239" xr:uid="{00000000-0005-0000-0000-00002B040000}"/>
    <cellStyle name="dp*SheetSubTitle 8" xfId="7086" xr:uid="{00000000-0005-0000-0000-000018040000}"/>
    <cellStyle name="dp*SheetSubTitle 8 2" xfId="26714" xr:uid="{00000000-0005-0000-0000-000018040000}"/>
    <cellStyle name="dp*SheetSubTitle 8 3" xfId="45082" xr:uid="{00000000-0005-0000-0000-000018040000}"/>
    <cellStyle name="dp*SheetTitle" xfId="427" xr:uid="{00000000-0005-0000-0000-00002C040000}"/>
    <cellStyle name="dp*SubTitle" xfId="428" xr:uid="{00000000-0005-0000-0000-00002D040000}"/>
    <cellStyle name="dp*SubTitle 2" xfId="1052" xr:uid="{00000000-0005-0000-0000-00002E040000}"/>
    <cellStyle name="dp*SubTitle 2 2" xfId="1311" xr:uid="{00000000-0005-0000-0000-00002F040000}"/>
    <cellStyle name="dp*SubTitle 2 2 2" xfId="3382" xr:uid="{00000000-0005-0000-0000-00002F040000}"/>
    <cellStyle name="dp*SubTitle 2 2 2 2" xfId="5557" xr:uid="{00000000-0005-0000-0000-00002F040000}"/>
    <cellStyle name="dp*SubTitle 2 2 2 2 2" xfId="11921" xr:uid="{00000000-0005-0000-0000-00002F040000}"/>
    <cellStyle name="dp*SubTitle 2 2 2 2 2 2" xfId="30368" xr:uid="{00000000-0005-0000-0000-00002F040000}"/>
    <cellStyle name="dp*SubTitle 2 2 2 2 2 3" xfId="48731" xr:uid="{00000000-0005-0000-0000-00002F040000}"/>
    <cellStyle name="dp*SubTitle 2 2 2 2 3" xfId="16247" xr:uid="{00000000-0005-0000-0000-00002F040000}"/>
    <cellStyle name="dp*SubTitle 2 2 2 2 3 2" xfId="34619" xr:uid="{00000000-0005-0000-0000-00002F040000}"/>
    <cellStyle name="dp*SubTitle 2 2 2 2 3 3" xfId="52982" xr:uid="{00000000-0005-0000-0000-00002F040000}"/>
    <cellStyle name="dp*SubTitle 2 2 2 2 4" xfId="25366" xr:uid="{00000000-0005-0000-0000-00002F040000}"/>
    <cellStyle name="dp*SubTitle 2 2 2 2 4 2" xfId="43735" xr:uid="{00000000-0005-0000-0000-00002F040000}"/>
    <cellStyle name="dp*SubTitle 2 2 2 2 5" xfId="21687" xr:uid="{00000000-0005-0000-0000-00002F040000}"/>
    <cellStyle name="dp*SubTitle 2 2 2 2 6" xfId="40066" xr:uid="{00000000-0005-0000-0000-00002F040000}"/>
    <cellStyle name="dp*SubTitle 2 2 2 3" xfId="6381" xr:uid="{00000000-0005-0000-0000-00002F040000}"/>
    <cellStyle name="dp*SubTitle 2 2 2 3 2" xfId="12672" xr:uid="{00000000-0005-0000-0000-00002F040000}"/>
    <cellStyle name="dp*SubTitle 2 2 2 3 2 2" xfId="31098" xr:uid="{00000000-0005-0000-0000-00002F040000}"/>
    <cellStyle name="dp*SubTitle 2 2 2 3 2 3" xfId="49461" xr:uid="{00000000-0005-0000-0000-00002F040000}"/>
    <cellStyle name="dp*SubTitle 2 2 2 3 3" xfId="16983" xr:uid="{00000000-0005-0000-0000-00002F040000}"/>
    <cellStyle name="dp*SubTitle 2 2 2 3 3 2" xfId="35331" xr:uid="{00000000-0005-0000-0000-00002F040000}"/>
    <cellStyle name="dp*SubTitle 2 2 2 3 3 3" xfId="53694" xr:uid="{00000000-0005-0000-0000-00002F040000}"/>
    <cellStyle name="dp*SubTitle 2 2 2 3 4" xfId="26116" xr:uid="{00000000-0005-0000-0000-00002F040000}"/>
    <cellStyle name="dp*SubTitle 2 2 2 3 4 2" xfId="44485" xr:uid="{00000000-0005-0000-0000-00002F040000}"/>
    <cellStyle name="dp*SubTitle 2 2 2 3 5" xfId="22409" xr:uid="{00000000-0005-0000-0000-00002F040000}"/>
    <cellStyle name="dp*SubTitle 2 2 2 3 6" xfId="40778" xr:uid="{00000000-0005-0000-0000-00002F040000}"/>
    <cellStyle name="dp*SubTitle 2 2 2 4" xfId="10095" xr:uid="{00000000-0005-0000-0000-00002F040000}"/>
    <cellStyle name="dp*SubTitle 2 2 2 4 2" xfId="14152" xr:uid="{00000000-0005-0000-0000-00002F040000}"/>
    <cellStyle name="dp*SubTitle 2 2 2 4 2 2" xfId="32568" xr:uid="{00000000-0005-0000-0000-00002F040000}"/>
    <cellStyle name="dp*SubTitle 2 2 2 4 2 3" xfId="50931" xr:uid="{00000000-0005-0000-0000-00002F040000}"/>
    <cellStyle name="dp*SubTitle 2 2 2 4 3" xfId="28806" xr:uid="{00000000-0005-0000-0000-00002F040000}"/>
    <cellStyle name="dp*SubTitle 2 2 2 4 3 2" xfId="47169" xr:uid="{00000000-0005-0000-0000-00002F040000}"/>
    <cellStyle name="dp*SubTitle 2 2 2 4 4" xfId="19609" xr:uid="{00000000-0005-0000-0000-00002F040000}"/>
    <cellStyle name="dp*SubTitle 2 2 2 4 5" xfId="38015" xr:uid="{00000000-0005-0000-0000-00002F040000}"/>
    <cellStyle name="dp*SubTitle 2 2 2 5" xfId="9279" xr:uid="{00000000-0005-0000-0000-00002F040000}"/>
    <cellStyle name="dp*SubTitle 2 2 2 5 2" xfId="27998" xr:uid="{00000000-0005-0000-0000-00002F040000}"/>
    <cellStyle name="dp*SubTitle 2 2 2 5 3" xfId="46361" xr:uid="{00000000-0005-0000-0000-00002F040000}"/>
    <cellStyle name="dp*SubTitle 2 2 2 6" xfId="13335" xr:uid="{00000000-0005-0000-0000-00002F040000}"/>
    <cellStyle name="dp*SubTitle 2 2 2 6 2" xfId="31756" xr:uid="{00000000-0005-0000-0000-00002F040000}"/>
    <cellStyle name="dp*SubTitle 2 2 2 6 3" xfId="50119" xr:uid="{00000000-0005-0000-0000-00002F040000}"/>
    <cellStyle name="dp*SubTitle 2 2 2 7" xfId="23290" xr:uid="{00000000-0005-0000-0000-00002F040000}"/>
    <cellStyle name="dp*SubTitle 2 2 2 7 2" xfId="41659" xr:uid="{00000000-0005-0000-0000-00002F040000}"/>
    <cellStyle name="dp*SubTitle 2 2 2 8" xfId="18345" xr:uid="{00000000-0005-0000-0000-00002F040000}"/>
    <cellStyle name="dp*SubTitle 2 2 2 9" xfId="36751" xr:uid="{00000000-0005-0000-0000-00002F040000}"/>
    <cellStyle name="dp*SubTitle 2 2 3" xfId="4359" xr:uid="{00000000-0005-0000-0000-00002F040000}"/>
    <cellStyle name="dp*SubTitle 2 2 3 2" xfId="10962" xr:uid="{00000000-0005-0000-0000-00002F040000}"/>
    <cellStyle name="dp*SubTitle 2 2 3 2 2" xfId="29587" xr:uid="{00000000-0005-0000-0000-00002F040000}"/>
    <cellStyle name="dp*SubTitle 2 2 3 2 3" xfId="47950" xr:uid="{00000000-0005-0000-0000-00002F040000}"/>
    <cellStyle name="dp*SubTitle 2 2 3 3" xfId="15098" xr:uid="{00000000-0005-0000-0000-00002F040000}"/>
    <cellStyle name="dp*SubTitle 2 2 3 3 2" xfId="33498" xr:uid="{00000000-0005-0000-0000-00002F040000}"/>
    <cellStyle name="dp*SubTitle 2 2 3 3 3" xfId="51861" xr:uid="{00000000-0005-0000-0000-00002F040000}"/>
    <cellStyle name="dp*SubTitle 2 2 3 4" xfId="24228" xr:uid="{00000000-0005-0000-0000-00002F040000}"/>
    <cellStyle name="dp*SubTitle 2 2 3 4 2" xfId="42597" xr:uid="{00000000-0005-0000-0000-00002F040000}"/>
    <cellStyle name="dp*SubTitle 2 2 3 5" xfId="20551" xr:uid="{00000000-0005-0000-0000-00002F040000}"/>
    <cellStyle name="dp*SubTitle 2 2 3 6" xfId="38945" xr:uid="{00000000-0005-0000-0000-00002F040000}"/>
    <cellStyle name="dp*SubTitle 2 2 4" xfId="4065" xr:uid="{00000000-0005-0000-0000-00002F040000}"/>
    <cellStyle name="dp*SubTitle 2 2 4 2" xfId="10765" xr:uid="{00000000-0005-0000-0000-00002F040000}"/>
    <cellStyle name="dp*SubTitle 2 2 4 2 2" xfId="29468" xr:uid="{00000000-0005-0000-0000-00002F040000}"/>
    <cellStyle name="dp*SubTitle 2 2 4 2 3" xfId="47831" xr:uid="{00000000-0005-0000-0000-00002F040000}"/>
    <cellStyle name="dp*SubTitle 2 2 4 3" xfId="14826" xr:uid="{00000000-0005-0000-0000-00002F040000}"/>
    <cellStyle name="dp*SubTitle 2 2 4 3 2" xfId="33238" xr:uid="{00000000-0005-0000-0000-00002F040000}"/>
    <cellStyle name="dp*SubTitle 2 2 4 3 3" xfId="51601" xr:uid="{00000000-0005-0000-0000-00002F040000}"/>
    <cellStyle name="dp*SubTitle 2 2 4 4" xfId="23962" xr:uid="{00000000-0005-0000-0000-00002F040000}"/>
    <cellStyle name="dp*SubTitle 2 2 4 4 2" xfId="42331" xr:uid="{00000000-0005-0000-0000-00002F040000}"/>
    <cellStyle name="dp*SubTitle 2 2 4 5" xfId="20282" xr:uid="{00000000-0005-0000-0000-00002F040000}"/>
    <cellStyle name="dp*SubTitle 2 2 4 6" xfId="38685" xr:uid="{00000000-0005-0000-0000-00002F040000}"/>
    <cellStyle name="dp*SubTitle 2 2 5" xfId="9254" xr:uid="{00000000-0005-0000-0000-00002F040000}"/>
    <cellStyle name="dp*SubTitle 2 2 5 2" xfId="13311" xr:uid="{00000000-0005-0000-0000-00002F040000}"/>
    <cellStyle name="dp*SubTitle 2 2 5 2 2" xfId="31732" xr:uid="{00000000-0005-0000-0000-00002F040000}"/>
    <cellStyle name="dp*SubTitle 2 2 5 2 3" xfId="50095" xr:uid="{00000000-0005-0000-0000-00002F040000}"/>
    <cellStyle name="dp*SubTitle 2 2 5 3" xfId="27974" xr:uid="{00000000-0005-0000-0000-00002F040000}"/>
    <cellStyle name="dp*SubTitle 2 2 5 3 2" xfId="46337" xr:uid="{00000000-0005-0000-0000-00002F040000}"/>
    <cellStyle name="dp*SubTitle 2 2 5 4" xfId="18309" xr:uid="{00000000-0005-0000-0000-00002F040000}"/>
    <cellStyle name="dp*SubTitle 2 2 5 5" xfId="36715" xr:uid="{00000000-0005-0000-0000-00002F040000}"/>
    <cellStyle name="dp*SubTitle 2 2 6" xfId="7618" xr:uid="{00000000-0005-0000-0000-00002F040000}"/>
    <cellStyle name="dp*SubTitle 2 2 6 2" xfId="26913" xr:uid="{00000000-0005-0000-0000-00002F040000}"/>
    <cellStyle name="dp*SubTitle 2 2 6 3" xfId="45278" xr:uid="{00000000-0005-0000-0000-00002F040000}"/>
    <cellStyle name="dp*SubTitle 2 2 7" xfId="8277" xr:uid="{00000000-0005-0000-0000-00002F040000}"/>
    <cellStyle name="dp*SubTitle 2 2 7 2" xfId="27404" xr:uid="{00000000-0005-0000-0000-00002F040000}"/>
    <cellStyle name="dp*SubTitle 2 2 7 3" xfId="45769" xr:uid="{00000000-0005-0000-0000-00002F040000}"/>
    <cellStyle name="dp*SubTitle 2 2 8" xfId="7718" xr:uid="{00000000-0005-0000-0000-00002F040000}"/>
    <cellStyle name="dp*SubTitle 2 2 9" xfId="6985" xr:uid="{00000000-0005-0000-0000-00002F040000}"/>
    <cellStyle name="dp*SubTitle 2 3" xfId="1702" xr:uid="{00000000-0005-0000-0000-000030040000}"/>
    <cellStyle name="dp*SubTitle 2 3 2" xfId="3600" xr:uid="{00000000-0005-0000-0000-000030040000}"/>
    <cellStyle name="dp*SubTitle 2 3 2 2" xfId="5773" xr:uid="{00000000-0005-0000-0000-000030040000}"/>
    <cellStyle name="dp*SubTitle 2 3 2 2 2" xfId="12137" xr:uid="{00000000-0005-0000-0000-000030040000}"/>
    <cellStyle name="dp*SubTitle 2 3 2 2 2 2" xfId="30584" xr:uid="{00000000-0005-0000-0000-000030040000}"/>
    <cellStyle name="dp*SubTitle 2 3 2 2 2 3" xfId="48947" xr:uid="{00000000-0005-0000-0000-000030040000}"/>
    <cellStyle name="dp*SubTitle 2 3 2 2 3" xfId="16463" xr:uid="{00000000-0005-0000-0000-000030040000}"/>
    <cellStyle name="dp*SubTitle 2 3 2 2 3 2" xfId="34835" xr:uid="{00000000-0005-0000-0000-000030040000}"/>
    <cellStyle name="dp*SubTitle 2 3 2 2 3 3" xfId="53198" xr:uid="{00000000-0005-0000-0000-000030040000}"/>
    <cellStyle name="dp*SubTitle 2 3 2 2 4" xfId="25582" xr:uid="{00000000-0005-0000-0000-000030040000}"/>
    <cellStyle name="dp*SubTitle 2 3 2 2 4 2" xfId="43951" xr:uid="{00000000-0005-0000-0000-000030040000}"/>
    <cellStyle name="dp*SubTitle 2 3 2 2 5" xfId="21903" xr:uid="{00000000-0005-0000-0000-000030040000}"/>
    <cellStyle name="dp*SubTitle 2 3 2 2 6" xfId="40282" xr:uid="{00000000-0005-0000-0000-000030040000}"/>
    <cellStyle name="dp*SubTitle 2 3 2 3" xfId="6599" xr:uid="{00000000-0005-0000-0000-000030040000}"/>
    <cellStyle name="dp*SubTitle 2 3 2 3 2" xfId="12890" xr:uid="{00000000-0005-0000-0000-000030040000}"/>
    <cellStyle name="dp*SubTitle 2 3 2 3 2 2" xfId="31316" xr:uid="{00000000-0005-0000-0000-000030040000}"/>
    <cellStyle name="dp*SubTitle 2 3 2 3 2 3" xfId="49679" xr:uid="{00000000-0005-0000-0000-000030040000}"/>
    <cellStyle name="dp*SubTitle 2 3 2 3 3" xfId="17201" xr:uid="{00000000-0005-0000-0000-000030040000}"/>
    <cellStyle name="dp*SubTitle 2 3 2 3 3 2" xfId="35549" xr:uid="{00000000-0005-0000-0000-000030040000}"/>
    <cellStyle name="dp*SubTitle 2 3 2 3 3 3" xfId="53912" xr:uid="{00000000-0005-0000-0000-000030040000}"/>
    <cellStyle name="dp*SubTitle 2 3 2 3 4" xfId="26334" xr:uid="{00000000-0005-0000-0000-000030040000}"/>
    <cellStyle name="dp*SubTitle 2 3 2 3 4 2" xfId="44703" xr:uid="{00000000-0005-0000-0000-000030040000}"/>
    <cellStyle name="dp*SubTitle 2 3 2 3 5" xfId="22627" xr:uid="{00000000-0005-0000-0000-000030040000}"/>
    <cellStyle name="dp*SubTitle 2 3 2 3 6" xfId="40996" xr:uid="{00000000-0005-0000-0000-000030040000}"/>
    <cellStyle name="dp*SubTitle 2 3 2 4" xfId="10313" xr:uid="{00000000-0005-0000-0000-000030040000}"/>
    <cellStyle name="dp*SubTitle 2 3 2 4 2" xfId="14370" xr:uid="{00000000-0005-0000-0000-000030040000}"/>
    <cellStyle name="dp*SubTitle 2 3 2 4 2 2" xfId="32786" xr:uid="{00000000-0005-0000-0000-000030040000}"/>
    <cellStyle name="dp*SubTitle 2 3 2 4 2 3" xfId="51149" xr:uid="{00000000-0005-0000-0000-000030040000}"/>
    <cellStyle name="dp*SubTitle 2 3 2 4 3" xfId="29024" xr:uid="{00000000-0005-0000-0000-000030040000}"/>
    <cellStyle name="dp*SubTitle 2 3 2 4 3 2" xfId="47387" xr:uid="{00000000-0005-0000-0000-000030040000}"/>
    <cellStyle name="dp*SubTitle 2 3 2 4 4" xfId="19827" xr:uid="{00000000-0005-0000-0000-000030040000}"/>
    <cellStyle name="dp*SubTitle 2 3 2 4 5" xfId="38233" xr:uid="{00000000-0005-0000-0000-000030040000}"/>
    <cellStyle name="dp*SubTitle 2 3 2 5" xfId="9521" xr:uid="{00000000-0005-0000-0000-000030040000}"/>
    <cellStyle name="dp*SubTitle 2 3 2 5 2" xfId="28238" xr:uid="{00000000-0005-0000-0000-000030040000}"/>
    <cellStyle name="dp*SubTitle 2 3 2 5 3" xfId="46601" xr:uid="{00000000-0005-0000-0000-000030040000}"/>
    <cellStyle name="dp*SubTitle 2 3 2 6" xfId="13579" xr:uid="{00000000-0005-0000-0000-000030040000}"/>
    <cellStyle name="dp*SubTitle 2 3 2 6 2" xfId="32000" xr:uid="{00000000-0005-0000-0000-000030040000}"/>
    <cellStyle name="dp*SubTitle 2 3 2 6 3" xfId="50363" xr:uid="{00000000-0005-0000-0000-000030040000}"/>
    <cellStyle name="dp*SubTitle 2 3 2 7" xfId="23508" xr:uid="{00000000-0005-0000-0000-000030040000}"/>
    <cellStyle name="dp*SubTitle 2 3 2 7 2" xfId="41877" xr:uid="{00000000-0005-0000-0000-000030040000}"/>
    <cellStyle name="dp*SubTitle 2 3 2 8" xfId="18619" xr:uid="{00000000-0005-0000-0000-000030040000}"/>
    <cellStyle name="dp*SubTitle 2 3 2 9" xfId="37029" xr:uid="{00000000-0005-0000-0000-000030040000}"/>
    <cellStyle name="dp*SubTitle 2 3 3" xfId="4640" xr:uid="{00000000-0005-0000-0000-000030040000}"/>
    <cellStyle name="dp*SubTitle 2 3 3 2" xfId="11224" xr:uid="{00000000-0005-0000-0000-000030040000}"/>
    <cellStyle name="dp*SubTitle 2 3 3 2 2" xfId="29836" xr:uid="{00000000-0005-0000-0000-000030040000}"/>
    <cellStyle name="dp*SubTitle 2 3 3 2 3" xfId="48199" xr:uid="{00000000-0005-0000-0000-000030040000}"/>
    <cellStyle name="dp*SubTitle 2 3 3 3" xfId="15366" xr:uid="{00000000-0005-0000-0000-000030040000}"/>
    <cellStyle name="dp*SubTitle 2 3 3 3 2" xfId="33759" xr:uid="{00000000-0005-0000-0000-000030040000}"/>
    <cellStyle name="dp*SubTitle 2 3 3 3 3" xfId="52122" xr:uid="{00000000-0005-0000-0000-000030040000}"/>
    <cellStyle name="dp*SubTitle 2 3 3 4" xfId="24490" xr:uid="{00000000-0005-0000-0000-000030040000}"/>
    <cellStyle name="dp*SubTitle 2 3 3 4 2" xfId="42859" xr:uid="{00000000-0005-0000-0000-000030040000}"/>
    <cellStyle name="dp*SubTitle 2 3 3 5" xfId="20817" xr:uid="{00000000-0005-0000-0000-000030040000}"/>
    <cellStyle name="dp*SubTitle 2 3 3 6" xfId="39206" xr:uid="{00000000-0005-0000-0000-000030040000}"/>
    <cellStyle name="dp*SubTitle 2 3 4" xfId="4160" xr:uid="{00000000-0005-0000-0000-000030040000}"/>
    <cellStyle name="dp*SubTitle 2 3 4 2" xfId="10816" xr:uid="{00000000-0005-0000-0000-000030040000}"/>
    <cellStyle name="dp*SubTitle 2 3 4 2 2" xfId="29488" xr:uid="{00000000-0005-0000-0000-000030040000}"/>
    <cellStyle name="dp*SubTitle 2 3 4 2 3" xfId="47851" xr:uid="{00000000-0005-0000-0000-000030040000}"/>
    <cellStyle name="dp*SubTitle 2 3 4 3" xfId="14911" xr:uid="{00000000-0005-0000-0000-000030040000}"/>
    <cellStyle name="dp*SubTitle 2 3 4 3 2" xfId="33315" xr:uid="{00000000-0005-0000-0000-000030040000}"/>
    <cellStyle name="dp*SubTitle 2 3 4 3 3" xfId="51678" xr:uid="{00000000-0005-0000-0000-000030040000}"/>
    <cellStyle name="dp*SubTitle 2 3 4 4" xfId="24040" xr:uid="{00000000-0005-0000-0000-000030040000}"/>
    <cellStyle name="dp*SubTitle 2 3 4 4 2" xfId="42409" xr:uid="{00000000-0005-0000-0000-000030040000}"/>
    <cellStyle name="dp*SubTitle 2 3 4 5" xfId="20364" xr:uid="{00000000-0005-0000-0000-000030040000}"/>
    <cellStyle name="dp*SubTitle 2 3 4 6" xfId="38762" xr:uid="{00000000-0005-0000-0000-000030040000}"/>
    <cellStyle name="dp*SubTitle 2 3 5" xfId="9920" xr:uid="{00000000-0005-0000-0000-000030040000}"/>
    <cellStyle name="dp*SubTitle 2 3 5 2" xfId="13977" xr:uid="{00000000-0005-0000-0000-000030040000}"/>
    <cellStyle name="dp*SubTitle 2 3 5 2 2" xfId="32394" xr:uid="{00000000-0005-0000-0000-000030040000}"/>
    <cellStyle name="dp*SubTitle 2 3 5 2 3" xfId="50757" xr:uid="{00000000-0005-0000-0000-000030040000}"/>
    <cellStyle name="dp*SubTitle 2 3 5 3" xfId="28632" xr:uid="{00000000-0005-0000-0000-000030040000}"/>
    <cellStyle name="dp*SubTitle 2 3 5 3 2" xfId="46995" xr:uid="{00000000-0005-0000-0000-000030040000}"/>
    <cellStyle name="dp*SubTitle 2 3 5 4" xfId="19223" xr:uid="{00000000-0005-0000-0000-000030040000}"/>
    <cellStyle name="dp*SubTitle 2 3 5 5" xfId="37630" xr:uid="{00000000-0005-0000-0000-000030040000}"/>
    <cellStyle name="dp*SubTitle 2 3 6" xfId="8632" xr:uid="{00000000-0005-0000-0000-000030040000}"/>
    <cellStyle name="dp*SubTitle 2 3 6 2" xfId="27543" xr:uid="{00000000-0005-0000-0000-000030040000}"/>
    <cellStyle name="dp*SubTitle 2 3 6 3" xfId="45907" xr:uid="{00000000-0005-0000-0000-000030040000}"/>
    <cellStyle name="dp*SubTitle 2 3 7" xfId="19069" xr:uid="{00000000-0005-0000-0000-000030040000}"/>
    <cellStyle name="dp*SubTitle 2 3 7 2" xfId="37477" xr:uid="{00000000-0005-0000-0000-000030040000}"/>
    <cellStyle name="dp*SubTitle 2 3 8" xfId="17820" xr:uid="{00000000-0005-0000-0000-000030040000}"/>
    <cellStyle name="dp*SubTitle 2 4" xfId="1908" xr:uid="{00000000-0005-0000-0000-000031040000}"/>
    <cellStyle name="dp*SubTitle 2 4 10" xfId="11828" xr:uid="{00000000-0005-0000-0000-000031040000}"/>
    <cellStyle name="dp*SubTitle 2 4 2" xfId="3726" xr:uid="{00000000-0005-0000-0000-000031040000}"/>
    <cellStyle name="dp*SubTitle 2 4 2 2" xfId="5899" xr:uid="{00000000-0005-0000-0000-000031040000}"/>
    <cellStyle name="dp*SubTitle 2 4 2 2 2" xfId="12263" xr:uid="{00000000-0005-0000-0000-000031040000}"/>
    <cellStyle name="dp*SubTitle 2 4 2 2 2 2" xfId="30710" xr:uid="{00000000-0005-0000-0000-000031040000}"/>
    <cellStyle name="dp*SubTitle 2 4 2 2 2 3" xfId="49073" xr:uid="{00000000-0005-0000-0000-000031040000}"/>
    <cellStyle name="dp*SubTitle 2 4 2 2 3" xfId="16589" xr:uid="{00000000-0005-0000-0000-000031040000}"/>
    <cellStyle name="dp*SubTitle 2 4 2 2 3 2" xfId="34961" xr:uid="{00000000-0005-0000-0000-000031040000}"/>
    <cellStyle name="dp*SubTitle 2 4 2 2 3 3" xfId="53324" xr:uid="{00000000-0005-0000-0000-000031040000}"/>
    <cellStyle name="dp*SubTitle 2 4 2 2 4" xfId="25708" xr:uid="{00000000-0005-0000-0000-000031040000}"/>
    <cellStyle name="dp*SubTitle 2 4 2 2 4 2" xfId="44077" xr:uid="{00000000-0005-0000-0000-000031040000}"/>
    <cellStyle name="dp*SubTitle 2 4 2 2 5" xfId="22029" xr:uid="{00000000-0005-0000-0000-000031040000}"/>
    <cellStyle name="dp*SubTitle 2 4 2 2 6" xfId="40408" xr:uid="{00000000-0005-0000-0000-000031040000}"/>
    <cellStyle name="dp*SubTitle 2 4 2 3" xfId="6725" xr:uid="{00000000-0005-0000-0000-000031040000}"/>
    <cellStyle name="dp*SubTitle 2 4 2 3 2" xfId="13016" xr:uid="{00000000-0005-0000-0000-000031040000}"/>
    <cellStyle name="dp*SubTitle 2 4 2 3 2 2" xfId="31442" xr:uid="{00000000-0005-0000-0000-000031040000}"/>
    <cellStyle name="dp*SubTitle 2 4 2 3 2 3" xfId="49805" xr:uid="{00000000-0005-0000-0000-000031040000}"/>
    <cellStyle name="dp*SubTitle 2 4 2 3 3" xfId="17327" xr:uid="{00000000-0005-0000-0000-000031040000}"/>
    <cellStyle name="dp*SubTitle 2 4 2 3 3 2" xfId="35675" xr:uid="{00000000-0005-0000-0000-000031040000}"/>
    <cellStyle name="dp*SubTitle 2 4 2 3 3 3" xfId="54038" xr:uid="{00000000-0005-0000-0000-000031040000}"/>
    <cellStyle name="dp*SubTitle 2 4 2 3 4" xfId="26460" xr:uid="{00000000-0005-0000-0000-000031040000}"/>
    <cellStyle name="dp*SubTitle 2 4 2 3 4 2" xfId="44829" xr:uid="{00000000-0005-0000-0000-000031040000}"/>
    <cellStyle name="dp*SubTitle 2 4 2 3 5" xfId="22753" xr:uid="{00000000-0005-0000-0000-000031040000}"/>
    <cellStyle name="dp*SubTitle 2 4 2 3 6" xfId="41122" xr:uid="{00000000-0005-0000-0000-000031040000}"/>
    <cellStyle name="dp*SubTitle 2 4 2 4" xfId="10439" xr:uid="{00000000-0005-0000-0000-000031040000}"/>
    <cellStyle name="dp*SubTitle 2 4 2 4 2" xfId="14496" xr:uid="{00000000-0005-0000-0000-000031040000}"/>
    <cellStyle name="dp*SubTitle 2 4 2 4 2 2" xfId="32912" xr:uid="{00000000-0005-0000-0000-000031040000}"/>
    <cellStyle name="dp*SubTitle 2 4 2 4 2 3" xfId="51275" xr:uid="{00000000-0005-0000-0000-000031040000}"/>
    <cellStyle name="dp*SubTitle 2 4 2 4 3" xfId="29150" xr:uid="{00000000-0005-0000-0000-000031040000}"/>
    <cellStyle name="dp*SubTitle 2 4 2 4 3 2" xfId="47513" xr:uid="{00000000-0005-0000-0000-000031040000}"/>
    <cellStyle name="dp*SubTitle 2 4 2 4 4" xfId="19953" xr:uid="{00000000-0005-0000-0000-000031040000}"/>
    <cellStyle name="dp*SubTitle 2 4 2 4 5" xfId="38359" xr:uid="{00000000-0005-0000-0000-000031040000}"/>
    <cellStyle name="dp*SubTitle 2 4 2 5" xfId="9655" xr:uid="{00000000-0005-0000-0000-000031040000}"/>
    <cellStyle name="dp*SubTitle 2 4 2 5 2" xfId="28371" xr:uid="{00000000-0005-0000-0000-000031040000}"/>
    <cellStyle name="dp*SubTitle 2 4 2 5 3" xfId="46734" xr:uid="{00000000-0005-0000-0000-000031040000}"/>
    <cellStyle name="dp*SubTitle 2 4 2 6" xfId="13712" xr:uid="{00000000-0005-0000-0000-000031040000}"/>
    <cellStyle name="dp*SubTitle 2 4 2 6 2" xfId="32133" xr:uid="{00000000-0005-0000-0000-000031040000}"/>
    <cellStyle name="dp*SubTitle 2 4 2 6 3" xfId="50496" xr:uid="{00000000-0005-0000-0000-000031040000}"/>
    <cellStyle name="dp*SubTitle 2 4 2 7" xfId="23634" xr:uid="{00000000-0005-0000-0000-000031040000}"/>
    <cellStyle name="dp*SubTitle 2 4 2 7 2" xfId="42003" xr:uid="{00000000-0005-0000-0000-000031040000}"/>
    <cellStyle name="dp*SubTitle 2 4 2 8" xfId="18780" xr:uid="{00000000-0005-0000-0000-000031040000}"/>
    <cellStyle name="dp*SubTitle 2 4 2 9" xfId="37189" xr:uid="{00000000-0005-0000-0000-000031040000}"/>
    <cellStyle name="dp*SubTitle 2 4 3" xfId="4819" xr:uid="{00000000-0005-0000-0000-000031040000}"/>
    <cellStyle name="dp*SubTitle 2 4 3 2" xfId="11380" xr:uid="{00000000-0005-0000-0000-000031040000}"/>
    <cellStyle name="dp*SubTitle 2 4 3 2 2" xfId="29972" xr:uid="{00000000-0005-0000-0000-000031040000}"/>
    <cellStyle name="dp*SubTitle 2 4 3 2 3" xfId="48335" xr:uid="{00000000-0005-0000-0000-000031040000}"/>
    <cellStyle name="dp*SubTitle 2 4 3 3" xfId="15545" xr:uid="{00000000-0005-0000-0000-000031040000}"/>
    <cellStyle name="dp*SubTitle 2 4 3 3 2" xfId="33938" xr:uid="{00000000-0005-0000-0000-000031040000}"/>
    <cellStyle name="dp*SubTitle 2 4 3 3 3" xfId="52301" xr:uid="{00000000-0005-0000-0000-000031040000}"/>
    <cellStyle name="dp*SubTitle 2 4 3 4" xfId="24669" xr:uid="{00000000-0005-0000-0000-000031040000}"/>
    <cellStyle name="dp*SubTitle 2 4 3 4 2" xfId="43038" xr:uid="{00000000-0005-0000-0000-000031040000}"/>
    <cellStyle name="dp*SubTitle 2 4 3 5" xfId="20996" xr:uid="{00000000-0005-0000-0000-000031040000}"/>
    <cellStyle name="dp*SubTitle 2 4 3 6" xfId="39385" xr:uid="{00000000-0005-0000-0000-000031040000}"/>
    <cellStyle name="dp*SubTitle 2 4 4" xfId="4578" xr:uid="{00000000-0005-0000-0000-000031040000}"/>
    <cellStyle name="dp*SubTitle 2 4 4 2" xfId="11163" xr:uid="{00000000-0005-0000-0000-000031040000}"/>
    <cellStyle name="dp*SubTitle 2 4 4 2 2" xfId="29777" xr:uid="{00000000-0005-0000-0000-000031040000}"/>
    <cellStyle name="dp*SubTitle 2 4 4 2 3" xfId="48140" xr:uid="{00000000-0005-0000-0000-000031040000}"/>
    <cellStyle name="dp*SubTitle 2 4 4 3" xfId="15304" xr:uid="{00000000-0005-0000-0000-000031040000}"/>
    <cellStyle name="dp*SubTitle 2 4 4 3 2" xfId="33698" xr:uid="{00000000-0005-0000-0000-000031040000}"/>
    <cellStyle name="dp*SubTitle 2 4 4 3 3" xfId="52061" xr:uid="{00000000-0005-0000-0000-000031040000}"/>
    <cellStyle name="dp*SubTitle 2 4 4 4" xfId="24429" xr:uid="{00000000-0005-0000-0000-000031040000}"/>
    <cellStyle name="dp*SubTitle 2 4 4 4 2" xfId="42798" xr:uid="{00000000-0005-0000-0000-000031040000}"/>
    <cellStyle name="dp*SubTitle 2 4 4 5" xfId="20755" xr:uid="{00000000-0005-0000-0000-000031040000}"/>
    <cellStyle name="dp*SubTitle 2 4 4 6" xfId="39145" xr:uid="{00000000-0005-0000-0000-000031040000}"/>
    <cellStyle name="dp*SubTitle 2 4 5" xfId="9234" xr:uid="{00000000-0005-0000-0000-000031040000}"/>
    <cellStyle name="dp*SubTitle 2 4 5 2" xfId="13291" xr:uid="{00000000-0005-0000-0000-000031040000}"/>
    <cellStyle name="dp*SubTitle 2 4 5 2 2" xfId="31712" xr:uid="{00000000-0005-0000-0000-000031040000}"/>
    <cellStyle name="dp*SubTitle 2 4 5 2 3" xfId="50075" xr:uid="{00000000-0005-0000-0000-000031040000}"/>
    <cellStyle name="dp*SubTitle 2 4 5 3" xfId="27954" xr:uid="{00000000-0005-0000-0000-000031040000}"/>
    <cellStyle name="dp*SubTitle 2 4 5 3 2" xfId="46317" xr:uid="{00000000-0005-0000-0000-000031040000}"/>
    <cellStyle name="dp*SubTitle 2 4 5 4" xfId="18285" xr:uid="{00000000-0005-0000-0000-000031040000}"/>
    <cellStyle name="dp*SubTitle 2 4 5 5" xfId="36691" xr:uid="{00000000-0005-0000-0000-000031040000}"/>
    <cellStyle name="dp*SubTitle 2 4 6" xfId="8107" xr:uid="{00000000-0005-0000-0000-000031040000}"/>
    <cellStyle name="dp*SubTitle 2 4 6 2" xfId="27312" xr:uid="{00000000-0005-0000-0000-000031040000}"/>
    <cellStyle name="dp*SubTitle 2 4 6 3" xfId="45677" xr:uid="{00000000-0005-0000-0000-000031040000}"/>
    <cellStyle name="dp*SubTitle 2 4 7" xfId="8881" xr:uid="{00000000-0005-0000-0000-000031040000}"/>
    <cellStyle name="dp*SubTitle 2 4 7 2" xfId="27666" xr:uid="{00000000-0005-0000-0000-000031040000}"/>
    <cellStyle name="dp*SubTitle 2 4 7 3" xfId="46029" xr:uid="{00000000-0005-0000-0000-000031040000}"/>
    <cellStyle name="dp*SubTitle 2 4 8" xfId="19479" xr:uid="{00000000-0005-0000-0000-000031040000}"/>
    <cellStyle name="dp*SubTitle 2 4 8 2" xfId="37885" xr:uid="{00000000-0005-0000-0000-000031040000}"/>
    <cellStyle name="dp*SubTitle 2 4 9" xfId="6978" xr:uid="{00000000-0005-0000-0000-000031040000}"/>
    <cellStyle name="dp*SubTitle 2 5" xfId="2323" xr:uid="{00000000-0005-0000-0000-000032040000}"/>
    <cellStyle name="dp*SubTitle 2 5 10" xfId="8846" xr:uid="{00000000-0005-0000-0000-000032040000}"/>
    <cellStyle name="dp*SubTitle 2 5 2" xfId="3771" xr:uid="{00000000-0005-0000-0000-000032040000}"/>
    <cellStyle name="dp*SubTitle 2 5 2 2" xfId="5944" xr:uid="{00000000-0005-0000-0000-000032040000}"/>
    <cellStyle name="dp*SubTitle 2 5 2 2 2" xfId="12308" xr:uid="{00000000-0005-0000-0000-000032040000}"/>
    <cellStyle name="dp*SubTitle 2 5 2 2 2 2" xfId="30755" xr:uid="{00000000-0005-0000-0000-000032040000}"/>
    <cellStyle name="dp*SubTitle 2 5 2 2 2 3" xfId="49118" xr:uid="{00000000-0005-0000-0000-000032040000}"/>
    <cellStyle name="dp*SubTitle 2 5 2 2 3" xfId="16634" xr:uid="{00000000-0005-0000-0000-000032040000}"/>
    <cellStyle name="dp*SubTitle 2 5 2 2 3 2" xfId="35006" xr:uid="{00000000-0005-0000-0000-000032040000}"/>
    <cellStyle name="dp*SubTitle 2 5 2 2 3 3" xfId="53369" xr:uid="{00000000-0005-0000-0000-000032040000}"/>
    <cellStyle name="dp*SubTitle 2 5 2 2 4" xfId="25753" xr:uid="{00000000-0005-0000-0000-000032040000}"/>
    <cellStyle name="dp*SubTitle 2 5 2 2 4 2" xfId="44122" xr:uid="{00000000-0005-0000-0000-000032040000}"/>
    <cellStyle name="dp*SubTitle 2 5 2 2 5" xfId="22074" xr:uid="{00000000-0005-0000-0000-000032040000}"/>
    <cellStyle name="dp*SubTitle 2 5 2 2 6" xfId="40453" xr:uid="{00000000-0005-0000-0000-000032040000}"/>
    <cellStyle name="dp*SubTitle 2 5 2 3" xfId="6770" xr:uid="{00000000-0005-0000-0000-000032040000}"/>
    <cellStyle name="dp*SubTitle 2 5 2 3 2" xfId="13061" xr:uid="{00000000-0005-0000-0000-000032040000}"/>
    <cellStyle name="dp*SubTitle 2 5 2 3 2 2" xfId="31487" xr:uid="{00000000-0005-0000-0000-000032040000}"/>
    <cellStyle name="dp*SubTitle 2 5 2 3 2 3" xfId="49850" xr:uid="{00000000-0005-0000-0000-000032040000}"/>
    <cellStyle name="dp*SubTitle 2 5 2 3 3" xfId="17372" xr:uid="{00000000-0005-0000-0000-000032040000}"/>
    <cellStyle name="dp*SubTitle 2 5 2 3 3 2" xfId="35720" xr:uid="{00000000-0005-0000-0000-000032040000}"/>
    <cellStyle name="dp*SubTitle 2 5 2 3 3 3" xfId="54083" xr:uid="{00000000-0005-0000-0000-000032040000}"/>
    <cellStyle name="dp*SubTitle 2 5 2 3 4" xfId="26505" xr:uid="{00000000-0005-0000-0000-000032040000}"/>
    <cellStyle name="dp*SubTitle 2 5 2 3 4 2" xfId="44874" xr:uid="{00000000-0005-0000-0000-000032040000}"/>
    <cellStyle name="dp*SubTitle 2 5 2 3 5" xfId="22798" xr:uid="{00000000-0005-0000-0000-000032040000}"/>
    <cellStyle name="dp*SubTitle 2 5 2 3 6" xfId="41167" xr:uid="{00000000-0005-0000-0000-000032040000}"/>
    <cellStyle name="dp*SubTitle 2 5 2 4" xfId="10484" xr:uid="{00000000-0005-0000-0000-000032040000}"/>
    <cellStyle name="dp*SubTitle 2 5 2 4 2" xfId="14541" xr:uid="{00000000-0005-0000-0000-000032040000}"/>
    <cellStyle name="dp*SubTitle 2 5 2 4 2 2" xfId="32957" xr:uid="{00000000-0005-0000-0000-000032040000}"/>
    <cellStyle name="dp*SubTitle 2 5 2 4 2 3" xfId="51320" xr:uid="{00000000-0005-0000-0000-000032040000}"/>
    <cellStyle name="dp*SubTitle 2 5 2 4 3" xfId="29195" xr:uid="{00000000-0005-0000-0000-000032040000}"/>
    <cellStyle name="dp*SubTitle 2 5 2 4 3 2" xfId="47558" xr:uid="{00000000-0005-0000-0000-000032040000}"/>
    <cellStyle name="dp*SubTitle 2 5 2 4 4" xfId="19998" xr:uid="{00000000-0005-0000-0000-000032040000}"/>
    <cellStyle name="dp*SubTitle 2 5 2 4 5" xfId="38404" xr:uid="{00000000-0005-0000-0000-000032040000}"/>
    <cellStyle name="dp*SubTitle 2 5 2 5" xfId="9755" xr:uid="{00000000-0005-0000-0000-000032040000}"/>
    <cellStyle name="dp*SubTitle 2 5 2 5 2" xfId="28470" xr:uid="{00000000-0005-0000-0000-000032040000}"/>
    <cellStyle name="dp*SubTitle 2 5 2 5 3" xfId="46833" xr:uid="{00000000-0005-0000-0000-000032040000}"/>
    <cellStyle name="dp*SubTitle 2 5 2 6" xfId="13812" xr:uid="{00000000-0005-0000-0000-000032040000}"/>
    <cellStyle name="dp*SubTitle 2 5 2 6 2" xfId="32232" xr:uid="{00000000-0005-0000-0000-000032040000}"/>
    <cellStyle name="dp*SubTitle 2 5 2 6 3" xfId="50595" xr:uid="{00000000-0005-0000-0000-000032040000}"/>
    <cellStyle name="dp*SubTitle 2 5 2 7" xfId="23679" xr:uid="{00000000-0005-0000-0000-000032040000}"/>
    <cellStyle name="dp*SubTitle 2 5 2 7 2" xfId="42048" xr:uid="{00000000-0005-0000-0000-000032040000}"/>
    <cellStyle name="dp*SubTitle 2 5 2 8" xfId="18937" xr:uid="{00000000-0005-0000-0000-000032040000}"/>
    <cellStyle name="dp*SubTitle 2 5 2 9" xfId="37346" xr:uid="{00000000-0005-0000-0000-000032040000}"/>
    <cellStyle name="dp*SubTitle 2 5 3" xfId="4971" xr:uid="{00000000-0005-0000-0000-000032040000}"/>
    <cellStyle name="dp*SubTitle 2 5 3 2" xfId="11501" xr:uid="{00000000-0005-0000-0000-000032040000}"/>
    <cellStyle name="dp*SubTitle 2 5 3 2 2" xfId="30074" xr:uid="{00000000-0005-0000-0000-000032040000}"/>
    <cellStyle name="dp*SubTitle 2 5 3 2 3" xfId="48437" xr:uid="{00000000-0005-0000-0000-000032040000}"/>
    <cellStyle name="dp*SubTitle 2 5 3 3" xfId="15687" xr:uid="{00000000-0005-0000-0000-000032040000}"/>
    <cellStyle name="dp*SubTitle 2 5 3 3 2" xfId="34076" xr:uid="{00000000-0005-0000-0000-000032040000}"/>
    <cellStyle name="dp*SubTitle 2 5 3 3 3" xfId="52439" xr:uid="{00000000-0005-0000-0000-000032040000}"/>
    <cellStyle name="dp*SubTitle 2 5 3 4" xfId="24811" xr:uid="{00000000-0005-0000-0000-000032040000}"/>
    <cellStyle name="dp*SubTitle 2 5 3 4 2" xfId="43180" xr:uid="{00000000-0005-0000-0000-000032040000}"/>
    <cellStyle name="dp*SubTitle 2 5 3 5" xfId="21136" xr:uid="{00000000-0005-0000-0000-000032040000}"/>
    <cellStyle name="dp*SubTitle 2 5 3 6" xfId="39523" xr:uid="{00000000-0005-0000-0000-000032040000}"/>
    <cellStyle name="dp*SubTitle 2 5 4" xfId="6111" xr:uid="{00000000-0005-0000-0000-000032040000}"/>
    <cellStyle name="dp*SubTitle 2 5 4 2" xfId="12465" xr:uid="{00000000-0005-0000-0000-000032040000}"/>
    <cellStyle name="dp*SubTitle 2 5 4 2 2" xfId="30905" xr:uid="{00000000-0005-0000-0000-000032040000}"/>
    <cellStyle name="dp*SubTitle 2 5 4 2 3" xfId="49268" xr:uid="{00000000-0005-0000-0000-000032040000}"/>
    <cellStyle name="dp*SubTitle 2 5 4 3" xfId="16784" xr:uid="{00000000-0005-0000-0000-000032040000}"/>
    <cellStyle name="dp*SubTitle 2 5 4 3 2" xfId="35153" xr:uid="{00000000-0005-0000-0000-000032040000}"/>
    <cellStyle name="dp*SubTitle 2 5 4 3 3" xfId="53516" xr:uid="{00000000-0005-0000-0000-000032040000}"/>
    <cellStyle name="dp*SubTitle 2 5 4 4" xfId="25907" xr:uid="{00000000-0005-0000-0000-000032040000}"/>
    <cellStyle name="dp*SubTitle 2 5 4 4 2" xfId="44276" xr:uid="{00000000-0005-0000-0000-000032040000}"/>
    <cellStyle name="dp*SubTitle 2 5 4 5" xfId="22223" xr:uid="{00000000-0005-0000-0000-000032040000}"/>
    <cellStyle name="dp*SubTitle 2 5 4 6" xfId="40600" xr:uid="{00000000-0005-0000-0000-000032040000}"/>
    <cellStyle name="dp*SubTitle 2 5 5" xfId="9448" xr:uid="{00000000-0005-0000-0000-000032040000}"/>
    <cellStyle name="dp*SubTitle 2 5 5 2" xfId="13505" xr:uid="{00000000-0005-0000-0000-000032040000}"/>
    <cellStyle name="dp*SubTitle 2 5 5 2 2" xfId="31926" xr:uid="{00000000-0005-0000-0000-000032040000}"/>
    <cellStyle name="dp*SubTitle 2 5 5 2 3" xfId="50289" xr:uid="{00000000-0005-0000-0000-000032040000}"/>
    <cellStyle name="dp*SubTitle 2 5 5 3" xfId="28165" xr:uid="{00000000-0005-0000-0000-000032040000}"/>
    <cellStyle name="dp*SubTitle 2 5 5 3 2" xfId="46528" xr:uid="{00000000-0005-0000-0000-000032040000}"/>
    <cellStyle name="dp*SubTitle 2 5 5 4" xfId="18533" xr:uid="{00000000-0005-0000-0000-000032040000}"/>
    <cellStyle name="dp*SubTitle 2 5 5 5" xfId="36942" xr:uid="{00000000-0005-0000-0000-000032040000}"/>
    <cellStyle name="dp*SubTitle 2 5 6" xfId="8364" xr:uid="{00000000-0005-0000-0000-000032040000}"/>
    <cellStyle name="dp*SubTitle 2 5 6 2" xfId="27431" xr:uid="{00000000-0005-0000-0000-000032040000}"/>
    <cellStyle name="dp*SubTitle 2 5 6 3" xfId="45795" xr:uid="{00000000-0005-0000-0000-000032040000}"/>
    <cellStyle name="dp*SubTitle 2 5 7" xfId="8069" xr:uid="{00000000-0005-0000-0000-000032040000}"/>
    <cellStyle name="dp*SubTitle 2 5 7 2" xfId="27281" xr:uid="{00000000-0005-0000-0000-000032040000}"/>
    <cellStyle name="dp*SubTitle 2 5 7 3" xfId="45646" xr:uid="{00000000-0005-0000-0000-000032040000}"/>
    <cellStyle name="dp*SubTitle 2 5 8" xfId="17884" xr:uid="{00000000-0005-0000-0000-000032040000}"/>
    <cellStyle name="dp*SubTitle 2 5 8 2" xfId="36294" xr:uid="{00000000-0005-0000-0000-000032040000}"/>
    <cellStyle name="dp*SubTitle 2 5 9" xfId="8331" xr:uid="{00000000-0005-0000-0000-000032040000}"/>
    <cellStyle name="dp*SubTitle 2 6" xfId="9146" xr:uid="{00000000-0005-0000-0000-00002E040000}"/>
    <cellStyle name="dp*SubTitle 2 6 2" xfId="13206" xr:uid="{00000000-0005-0000-0000-00002E040000}"/>
    <cellStyle name="dp*SubTitle 2 6 2 2" xfId="31631" xr:uid="{00000000-0005-0000-0000-00002E040000}"/>
    <cellStyle name="dp*SubTitle 2 6 2 3" xfId="49994" xr:uid="{00000000-0005-0000-0000-00002E040000}"/>
    <cellStyle name="dp*SubTitle 2 6 3" xfId="27872" xr:uid="{00000000-0005-0000-0000-00002E040000}"/>
    <cellStyle name="dp*SubTitle 2 6 3 2" xfId="46235" xr:uid="{00000000-0005-0000-0000-00002E040000}"/>
    <cellStyle name="dp*SubTitle 2 6 4" xfId="18073" xr:uid="{00000000-0005-0000-0000-00002E040000}"/>
    <cellStyle name="dp*SubTitle 2 6 5" xfId="36480" xr:uid="{00000000-0005-0000-0000-00002E040000}"/>
    <cellStyle name="dp*SubTitle 3" xfId="1211" xr:uid="{00000000-0005-0000-0000-000033040000}"/>
    <cellStyle name="dp*SubTitle 3 2" xfId="1633" xr:uid="{00000000-0005-0000-0000-000034040000}"/>
    <cellStyle name="dp*SubTitle 3 2 2" xfId="1716" xr:uid="{00000000-0005-0000-0000-000035040000}"/>
    <cellStyle name="dp*SubTitle 3 2 2 2" xfId="3613" xr:uid="{00000000-0005-0000-0000-000035040000}"/>
    <cellStyle name="dp*SubTitle 3 2 2 2 2" xfId="5786" xr:uid="{00000000-0005-0000-0000-000035040000}"/>
    <cellStyle name="dp*SubTitle 3 2 2 2 2 2" xfId="12150" xr:uid="{00000000-0005-0000-0000-000035040000}"/>
    <cellStyle name="dp*SubTitle 3 2 2 2 2 2 2" xfId="30597" xr:uid="{00000000-0005-0000-0000-000035040000}"/>
    <cellStyle name="dp*SubTitle 3 2 2 2 2 2 3" xfId="48960" xr:uid="{00000000-0005-0000-0000-000035040000}"/>
    <cellStyle name="dp*SubTitle 3 2 2 2 2 3" xfId="16476" xr:uid="{00000000-0005-0000-0000-000035040000}"/>
    <cellStyle name="dp*SubTitle 3 2 2 2 2 3 2" xfId="34848" xr:uid="{00000000-0005-0000-0000-000035040000}"/>
    <cellStyle name="dp*SubTitle 3 2 2 2 2 3 3" xfId="53211" xr:uid="{00000000-0005-0000-0000-000035040000}"/>
    <cellStyle name="dp*SubTitle 3 2 2 2 2 4" xfId="25595" xr:uid="{00000000-0005-0000-0000-000035040000}"/>
    <cellStyle name="dp*SubTitle 3 2 2 2 2 4 2" xfId="43964" xr:uid="{00000000-0005-0000-0000-000035040000}"/>
    <cellStyle name="dp*SubTitle 3 2 2 2 2 5" xfId="21916" xr:uid="{00000000-0005-0000-0000-000035040000}"/>
    <cellStyle name="dp*SubTitle 3 2 2 2 2 6" xfId="40295" xr:uid="{00000000-0005-0000-0000-000035040000}"/>
    <cellStyle name="dp*SubTitle 3 2 2 2 3" xfId="6612" xr:uid="{00000000-0005-0000-0000-000035040000}"/>
    <cellStyle name="dp*SubTitle 3 2 2 2 3 2" xfId="12903" xr:uid="{00000000-0005-0000-0000-000035040000}"/>
    <cellStyle name="dp*SubTitle 3 2 2 2 3 2 2" xfId="31329" xr:uid="{00000000-0005-0000-0000-000035040000}"/>
    <cellStyle name="dp*SubTitle 3 2 2 2 3 2 3" xfId="49692" xr:uid="{00000000-0005-0000-0000-000035040000}"/>
    <cellStyle name="dp*SubTitle 3 2 2 2 3 3" xfId="17214" xr:uid="{00000000-0005-0000-0000-000035040000}"/>
    <cellStyle name="dp*SubTitle 3 2 2 2 3 3 2" xfId="35562" xr:uid="{00000000-0005-0000-0000-000035040000}"/>
    <cellStyle name="dp*SubTitle 3 2 2 2 3 3 3" xfId="53925" xr:uid="{00000000-0005-0000-0000-000035040000}"/>
    <cellStyle name="dp*SubTitle 3 2 2 2 3 4" xfId="26347" xr:uid="{00000000-0005-0000-0000-000035040000}"/>
    <cellStyle name="dp*SubTitle 3 2 2 2 3 4 2" xfId="44716" xr:uid="{00000000-0005-0000-0000-000035040000}"/>
    <cellStyle name="dp*SubTitle 3 2 2 2 3 5" xfId="22640" xr:uid="{00000000-0005-0000-0000-000035040000}"/>
    <cellStyle name="dp*SubTitle 3 2 2 2 3 6" xfId="41009" xr:uid="{00000000-0005-0000-0000-000035040000}"/>
    <cellStyle name="dp*SubTitle 3 2 2 2 4" xfId="10326" xr:uid="{00000000-0005-0000-0000-000035040000}"/>
    <cellStyle name="dp*SubTitle 3 2 2 2 4 2" xfId="14383" xr:uid="{00000000-0005-0000-0000-000035040000}"/>
    <cellStyle name="dp*SubTitle 3 2 2 2 4 2 2" xfId="32799" xr:uid="{00000000-0005-0000-0000-000035040000}"/>
    <cellStyle name="dp*SubTitle 3 2 2 2 4 2 3" xfId="51162" xr:uid="{00000000-0005-0000-0000-000035040000}"/>
    <cellStyle name="dp*SubTitle 3 2 2 2 4 3" xfId="29037" xr:uid="{00000000-0005-0000-0000-000035040000}"/>
    <cellStyle name="dp*SubTitle 3 2 2 2 4 3 2" xfId="47400" xr:uid="{00000000-0005-0000-0000-000035040000}"/>
    <cellStyle name="dp*SubTitle 3 2 2 2 4 4" xfId="19840" xr:uid="{00000000-0005-0000-0000-000035040000}"/>
    <cellStyle name="dp*SubTitle 3 2 2 2 4 5" xfId="38246" xr:uid="{00000000-0005-0000-0000-000035040000}"/>
    <cellStyle name="dp*SubTitle 3 2 2 2 5" xfId="9534" xr:uid="{00000000-0005-0000-0000-000035040000}"/>
    <cellStyle name="dp*SubTitle 3 2 2 2 5 2" xfId="28251" xr:uid="{00000000-0005-0000-0000-000035040000}"/>
    <cellStyle name="dp*SubTitle 3 2 2 2 5 3" xfId="46614" xr:uid="{00000000-0005-0000-0000-000035040000}"/>
    <cellStyle name="dp*SubTitle 3 2 2 2 6" xfId="13592" xr:uid="{00000000-0005-0000-0000-000035040000}"/>
    <cellStyle name="dp*SubTitle 3 2 2 2 6 2" xfId="32013" xr:uid="{00000000-0005-0000-0000-000035040000}"/>
    <cellStyle name="dp*SubTitle 3 2 2 2 6 3" xfId="50376" xr:uid="{00000000-0005-0000-0000-000035040000}"/>
    <cellStyle name="dp*SubTitle 3 2 2 2 7" xfId="23521" xr:uid="{00000000-0005-0000-0000-000035040000}"/>
    <cellStyle name="dp*SubTitle 3 2 2 2 7 2" xfId="41890" xr:uid="{00000000-0005-0000-0000-000035040000}"/>
    <cellStyle name="dp*SubTitle 3 2 2 2 8" xfId="18633" xr:uid="{00000000-0005-0000-0000-000035040000}"/>
    <cellStyle name="dp*SubTitle 3 2 2 2 9" xfId="37043" xr:uid="{00000000-0005-0000-0000-000035040000}"/>
    <cellStyle name="dp*SubTitle 3 2 2 3" xfId="4653" xr:uid="{00000000-0005-0000-0000-000035040000}"/>
    <cellStyle name="dp*SubTitle 3 2 2 3 2" xfId="11237" xr:uid="{00000000-0005-0000-0000-000035040000}"/>
    <cellStyle name="dp*SubTitle 3 2 2 3 2 2" xfId="29849" xr:uid="{00000000-0005-0000-0000-000035040000}"/>
    <cellStyle name="dp*SubTitle 3 2 2 3 2 3" xfId="48212" xr:uid="{00000000-0005-0000-0000-000035040000}"/>
    <cellStyle name="dp*SubTitle 3 2 2 3 3" xfId="15379" xr:uid="{00000000-0005-0000-0000-000035040000}"/>
    <cellStyle name="dp*SubTitle 3 2 2 3 3 2" xfId="33772" xr:uid="{00000000-0005-0000-0000-000035040000}"/>
    <cellStyle name="dp*SubTitle 3 2 2 3 3 3" xfId="52135" xr:uid="{00000000-0005-0000-0000-000035040000}"/>
    <cellStyle name="dp*SubTitle 3 2 2 3 4" xfId="24503" xr:uid="{00000000-0005-0000-0000-000035040000}"/>
    <cellStyle name="dp*SubTitle 3 2 2 3 4 2" xfId="42872" xr:uid="{00000000-0005-0000-0000-000035040000}"/>
    <cellStyle name="dp*SubTitle 3 2 2 3 5" xfId="20830" xr:uid="{00000000-0005-0000-0000-000035040000}"/>
    <cellStyle name="dp*SubTitle 3 2 2 3 6" xfId="39219" xr:uid="{00000000-0005-0000-0000-000035040000}"/>
    <cellStyle name="dp*SubTitle 3 2 2 4" xfId="4565" xr:uid="{00000000-0005-0000-0000-000035040000}"/>
    <cellStyle name="dp*SubTitle 3 2 2 4 2" xfId="11150" xr:uid="{00000000-0005-0000-0000-000035040000}"/>
    <cellStyle name="dp*SubTitle 3 2 2 4 2 2" xfId="29764" xr:uid="{00000000-0005-0000-0000-000035040000}"/>
    <cellStyle name="dp*SubTitle 3 2 2 4 2 3" xfId="48127" xr:uid="{00000000-0005-0000-0000-000035040000}"/>
    <cellStyle name="dp*SubTitle 3 2 2 4 3" xfId="15291" xr:uid="{00000000-0005-0000-0000-000035040000}"/>
    <cellStyle name="dp*SubTitle 3 2 2 4 3 2" xfId="33685" xr:uid="{00000000-0005-0000-0000-000035040000}"/>
    <cellStyle name="dp*SubTitle 3 2 2 4 3 3" xfId="52048" xr:uid="{00000000-0005-0000-0000-000035040000}"/>
    <cellStyle name="dp*SubTitle 3 2 2 4 4" xfId="24416" xr:uid="{00000000-0005-0000-0000-000035040000}"/>
    <cellStyle name="dp*SubTitle 3 2 2 4 4 2" xfId="42785" xr:uid="{00000000-0005-0000-0000-000035040000}"/>
    <cellStyle name="dp*SubTitle 3 2 2 4 5" xfId="20742" xr:uid="{00000000-0005-0000-0000-000035040000}"/>
    <cellStyle name="dp*SubTitle 3 2 2 4 6" xfId="39132" xr:uid="{00000000-0005-0000-0000-000035040000}"/>
    <cellStyle name="dp*SubTitle 3 2 2 5" xfId="9083" xr:uid="{00000000-0005-0000-0000-000035040000}"/>
    <cellStyle name="dp*SubTitle 3 2 2 5 2" xfId="6082" xr:uid="{00000000-0005-0000-0000-000035040000}"/>
    <cellStyle name="dp*SubTitle 3 2 2 5 2 2" xfId="25890" xr:uid="{00000000-0005-0000-0000-000035040000}"/>
    <cellStyle name="dp*SubTitle 3 2 2 5 2 3" xfId="44259" xr:uid="{00000000-0005-0000-0000-000035040000}"/>
    <cellStyle name="dp*SubTitle 3 2 2 5 3" xfId="27809" xr:uid="{00000000-0005-0000-0000-000035040000}"/>
    <cellStyle name="dp*SubTitle 3 2 2 5 3 2" xfId="46172" xr:uid="{00000000-0005-0000-0000-000035040000}"/>
    <cellStyle name="dp*SubTitle 3 2 2 5 4" xfId="17983" xr:uid="{00000000-0005-0000-0000-000035040000}"/>
    <cellStyle name="dp*SubTitle 3 2 2 5 5" xfId="36391" xr:uid="{00000000-0005-0000-0000-000035040000}"/>
    <cellStyle name="dp*SubTitle 3 2 2 6" xfId="7947" xr:uid="{00000000-0005-0000-0000-000035040000}"/>
    <cellStyle name="dp*SubTitle 3 2 2 6 2" xfId="27177" xr:uid="{00000000-0005-0000-0000-000035040000}"/>
    <cellStyle name="dp*SubTitle 3 2 2 6 3" xfId="45542" xr:uid="{00000000-0005-0000-0000-000035040000}"/>
    <cellStyle name="dp*SubTitle 3 2 2 7" xfId="7427" xr:uid="{00000000-0005-0000-0000-000035040000}"/>
    <cellStyle name="dp*SubTitle 3 2 2 7 2" xfId="26815" xr:uid="{00000000-0005-0000-0000-000035040000}"/>
    <cellStyle name="dp*SubTitle 3 2 2 7 3" xfId="45183" xr:uid="{00000000-0005-0000-0000-000035040000}"/>
    <cellStyle name="dp*SubTitle 3 2 2 8" xfId="6148" xr:uid="{00000000-0005-0000-0000-000035040000}"/>
    <cellStyle name="dp*SubTitle 3 2 2 9" xfId="7894" xr:uid="{00000000-0005-0000-0000-000035040000}"/>
    <cellStyle name="dp*SubTitle 3 2 3" xfId="1747" xr:uid="{00000000-0005-0000-0000-000036040000}"/>
    <cellStyle name="dp*SubTitle 3 2 3 10" xfId="8039" xr:uid="{00000000-0005-0000-0000-000036040000}"/>
    <cellStyle name="dp*SubTitle 3 2 3 2" xfId="3644" xr:uid="{00000000-0005-0000-0000-000036040000}"/>
    <cellStyle name="dp*SubTitle 3 2 3 2 2" xfId="5817" xr:uid="{00000000-0005-0000-0000-000036040000}"/>
    <cellStyle name="dp*SubTitle 3 2 3 2 2 2" xfId="12181" xr:uid="{00000000-0005-0000-0000-000036040000}"/>
    <cellStyle name="dp*SubTitle 3 2 3 2 2 2 2" xfId="30628" xr:uid="{00000000-0005-0000-0000-000036040000}"/>
    <cellStyle name="dp*SubTitle 3 2 3 2 2 2 3" xfId="48991" xr:uid="{00000000-0005-0000-0000-000036040000}"/>
    <cellStyle name="dp*SubTitle 3 2 3 2 2 3" xfId="16507" xr:uid="{00000000-0005-0000-0000-000036040000}"/>
    <cellStyle name="dp*SubTitle 3 2 3 2 2 3 2" xfId="34879" xr:uid="{00000000-0005-0000-0000-000036040000}"/>
    <cellStyle name="dp*SubTitle 3 2 3 2 2 3 3" xfId="53242" xr:uid="{00000000-0005-0000-0000-000036040000}"/>
    <cellStyle name="dp*SubTitle 3 2 3 2 2 4" xfId="25626" xr:uid="{00000000-0005-0000-0000-000036040000}"/>
    <cellStyle name="dp*SubTitle 3 2 3 2 2 4 2" xfId="43995" xr:uid="{00000000-0005-0000-0000-000036040000}"/>
    <cellStyle name="dp*SubTitle 3 2 3 2 2 5" xfId="21947" xr:uid="{00000000-0005-0000-0000-000036040000}"/>
    <cellStyle name="dp*SubTitle 3 2 3 2 2 6" xfId="40326" xr:uid="{00000000-0005-0000-0000-000036040000}"/>
    <cellStyle name="dp*SubTitle 3 2 3 2 3" xfId="6643" xr:uid="{00000000-0005-0000-0000-000036040000}"/>
    <cellStyle name="dp*SubTitle 3 2 3 2 3 2" xfId="12934" xr:uid="{00000000-0005-0000-0000-000036040000}"/>
    <cellStyle name="dp*SubTitle 3 2 3 2 3 2 2" xfId="31360" xr:uid="{00000000-0005-0000-0000-000036040000}"/>
    <cellStyle name="dp*SubTitle 3 2 3 2 3 2 3" xfId="49723" xr:uid="{00000000-0005-0000-0000-000036040000}"/>
    <cellStyle name="dp*SubTitle 3 2 3 2 3 3" xfId="17245" xr:uid="{00000000-0005-0000-0000-000036040000}"/>
    <cellStyle name="dp*SubTitle 3 2 3 2 3 3 2" xfId="35593" xr:uid="{00000000-0005-0000-0000-000036040000}"/>
    <cellStyle name="dp*SubTitle 3 2 3 2 3 3 3" xfId="53956" xr:uid="{00000000-0005-0000-0000-000036040000}"/>
    <cellStyle name="dp*SubTitle 3 2 3 2 3 4" xfId="26378" xr:uid="{00000000-0005-0000-0000-000036040000}"/>
    <cellStyle name="dp*SubTitle 3 2 3 2 3 4 2" xfId="44747" xr:uid="{00000000-0005-0000-0000-000036040000}"/>
    <cellStyle name="dp*SubTitle 3 2 3 2 3 5" xfId="22671" xr:uid="{00000000-0005-0000-0000-000036040000}"/>
    <cellStyle name="dp*SubTitle 3 2 3 2 3 6" xfId="41040" xr:uid="{00000000-0005-0000-0000-000036040000}"/>
    <cellStyle name="dp*SubTitle 3 2 3 2 4" xfId="10357" xr:uid="{00000000-0005-0000-0000-000036040000}"/>
    <cellStyle name="dp*SubTitle 3 2 3 2 4 2" xfId="14414" xr:uid="{00000000-0005-0000-0000-000036040000}"/>
    <cellStyle name="dp*SubTitle 3 2 3 2 4 2 2" xfId="32830" xr:uid="{00000000-0005-0000-0000-000036040000}"/>
    <cellStyle name="dp*SubTitle 3 2 3 2 4 2 3" xfId="51193" xr:uid="{00000000-0005-0000-0000-000036040000}"/>
    <cellStyle name="dp*SubTitle 3 2 3 2 4 3" xfId="29068" xr:uid="{00000000-0005-0000-0000-000036040000}"/>
    <cellStyle name="dp*SubTitle 3 2 3 2 4 3 2" xfId="47431" xr:uid="{00000000-0005-0000-0000-000036040000}"/>
    <cellStyle name="dp*SubTitle 3 2 3 2 4 4" xfId="19871" xr:uid="{00000000-0005-0000-0000-000036040000}"/>
    <cellStyle name="dp*SubTitle 3 2 3 2 4 5" xfId="38277" xr:uid="{00000000-0005-0000-0000-000036040000}"/>
    <cellStyle name="dp*SubTitle 3 2 3 2 5" xfId="9565" xr:uid="{00000000-0005-0000-0000-000036040000}"/>
    <cellStyle name="dp*SubTitle 3 2 3 2 5 2" xfId="28282" xr:uid="{00000000-0005-0000-0000-000036040000}"/>
    <cellStyle name="dp*SubTitle 3 2 3 2 5 3" xfId="46645" xr:uid="{00000000-0005-0000-0000-000036040000}"/>
    <cellStyle name="dp*SubTitle 3 2 3 2 6" xfId="13623" xr:uid="{00000000-0005-0000-0000-000036040000}"/>
    <cellStyle name="dp*SubTitle 3 2 3 2 6 2" xfId="32044" xr:uid="{00000000-0005-0000-0000-000036040000}"/>
    <cellStyle name="dp*SubTitle 3 2 3 2 6 3" xfId="50407" xr:uid="{00000000-0005-0000-0000-000036040000}"/>
    <cellStyle name="dp*SubTitle 3 2 3 2 7" xfId="23552" xr:uid="{00000000-0005-0000-0000-000036040000}"/>
    <cellStyle name="dp*SubTitle 3 2 3 2 7 2" xfId="41921" xr:uid="{00000000-0005-0000-0000-000036040000}"/>
    <cellStyle name="dp*SubTitle 3 2 3 2 8" xfId="18664" xr:uid="{00000000-0005-0000-0000-000036040000}"/>
    <cellStyle name="dp*SubTitle 3 2 3 2 9" xfId="37074" xr:uid="{00000000-0005-0000-0000-000036040000}"/>
    <cellStyle name="dp*SubTitle 3 2 3 3" xfId="4684" xr:uid="{00000000-0005-0000-0000-000036040000}"/>
    <cellStyle name="dp*SubTitle 3 2 3 3 2" xfId="11268" xr:uid="{00000000-0005-0000-0000-000036040000}"/>
    <cellStyle name="dp*SubTitle 3 2 3 3 2 2" xfId="29880" xr:uid="{00000000-0005-0000-0000-000036040000}"/>
    <cellStyle name="dp*SubTitle 3 2 3 3 2 3" xfId="48243" xr:uid="{00000000-0005-0000-0000-000036040000}"/>
    <cellStyle name="dp*SubTitle 3 2 3 3 3" xfId="15410" xr:uid="{00000000-0005-0000-0000-000036040000}"/>
    <cellStyle name="dp*SubTitle 3 2 3 3 3 2" xfId="33803" xr:uid="{00000000-0005-0000-0000-000036040000}"/>
    <cellStyle name="dp*SubTitle 3 2 3 3 3 3" xfId="52166" xr:uid="{00000000-0005-0000-0000-000036040000}"/>
    <cellStyle name="dp*SubTitle 3 2 3 3 4" xfId="24534" xr:uid="{00000000-0005-0000-0000-000036040000}"/>
    <cellStyle name="dp*SubTitle 3 2 3 3 4 2" xfId="42903" xr:uid="{00000000-0005-0000-0000-000036040000}"/>
    <cellStyle name="dp*SubTitle 3 2 3 3 5" xfId="20861" xr:uid="{00000000-0005-0000-0000-000036040000}"/>
    <cellStyle name="dp*SubTitle 3 2 3 3 6" xfId="39250" xr:uid="{00000000-0005-0000-0000-000036040000}"/>
    <cellStyle name="dp*SubTitle 3 2 3 4" xfId="5030" xr:uid="{00000000-0005-0000-0000-000036040000}"/>
    <cellStyle name="dp*SubTitle 3 2 3 4 2" xfId="11553" xr:uid="{00000000-0005-0000-0000-000036040000}"/>
    <cellStyle name="dp*SubTitle 3 2 3 4 2 2" xfId="30125" xr:uid="{00000000-0005-0000-0000-000036040000}"/>
    <cellStyle name="dp*SubTitle 3 2 3 4 2 3" xfId="48488" xr:uid="{00000000-0005-0000-0000-000036040000}"/>
    <cellStyle name="dp*SubTitle 3 2 3 4 3" xfId="15743" xr:uid="{00000000-0005-0000-0000-000036040000}"/>
    <cellStyle name="dp*SubTitle 3 2 3 4 3 2" xfId="34131" xr:uid="{00000000-0005-0000-0000-000036040000}"/>
    <cellStyle name="dp*SubTitle 3 2 3 4 3 3" xfId="52494" xr:uid="{00000000-0005-0000-0000-000036040000}"/>
    <cellStyle name="dp*SubTitle 3 2 3 4 4" xfId="24867" xr:uid="{00000000-0005-0000-0000-000036040000}"/>
    <cellStyle name="dp*SubTitle 3 2 3 4 4 2" xfId="43236" xr:uid="{00000000-0005-0000-0000-000036040000}"/>
    <cellStyle name="dp*SubTitle 3 2 3 4 5" xfId="21191" xr:uid="{00000000-0005-0000-0000-000036040000}"/>
    <cellStyle name="dp*SubTitle 3 2 3 4 6" xfId="39578" xr:uid="{00000000-0005-0000-0000-000036040000}"/>
    <cellStyle name="dp*SubTitle 3 2 3 5" xfId="9703" xr:uid="{00000000-0005-0000-0000-000036040000}"/>
    <cellStyle name="dp*SubTitle 3 2 3 5 2" xfId="13760" xr:uid="{00000000-0005-0000-0000-000036040000}"/>
    <cellStyle name="dp*SubTitle 3 2 3 5 2 2" xfId="32181" xr:uid="{00000000-0005-0000-0000-000036040000}"/>
    <cellStyle name="dp*SubTitle 3 2 3 5 2 3" xfId="50544" xr:uid="{00000000-0005-0000-0000-000036040000}"/>
    <cellStyle name="dp*SubTitle 3 2 3 5 3" xfId="28419" xr:uid="{00000000-0005-0000-0000-000036040000}"/>
    <cellStyle name="dp*SubTitle 3 2 3 5 3 2" xfId="46782" xr:uid="{00000000-0005-0000-0000-000036040000}"/>
    <cellStyle name="dp*SubTitle 3 2 3 5 4" xfId="18850" xr:uid="{00000000-0005-0000-0000-000036040000}"/>
    <cellStyle name="dp*SubTitle 3 2 3 5 5" xfId="37259" xr:uid="{00000000-0005-0000-0000-000036040000}"/>
    <cellStyle name="dp*SubTitle 3 2 3 6" xfId="7978" xr:uid="{00000000-0005-0000-0000-000036040000}"/>
    <cellStyle name="dp*SubTitle 3 2 3 6 2" xfId="27208" xr:uid="{00000000-0005-0000-0000-000036040000}"/>
    <cellStyle name="dp*SubTitle 3 2 3 6 3" xfId="45573" xr:uid="{00000000-0005-0000-0000-000036040000}"/>
    <cellStyle name="dp*SubTitle 3 2 3 7" xfId="7778" xr:uid="{00000000-0005-0000-0000-000036040000}"/>
    <cellStyle name="dp*SubTitle 3 2 3 7 2" xfId="27051" xr:uid="{00000000-0005-0000-0000-000036040000}"/>
    <cellStyle name="dp*SubTitle 3 2 3 7 3" xfId="45416" xr:uid="{00000000-0005-0000-0000-000036040000}"/>
    <cellStyle name="dp*SubTitle 3 2 3 8" xfId="19545" xr:uid="{00000000-0005-0000-0000-000036040000}"/>
    <cellStyle name="dp*SubTitle 3 2 3 8 2" xfId="37951" xr:uid="{00000000-0005-0000-0000-000036040000}"/>
    <cellStyle name="dp*SubTitle 3 2 3 9" xfId="7062" xr:uid="{00000000-0005-0000-0000-000036040000}"/>
    <cellStyle name="dp*SubTitle 3 2 4" xfId="1775" xr:uid="{00000000-0005-0000-0000-000037040000}"/>
    <cellStyle name="dp*SubTitle 3 2 4 10" xfId="8292" xr:uid="{00000000-0005-0000-0000-000037040000}"/>
    <cellStyle name="dp*SubTitle 3 2 4 2" xfId="3672" xr:uid="{00000000-0005-0000-0000-000037040000}"/>
    <cellStyle name="dp*SubTitle 3 2 4 2 2" xfId="5845" xr:uid="{00000000-0005-0000-0000-000037040000}"/>
    <cellStyle name="dp*SubTitle 3 2 4 2 2 2" xfId="12209" xr:uid="{00000000-0005-0000-0000-000037040000}"/>
    <cellStyle name="dp*SubTitle 3 2 4 2 2 2 2" xfId="30656" xr:uid="{00000000-0005-0000-0000-000037040000}"/>
    <cellStyle name="dp*SubTitle 3 2 4 2 2 2 3" xfId="49019" xr:uid="{00000000-0005-0000-0000-000037040000}"/>
    <cellStyle name="dp*SubTitle 3 2 4 2 2 3" xfId="16535" xr:uid="{00000000-0005-0000-0000-000037040000}"/>
    <cellStyle name="dp*SubTitle 3 2 4 2 2 3 2" xfId="34907" xr:uid="{00000000-0005-0000-0000-000037040000}"/>
    <cellStyle name="dp*SubTitle 3 2 4 2 2 3 3" xfId="53270" xr:uid="{00000000-0005-0000-0000-000037040000}"/>
    <cellStyle name="dp*SubTitle 3 2 4 2 2 4" xfId="25654" xr:uid="{00000000-0005-0000-0000-000037040000}"/>
    <cellStyle name="dp*SubTitle 3 2 4 2 2 4 2" xfId="44023" xr:uid="{00000000-0005-0000-0000-000037040000}"/>
    <cellStyle name="dp*SubTitle 3 2 4 2 2 5" xfId="21975" xr:uid="{00000000-0005-0000-0000-000037040000}"/>
    <cellStyle name="dp*SubTitle 3 2 4 2 2 6" xfId="40354" xr:uid="{00000000-0005-0000-0000-000037040000}"/>
    <cellStyle name="dp*SubTitle 3 2 4 2 3" xfId="6671" xr:uid="{00000000-0005-0000-0000-000037040000}"/>
    <cellStyle name="dp*SubTitle 3 2 4 2 3 2" xfId="12962" xr:uid="{00000000-0005-0000-0000-000037040000}"/>
    <cellStyle name="dp*SubTitle 3 2 4 2 3 2 2" xfId="31388" xr:uid="{00000000-0005-0000-0000-000037040000}"/>
    <cellStyle name="dp*SubTitle 3 2 4 2 3 2 3" xfId="49751" xr:uid="{00000000-0005-0000-0000-000037040000}"/>
    <cellStyle name="dp*SubTitle 3 2 4 2 3 3" xfId="17273" xr:uid="{00000000-0005-0000-0000-000037040000}"/>
    <cellStyle name="dp*SubTitle 3 2 4 2 3 3 2" xfId="35621" xr:uid="{00000000-0005-0000-0000-000037040000}"/>
    <cellStyle name="dp*SubTitle 3 2 4 2 3 3 3" xfId="53984" xr:uid="{00000000-0005-0000-0000-000037040000}"/>
    <cellStyle name="dp*SubTitle 3 2 4 2 3 4" xfId="26406" xr:uid="{00000000-0005-0000-0000-000037040000}"/>
    <cellStyle name="dp*SubTitle 3 2 4 2 3 4 2" xfId="44775" xr:uid="{00000000-0005-0000-0000-000037040000}"/>
    <cellStyle name="dp*SubTitle 3 2 4 2 3 5" xfId="22699" xr:uid="{00000000-0005-0000-0000-000037040000}"/>
    <cellStyle name="dp*SubTitle 3 2 4 2 3 6" xfId="41068" xr:uid="{00000000-0005-0000-0000-000037040000}"/>
    <cellStyle name="dp*SubTitle 3 2 4 2 4" xfId="10385" xr:uid="{00000000-0005-0000-0000-000037040000}"/>
    <cellStyle name="dp*SubTitle 3 2 4 2 4 2" xfId="14442" xr:uid="{00000000-0005-0000-0000-000037040000}"/>
    <cellStyle name="dp*SubTitle 3 2 4 2 4 2 2" xfId="32858" xr:uid="{00000000-0005-0000-0000-000037040000}"/>
    <cellStyle name="dp*SubTitle 3 2 4 2 4 2 3" xfId="51221" xr:uid="{00000000-0005-0000-0000-000037040000}"/>
    <cellStyle name="dp*SubTitle 3 2 4 2 4 3" xfId="29096" xr:uid="{00000000-0005-0000-0000-000037040000}"/>
    <cellStyle name="dp*SubTitle 3 2 4 2 4 3 2" xfId="47459" xr:uid="{00000000-0005-0000-0000-000037040000}"/>
    <cellStyle name="dp*SubTitle 3 2 4 2 4 4" xfId="19899" xr:uid="{00000000-0005-0000-0000-000037040000}"/>
    <cellStyle name="dp*SubTitle 3 2 4 2 4 5" xfId="38305" xr:uid="{00000000-0005-0000-0000-000037040000}"/>
    <cellStyle name="dp*SubTitle 3 2 4 2 5" xfId="9593" xr:uid="{00000000-0005-0000-0000-000037040000}"/>
    <cellStyle name="dp*SubTitle 3 2 4 2 5 2" xfId="28310" xr:uid="{00000000-0005-0000-0000-000037040000}"/>
    <cellStyle name="dp*SubTitle 3 2 4 2 5 3" xfId="46673" xr:uid="{00000000-0005-0000-0000-000037040000}"/>
    <cellStyle name="dp*SubTitle 3 2 4 2 6" xfId="13651" xr:uid="{00000000-0005-0000-0000-000037040000}"/>
    <cellStyle name="dp*SubTitle 3 2 4 2 6 2" xfId="32072" xr:uid="{00000000-0005-0000-0000-000037040000}"/>
    <cellStyle name="dp*SubTitle 3 2 4 2 6 3" xfId="50435" xr:uid="{00000000-0005-0000-0000-000037040000}"/>
    <cellStyle name="dp*SubTitle 3 2 4 2 7" xfId="23580" xr:uid="{00000000-0005-0000-0000-000037040000}"/>
    <cellStyle name="dp*SubTitle 3 2 4 2 7 2" xfId="41949" xr:uid="{00000000-0005-0000-0000-000037040000}"/>
    <cellStyle name="dp*SubTitle 3 2 4 2 8" xfId="18692" xr:uid="{00000000-0005-0000-0000-000037040000}"/>
    <cellStyle name="dp*SubTitle 3 2 4 2 9" xfId="37102" xr:uid="{00000000-0005-0000-0000-000037040000}"/>
    <cellStyle name="dp*SubTitle 3 2 4 3" xfId="4712" xr:uid="{00000000-0005-0000-0000-000037040000}"/>
    <cellStyle name="dp*SubTitle 3 2 4 3 2" xfId="11296" xr:uid="{00000000-0005-0000-0000-000037040000}"/>
    <cellStyle name="dp*SubTitle 3 2 4 3 2 2" xfId="29908" xr:uid="{00000000-0005-0000-0000-000037040000}"/>
    <cellStyle name="dp*SubTitle 3 2 4 3 2 3" xfId="48271" xr:uid="{00000000-0005-0000-0000-000037040000}"/>
    <cellStyle name="dp*SubTitle 3 2 4 3 3" xfId="15438" xr:uid="{00000000-0005-0000-0000-000037040000}"/>
    <cellStyle name="dp*SubTitle 3 2 4 3 3 2" xfId="33831" xr:uid="{00000000-0005-0000-0000-000037040000}"/>
    <cellStyle name="dp*SubTitle 3 2 4 3 3 3" xfId="52194" xr:uid="{00000000-0005-0000-0000-000037040000}"/>
    <cellStyle name="dp*SubTitle 3 2 4 3 4" xfId="24562" xr:uid="{00000000-0005-0000-0000-000037040000}"/>
    <cellStyle name="dp*SubTitle 3 2 4 3 4 2" xfId="42931" xr:uid="{00000000-0005-0000-0000-000037040000}"/>
    <cellStyle name="dp*SubTitle 3 2 4 3 5" xfId="20889" xr:uid="{00000000-0005-0000-0000-000037040000}"/>
    <cellStyle name="dp*SubTitle 3 2 4 3 6" xfId="39278" xr:uid="{00000000-0005-0000-0000-000037040000}"/>
    <cellStyle name="dp*SubTitle 3 2 4 4" xfId="3947" xr:uid="{00000000-0005-0000-0000-000037040000}"/>
    <cellStyle name="dp*SubTitle 3 2 4 4 2" xfId="10652" xr:uid="{00000000-0005-0000-0000-000037040000}"/>
    <cellStyle name="dp*SubTitle 3 2 4 4 2 2" xfId="29358" xr:uid="{00000000-0005-0000-0000-000037040000}"/>
    <cellStyle name="dp*SubTitle 3 2 4 4 2 3" xfId="47721" xr:uid="{00000000-0005-0000-0000-000037040000}"/>
    <cellStyle name="dp*SubTitle 3 2 4 4 3" xfId="14710" xr:uid="{00000000-0005-0000-0000-000037040000}"/>
    <cellStyle name="dp*SubTitle 3 2 4 4 3 2" xfId="33122" xr:uid="{00000000-0005-0000-0000-000037040000}"/>
    <cellStyle name="dp*SubTitle 3 2 4 4 3 3" xfId="51485" xr:uid="{00000000-0005-0000-0000-000037040000}"/>
    <cellStyle name="dp*SubTitle 3 2 4 4 4" xfId="23846" xr:uid="{00000000-0005-0000-0000-000037040000}"/>
    <cellStyle name="dp*SubTitle 3 2 4 4 4 2" xfId="42215" xr:uid="{00000000-0005-0000-0000-000037040000}"/>
    <cellStyle name="dp*SubTitle 3 2 4 4 5" xfId="20164" xr:uid="{00000000-0005-0000-0000-000037040000}"/>
    <cellStyle name="dp*SubTitle 3 2 4 4 6" xfId="38569" xr:uid="{00000000-0005-0000-0000-000037040000}"/>
    <cellStyle name="dp*SubTitle 3 2 4 5" xfId="9063" xr:uid="{00000000-0005-0000-0000-000037040000}"/>
    <cellStyle name="dp*SubTitle 3 2 4 5 2" xfId="8416" xr:uid="{00000000-0005-0000-0000-000037040000}"/>
    <cellStyle name="dp*SubTitle 3 2 4 5 2 2" xfId="27477" xr:uid="{00000000-0005-0000-0000-000037040000}"/>
    <cellStyle name="dp*SubTitle 3 2 4 5 2 3" xfId="45841" xr:uid="{00000000-0005-0000-0000-000037040000}"/>
    <cellStyle name="dp*SubTitle 3 2 4 5 3" xfId="27789" xr:uid="{00000000-0005-0000-0000-000037040000}"/>
    <cellStyle name="dp*SubTitle 3 2 4 5 3 2" xfId="46152" xr:uid="{00000000-0005-0000-0000-000037040000}"/>
    <cellStyle name="dp*SubTitle 3 2 4 5 4" xfId="17963" xr:uid="{00000000-0005-0000-0000-000037040000}"/>
    <cellStyle name="dp*SubTitle 3 2 4 5 5" xfId="36371" xr:uid="{00000000-0005-0000-0000-000037040000}"/>
    <cellStyle name="dp*SubTitle 3 2 4 6" xfId="8006" xr:uid="{00000000-0005-0000-0000-000037040000}"/>
    <cellStyle name="dp*SubTitle 3 2 4 6 2" xfId="27236" xr:uid="{00000000-0005-0000-0000-000037040000}"/>
    <cellStyle name="dp*SubTitle 3 2 4 6 3" xfId="45601" xr:uid="{00000000-0005-0000-0000-000037040000}"/>
    <cellStyle name="dp*SubTitle 3 2 4 7" xfId="8737" xr:uid="{00000000-0005-0000-0000-000037040000}"/>
    <cellStyle name="dp*SubTitle 3 2 4 7 2" xfId="27613" xr:uid="{00000000-0005-0000-0000-000037040000}"/>
    <cellStyle name="dp*SubTitle 3 2 4 7 3" xfId="45976" xr:uid="{00000000-0005-0000-0000-000037040000}"/>
    <cellStyle name="dp*SubTitle 3 2 4 8" xfId="18109" xr:uid="{00000000-0005-0000-0000-000037040000}"/>
    <cellStyle name="dp*SubTitle 3 2 4 8 2" xfId="36516" xr:uid="{00000000-0005-0000-0000-000037040000}"/>
    <cellStyle name="dp*SubTitle 3 2 4 9" xfId="7461" xr:uid="{00000000-0005-0000-0000-000037040000}"/>
    <cellStyle name="dp*SubTitle 3 2 5" xfId="3548" xr:uid="{00000000-0005-0000-0000-000034040000}"/>
    <cellStyle name="dp*SubTitle 3 2 5 2" xfId="5721" xr:uid="{00000000-0005-0000-0000-000034040000}"/>
    <cellStyle name="dp*SubTitle 3 2 5 2 2" xfId="12085" xr:uid="{00000000-0005-0000-0000-000034040000}"/>
    <cellStyle name="dp*SubTitle 3 2 5 2 2 2" xfId="30532" xr:uid="{00000000-0005-0000-0000-000034040000}"/>
    <cellStyle name="dp*SubTitle 3 2 5 2 2 3" xfId="48895" xr:uid="{00000000-0005-0000-0000-000034040000}"/>
    <cellStyle name="dp*SubTitle 3 2 5 2 3" xfId="16411" xr:uid="{00000000-0005-0000-0000-000034040000}"/>
    <cellStyle name="dp*SubTitle 3 2 5 2 3 2" xfId="34783" xr:uid="{00000000-0005-0000-0000-000034040000}"/>
    <cellStyle name="dp*SubTitle 3 2 5 2 3 3" xfId="53146" xr:uid="{00000000-0005-0000-0000-000034040000}"/>
    <cellStyle name="dp*SubTitle 3 2 5 2 4" xfId="25530" xr:uid="{00000000-0005-0000-0000-000034040000}"/>
    <cellStyle name="dp*SubTitle 3 2 5 2 4 2" xfId="43899" xr:uid="{00000000-0005-0000-0000-000034040000}"/>
    <cellStyle name="dp*SubTitle 3 2 5 2 5" xfId="21851" xr:uid="{00000000-0005-0000-0000-000034040000}"/>
    <cellStyle name="dp*SubTitle 3 2 5 2 6" xfId="40230" xr:uid="{00000000-0005-0000-0000-000034040000}"/>
    <cellStyle name="dp*SubTitle 3 2 5 3" xfId="6547" xr:uid="{00000000-0005-0000-0000-000034040000}"/>
    <cellStyle name="dp*SubTitle 3 2 5 3 2" xfId="12838" xr:uid="{00000000-0005-0000-0000-000034040000}"/>
    <cellStyle name="dp*SubTitle 3 2 5 3 2 2" xfId="31264" xr:uid="{00000000-0005-0000-0000-000034040000}"/>
    <cellStyle name="dp*SubTitle 3 2 5 3 2 3" xfId="49627" xr:uid="{00000000-0005-0000-0000-000034040000}"/>
    <cellStyle name="dp*SubTitle 3 2 5 3 3" xfId="17149" xr:uid="{00000000-0005-0000-0000-000034040000}"/>
    <cellStyle name="dp*SubTitle 3 2 5 3 3 2" xfId="35497" xr:uid="{00000000-0005-0000-0000-000034040000}"/>
    <cellStyle name="dp*SubTitle 3 2 5 3 3 3" xfId="53860" xr:uid="{00000000-0005-0000-0000-000034040000}"/>
    <cellStyle name="dp*SubTitle 3 2 5 3 4" xfId="26282" xr:uid="{00000000-0005-0000-0000-000034040000}"/>
    <cellStyle name="dp*SubTitle 3 2 5 3 4 2" xfId="44651" xr:uid="{00000000-0005-0000-0000-000034040000}"/>
    <cellStyle name="dp*SubTitle 3 2 5 3 5" xfId="22575" xr:uid="{00000000-0005-0000-0000-000034040000}"/>
    <cellStyle name="dp*SubTitle 3 2 5 3 6" xfId="40944" xr:uid="{00000000-0005-0000-0000-000034040000}"/>
    <cellStyle name="dp*SubTitle 3 2 5 4" xfId="10261" xr:uid="{00000000-0005-0000-0000-000034040000}"/>
    <cellStyle name="dp*SubTitle 3 2 5 4 2" xfId="14318" xr:uid="{00000000-0005-0000-0000-000034040000}"/>
    <cellStyle name="dp*SubTitle 3 2 5 4 2 2" xfId="32734" xr:uid="{00000000-0005-0000-0000-000034040000}"/>
    <cellStyle name="dp*SubTitle 3 2 5 4 2 3" xfId="51097" xr:uid="{00000000-0005-0000-0000-000034040000}"/>
    <cellStyle name="dp*SubTitle 3 2 5 4 3" xfId="28972" xr:uid="{00000000-0005-0000-0000-000034040000}"/>
    <cellStyle name="dp*SubTitle 3 2 5 4 3 2" xfId="47335" xr:uid="{00000000-0005-0000-0000-000034040000}"/>
    <cellStyle name="dp*SubTitle 3 2 5 4 4" xfId="19775" xr:uid="{00000000-0005-0000-0000-000034040000}"/>
    <cellStyle name="dp*SubTitle 3 2 5 4 5" xfId="38181" xr:uid="{00000000-0005-0000-0000-000034040000}"/>
    <cellStyle name="dp*SubTitle 3 2 5 5" xfId="9469" xr:uid="{00000000-0005-0000-0000-000034040000}"/>
    <cellStyle name="dp*SubTitle 3 2 5 5 2" xfId="28186" xr:uid="{00000000-0005-0000-0000-000034040000}"/>
    <cellStyle name="dp*SubTitle 3 2 5 5 3" xfId="46549" xr:uid="{00000000-0005-0000-0000-000034040000}"/>
    <cellStyle name="dp*SubTitle 3 2 5 6" xfId="13527" xr:uid="{00000000-0005-0000-0000-000034040000}"/>
    <cellStyle name="dp*SubTitle 3 2 5 6 2" xfId="31948" xr:uid="{00000000-0005-0000-0000-000034040000}"/>
    <cellStyle name="dp*SubTitle 3 2 5 6 3" xfId="50311" xr:uid="{00000000-0005-0000-0000-000034040000}"/>
    <cellStyle name="dp*SubTitle 3 2 5 7" xfId="23456" xr:uid="{00000000-0005-0000-0000-000034040000}"/>
    <cellStyle name="dp*SubTitle 3 2 5 7 2" xfId="41825" xr:uid="{00000000-0005-0000-0000-000034040000}"/>
    <cellStyle name="dp*SubTitle 3 2 5 8" xfId="18565" xr:uid="{00000000-0005-0000-0000-000034040000}"/>
    <cellStyle name="dp*SubTitle 3 2 5 9" xfId="36975" xr:uid="{00000000-0005-0000-0000-000034040000}"/>
    <cellStyle name="dp*SubTitle 3 2 6" xfId="4577" xr:uid="{00000000-0005-0000-0000-000034040000}"/>
    <cellStyle name="dp*SubTitle 3 2 6 2" xfId="11162" xr:uid="{00000000-0005-0000-0000-000034040000}"/>
    <cellStyle name="dp*SubTitle 3 2 6 2 2" xfId="29776" xr:uid="{00000000-0005-0000-0000-000034040000}"/>
    <cellStyle name="dp*SubTitle 3 2 6 2 3" xfId="48139" xr:uid="{00000000-0005-0000-0000-000034040000}"/>
    <cellStyle name="dp*SubTitle 3 2 6 3" xfId="15303" xr:uid="{00000000-0005-0000-0000-000034040000}"/>
    <cellStyle name="dp*SubTitle 3 2 6 3 2" xfId="33697" xr:uid="{00000000-0005-0000-0000-000034040000}"/>
    <cellStyle name="dp*SubTitle 3 2 6 3 3" xfId="52060" xr:uid="{00000000-0005-0000-0000-000034040000}"/>
    <cellStyle name="dp*SubTitle 3 2 6 4" xfId="24428" xr:uid="{00000000-0005-0000-0000-000034040000}"/>
    <cellStyle name="dp*SubTitle 3 2 6 4 2" xfId="42797" xr:uid="{00000000-0005-0000-0000-000034040000}"/>
    <cellStyle name="dp*SubTitle 3 2 6 5" xfId="20754" xr:uid="{00000000-0005-0000-0000-000034040000}"/>
    <cellStyle name="dp*SubTitle 3 2 6 6" xfId="39144" xr:uid="{00000000-0005-0000-0000-000034040000}"/>
    <cellStyle name="dp*SubTitle 3 2 7" xfId="9455" xr:uid="{00000000-0005-0000-0000-000034040000}"/>
    <cellStyle name="dp*SubTitle 3 2 7 2" xfId="13512" xr:uid="{00000000-0005-0000-0000-000034040000}"/>
    <cellStyle name="dp*SubTitle 3 2 7 2 2" xfId="31933" xr:uid="{00000000-0005-0000-0000-000034040000}"/>
    <cellStyle name="dp*SubTitle 3 2 7 2 3" xfId="50296" xr:uid="{00000000-0005-0000-0000-000034040000}"/>
    <cellStyle name="dp*SubTitle 3 2 7 3" xfId="28172" xr:uid="{00000000-0005-0000-0000-000034040000}"/>
    <cellStyle name="dp*SubTitle 3 2 7 3 2" xfId="46535" xr:uid="{00000000-0005-0000-0000-000034040000}"/>
    <cellStyle name="dp*SubTitle 3 2 7 4" xfId="18543" xr:uid="{00000000-0005-0000-0000-000034040000}"/>
    <cellStyle name="dp*SubTitle 3 2 7 5" xfId="36952" xr:uid="{00000000-0005-0000-0000-000034040000}"/>
    <cellStyle name="dp*SubTitle 3 2 8" xfId="7290" xr:uid="{00000000-0005-0000-0000-000034040000}"/>
    <cellStyle name="dp*SubTitle 3 3" xfId="1525" xr:uid="{00000000-0005-0000-0000-000038040000}"/>
    <cellStyle name="dp*SubTitle 3 3 10" xfId="6941" xr:uid="{00000000-0005-0000-0000-000038040000}"/>
    <cellStyle name="dp*SubTitle 3 3 11" xfId="7236" xr:uid="{00000000-0005-0000-0000-000038040000}"/>
    <cellStyle name="dp*SubTitle 3 3 2" xfId="1691" xr:uid="{00000000-0005-0000-0000-000039040000}"/>
    <cellStyle name="dp*SubTitle 3 3 2 2" xfId="3589" xr:uid="{00000000-0005-0000-0000-000039040000}"/>
    <cellStyle name="dp*SubTitle 3 3 2 2 2" xfId="5762" xr:uid="{00000000-0005-0000-0000-000039040000}"/>
    <cellStyle name="dp*SubTitle 3 3 2 2 2 2" xfId="12126" xr:uid="{00000000-0005-0000-0000-000039040000}"/>
    <cellStyle name="dp*SubTitle 3 3 2 2 2 2 2" xfId="30573" xr:uid="{00000000-0005-0000-0000-000039040000}"/>
    <cellStyle name="dp*SubTitle 3 3 2 2 2 2 3" xfId="48936" xr:uid="{00000000-0005-0000-0000-000039040000}"/>
    <cellStyle name="dp*SubTitle 3 3 2 2 2 3" xfId="16452" xr:uid="{00000000-0005-0000-0000-000039040000}"/>
    <cellStyle name="dp*SubTitle 3 3 2 2 2 3 2" xfId="34824" xr:uid="{00000000-0005-0000-0000-000039040000}"/>
    <cellStyle name="dp*SubTitle 3 3 2 2 2 3 3" xfId="53187" xr:uid="{00000000-0005-0000-0000-000039040000}"/>
    <cellStyle name="dp*SubTitle 3 3 2 2 2 4" xfId="25571" xr:uid="{00000000-0005-0000-0000-000039040000}"/>
    <cellStyle name="dp*SubTitle 3 3 2 2 2 4 2" xfId="43940" xr:uid="{00000000-0005-0000-0000-000039040000}"/>
    <cellStyle name="dp*SubTitle 3 3 2 2 2 5" xfId="21892" xr:uid="{00000000-0005-0000-0000-000039040000}"/>
    <cellStyle name="dp*SubTitle 3 3 2 2 2 6" xfId="40271" xr:uid="{00000000-0005-0000-0000-000039040000}"/>
    <cellStyle name="dp*SubTitle 3 3 2 2 3" xfId="6588" xr:uid="{00000000-0005-0000-0000-000039040000}"/>
    <cellStyle name="dp*SubTitle 3 3 2 2 3 2" xfId="12879" xr:uid="{00000000-0005-0000-0000-000039040000}"/>
    <cellStyle name="dp*SubTitle 3 3 2 2 3 2 2" xfId="31305" xr:uid="{00000000-0005-0000-0000-000039040000}"/>
    <cellStyle name="dp*SubTitle 3 3 2 2 3 2 3" xfId="49668" xr:uid="{00000000-0005-0000-0000-000039040000}"/>
    <cellStyle name="dp*SubTitle 3 3 2 2 3 3" xfId="17190" xr:uid="{00000000-0005-0000-0000-000039040000}"/>
    <cellStyle name="dp*SubTitle 3 3 2 2 3 3 2" xfId="35538" xr:uid="{00000000-0005-0000-0000-000039040000}"/>
    <cellStyle name="dp*SubTitle 3 3 2 2 3 3 3" xfId="53901" xr:uid="{00000000-0005-0000-0000-000039040000}"/>
    <cellStyle name="dp*SubTitle 3 3 2 2 3 4" xfId="26323" xr:uid="{00000000-0005-0000-0000-000039040000}"/>
    <cellStyle name="dp*SubTitle 3 3 2 2 3 4 2" xfId="44692" xr:uid="{00000000-0005-0000-0000-000039040000}"/>
    <cellStyle name="dp*SubTitle 3 3 2 2 3 5" xfId="22616" xr:uid="{00000000-0005-0000-0000-000039040000}"/>
    <cellStyle name="dp*SubTitle 3 3 2 2 3 6" xfId="40985" xr:uid="{00000000-0005-0000-0000-000039040000}"/>
    <cellStyle name="dp*SubTitle 3 3 2 2 4" xfId="10302" xr:uid="{00000000-0005-0000-0000-000039040000}"/>
    <cellStyle name="dp*SubTitle 3 3 2 2 4 2" xfId="14359" xr:uid="{00000000-0005-0000-0000-000039040000}"/>
    <cellStyle name="dp*SubTitle 3 3 2 2 4 2 2" xfId="32775" xr:uid="{00000000-0005-0000-0000-000039040000}"/>
    <cellStyle name="dp*SubTitle 3 3 2 2 4 2 3" xfId="51138" xr:uid="{00000000-0005-0000-0000-000039040000}"/>
    <cellStyle name="dp*SubTitle 3 3 2 2 4 3" xfId="29013" xr:uid="{00000000-0005-0000-0000-000039040000}"/>
    <cellStyle name="dp*SubTitle 3 3 2 2 4 3 2" xfId="47376" xr:uid="{00000000-0005-0000-0000-000039040000}"/>
    <cellStyle name="dp*SubTitle 3 3 2 2 4 4" xfId="19816" xr:uid="{00000000-0005-0000-0000-000039040000}"/>
    <cellStyle name="dp*SubTitle 3 3 2 2 4 5" xfId="38222" xr:uid="{00000000-0005-0000-0000-000039040000}"/>
    <cellStyle name="dp*SubTitle 3 3 2 2 5" xfId="9510" xr:uid="{00000000-0005-0000-0000-000039040000}"/>
    <cellStyle name="dp*SubTitle 3 3 2 2 5 2" xfId="28227" xr:uid="{00000000-0005-0000-0000-000039040000}"/>
    <cellStyle name="dp*SubTitle 3 3 2 2 5 3" xfId="46590" xr:uid="{00000000-0005-0000-0000-000039040000}"/>
    <cellStyle name="dp*SubTitle 3 3 2 2 6" xfId="13568" xr:uid="{00000000-0005-0000-0000-000039040000}"/>
    <cellStyle name="dp*SubTitle 3 3 2 2 6 2" xfId="31989" xr:uid="{00000000-0005-0000-0000-000039040000}"/>
    <cellStyle name="dp*SubTitle 3 3 2 2 6 3" xfId="50352" xr:uid="{00000000-0005-0000-0000-000039040000}"/>
    <cellStyle name="dp*SubTitle 3 3 2 2 7" xfId="23497" xr:uid="{00000000-0005-0000-0000-000039040000}"/>
    <cellStyle name="dp*SubTitle 3 3 2 2 7 2" xfId="41866" xr:uid="{00000000-0005-0000-0000-000039040000}"/>
    <cellStyle name="dp*SubTitle 3 3 2 2 8" xfId="18608" xr:uid="{00000000-0005-0000-0000-000039040000}"/>
    <cellStyle name="dp*SubTitle 3 3 2 2 9" xfId="37018" xr:uid="{00000000-0005-0000-0000-000039040000}"/>
    <cellStyle name="dp*SubTitle 3 3 2 3" xfId="4630" xr:uid="{00000000-0005-0000-0000-000039040000}"/>
    <cellStyle name="dp*SubTitle 3 3 2 3 2" xfId="11214" xr:uid="{00000000-0005-0000-0000-000039040000}"/>
    <cellStyle name="dp*SubTitle 3 3 2 3 2 2" xfId="29826" xr:uid="{00000000-0005-0000-0000-000039040000}"/>
    <cellStyle name="dp*SubTitle 3 3 2 3 2 3" xfId="48189" xr:uid="{00000000-0005-0000-0000-000039040000}"/>
    <cellStyle name="dp*SubTitle 3 3 2 3 3" xfId="15356" xr:uid="{00000000-0005-0000-0000-000039040000}"/>
    <cellStyle name="dp*SubTitle 3 3 2 3 3 2" xfId="33749" xr:uid="{00000000-0005-0000-0000-000039040000}"/>
    <cellStyle name="dp*SubTitle 3 3 2 3 3 3" xfId="52112" xr:uid="{00000000-0005-0000-0000-000039040000}"/>
    <cellStyle name="dp*SubTitle 3 3 2 3 4" xfId="24480" xr:uid="{00000000-0005-0000-0000-000039040000}"/>
    <cellStyle name="dp*SubTitle 3 3 2 3 4 2" xfId="42849" xr:uid="{00000000-0005-0000-0000-000039040000}"/>
    <cellStyle name="dp*SubTitle 3 3 2 3 5" xfId="20807" xr:uid="{00000000-0005-0000-0000-000039040000}"/>
    <cellStyle name="dp*SubTitle 3 3 2 3 6" xfId="39196" xr:uid="{00000000-0005-0000-0000-000039040000}"/>
    <cellStyle name="dp*SubTitle 3 3 2 4" xfId="3969" xr:uid="{00000000-0005-0000-0000-000039040000}"/>
    <cellStyle name="dp*SubTitle 3 3 2 4 2" xfId="10674" xr:uid="{00000000-0005-0000-0000-000039040000}"/>
    <cellStyle name="dp*SubTitle 3 3 2 4 2 2" xfId="29380" xr:uid="{00000000-0005-0000-0000-000039040000}"/>
    <cellStyle name="dp*SubTitle 3 3 2 4 2 3" xfId="47743" xr:uid="{00000000-0005-0000-0000-000039040000}"/>
    <cellStyle name="dp*SubTitle 3 3 2 4 3" xfId="14732" xr:uid="{00000000-0005-0000-0000-000039040000}"/>
    <cellStyle name="dp*SubTitle 3 3 2 4 3 2" xfId="33144" xr:uid="{00000000-0005-0000-0000-000039040000}"/>
    <cellStyle name="dp*SubTitle 3 3 2 4 3 3" xfId="51507" xr:uid="{00000000-0005-0000-0000-000039040000}"/>
    <cellStyle name="dp*SubTitle 3 3 2 4 4" xfId="23868" xr:uid="{00000000-0005-0000-0000-000039040000}"/>
    <cellStyle name="dp*SubTitle 3 3 2 4 4 2" xfId="42237" xr:uid="{00000000-0005-0000-0000-000039040000}"/>
    <cellStyle name="dp*SubTitle 3 3 2 4 5" xfId="20186" xr:uid="{00000000-0005-0000-0000-000039040000}"/>
    <cellStyle name="dp*SubTitle 3 3 2 4 6" xfId="38591" xr:uid="{00000000-0005-0000-0000-000039040000}"/>
    <cellStyle name="dp*SubTitle 3 3 2 5" xfId="9095" xr:uid="{00000000-0005-0000-0000-000039040000}"/>
    <cellStyle name="dp*SubTitle 3 3 2 5 2" xfId="5164" xr:uid="{00000000-0005-0000-0000-000039040000}"/>
    <cellStyle name="dp*SubTitle 3 3 2 5 2 2" xfId="24985" xr:uid="{00000000-0005-0000-0000-000039040000}"/>
    <cellStyle name="dp*SubTitle 3 3 2 5 2 3" xfId="43354" xr:uid="{00000000-0005-0000-0000-000039040000}"/>
    <cellStyle name="dp*SubTitle 3 3 2 5 3" xfId="27821" xr:uid="{00000000-0005-0000-0000-000039040000}"/>
    <cellStyle name="dp*SubTitle 3 3 2 5 3 2" xfId="46184" xr:uid="{00000000-0005-0000-0000-000039040000}"/>
    <cellStyle name="dp*SubTitle 3 3 2 5 4" xfId="17995" xr:uid="{00000000-0005-0000-0000-000039040000}"/>
    <cellStyle name="dp*SubTitle 3 3 2 5 5" xfId="36403" xr:uid="{00000000-0005-0000-0000-000039040000}"/>
    <cellStyle name="dp*SubTitle 3 3 2 6" xfId="7429" xr:uid="{00000000-0005-0000-0000-000039040000}"/>
    <cellStyle name="dp*SubTitle 3 3 2 6 2" xfId="26817" xr:uid="{00000000-0005-0000-0000-000039040000}"/>
    <cellStyle name="dp*SubTitle 3 3 2 6 3" xfId="45185" xr:uid="{00000000-0005-0000-0000-000039040000}"/>
    <cellStyle name="dp*SubTitle 3 3 2 7" xfId="18830" xr:uid="{00000000-0005-0000-0000-000039040000}"/>
    <cellStyle name="dp*SubTitle 3 3 2 7 2" xfId="37239" xr:uid="{00000000-0005-0000-0000-000039040000}"/>
    <cellStyle name="dp*SubTitle 3 3 2 8" xfId="7122" xr:uid="{00000000-0005-0000-0000-000039040000}"/>
    <cellStyle name="dp*SubTitle 3 3 3" xfId="1453" xr:uid="{00000000-0005-0000-0000-00003A040000}"/>
    <cellStyle name="dp*SubTitle 3 3 3 10" xfId="10947" xr:uid="{00000000-0005-0000-0000-00003A040000}"/>
    <cellStyle name="dp*SubTitle 3 3 3 2" xfId="3472" xr:uid="{00000000-0005-0000-0000-00003A040000}"/>
    <cellStyle name="dp*SubTitle 3 3 3 2 2" xfId="5647" xr:uid="{00000000-0005-0000-0000-00003A040000}"/>
    <cellStyle name="dp*SubTitle 3 3 3 2 2 2" xfId="12011" xr:uid="{00000000-0005-0000-0000-00003A040000}"/>
    <cellStyle name="dp*SubTitle 3 3 3 2 2 2 2" xfId="30458" xr:uid="{00000000-0005-0000-0000-00003A040000}"/>
    <cellStyle name="dp*SubTitle 3 3 3 2 2 2 3" xfId="48821" xr:uid="{00000000-0005-0000-0000-00003A040000}"/>
    <cellStyle name="dp*SubTitle 3 3 3 2 2 3" xfId="16337" xr:uid="{00000000-0005-0000-0000-00003A040000}"/>
    <cellStyle name="dp*SubTitle 3 3 3 2 2 3 2" xfId="34709" xr:uid="{00000000-0005-0000-0000-00003A040000}"/>
    <cellStyle name="dp*SubTitle 3 3 3 2 2 3 3" xfId="53072" xr:uid="{00000000-0005-0000-0000-00003A040000}"/>
    <cellStyle name="dp*SubTitle 3 3 3 2 2 4" xfId="25456" xr:uid="{00000000-0005-0000-0000-00003A040000}"/>
    <cellStyle name="dp*SubTitle 3 3 3 2 2 4 2" xfId="43825" xr:uid="{00000000-0005-0000-0000-00003A040000}"/>
    <cellStyle name="dp*SubTitle 3 3 3 2 2 5" xfId="21777" xr:uid="{00000000-0005-0000-0000-00003A040000}"/>
    <cellStyle name="dp*SubTitle 3 3 3 2 2 6" xfId="40156" xr:uid="{00000000-0005-0000-0000-00003A040000}"/>
    <cellStyle name="dp*SubTitle 3 3 3 2 3" xfId="6471" xr:uid="{00000000-0005-0000-0000-00003A040000}"/>
    <cellStyle name="dp*SubTitle 3 3 3 2 3 2" xfId="12762" xr:uid="{00000000-0005-0000-0000-00003A040000}"/>
    <cellStyle name="dp*SubTitle 3 3 3 2 3 2 2" xfId="31188" xr:uid="{00000000-0005-0000-0000-00003A040000}"/>
    <cellStyle name="dp*SubTitle 3 3 3 2 3 2 3" xfId="49551" xr:uid="{00000000-0005-0000-0000-00003A040000}"/>
    <cellStyle name="dp*SubTitle 3 3 3 2 3 3" xfId="17073" xr:uid="{00000000-0005-0000-0000-00003A040000}"/>
    <cellStyle name="dp*SubTitle 3 3 3 2 3 3 2" xfId="35421" xr:uid="{00000000-0005-0000-0000-00003A040000}"/>
    <cellStyle name="dp*SubTitle 3 3 3 2 3 3 3" xfId="53784" xr:uid="{00000000-0005-0000-0000-00003A040000}"/>
    <cellStyle name="dp*SubTitle 3 3 3 2 3 4" xfId="26206" xr:uid="{00000000-0005-0000-0000-00003A040000}"/>
    <cellStyle name="dp*SubTitle 3 3 3 2 3 4 2" xfId="44575" xr:uid="{00000000-0005-0000-0000-00003A040000}"/>
    <cellStyle name="dp*SubTitle 3 3 3 2 3 5" xfId="22499" xr:uid="{00000000-0005-0000-0000-00003A040000}"/>
    <cellStyle name="dp*SubTitle 3 3 3 2 3 6" xfId="40868" xr:uid="{00000000-0005-0000-0000-00003A040000}"/>
    <cellStyle name="dp*SubTitle 3 3 3 2 4" xfId="10185" xr:uid="{00000000-0005-0000-0000-00003A040000}"/>
    <cellStyle name="dp*SubTitle 3 3 3 2 4 2" xfId="14242" xr:uid="{00000000-0005-0000-0000-00003A040000}"/>
    <cellStyle name="dp*SubTitle 3 3 3 2 4 2 2" xfId="32658" xr:uid="{00000000-0005-0000-0000-00003A040000}"/>
    <cellStyle name="dp*SubTitle 3 3 3 2 4 2 3" xfId="51021" xr:uid="{00000000-0005-0000-0000-00003A040000}"/>
    <cellStyle name="dp*SubTitle 3 3 3 2 4 3" xfId="28896" xr:uid="{00000000-0005-0000-0000-00003A040000}"/>
    <cellStyle name="dp*SubTitle 3 3 3 2 4 3 2" xfId="47259" xr:uid="{00000000-0005-0000-0000-00003A040000}"/>
    <cellStyle name="dp*SubTitle 3 3 3 2 4 4" xfId="19699" xr:uid="{00000000-0005-0000-0000-00003A040000}"/>
    <cellStyle name="dp*SubTitle 3 3 3 2 4 5" xfId="38105" xr:uid="{00000000-0005-0000-0000-00003A040000}"/>
    <cellStyle name="dp*SubTitle 3 3 3 2 5" xfId="9376" xr:uid="{00000000-0005-0000-0000-00003A040000}"/>
    <cellStyle name="dp*SubTitle 3 3 3 2 5 2" xfId="28095" xr:uid="{00000000-0005-0000-0000-00003A040000}"/>
    <cellStyle name="dp*SubTitle 3 3 3 2 5 3" xfId="46458" xr:uid="{00000000-0005-0000-0000-00003A040000}"/>
    <cellStyle name="dp*SubTitle 3 3 3 2 6" xfId="13432" xr:uid="{00000000-0005-0000-0000-00003A040000}"/>
    <cellStyle name="dp*SubTitle 3 3 3 2 6 2" xfId="31853" xr:uid="{00000000-0005-0000-0000-00003A040000}"/>
    <cellStyle name="dp*SubTitle 3 3 3 2 6 3" xfId="50216" xr:uid="{00000000-0005-0000-0000-00003A040000}"/>
    <cellStyle name="dp*SubTitle 3 3 3 2 7" xfId="23380" xr:uid="{00000000-0005-0000-0000-00003A040000}"/>
    <cellStyle name="dp*SubTitle 3 3 3 2 7 2" xfId="41749" xr:uid="{00000000-0005-0000-0000-00003A040000}"/>
    <cellStyle name="dp*SubTitle 3 3 3 2 8" xfId="18458" xr:uid="{00000000-0005-0000-0000-00003A040000}"/>
    <cellStyle name="dp*SubTitle 3 3 3 2 9" xfId="36864" xr:uid="{00000000-0005-0000-0000-00003A040000}"/>
    <cellStyle name="dp*SubTitle 3 3 3 3" xfId="4470" xr:uid="{00000000-0005-0000-0000-00003A040000}"/>
    <cellStyle name="dp*SubTitle 3 3 3 3 2" xfId="11066" xr:uid="{00000000-0005-0000-0000-00003A040000}"/>
    <cellStyle name="dp*SubTitle 3 3 3 3 2 2" xfId="29686" xr:uid="{00000000-0005-0000-0000-00003A040000}"/>
    <cellStyle name="dp*SubTitle 3 3 3 3 2 3" xfId="48049" xr:uid="{00000000-0005-0000-0000-00003A040000}"/>
    <cellStyle name="dp*SubTitle 3 3 3 3 3" xfId="15204" xr:uid="{00000000-0005-0000-0000-00003A040000}"/>
    <cellStyle name="dp*SubTitle 3 3 3 3 3 2" xfId="33599" xr:uid="{00000000-0005-0000-0000-00003A040000}"/>
    <cellStyle name="dp*SubTitle 3 3 3 3 3 3" xfId="51962" xr:uid="{00000000-0005-0000-0000-00003A040000}"/>
    <cellStyle name="dp*SubTitle 3 3 3 3 4" xfId="24330" xr:uid="{00000000-0005-0000-0000-00003A040000}"/>
    <cellStyle name="dp*SubTitle 3 3 3 3 4 2" xfId="42699" xr:uid="{00000000-0005-0000-0000-00003A040000}"/>
    <cellStyle name="dp*SubTitle 3 3 3 3 5" xfId="20654" xr:uid="{00000000-0005-0000-0000-00003A040000}"/>
    <cellStyle name="dp*SubTitle 3 3 3 3 6" xfId="39046" xr:uid="{00000000-0005-0000-0000-00003A040000}"/>
    <cellStyle name="dp*SubTitle 3 3 3 4" xfId="4319" xr:uid="{00000000-0005-0000-0000-00003A040000}"/>
    <cellStyle name="dp*SubTitle 3 3 3 4 2" xfId="10927" xr:uid="{00000000-0005-0000-0000-00003A040000}"/>
    <cellStyle name="dp*SubTitle 3 3 3 4 2 2" xfId="29557" xr:uid="{00000000-0005-0000-0000-00003A040000}"/>
    <cellStyle name="dp*SubTitle 3 3 3 4 2 3" xfId="47920" xr:uid="{00000000-0005-0000-0000-00003A040000}"/>
    <cellStyle name="dp*SubTitle 3 3 3 4 3" xfId="15063" xr:uid="{00000000-0005-0000-0000-00003A040000}"/>
    <cellStyle name="dp*SubTitle 3 3 3 4 3 2" xfId="33465" xr:uid="{00000000-0005-0000-0000-00003A040000}"/>
    <cellStyle name="dp*SubTitle 3 3 3 4 3 3" xfId="51828" xr:uid="{00000000-0005-0000-0000-00003A040000}"/>
    <cellStyle name="dp*SubTitle 3 3 3 4 4" xfId="24194" xr:uid="{00000000-0005-0000-0000-00003A040000}"/>
    <cellStyle name="dp*SubTitle 3 3 3 4 4 2" xfId="42563" xr:uid="{00000000-0005-0000-0000-00003A040000}"/>
    <cellStyle name="dp*SubTitle 3 3 3 4 5" xfId="20515" xr:uid="{00000000-0005-0000-0000-00003A040000}"/>
    <cellStyle name="dp*SubTitle 3 3 3 4 6" xfId="38912" xr:uid="{00000000-0005-0000-0000-00003A040000}"/>
    <cellStyle name="dp*SubTitle 3 3 3 5" xfId="9133" xr:uid="{00000000-0005-0000-0000-00003A040000}"/>
    <cellStyle name="dp*SubTitle 3 3 3 5 2" xfId="4371" xr:uid="{00000000-0005-0000-0000-00003A040000}"/>
    <cellStyle name="dp*SubTitle 3 3 3 5 2 2" xfId="24236" xr:uid="{00000000-0005-0000-0000-00003A040000}"/>
    <cellStyle name="dp*SubTitle 3 3 3 5 2 3" xfId="42605" xr:uid="{00000000-0005-0000-0000-00003A040000}"/>
    <cellStyle name="dp*SubTitle 3 3 3 5 3" xfId="27859" xr:uid="{00000000-0005-0000-0000-00003A040000}"/>
    <cellStyle name="dp*SubTitle 3 3 3 5 3 2" xfId="46222" xr:uid="{00000000-0005-0000-0000-00003A040000}"/>
    <cellStyle name="dp*SubTitle 3 3 3 5 4" xfId="18046" xr:uid="{00000000-0005-0000-0000-00003A040000}"/>
    <cellStyle name="dp*SubTitle 3 3 3 5 5" xfId="36454" xr:uid="{00000000-0005-0000-0000-00003A040000}"/>
    <cellStyle name="dp*SubTitle 3 3 3 6" xfId="7740" xr:uid="{00000000-0005-0000-0000-00003A040000}"/>
    <cellStyle name="dp*SubTitle 3 3 3 6 2" xfId="27017" xr:uid="{00000000-0005-0000-0000-00003A040000}"/>
    <cellStyle name="dp*SubTitle 3 3 3 6 3" xfId="45382" xr:uid="{00000000-0005-0000-0000-00003A040000}"/>
    <cellStyle name="dp*SubTitle 3 3 3 7" xfId="7398" xr:uid="{00000000-0005-0000-0000-00003A040000}"/>
    <cellStyle name="dp*SubTitle 3 3 3 7 2" xfId="26795" xr:uid="{00000000-0005-0000-0000-00003A040000}"/>
    <cellStyle name="dp*SubTitle 3 3 3 7 3" xfId="45163" xr:uid="{00000000-0005-0000-0000-00003A040000}"/>
    <cellStyle name="dp*SubTitle 3 3 3 8" xfId="17898" xr:uid="{00000000-0005-0000-0000-00003A040000}"/>
    <cellStyle name="dp*SubTitle 3 3 3 8 2" xfId="36308" xr:uid="{00000000-0005-0000-0000-00003A040000}"/>
    <cellStyle name="dp*SubTitle 3 3 3 9" xfId="7832" xr:uid="{00000000-0005-0000-0000-00003A040000}"/>
    <cellStyle name="dp*SubTitle 3 3 4" xfId="1490" xr:uid="{00000000-0005-0000-0000-00003B040000}"/>
    <cellStyle name="dp*SubTitle 3 3 4 10" xfId="20729" xr:uid="{00000000-0005-0000-0000-00003B040000}"/>
    <cellStyle name="dp*SubTitle 3 3 4 2" xfId="3503" xr:uid="{00000000-0005-0000-0000-00003B040000}"/>
    <cellStyle name="dp*SubTitle 3 3 4 2 2" xfId="5677" xr:uid="{00000000-0005-0000-0000-00003B040000}"/>
    <cellStyle name="dp*SubTitle 3 3 4 2 2 2" xfId="12041" xr:uid="{00000000-0005-0000-0000-00003B040000}"/>
    <cellStyle name="dp*SubTitle 3 3 4 2 2 2 2" xfId="30488" xr:uid="{00000000-0005-0000-0000-00003B040000}"/>
    <cellStyle name="dp*SubTitle 3 3 4 2 2 2 3" xfId="48851" xr:uid="{00000000-0005-0000-0000-00003B040000}"/>
    <cellStyle name="dp*SubTitle 3 3 4 2 2 3" xfId="16367" xr:uid="{00000000-0005-0000-0000-00003B040000}"/>
    <cellStyle name="dp*SubTitle 3 3 4 2 2 3 2" xfId="34739" xr:uid="{00000000-0005-0000-0000-00003B040000}"/>
    <cellStyle name="dp*SubTitle 3 3 4 2 2 3 3" xfId="53102" xr:uid="{00000000-0005-0000-0000-00003B040000}"/>
    <cellStyle name="dp*SubTitle 3 3 4 2 2 4" xfId="25486" xr:uid="{00000000-0005-0000-0000-00003B040000}"/>
    <cellStyle name="dp*SubTitle 3 3 4 2 2 4 2" xfId="43855" xr:uid="{00000000-0005-0000-0000-00003B040000}"/>
    <cellStyle name="dp*SubTitle 3 3 4 2 2 5" xfId="21807" xr:uid="{00000000-0005-0000-0000-00003B040000}"/>
    <cellStyle name="dp*SubTitle 3 3 4 2 2 6" xfId="40186" xr:uid="{00000000-0005-0000-0000-00003B040000}"/>
    <cellStyle name="dp*SubTitle 3 3 4 2 3" xfId="6502" xr:uid="{00000000-0005-0000-0000-00003B040000}"/>
    <cellStyle name="dp*SubTitle 3 3 4 2 3 2" xfId="12793" xr:uid="{00000000-0005-0000-0000-00003B040000}"/>
    <cellStyle name="dp*SubTitle 3 3 4 2 3 2 2" xfId="31219" xr:uid="{00000000-0005-0000-0000-00003B040000}"/>
    <cellStyle name="dp*SubTitle 3 3 4 2 3 2 3" xfId="49582" xr:uid="{00000000-0005-0000-0000-00003B040000}"/>
    <cellStyle name="dp*SubTitle 3 3 4 2 3 3" xfId="17104" xr:uid="{00000000-0005-0000-0000-00003B040000}"/>
    <cellStyle name="dp*SubTitle 3 3 4 2 3 3 2" xfId="35452" xr:uid="{00000000-0005-0000-0000-00003B040000}"/>
    <cellStyle name="dp*SubTitle 3 3 4 2 3 3 3" xfId="53815" xr:uid="{00000000-0005-0000-0000-00003B040000}"/>
    <cellStyle name="dp*SubTitle 3 3 4 2 3 4" xfId="26237" xr:uid="{00000000-0005-0000-0000-00003B040000}"/>
    <cellStyle name="dp*SubTitle 3 3 4 2 3 4 2" xfId="44606" xr:uid="{00000000-0005-0000-0000-00003B040000}"/>
    <cellStyle name="dp*SubTitle 3 3 4 2 3 5" xfId="22530" xr:uid="{00000000-0005-0000-0000-00003B040000}"/>
    <cellStyle name="dp*SubTitle 3 3 4 2 3 6" xfId="40899" xr:uid="{00000000-0005-0000-0000-00003B040000}"/>
    <cellStyle name="dp*SubTitle 3 3 4 2 4" xfId="10216" xr:uid="{00000000-0005-0000-0000-00003B040000}"/>
    <cellStyle name="dp*SubTitle 3 3 4 2 4 2" xfId="14273" xr:uid="{00000000-0005-0000-0000-00003B040000}"/>
    <cellStyle name="dp*SubTitle 3 3 4 2 4 2 2" xfId="32689" xr:uid="{00000000-0005-0000-0000-00003B040000}"/>
    <cellStyle name="dp*SubTitle 3 3 4 2 4 2 3" xfId="51052" xr:uid="{00000000-0005-0000-0000-00003B040000}"/>
    <cellStyle name="dp*SubTitle 3 3 4 2 4 3" xfId="28927" xr:uid="{00000000-0005-0000-0000-00003B040000}"/>
    <cellStyle name="dp*SubTitle 3 3 4 2 4 3 2" xfId="47290" xr:uid="{00000000-0005-0000-0000-00003B040000}"/>
    <cellStyle name="dp*SubTitle 3 3 4 2 4 4" xfId="19730" xr:uid="{00000000-0005-0000-0000-00003B040000}"/>
    <cellStyle name="dp*SubTitle 3 3 4 2 4 5" xfId="38136" xr:uid="{00000000-0005-0000-0000-00003B040000}"/>
    <cellStyle name="dp*SubTitle 3 3 4 2 5" xfId="9409" xr:uid="{00000000-0005-0000-0000-00003B040000}"/>
    <cellStyle name="dp*SubTitle 3 3 4 2 5 2" xfId="28127" xr:uid="{00000000-0005-0000-0000-00003B040000}"/>
    <cellStyle name="dp*SubTitle 3 3 4 2 5 3" xfId="46490" xr:uid="{00000000-0005-0000-0000-00003B040000}"/>
    <cellStyle name="dp*SubTitle 3 3 4 2 6" xfId="13466" xr:uid="{00000000-0005-0000-0000-00003B040000}"/>
    <cellStyle name="dp*SubTitle 3 3 4 2 6 2" xfId="31887" xr:uid="{00000000-0005-0000-0000-00003B040000}"/>
    <cellStyle name="dp*SubTitle 3 3 4 2 6 3" xfId="50250" xr:uid="{00000000-0005-0000-0000-00003B040000}"/>
    <cellStyle name="dp*SubTitle 3 3 4 2 7" xfId="23411" xr:uid="{00000000-0005-0000-0000-00003B040000}"/>
    <cellStyle name="dp*SubTitle 3 3 4 2 7 2" xfId="41780" xr:uid="{00000000-0005-0000-0000-00003B040000}"/>
    <cellStyle name="dp*SubTitle 3 3 4 2 8" xfId="18491" xr:uid="{00000000-0005-0000-0000-00003B040000}"/>
    <cellStyle name="dp*SubTitle 3 3 4 2 9" xfId="36899" xr:uid="{00000000-0005-0000-0000-00003B040000}"/>
    <cellStyle name="dp*SubTitle 3 3 4 3" xfId="4503" xr:uid="{00000000-0005-0000-0000-00003B040000}"/>
    <cellStyle name="dp*SubTitle 3 3 4 3 2" xfId="11097" xr:uid="{00000000-0005-0000-0000-00003B040000}"/>
    <cellStyle name="dp*SubTitle 3 3 4 3 2 2" xfId="29716" xr:uid="{00000000-0005-0000-0000-00003B040000}"/>
    <cellStyle name="dp*SubTitle 3 3 4 3 2 3" xfId="48079" xr:uid="{00000000-0005-0000-0000-00003B040000}"/>
    <cellStyle name="dp*SubTitle 3 3 4 3 3" xfId="15235" xr:uid="{00000000-0005-0000-0000-00003B040000}"/>
    <cellStyle name="dp*SubTitle 3 3 4 3 3 2" xfId="33630" xr:uid="{00000000-0005-0000-0000-00003B040000}"/>
    <cellStyle name="dp*SubTitle 3 3 4 3 3 3" xfId="51993" xr:uid="{00000000-0005-0000-0000-00003B040000}"/>
    <cellStyle name="dp*SubTitle 3 3 4 3 4" xfId="24361" xr:uid="{00000000-0005-0000-0000-00003B040000}"/>
    <cellStyle name="dp*SubTitle 3 3 4 3 4 2" xfId="42730" xr:uid="{00000000-0005-0000-0000-00003B040000}"/>
    <cellStyle name="dp*SubTitle 3 3 4 3 5" xfId="20685" xr:uid="{00000000-0005-0000-0000-00003B040000}"/>
    <cellStyle name="dp*SubTitle 3 3 4 3 6" xfId="39077" xr:uid="{00000000-0005-0000-0000-00003B040000}"/>
    <cellStyle name="dp*SubTitle 3 3 4 4" xfId="4001" xr:uid="{00000000-0005-0000-0000-00003B040000}"/>
    <cellStyle name="dp*SubTitle 3 3 4 4 2" xfId="10705" xr:uid="{00000000-0005-0000-0000-00003B040000}"/>
    <cellStyle name="dp*SubTitle 3 3 4 4 2 2" xfId="29409" xr:uid="{00000000-0005-0000-0000-00003B040000}"/>
    <cellStyle name="dp*SubTitle 3 3 4 4 2 3" xfId="47772" xr:uid="{00000000-0005-0000-0000-00003B040000}"/>
    <cellStyle name="dp*SubTitle 3 3 4 4 3" xfId="14762" xr:uid="{00000000-0005-0000-0000-00003B040000}"/>
    <cellStyle name="dp*SubTitle 3 3 4 4 3 2" xfId="33174" xr:uid="{00000000-0005-0000-0000-00003B040000}"/>
    <cellStyle name="dp*SubTitle 3 3 4 4 3 3" xfId="51537" xr:uid="{00000000-0005-0000-0000-00003B040000}"/>
    <cellStyle name="dp*SubTitle 3 3 4 4 4" xfId="23898" xr:uid="{00000000-0005-0000-0000-00003B040000}"/>
    <cellStyle name="dp*SubTitle 3 3 4 4 4 2" xfId="42267" xr:uid="{00000000-0005-0000-0000-00003B040000}"/>
    <cellStyle name="dp*SubTitle 3 3 4 4 5" xfId="20218" xr:uid="{00000000-0005-0000-0000-00003B040000}"/>
    <cellStyle name="dp*SubTitle 3 3 4 4 6" xfId="38621" xr:uid="{00000000-0005-0000-0000-00003B040000}"/>
    <cellStyle name="dp*SubTitle 3 3 4 5" xfId="9117" xr:uid="{00000000-0005-0000-0000-00003B040000}"/>
    <cellStyle name="dp*SubTitle 3 3 4 5 2" xfId="8137" xr:uid="{00000000-0005-0000-0000-00003B040000}"/>
    <cellStyle name="dp*SubTitle 3 3 4 5 2 2" xfId="27341" xr:uid="{00000000-0005-0000-0000-00003B040000}"/>
    <cellStyle name="dp*SubTitle 3 3 4 5 2 3" xfId="45706" xr:uid="{00000000-0005-0000-0000-00003B040000}"/>
    <cellStyle name="dp*SubTitle 3 3 4 5 3" xfId="27843" xr:uid="{00000000-0005-0000-0000-00003B040000}"/>
    <cellStyle name="dp*SubTitle 3 3 4 5 3 2" xfId="46206" xr:uid="{00000000-0005-0000-0000-00003B040000}"/>
    <cellStyle name="dp*SubTitle 3 3 4 5 4" xfId="18029" xr:uid="{00000000-0005-0000-0000-00003B040000}"/>
    <cellStyle name="dp*SubTitle 3 3 4 5 5" xfId="36437" xr:uid="{00000000-0005-0000-0000-00003B040000}"/>
    <cellStyle name="dp*SubTitle 3 3 4 6" xfId="7772" xr:uid="{00000000-0005-0000-0000-00003B040000}"/>
    <cellStyle name="dp*SubTitle 3 3 4 6 2" xfId="27046" xr:uid="{00000000-0005-0000-0000-00003B040000}"/>
    <cellStyle name="dp*SubTitle 3 3 4 6 3" xfId="45411" xr:uid="{00000000-0005-0000-0000-00003B040000}"/>
    <cellStyle name="dp*SubTitle 3 3 4 7" xfId="7925" xr:uid="{00000000-0005-0000-0000-00003B040000}"/>
    <cellStyle name="dp*SubTitle 3 3 4 7 2" xfId="27156" xr:uid="{00000000-0005-0000-0000-00003B040000}"/>
    <cellStyle name="dp*SubTitle 3 3 4 7 3" xfId="45521" xr:uid="{00000000-0005-0000-0000-00003B040000}"/>
    <cellStyle name="dp*SubTitle 3 3 4 8" xfId="19149" xr:uid="{00000000-0005-0000-0000-00003B040000}"/>
    <cellStyle name="dp*SubTitle 3 3 4 8 2" xfId="37557" xr:uid="{00000000-0005-0000-0000-00003B040000}"/>
    <cellStyle name="dp*SubTitle 3 3 4 9" xfId="7864" xr:uid="{00000000-0005-0000-0000-00003B040000}"/>
    <cellStyle name="dp*SubTitle 3 3 5" xfId="3528" xr:uid="{00000000-0005-0000-0000-000038040000}"/>
    <cellStyle name="dp*SubTitle 3 3 5 2" xfId="5702" xr:uid="{00000000-0005-0000-0000-000038040000}"/>
    <cellStyle name="dp*SubTitle 3 3 5 2 2" xfId="12066" xr:uid="{00000000-0005-0000-0000-000038040000}"/>
    <cellStyle name="dp*SubTitle 3 3 5 2 2 2" xfId="30513" xr:uid="{00000000-0005-0000-0000-000038040000}"/>
    <cellStyle name="dp*SubTitle 3 3 5 2 2 3" xfId="48876" xr:uid="{00000000-0005-0000-0000-000038040000}"/>
    <cellStyle name="dp*SubTitle 3 3 5 2 3" xfId="16392" xr:uid="{00000000-0005-0000-0000-000038040000}"/>
    <cellStyle name="dp*SubTitle 3 3 5 2 3 2" xfId="34764" xr:uid="{00000000-0005-0000-0000-000038040000}"/>
    <cellStyle name="dp*SubTitle 3 3 5 2 3 3" xfId="53127" xr:uid="{00000000-0005-0000-0000-000038040000}"/>
    <cellStyle name="dp*SubTitle 3 3 5 2 4" xfId="25511" xr:uid="{00000000-0005-0000-0000-000038040000}"/>
    <cellStyle name="dp*SubTitle 3 3 5 2 4 2" xfId="43880" xr:uid="{00000000-0005-0000-0000-000038040000}"/>
    <cellStyle name="dp*SubTitle 3 3 5 2 5" xfId="21832" xr:uid="{00000000-0005-0000-0000-000038040000}"/>
    <cellStyle name="dp*SubTitle 3 3 5 2 6" xfId="40211" xr:uid="{00000000-0005-0000-0000-000038040000}"/>
    <cellStyle name="dp*SubTitle 3 3 5 3" xfId="6527" xr:uid="{00000000-0005-0000-0000-000038040000}"/>
    <cellStyle name="dp*SubTitle 3 3 5 3 2" xfId="12818" xr:uid="{00000000-0005-0000-0000-000038040000}"/>
    <cellStyle name="dp*SubTitle 3 3 5 3 2 2" xfId="31244" xr:uid="{00000000-0005-0000-0000-000038040000}"/>
    <cellStyle name="dp*SubTitle 3 3 5 3 2 3" xfId="49607" xr:uid="{00000000-0005-0000-0000-000038040000}"/>
    <cellStyle name="dp*SubTitle 3 3 5 3 3" xfId="17129" xr:uid="{00000000-0005-0000-0000-000038040000}"/>
    <cellStyle name="dp*SubTitle 3 3 5 3 3 2" xfId="35477" xr:uid="{00000000-0005-0000-0000-000038040000}"/>
    <cellStyle name="dp*SubTitle 3 3 5 3 3 3" xfId="53840" xr:uid="{00000000-0005-0000-0000-000038040000}"/>
    <cellStyle name="dp*SubTitle 3 3 5 3 4" xfId="26262" xr:uid="{00000000-0005-0000-0000-000038040000}"/>
    <cellStyle name="dp*SubTitle 3 3 5 3 4 2" xfId="44631" xr:uid="{00000000-0005-0000-0000-000038040000}"/>
    <cellStyle name="dp*SubTitle 3 3 5 3 5" xfId="22555" xr:uid="{00000000-0005-0000-0000-000038040000}"/>
    <cellStyle name="dp*SubTitle 3 3 5 3 6" xfId="40924" xr:uid="{00000000-0005-0000-0000-000038040000}"/>
    <cellStyle name="dp*SubTitle 3 3 5 4" xfId="10241" xr:uid="{00000000-0005-0000-0000-000038040000}"/>
    <cellStyle name="dp*SubTitle 3 3 5 4 2" xfId="14298" xr:uid="{00000000-0005-0000-0000-000038040000}"/>
    <cellStyle name="dp*SubTitle 3 3 5 4 2 2" xfId="32714" xr:uid="{00000000-0005-0000-0000-000038040000}"/>
    <cellStyle name="dp*SubTitle 3 3 5 4 2 3" xfId="51077" xr:uid="{00000000-0005-0000-0000-000038040000}"/>
    <cellStyle name="dp*SubTitle 3 3 5 4 3" xfId="28952" xr:uid="{00000000-0005-0000-0000-000038040000}"/>
    <cellStyle name="dp*SubTitle 3 3 5 4 3 2" xfId="47315" xr:uid="{00000000-0005-0000-0000-000038040000}"/>
    <cellStyle name="dp*SubTitle 3 3 5 4 4" xfId="19755" xr:uid="{00000000-0005-0000-0000-000038040000}"/>
    <cellStyle name="dp*SubTitle 3 3 5 4 5" xfId="38161" xr:uid="{00000000-0005-0000-0000-000038040000}"/>
    <cellStyle name="dp*SubTitle 3 3 5 5" xfId="9437" xr:uid="{00000000-0005-0000-0000-000038040000}"/>
    <cellStyle name="dp*SubTitle 3 3 5 5 2" xfId="28154" xr:uid="{00000000-0005-0000-0000-000038040000}"/>
    <cellStyle name="dp*SubTitle 3 3 5 5 3" xfId="46517" xr:uid="{00000000-0005-0000-0000-000038040000}"/>
    <cellStyle name="dp*SubTitle 3 3 5 6" xfId="13494" xr:uid="{00000000-0005-0000-0000-000038040000}"/>
    <cellStyle name="dp*SubTitle 3 3 5 6 2" xfId="31915" xr:uid="{00000000-0005-0000-0000-000038040000}"/>
    <cellStyle name="dp*SubTitle 3 3 5 6 3" xfId="50278" xr:uid="{00000000-0005-0000-0000-000038040000}"/>
    <cellStyle name="dp*SubTitle 3 3 5 7" xfId="23436" xr:uid="{00000000-0005-0000-0000-000038040000}"/>
    <cellStyle name="dp*SubTitle 3 3 5 7 2" xfId="41805" xr:uid="{00000000-0005-0000-0000-000038040000}"/>
    <cellStyle name="dp*SubTitle 3 3 5 8" xfId="18522" xr:uid="{00000000-0005-0000-0000-000038040000}"/>
    <cellStyle name="dp*SubTitle 3 3 5 9" xfId="36931" xr:uid="{00000000-0005-0000-0000-000038040000}"/>
    <cellStyle name="dp*SubTitle 3 3 6" xfId="4532" xr:uid="{00000000-0005-0000-0000-000038040000}"/>
    <cellStyle name="dp*SubTitle 3 3 6 2" xfId="11123" xr:uid="{00000000-0005-0000-0000-000038040000}"/>
    <cellStyle name="dp*SubTitle 3 3 6 2 2" xfId="29741" xr:uid="{00000000-0005-0000-0000-000038040000}"/>
    <cellStyle name="dp*SubTitle 3 3 6 2 3" xfId="48104" xr:uid="{00000000-0005-0000-0000-000038040000}"/>
    <cellStyle name="dp*SubTitle 3 3 6 3" xfId="15261" xr:uid="{00000000-0005-0000-0000-000038040000}"/>
    <cellStyle name="dp*SubTitle 3 3 6 3 2" xfId="33655" xr:uid="{00000000-0005-0000-0000-000038040000}"/>
    <cellStyle name="dp*SubTitle 3 3 6 3 3" xfId="52018" xr:uid="{00000000-0005-0000-0000-000038040000}"/>
    <cellStyle name="dp*SubTitle 3 3 6 4" xfId="24386" xr:uid="{00000000-0005-0000-0000-000038040000}"/>
    <cellStyle name="dp*SubTitle 3 3 6 4 2" xfId="42755" xr:uid="{00000000-0005-0000-0000-000038040000}"/>
    <cellStyle name="dp*SubTitle 3 3 6 5" xfId="20710" xr:uid="{00000000-0005-0000-0000-000038040000}"/>
    <cellStyle name="dp*SubTitle 3 3 6 6" xfId="39102" xr:uid="{00000000-0005-0000-0000-000038040000}"/>
    <cellStyle name="dp*SubTitle 3 3 7" xfId="3982" xr:uid="{00000000-0005-0000-0000-000038040000}"/>
    <cellStyle name="dp*SubTitle 3 3 7 2" xfId="10687" xr:uid="{00000000-0005-0000-0000-000038040000}"/>
    <cellStyle name="dp*SubTitle 3 3 7 2 2" xfId="29392" xr:uid="{00000000-0005-0000-0000-000038040000}"/>
    <cellStyle name="dp*SubTitle 3 3 7 2 3" xfId="47755" xr:uid="{00000000-0005-0000-0000-000038040000}"/>
    <cellStyle name="dp*SubTitle 3 3 7 3" xfId="14744" xr:uid="{00000000-0005-0000-0000-000038040000}"/>
    <cellStyle name="dp*SubTitle 3 3 7 3 2" xfId="33156" xr:uid="{00000000-0005-0000-0000-000038040000}"/>
    <cellStyle name="dp*SubTitle 3 3 7 3 3" xfId="51519" xr:uid="{00000000-0005-0000-0000-000038040000}"/>
    <cellStyle name="dp*SubTitle 3 3 7 4" xfId="23880" xr:uid="{00000000-0005-0000-0000-000038040000}"/>
    <cellStyle name="dp*SubTitle 3 3 7 4 2" xfId="42249" xr:uid="{00000000-0005-0000-0000-000038040000}"/>
    <cellStyle name="dp*SubTitle 3 3 7 5" xfId="20199" xr:uid="{00000000-0005-0000-0000-000038040000}"/>
    <cellStyle name="dp*SubTitle 3 3 7 6" xfId="38603" xr:uid="{00000000-0005-0000-0000-000038040000}"/>
    <cellStyle name="dp*SubTitle 3 3 8" xfId="7802" xr:uid="{00000000-0005-0000-0000-000038040000}"/>
    <cellStyle name="dp*SubTitle 3 3 8 2" xfId="27072" xr:uid="{00000000-0005-0000-0000-000038040000}"/>
    <cellStyle name="dp*SubTitle 3 3 8 3" xfId="45437" xr:uid="{00000000-0005-0000-0000-000038040000}"/>
    <cellStyle name="dp*SubTitle 3 3 9" xfId="8523" xr:uid="{00000000-0005-0000-0000-000038040000}"/>
    <cellStyle name="dp*SubTitle 3 3 9 2" xfId="27511" xr:uid="{00000000-0005-0000-0000-000038040000}"/>
    <cellStyle name="dp*SubTitle 3 3 9 3" xfId="45875" xr:uid="{00000000-0005-0000-0000-000038040000}"/>
    <cellStyle name="dp*SubTitle 3 4" xfId="1489" xr:uid="{00000000-0005-0000-0000-00003C040000}"/>
    <cellStyle name="dp*SubTitle 3 4 2" xfId="3502" xr:uid="{00000000-0005-0000-0000-00003C040000}"/>
    <cellStyle name="dp*SubTitle 3 4 2 2" xfId="5676" xr:uid="{00000000-0005-0000-0000-00003C040000}"/>
    <cellStyle name="dp*SubTitle 3 4 2 2 2" xfId="12040" xr:uid="{00000000-0005-0000-0000-00003C040000}"/>
    <cellStyle name="dp*SubTitle 3 4 2 2 2 2" xfId="30487" xr:uid="{00000000-0005-0000-0000-00003C040000}"/>
    <cellStyle name="dp*SubTitle 3 4 2 2 2 3" xfId="48850" xr:uid="{00000000-0005-0000-0000-00003C040000}"/>
    <cellStyle name="dp*SubTitle 3 4 2 2 3" xfId="16366" xr:uid="{00000000-0005-0000-0000-00003C040000}"/>
    <cellStyle name="dp*SubTitle 3 4 2 2 3 2" xfId="34738" xr:uid="{00000000-0005-0000-0000-00003C040000}"/>
    <cellStyle name="dp*SubTitle 3 4 2 2 3 3" xfId="53101" xr:uid="{00000000-0005-0000-0000-00003C040000}"/>
    <cellStyle name="dp*SubTitle 3 4 2 2 4" xfId="25485" xr:uid="{00000000-0005-0000-0000-00003C040000}"/>
    <cellStyle name="dp*SubTitle 3 4 2 2 4 2" xfId="43854" xr:uid="{00000000-0005-0000-0000-00003C040000}"/>
    <cellStyle name="dp*SubTitle 3 4 2 2 5" xfId="21806" xr:uid="{00000000-0005-0000-0000-00003C040000}"/>
    <cellStyle name="dp*SubTitle 3 4 2 2 6" xfId="40185" xr:uid="{00000000-0005-0000-0000-00003C040000}"/>
    <cellStyle name="dp*SubTitle 3 4 2 3" xfId="6501" xr:uid="{00000000-0005-0000-0000-00003C040000}"/>
    <cellStyle name="dp*SubTitle 3 4 2 3 2" xfId="12792" xr:uid="{00000000-0005-0000-0000-00003C040000}"/>
    <cellStyle name="dp*SubTitle 3 4 2 3 2 2" xfId="31218" xr:uid="{00000000-0005-0000-0000-00003C040000}"/>
    <cellStyle name="dp*SubTitle 3 4 2 3 2 3" xfId="49581" xr:uid="{00000000-0005-0000-0000-00003C040000}"/>
    <cellStyle name="dp*SubTitle 3 4 2 3 3" xfId="17103" xr:uid="{00000000-0005-0000-0000-00003C040000}"/>
    <cellStyle name="dp*SubTitle 3 4 2 3 3 2" xfId="35451" xr:uid="{00000000-0005-0000-0000-00003C040000}"/>
    <cellStyle name="dp*SubTitle 3 4 2 3 3 3" xfId="53814" xr:uid="{00000000-0005-0000-0000-00003C040000}"/>
    <cellStyle name="dp*SubTitle 3 4 2 3 4" xfId="26236" xr:uid="{00000000-0005-0000-0000-00003C040000}"/>
    <cellStyle name="dp*SubTitle 3 4 2 3 4 2" xfId="44605" xr:uid="{00000000-0005-0000-0000-00003C040000}"/>
    <cellStyle name="dp*SubTitle 3 4 2 3 5" xfId="22529" xr:uid="{00000000-0005-0000-0000-00003C040000}"/>
    <cellStyle name="dp*SubTitle 3 4 2 3 6" xfId="40898" xr:uid="{00000000-0005-0000-0000-00003C040000}"/>
    <cellStyle name="dp*SubTitle 3 4 2 4" xfId="10215" xr:uid="{00000000-0005-0000-0000-00003C040000}"/>
    <cellStyle name="dp*SubTitle 3 4 2 4 2" xfId="14272" xr:uid="{00000000-0005-0000-0000-00003C040000}"/>
    <cellStyle name="dp*SubTitle 3 4 2 4 2 2" xfId="32688" xr:uid="{00000000-0005-0000-0000-00003C040000}"/>
    <cellStyle name="dp*SubTitle 3 4 2 4 2 3" xfId="51051" xr:uid="{00000000-0005-0000-0000-00003C040000}"/>
    <cellStyle name="dp*SubTitle 3 4 2 4 3" xfId="28926" xr:uid="{00000000-0005-0000-0000-00003C040000}"/>
    <cellStyle name="dp*SubTitle 3 4 2 4 3 2" xfId="47289" xr:uid="{00000000-0005-0000-0000-00003C040000}"/>
    <cellStyle name="dp*SubTitle 3 4 2 4 4" xfId="19729" xr:uid="{00000000-0005-0000-0000-00003C040000}"/>
    <cellStyle name="dp*SubTitle 3 4 2 4 5" xfId="38135" xr:uid="{00000000-0005-0000-0000-00003C040000}"/>
    <cellStyle name="dp*SubTitle 3 4 2 5" xfId="13465" xr:uid="{00000000-0005-0000-0000-00003C040000}"/>
    <cellStyle name="dp*SubTitle 3 4 2 5 2" xfId="31886" xr:uid="{00000000-0005-0000-0000-00003C040000}"/>
    <cellStyle name="dp*SubTitle 3 4 2 5 3" xfId="50249" xr:uid="{00000000-0005-0000-0000-00003C040000}"/>
    <cellStyle name="dp*SubTitle 3 4 2 6" xfId="23410" xr:uid="{00000000-0005-0000-0000-00003C040000}"/>
    <cellStyle name="dp*SubTitle 3 4 2 6 2" xfId="41779" xr:uid="{00000000-0005-0000-0000-00003C040000}"/>
    <cellStyle name="dp*SubTitle 3 4 2 7" xfId="36898" xr:uid="{00000000-0005-0000-0000-00003C040000}"/>
    <cellStyle name="dp*SubTitle 3 4 3" xfId="4502" xr:uid="{00000000-0005-0000-0000-00003C040000}"/>
    <cellStyle name="dp*SubTitle 3 4 3 2" xfId="11096" xr:uid="{00000000-0005-0000-0000-00003C040000}"/>
    <cellStyle name="dp*SubTitle 3 4 3 2 2" xfId="29715" xr:uid="{00000000-0005-0000-0000-00003C040000}"/>
    <cellStyle name="dp*SubTitle 3 4 3 2 3" xfId="48078" xr:uid="{00000000-0005-0000-0000-00003C040000}"/>
    <cellStyle name="dp*SubTitle 3 4 3 3" xfId="15234" xr:uid="{00000000-0005-0000-0000-00003C040000}"/>
    <cellStyle name="dp*SubTitle 3 4 3 3 2" xfId="33629" xr:uid="{00000000-0005-0000-0000-00003C040000}"/>
    <cellStyle name="dp*SubTitle 3 4 3 3 3" xfId="51992" xr:uid="{00000000-0005-0000-0000-00003C040000}"/>
    <cellStyle name="dp*SubTitle 3 4 3 4" xfId="24360" xr:uid="{00000000-0005-0000-0000-00003C040000}"/>
    <cellStyle name="dp*SubTitle 3 4 3 4 2" xfId="42729" xr:uid="{00000000-0005-0000-0000-00003C040000}"/>
    <cellStyle name="dp*SubTitle 3 4 3 5" xfId="20684" xr:uid="{00000000-0005-0000-0000-00003C040000}"/>
    <cellStyle name="dp*SubTitle 3 4 3 6" xfId="39076" xr:uid="{00000000-0005-0000-0000-00003C040000}"/>
    <cellStyle name="dp*SubTitle 3 4 4" xfId="9118" xr:uid="{00000000-0005-0000-0000-00003C040000}"/>
    <cellStyle name="dp*SubTitle 3 4 4 2" xfId="4170" xr:uid="{00000000-0005-0000-0000-00003C040000}"/>
    <cellStyle name="dp*SubTitle 3 4 4 2 2" xfId="24049" xr:uid="{00000000-0005-0000-0000-00003C040000}"/>
    <cellStyle name="dp*SubTitle 3 4 4 2 3" xfId="42418" xr:uid="{00000000-0005-0000-0000-00003C040000}"/>
    <cellStyle name="dp*SubTitle 3 4 4 3" xfId="27844" xr:uid="{00000000-0005-0000-0000-00003C040000}"/>
    <cellStyle name="dp*SubTitle 3 4 4 3 2" xfId="46207" xr:uid="{00000000-0005-0000-0000-00003C040000}"/>
    <cellStyle name="dp*SubTitle 3 4 4 4" xfId="18030" xr:uid="{00000000-0005-0000-0000-00003C040000}"/>
    <cellStyle name="dp*SubTitle 3 4 4 5" xfId="36438" xr:uid="{00000000-0005-0000-0000-00003C040000}"/>
    <cellStyle name="dp*SubTitle 3 4 5" xfId="17858" xr:uid="{00000000-0005-0000-0000-00003C040000}"/>
    <cellStyle name="dp*SubTitle 3 4 5 2" xfId="36268" xr:uid="{00000000-0005-0000-0000-00003C040000}"/>
    <cellStyle name="dp*SubTitle 3 4 6" xfId="20777" xr:uid="{00000000-0005-0000-0000-00003C040000}"/>
    <cellStyle name="dp*SubTitle 3 5" xfId="1421" xr:uid="{00000000-0005-0000-0000-00003D040000}"/>
    <cellStyle name="dp*SubTitle 3 5 2" xfId="3452" xr:uid="{00000000-0005-0000-0000-00003D040000}"/>
    <cellStyle name="dp*SubTitle 3 5 2 2" xfId="5627" xr:uid="{00000000-0005-0000-0000-00003D040000}"/>
    <cellStyle name="dp*SubTitle 3 5 2 2 2" xfId="11991" xr:uid="{00000000-0005-0000-0000-00003D040000}"/>
    <cellStyle name="dp*SubTitle 3 5 2 2 2 2" xfId="30438" xr:uid="{00000000-0005-0000-0000-00003D040000}"/>
    <cellStyle name="dp*SubTitle 3 5 2 2 2 3" xfId="48801" xr:uid="{00000000-0005-0000-0000-00003D040000}"/>
    <cellStyle name="dp*SubTitle 3 5 2 2 3" xfId="16317" xr:uid="{00000000-0005-0000-0000-00003D040000}"/>
    <cellStyle name="dp*SubTitle 3 5 2 2 3 2" xfId="34689" xr:uid="{00000000-0005-0000-0000-00003D040000}"/>
    <cellStyle name="dp*SubTitle 3 5 2 2 3 3" xfId="53052" xr:uid="{00000000-0005-0000-0000-00003D040000}"/>
    <cellStyle name="dp*SubTitle 3 5 2 2 4" xfId="25436" xr:uid="{00000000-0005-0000-0000-00003D040000}"/>
    <cellStyle name="dp*SubTitle 3 5 2 2 4 2" xfId="43805" xr:uid="{00000000-0005-0000-0000-00003D040000}"/>
    <cellStyle name="dp*SubTitle 3 5 2 2 5" xfId="21757" xr:uid="{00000000-0005-0000-0000-00003D040000}"/>
    <cellStyle name="dp*SubTitle 3 5 2 2 6" xfId="40136" xr:uid="{00000000-0005-0000-0000-00003D040000}"/>
    <cellStyle name="dp*SubTitle 3 5 2 3" xfId="6451" xr:uid="{00000000-0005-0000-0000-00003D040000}"/>
    <cellStyle name="dp*SubTitle 3 5 2 3 2" xfId="12742" xr:uid="{00000000-0005-0000-0000-00003D040000}"/>
    <cellStyle name="dp*SubTitle 3 5 2 3 2 2" xfId="31168" xr:uid="{00000000-0005-0000-0000-00003D040000}"/>
    <cellStyle name="dp*SubTitle 3 5 2 3 2 3" xfId="49531" xr:uid="{00000000-0005-0000-0000-00003D040000}"/>
    <cellStyle name="dp*SubTitle 3 5 2 3 3" xfId="17053" xr:uid="{00000000-0005-0000-0000-00003D040000}"/>
    <cellStyle name="dp*SubTitle 3 5 2 3 3 2" xfId="35401" xr:uid="{00000000-0005-0000-0000-00003D040000}"/>
    <cellStyle name="dp*SubTitle 3 5 2 3 3 3" xfId="53764" xr:uid="{00000000-0005-0000-0000-00003D040000}"/>
    <cellStyle name="dp*SubTitle 3 5 2 3 4" xfId="26186" xr:uid="{00000000-0005-0000-0000-00003D040000}"/>
    <cellStyle name="dp*SubTitle 3 5 2 3 4 2" xfId="44555" xr:uid="{00000000-0005-0000-0000-00003D040000}"/>
    <cellStyle name="dp*SubTitle 3 5 2 3 5" xfId="22479" xr:uid="{00000000-0005-0000-0000-00003D040000}"/>
    <cellStyle name="dp*SubTitle 3 5 2 3 6" xfId="40848" xr:uid="{00000000-0005-0000-0000-00003D040000}"/>
    <cellStyle name="dp*SubTitle 3 5 2 4" xfId="10165" xr:uid="{00000000-0005-0000-0000-00003D040000}"/>
    <cellStyle name="dp*SubTitle 3 5 2 4 2" xfId="14222" xr:uid="{00000000-0005-0000-0000-00003D040000}"/>
    <cellStyle name="dp*SubTitle 3 5 2 4 2 2" xfId="32638" xr:uid="{00000000-0005-0000-0000-00003D040000}"/>
    <cellStyle name="dp*SubTitle 3 5 2 4 2 3" xfId="51001" xr:uid="{00000000-0005-0000-0000-00003D040000}"/>
    <cellStyle name="dp*SubTitle 3 5 2 4 3" xfId="28876" xr:uid="{00000000-0005-0000-0000-00003D040000}"/>
    <cellStyle name="dp*SubTitle 3 5 2 4 3 2" xfId="47239" xr:uid="{00000000-0005-0000-0000-00003D040000}"/>
    <cellStyle name="dp*SubTitle 3 5 2 4 4" xfId="19679" xr:uid="{00000000-0005-0000-0000-00003D040000}"/>
    <cellStyle name="dp*SubTitle 3 5 2 4 5" xfId="38085" xr:uid="{00000000-0005-0000-0000-00003D040000}"/>
    <cellStyle name="dp*SubTitle 3 5 2 5" xfId="9352" xr:uid="{00000000-0005-0000-0000-00003D040000}"/>
    <cellStyle name="dp*SubTitle 3 5 2 5 2" xfId="28071" xr:uid="{00000000-0005-0000-0000-00003D040000}"/>
    <cellStyle name="dp*SubTitle 3 5 2 5 3" xfId="46434" xr:uid="{00000000-0005-0000-0000-00003D040000}"/>
    <cellStyle name="dp*SubTitle 3 5 2 6" xfId="13408" xr:uid="{00000000-0005-0000-0000-00003D040000}"/>
    <cellStyle name="dp*SubTitle 3 5 2 6 2" xfId="31829" xr:uid="{00000000-0005-0000-0000-00003D040000}"/>
    <cellStyle name="dp*SubTitle 3 5 2 6 3" xfId="50192" xr:uid="{00000000-0005-0000-0000-00003D040000}"/>
    <cellStyle name="dp*SubTitle 3 5 2 7" xfId="23360" xr:uid="{00000000-0005-0000-0000-00003D040000}"/>
    <cellStyle name="dp*SubTitle 3 5 2 7 2" xfId="41729" xr:uid="{00000000-0005-0000-0000-00003D040000}"/>
    <cellStyle name="dp*SubTitle 3 5 2 8" xfId="18433" xr:uid="{00000000-0005-0000-0000-00003D040000}"/>
    <cellStyle name="dp*SubTitle 3 5 2 9" xfId="36839" xr:uid="{00000000-0005-0000-0000-00003D040000}"/>
    <cellStyle name="dp*SubTitle 3 5 3" xfId="4446" xr:uid="{00000000-0005-0000-0000-00003D040000}"/>
    <cellStyle name="dp*SubTitle 3 5 3 2" xfId="11044" xr:uid="{00000000-0005-0000-0000-00003D040000}"/>
    <cellStyle name="dp*SubTitle 3 5 3 2 2" xfId="29664" xr:uid="{00000000-0005-0000-0000-00003D040000}"/>
    <cellStyle name="dp*SubTitle 3 5 3 2 3" xfId="48027" xr:uid="{00000000-0005-0000-0000-00003D040000}"/>
    <cellStyle name="dp*SubTitle 3 5 3 3" xfId="15180" xr:uid="{00000000-0005-0000-0000-00003D040000}"/>
    <cellStyle name="dp*SubTitle 3 5 3 3 2" xfId="33577" xr:uid="{00000000-0005-0000-0000-00003D040000}"/>
    <cellStyle name="dp*SubTitle 3 5 3 3 3" xfId="51940" xr:uid="{00000000-0005-0000-0000-00003D040000}"/>
    <cellStyle name="dp*SubTitle 3 5 3 4" xfId="24308" xr:uid="{00000000-0005-0000-0000-00003D040000}"/>
    <cellStyle name="dp*SubTitle 3 5 3 4 2" xfId="42677" xr:uid="{00000000-0005-0000-0000-00003D040000}"/>
    <cellStyle name="dp*SubTitle 3 5 3 5" xfId="20631" xr:uid="{00000000-0005-0000-0000-00003D040000}"/>
    <cellStyle name="dp*SubTitle 3 5 3 6" xfId="39024" xr:uid="{00000000-0005-0000-0000-00003D040000}"/>
    <cellStyle name="dp*SubTitle 3 5 4" xfId="4028" xr:uid="{00000000-0005-0000-0000-00003D040000}"/>
    <cellStyle name="dp*SubTitle 3 5 4 2" xfId="10731" xr:uid="{00000000-0005-0000-0000-00003D040000}"/>
    <cellStyle name="dp*SubTitle 3 5 4 2 2" xfId="29435" xr:uid="{00000000-0005-0000-0000-00003D040000}"/>
    <cellStyle name="dp*SubTitle 3 5 4 2 3" xfId="47798" xr:uid="{00000000-0005-0000-0000-00003D040000}"/>
    <cellStyle name="dp*SubTitle 3 5 4 3" xfId="14789" xr:uid="{00000000-0005-0000-0000-00003D040000}"/>
    <cellStyle name="dp*SubTitle 3 5 4 3 2" xfId="33201" xr:uid="{00000000-0005-0000-0000-00003D040000}"/>
    <cellStyle name="dp*SubTitle 3 5 4 3 3" xfId="51564" xr:uid="{00000000-0005-0000-0000-00003D040000}"/>
    <cellStyle name="dp*SubTitle 3 5 4 4" xfId="23925" xr:uid="{00000000-0005-0000-0000-00003D040000}"/>
    <cellStyle name="dp*SubTitle 3 5 4 4 2" xfId="42294" xr:uid="{00000000-0005-0000-0000-00003D040000}"/>
    <cellStyle name="dp*SubTitle 3 5 4 5" xfId="20245" xr:uid="{00000000-0005-0000-0000-00003D040000}"/>
    <cellStyle name="dp*SubTitle 3 5 4 6" xfId="38648" xr:uid="{00000000-0005-0000-0000-00003D040000}"/>
    <cellStyle name="dp*SubTitle 3 5 5" xfId="9205" xr:uid="{00000000-0005-0000-0000-00003D040000}"/>
    <cellStyle name="dp*SubTitle 3 5 5 2" xfId="13263" xr:uid="{00000000-0005-0000-0000-00003D040000}"/>
    <cellStyle name="dp*SubTitle 3 5 5 2 2" xfId="31684" xr:uid="{00000000-0005-0000-0000-00003D040000}"/>
    <cellStyle name="dp*SubTitle 3 5 5 2 3" xfId="50047" xr:uid="{00000000-0005-0000-0000-00003D040000}"/>
    <cellStyle name="dp*SubTitle 3 5 5 3" xfId="27926" xr:uid="{00000000-0005-0000-0000-00003D040000}"/>
    <cellStyle name="dp*SubTitle 3 5 5 3 2" xfId="46289" xr:uid="{00000000-0005-0000-0000-00003D040000}"/>
    <cellStyle name="dp*SubTitle 3 5 5 4" xfId="18230" xr:uid="{00000000-0005-0000-0000-00003D040000}"/>
    <cellStyle name="dp*SubTitle 3 5 5 5" xfId="36636" xr:uid="{00000000-0005-0000-0000-00003D040000}"/>
    <cellStyle name="dp*SubTitle 3 5 6" xfId="7712" xr:uid="{00000000-0005-0000-0000-00003D040000}"/>
    <cellStyle name="dp*SubTitle 3 5 6 2" xfId="26993" xr:uid="{00000000-0005-0000-0000-00003D040000}"/>
    <cellStyle name="dp*SubTitle 3 5 6 3" xfId="45358" xr:uid="{00000000-0005-0000-0000-00003D040000}"/>
    <cellStyle name="dp*SubTitle 3 5 7" xfId="7846" xr:uid="{00000000-0005-0000-0000-00003D040000}"/>
    <cellStyle name="dp*SubTitle 3 5 7 2" xfId="27101" xr:uid="{00000000-0005-0000-0000-00003D040000}"/>
    <cellStyle name="dp*SubTitle 3 5 7 3" xfId="45466" xr:uid="{00000000-0005-0000-0000-00003D040000}"/>
    <cellStyle name="dp*SubTitle 3 5 8" xfId="7017" xr:uid="{00000000-0005-0000-0000-00003D040000}"/>
    <cellStyle name="dp*SubTitle 3 5 9" xfId="8766" xr:uid="{00000000-0005-0000-0000-00003D040000}"/>
    <cellStyle name="dp*SubTitle 3 6" xfId="3363" xr:uid="{00000000-0005-0000-0000-000033040000}"/>
    <cellStyle name="dp*SubTitle 3 6 2" xfId="5538" xr:uid="{00000000-0005-0000-0000-000033040000}"/>
    <cellStyle name="dp*SubTitle 3 6 2 2" xfId="11902" xr:uid="{00000000-0005-0000-0000-000033040000}"/>
    <cellStyle name="dp*SubTitle 3 6 2 2 2" xfId="30349" xr:uid="{00000000-0005-0000-0000-000033040000}"/>
    <cellStyle name="dp*SubTitle 3 6 2 2 3" xfId="48712" xr:uid="{00000000-0005-0000-0000-000033040000}"/>
    <cellStyle name="dp*SubTitle 3 6 2 3" xfId="16228" xr:uid="{00000000-0005-0000-0000-000033040000}"/>
    <cellStyle name="dp*SubTitle 3 6 2 3 2" xfId="34600" xr:uid="{00000000-0005-0000-0000-000033040000}"/>
    <cellStyle name="dp*SubTitle 3 6 2 3 3" xfId="52963" xr:uid="{00000000-0005-0000-0000-000033040000}"/>
    <cellStyle name="dp*SubTitle 3 6 2 4" xfId="25347" xr:uid="{00000000-0005-0000-0000-000033040000}"/>
    <cellStyle name="dp*SubTitle 3 6 2 4 2" xfId="43716" xr:uid="{00000000-0005-0000-0000-000033040000}"/>
    <cellStyle name="dp*SubTitle 3 6 2 5" xfId="21668" xr:uid="{00000000-0005-0000-0000-000033040000}"/>
    <cellStyle name="dp*SubTitle 3 6 2 6" xfId="40047" xr:uid="{00000000-0005-0000-0000-000033040000}"/>
    <cellStyle name="dp*SubTitle 3 6 3" xfId="6362" xr:uid="{00000000-0005-0000-0000-000033040000}"/>
    <cellStyle name="dp*SubTitle 3 6 3 2" xfId="12653" xr:uid="{00000000-0005-0000-0000-000033040000}"/>
    <cellStyle name="dp*SubTitle 3 6 3 2 2" xfId="31079" xr:uid="{00000000-0005-0000-0000-000033040000}"/>
    <cellStyle name="dp*SubTitle 3 6 3 2 3" xfId="49442" xr:uid="{00000000-0005-0000-0000-000033040000}"/>
    <cellStyle name="dp*SubTitle 3 6 3 3" xfId="16964" xr:uid="{00000000-0005-0000-0000-000033040000}"/>
    <cellStyle name="dp*SubTitle 3 6 3 3 2" xfId="35312" xr:uid="{00000000-0005-0000-0000-000033040000}"/>
    <cellStyle name="dp*SubTitle 3 6 3 3 3" xfId="53675" xr:uid="{00000000-0005-0000-0000-000033040000}"/>
    <cellStyle name="dp*SubTitle 3 6 3 4" xfId="26097" xr:uid="{00000000-0005-0000-0000-000033040000}"/>
    <cellStyle name="dp*SubTitle 3 6 3 4 2" xfId="44466" xr:uid="{00000000-0005-0000-0000-000033040000}"/>
    <cellStyle name="dp*SubTitle 3 6 3 5" xfId="22390" xr:uid="{00000000-0005-0000-0000-000033040000}"/>
    <cellStyle name="dp*SubTitle 3 6 3 6" xfId="40759" xr:uid="{00000000-0005-0000-0000-000033040000}"/>
    <cellStyle name="dp*SubTitle 3 6 4" xfId="10076" xr:uid="{00000000-0005-0000-0000-000033040000}"/>
    <cellStyle name="dp*SubTitle 3 6 4 2" xfId="14133" xr:uid="{00000000-0005-0000-0000-000033040000}"/>
    <cellStyle name="dp*SubTitle 3 6 4 2 2" xfId="32549" xr:uid="{00000000-0005-0000-0000-000033040000}"/>
    <cellStyle name="dp*SubTitle 3 6 4 2 3" xfId="50912" xr:uid="{00000000-0005-0000-0000-000033040000}"/>
    <cellStyle name="dp*SubTitle 3 6 4 3" xfId="28787" xr:uid="{00000000-0005-0000-0000-000033040000}"/>
    <cellStyle name="dp*SubTitle 3 6 4 3 2" xfId="47150" xr:uid="{00000000-0005-0000-0000-000033040000}"/>
    <cellStyle name="dp*SubTitle 3 6 4 4" xfId="19590" xr:uid="{00000000-0005-0000-0000-000033040000}"/>
    <cellStyle name="dp*SubTitle 3 6 4 5" xfId="37996" xr:uid="{00000000-0005-0000-0000-000033040000}"/>
    <cellStyle name="dp*SubTitle 3 6 5" xfId="9224" xr:uid="{00000000-0005-0000-0000-000033040000}"/>
    <cellStyle name="dp*SubTitle 3 6 5 2" xfId="27944" xr:uid="{00000000-0005-0000-0000-000033040000}"/>
    <cellStyle name="dp*SubTitle 3 6 5 3" xfId="46307" xr:uid="{00000000-0005-0000-0000-000033040000}"/>
    <cellStyle name="dp*SubTitle 3 6 6" xfId="13281" xr:uid="{00000000-0005-0000-0000-000033040000}"/>
    <cellStyle name="dp*SubTitle 3 6 6 2" xfId="31702" xr:uid="{00000000-0005-0000-0000-000033040000}"/>
    <cellStyle name="dp*SubTitle 3 6 6 3" xfId="50065" xr:uid="{00000000-0005-0000-0000-000033040000}"/>
    <cellStyle name="dp*SubTitle 3 6 7" xfId="23271" xr:uid="{00000000-0005-0000-0000-000033040000}"/>
    <cellStyle name="dp*SubTitle 3 6 7 2" xfId="41640" xr:uid="{00000000-0005-0000-0000-000033040000}"/>
    <cellStyle name="dp*SubTitle 3 6 8" xfId="18271" xr:uid="{00000000-0005-0000-0000-000033040000}"/>
    <cellStyle name="dp*SubTitle 3 6 9" xfId="36677" xr:uid="{00000000-0005-0000-0000-000033040000}"/>
    <cellStyle name="dp*SubTitle 3 7" xfId="4299" xr:uid="{00000000-0005-0000-0000-000033040000}"/>
    <cellStyle name="dp*SubTitle 3 7 2" xfId="10910" xr:uid="{00000000-0005-0000-0000-000033040000}"/>
    <cellStyle name="dp*SubTitle 3 7 2 2" xfId="29542" xr:uid="{00000000-0005-0000-0000-000033040000}"/>
    <cellStyle name="dp*SubTitle 3 7 2 3" xfId="47905" xr:uid="{00000000-0005-0000-0000-000033040000}"/>
    <cellStyle name="dp*SubTitle 3 7 3" xfId="15044" xr:uid="{00000000-0005-0000-0000-000033040000}"/>
    <cellStyle name="dp*SubTitle 3 7 3 2" xfId="33447" xr:uid="{00000000-0005-0000-0000-000033040000}"/>
    <cellStyle name="dp*SubTitle 3 7 3 3" xfId="51810" xr:uid="{00000000-0005-0000-0000-000033040000}"/>
    <cellStyle name="dp*SubTitle 3 7 4" xfId="24176" xr:uid="{00000000-0005-0000-0000-000033040000}"/>
    <cellStyle name="dp*SubTitle 3 7 4 2" xfId="42545" xr:uid="{00000000-0005-0000-0000-000033040000}"/>
    <cellStyle name="dp*SubTitle 3 7 5" xfId="20496" xr:uid="{00000000-0005-0000-0000-000033040000}"/>
    <cellStyle name="dp*SubTitle 3 7 6" xfId="38894" xr:uid="{00000000-0005-0000-0000-000033040000}"/>
    <cellStyle name="dp*SubTitle 3 8" xfId="6302" xr:uid="{00000000-0005-0000-0000-000033040000}"/>
    <cellStyle name="dp*SubTitle 4" xfId="1800" xr:uid="{00000000-0005-0000-0000-00003E040000}"/>
    <cellStyle name="dp*SubTitle 4 10" xfId="17836" xr:uid="{00000000-0005-0000-0000-00003E040000}"/>
    <cellStyle name="dp*SubTitle 4 2" xfId="3693" xr:uid="{00000000-0005-0000-0000-00003E040000}"/>
    <cellStyle name="dp*SubTitle 4 2 2" xfId="5866" xr:uid="{00000000-0005-0000-0000-00003E040000}"/>
    <cellStyle name="dp*SubTitle 4 2 2 2" xfId="12230" xr:uid="{00000000-0005-0000-0000-00003E040000}"/>
    <cellStyle name="dp*SubTitle 4 2 2 2 2" xfId="30677" xr:uid="{00000000-0005-0000-0000-00003E040000}"/>
    <cellStyle name="dp*SubTitle 4 2 2 2 3" xfId="49040" xr:uid="{00000000-0005-0000-0000-00003E040000}"/>
    <cellStyle name="dp*SubTitle 4 2 2 3" xfId="16556" xr:uid="{00000000-0005-0000-0000-00003E040000}"/>
    <cellStyle name="dp*SubTitle 4 2 2 3 2" xfId="34928" xr:uid="{00000000-0005-0000-0000-00003E040000}"/>
    <cellStyle name="dp*SubTitle 4 2 2 3 3" xfId="53291" xr:uid="{00000000-0005-0000-0000-00003E040000}"/>
    <cellStyle name="dp*SubTitle 4 2 2 4" xfId="25675" xr:uid="{00000000-0005-0000-0000-00003E040000}"/>
    <cellStyle name="dp*SubTitle 4 2 2 4 2" xfId="44044" xr:uid="{00000000-0005-0000-0000-00003E040000}"/>
    <cellStyle name="dp*SubTitle 4 2 2 5" xfId="21996" xr:uid="{00000000-0005-0000-0000-00003E040000}"/>
    <cellStyle name="dp*SubTitle 4 2 2 6" xfId="40375" xr:uid="{00000000-0005-0000-0000-00003E040000}"/>
    <cellStyle name="dp*SubTitle 4 2 3" xfId="6692" xr:uid="{00000000-0005-0000-0000-00003E040000}"/>
    <cellStyle name="dp*SubTitle 4 2 3 2" xfId="12983" xr:uid="{00000000-0005-0000-0000-00003E040000}"/>
    <cellStyle name="dp*SubTitle 4 2 3 2 2" xfId="31409" xr:uid="{00000000-0005-0000-0000-00003E040000}"/>
    <cellStyle name="dp*SubTitle 4 2 3 2 3" xfId="49772" xr:uid="{00000000-0005-0000-0000-00003E040000}"/>
    <cellStyle name="dp*SubTitle 4 2 3 3" xfId="17294" xr:uid="{00000000-0005-0000-0000-00003E040000}"/>
    <cellStyle name="dp*SubTitle 4 2 3 3 2" xfId="35642" xr:uid="{00000000-0005-0000-0000-00003E040000}"/>
    <cellStyle name="dp*SubTitle 4 2 3 3 3" xfId="54005" xr:uid="{00000000-0005-0000-0000-00003E040000}"/>
    <cellStyle name="dp*SubTitle 4 2 3 4" xfId="26427" xr:uid="{00000000-0005-0000-0000-00003E040000}"/>
    <cellStyle name="dp*SubTitle 4 2 3 4 2" xfId="44796" xr:uid="{00000000-0005-0000-0000-00003E040000}"/>
    <cellStyle name="dp*SubTitle 4 2 3 5" xfId="22720" xr:uid="{00000000-0005-0000-0000-00003E040000}"/>
    <cellStyle name="dp*SubTitle 4 2 3 6" xfId="41089" xr:uid="{00000000-0005-0000-0000-00003E040000}"/>
    <cellStyle name="dp*SubTitle 4 2 4" xfId="10406" xr:uid="{00000000-0005-0000-0000-00003E040000}"/>
    <cellStyle name="dp*SubTitle 4 2 4 2" xfId="14463" xr:uid="{00000000-0005-0000-0000-00003E040000}"/>
    <cellStyle name="dp*SubTitle 4 2 4 2 2" xfId="32879" xr:uid="{00000000-0005-0000-0000-00003E040000}"/>
    <cellStyle name="dp*SubTitle 4 2 4 2 3" xfId="51242" xr:uid="{00000000-0005-0000-0000-00003E040000}"/>
    <cellStyle name="dp*SubTitle 4 2 4 3" xfId="29117" xr:uid="{00000000-0005-0000-0000-00003E040000}"/>
    <cellStyle name="dp*SubTitle 4 2 4 3 2" xfId="47480" xr:uid="{00000000-0005-0000-0000-00003E040000}"/>
    <cellStyle name="dp*SubTitle 4 2 4 4" xfId="19920" xr:uid="{00000000-0005-0000-0000-00003E040000}"/>
    <cellStyle name="dp*SubTitle 4 2 4 5" xfId="38326" xr:uid="{00000000-0005-0000-0000-00003E040000}"/>
    <cellStyle name="dp*SubTitle 4 2 5" xfId="9614" xr:uid="{00000000-0005-0000-0000-00003E040000}"/>
    <cellStyle name="dp*SubTitle 4 2 5 2" xfId="28331" xr:uid="{00000000-0005-0000-0000-00003E040000}"/>
    <cellStyle name="dp*SubTitle 4 2 5 3" xfId="46694" xr:uid="{00000000-0005-0000-0000-00003E040000}"/>
    <cellStyle name="dp*SubTitle 4 2 6" xfId="13672" xr:uid="{00000000-0005-0000-0000-00003E040000}"/>
    <cellStyle name="dp*SubTitle 4 2 6 2" xfId="32093" xr:uid="{00000000-0005-0000-0000-00003E040000}"/>
    <cellStyle name="dp*SubTitle 4 2 6 3" xfId="50456" xr:uid="{00000000-0005-0000-0000-00003E040000}"/>
    <cellStyle name="dp*SubTitle 4 2 7" xfId="23601" xr:uid="{00000000-0005-0000-0000-00003E040000}"/>
    <cellStyle name="dp*SubTitle 4 2 7 2" xfId="41970" xr:uid="{00000000-0005-0000-0000-00003E040000}"/>
    <cellStyle name="dp*SubTitle 4 2 8" xfId="18714" xr:uid="{00000000-0005-0000-0000-00003E040000}"/>
    <cellStyle name="dp*SubTitle 4 2 9" xfId="37124" xr:uid="{00000000-0005-0000-0000-00003E040000}"/>
    <cellStyle name="dp*SubTitle 4 3" xfId="4734" xr:uid="{00000000-0005-0000-0000-00003E040000}"/>
    <cellStyle name="dp*SubTitle 4 3 2" xfId="11318" xr:uid="{00000000-0005-0000-0000-00003E040000}"/>
    <cellStyle name="dp*SubTitle 4 3 2 2" xfId="29930" xr:uid="{00000000-0005-0000-0000-00003E040000}"/>
    <cellStyle name="dp*SubTitle 4 3 2 3" xfId="48293" xr:uid="{00000000-0005-0000-0000-00003E040000}"/>
    <cellStyle name="dp*SubTitle 4 3 3" xfId="15460" xr:uid="{00000000-0005-0000-0000-00003E040000}"/>
    <cellStyle name="dp*SubTitle 4 3 3 2" xfId="33853" xr:uid="{00000000-0005-0000-0000-00003E040000}"/>
    <cellStyle name="dp*SubTitle 4 3 3 3" xfId="52216" xr:uid="{00000000-0005-0000-0000-00003E040000}"/>
    <cellStyle name="dp*SubTitle 4 3 4" xfId="24584" xr:uid="{00000000-0005-0000-0000-00003E040000}"/>
    <cellStyle name="dp*SubTitle 4 3 4 2" xfId="42953" xr:uid="{00000000-0005-0000-0000-00003E040000}"/>
    <cellStyle name="dp*SubTitle 4 3 5" xfId="20911" xr:uid="{00000000-0005-0000-0000-00003E040000}"/>
    <cellStyle name="dp*SubTitle 4 3 6" xfId="39300" xr:uid="{00000000-0005-0000-0000-00003E040000}"/>
    <cellStyle name="dp*SubTitle 4 4" xfId="4857" xr:uid="{00000000-0005-0000-0000-00003E040000}"/>
    <cellStyle name="dp*SubTitle 4 4 2" xfId="11415" xr:uid="{00000000-0005-0000-0000-00003E040000}"/>
    <cellStyle name="dp*SubTitle 4 4 2 2" xfId="30005" xr:uid="{00000000-0005-0000-0000-00003E040000}"/>
    <cellStyle name="dp*SubTitle 4 4 2 3" xfId="48368" xr:uid="{00000000-0005-0000-0000-00003E040000}"/>
    <cellStyle name="dp*SubTitle 4 4 3" xfId="15583" xr:uid="{00000000-0005-0000-0000-00003E040000}"/>
    <cellStyle name="dp*SubTitle 4 4 3 2" xfId="33974" xr:uid="{00000000-0005-0000-0000-00003E040000}"/>
    <cellStyle name="dp*SubTitle 4 4 3 3" xfId="52337" xr:uid="{00000000-0005-0000-0000-00003E040000}"/>
    <cellStyle name="dp*SubTitle 4 4 4" xfId="24705" xr:uid="{00000000-0005-0000-0000-00003E040000}"/>
    <cellStyle name="dp*SubTitle 4 4 4 2" xfId="43074" xr:uid="{00000000-0005-0000-0000-00003E040000}"/>
    <cellStyle name="dp*SubTitle 4 4 5" xfId="21032" xr:uid="{00000000-0005-0000-0000-00003E040000}"/>
    <cellStyle name="dp*SubTitle 4 4 6" xfId="39421" xr:uid="{00000000-0005-0000-0000-00003E040000}"/>
    <cellStyle name="dp*SubTitle 4 5" xfId="9262" xr:uid="{00000000-0005-0000-0000-00003E040000}"/>
    <cellStyle name="dp*SubTitle 4 5 2" xfId="13319" xr:uid="{00000000-0005-0000-0000-00003E040000}"/>
    <cellStyle name="dp*SubTitle 4 5 2 2" xfId="31740" xr:uid="{00000000-0005-0000-0000-00003E040000}"/>
    <cellStyle name="dp*SubTitle 4 5 2 3" xfId="50103" xr:uid="{00000000-0005-0000-0000-00003E040000}"/>
    <cellStyle name="dp*SubTitle 4 5 3" xfId="27982" xr:uid="{00000000-0005-0000-0000-00003E040000}"/>
    <cellStyle name="dp*SubTitle 4 5 3 2" xfId="46345" xr:uid="{00000000-0005-0000-0000-00003E040000}"/>
    <cellStyle name="dp*SubTitle 4 5 4" xfId="18322" xr:uid="{00000000-0005-0000-0000-00003E040000}"/>
    <cellStyle name="dp*SubTitle 4 5 5" xfId="36728" xr:uid="{00000000-0005-0000-0000-00003E040000}"/>
    <cellStyle name="dp*SubTitle 4 6" xfId="8030" xr:uid="{00000000-0005-0000-0000-00003E040000}"/>
    <cellStyle name="dp*SubTitle 4 6 2" xfId="27259" xr:uid="{00000000-0005-0000-0000-00003E040000}"/>
    <cellStyle name="dp*SubTitle 4 6 3" xfId="45624" xr:uid="{00000000-0005-0000-0000-00003E040000}"/>
    <cellStyle name="dp*SubTitle 4 7" xfId="7589" xr:uid="{00000000-0005-0000-0000-00003E040000}"/>
    <cellStyle name="dp*SubTitle 4 7 2" xfId="26896" xr:uid="{00000000-0005-0000-0000-00003E040000}"/>
    <cellStyle name="dp*SubTitle 4 7 3" xfId="45261" xr:uid="{00000000-0005-0000-0000-00003E040000}"/>
    <cellStyle name="dp*SubTitle 4 8" xfId="19198" xr:uid="{00000000-0005-0000-0000-00003E040000}"/>
    <cellStyle name="dp*SubTitle 4 8 2" xfId="37605" xr:uid="{00000000-0005-0000-0000-00003E040000}"/>
    <cellStyle name="dp*SubTitle 4 9" xfId="8583" xr:uid="{00000000-0005-0000-0000-00003E040000}"/>
    <cellStyle name="dp*SubTitle 5" xfId="3020" xr:uid="{00000000-0005-0000-0000-00003F040000}"/>
    <cellStyle name="dp*SubTitle 5 2" xfId="3840" xr:uid="{00000000-0005-0000-0000-00003F040000}"/>
    <cellStyle name="dp*SubTitle 5 2 2" xfId="6013" xr:uid="{00000000-0005-0000-0000-00003F040000}"/>
    <cellStyle name="dp*SubTitle 5 2 2 2" xfId="12377" xr:uid="{00000000-0005-0000-0000-00003F040000}"/>
    <cellStyle name="dp*SubTitle 5 2 2 2 2" xfId="30824" xr:uid="{00000000-0005-0000-0000-00003F040000}"/>
    <cellStyle name="dp*SubTitle 5 2 2 2 3" xfId="49187" xr:uid="{00000000-0005-0000-0000-00003F040000}"/>
    <cellStyle name="dp*SubTitle 5 2 2 3" xfId="16703" xr:uid="{00000000-0005-0000-0000-00003F040000}"/>
    <cellStyle name="dp*SubTitle 5 2 2 3 2" xfId="35075" xr:uid="{00000000-0005-0000-0000-00003F040000}"/>
    <cellStyle name="dp*SubTitle 5 2 2 3 3" xfId="53438" xr:uid="{00000000-0005-0000-0000-00003F040000}"/>
    <cellStyle name="dp*SubTitle 5 2 2 4" xfId="25822" xr:uid="{00000000-0005-0000-0000-00003F040000}"/>
    <cellStyle name="dp*SubTitle 5 2 2 4 2" xfId="44191" xr:uid="{00000000-0005-0000-0000-00003F040000}"/>
    <cellStyle name="dp*SubTitle 5 2 2 5" xfId="22143" xr:uid="{00000000-0005-0000-0000-00003F040000}"/>
    <cellStyle name="dp*SubTitle 5 2 2 6" xfId="40522" xr:uid="{00000000-0005-0000-0000-00003F040000}"/>
    <cellStyle name="dp*SubTitle 5 2 3" xfId="6839" xr:uid="{00000000-0005-0000-0000-00003F040000}"/>
    <cellStyle name="dp*SubTitle 5 2 3 2" xfId="13130" xr:uid="{00000000-0005-0000-0000-00003F040000}"/>
    <cellStyle name="dp*SubTitle 5 2 3 2 2" xfId="31556" xr:uid="{00000000-0005-0000-0000-00003F040000}"/>
    <cellStyle name="dp*SubTitle 5 2 3 2 3" xfId="49919" xr:uid="{00000000-0005-0000-0000-00003F040000}"/>
    <cellStyle name="dp*SubTitle 5 2 3 3" xfId="17441" xr:uid="{00000000-0005-0000-0000-00003F040000}"/>
    <cellStyle name="dp*SubTitle 5 2 3 3 2" xfId="35789" xr:uid="{00000000-0005-0000-0000-00003F040000}"/>
    <cellStyle name="dp*SubTitle 5 2 3 3 3" xfId="54152" xr:uid="{00000000-0005-0000-0000-00003F040000}"/>
    <cellStyle name="dp*SubTitle 5 2 3 4" xfId="26574" xr:uid="{00000000-0005-0000-0000-00003F040000}"/>
    <cellStyle name="dp*SubTitle 5 2 3 4 2" xfId="44943" xr:uid="{00000000-0005-0000-0000-00003F040000}"/>
    <cellStyle name="dp*SubTitle 5 2 3 5" xfId="22867" xr:uid="{00000000-0005-0000-0000-00003F040000}"/>
    <cellStyle name="dp*SubTitle 5 2 3 6" xfId="41236" xr:uid="{00000000-0005-0000-0000-00003F040000}"/>
    <cellStyle name="dp*SubTitle 5 2 4" xfId="10553" xr:uid="{00000000-0005-0000-0000-00003F040000}"/>
    <cellStyle name="dp*SubTitle 5 2 4 2" xfId="14610" xr:uid="{00000000-0005-0000-0000-00003F040000}"/>
    <cellStyle name="dp*SubTitle 5 2 4 2 2" xfId="33026" xr:uid="{00000000-0005-0000-0000-00003F040000}"/>
    <cellStyle name="dp*SubTitle 5 2 4 2 3" xfId="51389" xr:uid="{00000000-0005-0000-0000-00003F040000}"/>
    <cellStyle name="dp*SubTitle 5 2 4 3" xfId="29264" xr:uid="{00000000-0005-0000-0000-00003F040000}"/>
    <cellStyle name="dp*SubTitle 5 2 4 3 2" xfId="47627" xr:uid="{00000000-0005-0000-0000-00003F040000}"/>
    <cellStyle name="dp*SubTitle 5 2 4 4" xfId="20067" xr:uid="{00000000-0005-0000-0000-00003F040000}"/>
    <cellStyle name="dp*SubTitle 5 2 4 5" xfId="38473" xr:uid="{00000000-0005-0000-0000-00003F040000}"/>
    <cellStyle name="dp*SubTitle 5 2 5" xfId="9924" xr:uid="{00000000-0005-0000-0000-00003F040000}"/>
    <cellStyle name="dp*SubTitle 5 2 5 2" xfId="28636" xr:uid="{00000000-0005-0000-0000-00003F040000}"/>
    <cellStyle name="dp*SubTitle 5 2 5 3" xfId="46999" xr:uid="{00000000-0005-0000-0000-00003F040000}"/>
    <cellStyle name="dp*SubTitle 5 2 6" xfId="13981" xr:uid="{00000000-0005-0000-0000-00003F040000}"/>
    <cellStyle name="dp*SubTitle 5 2 6 2" xfId="32398" xr:uid="{00000000-0005-0000-0000-00003F040000}"/>
    <cellStyle name="dp*SubTitle 5 2 6 3" xfId="50761" xr:uid="{00000000-0005-0000-0000-00003F040000}"/>
    <cellStyle name="dp*SubTitle 5 2 7" xfId="23748" xr:uid="{00000000-0005-0000-0000-00003F040000}"/>
    <cellStyle name="dp*SubTitle 5 2 7 2" xfId="42117" xr:uid="{00000000-0005-0000-0000-00003F040000}"/>
    <cellStyle name="dp*SubTitle 5 2 8" xfId="19230" xr:uid="{00000000-0005-0000-0000-00003F040000}"/>
    <cellStyle name="dp*SubTitle 5 2 9" xfId="37637" xr:uid="{00000000-0005-0000-0000-00003F040000}"/>
    <cellStyle name="dp*SubTitle 5 3" xfId="5273" xr:uid="{00000000-0005-0000-0000-00003F040000}"/>
    <cellStyle name="dp*SubTitle 5 3 2" xfId="11729" xr:uid="{00000000-0005-0000-0000-00003F040000}"/>
    <cellStyle name="dp*SubTitle 5 3 2 2" xfId="30235" xr:uid="{00000000-0005-0000-0000-00003F040000}"/>
    <cellStyle name="dp*SubTitle 5 3 2 3" xfId="48598" xr:uid="{00000000-0005-0000-0000-00003F040000}"/>
    <cellStyle name="dp*SubTitle 5 3 3" xfId="15965" xr:uid="{00000000-0005-0000-0000-00003F040000}"/>
    <cellStyle name="dp*SubTitle 5 3 3 2" xfId="34339" xr:uid="{00000000-0005-0000-0000-00003F040000}"/>
    <cellStyle name="dp*SubTitle 5 3 3 3" xfId="52702" xr:uid="{00000000-0005-0000-0000-00003F040000}"/>
    <cellStyle name="dp*SubTitle 5 3 4" xfId="25086" xr:uid="{00000000-0005-0000-0000-00003F040000}"/>
    <cellStyle name="dp*SubTitle 5 3 4 2" xfId="43455" xr:uid="{00000000-0005-0000-0000-00003F040000}"/>
    <cellStyle name="dp*SubTitle 5 3 5" xfId="21407" xr:uid="{00000000-0005-0000-0000-00003F040000}"/>
    <cellStyle name="dp*SubTitle 5 3 6" xfId="39786" xr:uid="{00000000-0005-0000-0000-00003F040000}"/>
    <cellStyle name="dp*SubTitle 5 4" xfId="6235" xr:uid="{00000000-0005-0000-0000-00003F040000}"/>
    <cellStyle name="dp*SubTitle 5 4 2" xfId="12550" xr:uid="{00000000-0005-0000-0000-00003F040000}"/>
    <cellStyle name="dp*SubTitle 5 4 2 2" xfId="30982" xr:uid="{00000000-0005-0000-0000-00003F040000}"/>
    <cellStyle name="dp*SubTitle 5 4 2 3" xfId="49345" xr:uid="{00000000-0005-0000-0000-00003F040000}"/>
    <cellStyle name="dp*SubTitle 5 4 3" xfId="16867" xr:uid="{00000000-0005-0000-0000-00003F040000}"/>
    <cellStyle name="dp*SubTitle 5 4 3 2" xfId="35224" xr:uid="{00000000-0005-0000-0000-00003F040000}"/>
    <cellStyle name="dp*SubTitle 5 4 3 3" xfId="53587" xr:uid="{00000000-0005-0000-0000-00003F040000}"/>
    <cellStyle name="dp*SubTitle 5 4 4" xfId="25999" xr:uid="{00000000-0005-0000-0000-00003F040000}"/>
    <cellStyle name="dp*SubTitle 5 4 4 2" xfId="44368" xr:uid="{00000000-0005-0000-0000-00003F040000}"/>
    <cellStyle name="dp*SubTitle 5 4 5" xfId="22298" xr:uid="{00000000-0005-0000-0000-00003F040000}"/>
    <cellStyle name="dp*SubTitle 5 4 6" xfId="40671" xr:uid="{00000000-0005-0000-0000-00003F040000}"/>
    <cellStyle name="dp*SubTitle 5 5" xfId="11746" xr:uid="{00000000-0005-0000-0000-00003F040000}"/>
    <cellStyle name="dp*SubTitle 5 5 2" xfId="30248" xr:uid="{00000000-0005-0000-0000-00003F040000}"/>
    <cellStyle name="dp*SubTitle 5 5 3" xfId="48611" xr:uid="{00000000-0005-0000-0000-00003F040000}"/>
    <cellStyle name="dp*SubTitle 5 6" xfId="23027" xr:uid="{00000000-0005-0000-0000-00003F040000}"/>
    <cellStyle name="dp*SubTitle 5 6 2" xfId="41396" xr:uid="{00000000-0005-0000-0000-00003F040000}"/>
    <cellStyle name="dp*SubTitle 5 7" xfId="36029" xr:uid="{00000000-0005-0000-0000-00003F040000}"/>
    <cellStyle name="dp*SubTitle_Summary" xfId="2353" xr:uid="{00000000-0005-0000-0000-000040040000}"/>
    <cellStyle name="dp*ThickLineAbove" xfId="429" xr:uid="{00000000-0005-0000-0000-000041040000}"/>
    <cellStyle name="dp*ThickLineBelow" xfId="430" xr:uid="{00000000-0005-0000-0000-000042040000}"/>
    <cellStyle name="dp*ThinLineAbove" xfId="431" xr:uid="{00000000-0005-0000-0000-000043040000}"/>
    <cellStyle name="dp*ThinLineAbove 10" xfId="17747" xr:uid="{00000000-0005-0000-0000-000043040000}"/>
    <cellStyle name="dp*ThinLineAbove 2" xfId="1126" xr:uid="{00000000-0005-0000-0000-000044040000}"/>
    <cellStyle name="dp*ThinLineAbove 2 2" xfId="4225" xr:uid="{00000000-0005-0000-0000-000044040000}"/>
    <cellStyle name="dp*ThinLineAbove 2 2 2" xfId="14970" xr:uid="{00000000-0005-0000-0000-000044040000}"/>
    <cellStyle name="dp*ThinLineAbove 2 2 2 2" xfId="33374" xr:uid="{00000000-0005-0000-0000-000044040000}"/>
    <cellStyle name="dp*ThinLineAbove 2 2 2 3" xfId="51737" xr:uid="{00000000-0005-0000-0000-000044040000}"/>
    <cellStyle name="dp*ThinLineAbove 2 2 3" xfId="24103" xr:uid="{00000000-0005-0000-0000-000044040000}"/>
    <cellStyle name="dp*ThinLineAbove 2 2 3 2" xfId="42472" xr:uid="{00000000-0005-0000-0000-000044040000}"/>
    <cellStyle name="dp*ThinLineAbove 2 2 4" xfId="20423" xr:uid="{00000000-0005-0000-0000-000044040000}"/>
    <cellStyle name="dp*ThinLineAbove 2 2 5" xfId="38821" xr:uid="{00000000-0005-0000-0000-000044040000}"/>
    <cellStyle name="dp*ThinLineAbove 2 3" xfId="19148" xr:uid="{00000000-0005-0000-0000-000044040000}"/>
    <cellStyle name="dp*ThinLineAbove 2 3 2" xfId="37556" xr:uid="{00000000-0005-0000-0000-000044040000}"/>
    <cellStyle name="dp*ThinLineAbove 2 4" xfId="8800" xr:uid="{00000000-0005-0000-0000-000044040000}"/>
    <cellStyle name="dp*ThinLineAbove 2 5" xfId="8046" xr:uid="{00000000-0005-0000-0000-000044040000}"/>
    <cellStyle name="dp*ThinLineAbove 3" xfId="1859" xr:uid="{00000000-0005-0000-0000-000045040000}"/>
    <cellStyle name="dp*ThinLineAbove 3 2" xfId="4784" xr:uid="{00000000-0005-0000-0000-000045040000}"/>
    <cellStyle name="dp*ThinLineAbove 3 2 2" xfId="15510" xr:uid="{00000000-0005-0000-0000-000045040000}"/>
    <cellStyle name="dp*ThinLineAbove 3 2 2 2" xfId="33903" xr:uid="{00000000-0005-0000-0000-000045040000}"/>
    <cellStyle name="dp*ThinLineAbove 3 2 2 3" xfId="52266" xr:uid="{00000000-0005-0000-0000-000045040000}"/>
    <cellStyle name="dp*ThinLineAbove 3 2 3" xfId="24634" xr:uid="{00000000-0005-0000-0000-000045040000}"/>
    <cellStyle name="dp*ThinLineAbove 3 2 3 2" xfId="43003" xr:uid="{00000000-0005-0000-0000-000045040000}"/>
    <cellStyle name="dp*ThinLineAbove 3 2 4" xfId="20961" xr:uid="{00000000-0005-0000-0000-000045040000}"/>
    <cellStyle name="dp*ThinLineAbove 3 2 5" xfId="39350" xr:uid="{00000000-0005-0000-0000-000045040000}"/>
    <cellStyle name="dp*ThinLineAbove 3 3" xfId="19311" xr:uid="{00000000-0005-0000-0000-000045040000}"/>
    <cellStyle name="dp*ThinLineAbove 3 3 2" xfId="37718" xr:uid="{00000000-0005-0000-0000-000045040000}"/>
    <cellStyle name="dp*ThinLineAbove 3 4" xfId="11714" xr:uid="{00000000-0005-0000-0000-000045040000}"/>
    <cellStyle name="dp*ThinLineAbove 3 5" xfId="17670" xr:uid="{00000000-0005-0000-0000-000045040000}"/>
    <cellStyle name="dp*ThinLineAbove 4" xfId="3019" xr:uid="{00000000-0005-0000-0000-000046040000}"/>
    <cellStyle name="dp*ThinLineAbove 4 2" xfId="5272" xr:uid="{00000000-0005-0000-0000-000046040000}"/>
    <cellStyle name="dp*ThinLineAbove 4 2 2" xfId="15964" xr:uid="{00000000-0005-0000-0000-000046040000}"/>
    <cellStyle name="dp*ThinLineAbove 4 2 2 2" xfId="34338" xr:uid="{00000000-0005-0000-0000-000046040000}"/>
    <cellStyle name="dp*ThinLineAbove 4 2 2 3" xfId="52701" xr:uid="{00000000-0005-0000-0000-000046040000}"/>
    <cellStyle name="dp*ThinLineAbove 4 2 3" xfId="25085" xr:uid="{00000000-0005-0000-0000-000046040000}"/>
    <cellStyle name="dp*ThinLineAbove 4 2 3 2" xfId="43454" xr:uid="{00000000-0005-0000-0000-000046040000}"/>
    <cellStyle name="dp*ThinLineAbove 4 2 4" xfId="21406" xr:uid="{00000000-0005-0000-0000-000046040000}"/>
    <cellStyle name="dp*ThinLineAbove 4 2 5" xfId="39785" xr:uid="{00000000-0005-0000-0000-000046040000}"/>
    <cellStyle name="dp*ThinLineAbove 4 3" xfId="23026" xr:uid="{00000000-0005-0000-0000-000046040000}"/>
    <cellStyle name="dp*ThinLineAbove 4 3 2" xfId="41395" xr:uid="{00000000-0005-0000-0000-000046040000}"/>
    <cellStyle name="dp*ThinLineAbove 4 4" xfId="17586" xr:uid="{00000000-0005-0000-0000-000046040000}"/>
    <cellStyle name="dp*ThinLineAbove 4 5" xfId="36028" xr:uid="{00000000-0005-0000-0000-000046040000}"/>
    <cellStyle name="dp*ThinLineAbove 5" xfId="2995" xr:uid="{00000000-0005-0000-0000-000047040000}"/>
    <cellStyle name="dp*ThinLineAbove 5 2" xfId="5253" xr:uid="{00000000-0005-0000-0000-000047040000}"/>
    <cellStyle name="dp*ThinLineAbove 5 2 2" xfId="15945" xr:uid="{00000000-0005-0000-0000-000047040000}"/>
    <cellStyle name="dp*ThinLineAbove 5 2 2 2" xfId="34319" xr:uid="{00000000-0005-0000-0000-000047040000}"/>
    <cellStyle name="dp*ThinLineAbove 5 2 2 3" xfId="52682" xr:uid="{00000000-0005-0000-0000-000047040000}"/>
    <cellStyle name="dp*ThinLineAbove 5 2 3" xfId="25066" xr:uid="{00000000-0005-0000-0000-000047040000}"/>
    <cellStyle name="dp*ThinLineAbove 5 2 3 2" xfId="43435" xr:uid="{00000000-0005-0000-0000-000047040000}"/>
    <cellStyle name="dp*ThinLineAbove 5 2 4" xfId="21387" xr:uid="{00000000-0005-0000-0000-000047040000}"/>
    <cellStyle name="dp*ThinLineAbove 5 2 5" xfId="39766" xr:uid="{00000000-0005-0000-0000-000047040000}"/>
    <cellStyle name="dp*ThinLineAbove 5 3" xfId="23008" xr:uid="{00000000-0005-0000-0000-000047040000}"/>
    <cellStyle name="dp*ThinLineAbove 5 3 2" xfId="41377" xr:uid="{00000000-0005-0000-0000-000047040000}"/>
    <cellStyle name="dp*ThinLineAbove 5 4" xfId="17567" xr:uid="{00000000-0005-0000-0000-000047040000}"/>
    <cellStyle name="dp*ThinLineAbove 5 5" xfId="36010" xr:uid="{00000000-0005-0000-0000-000047040000}"/>
    <cellStyle name="dp*ThinLineAbove 6" xfId="3277" xr:uid="{00000000-0005-0000-0000-000048040000}"/>
    <cellStyle name="dp*ThinLineAbove 6 2" xfId="5470" xr:uid="{00000000-0005-0000-0000-000048040000}"/>
    <cellStyle name="dp*ThinLineAbove 6 2 2" xfId="16161" xr:uid="{00000000-0005-0000-0000-000048040000}"/>
    <cellStyle name="dp*ThinLineAbove 6 2 2 2" xfId="34533" xr:uid="{00000000-0005-0000-0000-000048040000}"/>
    <cellStyle name="dp*ThinLineAbove 6 2 2 3" xfId="52896" xr:uid="{00000000-0005-0000-0000-000048040000}"/>
    <cellStyle name="dp*ThinLineAbove 6 2 3" xfId="25280" xr:uid="{00000000-0005-0000-0000-000048040000}"/>
    <cellStyle name="dp*ThinLineAbove 6 2 3 2" xfId="43649" xr:uid="{00000000-0005-0000-0000-000048040000}"/>
    <cellStyle name="dp*ThinLineAbove 6 2 4" xfId="21601" xr:uid="{00000000-0005-0000-0000-000048040000}"/>
    <cellStyle name="dp*ThinLineAbove 6 2 5" xfId="39980" xr:uid="{00000000-0005-0000-0000-000048040000}"/>
    <cellStyle name="dp*ThinLineAbove 6 3" xfId="23209" xr:uid="{00000000-0005-0000-0000-000048040000}"/>
    <cellStyle name="dp*ThinLineAbove 6 3 2" xfId="41578" xr:uid="{00000000-0005-0000-0000-000048040000}"/>
    <cellStyle name="dp*ThinLineAbove 6 4" xfId="17795" xr:uid="{00000000-0005-0000-0000-000048040000}"/>
    <cellStyle name="dp*ThinLineAbove 6 5" xfId="36211" xr:uid="{00000000-0005-0000-0000-000048040000}"/>
    <cellStyle name="dp*ThinLineAbove 7" xfId="4030" xr:uid="{00000000-0005-0000-0000-000043040000}"/>
    <cellStyle name="dp*ThinLineAbove 7 2" xfId="14791" xr:uid="{00000000-0005-0000-0000-000043040000}"/>
    <cellStyle name="dp*ThinLineAbove 7 2 2" xfId="33203" xr:uid="{00000000-0005-0000-0000-000043040000}"/>
    <cellStyle name="dp*ThinLineAbove 7 2 3" xfId="51566" xr:uid="{00000000-0005-0000-0000-000043040000}"/>
    <cellStyle name="dp*ThinLineAbove 7 3" xfId="23927" xr:uid="{00000000-0005-0000-0000-000043040000}"/>
    <cellStyle name="dp*ThinLineAbove 7 3 2" xfId="42296" xr:uid="{00000000-0005-0000-0000-000043040000}"/>
    <cellStyle name="dp*ThinLineAbove 7 4" xfId="20247" xr:uid="{00000000-0005-0000-0000-000043040000}"/>
    <cellStyle name="dp*ThinLineAbove 7 5" xfId="38650" xr:uid="{00000000-0005-0000-0000-000043040000}"/>
    <cellStyle name="dp*ThinLineAbove 8" xfId="18969" xr:uid="{00000000-0005-0000-0000-000043040000}"/>
    <cellStyle name="dp*ThinLineAbove 8 2" xfId="37378" xr:uid="{00000000-0005-0000-0000-000043040000}"/>
    <cellStyle name="dp*ThinLineAbove 9" xfId="6997" xr:uid="{00000000-0005-0000-0000-000043040000}"/>
    <cellStyle name="dp*ThinLineBelow" xfId="432" xr:uid="{00000000-0005-0000-0000-000049040000}"/>
    <cellStyle name="dp*ThinLineBelow 2" xfId="1053" xr:uid="{00000000-0005-0000-0000-00004A040000}"/>
    <cellStyle name="dp*ThinLineBelow 2 2" xfId="1350" xr:uid="{00000000-0005-0000-0000-00004B040000}"/>
    <cellStyle name="dp*ThinLineBelow 2 2 2" xfId="3397" xr:uid="{00000000-0005-0000-0000-00004B040000}"/>
    <cellStyle name="dp*ThinLineBelow 2 2 2 2" xfId="5572" xr:uid="{00000000-0005-0000-0000-00004B040000}"/>
    <cellStyle name="dp*ThinLineBelow 2 2 2 2 2" xfId="11936" xr:uid="{00000000-0005-0000-0000-00004B040000}"/>
    <cellStyle name="dp*ThinLineBelow 2 2 2 2 2 2" xfId="30383" xr:uid="{00000000-0005-0000-0000-00004B040000}"/>
    <cellStyle name="dp*ThinLineBelow 2 2 2 2 2 3" xfId="48746" xr:uid="{00000000-0005-0000-0000-00004B040000}"/>
    <cellStyle name="dp*ThinLineBelow 2 2 2 2 3" xfId="16262" xr:uid="{00000000-0005-0000-0000-00004B040000}"/>
    <cellStyle name="dp*ThinLineBelow 2 2 2 2 3 2" xfId="34634" xr:uid="{00000000-0005-0000-0000-00004B040000}"/>
    <cellStyle name="dp*ThinLineBelow 2 2 2 2 3 3" xfId="52997" xr:uid="{00000000-0005-0000-0000-00004B040000}"/>
    <cellStyle name="dp*ThinLineBelow 2 2 2 2 4" xfId="25381" xr:uid="{00000000-0005-0000-0000-00004B040000}"/>
    <cellStyle name="dp*ThinLineBelow 2 2 2 2 4 2" xfId="43750" xr:uid="{00000000-0005-0000-0000-00004B040000}"/>
    <cellStyle name="dp*ThinLineBelow 2 2 2 2 5" xfId="21702" xr:uid="{00000000-0005-0000-0000-00004B040000}"/>
    <cellStyle name="dp*ThinLineBelow 2 2 2 2 6" xfId="40081" xr:uid="{00000000-0005-0000-0000-00004B040000}"/>
    <cellStyle name="dp*ThinLineBelow 2 2 2 3" xfId="6396" xr:uid="{00000000-0005-0000-0000-00004B040000}"/>
    <cellStyle name="dp*ThinLineBelow 2 2 2 3 2" xfId="12687" xr:uid="{00000000-0005-0000-0000-00004B040000}"/>
    <cellStyle name="dp*ThinLineBelow 2 2 2 3 2 2" xfId="31113" xr:uid="{00000000-0005-0000-0000-00004B040000}"/>
    <cellStyle name="dp*ThinLineBelow 2 2 2 3 2 3" xfId="49476" xr:uid="{00000000-0005-0000-0000-00004B040000}"/>
    <cellStyle name="dp*ThinLineBelow 2 2 2 3 3" xfId="16998" xr:uid="{00000000-0005-0000-0000-00004B040000}"/>
    <cellStyle name="dp*ThinLineBelow 2 2 2 3 3 2" xfId="35346" xr:uid="{00000000-0005-0000-0000-00004B040000}"/>
    <cellStyle name="dp*ThinLineBelow 2 2 2 3 3 3" xfId="53709" xr:uid="{00000000-0005-0000-0000-00004B040000}"/>
    <cellStyle name="dp*ThinLineBelow 2 2 2 3 4" xfId="26131" xr:uid="{00000000-0005-0000-0000-00004B040000}"/>
    <cellStyle name="dp*ThinLineBelow 2 2 2 3 4 2" xfId="44500" xr:uid="{00000000-0005-0000-0000-00004B040000}"/>
    <cellStyle name="dp*ThinLineBelow 2 2 2 3 5" xfId="22424" xr:uid="{00000000-0005-0000-0000-00004B040000}"/>
    <cellStyle name="dp*ThinLineBelow 2 2 2 3 6" xfId="40793" xr:uid="{00000000-0005-0000-0000-00004B040000}"/>
    <cellStyle name="dp*ThinLineBelow 2 2 2 4" xfId="10110" xr:uid="{00000000-0005-0000-0000-00004B040000}"/>
    <cellStyle name="dp*ThinLineBelow 2 2 2 4 2" xfId="14167" xr:uid="{00000000-0005-0000-0000-00004B040000}"/>
    <cellStyle name="dp*ThinLineBelow 2 2 2 4 2 2" xfId="32583" xr:uid="{00000000-0005-0000-0000-00004B040000}"/>
    <cellStyle name="dp*ThinLineBelow 2 2 2 4 2 3" xfId="50946" xr:uid="{00000000-0005-0000-0000-00004B040000}"/>
    <cellStyle name="dp*ThinLineBelow 2 2 2 4 3" xfId="28821" xr:uid="{00000000-0005-0000-0000-00004B040000}"/>
    <cellStyle name="dp*ThinLineBelow 2 2 2 4 3 2" xfId="47184" xr:uid="{00000000-0005-0000-0000-00004B040000}"/>
    <cellStyle name="dp*ThinLineBelow 2 2 2 4 4" xfId="19624" xr:uid="{00000000-0005-0000-0000-00004B040000}"/>
    <cellStyle name="dp*ThinLineBelow 2 2 2 4 5" xfId="38030" xr:uid="{00000000-0005-0000-0000-00004B040000}"/>
    <cellStyle name="dp*ThinLineBelow 2 2 2 5" xfId="9297" xr:uid="{00000000-0005-0000-0000-00004B040000}"/>
    <cellStyle name="dp*ThinLineBelow 2 2 2 5 2" xfId="28016" xr:uid="{00000000-0005-0000-0000-00004B040000}"/>
    <cellStyle name="dp*ThinLineBelow 2 2 2 5 3" xfId="46379" xr:uid="{00000000-0005-0000-0000-00004B040000}"/>
    <cellStyle name="dp*ThinLineBelow 2 2 2 6" xfId="13353" xr:uid="{00000000-0005-0000-0000-00004B040000}"/>
    <cellStyle name="dp*ThinLineBelow 2 2 2 6 2" xfId="31774" xr:uid="{00000000-0005-0000-0000-00004B040000}"/>
    <cellStyle name="dp*ThinLineBelow 2 2 2 6 3" xfId="50137" xr:uid="{00000000-0005-0000-0000-00004B040000}"/>
    <cellStyle name="dp*ThinLineBelow 2 2 2 7" xfId="23305" xr:uid="{00000000-0005-0000-0000-00004B040000}"/>
    <cellStyle name="dp*ThinLineBelow 2 2 2 7 2" xfId="41674" xr:uid="{00000000-0005-0000-0000-00004B040000}"/>
    <cellStyle name="dp*ThinLineBelow 2 2 2 8" xfId="18371" xr:uid="{00000000-0005-0000-0000-00004B040000}"/>
    <cellStyle name="dp*ThinLineBelow 2 2 2 9" xfId="36777" xr:uid="{00000000-0005-0000-0000-00004B040000}"/>
    <cellStyle name="dp*ThinLineBelow 2 2 3" xfId="4386" xr:uid="{00000000-0005-0000-0000-00004B040000}"/>
    <cellStyle name="dp*ThinLineBelow 2 2 3 2" xfId="10986" xr:uid="{00000000-0005-0000-0000-00004B040000}"/>
    <cellStyle name="dp*ThinLineBelow 2 2 3 2 2" xfId="29608" xr:uid="{00000000-0005-0000-0000-00004B040000}"/>
    <cellStyle name="dp*ThinLineBelow 2 2 3 2 3" xfId="47971" xr:uid="{00000000-0005-0000-0000-00004B040000}"/>
    <cellStyle name="dp*ThinLineBelow 2 2 3 3" xfId="15122" xr:uid="{00000000-0005-0000-0000-00004B040000}"/>
    <cellStyle name="dp*ThinLineBelow 2 2 3 3 2" xfId="33519" xr:uid="{00000000-0005-0000-0000-00004B040000}"/>
    <cellStyle name="dp*ThinLineBelow 2 2 3 3 3" xfId="51882" xr:uid="{00000000-0005-0000-0000-00004B040000}"/>
    <cellStyle name="dp*ThinLineBelow 2 2 3 4" xfId="24250" xr:uid="{00000000-0005-0000-0000-00004B040000}"/>
    <cellStyle name="dp*ThinLineBelow 2 2 3 4 2" xfId="42619" xr:uid="{00000000-0005-0000-0000-00004B040000}"/>
    <cellStyle name="dp*ThinLineBelow 2 2 3 5" xfId="20573" xr:uid="{00000000-0005-0000-0000-00004B040000}"/>
    <cellStyle name="dp*ThinLineBelow 2 2 3 6" xfId="38966" xr:uid="{00000000-0005-0000-0000-00004B040000}"/>
    <cellStyle name="dp*ThinLineBelow 2 2 4" xfId="5062" xr:uid="{00000000-0005-0000-0000-00004B040000}"/>
    <cellStyle name="dp*ThinLineBelow 2 2 4 2" xfId="11584" xr:uid="{00000000-0005-0000-0000-00004B040000}"/>
    <cellStyle name="dp*ThinLineBelow 2 2 4 2 2" xfId="30152" xr:uid="{00000000-0005-0000-0000-00004B040000}"/>
    <cellStyle name="dp*ThinLineBelow 2 2 4 2 3" xfId="48515" xr:uid="{00000000-0005-0000-0000-00004B040000}"/>
    <cellStyle name="dp*ThinLineBelow 2 2 4 3" xfId="15775" xr:uid="{00000000-0005-0000-0000-00004B040000}"/>
    <cellStyle name="dp*ThinLineBelow 2 2 4 3 2" xfId="34162" xr:uid="{00000000-0005-0000-0000-00004B040000}"/>
    <cellStyle name="dp*ThinLineBelow 2 2 4 3 3" xfId="52525" xr:uid="{00000000-0005-0000-0000-00004B040000}"/>
    <cellStyle name="dp*ThinLineBelow 2 2 4 4" xfId="24898" xr:uid="{00000000-0005-0000-0000-00004B040000}"/>
    <cellStyle name="dp*ThinLineBelow 2 2 4 4 2" xfId="43267" xr:uid="{00000000-0005-0000-0000-00004B040000}"/>
    <cellStyle name="dp*ThinLineBelow 2 2 4 5" xfId="21223" xr:uid="{00000000-0005-0000-0000-00004B040000}"/>
    <cellStyle name="dp*ThinLineBelow 2 2 4 6" xfId="39609" xr:uid="{00000000-0005-0000-0000-00004B040000}"/>
    <cellStyle name="dp*ThinLineBelow 2 2 5" xfId="9355" xr:uid="{00000000-0005-0000-0000-00004B040000}"/>
    <cellStyle name="dp*ThinLineBelow 2 2 5 2" xfId="13411" xr:uid="{00000000-0005-0000-0000-00004B040000}"/>
    <cellStyle name="dp*ThinLineBelow 2 2 5 2 2" xfId="31832" xr:uid="{00000000-0005-0000-0000-00004B040000}"/>
    <cellStyle name="dp*ThinLineBelow 2 2 5 2 3" xfId="50195" xr:uid="{00000000-0005-0000-0000-00004B040000}"/>
    <cellStyle name="dp*ThinLineBelow 2 2 5 3" xfId="28074" xr:uid="{00000000-0005-0000-0000-00004B040000}"/>
    <cellStyle name="dp*ThinLineBelow 2 2 5 3 2" xfId="46437" xr:uid="{00000000-0005-0000-0000-00004B040000}"/>
    <cellStyle name="dp*ThinLineBelow 2 2 5 4" xfId="18436" xr:uid="{00000000-0005-0000-0000-00004B040000}"/>
    <cellStyle name="dp*ThinLineBelow 2 2 5 5" xfId="36842" xr:uid="{00000000-0005-0000-0000-00004B040000}"/>
    <cellStyle name="dp*ThinLineBelow 2 2 6" xfId="7647" xr:uid="{00000000-0005-0000-0000-00004B040000}"/>
    <cellStyle name="dp*ThinLineBelow 2 2 6 2" xfId="26934" xr:uid="{00000000-0005-0000-0000-00004B040000}"/>
    <cellStyle name="dp*ThinLineBelow 2 2 6 3" xfId="45299" xr:uid="{00000000-0005-0000-0000-00004B040000}"/>
    <cellStyle name="dp*ThinLineBelow 2 2 7" xfId="8537" xr:uid="{00000000-0005-0000-0000-00004B040000}"/>
    <cellStyle name="dp*ThinLineBelow 2 2 7 2" xfId="27522" xr:uid="{00000000-0005-0000-0000-00004B040000}"/>
    <cellStyle name="dp*ThinLineBelow 2 2 7 3" xfId="45886" xr:uid="{00000000-0005-0000-0000-00004B040000}"/>
    <cellStyle name="dp*ThinLineBelow 2 2 8" xfId="12455" xr:uid="{00000000-0005-0000-0000-00004B040000}"/>
    <cellStyle name="dp*ThinLineBelow 2 2 9" xfId="11835" xr:uid="{00000000-0005-0000-0000-00004B040000}"/>
    <cellStyle name="dp*ThinLineBelow 2 3" xfId="1352" xr:uid="{00000000-0005-0000-0000-00004C040000}"/>
    <cellStyle name="dp*ThinLineBelow 2 3 2" xfId="3398" xr:uid="{00000000-0005-0000-0000-00004C040000}"/>
    <cellStyle name="dp*ThinLineBelow 2 3 2 2" xfId="5573" xr:uid="{00000000-0005-0000-0000-00004C040000}"/>
    <cellStyle name="dp*ThinLineBelow 2 3 2 2 2" xfId="11937" xr:uid="{00000000-0005-0000-0000-00004C040000}"/>
    <cellStyle name="dp*ThinLineBelow 2 3 2 2 2 2" xfId="30384" xr:uid="{00000000-0005-0000-0000-00004C040000}"/>
    <cellStyle name="dp*ThinLineBelow 2 3 2 2 2 3" xfId="48747" xr:uid="{00000000-0005-0000-0000-00004C040000}"/>
    <cellStyle name="dp*ThinLineBelow 2 3 2 2 3" xfId="16263" xr:uid="{00000000-0005-0000-0000-00004C040000}"/>
    <cellStyle name="dp*ThinLineBelow 2 3 2 2 3 2" xfId="34635" xr:uid="{00000000-0005-0000-0000-00004C040000}"/>
    <cellStyle name="dp*ThinLineBelow 2 3 2 2 3 3" xfId="52998" xr:uid="{00000000-0005-0000-0000-00004C040000}"/>
    <cellStyle name="dp*ThinLineBelow 2 3 2 2 4" xfId="25382" xr:uid="{00000000-0005-0000-0000-00004C040000}"/>
    <cellStyle name="dp*ThinLineBelow 2 3 2 2 4 2" xfId="43751" xr:uid="{00000000-0005-0000-0000-00004C040000}"/>
    <cellStyle name="dp*ThinLineBelow 2 3 2 2 5" xfId="21703" xr:uid="{00000000-0005-0000-0000-00004C040000}"/>
    <cellStyle name="dp*ThinLineBelow 2 3 2 2 6" xfId="40082" xr:uid="{00000000-0005-0000-0000-00004C040000}"/>
    <cellStyle name="dp*ThinLineBelow 2 3 2 3" xfId="6397" xr:uid="{00000000-0005-0000-0000-00004C040000}"/>
    <cellStyle name="dp*ThinLineBelow 2 3 2 3 2" xfId="12688" xr:uid="{00000000-0005-0000-0000-00004C040000}"/>
    <cellStyle name="dp*ThinLineBelow 2 3 2 3 2 2" xfId="31114" xr:uid="{00000000-0005-0000-0000-00004C040000}"/>
    <cellStyle name="dp*ThinLineBelow 2 3 2 3 2 3" xfId="49477" xr:uid="{00000000-0005-0000-0000-00004C040000}"/>
    <cellStyle name="dp*ThinLineBelow 2 3 2 3 3" xfId="16999" xr:uid="{00000000-0005-0000-0000-00004C040000}"/>
    <cellStyle name="dp*ThinLineBelow 2 3 2 3 3 2" xfId="35347" xr:uid="{00000000-0005-0000-0000-00004C040000}"/>
    <cellStyle name="dp*ThinLineBelow 2 3 2 3 3 3" xfId="53710" xr:uid="{00000000-0005-0000-0000-00004C040000}"/>
    <cellStyle name="dp*ThinLineBelow 2 3 2 3 4" xfId="26132" xr:uid="{00000000-0005-0000-0000-00004C040000}"/>
    <cellStyle name="dp*ThinLineBelow 2 3 2 3 4 2" xfId="44501" xr:uid="{00000000-0005-0000-0000-00004C040000}"/>
    <cellStyle name="dp*ThinLineBelow 2 3 2 3 5" xfId="22425" xr:uid="{00000000-0005-0000-0000-00004C040000}"/>
    <cellStyle name="dp*ThinLineBelow 2 3 2 3 6" xfId="40794" xr:uid="{00000000-0005-0000-0000-00004C040000}"/>
    <cellStyle name="dp*ThinLineBelow 2 3 2 4" xfId="10111" xr:uid="{00000000-0005-0000-0000-00004C040000}"/>
    <cellStyle name="dp*ThinLineBelow 2 3 2 4 2" xfId="14168" xr:uid="{00000000-0005-0000-0000-00004C040000}"/>
    <cellStyle name="dp*ThinLineBelow 2 3 2 4 2 2" xfId="32584" xr:uid="{00000000-0005-0000-0000-00004C040000}"/>
    <cellStyle name="dp*ThinLineBelow 2 3 2 4 2 3" xfId="50947" xr:uid="{00000000-0005-0000-0000-00004C040000}"/>
    <cellStyle name="dp*ThinLineBelow 2 3 2 4 3" xfId="28822" xr:uid="{00000000-0005-0000-0000-00004C040000}"/>
    <cellStyle name="dp*ThinLineBelow 2 3 2 4 3 2" xfId="47185" xr:uid="{00000000-0005-0000-0000-00004C040000}"/>
    <cellStyle name="dp*ThinLineBelow 2 3 2 4 4" xfId="19625" xr:uid="{00000000-0005-0000-0000-00004C040000}"/>
    <cellStyle name="dp*ThinLineBelow 2 3 2 4 5" xfId="38031" xr:uid="{00000000-0005-0000-0000-00004C040000}"/>
    <cellStyle name="dp*ThinLineBelow 2 3 2 5" xfId="9298" xr:uid="{00000000-0005-0000-0000-00004C040000}"/>
    <cellStyle name="dp*ThinLineBelow 2 3 2 5 2" xfId="28017" xr:uid="{00000000-0005-0000-0000-00004C040000}"/>
    <cellStyle name="dp*ThinLineBelow 2 3 2 5 3" xfId="46380" xr:uid="{00000000-0005-0000-0000-00004C040000}"/>
    <cellStyle name="dp*ThinLineBelow 2 3 2 6" xfId="13354" xr:uid="{00000000-0005-0000-0000-00004C040000}"/>
    <cellStyle name="dp*ThinLineBelow 2 3 2 6 2" xfId="31775" xr:uid="{00000000-0005-0000-0000-00004C040000}"/>
    <cellStyle name="dp*ThinLineBelow 2 3 2 6 3" xfId="50138" xr:uid="{00000000-0005-0000-0000-00004C040000}"/>
    <cellStyle name="dp*ThinLineBelow 2 3 2 7" xfId="23306" xr:uid="{00000000-0005-0000-0000-00004C040000}"/>
    <cellStyle name="dp*ThinLineBelow 2 3 2 7 2" xfId="41675" xr:uid="{00000000-0005-0000-0000-00004C040000}"/>
    <cellStyle name="dp*ThinLineBelow 2 3 2 8" xfId="18373" xr:uid="{00000000-0005-0000-0000-00004C040000}"/>
    <cellStyle name="dp*ThinLineBelow 2 3 2 9" xfId="36779" xr:uid="{00000000-0005-0000-0000-00004C040000}"/>
    <cellStyle name="dp*ThinLineBelow 2 3 3" xfId="4387" xr:uid="{00000000-0005-0000-0000-00004C040000}"/>
    <cellStyle name="dp*ThinLineBelow 2 3 3 2" xfId="10987" xr:uid="{00000000-0005-0000-0000-00004C040000}"/>
    <cellStyle name="dp*ThinLineBelow 2 3 3 2 2" xfId="29609" xr:uid="{00000000-0005-0000-0000-00004C040000}"/>
    <cellStyle name="dp*ThinLineBelow 2 3 3 2 3" xfId="47972" xr:uid="{00000000-0005-0000-0000-00004C040000}"/>
    <cellStyle name="dp*ThinLineBelow 2 3 3 3" xfId="15123" xr:uid="{00000000-0005-0000-0000-00004C040000}"/>
    <cellStyle name="dp*ThinLineBelow 2 3 3 3 2" xfId="33520" xr:uid="{00000000-0005-0000-0000-00004C040000}"/>
    <cellStyle name="dp*ThinLineBelow 2 3 3 3 3" xfId="51883" xr:uid="{00000000-0005-0000-0000-00004C040000}"/>
    <cellStyle name="dp*ThinLineBelow 2 3 3 4" xfId="24251" xr:uid="{00000000-0005-0000-0000-00004C040000}"/>
    <cellStyle name="dp*ThinLineBelow 2 3 3 4 2" xfId="42620" xr:uid="{00000000-0005-0000-0000-00004C040000}"/>
    <cellStyle name="dp*ThinLineBelow 2 3 3 5" xfId="20574" xr:uid="{00000000-0005-0000-0000-00004C040000}"/>
    <cellStyle name="dp*ThinLineBelow 2 3 3 6" xfId="38967" xr:uid="{00000000-0005-0000-0000-00004C040000}"/>
    <cellStyle name="dp*ThinLineBelow 2 3 4" xfId="4057" xr:uid="{00000000-0005-0000-0000-00004C040000}"/>
    <cellStyle name="dp*ThinLineBelow 2 3 4 2" xfId="10758" xr:uid="{00000000-0005-0000-0000-00004C040000}"/>
    <cellStyle name="dp*ThinLineBelow 2 3 4 2 2" xfId="29461" xr:uid="{00000000-0005-0000-0000-00004C040000}"/>
    <cellStyle name="dp*ThinLineBelow 2 3 4 2 3" xfId="47824" xr:uid="{00000000-0005-0000-0000-00004C040000}"/>
    <cellStyle name="dp*ThinLineBelow 2 3 4 3" xfId="14818" xr:uid="{00000000-0005-0000-0000-00004C040000}"/>
    <cellStyle name="dp*ThinLineBelow 2 3 4 3 2" xfId="33230" xr:uid="{00000000-0005-0000-0000-00004C040000}"/>
    <cellStyle name="dp*ThinLineBelow 2 3 4 3 3" xfId="51593" xr:uid="{00000000-0005-0000-0000-00004C040000}"/>
    <cellStyle name="dp*ThinLineBelow 2 3 4 4" xfId="23954" xr:uid="{00000000-0005-0000-0000-00004C040000}"/>
    <cellStyle name="dp*ThinLineBelow 2 3 4 4 2" xfId="42323" xr:uid="{00000000-0005-0000-0000-00004C040000}"/>
    <cellStyle name="dp*ThinLineBelow 2 3 4 5" xfId="20274" xr:uid="{00000000-0005-0000-0000-00004C040000}"/>
    <cellStyle name="dp*ThinLineBelow 2 3 4 6" xfId="38677" xr:uid="{00000000-0005-0000-0000-00004C040000}"/>
    <cellStyle name="dp*ThinLineBelow 2 3 5" xfId="9894" xr:uid="{00000000-0005-0000-0000-00004C040000}"/>
    <cellStyle name="dp*ThinLineBelow 2 3 5 2" xfId="13952" xr:uid="{00000000-0005-0000-0000-00004C040000}"/>
    <cellStyle name="dp*ThinLineBelow 2 3 5 2 2" xfId="32370" xr:uid="{00000000-0005-0000-0000-00004C040000}"/>
    <cellStyle name="dp*ThinLineBelow 2 3 5 2 3" xfId="50733" xr:uid="{00000000-0005-0000-0000-00004C040000}"/>
    <cellStyle name="dp*ThinLineBelow 2 3 5 3" xfId="28608" xr:uid="{00000000-0005-0000-0000-00004C040000}"/>
    <cellStyle name="dp*ThinLineBelow 2 3 5 3 2" xfId="46971" xr:uid="{00000000-0005-0000-0000-00004C040000}"/>
    <cellStyle name="dp*ThinLineBelow 2 3 5 4" xfId="19175" xr:uid="{00000000-0005-0000-0000-00004C040000}"/>
    <cellStyle name="dp*ThinLineBelow 2 3 5 5" xfId="37583" xr:uid="{00000000-0005-0000-0000-00004C040000}"/>
    <cellStyle name="dp*ThinLineBelow 2 3 6" xfId="7649" xr:uid="{00000000-0005-0000-0000-00004C040000}"/>
    <cellStyle name="dp*ThinLineBelow 2 3 6 2" xfId="26935" xr:uid="{00000000-0005-0000-0000-00004C040000}"/>
    <cellStyle name="dp*ThinLineBelow 2 3 6 3" xfId="45300" xr:uid="{00000000-0005-0000-0000-00004C040000}"/>
    <cellStyle name="dp*ThinLineBelow 2 3 7" xfId="7223" xr:uid="{00000000-0005-0000-0000-00004C040000}"/>
    <cellStyle name="dp*ThinLineBelow 2 3 7 2" xfId="26766" xr:uid="{00000000-0005-0000-0000-00004C040000}"/>
    <cellStyle name="dp*ThinLineBelow 2 3 7 3" xfId="45134" xr:uid="{00000000-0005-0000-0000-00004C040000}"/>
    <cellStyle name="dp*ThinLineBelow 2 3 8" xfId="19448" xr:uid="{00000000-0005-0000-0000-00004C040000}"/>
    <cellStyle name="dp*ThinLineBelow 2 3 8 2" xfId="37854" xr:uid="{00000000-0005-0000-0000-00004C040000}"/>
    <cellStyle name="dp*ThinLineBelow 2 3 9" xfId="7501" xr:uid="{00000000-0005-0000-0000-00004C040000}"/>
    <cellStyle name="dp*ThinLineBelow 2 4" xfId="1909" xr:uid="{00000000-0005-0000-0000-00004D040000}"/>
    <cellStyle name="dp*ThinLineBelow 2 4 10" xfId="10785" xr:uid="{00000000-0005-0000-0000-00004D040000}"/>
    <cellStyle name="dp*ThinLineBelow 2 4 2" xfId="3727" xr:uid="{00000000-0005-0000-0000-00004D040000}"/>
    <cellStyle name="dp*ThinLineBelow 2 4 2 2" xfId="5900" xr:uid="{00000000-0005-0000-0000-00004D040000}"/>
    <cellStyle name="dp*ThinLineBelow 2 4 2 2 2" xfId="12264" xr:uid="{00000000-0005-0000-0000-00004D040000}"/>
    <cellStyle name="dp*ThinLineBelow 2 4 2 2 2 2" xfId="30711" xr:uid="{00000000-0005-0000-0000-00004D040000}"/>
    <cellStyle name="dp*ThinLineBelow 2 4 2 2 2 3" xfId="49074" xr:uid="{00000000-0005-0000-0000-00004D040000}"/>
    <cellStyle name="dp*ThinLineBelow 2 4 2 2 3" xfId="16590" xr:uid="{00000000-0005-0000-0000-00004D040000}"/>
    <cellStyle name="dp*ThinLineBelow 2 4 2 2 3 2" xfId="34962" xr:uid="{00000000-0005-0000-0000-00004D040000}"/>
    <cellStyle name="dp*ThinLineBelow 2 4 2 2 3 3" xfId="53325" xr:uid="{00000000-0005-0000-0000-00004D040000}"/>
    <cellStyle name="dp*ThinLineBelow 2 4 2 2 4" xfId="25709" xr:uid="{00000000-0005-0000-0000-00004D040000}"/>
    <cellStyle name="dp*ThinLineBelow 2 4 2 2 4 2" xfId="44078" xr:uid="{00000000-0005-0000-0000-00004D040000}"/>
    <cellStyle name="dp*ThinLineBelow 2 4 2 2 5" xfId="22030" xr:uid="{00000000-0005-0000-0000-00004D040000}"/>
    <cellStyle name="dp*ThinLineBelow 2 4 2 2 6" xfId="40409" xr:uid="{00000000-0005-0000-0000-00004D040000}"/>
    <cellStyle name="dp*ThinLineBelow 2 4 2 3" xfId="6726" xr:uid="{00000000-0005-0000-0000-00004D040000}"/>
    <cellStyle name="dp*ThinLineBelow 2 4 2 3 2" xfId="13017" xr:uid="{00000000-0005-0000-0000-00004D040000}"/>
    <cellStyle name="dp*ThinLineBelow 2 4 2 3 2 2" xfId="31443" xr:uid="{00000000-0005-0000-0000-00004D040000}"/>
    <cellStyle name="dp*ThinLineBelow 2 4 2 3 2 3" xfId="49806" xr:uid="{00000000-0005-0000-0000-00004D040000}"/>
    <cellStyle name="dp*ThinLineBelow 2 4 2 3 3" xfId="17328" xr:uid="{00000000-0005-0000-0000-00004D040000}"/>
    <cellStyle name="dp*ThinLineBelow 2 4 2 3 3 2" xfId="35676" xr:uid="{00000000-0005-0000-0000-00004D040000}"/>
    <cellStyle name="dp*ThinLineBelow 2 4 2 3 3 3" xfId="54039" xr:uid="{00000000-0005-0000-0000-00004D040000}"/>
    <cellStyle name="dp*ThinLineBelow 2 4 2 3 4" xfId="26461" xr:uid="{00000000-0005-0000-0000-00004D040000}"/>
    <cellStyle name="dp*ThinLineBelow 2 4 2 3 4 2" xfId="44830" xr:uid="{00000000-0005-0000-0000-00004D040000}"/>
    <cellStyle name="dp*ThinLineBelow 2 4 2 3 5" xfId="22754" xr:uid="{00000000-0005-0000-0000-00004D040000}"/>
    <cellStyle name="dp*ThinLineBelow 2 4 2 3 6" xfId="41123" xr:uid="{00000000-0005-0000-0000-00004D040000}"/>
    <cellStyle name="dp*ThinLineBelow 2 4 2 4" xfId="10440" xr:uid="{00000000-0005-0000-0000-00004D040000}"/>
    <cellStyle name="dp*ThinLineBelow 2 4 2 4 2" xfId="14497" xr:uid="{00000000-0005-0000-0000-00004D040000}"/>
    <cellStyle name="dp*ThinLineBelow 2 4 2 4 2 2" xfId="32913" xr:uid="{00000000-0005-0000-0000-00004D040000}"/>
    <cellStyle name="dp*ThinLineBelow 2 4 2 4 2 3" xfId="51276" xr:uid="{00000000-0005-0000-0000-00004D040000}"/>
    <cellStyle name="dp*ThinLineBelow 2 4 2 4 3" xfId="29151" xr:uid="{00000000-0005-0000-0000-00004D040000}"/>
    <cellStyle name="dp*ThinLineBelow 2 4 2 4 3 2" xfId="47514" xr:uid="{00000000-0005-0000-0000-00004D040000}"/>
    <cellStyle name="dp*ThinLineBelow 2 4 2 4 4" xfId="19954" xr:uid="{00000000-0005-0000-0000-00004D040000}"/>
    <cellStyle name="dp*ThinLineBelow 2 4 2 4 5" xfId="38360" xr:uid="{00000000-0005-0000-0000-00004D040000}"/>
    <cellStyle name="dp*ThinLineBelow 2 4 2 5" xfId="9656" xr:uid="{00000000-0005-0000-0000-00004D040000}"/>
    <cellStyle name="dp*ThinLineBelow 2 4 2 5 2" xfId="28372" xr:uid="{00000000-0005-0000-0000-00004D040000}"/>
    <cellStyle name="dp*ThinLineBelow 2 4 2 5 3" xfId="46735" xr:uid="{00000000-0005-0000-0000-00004D040000}"/>
    <cellStyle name="dp*ThinLineBelow 2 4 2 6" xfId="13713" xr:uid="{00000000-0005-0000-0000-00004D040000}"/>
    <cellStyle name="dp*ThinLineBelow 2 4 2 6 2" xfId="32134" xr:uid="{00000000-0005-0000-0000-00004D040000}"/>
    <cellStyle name="dp*ThinLineBelow 2 4 2 6 3" xfId="50497" xr:uid="{00000000-0005-0000-0000-00004D040000}"/>
    <cellStyle name="dp*ThinLineBelow 2 4 2 7" xfId="23635" xr:uid="{00000000-0005-0000-0000-00004D040000}"/>
    <cellStyle name="dp*ThinLineBelow 2 4 2 7 2" xfId="42004" xr:uid="{00000000-0005-0000-0000-00004D040000}"/>
    <cellStyle name="dp*ThinLineBelow 2 4 2 8" xfId="18781" xr:uid="{00000000-0005-0000-0000-00004D040000}"/>
    <cellStyle name="dp*ThinLineBelow 2 4 2 9" xfId="37190" xr:uid="{00000000-0005-0000-0000-00004D040000}"/>
    <cellStyle name="dp*ThinLineBelow 2 4 3" xfId="4820" xr:uid="{00000000-0005-0000-0000-00004D040000}"/>
    <cellStyle name="dp*ThinLineBelow 2 4 3 2" xfId="11381" xr:uid="{00000000-0005-0000-0000-00004D040000}"/>
    <cellStyle name="dp*ThinLineBelow 2 4 3 2 2" xfId="29973" xr:uid="{00000000-0005-0000-0000-00004D040000}"/>
    <cellStyle name="dp*ThinLineBelow 2 4 3 2 3" xfId="48336" xr:uid="{00000000-0005-0000-0000-00004D040000}"/>
    <cellStyle name="dp*ThinLineBelow 2 4 3 3" xfId="15546" xr:uid="{00000000-0005-0000-0000-00004D040000}"/>
    <cellStyle name="dp*ThinLineBelow 2 4 3 3 2" xfId="33939" xr:uid="{00000000-0005-0000-0000-00004D040000}"/>
    <cellStyle name="dp*ThinLineBelow 2 4 3 3 3" xfId="52302" xr:uid="{00000000-0005-0000-0000-00004D040000}"/>
    <cellStyle name="dp*ThinLineBelow 2 4 3 4" xfId="24670" xr:uid="{00000000-0005-0000-0000-00004D040000}"/>
    <cellStyle name="dp*ThinLineBelow 2 4 3 4 2" xfId="43039" xr:uid="{00000000-0005-0000-0000-00004D040000}"/>
    <cellStyle name="dp*ThinLineBelow 2 4 3 5" xfId="20997" xr:uid="{00000000-0005-0000-0000-00004D040000}"/>
    <cellStyle name="dp*ThinLineBelow 2 4 3 6" xfId="39386" xr:uid="{00000000-0005-0000-0000-00004D040000}"/>
    <cellStyle name="dp*ThinLineBelow 2 4 4" xfId="4363" xr:uid="{00000000-0005-0000-0000-00004D040000}"/>
    <cellStyle name="dp*ThinLineBelow 2 4 4 2" xfId="10966" xr:uid="{00000000-0005-0000-0000-00004D040000}"/>
    <cellStyle name="dp*ThinLineBelow 2 4 4 2 2" xfId="29591" xr:uid="{00000000-0005-0000-0000-00004D040000}"/>
    <cellStyle name="dp*ThinLineBelow 2 4 4 2 3" xfId="47954" xr:uid="{00000000-0005-0000-0000-00004D040000}"/>
    <cellStyle name="dp*ThinLineBelow 2 4 4 3" xfId="15102" xr:uid="{00000000-0005-0000-0000-00004D040000}"/>
    <cellStyle name="dp*ThinLineBelow 2 4 4 3 2" xfId="33502" xr:uid="{00000000-0005-0000-0000-00004D040000}"/>
    <cellStyle name="dp*ThinLineBelow 2 4 4 3 3" xfId="51865" xr:uid="{00000000-0005-0000-0000-00004D040000}"/>
    <cellStyle name="dp*ThinLineBelow 2 4 4 4" xfId="24232" xr:uid="{00000000-0005-0000-0000-00004D040000}"/>
    <cellStyle name="dp*ThinLineBelow 2 4 4 4 2" xfId="42601" xr:uid="{00000000-0005-0000-0000-00004D040000}"/>
    <cellStyle name="dp*ThinLineBelow 2 4 4 5" xfId="20555" xr:uid="{00000000-0005-0000-0000-00004D040000}"/>
    <cellStyle name="dp*ThinLineBelow 2 4 4 6" xfId="38949" xr:uid="{00000000-0005-0000-0000-00004D040000}"/>
    <cellStyle name="dp*ThinLineBelow 2 4 5" xfId="9182" xr:uid="{00000000-0005-0000-0000-00004D040000}"/>
    <cellStyle name="dp*ThinLineBelow 2 4 5 2" xfId="13240" xr:uid="{00000000-0005-0000-0000-00004D040000}"/>
    <cellStyle name="dp*ThinLineBelow 2 4 5 2 2" xfId="31661" xr:uid="{00000000-0005-0000-0000-00004D040000}"/>
    <cellStyle name="dp*ThinLineBelow 2 4 5 2 3" xfId="50024" xr:uid="{00000000-0005-0000-0000-00004D040000}"/>
    <cellStyle name="dp*ThinLineBelow 2 4 5 3" xfId="27903" xr:uid="{00000000-0005-0000-0000-00004D040000}"/>
    <cellStyle name="dp*ThinLineBelow 2 4 5 3 2" xfId="46266" xr:uid="{00000000-0005-0000-0000-00004D040000}"/>
    <cellStyle name="dp*ThinLineBelow 2 4 5 4" xfId="18197" xr:uid="{00000000-0005-0000-0000-00004D040000}"/>
    <cellStyle name="dp*ThinLineBelow 2 4 5 5" xfId="36603" xr:uid="{00000000-0005-0000-0000-00004D040000}"/>
    <cellStyle name="dp*ThinLineBelow 2 4 6" xfId="8108" xr:uid="{00000000-0005-0000-0000-00004D040000}"/>
    <cellStyle name="dp*ThinLineBelow 2 4 6 2" xfId="27313" xr:uid="{00000000-0005-0000-0000-00004D040000}"/>
    <cellStyle name="dp*ThinLineBelow 2 4 6 3" xfId="45678" xr:uid="{00000000-0005-0000-0000-00004D040000}"/>
    <cellStyle name="dp*ThinLineBelow 2 4 7" xfId="7750" xr:uid="{00000000-0005-0000-0000-00004D040000}"/>
    <cellStyle name="dp*ThinLineBelow 2 4 7 2" xfId="27026" xr:uid="{00000000-0005-0000-0000-00004D040000}"/>
    <cellStyle name="dp*ThinLineBelow 2 4 7 3" xfId="45391" xr:uid="{00000000-0005-0000-0000-00004D040000}"/>
    <cellStyle name="dp*ThinLineBelow 2 4 8" xfId="19492" xr:uid="{00000000-0005-0000-0000-00004D040000}"/>
    <cellStyle name="dp*ThinLineBelow 2 4 8 2" xfId="37898" xr:uid="{00000000-0005-0000-0000-00004D040000}"/>
    <cellStyle name="dp*ThinLineBelow 2 4 9" xfId="10949" xr:uid="{00000000-0005-0000-0000-00004D040000}"/>
    <cellStyle name="dp*ThinLineBelow 2 5" xfId="2324" xr:uid="{00000000-0005-0000-0000-00004E040000}"/>
    <cellStyle name="dp*ThinLineBelow 2 5 10" xfId="11695" xr:uid="{00000000-0005-0000-0000-00004E040000}"/>
    <cellStyle name="dp*ThinLineBelow 2 5 2" xfId="3772" xr:uid="{00000000-0005-0000-0000-00004E040000}"/>
    <cellStyle name="dp*ThinLineBelow 2 5 2 2" xfId="5945" xr:uid="{00000000-0005-0000-0000-00004E040000}"/>
    <cellStyle name="dp*ThinLineBelow 2 5 2 2 2" xfId="12309" xr:uid="{00000000-0005-0000-0000-00004E040000}"/>
    <cellStyle name="dp*ThinLineBelow 2 5 2 2 2 2" xfId="30756" xr:uid="{00000000-0005-0000-0000-00004E040000}"/>
    <cellStyle name="dp*ThinLineBelow 2 5 2 2 2 3" xfId="49119" xr:uid="{00000000-0005-0000-0000-00004E040000}"/>
    <cellStyle name="dp*ThinLineBelow 2 5 2 2 3" xfId="16635" xr:uid="{00000000-0005-0000-0000-00004E040000}"/>
    <cellStyle name="dp*ThinLineBelow 2 5 2 2 3 2" xfId="35007" xr:uid="{00000000-0005-0000-0000-00004E040000}"/>
    <cellStyle name="dp*ThinLineBelow 2 5 2 2 3 3" xfId="53370" xr:uid="{00000000-0005-0000-0000-00004E040000}"/>
    <cellStyle name="dp*ThinLineBelow 2 5 2 2 4" xfId="25754" xr:uid="{00000000-0005-0000-0000-00004E040000}"/>
    <cellStyle name="dp*ThinLineBelow 2 5 2 2 4 2" xfId="44123" xr:uid="{00000000-0005-0000-0000-00004E040000}"/>
    <cellStyle name="dp*ThinLineBelow 2 5 2 2 5" xfId="22075" xr:uid="{00000000-0005-0000-0000-00004E040000}"/>
    <cellStyle name="dp*ThinLineBelow 2 5 2 2 6" xfId="40454" xr:uid="{00000000-0005-0000-0000-00004E040000}"/>
    <cellStyle name="dp*ThinLineBelow 2 5 2 3" xfId="6771" xr:uid="{00000000-0005-0000-0000-00004E040000}"/>
    <cellStyle name="dp*ThinLineBelow 2 5 2 3 2" xfId="13062" xr:uid="{00000000-0005-0000-0000-00004E040000}"/>
    <cellStyle name="dp*ThinLineBelow 2 5 2 3 2 2" xfId="31488" xr:uid="{00000000-0005-0000-0000-00004E040000}"/>
    <cellStyle name="dp*ThinLineBelow 2 5 2 3 2 3" xfId="49851" xr:uid="{00000000-0005-0000-0000-00004E040000}"/>
    <cellStyle name="dp*ThinLineBelow 2 5 2 3 3" xfId="17373" xr:uid="{00000000-0005-0000-0000-00004E040000}"/>
    <cellStyle name="dp*ThinLineBelow 2 5 2 3 3 2" xfId="35721" xr:uid="{00000000-0005-0000-0000-00004E040000}"/>
    <cellStyle name="dp*ThinLineBelow 2 5 2 3 3 3" xfId="54084" xr:uid="{00000000-0005-0000-0000-00004E040000}"/>
    <cellStyle name="dp*ThinLineBelow 2 5 2 3 4" xfId="26506" xr:uid="{00000000-0005-0000-0000-00004E040000}"/>
    <cellStyle name="dp*ThinLineBelow 2 5 2 3 4 2" xfId="44875" xr:uid="{00000000-0005-0000-0000-00004E040000}"/>
    <cellStyle name="dp*ThinLineBelow 2 5 2 3 5" xfId="22799" xr:uid="{00000000-0005-0000-0000-00004E040000}"/>
    <cellStyle name="dp*ThinLineBelow 2 5 2 3 6" xfId="41168" xr:uid="{00000000-0005-0000-0000-00004E040000}"/>
    <cellStyle name="dp*ThinLineBelow 2 5 2 4" xfId="10485" xr:uid="{00000000-0005-0000-0000-00004E040000}"/>
    <cellStyle name="dp*ThinLineBelow 2 5 2 4 2" xfId="14542" xr:uid="{00000000-0005-0000-0000-00004E040000}"/>
    <cellStyle name="dp*ThinLineBelow 2 5 2 4 2 2" xfId="32958" xr:uid="{00000000-0005-0000-0000-00004E040000}"/>
    <cellStyle name="dp*ThinLineBelow 2 5 2 4 2 3" xfId="51321" xr:uid="{00000000-0005-0000-0000-00004E040000}"/>
    <cellStyle name="dp*ThinLineBelow 2 5 2 4 3" xfId="29196" xr:uid="{00000000-0005-0000-0000-00004E040000}"/>
    <cellStyle name="dp*ThinLineBelow 2 5 2 4 3 2" xfId="47559" xr:uid="{00000000-0005-0000-0000-00004E040000}"/>
    <cellStyle name="dp*ThinLineBelow 2 5 2 4 4" xfId="19999" xr:uid="{00000000-0005-0000-0000-00004E040000}"/>
    <cellStyle name="dp*ThinLineBelow 2 5 2 4 5" xfId="38405" xr:uid="{00000000-0005-0000-0000-00004E040000}"/>
    <cellStyle name="dp*ThinLineBelow 2 5 2 5" xfId="9756" xr:uid="{00000000-0005-0000-0000-00004E040000}"/>
    <cellStyle name="dp*ThinLineBelow 2 5 2 5 2" xfId="28471" xr:uid="{00000000-0005-0000-0000-00004E040000}"/>
    <cellStyle name="dp*ThinLineBelow 2 5 2 5 3" xfId="46834" xr:uid="{00000000-0005-0000-0000-00004E040000}"/>
    <cellStyle name="dp*ThinLineBelow 2 5 2 6" xfId="13813" xr:uid="{00000000-0005-0000-0000-00004E040000}"/>
    <cellStyle name="dp*ThinLineBelow 2 5 2 6 2" xfId="32233" xr:uid="{00000000-0005-0000-0000-00004E040000}"/>
    <cellStyle name="dp*ThinLineBelow 2 5 2 6 3" xfId="50596" xr:uid="{00000000-0005-0000-0000-00004E040000}"/>
    <cellStyle name="dp*ThinLineBelow 2 5 2 7" xfId="23680" xr:uid="{00000000-0005-0000-0000-00004E040000}"/>
    <cellStyle name="dp*ThinLineBelow 2 5 2 7 2" xfId="42049" xr:uid="{00000000-0005-0000-0000-00004E040000}"/>
    <cellStyle name="dp*ThinLineBelow 2 5 2 8" xfId="18938" xr:uid="{00000000-0005-0000-0000-00004E040000}"/>
    <cellStyle name="dp*ThinLineBelow 2 5 2 9" xfId="37347" xr:uid="{00000000-0005-0000-0000-00004E040000}"/>
    <cellStyle name="dp*ThinLineBelow 2 5 3" xfId="4972" xr:uid="{00000000-0005-0000-0000-00004E040000}"/>
    <cellStyle name="dp*ThinLineBelow 2 5 3 2" xfId="11502" xr:uid="{00000000-0005-0000-0000-00004E040000}"/>
    <cellStyle name="dp*ThinLineBelow 2 5 3 2 2" xfId="30075" xr:uid="{00000000-0005-0000-0000-00004E040000}"/>
    <cellStyle name="dp*ThinLineBelow 2 5 3 2 3" xfId="48438" xr:uid="{00000000-0005-0000-0000-00004E040000}"/>
    <cellStyle name="dp*ThinLineBelow 2 5 3 3" xfId="15688" xr:uid="{00000000-0005-0000-0000-00004E040000}"/>
    <cellStyle name="dp*ThinLineBelow 2 5 3 3 2" xfId="34077" xr:uid="{00000000-0005-0000-0000-00004E040000}"/>
    <cellStyle name="dp*ThinLineBelow 2 5 3 3 3" xfId="52440" xr:uid="{00000000-0005-0000-0000-00004E040000}"/>
    <cellStyle name="dp*ThinLineBelow 2 5 3 4" xfId="24812" xr:uid="{00000000-0005-0000-0000-00004E040000}"/>
    <cellStyle name="dp*ThinLineBelow 2 5 3 4 2" xfId="43181" xr:uid="{00000000-0005-0000-0000-00004E040000}"/>
    <cellStyle name="dp*ThinLineBelow 2 5 3 5" xfId="21137" xr:uid="{00000000-0005-0000-0000-00004E040000}"/>
    <cellStyle name="dp*ThinLineBelow 2 5 3 6" xfId="39524" xr:uid="{00000000-0005-0000-0000-00004E040000}"/>
    <cellStyle name="dp*ThinLineBelow 2 5 4" xfId="6112" xr:uid="{00000000-0005-0000-0000-00004E040000}"/>
    <cellStyle name="dp*ThinLineBelow 2 5 4 2" xfId="12466" xr:uid="{00000000-0005-0000-0000-00004E040000}"/>
    <cellStyle name="dp*ThinLineBelow 2 5 4 2 2" xfId="30906" xr:uid="{00000000-0005-0000-0000-00004E040000}"/>
    <cellStyle name="dp*ThinLineBelow 2 5 4 2 3" xfId="49269" xr:uid="{00000000-0005-0000-0000-00004E040000}"/>
    <cellStyle name="dp*ThinLineBelow 2 5 4 3" xfId="16785" xr:uid="{00000000-0005-0000-0000-00004E040000}"/>
    <cellStyle name="dp*ThinLineBelow 2 5 4 3 2" xfId="35154" xr:uid="{00000000-0005-0000-0000-00004E040000}"/>
    <cellStyle name="dp*ThinLineBelow 2 5 4 3 3" xfId="53517" xr:uid="{00000000-0005-0000-0000-00004E040000}"/>
    <cellStyle name="dp*ThinLineBelow 2 5 4 4" xfId="25908" xr:uid="{00000000-0005-0000-0000-00004E040000}"/>
    <cellStyle name="dp*ThinLineBelow 2 5 4 4 2" xfId="44277" xr:uid="{00000000-0005-0000-0000-00004E040000}"/>
    <cellStyle name="dp*ThinLineBelow 2 5 4 5" xfId="22224" xr:uid="{00000000-0005-0000-0000-00004E040000}"/>
    <cellStyle name="dp*ThinLineBelow 2 5 4 6" xfId="40601" xr:uid="{00000000-0005-0000-0000-00004E040000}"/>
    <cellStyle name="dp*ThinLineBelow 2 5 5" xfId="9170" xr:uid="{00000000-0005-0000-0000-00004E040000}"/>
    <cellStyle name="dp*ThinLineBelow 2 5 5 2" xfId="13228" xr:uid="{00000000-0005-0000-0000-00004E040000}"/>
    <cellStyle name="dp*ThinLineBelow 2 5 5 2 2" xfId="31649" xr:uid="{00000000-0005-0000-0000-00004E040000}"/>
    <cellStyle name="dp*ThinLineBelow 2 5 5 2 3" xfId="50012" xr:uid="{00000000-0005-0000-0000-00004E040000}"/>
    <cellStyle name="dp*ThinLineBelow 2 5 5 3" xfId="27891" xr:uid="{00000000-0005-0000-0000-00004E040000}"/>
    <cellStyle name="dp*ThinLineBelow 2 5 5 3 2" xfId="46254" xr:uid="{00000000-0005-0000-0000-00004E040000}"/>
    <cellStyle name="dp*ThinLineBelow 2 5 5 4" xfId="18170" xr:uid="{00000000-0005-0000-0000-00004E040000}"/>
    <cellStyle name="dp*ThinLineBelow 2 5 5 5" xfId="36576" xr:uid="{00000000-0005-0000-0000-00004E040000}"/>
    <cellStyle name="dp*ThinLineBelow 2 5 6" xfId="8365" xr:uid="{00000000-0005-0000-0000-00004E040000}"/>
    <cellStyle name="dp*ThinLineBelow 2 5 6 2" xfId="27432" xr:uid="{00000000-0005-0000-0000-00004E040000}"/>
    <cellStyle name="dp*ThinLineBelow 2 5 6 3" xfId="45796" xr:uid="{00000000-0005-0000-0000-00004E040000}"/>
    <cellStyle name="dp*ThinLineBelow 2 5 7" xfId="10870" xr:uid="{00000000-0005-0000-0000-00004E040000}"/>
    <cellStyle name="dp*ThinLineBelow 2 5 7 2" xfId="29536" xr:uid="{00000000-0005-0000-0000-00004E040000}"/>
    <cellStyle name="dp*ThinLineBelow 2 5 7 3" xfId="47899" xr:uid="{00000000-0005-0000-0000-00004E040000}"/>
    <cellStyle name="dp*ThinLineBelow 2 5 8" xfId="18276" xr:uid="{00000000-0005-0000-0000-00004E040000}"/>
    <cellStyle name="dp*ThinLineBelow 2 5 8 2" xfId="36682" xr:uid="{00000000-0005-0000-0000-00004E040000}"/>
    <cellStyle name="dp*ThinLineBelow 2 5 9" xfId="8246" xr:uid="{00000000-0005-0000-0000-00004E040000}"/>
    <cellStyle name="dp*ThinLineBelow 2 6" xfId="4183" xr:uid="{00000000-0005-0000-0000-00004A040000}"/>
    <cellStyle name="dp*ThinLineBelow 2 6 2" xfId="10835" xr:uid="{00000000-0005-0000-0000-00004A040000}"/>
    <cellStyle name="dp*ThinLineBelow 2 6 2 2" xfId="29507" xr:uid="{00000000-0005-0000-0000-00004A040000}"/>
    <cellStyle name="dp*ThinLineBelow 2 6 2 3" xfId="47870" xr:uid="{00000000-0005-0000-0000-00004A040000}"/>
    <cellStyle name="dp*ThinLineBelow 2 6 3" xfId="14929" xr:uid="{00000000-0005-0000-0000-00004A040000}"/>
    <cellStyle name="dp*ThinLineBelow 2 6 3 2" xfId="33333" xr:uid="{00000000-0005-0000-0000-00004A040000}"/>
    <cellStyle name="dp*ThinLineBelow 2 6 3 3" xfId="51696" xr:uid="{00000000-0005-0000-0000-00004A040000}"/>
    <cellStyle name="dp*ThinLineBelow 2 6 4" xfId="24062" xr:uid="{00000000-0005-0000-0000-00004A040000}"/>
    <cellStyle name="dp*ThinLineBelow 2 6 4 2" xfId="42431" xr:uid="{00000000-0005-0000-0000-00004A040000}"/>
    <cellStyle name="dp*ThinLineBelow 2 6 5" xfId="20382" xr:uid="{00000000-0005-0000-0000-00004A040000}"/>
    <cellStyle name="dp*ThinLineBelow 2 6 6" xfId="38780" xr:uid="{00000000-0005-0000-0000-00004A040000}"/>
    <cellStyle name="dp*ThinLineBelow 2 7" xfId="9835" xr:uid="{00000000-0005-0000-0000-00004A040000}"/>
    <cellStyle name="dp*ThinLineBelow 2 7 2" xfId="13892" xr:uid="{00000000-0005-0000-0000-00004A040000}"/>
    <cellStyle name="dp*ThinLineBelow 2 7 2 2" xfId="32311" xr:uid="{00000000-0005-0000-0000-00004A040000}"/>
    <cellStyle name="dp*ThinLineBelow 2 7 2 3" xfId="50674" xr:uid="{00000000-0005-0000-0000-00004A040000}"/>
    <cellStyle name="dp*ThinLineBelow 2 7 3" xfId="28549" xr:uid="{00000000-0005-0000-0000-00004A040000}"/>
    <cellStyle name="dp*ThinLineBelow 2 7 3 2" xfId="46912" xr:uid="{00000000-0005-0000-0000-00004A040000}"/>
    <cellStyle name="dp*ThinLineBelow 2 7 4" xfId="19054" xr:uid="{00000000-0005-0000-0000-00004A040000}"/>
    <cellStyle name="dp*ThinLineBelow 2 7 5" xfId="37463" xr:uid="{00000000-0005-0000-0000-00004A040000}"/>
    <cellStyle name="dp*ThinLineBelow 3" xfId="1210" xr:uid="{00000000-0005-0000-0000-00004F040000}"/>
    <cellStyle name="dp*ThinLineBelow 3 2" xfId="1632" xr:uid="{00000000-0005-0000-0000-000050040000}"/>
    <cellStyle name="dp*ThinLineBelow 3 2 2" xfId="1715" xr:uid="{00000000-0005-0000-0000-000051040000}"/>
    <cellStyle name="dp*ThinLineBelow 3 2 2 2" xfId="3612" xr:uid="{00000000-0005-0000-0000-000051040000}"/>
    <cellStyle name="dp*ThinLineBelow 3 2 2 2 2" xfId="5785" xr:uid="{00000000-0005-0000-0000-000051040000}"/>
    <cellStyle name="dp*ThinLineBelow 3 2 2 2 2 2" xfId="12149" xr:uid="{00000000-0005-0000-0000-000051040000}"/>
    <cellStyle name="dp*ThinLineBelow 3 2 2 2 2 2 2" xfId="30596" xr:uid="{00000000-0005-0000-0000-000051040000}"/>
    <cellStyle name="dp*ThinLineBelow 3 2 2 2 2 2 3" xfId="48959" xr:uid="{00000000-0005-0000-0000-000051040000}"/>
    <cellStyle name="dp*ThinLineBelow 3 2 2 2 2 3" xfId="16475" xr:uid="{00000000-0005-0000-0000-000051040000}"/>
    <cellStyle name="dp*ThinLineBelow 3 2 2 2 2 3 2" xfId="34847" xr:uid="{00000000-0005-0000-0000-000051040000}"/>
    <cellStyle name="dp*ThinLineBelow 3 2 2 2 2 3 3" xfId="53210" xr:uid="{00000000-0005-0000-0000-000051040000}"/>
    <cellStyle name="dp*ThinLineBelow 3 2 2 2 2 4" xfId="25594" xr:uid="{00000000-0005-0000-0000-000051040000}"/>
    <cellStyle name="dp*ThinLineBelow 3 2 2 2 2 4 2" xfId="43963" xr:uid="{00000000-0005-0000-0000-000051040000}"/>
    <cellStyle name="dp*ThinLineBelow 3 2 2 2 2 5" xfId="21915" xr:uid="{00000000-0005-0000-0000-000051040000}"/>
    <cellStyle name="dp*ThinLineBelow 3 2 2 2 2 6" xfId="40294" xr:uid="{00000000-0005-0000-0000-000051040000}"/>
    <cellStyle name="dp*ThinLineBelow 3 2 2 2 3" xfId="6611" xr:uid="{00000000-0005-0000-0000-000051040000}"/>
    <cellStyle name="dp*ThinLineBelow 3 2 2 2 3 2" xfId="12902" xr:uid="{00000000-0005-0000-0000-000051040000}"/>
    <cellStyle name="dp*ThinLineBelow 3 2 2 2 3 2 2" xfId="31328" xr:uid="{00000000-0005-0000-0000-000051040000}"/>
    <cellStyle name="dp*ThinLineBelow 3 2 2 2 3 2 3" xfId="49691" xr:uid="{00000000-0005-0000-0000-000051040000}"/>
    <cellStyle name="dp*ThinLineBelow 3 2 2 2 3 3" xfId="17213" xr:uid="{00000000-0005-0000-0000-000051040000}"/>
    <cellStyle name="dp*ThinLineBelow 3 2 2 2 3 3 2" xfId="35561" xr:uid="{00000000-0005-0000-0000-000051040000}"/>
    <cellStyle name="dp*ThinLineBelow 3 2 2 2 3 3 3" xfId="53924" xr:uid="{00000000-0005-0000-0000-000051040000}"/>
    <cellStyle name="dp*ThinLineBelow 3 2 2 2 3 4" xfId="26346" xr:uid="{00000000-0005-0000-0000-000051040000}"/>
    <cellStyle name="dp*ThinLineBelow 3 2 2 2 3 4 2" xfId="44715" xr:uid="{00000000-0005-0000-0000-000051040000}"/>
    <cellStyle name="dp*ThinLineBelow 3 2 2 2 3 5" xfId="22639" xr:uid="{00000000-0005-0000-0000-000051040000}"/>
    <cellStyle name="dp*ThinLineBelow 3 2 2 2 3 6" xfId="41008" xr:uid="{00000000-0005-0000-0000-000051040000}"/>
    <cellStyle name="dp*ThinLineBelow 3 2 2 2 4" xfId="10325" xr:uid="{00000000-0005-0000-0000-000051040000}"/>
    <cellStyle name="dp*ThinLineBelow 3 2 2 2 4 2" xfId="14382" xr:uid="{00000000-0005-0000-0000-000051040000}"/>
    <cellStyle name="dp*ThinLineBelow 3 2 2 2 4 2 2" xfId="32798" xr:uid="{00000000-0005-0000-0000-000051040000}"/>
    <cellStyle name="dp*ThinLineBelow 3 2 2 2 4 2 3" xfId="51161" xr:uid="{00000000-0005-0000-0000-000051040000}"/>
    <cellStyle name="dp*ThinLineBelow 3 2 2 2 4 3" xfId="29036" xr:uid="{00000000-0005-0000-0000-000051040000}"/>
    <cellStyle name="dp*ThinLineBelow 3 2 2 2 4 3 2" xfId="47399" xr:uid="{00000000-0005-0000-0000-000051040000}"/>
    <cellStyle name="dp*ThinLineBelow 3 2 2 2 4 4" xfId="19839" xr:uid="{00000000-0005-0000-0000-000051040000}"/>
    <cellStyle name="dp*ThinLineBelow 3 2 2 2 4 5" xfId="38245" xr:uid="{00000000-0005-0000-0000-000051040000}"/>
    <cellStyle name="dp*ThinLineBelow 3 2 2 2 5" xfId="9533" xr:uid="{00000000-0005-0000-0000-000051040000}"/>
    <cellStyle name="dp*ThinLineBelow 3 2 2 2 5 2" xfId="28250" xr:uid="{00000000-0005-0000-0000-000051040000}"/>
    <cellStyle name="dp*ThinLineBelow 3 2 2 2 5 3" xfId="46613" xr:uid="{00000000-0005-0000-0000-000051040000}"/>
    <cellStyle name="dp*ThinLineBelow 3 2 2 2 6" xfId="13591" xr:uid="{00000000-0005-0000-0000-000051040000}"/>
    <cellStyle name="dp*ThinLineBelow 3 2 2 2 6 2" xfId="32012" xr:uid="{00000000-0005-0000-0000-000051040000}"/>
    <cellStyle name="dp*ThinLineBelow 3 2 2 2 6 3" xfId="50375" xr:uid="{00000000-0005-0000-0000-000051040000}"/>
    <cellStyle name="dp*ThinLineBelow 3 2 2 2 7" xfId="23520" xr:uid="{00000000-0005-0000-0000-000051040000}"/>
    <cellStyle name="dp*ThinLineBelow 3 2 2 2 7 2" xfId="41889" xr:uid="{00000000-0005-0000-0000-000051040000}"/>
    <cellStyle name="dp*ThinLineBelow 3 2 2 2 8" xfId="18632" xr:uid="{00000000-0005-0000-0000-000051040000}"/>
    <cellStyle name="dp*ThinLineBelow 3 2 2 2 9" xfId="37042" xr:uid="{00000000-0005-0000-0000-000051040000}"/>
    <cellStyle name="dp*ThinLineBelow 3 2 2 3" xfId="4652" xr:uid="{00000000-0005-0000-0000-000051040000}"/>
    <cellStyle name="dp*ThinLineBelow 3 2 2 3 2" xfId="11236" xr:uid="{00000000-0005-0000-0000-000051040000}"/>
    <cellStyle name="dp*ThinLineBelow 3 2 2 3 2 2" xfId="29848" xr:uid="{00000000-0005-0000-0000-000051040000}"/>
    <cellStyle name="dp*ThinLineBelow 3 2 2 3 2 3" xfId="48211" xr:uid="{00000000-0005-0000-0000-000051040000}"/>
    <cellStyle name="dp*ThinLineBelow 3 2 2 3 3" xfId="15378" xr:uid="{00000000-0005-0000-0000-000051040000}"/>
    <cellStyle name="dp*ThinLineBelow 3 2 2 3 3 2" xfId="33771" xr:uid="{00000000-0005-0000-0000-000051040000}"/>
    <cellStyle name="dp*ThinLineBelow 3 2 2 3 3 3" xfId="52134" xr:uid="{00000000-0005-0000-0000-000051040000}"/>
    <cellStyle name="dp*ThinLineBelow 3 2 2 3 4" xfId="24502" xr:uid="{00000000-0005-0000-0000-000051040000}"/>
    <cellStyle name="dp*ThinLineBelow 3 2 2 3 4 2" xfId="42871" xr:uid="{00000000-0005-0000-0000-000051040000}"/>
    <cellStyle name="dp*ThinLineBelow 3 2 2 3 5" xfId="20829" xr:uid="{00000000-0005-0000-0000-000051040000}"/>
    <cellStyle name="dp*ThinLineBelow 3 2 2 3 6" xfId="39218" xr:uid="{00000000-0005-0000-0000-000051040000}"/>
    <cellStyle name="dp*ThinLineBelow 3 2 2 4" xfId="3968" xr:uid="{00000000-0005-0000-0000-000051040000}"/>
    <cellStyle name="dp*ThinLineBelow 3 2 2 4 2" xfId="10673" xr:uid="{00000000-0005-0000-0000-000051040000}"/>
    <cellStyle name="dp*ThinLineBelow 3 2 2 4 2 2" xfId="29379" xr:uid="{00000000-0005-0000-0000-000051040000}"/>
    <cellStyle name="dp*ThinLineBelow 3 2 2 4 2 3" xfId="47742" xr:uid="{00000000-0005-0000-0000-000051040000}"/>
    <cellStyle name="dp*ThinLineBelow 3 2 2 4 3" xfId="14731" xr:uid="{00000000-0005-0000-0000-000051040000}"/>
    <cellStyle name="dp*ThinLineBelow 3 2 2 4 3 2" xfId="33143" xr:uid="{00000000-0005-0000-0000-000051040000}"/>
    <cellStyle name="dp*ThinLineBelow 3 2 2 4 3 3" xfId="51506" xr:uid="{00000000-0005-0000-0000-000051040000}"/>
    <cellStyle name="dp*ThinLineBelow 3 2 2 4 4" xfId="23867" xr:uid="{00000000-0005-0000-0000-000051040000}"/>
    <cellStyle name="dp*ThinLineBelow 3 2 2 4 4 2" xfId="42236" xr:uid="{00000000-0005-0000-0000-000051040000}"/>
    <cellStyle name="dp*ThinLineBelow 3 2 2 4 5" xfId="20185" xr:uid="{00000000-0005-0000-0000-000051040000}"/>
    <cellStyle name="dp*ThinLineBelow 3 2 2 4 6" xfId="38590" xr:uid="{00000000-0005-0000-0000-000051040000}"/>
    <cellStyle name="dp*ThinLineBelow 3 2 2 5" xfId="9084" xr:uid="{00000000-0005-0000-0000-000051040000}"/>
    <cellStyle name="dp*ThinLineBelow 3 2 2 5 2" xfId="5161" xr:uid="{00000000-0005-0000-0000-000051040000}"/>
    <cellStyle name="dp*ThinLineBelow 3 2 2 5 2 2" xfId="24982" xr:uid="{00000000-0005-0000-0000-000051040000}"/>
    <cellStyle name="dp*ThinLineBelow 3 2 2 5 2 3" xfId="43351" xr:uid="{00000000-0005-0000-0000-000051040000}"/>
    <cellStyle name="dp*ThinLineBelow 3 2 2 5 3" xfId="27810" xr:uid="{00000000-0005-0000-0000-000051040000}"/>
    <cellStyle name="dp*ThinLineBelow 3 2 2 5 3 2" xfId="46173" xr:uid="{00000000-0005-0000-0000-000051040000}"/>
    <cellStyle name="dp*ThinLineBelow 3 2 2 5 4" xfId="17984" xr:uid="{00000000-0005-0000-0000-000051040000}"/>
    <cellStyle name="dp*ThinLineBelow 3 2 2 5 5" xfId="36392" xr:uid="{00000000-0005-0000-0000-000051040000}"/>
    <cellStyle name="dp*ThinLineBelow 3 2 2 6" xfId="7946" xr:uid="{00000000-0005-0000-0000-000051040000}"/>
    <cellStyle name="dp*ThinLineBelow 3 2 2 6 2" xfId="27176" xr:uid="{00000000-0005-0000-0000-000051040000}"/>
    <cellStyle name="dp*ThinLineBelow 3 2 2 6 3" xfId="45541" xr:uid="{00000000-0005-0000-0000-000051040000}"/>
    <cellStyle name="dp*ThinLineBelow 3 2 2 7" xfId="7484" xr:uid="{00000000-0005-0000-0000-000051040000}"/>
    <cellStyle name="dp*ThinLineBelow 3 2 2 7 2" xfId="26850" xr:uid="{00000000-0005-0000-0000-000051040000}"/>
    <cellStyle name="dp*ThinLineBelow 3 2 2 7 3" xfId="45215" xr:uid="{00000000-0005-0000-0000-000051040000}"/>
    <cellStyle name="dp*ThinLineBelow 3 2 2 8" xfId="7057" xr:uid="{00000000-0005-0000-0000-000051040000}"/>
    <cellStyle name="dp*ThinLineBelow 3 2 2 9" xfId="7107" xr:uid="{00000000-0005-0000-0000-000051040000}"/>
    <cellStyle name="dp*ThinLineBelow 3 2 3" xfId="1746" xr:uid="{00000000-0005-0000-0000-000052040000}"/>
    <cellStyle name="dp*ThinLineBelow 3 2 3 10" xfId="11146" xr:uid="{00000000-0005-0000-0000-000052040000}"/>
    <cellStyle name="dp*ThinLineBelow 3 2 3 2" xfId="3643" xr:uid="{00000000-0005-0000-0000-000052040000}"/>
    <cellStyle name="dp*ThinLineBelow 3 2 3 2 2" xfId="5816" xr:uid="{00000000-0005-0000-0000-000052040000}"/>
    <cellStyle name="dp*ThinLineBelow 3 2 3 2 2 2" xfId="12180" xr:uid="{00000000-0005-0000-0000-000052040000}"/>
    <cellStyle name="dp*ThinLineBelow 3 2 3 2 2 2 2" xfId="30627" xr:uid="{00000000-0005-0000-0000-000052040000}"/>
    <cellStyle name="dp*ThinLineBelow 3 2 3 2 2 2 3" xfId="48990" xr:uid="{00000000-0005-0000-0000-000052040000}"/>
    <cellStyle name="dp*ThinLineBelow 3 2 3 2 2 3" xfId="16506" xr:uid="{00000000-0005-0000-0000-000052040000}"/>
    <cellStyle name="dp*ThinLineBelow 3 2 3 2 2 3 2" xfId="34878" xr:uid="{00000000-0005-0000-0000-000052040000}"/>
    <cellStyle name="dp*ThinLineBelow 3 2 3 2 2 3 3" xfId="53241" xr:uid="{00000000-0005-0000-0000-000052040000}"/>
    <cellStyle name="dp*ThinLineBelow 3 2 3 2 2 4" xfId="25625" xr:uid="{00000000-0005-0000-0000-000052040000}"/>
    <cellStyle name="dp*ThinLineBelow 3 2 3 2 2 4 2" xfId="43994" xr:uid="{00000000-0005-0000-0000-000052040000}"/>
    <cellStyle name="dp*ThinLineBelow 3 2 3 2 2 5" xfId="21946" xr:uid="{00000000-0005-0000-0000-000052040000}"/>
    <cellStyle name="dp*ThinLineBelow 3 2 3 2 2 6" xfId="40325" xr:uid="{00000000-0005-0000-0000-000052040000}"/>
    <cellStyle name="dp*ThinLineBelow 3 2 3 2 3" xfId="6642" xr:uid="{00000000-0005-0000-0000-000052040000}"/>
    <cellStyle name="dp*ThinLineBelow 3 2 3 2 3 2" xfId="12933" xr:uid="{00000000-0005-0000-0000-000052040000}"/>
    <cellStyle name="dp*ThinLineBelow 3 2 3 2 3 2 2" xfId="31359" xr:uid="{00000000-0005-0000-0000-000052040000}"/>
    <cellStyle name="dp*ThinLineBelow 3 2 3 2 3 2 3" xfId="49722" xr:uid="{00000000-0005-0000-0000-000052040000}"/>
    <cellStyle name="dp*ThinLineBelow 3 2 3 2 3 3" xfId="17244" xr:uid="{00000000-0005-0000-0000-000052040000}"/>
    <cellStyle name="dp*ThinLineBelow 3 2 3 2 3 3 2" xfId="35592" xr:uid="{00000000-0005-0000-0000-000052040000}"/>
    <cellStyle name="dp*ThinLineBelow 3 2 3 2 3 3 3" xfId="53955" xr:uid="{00000000-0005-0000-0000-000052040000}"/>
    <cellStyle name="dp*ThinLineBelow 3 2 3 2 3 4" xfId="26377" xr:uid="{00000000-0005-0000-0000-000052040000}"/>
    <cellStyle name="dp*ThinLineBelow 3 2 3 2 3 4 2" xfId="44746" xr:uid="{00000000-0005-0000-0000-000052040000}"/>
    <cellStyle name="dp*ThinLineBelow 3 2 3 2 3 5" xfId="22670" xr:uid="{00000000-0005-0000-0000-000052040000}"/>
    <cellStyle name="dp*ThinLineBelow 3 2 3 2 3 6" xfId="41039" xr:uid="{00000000-0005-0000-0000-000052040000}"/>
    <cellStyle name="dp*ThinLineBelow 3 2 3 2 4" xfId="10356" xr:uid="{00000000-0005-0000-0000-000052040000}"/>
    <cellStyle name="dp*ThinLineBelow 3 2 3 2 4 2" xfId="14413" xr:uid="{00000000-0005-0000-0000-000052040000}"/>
    <cellStyle name="dp*ThinLineBelow 3 2 3 2 4 2 2" xfId="32829" xr:uid="{00000000-0005-0000-0000-000052040000}"/>
    <cellStyle name="dp*ThinLineBelow 3 2 3 2 4 2 3" xfId="51192" xr:uid="{00000000-0005-0000-0000-000052040000}"/>
    <cellStyle name="dp*ThinLineBelow 3 2 3 2 4 3" xfId="29067" xr:uid="{00000000-0005-0000-0000-000052040000}"/>
    <cellStyle name="dp*ThinLineBelow 3 2 3 2 4 3 2" xfId="47430" xr:uid="{00000000-0005-0000-0000-000052040000}"/>
    <cellStyle name="dp*ThinLineBelow 3 2 3 2 4 4" xfId="19870" xr:uid="{00000000-0005-0000-0000-000052040000}"/>
    <cellStyle name="dp*ThinLineBelow 3 2 3 2 4 5" xfId="38276" xr:uid="{00000000-0005-0000-0000-000052040000}"/>
    <cellStyle name="dp*ThinLineBelow 3 2 3 2 5" xfId="9564" xr:uid="{00000000-0005-0000-0000-000052040000}"/>
    <cellStyle name="dp*ThinLineBelow 3 2 3 2 5 2" xfId="28281" xr:uid="{00000000-0005-0000-0000-000052040000}"/>
    <cellStyle name="dp*ThinLineBelow 3 2 3 2 5 3" xfId="46644" xr:uid="{00000000-0005-0000-0000-000052040000}"/>
    <cellStyle name="dp*ThinLineBelow 3 2 3 2 6" xfId="13622" xr:uid="{00000000-0005-0000-0000-000052040000}"/>
    <cellStyle name="dp*ThinLineBelow 3 2 3 2 6 2" xfId="32043" xr:uid="{00000000-0005-0000-0000-000052040000}"/>
    <cellStyle name="dp*ThinLineBelow 3 2 3 2 6 3" xfId="50406" xr:uid="{00000000-0005-0000-0000-000052040000}"/>
    <cellStyle name="dp*ThinLineBelow 3 2 3 2 7" xfId="23551" xr:uid="{00000000-0005-0000-0000-000052040000}"/>
    <cellStyle name="dp*ThinLineBelow 3 2 3 2 7 2" xfId="41920" xr:uid="{00000000-0005-0000-0000-000052040000}"/>
    <cellStyle name="dp*ThinLineBelow 3 2 3 2 8" xfId="18663" xr:uid="{00000000-0005-0000-0000-000052040000}"/>
    <cellStyle name="dp*ThinLineBelow 3 2 3 2 9" xfId="37073" xr:uid="{00000000-0005-0000-0000-000052040000}"/>
    <cellStyle name="dp*ThinLineBelow 3 2 3 3" xfId="4683" xr:uid="{00000000-0005-0000-0000-000052040000}"/>
    <cellStyle name="dp*ThinLineBelow 3 2 3 3 2" xfId="11267" xr:uid="{00000000-0005-0000-0000-000052040000}"/>
    <cellStyle name="dp*ThinLineBelow 3 2 3 3 2 2" xfId="29879" xr:uid="{00000000-0005-0000-0000-000052040000}"/>
    <cellStyle name="dp*ThinLineBelow 3 2 3 3 2 3" xfId="48242" xr:uid="{00000000-0005-0000-0000-000052040000}"/>
    <cellStyle name="dp*ThinLineBelow 3 2 3 3 3" xfId="15409" xr:uid="{00000000-0005-0000-0000-000052040000}"/>
    <cellStyle name="dp*ThinLineBelow 3 2 3 3 3 2" xfId="33802" xr:uid="{00000000-0005-0000-0000-000052040000}"/>
    <cellStyle name="dp*ThinLineBelow 3 2 3 3 3 3" xfId="52165" xr:uid="{00000000-0005-0000-0000-000052040000}"/>
    <cellStyle name="dp*ThinLineBelow 3 2 3 3 4" xfId="24533" xr:uid="{00000000-0005-0000-0000-000052040000}"/>
    <cellStyle name="dp*ThinLineBelow 3 2 3 3 4 2" xfId="42902" xr:uid="{00000000-0005-0000-0000-000052040000}"/>
    <cellStyle name="dp*ThinLineBelow 3 2 3 3 5" xfId="20860" xr:uid="{00000000-0005-0000-0000-000052040000}"/>
    <cellStyle name="dp*ThinLineBelow 3 2 3 3 6" xfId="39249" xr:uid="{00000000-0005-0000-0000-000052040000}"/>
    <cellStyle name="dp*ThinLineBelow 3 2 3 4" xfId="3959" xr:uid="{00000000-0005-0000-0000-000052040000}"/>
    <cellStyle name="dp*ThinLineBelow 3 2 3 4 2" xfId="10664" xr:uid="{00000000-0005-0000-0000-000052040000}"/>
    <cellStyle name="dp*ThinLineBelow 3 2 3 4 2 2" xfId="29370" xr:uid="{00000000-0005-0000-0000-000052040000}"/>
    <cellStyle name="dp*ThinLineBelow 3 2 3 4 2 3" xfId="47733" xr:uid="{00000000-0005-0000-0000-000052040000}"/>
    <cellStyle name="dp*ThinLineBelow 3 2 3 4 3" xfId="14722" xr:uid="{00000000-0005-0000-0000-000052040000}"/>
    <cellStyle name="dp*ThinLineBelow 3 2 3 4 3 2" xfId="33134" xr:uid="{00000000-0005-0000-0000-000052040000}"/>
    <cellStyle name="dp*ThinLineBelow 3 2 3 4 3 3" xfId="51497" xr:uid="{00000000-0005-0000-0000-000052040000}"/>
    <cellStyle name="dp*ThinLineBelow 3 2 3 4 4" xfId="23858" xr:uid="{00000000-0005-0000-0000-000052040000}"/>
    <cellStyle name="dp*ThinLineBelow 3 2 3 4 4 2" xfId="42227" xr:uid="{00000000-0005-0000-0000-000052040000}"/>
    <cellStyle name="dp*ThinLineBelow 3 2 3 4 5" xfId="20176" xr:uid="{00000000-0005-0000-0000-000052040000}"/>
    <cellStyle name="dp*ThinLineBelow 3 2 3 4 6" xfId="38581" xr:uid="{00000000-0005-0000-0000-000052040000}"/>
    <cellStyle name="dp*ThinLineBelow 3 2 3 5" xfId="9805" xr:uid="{00000000-0005-0000-0000-000052040000}"/>
    <cellStyle name="dp*ThinLineBelow 3 2 3 5 2" xfId="13862" xr:uid="{00000000-0005-0000-0000-000052040000}"/>
    <cellStyle name="dp*ThinLineBelow 3 2 3 5 2 2" xfId="32282" xr:uid="{00000000-0005-0000-0000-000052040000}"/>
    <cellStyle name="dp*ThinLineBelow 3 2 3 5 2 3" xfId="50645" xr:uid="{00000000-0005-0000-0000-000052040000}"/>
    <cellStyle name="dp*ThinLineBelow 3 2 3 5 3" xfId="28520" xr:uid="{00000000-0005-0000-0000-000052040000}"/>
    <cellStyle name="dp*ThinLineBelow 3 2 3 5 3 2" xfId="46883" xr:uid="{00000000-0005-0000-0000-000052040000}"/>
    <cellStyle name="dp*ThinLineBelow 3 2 3 5 4" xfId="19020" xr:uid="{00000000-0005-0000-0000-000052040000}"/>
    <cellStyle name="dp*ThinLineBelow 3 2 3 5 5" xfId="37429" xr:uid="{00000000-0005-0000-0000-000052040000}"/>
    <cellStyle name="dp*ThinLineBelow 3 2 3 6" xfId="7977" xr:uid="{00000000-0005-0000-0000-000052040000}"/>
    <cellStyle name="dp*ThinLineBelow 3 2 3 6 2" xfId="27207" xr:uid="{00000000-0005-0000-0000-000052040000}"/>
    <cellStyle name="dp*ThinLineBelow 3 2 3 6 3" xfId="45572" xr:uid="{00000000-0005-0000-0000-000052040000}"/>
    <cellStyle name="dp*ThinLineBelow 3 2 3 7" xfId="7673" xr:uid="{00000000-0005-0000-0000-000052040000}"/>
    <cellStyle name="dp*ThinLineBelow 3 2 3 7 2" xfId="26955" xr:uid="{00000000-0005-0000-0000-000052040000}"/>
    <cellStyle name="dp*ThinLineBelow 3 2 3 7 3" xfId="45320" xr:uid="{00000000-0005-0000-0000-000052040000}"/>
    <cellStyle name="dp*ThinLineBelow 3 2 3 8" xfId="18105" xr:uid="{00000000-0005-0000-0000-000052040000}"/>
    <cellStyle name="dp*ThinLineBelow 3 2 3 8 2" xfId="36512" xr:uid="{00000000-0005-0000-0000-000052040000}"/>
    <cellStyle name="dp*ThinLineBelow 3 2 3 9" xfId="8892" xr:uid="{00000000-0005-0000-0000-000052040000}"/>
    <cellStyle name="dp*ThinLineBelow 3 2 4" xfId="1774" xr:uid="{00000000-0005-0000-0000-000053040000}"/>
    <cellStyle name="dp*ThinLineBelow 3 2 4 10" xfId="11604" xr:uid="{00000000-0005-0000-0000-000053040000}"/>
    <cellStyle name="dp*ThinLineBelow 3 2 4 2" xfId="3671" xr:uid="{00000000-0005-0000-0000-000053040000}"/>
    <cellStyle name="dp*ThinLineBelow 3 2 4 2 2" xfId="5844" xr:uid="{00000000-0005-0000-0000-000053040000}"/>
    <cellStyle name="dp*ThinLineBelow 3 2 4 2 2 2" xfId="12208" xr:uid="{00000000-0005-0000-0000-000053040000}"/>
    <cellStyle name="dp*ThinLineBelow 3 2 4 2 2 2 2" xfId="30655" xr:uid="{00000000-0005-0000-0000-000053040000}"/>
    <cellStyle name="dp*ThinLineBelow 3 2 4 2 2 2 3" xfId="49018" xr:uid="{00000000-0005-0000-0000-000053040000}"/>
    <cellStyle name="dp*ThinLineBelow 3 2 4 2 2 3" xfId="16534" xr:uid="{00000000-0005-0000-0000-000053040000}"/>
    <cellStyle name="dp*ThinLineBelow 3 2 4 2 2 3 2" xfId="34906" xr:uid="{00000000-0005-0000-0000-000053040000}"/>
    <cellStyle name="dp*ThinLineBelow 3 2 4 2 2 3 3" xfId="53269" xr:uid="{00000000-0005-0000-0000-000053040000}"/>
    <cellStyle name="dp*ThinLineBelow 3 2 4 2 2 4" xfId="25653" xr:uid="{00000000-0005-0000-0000-000053040000}"/>
    <cellStyle name="dp*ThinLineBelow 3 2 4 2 2 4 2" xfId="44022" xr:uid="{00000000-0005-0000-0000-000053040000}"/>
    <cellStyle name="dp*ThinLineBelow 3 2 4 2 2 5" xfId="21974" xr:uid="{00000000-0005-0000-0000-000053040000}"/>
    <cellStyle name="dp*ThinLineBelow 3 2 4 2 2 6" xfId="40353" xr:uid="{00000000-0005-0000-0000-000053040000}"/>
    <cellStyle name="dp*ThinLineBelow 3 2 4 2 3" xfId="6670" xr:uid="{00000000-0005-0000-0000-000053040000}"/>
    <cellStyle name="dp*ThinLineBelow 3 2 4 2 3 2" xfId="12961" xr:uid="{00000000-0005-0000-0000-000053040000}"/>
    <cellStyle name="dp*ThinLineBelow 3 2 4 2 3 2 2" xfId="31387" xr:uid="{00000000-0005-0000-0000-000053040000}"/>
    <cellStyle name="dp*ThinLineBelow 3 2 4 2 3 2 3" xfId="49750" xr:uid="{00000000-0005-0000-0000-000053040000}"/>
    <cellStyle name="dp*ThinLineBelow 3 2 4 2 3 3" xfId="17272" xr:uid="{00000000-0005-0000-0000-000053040000}"/>
    <cellStyle name="dp*ThinLineBelow 3 2 4 2 3 3 2" xfId="35620" xr:uid="{00000000-0005-0000-0000-000053040000}"/>
    <cellStyle name="dp*ThinLineBelow 3 2 4 2 3 3 3" xfId="53983" xr:uid="{00000000-0005-0000-0000-000053040000}"/>
    <cellStyle name="dp*ThinLineBelow 3 2 4 2 3 4" xfId="26405" xr:uid="{00000000-0005-0000-0000-000053040000}"/>
    <cellStyle name="dp*ThinLineBelow 3 2 4 2 3 4 2" xfId="44774" xr:uid="{00000000-0005-0000-0000-000053040000}"/>
    <cellStyle name="dp*ThinLineBelow 3 2 4 2 3 5" xfId="22698" xr:uid="{00000000-0005-0000-0000-000053040000}"/>
    <cellStyle name="dp*ThinLineBelow 3 2 4 2 3 6" xfId="41067" xr:uid="{00000000-0005-0000-0000-000053040000}"/>
    <cellStyle name="dp*ThinLineBelow 3 2 4 2 4" xfId="10384" xr:uid="{00000000-0005-0000-0000-000053040000}"/>
    <cellStyle name="dp*ThinLineBelow 3 2 4 2 4 2" xfId="14441" xr:uid="{00000000-0005-0000-0000-000053040000}"/>
    <cellStyle name="dp*ThinLineBelow 3 2 4 2 4 2 2" xfId="32857" xr:uid="{00000000-0005-0000-0000-000053040000}"/>
    <cellStyle name="dp*ThinLineBelow 3 2 4 2 4 2 3" xfId="51220" xr:uid="{00000000-0005-0000-0000-000053040000}"/>
    <cellStyle name="dp*ThinLineBelow 3 2 4 2 4 3" xfId="29095" xr:uid="{00000000-0005-0000-0000-000053040000}"/>
    <cellStyle name="dp*ThinLineBelow 3 2 4 2 4 3 2" xfId="47458" xr:uid="{00000000-0005-0000-0000-000053040000}"/>
    <cellStyle name="dp*ThinLineBelow 3 2 4 2 4 4" xfId="19898" xr:uid="{00000000-0005-0000-0000-000053040000}"/>
    <cellStyle name="dp*ThinLineBelow 3 2 4 2 4 5" xfId="38304" xr:uid="{00000000-0005-0000-0000-000053040000}"/>
    <cellStyle name="dp*ThinLineBelow 3 2 4 2 5" xfId="9592" xr:uid="{00000000-0005-0000-0000-000053040000}"/>
    <cellStyle name="dp*ThinLineBelow 3 2 4 2 5 2" xfId="28309" xr:uid="{00000000-0005-0000-0000-000053040000}"/>
    <cellStyle name="dp*ThinLineBelow 3 2 4 2 5 3" xfId="46672" xr:uid="{00000000-0005-0000-0000-000053040000}"/>
    <cellStyle name="dp*ThinLineBelow 3 2 4 2 6" xfId="13650" xr:uid="{00000000-0005-0000-0000-000053040000}"/>
    <cellStyle name="dp*ThinLineBelow 3 2 4 2 6 2" xfId="32071" xr:uid="{00000000-0005-0000-0000-000053040000}"/>
    <cellStyle name="dp*ThinLineBelow 3 2 4 2 6 3" xfId="50434" xr:uid="{00000000-0005-0000-0000-000053040000}"/>
    <cellStyle name="dp*ThinLineBelow 3 2 4 2 7" xfId="23579" xr:uid="{00000000-0005-0000-0000-000053040000}"/>
    <cellStyle name="dp*ThinLineBelow 3 2 4 2 7 2" xfId="41948" xr:uid="{00000000-0005-0000-0000-000053040000}"/>
    <cellStyle name="dp*ThinLineBelow 3 2 4 2 8" xfId="18691" xr:uid="{00000000-0005-0000-0000-000053040000}"/>
    <cellStyle name="dp*ThinLineBelow 3 2 4 2 9" xfId="37101" xr:uid="{00000000-0005-0000-0000-000053040000}"/>
    <cellStyle name="dp*ThinLineBelow 3 2 4 3" xfId="4711" xr:uid="{00000000-0005-0000-0000-000053040000}"/>
    <cellStyle name="dp*ThinLineBelow 3 2 4 3 2" xfId="11295" xr:uid="{00000000-0005-0000-0000-000053040000}"/>
    <cellStyle name="dp*ThinLineBelow 3 2 4 3 2 2" xfId="29907" xr:uid="{00000000-0005-0000-0000-000053040000}"/>
    <cellStyle name="dp*ThinLineBelow 3 2 4 3 2 3" xfId="48270" xr:uid="{00000000-0005-0000-0000-000053040000}"/>
    <cellStyle name="dp*ThinLineBelow 3 2 4 3 3" xfId="15437" xr:uid="{00000000-0005-0000-0000-000053040000}"/>
    <cellStyle name="dp*ThinLineBelow 3 2 4 3 3 2" xfId="33830" xr:uid="{00000000-0005-0000-0000-000053040000}"/>
    <cellStyle name="dp*ThinLineBelow 3 2 4 3 3 3" xfId="52193" xr:uid="{00000000-0005-0000-0000-000053040000}"/>
    <cellStyle name="dp*ThinLineBelow 3 2 4 3 4" xfId="24561" xr:uid="{00000000-0005-0000-0000-000053040000}"/>
    <cellStyle name="dp*ThinLineBelow 3 2 4 3 4 2" xfId="42930" xr:uid="{00000000-0005-0000-0000-000053040000}"/>
    <cellStyle name="dp*ThinLineBelow 3 2 4 3 5" xfId="20888" xr:uid="{00000000-0005-0000-0000-000053040000}"/>
    <cellStyle name="dp*ThinLineBelow 3 2 4 3 6" xfId="39277" xr:uid="{00000000-0005-0000-0000-000053040000}"/>
    <cellStyle name="dp*ThinLineBelow 3 2 4 4" xfId="4862" xr:uid="{00000000-0005-0000-0000-000053040000}"/>
    <cellStyle name="dp*ThinLineBelow 3 2 4 4 2" xfId="11420" xr:uid="{00000000-0005-0000-0000-000053040000}"/>
    <cellStyle name="dp*ThinLineBelow 3 2 4 4 2 2" xfId="30010" xr:uid="{00000000-0005-0000-0000-000053040000}"/>
    <cellStyle name="dp*ThinLineBelow 3 2 4 4 2 3" xfId="48373" xr:uid="{00000000-0005-0000-0000-000053040000}"/>
    <cellStyle name="dp*ThinLineBelow 3 2 4 4 3" xfId="15588" xr:uid="{00000000-0005-0000-0000-000053040000}"/>
    <cellStyle name="dp*ThinLineBelow 3 2 4 4 3 2" xfId="33979" xr:uid="{00000000-0005-0000-0000-000053040000}"/>
    <cellStyle name="dp*ThinLineBelow 3 2 4 4 3 3" xfId="52342" xr:uid="{00000000-0005-0000-0000-000053040000}"/>
    <cellStyle name="dp*ThinLineBelow 3 2 4 4 4" xfId="24710" xr:uid="{00000000-0005-0000-0000-000053040000}"/>
    <cellStyle name="dp*ThinLineBelow 3 2 4 4 4 2" xfId="43079" xr:uid="{00000000-0005-0000-0000-000053040000}"/>
    <cellStyle name="dp*ThinLineBelow 3 2 4 4 5" xfId="21037" xr:uid="{00000000-0005-0000-0000-000053040000}"/>
    <cellStyle name="dp*ThinLineBelow 3 2 4 4 6" xfId="39426" xr:uid="{00000000-0005-0000-0000-000053040000}"/>
    <cellStyle name="dp*ThinLineBelow 3 2 4 5" xfId="9694" xr:uid="{00000000-0005-0000-0000-000053040000}"/>
    <cellStyle name="dp*ThinLineBelow 3 2 4 5 2" xfId="13751" xr:uid="{00000000-0005-0000-0000-000053040000}"/>
    <cellStyle name="dp*ThinLineBelow 3 2 4 5 2 2" xfId="32172" xr:uid="{00000000-0005-0000-0000-000053040000}"/>
    <cellStyle name="dp*ThinLineBelow 3 2 4 5 2 3" xfId="50535" xr:uid="{00000000-0005-0000-0000-000053040000}"/>
    <cellStyle name="dp*ThinLineBelow 3 2 4 5 3" xfId="28410" xr:uid="{00000000-0005-0000-0000-000053040000}"/>
    <cellStyle name="dp*ThinLineBelow 3 2 4 5 3 2" xfId="46773" xr:uid="{00000000-0005-0000-0000-000053040000}"/>
    <cellStyle name="dp*ThinLineBelow 3 2 4 5 4" xfId="18841" xr:uid="{00000000-0005-0000-0000-000053040000}"/>
    <cellStyle name="dp*ThinLineBelow 3 2 4 5 5" xfId="37250" xr:uid="{00000000-0005-0000-0000-000053040000}"/>
    <cellStyle name="dp*ThinLineBelow 3 2 4 6" xfId="8005" xr:uid="{00000000-0005-0000-0000-000053040000}"/>
    <cellStyle name="dp*ThinLineBelow 3 2 4 6 2" xfId="27235" xr:uid="{00000000-0005-0000-0000-000053040000}"/>
    <cellStyle name="dp*ThinLineBelow 3 2 4 6 3" xfId="45600" xr:uid="{00000000-0005-0000-0000-000053040000}"/>
    <cellStyle name="dp*ThinLineBelow 3 2 4 7" xfId="8134" xr:uid="{00000000-0005-0000-0000-000053040000}"/>
    <cellStyle name="dp*ThinLineBelow 3 2 4 7 2" xfId="27338" xr:uid="{00000000-0005-0000-0000-000053040000}"/>
    <cellStyle name="dp*ThinLineBelow 3 2 4 7 3" xfId="45703" xr:uid="{00000000-0005-0000-0000-000053040000}"/>
    <cellStyle name="dp*ThinLineBelow 3 2 4 8" xfId="19326" xr:uid="{00000000-0005-0000-0000-000053040000}"/>
    <cellStyle name="dp*ThinLineBelow 3 2 4 8 2" xfId="37733" xr:uid="{00000000-0005-0000-0000-000053040000}"/>
    <cellStyle name="dp*ThinLineBelow 3 2 4 9" xfId="7466" xr:uid="{00000000-0005-0000-0000-000053040000}"/>
    <cellStyle name="dp*ThinLineBelow 3 2 5" xfId="3547" xr:uid="{00000000-0005-0000-0000-000050040000}"/>
    <cellStyle name="dp*ThinLineBelow 3 2 5 2" xfId="5720" xr:uid="{00000000-0005-0000-0000-000050040000}"/>
    <cellStyle name="dp*ThinLineBelow 3 2 5 2 2" xfId="12084" xr:uid="{00000000-0005-0000-0000-000050040000}"/>
    <cellStyle name="dp*ThinLineBelow 3 2 5 2 2 2" xfId="30531" xr:uid="{00000000-0005-0000-0000-000050040000}"/>
    <cellStyle name="dp*ThinLineBelow 3 2 5 2 2 3" xfId="48894" xr:uid="{00000000-0005-0000-0000-000050040000}"/>
    <cellStyle name="dp*ThinLineBelow 3 2 5 2 3" xfId="16410" xr:uid="{00000000-0005-0000-0000-000050040000}"/>
    <cellStyle name="dp*ThinLineBelow 3 2 5 2 3 2" xfId="34782" xr:uid="{00000000-0005-0000-0000-000050040000}"/>
    <cellStyle name="dp*ThinLineBelow 3 2 5 2 3 3" xfId="53145" xr:uid="{00000000-0005-0000-0000-000050040000}"/>
    <cellStyle name="dp*ThinLineBelow 3 2 5 2 4" xfId="25529" xr:uid="{00000000-0005-0000-0000-000050040000}"/>
    <cellStyle name="dp*ThinLineBelow 3 2 5 2 4 2" xfId="43898" xr:uid="{00000000-0005-0000-0000-000050040000}"/>
    <cellStyle name="dp*ThinLineBelow 3 2 5 2 5" xfId="21850" xr:uid="{00000000-0005-0000-0000-000050040000}"/>
    <cellStyle name="dp*ThinLineBelow 3 2 5 2 6" xfId="40229" xr:uid="{00000000-0005-0000-0000-000050040000}"/>
    <cellStyle name="dp*ThinLineBelow 3 2 5 3" xfId="6546" xr:uid="{00000000-0005-0000-0000-000050040000}"/>
    <cellStyle name="dp*ThinLineBelow 3 2 5 3 2" xfId="12837" xr:uid="{00000000-0005-0000-0000-000050040000}"/>
    <cellStyle name="dp*ThinLineBelow 3 2 5 3 2 2" xfId="31263" xr:uid="{00000000-0005-0000-0000-000050040000}"/>
    <cellStyle name="dp*ThinLineBelow 3 2 5 3 2 3" xfId="49626" xr:uid="{00000000-0005-0000-0000-000050040000}"/>
    <cellStyle name="dp*ThinLineBelow 3 2 5 3 3" xfId="17148" xr:uid="{00000000-0005-0000-0000-000050040000}"/>
    <cellStyle name="dp*ThinLineBelow 3 2 5 3 3 2" xfId="35496" xr:uid="{00000000-0005-0000-0000-000050040000}"/>
    <cellStyle name="dp*ThinLineBelow 3 2 5 3 3 3" xfId="53859" xr:uid="{00000000-0005-0000-0000-000050040000}"/>
    <cellStyle name="dp*ThinLineBelow 3 2 5 3 4" xfId="26281" xr:uid="{00000000-0005-0000-0000-000050040000}"/>
    <cellStyle name="dp*ThinLineBelow 3 2 5 3 4 2" xfId="44650" xr:uid="{00000000-0005-0000-0000-000050040000}"/>
    <cellStyle name="dp*ThinLineBelow 3 2 5 3 5" xfId="22574" xr:uid="{00000000-0005-0000-0000-000050040000}"/>
    <cellStyle name="dp*ThinLineBelow 3 2 5 3 6" xfId="40943" xr:uid="{00000000-0005-0000-0000-000050040000}"/>
    <cellStyle name="dp*ThinLineBelow 3 2 5 4" xfId="10260" xr:uid="{00000000-0005-0000-0000-000050040000}"/>
    <cellStyle name="dp*ThinLineBelow 3 2 5 4 2" xfId="14317" xr:uid="{00000000-0005-0000-0000-000050040000}"/>
    <cellStyle name="dp*ThinLineBelow 3 2 5 4 2 2" xfId="32733" xr:uid="{00000000-0005-0000-0000-000050040000}"/>
    <cellStyle name="dp*ThinLineBelow 3 2 5 4 2 3" xfId="51096" xr:uid="{00000000-0005-0000-0000-000050040000}"/>
    <cellStyle name="dp*ThinLineBelow 3 2 5 4 3" xfId="28971" xr:uid="{00000000-0005-0000-0000-000050040000}"/>
    <cellStyle name="dp*ThinLineBelow 3 2 5 4 3 2" xfId="47334" xr:uid="{00000000-0005-0000-0000-000050040000}"/>
    <cellStyle name="dp*ThinLineBelow 3 2 5 4 4" xfId="19774" xr:uid="{00000000-0005-0000-0000-000050040000}"/>
    <cellStyle name="dp*ThinLineBelow 3 2 5 4 5" xfId="38180" xr:uid="{00000000-0005-0000-0000-000050040000}"/>
    <cellStyle name="dp*ThinLineBelow 3 2 5 5" xfId="9468" xr:uid="{00000000-0005-0000-0000-000050040000}"/>
    <cellStyle name="dp*ThinLineBelow 3 2 5 5 2" xfId="28185" xr:uid="{00000000-0005-0000-0000-000050040000}"/>
    <cellStyle name="dp*ThinLineBelow 3 2 5 5 3" xfId="46548" xr:uid="{00000000-0005-0000-0000-000050040000}"/>
    <cellStyle name="dp*ThinLineBelow 3 2 5 6" xfId="13526" xr:uid="{00000000-0005-0000-0000-000050040000}"/>
    <cellStyle name="dp*ThinLineBelow 3 2 5 6 2" xfId="31947" xr:uid="{00000000-0005-0000-0000-000050040000}"/>
    <cellStyle name="dp*ThinLineBelow 3 2 5 6 3" xfId="50310" xr:uid="{00000000-0005-0000-0000-000050040000}"/>
    <cellStyle name="dp*ThinLineBelow 3 2 5 7" xfId="23455" xr:uid="{00000000-0005-0000-0000-000050040000}"/>
    <cellStyle name="dp*ThinLineBelow 3 2 5 7 2" xfId="41824" xr:uid="{00000000-0005-0000-0000-000050040000}"/>
    <cellStyle name="dp*ThinLineBelow 3 2 5 8" xfId="18564" xr:uid="{00000000-0005-0000-0000-000050040000}"/>
    <cellStyle name="dp*ThinLineBelow 3 2 5 9" xfId="36974" xr:uid="{00000000-0005-0000-0000-000050040000}"/>
    <cellStyle name="dp*ThinLineBelow 3 2 6" xfId="4576" xr:uid="{00000000-0005-0000-0000-000050040000}"/>
    <cellStyle name="dp*ThinLineBelow 3 2 6 2" xfId="11161" xr:uid="{00000000-0005-0000-0000-000050040000}"/>
    <cellStyle name="dp*ThinLineBelow 3 2 6 2 2" xfId="29775" xr:uid="{00000000-0005-0000-0000-000050040000}"/>
    <cellStyle name="dp*ThinLineBelow 3 2 6 2 3" xfId="48138" xr:uid="{00000000-0005-0000-0000-000050040000}"/>
    <cellStyle name="dp*ThinLineBelow 3 2 6 3" xfId="15302" xr:uid="{00000000-0005-0000-0000-000050040000}"/>
    <cellStyle name="dp*ThinLineBelow 3 2 6 3 2" xfId="33696" xr:uid="{00000000-0005-0000-0000-000050040000}"/>
    <cellStyle name="dp*ThinLineBelow 3 2 6 3 3" xfId="52059" xr:uid="{00000000-0005-0000-0000-000050040000}"/>
    <cellStyle name="dp*ThinLineBelow 3 2 6 4" xfId="24427" xr:uid="{00000000-0005-0000-0000-000050040000}"/>
    <cellStyle name="dp*ThinLineBelow 3 2 6 4 2" xfId="42796" xr:uid="{00000000-0005-0000-0000-000050040000}"/>
    <cellStyle name="dp*ThinLineBelow 3 2 6 5" xfId="20753" xr:uid="{00000000-0005-0000-0000-000050040000}"/>
    <cellStyle name="dp*ThinLineBelow 3 2 6 6" xfId="39143" xr:uid="{00000000-0005-0000-0000-000050040000}"/>
    <cellStyle name="dp*ThinLineBelow 3 2 7" xfId="9456" xr:uid="{00000000-0005-0000-0000-000050040000}"/>
    <cellStyle name="dp*ThinLineBelow 3 2 7 2" xfId="13513" xr:uid="{00000000-0005-0000-0000-000050040000}"/>
    <cellStyle name="dp*ThinLineBelow 3 2 7 2 2" xfId="31934" xr:uid="{00000000-0005-0000-0000-000050040000}"/>
    <cellStyle name="dp*ThinLineBelow 3 2 7 2 3" xfId="50297" xr:uid="{00000000-0005-0000-0000-000050040000}"/>
    <cellStyle name="dp*ThinLineBelow 3 2 7 3" xfId="28173" xr:uid="{00000000-0005-0000-0000-000050040000}"/>
    <cellStyle name="dp*ThinLineBelow 3 2 7 3 2" xfId="46536" xr:uid="{00000000-0005-0000-0000-000050040000}"/>
    <cellStyle name="dp*ThinLineBelow 3 2 7 4" xfId="18547" xr:uid="{00000000-0005-0000-0000-000050040000}"/>
    <cellStyle name="dp*ThinLineBelow 3 2 7 5" xfId="36956" xr:uid="{00000000-0005-0000-0000-000050040000}"/>
    <cellStyle name="dp*ThinLineBelow 3 2 8" xfId="8438" xr:uid="{00000000-0005-0000-0000-000050040000}"/>
    <cellStyle name="dp*ThinLineBelow 3 3" xfId="1526" xr:uid="{00000000-0005-0000-0000-000054040000}"/>
    <cellStyle name="dp*ThinLineBelow 3 3 10" xfId="7012" xr:uid="{00000000-0005-0000-0000-000054040000}"/>
    <cellStyle name="dp*ThinLineBelow 3 3 11" xfId="7180" xr:uid="{00000000-0005-0000-0000-000054040000}"/>
    <cellStyle name="dp*ThinLineBelow 3 3 2" xfId="1692" xr:uid="{00000000-0005-0000-0000-000055040000}"/>
    <cellStyle name="dp*ThinLineBelow 3 3 2 2" xfId="3590" xr:uid="{00000000-0005-0000-0000-000055040000}"/>
    <cellStyle name="dp*ThinLineBelow 3 3 2 2 2" xfId="5763" xr:uid="{00000000-0005-0000-0000-000055040000}"/>
    <cellStyle name="dp*ThinLineBelow 3 3 2 2 2 2" xfId="12127" xr:uid="{00000000-0005-0000-0000-000055040000}"/>
    <cellStyle name="dp*ThinLineBelow 3 3 2 2 2 2 2" xfId="30574" xr:uid="{00000000-0005-0000-0000-000055040000}"/>
    <cellStyle name="dp*ThinLineBelow 3 3 2 2 2 2 3" xfId="48937" xr:uid="{00000000-0005-0000-0000-000055040000}"/>
    <cellStyle name="dp*ThinLineBelow 3 3 2 2 2 3" xfId="16453" xr:uid="{00000000-0005-0000-0000-000055040000}"/>
    <cellStyle name="dp*ThinLineBelow 3 3 2 2 2 3 2" xfId="34825" xr:uid="{00000000-0005-0000-0000-000055040000}"/>
    <cellStyle name="dp*ThinLineBelow 3 3 2 2 2 3 3" xfId="53188" xr:uid="{00000000-0005-0000-0000-000055040000}"/>
    <cellStyle name="dp*ThinLineBelow 3 3 2 2 2 4" xfId="25572" xr:uid="{00000000-0005-0000-0000-000055040000}"/>
    <cellStyle name="dp*ThinLineBelow 3 3 2 2 2 4 2" xfId="43941" xr:uid="{00000000-0005-0000-0000-000055040000}"/>
    <cellStyle name="dp*ThinLineBelow 3 3 2 2 2 5" xfId="21893" xr:uid="{00000000-0005-0000-0000-000055040000}"/>
    <cellStyle name="dp*ThinLineBelow 3 3 2 2 2 6" xfId="40272" xr:uid="{00000000-0005-0000-0000-000055040000}"/>
    <cellStyle name="dp*ThinLineBelow 3 3 2 2 3" xfId="6589" xr:uid="{00000000-0005-0000-0000-000055040000}"/>
    <cellStyle name="dp*ThinLineBelow 3 3 2 2 3 2" xfId="12880" xr:uid="{00000000-0005-0000-0000-000055040000}"/>
    <cellStyle name="dp*ThinLineBelow 3 3 2 2 3 2 2" xfId="31306" xr:uid="{00000000-0005-0000-0000-000055040000}"/>
    <cellStyle name="dp*ThinLineBelow 3 3 2 2 3 2 3" xfId="49669" xr:uid="{00000000-0005-0000-0000-000055040000}"/>
    <cellStyle name="dp*ThinLineBelow 3 3 2 2 3 3" xfId="17191" xr:uid="{00000000-0005-0000-0000-000055040000}"/>
    <cellStyle name="dp*ThinLineBelow 3 3 2 2 3 3 2" xfId="35539" xr:uid="{00000000-0005-0000-0000-000055040000}"/>
    <cellStyle name="dp*ThinLineBelow 3 3 2 2 3 3 3" xfId="53902" xr:uid="{00000000-0005-0000-0000-000055040000}"/>
    <cellStyle name="dp*ThinLineBelow 3 3 2 2 3 4" xfId="26324" xr:uid="{00000000-0005-0000-0000-000055040000}"/>
    <cellStyle name="dp*ThinLineBelow 3 3 2 2 3 4 2" xfId="44693" xr:uid="{00000000-0005-0000-0000-000055040000}"/>
    <cellStyle name="dp*ThinLineBelow 3 3 2 2 3 5" xfId="22617" xr:uid="{00000000-0005-0000-0000-000055040000}"/>
    <cellStyle name="dp*ThinLineBelow 3 3 2 2 3 6" xfId="40986" xr:uid="{00000000-0005-0000-0000-000055040000}"/>
    <cellStyle name="dp*ThinLineBelow 3 3 2 2 4" xfId="10303" xr:uid="{00000000-0005-0000-0000-000055040000}"/>
    <cellStyle name="dp*ThinLineBelow 3 3 2 2 4 2" xfId="14360" xr:uid="{00000000-0005-0000-0000-000055040000}"/>
    <cellStyle name="dp*ThinLineBelow 3 3 2 2 4 2 2" xfId="32776" xr:uid="{00000000-0005-0000-0000-000055040000}"/>
    <cellStyle name="dp*ThinLineBelow 3 3 2 2 4 2 3" xfId="51139" xr:uid="{00000000-0005-0000-0000-000055040000}"/>
    <cellStyle name="dp*ThinLineBelow 3 3 2 2 4 3" xfId="29014" xr:uid="{00000000-0005-0000-0000-000055040000}"/>
    <cellStyle name="dp*ThinLineBelow 3 3 2 2 4 3 2" xfId="47377" xr:uid="{00000000-0005-0000-0000-000055040000}"/>
    <cellStyle name="dp*ThinLineBelow 3 3 2 2 4 4" xfId="19817" xr:uid="{00000000-0005-0000-0000-000055040000}"/>
    <cellStyle name="dp*ThinLineBelow 3 3 2 2 4 5" xfId="38223" xr:uid="{00000000-0005-0000-0000-000055040000}"/>
    <cellStyle name="dp*ThinLineBelow 3 3 2 2 5" xfId="9511" xr:uid="{00000000-0005-0000-0000-000055040000}"/>
    <cellStyle name="dp*ThinLineBelow 3 3 2 2 5 2" xfId="28228" xr:uid="{00000000-0005-0000-0000-000055040000}"/>
    <cellStyle name="dp*ThinLineBelow 3 3 2 2 5 3" xfId="46591" xr:uid="{00000000-0005-0000-0000-000055040000}"/>
    <cellStyle name="dp*ThinLineBelow 3 3 2 2 6" xfId="13569" xr:uid="{00000000-0005-0000-0000-000055040000}"/>
    <cellStyle name="dp*ThinLineBelow 3 3 2 2 6 2" xfId="31990" xr:uid="{00000000-0005-0000-0000-000055040000}"/>
    <cellStyle name="dp*ThinLineBelow 3 3 2 2 6 3" xfId="50353" xr:uid="{00000000-0005-0000-0000-000055040000}"/>
    <cellStyle name="dp*ThinLineBelow 3 3 2 2 7" xfId="23498" xr:uid="{00000000-0005-0000-0000-000055040000}"/>
    <cellStyle name="dp*ThinLineBelow 3 3 2 2 7 2" xfId="41867" xr:uid="{00000000-0005-0000-0000-000055040000}"/>
    <cellStyle name="dp*ThinLineBelow 3 3 2 2 8" xfId="18609" xr:uid="{00000000-0005-0000-0000-000055040000}"/>
    <cellStyle name="dp*ThinLineBelow 3 3 2 2 9" xfId="37019" xr:uid="{00000000-0005-0000-0000-000055040000}"/>
    <cellStyle name="dp*ThinLineBelow 3 3 2 3" xfId="4631" xr:uid="{00000000-0005-0000-0000-000055040000}"/>
    <cellStyle name="dp*ThinLineBelow 3 3 2 3 2" xfId="11215" xr:uid="{00000000-0005-0000-0000-000055040000}"/>
    <cellStyle name="dp*ThinLineBelow 3 3 2 3 2 2" xfId="29827" xr:uid="{00000000-0005-0000-0000-000055040000}"/>
    <cellStyle name="dp*ThinLineBelow 3 3 2 3 2 3" xfId="48190" xr:uid="{00000000-0005-0000-0000-000055040000}"/>
    <cellStyle name="dp*ThinLineBelow 3 3 2 3 3" xfId="15357" xr:uid="{00000000-0005-0000-0000-000055040000}"/>
    <cellStyle name="dp*ThinLineBelow 3 3 2 3 3 2" xfId="33750" xr:uid="{00000000-0005-0000-0000-000055040000}"/>
    <cellStyle name="dp*ThinLineBelow 3 3 2 3 3 3" xfId="52113" xr:uid="{00000000-0005-0000-0000-000055040000}"/>
    <cellStyle name="dp*ThinLineBelow 3 3 2 3 4" xfId="24481" xr:uid="{00000000-0005-0000-0000-000055040000}"/>
    <cellStyle name="dp*ThinLineBelow 3 3 2 3 4 2" xfId="42850" xr:uid="{00000000-0005-0000-0000-000055040000}"/>
    <cellStyle name="dp*ThinLineBelow 3 3 2 3 5" xfId="20808" xr:uid="{00000000-0005-0000-0000-000055040000}"/>
    <cellStyle name="dp*ThinLineBelow 3 3 2 3 6" xfId="39197" xr:uid="{00000000-0005-0000-0000-000055040000}"/>
    <cellStyle name="dp*ThinLineBelow 3 3 2 4" xfId="4608" xr:uid="{00000000-0005-0000-0000-000055040000}"/>
    <cellStyle name="dp*ThinLineBelow 3 3 2 4 2" xfId="11192" xr:uid="{00000000-0005-0000-0000-000055040000}"/>
    <cellStyle name="dp*ThinLineBelow 3 3 2 4 2 2" xfId="29804" xr:uid="{00000000-0005-0000-0000-000055040000}"/>
    <cellStyle name="dp*ThinLineBelow 3 3 2 4 2 3" xfId="48167" xr:uid="{00000000-0005-0000-0000-000055040000}"/>
    <cellStyle name="dp*ThinLineBelow 3 3 2 4 3" xfId="15334" xr:uid="{00000000-0005-0000-0000-000055040000}"/>
    <cellStyle name="dp*ThinLineBelow 3 3 2 4 3 2" xfId="33727" xr:uid="{00000000-0005-0000-0000-000055040000}"/>
    <cellStyle name="dp*ThinLineBelow 3 3 2 4 3 3" xfId="52090" xr:uid="{00000000-0005-0000-0000-000055040000}"/>
    <cellStyle name="dp*ThinLineBelow 3 3 2 4 4" xfId="24458" xr:uid="{00000000-0005-0000-0000-000055040000}"/>
    <cellStyle name="dp*ThinLineBelow 3 3 2 4 4 2" xfId="42827" xr:uid="{00000000-0005-0000-0000-000055040000}"/>
    <cellStyle name="dp*ThinLineBelow 3 3 2 4 5" xfId="20785" xr:uid="{00000000-0005-0000-0000-000055040000}"/>
    <cellStyle name="dp*ThinLineBelow 3 3 2 4 6" xfId="39174" xr:uid="{00000000-0005-0000-0000-000055040000}"/>
    <cellStyle name="dp*ThinLineBelow 3 3 2 5" xfId="9811" xr:uid="{00000000-0005-0000-0000-000055040000}"/>
    <cellStyle name="dp*ThinLineBelow 3 3 2 5 2" xfId="13868" xr:uid="{00000000-0005-0000-0000-000055040000}"/>
    <cellStyle name="dp*ThinLineBelow 3 3 2 5 2 2" xfId="32288" xr:uid="{00000000-0005-0000-0000-000055040000}"/>
    <cellStyle name="dp*ThinLineBelow 3 3 2 5 2 3" xfId="50651" xr:uid="{00000000-0005-0000-0000-000055040000}"/>
    <cellStyle name="dp*ThinLineBelow 3 3 2 5 3" xfId="28526" xr:uid="{00000000-0005-0000-0000-000055040000}"/>
    <cellStyle name="dp*ThinLineBelow 3 3 2 5 3 2" xfId="46889" xr:uid="{00000000-0005-0000-0000-000055040000}"/>
    <cellStyle name="dp*ThinLineBelow 3 3 2 5 4" xfId="19026" xr:uid="{00000000-0005-0000-0000-000055040000}"/>
    <cellStyle name="dp*ThinLineBelow 3 3 2 5 5" xfId="37435" xr:uid="{00000000-0005-0000-0000-000055040000}"/>
    <cellStyle name="dp*ThinLineBelow 3 3 2 6" xfId="7924" xr:uid="{00000000-0005-0000-0000-000055040000}"/>
    <cellStyle name="dp*ThinLineBelow 3 3 2 6 2" xfId="27155" xr:uid="{00000000-0005-0000-0000-000055040000}"/>
    <cellStyle name="dp*ThinLineBelow 3 3 2 6 3" xfId="45520" xr:uid="{00000000-0005-0000-0000-000055040000}"/>
    <cellStyle name="dp*ThinLineBelow 3 3 2 7" xfId="8679" xr:uid="{00000000-0005-0000-0000-000055040000}"/>
    <cellStyle name="dp*ThinLineBelow 3 3 2 7 2" xfId="27581" xr:uid="{00000000-0005-0000-0000-000055040000}"/>
    <cellStyle name="dp*ThinLineBelow 3 3 2 7 3" xfId="45944" xr:uid="{00000000-0005-0000-0000-000055040000}"/>
    <cellStyle name="dp*ThinLineBelow 3 3 2 8" xfId="19067" xr:uid="{00000000-0005-0000-0000-000055040000}"/>
    <cellStyle name="dp*ThinLineBelow 3 3 2 8 2" xfId="37475" xr:uid="{00000000-0005-0000-0000-000055040000}"/>
    <cellStyle name="dp*ThinLineBelow 3 3 2 9" xfId="8062" xr:uid="{00000000-0005-0000-0000-000055040000}"/>
    <cellStyle name="dp*ThinLineBelow 3 3 3" xfId="1448" xr:uid="{00000000-0005-0000-0000-000056040000}"/>
    <cellStyle name="dp*ThinLineBelow 3 3 3 10" xfId="11335" xr:uid="{00000000-0005-0000-0000-000056040000}"/>
    <cellStyle name="dp*ThinLineBelow 3 3 3 2" xfId="3467" xr:uid="{00000000-0005-0000-0000-000056040000}"/>
    <cellStyle name="dp*ThinLineBelow 3 3 3 2 2" xfId="5642" xr:uid="{00000000-0005-0000-0000-000056040000}"/>
    <cellStyle name="dp*ThinLineBelow 3 3 3 2 2 2" xfId="12006" xr:uid="{00000000-0005-0000-0000-000056040000}"/>
    <cellStyle name="dp*ThinLineBelow 3 3 3 2 2 2 2" xfId="30453" xr:uid="{00000000-0005-0000-0000-000056040000}"/>
    <cellStyle name="dp*ThinLineBelow 3 3 3 2 2 2 3" xfId="48816" xr:uid="{00000000-0005-0000-0000-000056040000}"/>
    <cellStyle name="dp*ThinLineBelow 3 3 3 2 2 3" xfId="16332" xr:uid="{00000000-0005-0000-0000-000056040000}"/>
    <cellStyle name="dp*ThinLineBelow 3 3 3 2 2 3 2" xfId="34704" xr:uid="{00000000-0005-0000-0000-000056040000}"/>
    <cellStyle name="dp*ThinLineBelow 3 3 3 2 2 3 3" xfId="53067" xr:uid="{00000000-0005-0000-0000-000056040000}"/>
    <cellStyle name="dp*ThinLineBelow 3 3 3 2 2 4" xfId="25451" xr:uid="{00000000-0005-0000-0000-000056040000}"/>
    <cellStyle name="dp*ThinLineBelow 3 3 3 2 2 4 2" xfId="43820" xr:uid="{00000000-0005-0000-0000-000056040000}"/>
    <cellStyle name="dp*ThinLineBelow 3 3 3 2 2 5" xfId="21772" xr:uid="{00000000-0005-0000-0000-000056040000}"/>
    <cellStyle name="dp*ThinLineBelow 3 3 3 2 2 6" xfId="40151" xr:uid="{00000000-0005-0000-0000-000056040000}"/>
    <cellStyle name="dp*ThinLineBelow 3 3 3 2 3" xfId="6466" xr:uid="{00000000-0005-0000-0000-000056040000}"/>
    <cellStyle name="dp*ThinLineBelow 3 3 3 2 3 2" xfId="12757" xr:uid="{00000000-0005-0000-0000-000056040000}"/>
    <cellStyle name="dp*ThinLineBelow 3 3 3 2 3 2 2" xfId="31183" xr:uid="{00000000-0005-0000-0000-000056040000}"/>
    <cellStyle name="dp*ThinLineBelow 3 3 3 2 3 2 3" xfId="49546" xr:uid="{00000000-0005-0000-0000-000056040000}"/>
    <cellStyle name="dp*ThinLineBelow 3 3 3 2 3 3" xfId="17068" xr:uid="{00000000-0005-0000-0000-000056040000}"/>
    <cellStyle name="dp*ThinLineBelow 3 3 3 2 3 3 2" xfId="35416" xr:uid="{00000000-0005-0000-0000-000056040000}"/>
    <cellStyle name="dp*ThinLineBelow 3 3 3 2 3 3 3" xfId="53779" xr:uid="{00000000-0005-0000-0000-000056040000}"/>
    <cellStyle name="dp*ThinLineBelow 3 3 3 2 3 4" xfId="26201" xr:uid="{00000000-0005-0000-0000-000056040000}"/>
    <cellStyle name="dp*ThinLineBelow 3 3 3 2 3 4 2" xfId="44570" xr:uid="{00000000-0005-0000-0000-000056040000}"/>
    <cellStyle name="dp*ThinLineBelow 3 3 3 2 3 5" xfId="22494" xr:uid="{00000000-0005-0000-0000-000056040000}"/>
    <cellStyle name="dp*ThinLineBelow 3 3 3 2 3 6" xfId="40863" xr:uid="{00000000-0005-0000-0000-000056040000}"/>
    <cellStyle name="dp*ThinLineBelow 3 3 3 2 4" xfId="10180" xr:uid="{00000000-0005-0000-0000-000056040000}"/>
    <cellStyle name="dp*ThinLineBelow 3 3 3 2 4 2" xfId="14237" xr:uid="{00000000-0005-0000-0000-000056040000}"/>
    <cellStyle name="dp*ThinLineBelow 3 3 3 2 4 2 2" xfId="32653" xr:uid="{00000000-0005-0000-0000-000056040000}"/>
    <cellStyle name="dp*ThinLineBelow 3 3 3 2 4 2 3" xfId="51016" xr:uid="{00000000-0005-0000-0000-000056040000}"/>
    <cellStyle name="dp*ThinLineBelow 3 3 3 2 4 3" xfId="28891" xr:uid="{00000000-0005-0000-0000-000056040000}"/>
    <cellStyle name="dp*ThinLineBelow 3 3 3 2 4 3 2" xfId="47254" xr:uid="{00000000-0005-0000-0000-000056040000}"/>
    <cellStyle name="dp*ThinLineBelow 3 3 3 2 4 4" xfId="19694" xr:uid="{00000000-0005-0000-0000-000056040000}"/>
    <cellStyle name="dp*ThinLineBelow 3 3 3 2 4 5" xfId="38100" xr:uid="{00000000-0005-0000-0000-000056040000}"/>
    <cellStyle name="dp*ThinLineBelow 3 3 3 2 5" xfId="9371" xr:uid="{00000000-0005-0000-0000-000056040000}"/>
    <cellStyle name="dp*ThinLineBelow 3 3 3 2 5 2" xfId="28090" xr:uid="{00000000-0005-0000-0000-000056040000}"/>
    <cellStyle name="dp*ThinLineBelow 3 3 3 2 5 3" xfId="46453" xr:uid="{00000000-0005-0000-0000-000056040000}"/>
    <cellStyle name="dp*ThinLineBelow 3 3 3 2 6" xfId="13427" xr:uid="{00000000-0005-0000-0000-000056040000}"/>
    <cellStyle name="dp*ThinLineBelow 3 3 3 2 6 2" xfId="31848" xr:uid="{00000000-0005-0000-0000-000056040000}"/>
    <cellStyle name="dp*ThinLineBelow 3 3 3 2 6 3" xfId="50211" xr:uid="{00000000-0005-0000-0000-000056040000}"/>
    <cellStyle name="dp*ThinLineBelow 3 3 3 2 7" xfId="23375" xr:uid="{00000000-0005-0000-0000-000056040000}"/>
    <cellStyle name="dp*ThinLineBelow 3 3 3 2 7 2" xfId="41744" xr:uid="{00000000-0005-0000-0000-000056040000}"/>
    <cellStyle name="dp*ThinLineBelow 3 3 3 2 8" xfId="18453" xr:uid="{00000000-0005-0000-0000-000056040000}"/>
    <cellStyle name="dp*ThinLineBelow 3 3 3 2 9" xfId="36859" xr:uid="{00000000-0005-0000-0000-000056040000}"/>
    <cellStyle name="dp*ThinLineBelow 3 3 3 3" xfId="4465" xr:uid="{00000000-0005-0000-0000-000056040000}"/>
    <cellStyle name="dp*ThinLineBelow 3 3 3 3 2" xfId="11061" xr:uid="{00000000-0005-0000-0000-000056040000}"/>
    <cellStyle name="dp*ThinLineBelow 3 3 3 3 2 2" xfId="29681" xr:uid="{00000000-0005-0000-0000-000056040000}"/>
    <cellStyle name="dp*ThinLineBelow 3 3 3 3 2 3" xfId="48044" xr:uid="{00000000-0005-0000-0000-000056040000}"/>
    <cellStyle name="dp*ThinLineBelow 3 3 3 3 3" xfId="15199" xr:uid="{00000000-0005-0000-0000-000056040000}"/>
    <cellStyle name="dp*ThinLineBelow 3 3 3 3 3 2" xfId="33594" xr:uid="{00000000-0005-0000-0000-000056040000}"/>
    <cellStyle name="dp*ThinLineBelow 3 3 3 3 3 3" xfId="51957" xr:uid="{00000000-0005-0000-0000-000056040000}"/>
    <cellStyle name="dp*ThinLineBelow 3 3 3 3 4" xfId="24325" xr:uid="{00000000-0005-0000-0000-000056040000}"/>
    <cellStyle name="dp*ThinLineBelow 3 3 3 3 4 2" xfId="42694" xr:uid="{00000000-0005-0000-0000-000056040000}"/>
    <cellStyle name="dp*ThinLineBelow 3 3 3 3 5" xfId="20649" xr:uid="{00000000-0005-0000-0000-000056040000}"/>
    <cellStyle name="dp*ThinLineBelow 3 3 3 3 6" xfId="39041" xr:uid="{00000000-0005-0000-0000-000056040000}"/>
    <cellStyle name="dp*ThinLineBelow 3 3 3 4" xfId="4883" xr:uid="{00000000-0005-0000-0000-000056040000}"/>
    <cellStyle name="dp*ThinLineBelow 3 3 3 4 2" xfId="11440" xr:uid="{00000000-0005-0000-0000-000056040000}"/>
    <cellStyle name="dp*ThinLineBelow 3 3 3 4 2 2" xfId="30029" xr:uid="{00000000-0005-0000-0000-000056040000}"/>
    <cellStyle name="dp*ThinLineBelow 3 3 3 4 2 3" xfId="48392" xr:uid="{00000000-0005-0000-0000-000056040000}"/>
    <cellStyle name="dp*ThinLineBelow 3 3 3 4 3" xfId="15609" xr:uid="{00000000-0005-0000-0000-000056040000}"/>
    <cellStyle name="dp*ThinLineBelow 3 3 3 4 3 2" xfId="34000" xr:uid="{00000000-0005-0000-0000-000056040000}"/>
    <cellStyle name="dp*ThinLineBelow 3 3 3 4 3 3" xfId="52363" xr:uid="{00000000-0005-0000-0000-000056040000}"/>
    <cellStyle name="dp*ThinLineBelow 3 3 3 4 4" xfId="24731" xr:uid="{00000000-0005-0000-0000-000056040000}"/>
    <cellStyle name="dp*ThinLineBelow 3 3 3 4 4 2" xfId="43100" xr:uid="{00000000-0005-0000-0000-000056040000}"/>
    <cellStyle name="dp*ThinLineBelow 3 3 3 4 5" xfId="21058" xr:uid="{00000000-0005-0000-0000-000056040000}"/>
    <cellStyle name="dp*ThinLineBelow 3 3 3 4 6" xfId="39447" xr:uid="{00000000-0005-0000-0000-000056040000}"/>
    <cellStyle name="dp*ThinLineBelow 3 3 3 5" xfId="9135" xr:uid="{00000000-0005-0000-0000-000056040000}"/>
    <cellStyle name="dp*ThinLineBelow 3 3 3 5 2" xfId="13194" xr:uid="{00000000-0005-0000-0000-000056040000}"/>
    <cellStyle name="dp*ThinLineBelow 3 3 3 5 2 2" xfId="31620" xr:uid="{00000000-0005-0000-0000-000056040000}"/>
    <cellStyle name="dp*ThinLineBelow 3 3 3 5 2 3" xfId="49983" xr:uid="{00000000-0005-0000-0000-000056040000}"/>
    <cellStyle name="dp*ThinLineBelow 3 3 3 5 3" xfId="27861" xr:uid="{00000000-0005-0000-0000-000056040000}"/>
    <cellStyle name="dp*ThinLineBelow 3 3 3 5 3 2" xfId="46224" xr:uid="{00000000-0005-0000-0000-000056040000}"/>
    <cellStyle name="dp*ThinLineBelow 3 3 3 5 4" xfId="18048" xr:uid="{00000000-0005-0000-0000-000056040000}"/>
    <cellStyle name="dp*ThinLineBelow 3 3 3 5 5" xfId="36456" xr:uid="{00000000-0005-0000-0000-000056040000}"/>
    <cellStyle name="dp*ThinLineBelow 3 3 3 6" xfId="7735" xr:uid="{00000000-0005-0000-0000-000056040000}"/>
    <cellStyle name="dp*ThinLineBelow 3 3 3 6 2" xfId="27012" xr:uid="{00000000-0005-0000-0000-000056040000}"/>
    <cellStyle name="dp*ThinLineBelow 3 3 3 6 3" xfId="45377" xr:uid="{00000000-0005-0000-0000-000056040000}"/>
    <cellStyle name="dp*ThinLineBelow 3 3 3 7" xfId="7419" xr:uid="{00000000-0005-0000-0000-000056040000}"/>
    <cellStyle name="dp*ThinLineBelow 3 3 3 7 2" xfId="26809" xr:uid="{00000000-0005-0000-0000-000056040000}"/>
    <cellStyle name="dp*ThinLineBelow 3 3 3 7 3" xfId="45177" xr:uid="{00000000-0005-0000-0000-000056040000}"/>
    <cellStyle name="dp*ThinLineBelow 3 3 3 8" xfId="18726" xr:uid="{00000000-0005-0000-0000-000056040000}"/>
    <cellStyle name="dp*ThinLineBelow 3 3 3 8 2" xfId="37136" xr:uid="{00000000-0005-0000-0000-000056040000}"/>
    <cellStyle name="dp*ThinLineBelow 3 3 3 9" xfId="8179" xr:uid="{00000000-0005-0000-0000-000056040000}"/>
    <cellStyle name="dp*ThinLineBelow 3 3 4" xfId="1485" xr:uid="{00000000-0005-0000-0000-000057040000}"/>
    <cellStyle name="dp*ThinLineBelow 3 3 4 10" xfId="8681" xr:uid="{00000000-0005-0000-0000-000057040000}"/>
    <cellStyle name="dp*ThinLineBelow 3 3 4 2" xfId="3498" xr:uid="{00000000-0005-0000-0000-000057040000}"/>
    <cellStyle name="dp*ThinLineBelow 3 3 4 2 2" xfId="5673" xr:uid="{00000000-0005-0000-0000-000057040000}"/>
    <cellStyle name="dp*ThinLineBelow 3 3 4 2 2 2" xfId="12037" xr:uid="{00000000-0005-0000-0000-000057040000}"/>
    <cellStyle name="dp*ThinLineBelow 3 3 4 2 2 2 2" xfId="30484" xr:uid="{00000000-0005-0000-0000-000057040000}"/>
    <cellStyle name="dp*ThinLineBelow 3 3 4 2 2 2 3" xfId="48847" xr:uid="{00000000-0005-0000-0000-000057040000}"/>
    <cellStyle name="dp*ThinLineBelow 3 3 4 2 2 3" xfId="16363" xr:uid="{00000000-0005-0000-0000-000057040000}"/>
    <cellStyle name="dp*ThinLineBelow 3 3 4 2 2 3 2" xfId="34735" xr:uid="{00000000-0005-0000-0000-000057040000}"/>
    <cellStyle name="dp*ThinLineBelow 3 3 4 2 2 3 3" xfId="53098" xr:uid="{00000000-0005-0000-0000-000057040000}"/>
    <cellStyle name="dp*ThinLineBelow 3 3 4 2 2 4" xfId="25482" xr:uid="{00000000-0005-0000-0000-000057040000}"/>
    <cellStyle name="dp*ThinLineBelow 3 3 4 2 2 4 2" xfId="43851" xr:uid="{00000000-0005-0000-0000-000057040000}"/>
    <cellStyle name="dp*ThinLineBelow 3 3 4 2 2 5" xfId="21803" xr:uid="{00000000-0005-0000-0000-000057040000}"/>
    <cellStyle name="dp*ThinLineBelow 3 3 4 2 2 6" xfId="40182" xr:uid="{00000000-0005-0000-0000-000057040000}"/>
    <cellStyle name="dp*ThinLineBelow 3 3 4 2 3" xfId="6497" xr:uid="{00000000-0005-0000-0000-000057040000}"/>
    <cellStyle name="dp*ThinLineBelow 3 3 4 2 3 2" xfId="12788" xr:uid="{00000000-0005-0000-0000-000057040000}"/>
    <cellStyle name="dp*ThinLineBelow 3 3 4 2 3 2 2" xfId="31214" xr:uid="{00000000-0005-0000-0000-000057040000}"/>
    <cellStyle name="dp*ThinLineBelow 3 3 4 2 3 2 3" xfId="49577" xr:uid="{00000000-0005-0000-0000-000057040000}"/>
    <cellStyle name="dp*ThinLineBelow 3 3 4 2 3 3" xfId="17099" xr:uid="{00000000-0005-0000-0000-000057040000}"/>
    <cellStyle name="dp*ThinLineBelow 3 3 4 2 3 3 2" xfId="35447" xr:uid="{00000000-0005-0000-0000-000057040000}"/>
    <cellStyle name="dp*ThinLineBelow 3 3 4 2 3 3 3" xfId="53810" xr:uid="{00000000-0005-0000-0000-000057040000}"/>
    <cellStyle name="dp*ThinLineBelow 3 3 4 2 3 4" xfId="26232" xr:uid="{00000000-0005-0000-0000-000057040000}"/>
    <cellStyle name="dp*ThinLineBelow 3 3 4 2 3 4 2" xfId="44601" xr:uid="{00000000-0005-0000-0000-000057040000}"/>
    <cellStyle name="dp*ThinLineBelow 3 3 4 2 3 5" xfId="22525" xr:uid="{00000000-0005-0000-0000-000057040000}"/>
    <cellStyle name="dp*ThinLineBelow 3 3 4 2 3 6" xfId="40894" xr:uid="{00000000-0005-0000-0000-000057040000}"/>
    <cellStyle name="dp*ThinLineBelow 3 3 4 2 4" xfId="10211" xr:uid="{00000000-0005-0000-0000-000057040000}"/>
    <cellStyle name="dp*ThinLineBelow 3 3 4 2 4 2" xfId="14268" xr:uid="{00000000-0005-0000-0000-000057040000}"/>
    <cellStyle name="dp*ThinLineBelow 3 3 4 2 4 2 2" xfId="32684" xr:uid="{00000000-0005-0000-0000-000057040000}"/>
    <cellStyle name="dp*ThinLineBelow 3 3 4 2 4 2 3" xfId="51047" xr:uid="{00000000-0005-0000-0000-000057040000}"/>
    <cellStyle name="dp*ThinLineBelow 3 3 4 2 4 3" xfId="28922" xr:uid="{00000000-0005-0000-0000-000057040000}"/>
    <cellStyle name="dp*ThinLineBelow 3 3 4 2 4 3 2" xfId="47285" xr:uid="{00000000-0005-0000-0000-000057040000}"/>
    <cellStyle name="dp*ThinLineBelow 3 3 4 2 4 4" xfId="19725" xr:uid="{00000000-0005-0000-0000-000057040000}"/>
    <cellStyle name="dp*ThinLineBelow 3 3 4 2 4 5" xfId="38131" xr:uid="{00000000-0005-0000-0000-000057040000}"/>
    <cellStyle name="dp*ThinLineBelow 3 3 4 2 5" xfId="9405" xr:uid="{00000000-0005-0000-0000-000057040000}"/>
    <cellStyle name="dp*ThinLineBelow 3 3 4 2 5 2" xfId="28124" xr:uid="{00000000-0005-0000-0000-000057040000}"/>
    <cellStyle name="dp*ThinLineBelow 3 3 4 2 5 3" xfId="46487" xr:uid="{00000000-0005-0000-0000-000057040000}"/>
    <cellStyle name="dp*ThinLineBelow 3 3 4 2 6" xfId="13461" xr:uid="{00000000-0005-0000-0000-000057040000}"/>
    <cellStyle name="dp*ThinLineBelow 3 3 4 2 6 2" xfId="31882" xr:uid="{00000000-0005-0000-0000-000057040000}"/>
    <cellStyle name="dp*ThinLineBelow 3 3 4 2 6 3" xfId="50245" xr:uid="{00000000-0005-0000-0000-000057040000}"/>
    <cellStyle name="dp*ThinLineBelow 3 3 4 2 7" xfId="23406" xr:uid="{00000000-0005-0000-0000-000057040000}"/>
    <cellStyle name="dp*ThinLineBelow 3 3 4 2 7 2" xfId="41775" xr:uid="{00000000-0005-0000-0000-000057040000}"/>
    <cellStyle name="dp*ThinLineBelow 3 3 4 2 8" xfId="18488" xr:uid="{00000000-0005-0000-0000-000057040000}"/>
    <cellStyle name="dp*ThinLineBelow 3 3 4 2 9" xfId="36894" xr:uid="{00000000-0005-0000-0000-000057040000}"/>
    <cellStyle name="dp*ThinLineBelow 3 3 4 3" xfId="4499" xr:uid="{00000000-0005-0000-0000-000057040000}"/>
    <cellStyle name="dp*ThinLineBelow 3 3 4 3 2" xfId="11093" xr:uid="{00000000-0005-0000-0000-000057040000}"/>
    <cellStyle name="dp*ThinLineBelow 3 3 4 3 2 2" xfId="29712" xr:uid="{00000000-0005-0000-0000-000057040000}"/>
    <cellStyle name="dp*ThinLineBelow 3 3 4 3 2 3" xfId="48075" xr:uid="{00000000-0005-0000-0000-000057040000}"/>
    <cellStyle name="dp*ThinLineBelow 3 3 4 3 3" xfId="15231" xr:uid="{00000000-0005-0000-0000-000057040000}"/>
    <cellStyle name="dp*ThinLineBelow 3 3 4 3 3 2" xfId="33626" xr:uid="{00000000-0005-0000-0000-000057040000}"/>
    <cellStyle name="dp*ThinLineBelow 3 3 4 3 3 3" xfId="51989" xr:uid="{00000000-0005-0000-0000-000057040000}"/>
    <cellStyle name="dp*ThinLineBelow 3 3 4 3 4" xfId="24357" xr:uid="{00000000-0005-0000-0000-000057040000}"/>
    <cellStyle name="dp*ThinLineBelow 3 3 4 3 4 2" xfId="42726" xr:uid="{00000000-0005-0000-0000-000057040000}"/>
    <cellStyle name="dp*ThinLineBelow 3 3 4 3 5" xfId="20681" xr:uid="{00000000-0005-0000-0000-000057040000}"/>
    <cellStyle name="dp*ThinLineBelow 3 3 4 3 6" xfId="39073" xr:uid="{00000000-0005-0000-0000-000057040000}"/>
    <cellStyle name="dp*ThinLineBelow 3 3 4 4" xfId="4002" xr:uid="{00000000-0005-0000-0000-000057040000}"/>
    <cellStyle name="dp*ThinLineBelow 3 3 4 4 2" xfId="10706" xr:uid="{00000000-0005-0000-0000-000057040000}"/>
    <cellStyle name="dp*ThinLineBelow 3 3 4 4 2 2" xfId="29410" xr:uid="{00000000-0005-0000-0000-000057040000}"/>
    <cellStyle name="dp*ThinLineBelow 3 3 4 4 2 3" xfId="47773" xr:uid="{00000000-0005-0000-0000-000057040000}"/>
    <cellStyle name="dp*ThinLineBelow 3 3 4 4 3" xfId="14763" xr:uid="{00000000-0005-0000-0000-000057040000}"/>
    <cellStyle name="dp*ThinLineBelow 3 3 4 4 3 2" xfId="33175" xr:uid="{00000000-0005-0000-0000-000057040000}"/>
    <cellStyle name="dp*ThinLineBelow 3 3 4 4 3 3" xfId="51538" xr:uid="{00000000-0005-0000-0000-000057040000}"/>
    <cellStyle name="dp*ThinLineBelow 3 3 4 4 4" xfId="23899" xr:uid="{00000000-0005-0000-0000-000057040000}"/>
    <cellStyle name="dp*ThinLineBelow 3 3 4 4 4 2" xfId="42268" xr:uid="{00000000-0005-0000-0000-000057040000}"/>
    <cellStyle name="dp*ThinLineBelow 3 3 4 4 5" xfId="20219" xr:uid="{00000000-0005-0000-0000-000057040000}"/>
    <cellStyle name="dp*ThinLineBelow 3 3 4 4 6" xfId="38622" xr:uid="{00000000-0005-0000-0000-000057040000}"/>
    <cellStyle name="dp*ThinLineBelow 3 3 4 5" xfId="9823" xr:uid="{00000000-0005-0000-0000-000057040000}"/>
    <cellStyle name="dp*ThinLineBelow 3 3 4 5 2" xfId="13880" xr:uid="{00000000-0005-0000-0000-000057040000}"/>
    <cellStyle name="dp*ThinLineBelow 3 3 4 5 2 2" xfId="32300" xr:uid="{00000000-0005-0000-0000-000057040000}"/>
    <cellStyle name="dp*ThinLineBelow 3 3 4 5 2 3" xfId="50663" xr:uid="{00000000-0005-0000-0000-000057040000}"/>
    <cellStyle name="dp*ThinLineBelow 3 3 4 5 3" xfId="28538" xr:uid="{00000000-0005-0000-0000-000057040000}"/>
    <cellStyle name="dp*ThinLineBelow 3 3 4 5 3 2" xfId="46901" xr:uid="{00000000-0005-0000-0000-000057040000}"/>
    <cellStyle name="dp*ThinLineBelow 3 3 4 5 4" xfId="19043" xr:uid="{00000000-0005-0000-0000-000057040000}"/>
    <cellStyle name="dp*ThinLineBelow 3 3 4 5 5" xfId="37452" xr:uid="{00000000-0005-0000-0000-000057040000}"/>
    <cellStyle name="dp*ThinLineBelow 3 3 4 6" xfId="7770" xr:uid="{00000000-0005-0000-0000-000057040000}"/>
    <cellStyle name="dp*ThinLineBelow 3 3 4 6 2" xfId="27045" xr:uid="{00000000-0005-0000-0000-000057040000}"/>
    <cellStyle name="dp*ThinLineBelow 3 3 4 6 3" xfId="45410" xr:uid="{00000000-0005-0000-0000-000057040000}"/>
    <cellStyle name="dp*ThinLineBelow 3 3 4 7" xfId="8264" xr:uid="{00000000-0005-0000-0000-000057040000}"/>
    <cellStyle name="dp*ThinLineBelow 3 3 4 7 2" xfId="27394" xr:uid="{00000000-0005-0000-0000-000057040000}"/>
    <cellStyle name="dp*ThinLineBelow 3 3 4 7 3" xfId="45759" xr:uid="{00000000-0005-0000-0000-000057040000}"/>
    <cellStyle name="dp*ThinLineBelow 3 3 4 8" xfId="18090" xr:uid="{00000000-0005-0000-0000-000057040000}"/>
    <cellStyle name="dp*ThinLineBelow 3 3 4 8 2" xfId="36497" xr:uid="{00000000-0005-0000-0000-000057040000}"/>
    <cellStyle name="dp*ThinLineBelow 3 3 4 9" xfId="7873" xr:uid="{00000000-0005-0000-0000-000057040000}"/>
    <cellStyle name="dp*ThinLineBelow 3 3 5" xfId="3529" xr:uid="{00000000-0005-0000-0000-000054040000}"/>
    <cellStyle name="dp*ThinLineBelow 3 3 5 2" xfId="5703" xr:uid="{00000000-0005-0000-0000-000054040000}"/>
    <cellStyle name="dp*ThinLineBelow 3 3 5 2 2" xfId="12067" xr:uid="{00000000-0005-0000-0000-000054040000}"/>
    <cellStyle name="dp*ThinLineBelow 3 3 5 2 2 2" xfId="30514" xr:uid="{00000000-0005-0000-0000-000054040000}"/>
    <cellStyle name="dp*ThinLineBelow 3 3 5 2 2 3" xfId="48877" xr:uid="{00000000-0005-0000-0000-000054040000}"/>
    <cellStyle name="dp*ThinLineBelow 3 3 5 2 3" xfId="16393" xr:uid="{00000000-0005-0000-0000-000054040000}"/>
    <cellStyle name="dp*ThinLineBelow 3 3 5 2 3 2" xfId="34765" xr:uid="{00000000-0005-0000-0000-000054040000}"/>
    <cellStyle name="dp*ThinLineBelow 3 3 5 2 3 3" xfId="53128" xr:uid="{00000000-0005-0000-0000-000054040000}"/>
    <cellStyle name="dp*ThinLineBelow 3 3 5 2 4" xfId="25512" xr:uid="{00000000-0005-0000-0000-000054040000}"/>
    <cellStyle name="dp*ThinLineBelow 3 3 5 2 4 2" xfId="43881" xr:uid="{00000000-0005-0000-0000-000054040000}"/>
    <cellStyle name="dp*ThinLineBelow 3 3 5 2 5" xfId="21833" xr:uid="{00000000-0005-0000-0000-000054040000}"/>
    <cellStyle name="dp*ThinLineBelow 3 3 5 2 6" xfId="40212" xr:uid="{00000000-0005-0000-0000-000054040000}"/>
    <cellStyle name="dp*ThinLineBelow 3 3 5 3" xfId="6528" xr:uid="{00000000-0005-0000-0000-000054040000}"/>
    <cellStyle name="dp*ThinLineBelow 3 3 5 3 2" xfId="12819" xr:uid="{00000000-0005-0000-0000-000054040000}"/>
    <cellStyle name="dp*ThinLineBelow 3 3 5 3 2 2" xfId="31245" xr:uid="{00000000-0005-0000-0000-000054040000}"/>
    <cellStyle name="dp*ThinLineBelow 3 3 5 3 2 3" xfId="49608" xr:uid="{00000000-0005-0000-0000-000054040000}"/>
    <cellStyle name="dp*ThinLineBelow 3 3 5 3 3" xfId="17130" xr:uid="{00000000-0005-0000-0000-000054040000}"/>
    <cellStyle name="dp*ThinLineBelow 3 3 5 3 3 2" xfId="35478" xr:uid="{00000000-0005-0000-0000-000054040000}"/>
    <cellStyle name="dp*ThinLineBelow 3 3 5 3 3 3" xfId="53841" xr:uid="{00000000-0005-0000-0000-000054040000}"/>
    <cellStyle name="dp*ThinLineBelow 3 3 5 3 4" xfId="26263" xr:uid="{00000000-0005-0000-0000-000054040000}"/>
    <cellStyle name="dp*ThinLineBelow 3 3 5 3 4 2" xfId="44632" xr:uid="{00000000-0005-0000-0000-000054040000}"/>
    <cellStyle name="dp*ThinLineBelow 3 3 5 3 5" xfId="22556" xr:uid="{00000000-0005-0000-0000-000054040000}"/>
    <cellStyle name="dp*ThinLineBelow 3 3 5 3 6" xfId="40925" xr:uid="{00000000-0005-0000-0000-000054040000}"/>
    <cellStyle name="dp*ThinLineBelow 3 3 5 4" xfId="10242" xr:uid="{00000000-0005-0000-0000-000054040000}"/>
    <cellStyle name="dp*ThinLineBelow 3 3 5 4 2" xfId="14299" xr:uid="{00000000-0005-0000-0000-000054040000}"/>
    <cellStyle name="dp*ThinLineBelow 3 3 5 4 2 2" xfId="32715" xr:uid="{00000000-0005-0000-0000-000054040000}"/>
    <cellStyle name="dp*ThinLineBelow 3 3 5 4 2 3" xfId="51078" xr:uid="{00000000-0005-0000-0000-000054040000}"/>
    <cellStyle name="dp*ThinLineBelow 3 3 5 4 3" xfId="28953" xr:uid="{00000000-0005-0000-0000-000054040000}"/>
    <cellStyle name="dp*ThinLineBelow 3 3 5 4 3 2" xfId="47316" xr:uid="{00000000-0005-0000-0000-000054040000}"/>
    <cellStyle name="dp*ThinLineBelow 3 3 5 4 4" xfId="19756" xr:uid="{00000000-0005-0000-0000-000054040000}"/>
    <cellStyle name="dp*ThinLineBelow 3 3 5 4 5" xfId="38162" xr:uid="{00000000-0005-0000-0000-000054040000}"/>
    <cellStyle name="dp*ThinLineBelow 3 3 5 5" xfId="9438" xr:uid="{00000000-0005-0000-0000-000054040000}"/>
    <cellStyle name="dp*ThinLineBelow 3 3 5 5 2" xfId="28155" xr:uid="{00000000-0005-0000-0000-000054040000}"/>
    <cellStyle name="dp*ThinLineBelow 3 3 5 5 3" xfId="46518" xr:uid="{00000000-0005-0000-0000-000054040000}"/>
    <cellStyle name="dp*ThinLineBelow 3 3 5 6" xfId="13495" xr:uid="{00000000-0005-0000-0000-000054040000}"/>
    <cellStyle name="dp*ThinLineBelow 3 3 5 6 2" xfId="31916" xr:uid="{00000000-0005-0000-0000-000054040000}"/>
    <cellStyle name="dp*ThinLineBelow 3 3 5 6 3" xfId="50279" xr:uid="{00000000-0005-0000-0000-000054040000}"/>
    <cellStyle name="dp*ThinLineBelow 3 3 5 7" xfId="23437" xr:uid="{00000000-0005-0000-0000-000054040000}"/>
    <cellStyle name="dp*ThinLineBelow 3 3 5 7 2" xfId="41806" xr:uid="{00000000-0005-0000-0000-000054040000}"/>
    <cellStyle name="dp*ThinLineBelow 3 3 5 8" xfId="18523" xr:uid="{00000000-0005-0000-0000-000054040000}"/>
    <cellStyle name="dp*ThinLineBelow 3 3 5 9" xfId="36932" xr:uid="{00000000-0005-0000-0000-000054040000}"/>
    <cellStyle name="dp*ThinLineBelow 3 3 6" xfId="4533" xr:uid="{00000000-0005-0000-0000-000054040000}"/>
    <cellStyle name="dp*ThinLineBelow 3 3 6 2" xfId="11124" xr:uid="{00000000-0005-0000-0000-000054040000}"/>
    <cellStyle name="dp*ThinLineBelow 3 3 6 2 2" xfId="29742" xr:uid="{00000000-0005-0000-0000-000054040000}"/>
    <cellStyle name="dp*ThinLineBelow 3 3 6 2 3" xfId="48105" xr:uid="{00000000-0005-0000-0000-000054040000}"/>
    <cellStyle name="dp*ThinLineBelow 3 3 6 3" xfId="15262" xr:uid="{00000000-0005-0000-0000-000054040000}"/>
    <cellStyle name="dp*ThinLineBelow 3 3 6 3 2" xfId="33656" xr:uid="{00000000-0005-0000-0000-000054040000}"/>
    <cellStyle name="dp*ThinLineBelow 3 3 6 3 3" xfId="52019" xr:uid="{00000000-0005-0000-0000-000054040000}"/>
    <cellStyle name="dp*ThinLineBelow 3 3 6 4" xfId="24387" xr:uid="{00000000-0005-0000-0000-000054040000}"/>
    <cellStyle name="dp*ThinLineBelow 3 3 6 4 2" xfId="42756" xr:uid="{00000000-0005-0000-0000-000054040000}"/>
    <cellStyle name="dp*ThinLineBelow 3 3 6 5" xfId="20711" xr:uid="{00000000-0005-0000-0000-000054040000}"/>
    <cellStyle name="dp*ThinLineBelow 3 3 6 6" xfId="39103" xr:uid="{00000000-0005-0000-0000-000054040000}"/>
    <cellStyle name="dp*ThinLineBelow 3 3 7" xfId="5039" xr:uid="{00000000-0005-0000-0000-000054040000}"/>
    <cellStyle name="dp*ThinLineBelow 3 3 7 2" xfId="11562" xr:uid="{00000000-0005-0000-0000-000054040000}"/>
    <cellStyle name="dp*ThinLineBelow 3 3 7 2 2" xfId="30134" xr:uid="{00000000-0005-0000-0000-000054040000}"/>
    <cellStyle name="dp*ThinLineBelow 3 3 7 2 3" xfId="48497" xr:uid="{00000000-0005-0000-0000-000054040000}"/>
    <cellStyle name="dp*ThinLineBelow 3 3 7 3" xfId="15752" xr:uid="{00000000-0005-0000-0000-000054040000}"/>
    <cellStyle name="dp*ThinLineBelow 3 3 7 3 2" xfId="34140" xr:uid="{00000000-0005-0000-0000-000054040000}"/>
    <cellStyle name="dp*ThinLineBelow 3 3 7 3 3" xfId="52503" xr:uid="{00000000-0005-0000-0000-000054040000}"/>
    <cellStyle name="dp*ThinLineBelow 3 3 7 4" xfId="24876" xr:uid="{00000000-0005-0000-0000-000054040000}"/>
    <cellStyle name="dp*ThinLineBelow 3 3 7 4 2" xfId="43245" xr:uid="{00000000-0005-0000-0000-000054040000}"/>
    <cellStyle name="dp*ThinLineBelow 3 3 7 5" xfId="21200" xr:uid="{00000000-0005-0000-0000-000054040000}"/>
    <cellStyle name="dp*ThinLineBelow 3 3 7 6" xfId="39587" xr:uid="{00000000-0005-0000-0000-000054040000}"/>
    <cellStyle name="dp*ThinLineBelow 3 3 8" xfId="7803" xr:uid="{00000000-0005-0000-0000-000054040000}"/>
    <cellStyle name="dp*ThinLineBelow 3 3 8 2" xfId="27073" xr:uid="{00000000-0005-0000-0000-000054040000}"/>
    <cellStyle name="dp*ThinLineBelow 3 3 8 3" xfId="45438" xr:uid="{00000000-0005-0000-0000-000054040000}"/>
    <cellStyle name="dp*ThinLineBelow 3 3 9" xfId="8255" xr:uid="{00000000-0005-0000-0000-000054040000}"/>
    <cellStyle name="dp*ThinLineBelow 3 3 9 2" xfId="27385" xr:uid="{00000000-0005-0000-0000-000054040000}"/>
    <cellStyle name="dp*ThinLineBelow 3 3 9 3" xfId="45750" xr:uid="{00000000-0005-0000-0000-000054040000}"/>
    <cellStyle name="dp*ThinLineBelow 3 4" xfId="1488" xr:uid="{00000000-0005-0000-0000-000058040000}"/>
    <cellStyle name="dp*ThinLineBelow 3 4 2" xfId="3501" xr:uid="{00000000-0005-0000-0000-000058040000}"/>
    <cellStyle name="dp*ThinLineBelow 3 4 2 2" xfId="5675" xr:uid="{00000000-0005-0000-0000-000058040000}"/>
    <cellStyle name="dp*ThinLineBelow 3 4 2 2 2" xfId="12039" xr:uid="{00000000-0005-0000-0000-000058040000}"/>
    <cellStyle name="dp*ThinLineBelow 3 4 2 2 2 2" xfId="30486" xr:uid="{00000000-0005-0000-0000-000058040000}"/>
    <cellStyle name="dp*ThinLineBelow 3 4 2 2 2 3" xfId="48849" xr:uid="{00000000-0005-0000-0000-000058040000}"/>
    <cellStyle name="dp*ThinLineBelow 3 4 2 2 3" xfId="16365" xr:uid="{00000000-0005-0000-0000-000058040000}"/>
    <cellStyle name="dp*ThinLineBelow 3 4 2 2 3 2" xfId="34737" xr:uid="{00000000-0005-0000-0000-000058040000}"/>
    <cellStyle name="dp*ThinLineBelow 3 4 2 2 3 3" xfId="53100" xr:uid="{00000000-0005-0000-0000-000058040000}"/>
    <cellStyle name="dp*ThinLineBelow 3 4 2 2 4" xfId="25484" xr:uid="{00000000-0005-0000-0000-000058040000}"/>
    <cellStyle name="dp*ThinLineBelow 3 4 2 2 4 2" xfId="43853" xr:uid="{00000000-0005-0000-0000-000058040000}"/>
    <cellStyle name="dp*ThinLineBelow 3 4 2 2 5" xfId="21805" xr:uid="{00000000-0005-0000-0000-000058040000}"/>
    <cellStyle name="dp*ThinLineBelow 3 4 2 2 6" xfId="40184" xr:uid="{00000000-0005-0000-0000-000058040000}"/>
    <cellStyle name="dp*ThinLineBelow 3 4 2 3" xfId="6500" xr:uid="{00000000-0005-0000-0000-000058040000}"/>
    <cellStyle name="dp*ThinLineBelow 3 4 2 3 2" xfId="12791" xr:uid="{00000000-0005-0000-0000-000058040000}"/>
    <cellStyle name="dp*ThinLineBelow 3 4 2 3 2 2" xfId="31217" xr:uid="{00000000-0005-0000-0000-000058040000}"/>
    <cellStyle name="dp*ThinLineBelow 3 4 2 3 2 3" xfId="49580" xr:uid="{00000000-0005-0000-0000-000058040000}"/>
    <cellStyle name="dp*ThinLineBelow 3 4 2 3 3" xfId="17102" xr:uid="{00000000-0005-0000-0000-000058040000}"/>
    <cellStyle name="dp*ThinLineBelow 3 4 2 3 3 2" xfId="35450" xr:uid="{00000000-0005-0000-0000-000058040000}"/>
    <cellStyle name="dp*ThinLineBelow 3 4 2 3 3 3" xfId="53813" xr:uid="{00000000-0005-0000-0000-000058040000}"/>
    <cellStyle name="dp*ThinLineBelow 3 4 2 3 4" xfId="26235" xr:uid="{00000000-0005-0000-0000-000058040000}"/>
    <cellStyle name="dp*ThinLineBelow 3 4 2 3 4 2" xfId="44604" xr:uid="{00000000-0005-0000-0000-000058040000}"/>
    <cellStyle name="dp*ThinLineBelow 3 4 2 3 5" xfId="22528" xr:uid="{00000000-0005-0000-0000-000058040000}"/>
    <cellStyle name="dp*ThinLineBelow 3 4 2 3 6" xfId="40897" xr:uid="{00000000-0005-0000-0000-000058040000}"/>
    <cellStyle name="dp*ThinLineBelow 3 4 2 4" xfId="10214" xr:uid="{00000000-0005-0000-0000-000058040000}"/>
    <cellStyle name="dp*ThinLineBelow 3 4 2 4 2" xfId="14271" xr:uid="{00000000-0005-0000-0000-000058040000}"/>
    <cellStyle name="dp*ThinLineBelow 3 4 2 4 2 2" xfId="32687" xr:uid="{00000000-0005-0000-0000-000058040000}"/>
    <cellStyle name="dp*ThinLineBelow 3 4 2 4 2 3" xfId="51050" xr:uid="{00000000-0005-0000-0000-000058040000}"/>
    <cellStyle name="dp*ThinLineBelow 3 4 2 4 3" xfId="28925" xr:uid="{00000000-0005-0000-0000-000058040000}"/>
    <cellStyle name="dp*ThinLineBelow 3 4 2 4 3 2" xfId="47288" xr:uid="{00000000-0005-0000-0000-000058040000}"/>
    <cellStyle name="dp*ThinLineBelow 3 4 2 4 4" xfId="19728" xr:uid="{00000000-0005-0000-0000-000058040000}"/>
    <cellStyle name="dp*ThinLineBelow 3 4 2 4 5" xfId="38134" xr:uid="{00000000-0005-0000-0000-000058040000}"/>
    <cellStyle name="dp*ThinLineBelow 3 4 2 5" xfId="9408" xr:uid="{00000000-0005-0000-0000-000058040000}"/>
    <cellStyle name="dp*ThinLineBelow 3 4 2 5 2" xfId="28126" xr:uid="{00000000-0005-0000-0000-000058040000}"/>
    <cellStyle name="dp*ThinLineBelow 3 4 2 5 3" xfId="46489" xr:uid="{00000000-0005-0000-0000-000058040000}"/>
    <cellStyle name="dp*ThinLineBelow 3 4 2 6" xfId="13464" xr:uid="{00000000-0005-0000-0000-000058040000}"/>
    <cellStyle name="dp*ThinLineBelow 3 4 2 6 2" xfId="31885" xr:uid="{00000000-0005-0000-0000-000058040000}"/>
    <cellStyle name="dp*ThinLineBelow 3 4 2 6 3" xfId="50248" xr:uid="{00000000-0005-0000-0000-000058040000}"/>
    <cellStyle name="dp*ThinLineBelow 3 4 2 7" xfId="23409" xr:uid="{00000000-0005-0000-0000-000058040000}"/>
    <cellStyle name="dp*ThinLineBelow 3 4 2 7 2" xfId="41778" xr:uid="{00000000-0005-0000-0000-000058040000}"/>
    <cellStyle name="dp*ThinLineBelow 3 4 2 8" xfId="36897" xr:uid="{00000000-0005-0000-0000-000058040000}"/>
    <cellStyle name="dp*ThinLineBelow 3 4 3" xfId="4501" xr:uid="{00000000-0005-0000-0000-000058040000}"/>
    <cellStyle name="dp*ThinLineBelow 3 4 3 2" xfId="11095" xr:uid="{00000000-0005-0000-0000-000058040000}"/>
    <cellStyle name="dp*ThinLineBelow 3 4 3 2 2" xfId="29714" xr:uid="{00000000-0005-0000-0000-000058040000}"/>
    <cellStyle name="dp*ThinLineBelow 3 4 3 2 3" xfId="48077" xr:uid="{00000000-0005-0000-0000-000058040000}"/>
    <cellStyle name="dp*ThinLineBelow 3 4 3 3" xfId="15233" xr:uid="{00000000-0005-0000-0000-000058040000}"/>
    <cellStyle name="dp*ThinLineBelow 3 4 3 3 2" xfId="33628" xr:uid="{00000000-0005-0000-0000-000058040000}"/>
    <cellStyle name="dp*ThinLineBelow 3 4 3 3 3" xfId="51991" xr:uid="{00000000-0005-0000-0000-000058040000}"/>
    <cellStyle name="dp*ThinLineBelow 3 4 3 4" xfId="24359" xr:uid="{00000000-0005-0000-0000-000058040000}"/>
    <cellStyle name="dp*ThinLineBelow 3 4 3 4 2" xfId="42728" xr:uid="{00000000-0005-0000-0000-000058040000}"/>
    <cellStyle name="dp*ThinLineBelow 3 4 3 5" xfId="20683" xr:uid="{00000000-0005-0000-0000-000058040000}"/>
    <cellStyle name="dp*ThinLineBelow 3 4 3 6" xfId="39075" xr:uid="{00000000-0005-0000-0000-000058040000}"/>
    <cellStyle name="dp*ThinLineBelow 3 4 4" xfId="9119" xr:uid="{00000000-0005-0000-0000-000058040000}"/>
    <cellStyle name="dp*ThinLineBelow 3 4 4 2" xfId="6296" xr:uid="{00000000-0005-0000-0000-000058040000}"/>
    <cellStyle name="dp*ThinLineBelow 3 4 4 2 2" xfId="26039" xr:uid="{00000000-0005-0000-0000-000058040000}"/>
    <cellStyle name="dp*ThinLineBelow 3 4 4 2 3" xfId="44408" xr:uid="{00000000-0005-0000-0000-000058040000}"/>
    <cellStyle name="dp*ThinLineBelow 3 4 4 3" xfId="27845" xr:uid="{00000000-0005-0000-0000-000058040000}"/>
    <cellStyle name="dp*ThinLineBelow 3 4 4 3 2" xfId="46208" xr:uid="{00000000-0005-0000-0000-000058040000}"/>
    <cellStyle name="dp*ThinLineBelow 3 4 4 4" xfId="18031" xr:uid="{00000000-0005-0000-0000-000058040000}"/>
    <cellStyle name="dp*ThinLineBelow 3 4 4 5" xfId="36439" xr:uid="{00000000-0005-0000-0000-000058040000}"/>
    <cellStyle name="dp*ThinLineBelow 3 4 5" xfId="18091" xr:uid="{00000000-0005-0000-0000-000058040000}"/>
    <cellStyle name="dp*ThinLineBelow 3 4 5 2" xfId="36498" xr:uid="{00000000-0005-0000-0000-000058040000}"/>
    <cellStyle name="dp*ThinLineBelow 3 4 6" xfId="8780" xr:uid="{00000000-0005-0000-0000-000058040000}"/>
    <cellStyle name="dp*ThinLineBelow 3 5" xfId="1736" xr:uid="{00000000-0005-0000-0000-000059040000}"/>
    <cellStyle name="dp*ThinLineBelow 3 5 2" xfId="3633" xr:uid="{00000000-0005-0000-0000-000059040000}"/>
    <cellStyle name="dp*ThinLineBelow 3 5 2 2" xfId="5806" xr:uid="{00000000-0005-0000-0000-000059040000}"/>
    <cellStyle name="dp*ThinLineBelow 3 5 2 2 2" xfId="12170" xr:uid="{00000000-0005-0000-0000-000059040000}"/>
    <cellStyle name="dp*ThinLineBelow 3 5 2 2 2 2" xfId="30617" xr:uid="{00000000-0005-0000-0000-000059040000}"/>
    <cellStyle name="dp*ThinLineBelow 3 5 2 2 2 3" xfId="48980" xr:uid="{00000000-0005-0000-0000-000059040000}"/>
    <cellStyle name="dp*ThinLineBelow 3 5 2 2 3" xfId="16496" xr:uid="{00000000-0005-0000-0000-000059040000}"/>
    <cellStyle name="dp*ThinLineBelow 3 5 2 2 3 2" xfId="34868" xr:uid="{00000000-0005-0000-0000-000059040000}"/>
    <cellStyle name="dp*ThinLineBelow 3 5 2 2 3 3" xfId="53231" xr:uid="{00000000-0005-0000-0000-000059040000}"/>
    <cellStyle name="dp*ThinLineBelow 3 5 2 2 4" xfId="25615" xr:uid="{00000000-0005-0000-0000-000059040000}"/>
    <cellStyle name="dp*ThinLineBelow 3 5 2 2 4 2" xfId="43984" xr:uid="{00000000-0005-0000-0000-000059040000}"/>
    <cellStyle name="dp*ThinLineBelow 3 5 2 2 5" xfId="21936" xr:uid="{00000000-0005-0000-0000-000059040000}"/>
    <cellStyle name="dp*ThinLineBelow 3 5 2 2 6" xfId="40315" xr:uid="{00000000-0005-0000-0000-000059040000}"/>
    <cellStyle name="dp*ThinLineBelow 3 5 2 3" xfId="6632" xr:uid="{00000000-0005-0000-0000-000059040000}"/>
    <cellStyle name="dp*ThinLineBelow 3 5 2 3 2" xfId="12923" xr:uid="{00000000-0005-0000-0000-000059040000}"/>
    <cellStyle name="dp*ThinLineBelow 3 5 2 3 2 2" xfId="31349" xr:uid="{00000000-0005-0000-0000-000059040000}"/>
    <cellStyle name="dp*ThinLineBelow 3 5 2 3 2 3" xfId="49712" xr:uid="{00000000-0005-0000-0000-000059040000}"/>
    <cellStyle name="dp*ThinLineBelow 3 5 2 3 3" xfId="17234" xr:uid="{00000000-0005-0000-0000-000059040000}"/>
    <cellStyle name="dp*ThinLineBelow 3 5 2 3 3 2" xfId="35582" xr:uid="{00000000-0005-0000-0000-000059040000}"/>
    <cellStyle name="dp*ThinLineBelow 3 5 2 3 3 3" xfId="53945" xr:uid="{00000000-0005-0000-0000-000059040000}"/>
    <cellStyle name="dp*ThinLineBelow 3 5 2 3 4" xfId="26367" xr:uid="{00000000-0005-0000-0000-000059040000}"/>
    <cellStyle name="dp*ThinLineBelow 3 5 2 3 4 2" xfId="44736" xr:uid="{00000000-0005-0000-0000-000059040000}"/>
    <cellStyle name="dp*ThinLineBelow 3 5 2 3 5" xfId="22660" xr:uid="{00000000-0005-0000-0000-000059040000}"/>
    <cellStyle name="dp*ThinLineBelow 3 5 2 3 6" xfId="41029" xr:uid="{00000000-0005-0000-0000-000059040000}"/>
    <cellStyle name="dp*ThinLineBelow 3 5 2 4" xfId="10346" xr:uid="{00000000-0005-0000-0000-000059040000}"/>
    <cellStyle name="dp*ThinLineBelow 3 5 2 4 2" xfId="14403" xr:uid="{00000000-0005-0000-0000-000059040000}"/>
    <cellStyle name="dp*ThinLineBelow 3 5 2 4 2 2" xfId="32819" xr:uid="{00000000-0005-0000-0000-000059040000}"/>
    <cellStyle name="dp*ThinLineBelow 3 5 2 4 2 3" xfId="51182" xr:uid="{00000000-0005-0000-0000-000059040000}"/>
    <cellStyle name="dp*ThinLineBelow 3 5 2 4 3" xfId="29057" xr:uid="{00000000-0005-0000-0000-000059040000}"/>
    <cellStyle name="dp*ThinLineBelow 3 5 2 4 3 2" xfId="47420" xr:uid="{00000000-0005-0000-0000-000059040000}"/>
    <cellStyle name="dp*ThinLineBelow 3 5 2 4 4" xfId="19860" xr:uid="{00000000-0005-0000-0000-000059040000}"/>
    <cellStyle name="dp*ThinLineBelow 3 5 2 4 5" xfId="38266" xr:uid="{00000000-0005-0000-0000-000059040000}"/>
    <cellStyle name="dp*ThinLineBelow 3 5 2 5" xfId="9554" xr:uid="{00000000-0005-0000-0000-000059040000}"/>
    <cellStyle name="dp*ThinLineBelow 3 5 2 5 2" xfId="28271" xr:uid="{00000000-0005-0000-0000-000059040000}"/>
    <cellStyle name="dp*ThinLineBelow 3 5 2 5 3" xfId="46634" xr:uid="{00000000-0005-0000-0000-000059040000}"/>
    <cellStyle name="dp*ThinLineBelow 3 5 2 6" xfId="13612" xr:uid="{00000000-0005-0000-0000-000059040000}"/>
    <cellStyle name="dp*ThinLineBelow 3 5 2 6 2" xfId="32033" xr:uid="{00000000-0005-0000-0000-000059040000}"/>
    <cellStyle name="dp*ThinLineBelow 3 5 2 6 3" xfId="50396" xr:uid="{00000000-0005-0000-0000-000059040000}"/>
    <cellStyle name="dp*ThinLineBelow 3 5 2 7" xfId="23541" xr:uid="{00000000-0005-0000-0000-000059040000}"/>
    <cellStyle name="dp*ThinLineBelow 3 5 2 7 2" xfId="41910" xr:uid="{00000000-0005-0000-0000-000059040000}"/>
    <cellStyle name="dp*ThinLineBelow 3 5 2 8" xfId="18653" xr:uid="{00000000-0005-0000-0000-000059040000}"/>
    <cellStyle name="dp*ThinLineBelow 3 5 2 9" xfId="37063" xr:uid="{00000000-0005-0000-0000-000059040000}"/>
    <cellStyle name="dp*ThinLineBelow 3 5 3" xfId="4673" xr:uid="{00000000-0005-0000-0000-000059040000}"/>
    <cellStyle name="dp*ThinLineBelow 3 5 3 2" xfId="11257" xr:uid="{00000000-0005-0000-0000-000059040000}"/>
    <cellStyle name="dp*ThinLineBelow 3 5 3 2 2" xfId="29869" xr:uid="{00000000-0005-0000-0000-000059040000}"/>
    <cellStyle name="dp*ThinLineBelow 3 5 3 2 3" xfId="48232" xr:uid="{00000000-0005-0000-0000-000059040000}"/>
    <cellStyle name="dp*ThinLineBelow 3 5 3 3" xfId="15399" xr:uid="{00000000-0005-0000-0000-000059040000}"/>
    <cellStyle name="dp*ThinLineBelow 3 5 3 3 2" xfId="33792" xr:uid="{00000000-0005-0000-0000-000059040000}"/>
    <cellStyle name="dp*ThinLineBelow 3 5 3 3 3" xfId="52155" xr:uid="{00000000-0005-0000-0000-000059040000}"/>
    <cellStyle name="dp*ThinLineBelow 3 5 3 4" xfId="24523" xr:uid="{00000000-0005-0000-0000-000059040000}"/>
    <cellStyle name="dp*ThinLineBelow 3 5 3 4 2" xfId="42892" xr:uid="{00000000-0005-0000-0000-000059040000}"/>
    <cellStyle name="dp*ThinLineBelow 3 5 3 5" xfId="20850" xr:uid="{00000000-0005-0000-0000-000059040000}"/>
    <cellStyle name="dp*ThinLineBelow 3 5 3 6" xfId="39239" xr:uid="{00000000-0005-0000-0000-000059040000}"/>
    <cellStyle name="dp*ThinLineBelow 3 5 4" xfId="3963" xr:uid="{00000000-0005-0000-0000-000059040000}"/>
    <cellStyle name="dp*ThinLineBelow 3 5 4 2" xfId="10668" xr:uid="{00000000-0005-0000-0000-000059040000}"/>
    <cellStyle name="dp*ThinLineBelow 3 5 4 2 2" xfId="29374" xr:uid="{00000000-0005-0000-0000-000059040000}"/>
    <cellStyle name="dp*ThinLineBelow 3 5 4 2 3" xfId="47737" xr:uid="{00000000-0005-0000-0000-000059040000}"/>
    <cellStyle name="dp*ThinLineBelow 3 5 4 3" xfId="14726" xr:uid="{00000000-0005-0000-0000-000059040000}"/>
    <cellStyle name="dp*ThinLineBelow 3 5 4 3 2" xfId="33138" xr:uid="{00000000-0005-0000-0000-000059040000}"/>
    <cellStyle name="dp*ThinLineBelow 3 5 4 3 3" xfId="51501" xr:uid="{00000000-0005-0000-0000-000059040000}"/>
    <cellStyle name="dp*ThinLineBelow 3 5 4 4" xfId="23862" xr:uid="{00000000-0005-0000-0000-000059040000}"/>
    <cellStyle name="dp*ThinLineBelow 3 5 4 4 2" xfId="42231" xr:uid="{00000000-0005-0000-0000-000059040000}"/>
    <cellStyle name="dp*ThinLineBelow 3 5 4 5" xfId="20180" xr:uid="{00000000-0005-0000-0000-000059040000}"/>
    <cellStyle name="dp*ThinLineBelow 3 5 4 6" xfId="38585" xr:uid="{00000000-0005-0000-0000-000059040000}"/>
    <cellStyle name="dp*ThinLineBelow 3 5 5" xfId="9212" xr:uid="{00000000-0005-0000-0000-000059040000}"/>
    <cellStyle name="dp*ThinLineBelow 3 5 5 2" xfId="13270" xr:uid="{00000000-0005-0000-0000-000059040000}"/>
    <cellStyle name="dp*ThinLineBelow 3 5 5 2 2" xfId="31691" xr:uid="{00000000-0005-0000-0000-000059040000}"/>
    <cellStyle name="dp*ThinLineBelow 3 5 5 2 3" xfId="50054" xr:uid="{00000000-0005-0000-0000-000059040000}"/>
    <cellStyle name="dp*ThinLineBelow 3 5 5 3" xfId="27933" xr:uid="{00000000-0005-0000-0000-000059040000}"/>
    <cellStyle name="dp*ThinLineBelow 3 5 5 3 2" xfId="46296" xr:uid="{00000000-0005-0000-0000-000059040000}"/>
    <cellStyle name="dp*ThinLineBelow 3 5 5 4" xfId="18239" xr:uid="{00000000-0005-0000-0000-000059040000}"/>
    <cellStyle name="dp*ThinLineBelow 3 5 5 5" xfId="36645" xr:uid="{00000000-0005-0000-0000-000059040000}"/>
    <cellStyle name="dp*ThinLineBelow 3 5 6" xfId="7967" xr:uid="{00000000-0005-0000-0000-000059040000}"/>
    <cellStyle name="dp*ThinLineBelow 3 5 6 2" xfId="27197" xr:uid="{00000000-0005-0000-0000-000059040000}"/>
    <cellStyle name="dp*ThinLineBelow 3 5 6 3" xfId="45562" xr:uid="{00000000-0005-0000-0000-000059040000}"/>
    <cellStyle name="dp*ThinLineBelow 3 5 7" xfId="8884" xr:uid="{00000000-0005-0000-0000-000059040000}"/>
    <cellStyle name="dp*ThinLineBelow 3 5 7 2" xfId="27668" xr:uid="{00000000-0005-0000-0000-000059040000}"/>
    <cellStyle name="dp*ThinLineBelow 3 5 7 3" xfId="46031" xr:uid="{00000000-0005-0000-0000-000059040000}"/>
    <cellStyle name="dp*ThinLineBelow 3 5 8" xfId="16858" xr:uid="{00000000-0005-0000-0000-000059040000}"/>
    <cellStyle name="dp*ThinLineBelow 3 5 9" xfId="6223" xr:uid="{00000000-0005-0000-0000-000059040000}"/>
    <cellStyle name="dp*ThinLineBelow 3 6" xfId="3362" xr:uid="{00000000-0005-0000-0000-00004F040000}"/>
    <cellStyle name="dp*ThinLineBelow 3 6 2" xfId="5537" xr:uid="{00000000-0005-0000-0000-00004F040000}"/>
    <cellStyle name="dp*ThinLineBelow 3 6 2 2" xfId="11901" xr:uid="{00000000-0005-0000-0000-00004F040000}"/>
    <cellStyle name="dp*ThinLineBelow 3 6 2 2 2" xfId="30348" xr:uid="{00000000-0005-0000-0000-00004F040000}"/>
    <cellStyle name="dp*ThinLineBelow 3 6 2 2 3" xfId="48711" xr:uid="{00000000-0005-0000-0000-00004F040000}"/>
    <cellStyle name="dp*ThinLineBelow 3 6 2 3" xfId="16227" xr:uid="{00000000-0005-0000-0000-00004F040000}"/>
    <cellStyle name="dp*ThinLineBelow 3 6 2 3 2" xfId="34599" xr:uid="{00000000-0005-0000-0000-00004F040000}"/>
    <cellStyle name="dp*ThinLineBelow 3 6 2 3 3" xfId="52962" xr:uid="{00000000-0005-0000-0000-00004F040000}"/>
    <cellStyle name="dp*ThinLineBelow 3 6 2 4" xfId="25346" xr:uid="{00000000-0005-0000-0000-00004F040000}"/>
    <cellStyle name="dp*ThinLineBelow 3 6 2 4 2" xfId="43715" xr:uid="{00000000-0005-0000-0000-00004F040000}"/>
    <cellStyle name="dp*ThinLineBelow 3 6 2 5" xfId="21667" xr:uid="{00000000-0005-0000-0000-00004F040000}"/>
    <cellStyle name="dp*ThinLineBelow 3 6 2 6" xfId="40046" xr:uid="{00000000-0005-0000-0000-00004F040000}"/>
    <cellStyle name="dp*ThinLineBelow 3 6 3" xfId="6361" xr:uid="{00000000-0005-0000-0000-00004F040000}"/>
    <cellStyle name="dp*ThinLineBelow 3 6 3 2" xfId="12652" xr:uid="{00000000-0005-0000-0000-00004F040000}"/>
    <cellStyle name="dp*ThinLineBelow 3 6 3 2 2" xfId="31078" xr:uid="{00000000-0005-0000-0000-00004F040000}"/>
    <cellStyle name="dp*ThinLineBelow 3 6 3 2 3" xfId="49441" xr:uid="{00000000-0005-0000-0000-00004F040000}"/>
    <cellStyle name="dp*ThinLineBelow 3 6 3 3" xfId="16963" xr:uid="{00000000-0005-0000-0000-00004F040000}"/>
    <cellStyle name="dp*ThinLineBelow 3 6 3 3 2" xfId="35311" xr:uid="{00000000-0005-0000-0000-00004F040000}"/>
    <cellStyle name="dp*ThinLineBelow 3 6 3 3 3" xfId="53674" xr:uid="{00000000-0005-0000-0000-00004F040000}"/>
    <cellStyle name="dp*ThinLineBelow 3 6 3 4" xfId="26096" xr:uid="{00000000-0005-0000-0000-00004F040000}"/>
    <cellStyle name="dp*ThinLineBelow 3 6 3 4 2" xfId="44465" xr:uid="{00000000-0005-0000-0000-00004F040000}"/>
    <cellStyle name="dp*ThinLineBelow 3 6 3 5" xfId="22389" xr:uid="{00000000-0005-0000-0000-00004F040000}"/>
    <cellStyle name="dp*ThinLineBelow 3 6 3 6" xfId="40758" xr:uid="{00000000-0005-0000-0000-00004F040000}"/>
    <cellStyle name="dp*ThinLineBelow 3 6 4" xfId="10075" xr:uid="{00000000-0005-0000-0000-00004F040000}"/>
    <cellStyle name="dp*ThinLineBelow 3 6 4 2" xfId="14132" xr:uid="{00000000-0005-0000-0000-00004F040000}"/>
    <cellStyle name="dp*ThinLineBelow 3 6 4 2 2" xfId="32548" xr:uid="{00000000-0005-0000-0000-00004F040000}"/>
    <cellStyle name="dp*ThinLineBelow 3 6 4 2 3" xfId="50911" xr:uid="{00000000-0005-0000-0000-00004F040000}"/>
    <cellStyle name="dp*ThinLineBelow 3 6 4 3" xfId="28786" xr:uid="{00000000-0005-0000-0000-00004F040000}"/>
    <cellStyle name="dp*ThinLineBelow 3 6 4 3 2" xfId="47149" xr:uid="{00000000-0005-0000-0000-00004F040000}"/>
    <cellStyle name="dp*ThinLineBelow 3 6 4 4" xfId="19589" xr:uid="{00000000-0005-0000-0000-00004F040000}"/>
    <cellStyle name="dp*ThinLineBelow 3 6 4 5" xfId="37995" xr:uid="{00000000-0005-0000-0000-00004F040000}"/>
    <cellStyle name="dp*ThinLineBelow 3 6 5" xfId="9223" xr:uid="{00000000-0005-0000-0000-00004F040000}"/>
    <cellStyle name="dp*ThinLineBelow 3 6 5 2" xfId="27943" xr:uid="{00000000-0005-0000-0000-00004F040000}"/>
    <cellStyle name="dp*ThinLineBelow 3 6 5 3" xfId="46306" xr:uid="{00000000-0005-0000-0000-00004F040000}"/>
    <cellStyle name="dp*ThinLineBelow 3 6 6" xfId="13280" xr:uid="{00000000-0005-0000-0000-00004F040000}"/>
    <cellStyle name="dp*ThinLineBelow 3 6 6 2" xfId="31701" xr:uid="{00000000-0005-0000-0000-00004F040000}"/>
    <cellStyle name="dp*ThinLineBelow 3 6 6 3" xfId="50064" xr:uid="{00000000-0005-0000-0000-00004F040000}"/>
    <cellStyle name="dp*ThinLineBelow 3 6 7" xfId="23270" xr:uid="{00000000-0005-0000-0000-00004F040000}"/>
    <cellStyle name="dp*ThinLineBelow 3 6 7 2" xfId="41639" xr:uid="{00000000-0005-0000-0000-00004F040000}"/>
    <cellStyle name="dp*ThinLineBelow 3 6 8" xfId="18270" xr:uid="{00000000-0005-0000-0000-00004F040000}"/>
    <cellStyle name="dp*ThinLineBelow 3 6 9" xfId="36676" xr:uid="{00000000-0005-0000-0000-00004F040000}"/>
    <cellStyle name="dp*ThinLineBelow 3 7" xfId="11753" xr:uid="{00000000-0005-0000-0000-00004F040000}"/>
    <cellStyle name="dp*ThinLineBelow 4" xfId="1801" xr:uid="{00000000-0005-0000-0000-00005A040000}"/>
    <cellStyle name="dp*ThinLineBelow 4 10" xfId="17814" xr:uid="{00000000-0005-0000-0000-00005A040000}"/>
    <cellStyle name="dp*ThinLineBelow 4 2" xfId="3694" xr:uid="{00000000-0005-0000-0000-00005A040000}"/>
    <cellStyle name="dp*ThinLineBelow 4 2 2" xfId="5867" xr:uid="{00000000-0005-0000-0000-00005A040000}"/>
    <cellStyle name="dp*ThinLineBelow 4 2 2 2" xfId="12231" xr:uid="{00000000-0005-0000-0000-00005A040000}"/>
    <cellStyle name="dp*ThinLineBelow 4 2 2 2 2" xfId="30678" xr:uid="{00000000-0005-0000-0000-00005A040000}"/>
    <cellStyle name="dp*ThinLineBelow 4 2 2 2 3" xfId="49041" xr:uid="{00000000-0005-0000-0000-00005A040000}"/>
    <cellStyle name="dp*ThinLineBelow 4 2 2 3" xfId="16557" xr:uid="{00000000-0005-0000-0000-00005A040000}"/>
    <cellStyle name="dp*ThinLineBelow 4 2 2 3 2" xfId="34929" xr:uid="{00000000-0005-0000-0000-00005A040000}"/>
    <cellStyle name="dp*ThinLineBelow 4 2 2 3 3" xfId="53292" xr:uid="{00000000-0005-0000-0000-00005A040000}"/>
    <cellStyle name="dp*ThinLineBelow 4 2 2 4" xfId="25676" xr:uid="{00000000-0005-0000-0000-00005A040000}"/>
    <cellStyle name="dp*ThinLineBelow 4 2 2 4 2" xfId="44045" xr:uid="{00000000-0005-0000-0000-00005A040000}"/>
    <cellStyle name="dp*ThinLineBelow 4 2 2 5" xfId="21997" xr:uid="{00000000-0005-0000-0000-00005A040000}"/>
    <cellStyle name="dp*ThinLineBelow 4 2 2 6" xfId="40376" xr:uid="{00000000-0005-0000-0000-00005A040000}"/>
    <cellStyle name="dp*ThinLineBelow 4 2 3" xfId="6693" xr:uid="{00000000-0005-0000-0000-00005A040000}"/>
    <cellStyle name="dp*ThinLineBelow 4 2 3 2" xfId="12984" xr:uid="{00000000-0005-0000-0000-00005A040000}"/>
    <cellStyle name="dp*ThinLineBelow 4 2 3 2 2" xfId="31410" xr:uid="{00000000-0005-0000-0000-00005A040000}"/>
    <cellStyle name="dp*ThinLineBelow 4 2 3 2 3" xfId="49773" xr:uid="{00000000-0005-0000-0000-00005A040000}"/>
    <cellStyle name="dp*ThinLineBelow 4 2 3 3" xfId="17295" xr:uid="{00000000-0005-0000-0000-00005A040000}"/>
    <cellStyle name="dp*ThinLineBelow 4 2 3 3 2" xfId="35643" xr:uid="{00000000-0005-0000-0000-00005A040000}"/>
    <cellStyle name="dp*ThinLineBelow 4 2 3 3 3" xfId="54006" xr:uid="{00000000-0005-0000-0000-00005A040000}"/>
    <cellStyle name="dp*ThinLineBelow 4 2 3 4" xfId="26428" xr:uid="{00000000-0005-0000-0000-00005A040000}"/>
    <cellStyle name="dp*ThinLineBelow 4 2 3 4 2" xfId="44797" xr:uid="{00000000-0005-0000-0000-00005A040000}"/>
    <cellStyle name="dp*ThinLineBelow 4 2 3 5" xfId="22721" xr:uid="{00000000-0005-0000-0000-00005A040000}"/>
    <cellStyle name="dp*ThinLineBelow 4 2 3 6" xfId="41090" xr:uid="{00000000-0005-0000-0000-00005A040000}"/>
    <cellStyle name="dp*ThinLineBelow 4 2 4" xfId="10407" xr:uid="{00000000-0005-0000-0000-00005A040000}"/>
    <cellStyle name="dp*ThinLineBelow 4 2 4 2" xfId="14464" xr:uid="{00000000-0005-0000-0000-00005A040000}"/>
    <cellStyle name="dp*ThinLineBelow 4 2 4 2 2" xfId="32880" xr:uid="{00000000-0005-0000-0000-00005A040000}"/>
    <cellStyle name="dp*ThinLineBelow 4 2 4 2 3" xfId="51243" xr:uid="{00000000-0005-0000-0000-00005A040000}"/>
    <cellStyle name="dp*ThinLineBelow 4 2 4 3" xfId="29118" xr:uid="{00000000-0005-0000-0000-00005A040000}"/>
    <cellStyle name="dp*ThinLineBelow 4 2 4 3 2" xfId="47481" xr:uid="{00000000-0005-0000-0000-00005A040000}"/>
    <cellStyle name="dp*ThinLineBelow 4 2 4 4" xfId="19921" xr:uid="{00000000-0005-0000-0000-00005A040000}"/>
    <cellStyle name="dp*ThinLineBelow 4 2 4 5" xfId="38327" xr:uid="{00000000-0005-0000-0000-00005A040000}"/>
    <cellStyle name="dp*ThinLineBelow 4 2 5" xfId="9615" xr:uid="{00000000-0005-0000-0000-00005A040000}"/>
    <cellStyle name="dp*ThinLineBelow 4 2 5 2" xfId="28332" xr:uid="{00000000-0005-0000-0000-00005A040000}"/>
    <cellStyle name="dp*ThinLineBelow 4 2 5 3" xfId="46695" xr:uid="{00000000-0005-0000-0000-00005A040000}"/>
    <cellStyle name="dp*ThinLineBelow 4 2 6" xfId="13673" xr:uid="{00000000-0005-0000-0000-00005A040000}"/>
    <cellStyle name="dp*ThinLineBelow 4 2 6 2" xfId="32094" xr:uid="{00000000-0005-0000-0000-00005A040000}"/>
    <cellStyle name="dp*ThinLineBelow 4 2 6 3" xfId="50457" xr:uid="{00000000-0005-0000-0000-00005A040000}"/>
    <cellStyle name="dp*ThinLineBelow 4 2 7" xfId="23602" xr:uid="{00000000-0005-0000-0000-00005A040000}"/>
    <cellStyle name="dp*ThinLineBelow 4 2 7 2" xfId="41971" xr:uid="{00000000-0005-0000-0000-00005A040000}"/>
    <cellStyle name="dp*ThinLineBelow 4 2 8" xfId="18715" xr:uid="{00000000-0005-0000-0000-00005A040000}"/>
    <cellStyle name="dp*ThinLineBelow 4 2 9" xfId="37125" xr:uid="{00000000-0005-0000-0000-00005A040000}"/>
    <cellStyle name="dp*ThinLineBelow 4 3" xfId="4735" xr:uid="{00000000-0005-0000-0000-00005A040000}"/>
    <cellStyle name="dp*ThinLineBelow 4 3 2" xfId="11319" xr:uid="{00000000-0005-0000-0000-00005A040000}"/>
    <cellStyle name="dp*ThinLineBelow 4 3 2 2" xfId="29931" xr:uid="{00000000-0005-0000-0000-00005A040000}"/>
    <cellStyle name="dp*ThinLineBelow 4 3 2 3" xfId="48294" xr:uid="{00000000-0005-0000-0000-00005A040000}"/>
    <cellStyle name="dp*ThinLineBelow 4 3 3" xfId="15461" xr:uid="{00000000-0005-0000-0000-00005A040000}"/>
    <cellStyle name="dp*ThinLineBelow 4 3 3 2" xfId="33854" xr:uid="{00000000-0005-0000-0000-00005A040000}"/>
    <cellStyle name="dp*ThinLineBelow 4 3 3 3" xfId="52217" xr:uid="{00000000-0005-0000-0000-00005A040000}"/>
    <cellStyle name="dp*ThinLineBelow 4 3 4" xfId="24585" xr:uid="{00000000-0005-0000-0000-00005A040000}"/>
    <cellStyle name="dp*ThinLineBelow 4 3 4 2" xfId="42954" xr:uid="{00000000-0005-0000-0000-00005A040000}"/>
    <cellStyle name="dp*ThinLineBelow 4 3 5" xfId="20912" xr:uid="{00000000-0005-0000-0000-00005A040000}"/>
    <cellStyle name="dp*ThinLineBelow 4 3 6" xfId="39301" xr:uid="{00000000-0005-0000-0000-00005A040000}"/>
    <cellStyle name="dp*ThinLineBelow 4 4" xfId="3939" xr:uid="{00000000-0005-0000-0000-00005A040000}"/>
    <cellStyle name="dp*ThinLineBelow 4 4 2" xfId="10644" xr:uid="{00000000-0005-0000-0000-00005A040000}"/>
    <cellStyle name="dp*ThinLineBelow 4 4 2 2" xfId="29350" xr:uid="{00000000-0005-0000-0000-00005A040000}"/>
    <cellStyle name="dp*ThinLineBelow 4 4 2 3" xfId="47713" xr:uid="{00000000-0005-0000-0000-00005A040000}"/>
    <cellStyle name="dp*ThinLineBelow 4 4 3" xfId="14702" xr:uid="{00000000-0005-0000-0000-00005A040000}"/>
    <cellStyle name="dp*ThinLineBelow 4 4 3 2" xfId="33114" xr:uid="{00000000-0005-0000-0000-00005A040000}"/>
    <cellStyle name="dp*ThinLineBelow 4 4 3 3" xfId="51477" xr:uid="{00000000-0005-0000-0000-00005A040000}"/>
    <cellStyle name="dp*ThinLineBelow 4 4 4" xfId="23838" xr:uid="{00000000-0005-0000-0000-00005A040000}"/>
    <cellStyle name="dp*ThinLineBelow 4 4 4 2" xfId="42207" xr:uid="{00000000-0005-0000-0000-00005A040000}"/>
    <cellStyle name="dp*ThinLineBelow 4 4 5" xfId="20156" xr:uid="{00000000-0005-0000-0000-00005A040000}"/>
    <cellStyle name="dp*ThinLineBelow 4 4 6" xfId="38561" xr:uid="{00000000-0005-0000-0000-00005A040000}"/>
    <cellStyle name="dp*ThinLineBelow 4 5" xfId="9257" xr:uid="{00000000-0005-0000-0000-00005A040000}"/>
    <cellStyle name="dp*ThinLineBelow 4 5 2" xfId="13314" xr:uid="{00000000-0005-0000-0000-00005A040000}"/>
    <cellStyle name="dp*ThinLineBelow 4 5 2 2" xfId="31735" xr:uid="{00000000-0005-0000-0000-00005A040000}"/>
    <cellStyle name="dp*ThinLineBelow 4 5 2 3" xfId="50098" xr:uid="{00000000-0005-0000-0000-00005A040000}"/>
    <cellStyle name="dp*ThinLineBelow 4 5 3" xfId="27977" xr:uid="{00000000-0005-0000-0000-00005A040000}"/>
    <cellStyle name="dp*ThinLineBelow 4 5 3 2" xfId="46340" xr:uid="{00000000-0005-0000-0000-00005A040000}"/>
    <cellStyle name="dp*ThinLineBelow 4 5 4" xfId="18317" xr:uid="{00000000-0005-0000-0000-00005A040000}"/>
    <cellStyle name="dp*ThinLineBelow 4 5 5" xfId="36723" xr:uid="{00000000-0005-0000-0000-00005A040000}"/>
    <cellStyle name="dp*ThinLineBelow 4 6" xfId="8031" xr:uid="{00000000-0005-0000-0000-00005A040000}"/>
    <cellStyle name="dp*ThinLineBelow 4 6 2" xfId="27260" xr:uid="{00000000-0005-0000-0000-00005A040000}"/>
    <cellStyle name="dp*ThinLineBelow 4 6 3" xfId="45625" xr:uid="{00000000-0005-0000-0000-00005A040000}"/>
    <cellStyle name="dp*ThinLineBelow 4 7" xfId="8728" xr:uid="{00000000-0005-0000-0000-00005A040000}"/>
    <cellStyle name="dp*ThinLineBelow 4 7 2" xfId="27609" xr:uid="{00000000-0005-0000-0000-00005A040000}"/>
    <cellStyle name="dp*ThinLineBelow 4 7 3" xfId="45972" xr:uid="{00000000-0005-0000-0000-00005A040000}"/>
    <cellStyle name="dp*ThinLineBelow 4 8" xfId="18975" xr:uid="{00000000-0005-0000-0000-00005A040000}"/>
    <cellStyle name="dp*ThinLineBelow 4 8 2" xfId="37384" xr:uid="{00000000-0005-0000-0000-00005A040000}"/>
    <cellStyle name="dp*ThinLineBelow 4 9" xfId="8205" xr:uid="{00000000-0005-0000-0000-00005A040000}"/>
    <cellStyle name="dp*ThinLineBelow 5" xfId="3018" xr:uid="{00000000-0005-0000-0000-00005B040000}"/>
    <cellStyle name="dp*ThinLineBelow 5 2" xfId="3839" xr:uid="{00000000-0005-0000-0000-00005B040000}"/>
    <cellStyle name="dp*ThinLineBelow 5 2 2" xfId="6012" xr:uid="{00000000-0005-0000-0000-00005B040000}"/>
    <cellStyle name="dp*ThinLineBelow 5 2 2 2" xfId="12376" xr:uid="{00000000-0005-0000-0000-00005B040000}"/>
    <cellStyle name="dp*ThinLineBelow 5 2 2 2 2" xfId="30823" xr:uid="{00000000-0005-0000-0000-00005B040000}"/>
    <cellStyle name="dp*ThinLineBelow 5 2 2 2 3" xfId="49186" xr:uid="{00000000-0005-0000-0000-00005B040000}"/>
    <cellStyle name="dp*ThinLineBelow 5 2 2 3" xfId="16702" xr:uid="{00000000-0005-0000-0000-00005B040000}"/>
    <cellStyle name="dp*ThinLineBelow 5 2 2 3 2" xfId="35074" xr:uid="{00000000-0005-0000-0000-00005B040000}"/>
    <cellStyle name="dp*ThinLineBelow 5 2 2 3 3" xfId="53437" xr:uid="{00000000-0005-0000-0000-00005B040000}"/>
    <cellStyle name="dp*ThinLineBelow 5 2 2 4" xfId="25821" xr:uid="{00000000-0005-0000-0000-00005B040000}"/>
    <cellStyle name="dp*ThinLineBelow 5 2 2 4 2" xfId="44190" xr:uid="{00000000-0005-0000-0000-00005B040000}"/>
    <cellStyle name="dp*ThinLineBelow 5 2 2 5" xfId="22142" xr:uid="{00000000-0005-0000-0000-00005B040000}"/>
    <cellStyle name="dp*ThinLineBelow 5 2 2 6" xfId="40521" xr:uid="{00000000-0005-0000-0000-00005B040000}"/>
    <cellStyle name="dp*ThinLineBelow 5 2 3" xfId="6838" xr:uid="{00000000-0005-0000-0000-00005B040000}"/>
    <cellStyle name="dp*ThinLineBelow 5 2 3 2" xfId="13129" xr:uid="{00000000-0005-0000-0000-00005B040000}"/>
    <cellStyle name="dp*ThinLineBelow 5 2 3 2 2" xfId="31555" xr:uid="{00000000-0005-0000-0000-00005B040000}"/>
    <cellStyle name="dp*ThinLineBelow 5 2 3 2 3" xfId="49918" xr:uid="{00000000-0005-0000-0000-00005B040000}"/>
    <cellStyle name="dp*ThinLineBelow 5 2 3 3" xfId="17440" xr:uid="{00000000-0005-0000-0000-00005B040000}"/>
    <cellStyle name="dp*ThinLineBelow 5 2 3 3 2" xfId="35788" xr:uid="{00000000-0005-0000-0000-00005B040000}"/>
    <cellStyle name="dp*ThinLineBelow 5 2 3 3 3" xfId="54151" xr:uid="{00000000-0005-0000-0000-00005B040000}"/>
    <cellStyle name="dp*ThinLineBelow 5 2 3 4" xfId="26573" xr:uid="{00000000-0005-0000-0000-00005B040000}"/>
    <cellStyle name="dp*ThinLineBelow 5 2 3 4 2" xfId="44942" xr:uid="{00000000-0005-0000-0000-00005B040000}"/>
    <cellStyle name="dp*ThinLineBelow 5 2 3 5" xfId="22866" xr:uid="{00000000-0005-0000-0000-00005B040000}"/>
    <cellStyle name="dp*ThinLineBelow 5 2 3 6" xfId="41235" xr:uid="{00000000-0005-0000-0000-00005B040000}"/>
    <cellStyle name="dp*ThinLineBelow 5 2 4" xfId="10552" xr:uid="{00000000-0005-0000-0000-00005B040000}"/>
    <cellStyle name="dp*ThinLineBelow 5 2 4 2" xfId="14609" xr:uid="{00000000-0005-0000-0000-00005B040000}"/>
    <cellStyle name="dp*ThinLineBelow 5 2 4 2 2" xfId="33025" xr:uid="{00000000-0005-0000-0000-00005B040000}"/>
    <cellStyle name="dp*ThinLineBelow 5 2 4 2 3" xfId="51388" xr:uid="{00000000-0005-0000-0000-00005B040000}"/>
    <cellStyle name="dp*ThinLineBelow 5 2 4 3" xfId="29263" xr:uid="{00000000-0005-0000-0000-00005B040000}"/>
    <cellStyle name="dp*ThinLineBelow 5 2 4 3 2" xfId="47626" xr:uid="{00000000-0005-0000-0000-00005B040000}"/>
    <cellStyle name="dp*ThinLineBelow 5 2 4 4" xfId="20066" xr:uid="{00000000-0005-0000-0000-00005B040000}"/>
    <cellStyle name="dp*ThinLineBelow 5 2 4 5" xfId="38472" xr:uid="{00000000-0005-0000-0000-00005B040000}"/>
    <cellStyle name="dp*ThinLineBelow 5 2 5" xfId="9923" xr:uid="{00000000-0005-0000-0000-00005B040000}"/>
    <cellStyle name="dp*ThinLineBelow 5 2 5 2" xfId="28635" xr:uid="{00000000-0005-0000-0000-00005B040000}"/>
    <cellStyle name="dp*ThinLineBelow 5 2 5 3" xfId="46998" xr:uid="{00000000-0005-0000-0000-00005B040000}"/>
    <cellStyle name="dp*ThinLineBelow 5 2 6" xfId="13980" xr:uid="{00000000-0005-0000-0000-00005B040000}"/>
    <cellStyle name="dp*ThinLineBelow 5 2 6 2" xfId="32397" xr:uid="{00000000-0005-0000-0000-00005B040000}"/>
    <cellStyle name="dp*ThinLineBelow 5 2 6 3" xfId="50760" xr:uid="{00000000-0005-0000-0000-00005B040000}"/>
    <cellStyle name="dp*ThinLineBelow 5 2 7" xfId="23747" xr:uid="{00000000-0005-0000-0000-00005B040000}"/>
    <cellStyle name="dp*ThinLineBelow 5 2 7 2" xfId="42116" xr:uid="{00000000-0005-0000-0000-00005B040000}"/>
    <cellStyle name="dp*ThinLineBelow 5 2 8" xfId="19228" xr:uid="{00000000-0005-0000-0000-00005B040000}"/>
    <cellStyle name="dp*ThinLineBelow 5 2 9" xfId="37635" xr:uid="{00000000-0005-0000-0000-00005B040000}"/>
    <cellStyle name="dp*ThinLineBelow 5 3" xfId="5271" xr:uid="{00000000-0005-0000-0000-00005B040000}"/>
    <cellStyle name="dp*ThinLineBelow 5 3 2" xfId="11728" xr:uid="{00000000-0005-0000-0000-00005B040000}"/>
    <cellStyle name="dp*ThinLineBelow 5 3 2 2" xfId="30234" xr:uid="{00000000-0005-0000-0000-00005B040000}"/>
    <cellStyle name="dp*ThinLineBelow 5 3 2 3" xfId="48597" xr:uid="{00000000-0005-0000-0000-00005B040000}"/>
    <cellStyle name="dp*ThinLineBelow 5 3 3" xfId="15963" xr:uid="{00000000-0005-0000-0000-00005B040000}"/>
    <cellStyle name="dp*ThinLineBelow 5 3 3 2" xfId="34337" xr:uid="{00000000-0005-0000-0000-00005B040000}"/>
    <cellStyle name="dp*ThinLineBelow 5 3 3 3" xfId="52700" xr:uid="{00000000-0005-0000-0000-00005B040000}"/>
    <cellStyle name="dp*ThinLineBelow 5 3 4" xfId="25084" xr:uid="{00000000-0005-0000-0000-00005B040000}"/>
    <cellStyle name="dp*ThinLineBelow 5 3 4 2" xfId="43453" xr:uid="{00000000-0005-0000-0000-00005B040000}"/>
    <cellStyle name="dp*ThinLineBelow 5 3 5" xfId="21405" xr:uid="{00000000-0005-0000-0000-00005B040000}"/>
    <cellStyle name="dp*ThinLineBelow 5 3 6" xfId="39784" xr:uid="{00000000-0005-0000-0000-00005B040000}"/>
    <cellStyle name="dp*ThinLineBelow 5 4" xfId="6234" xr:uid="{00000000-0005-0000-0000-00005B040000}"/>
    <cellStyle name="dp*ThinLineBelow 5 4 2" xfId="12549" xr:uid="{00000000-0005-0000-0000-00005B040000}"/>
    <cellStyle name="dp*ThinLineBelow 5 4 2 2" xfId="30981" xr:uid="{00000000-0005-0000-0000-00005B040000}"/>
    <cellStyle name="dp*ThinLineBelow 5 4 2 3" xfId="49344" xr:uid="{00000000-0005-0000-0000-00005B040000}"/>
    <cellStyle name="dp*ThinLineBelow 5 4 3" xfId="16866" xr:uid="{00000000-0005-0000-0000-00005B040000}"/>
    <cellStyle name="dp*ThinLineBelow 5 4 3 2" xfId="35223" xr:uid="{00000000-0005-0000-0000-00005B040000}"/>
    <cellStyle name="dp*ThinLineBelow 5 4 3 3" xfId="53586" xr:uid="{00000000-0005-0000-0000-00005B040000}"/>
    <cellStyle name="dp*ThinLineBelow 5 4 4" xfId="25998" xr:uid="{00000000-0005-0000-0000-00005B040000}"/>
    <cellStyle name="dp*ThinLineBelow 5 4 4 2" xfId="44367" xr:uid="{00000000-0005-0000-0000-00005B040000}"/>
    <cellStyle name="dp*ThinLineBelow 5 4 5" xfId="22297" xr:uid="{00000000-0005-0000-0000-00005B040000}"/>
    <cellStyle name="dp*ThinLineBelow 5 4 6" xfId="40670" xr:uid="{00000000-0005-0000-0000-00005B040000}"/>
    <cellStyle name="dp*ThinLineBelow 5 5" xfId="8810" xr:uid="{00000000-0005-0000-0000-00005B040000}"/>
    <cellStyle name="dp*ThinLineBelow 5 5 2" xfId="27640" xr:uid="{00000000-0005-0000-0000-00005B040000}"/>
    <cellStyle name="dp*ThinLineBelow 5 5 3" xfId="46003" xr:uid="{00000000-0005-0000-0000-00005B040000}"/>
    <cellStyle name="dp*ThinLineBelow 5 6" xfId="11713" xr:uid="{00000000-0005-0000-0000-00005B040000}"/>
    <cellStyle name="dp*ThinLineBelow 5 6 2" xfId="30226" xr:uid="{00000000-0005-0000-0000-00005B040000}"/>
    <cellStyle name="dp*ThinLineBelow 5 6 3" xfId="48589" xr:uid="{00000000-0005-0000-0000-00005B040000}"/>
    <cellStyle name="dp*ThinLineBelow 5 7" xfId="23025" xr:uid="{00000000-0005-0000-0000-00005B040000}"/>
    <cellStyle name="dp*ThinLineBelow 5 7 2" xfId="41394" xr:uid="{00000000-0005-0000-0000-00005B040000}"/>
    <cellStyle name="dp*ThinLineBelow 5 8" xfId="36027" xr:uid="{00000000-0005-0000-0000-00005B040000}"/>
    <cellStyle name="dp*ThinLineBelow_Summary" xfId="2354" xr:uid="{00000000-0005-0000-0000-00005C040000}"/>
    <cellStyle name="dp*XAxisTitle" xfId="433" xr:uid="{00000000-0005-0000-0000-00005D040000}"/>
    <cellStyle name="dp*Y2AxisTitle" xfId="434" xr:uid="{00000000-0005-0000-0000-00005E040000}"/>
    <cellStyle name="dp*YAxisTitle" xfId="435" xr:uid="{00000000-0005-0000-0000-00005F040000}"/>
    <cellStyle name="Draw lines around data in range" xfId="436" xr:uid="{00000000-0005-0000-0000-000060040000}"/>
    <cellStyle name="Draw lines around data in range 10" xfId="18080" xr:uid="{00000000-0005-0000-0000-000060040000}"/>
    <cellStyle name="Draw lines around data in range 10 2" xfId="36487" xr:uid="{00000000-0005-0000-0000-000060040000}"/>
    <cellStyle name="Draw lines around data in range 11" xfId="7291" xr:uid="{00000000-0005-0000-0000-000060040000}"/>
    <cellStyle name="Draw lines around data in range 12" xfId="16828" xr:uid="{00000000-0005-0000-0000-000060040000}"/>
    <cellStyle name="Draw lines around data in range 2" xfId="1127" xr:uid="{00000000-0005-0000-0000-000061040000}"/>
    <cellStyle name="Draw lines around data in range 2 2" xfId="4226" xr:uid="{00000000-0005-0000-0000-000061040000}"/>
    <cellStyle name="Draw lines around data in range 2 2 2" xfId="14971" xr:uid="{00000000-0005-0000-0000-000061040000}"/>
    <cellStyle name="Draw lines around data in range 2 2 2 2" xfId="33375" xr:uid="{00000000-0005-0000-0000-000061040000}"/>
    <cellStyle name="Draw lines around data in range 2 2 2 3" xfId="51738" xr:uid="{00000000-0005-0000-0000-000061040000}"/>
    <cellStyle name="Draw lines around data in range 2 2 3" xfId="24104" xr:uid="{00000000-0005-0000-0000-000061040000}"/>
    <cellStyle name="Draw lines around data in range 2 2 3 2" xfId="42473" xr:uid="{00000000-0005-0000-0000-000061040000}"/>
    <cellStyle name="Draw lines around data in range 2 2 4" xfId="20424" xr:uid="{00000000-0005-0000-0000-000061040000}"/>
    <cellStyle name="Draw lines around data in range 2 2 5" xfId="38822" xr:uid="{00000000-0005-0000-0000-000061040000}"/>
    <cellStyle name="Draw lines around data in range 2 3" xfId="18895" xr:uid="{00000000-0005-0000-0000-000061040000}"/>
    <cellStyle name="Draw lines around data in range 2 3 2" xfId="37304" xr:uid="{00000000-0005-0000-0000-000061040000}"/>
    <cellStyle name="Draw lines around data in range 2 4" xfId="10800" xr:uid="{00000000-0005-0000-0000-000061040000}"/>
    <cellStyle name="Draw lines around data in range 2 5" xfId="7439" xr:uid="{00000000-0005-0000-0000-000061040000}"/>
    <cellStyle name="Draw lines around data in range 3" xfId="1858" xr:uid="{00000000-0005-0000-0000-000062040000}"/>
    <cellStyle name="Draw lines around data in range 3 2" xfId="4783" xr:uid="{00000000-0005-0000-0000-000062040000}"/>
    <cellStyle name="Draw lines around data in range 3 2 2" xfId="15509" xr:uid="{00000000-0005-0000-0000-000062040000}"/>
    <cellStyle name="Draw lines around data in range 3 2 2 2" xfId="33902" xr:uid="{00000000-0005-0000-0000-000062040000}"/>
    <cellStyle name="Draw lines around data in range 3 2 2 3" xfId="52265" xr:uid="{00000000-0005-0000-0000-000062040000}"/>
    <cellStyle name="Draw lines around data in range 3 2 3" xfId="24633" xr:uid="{00000000-0005-0000-0000-000062040000}"/>
    <cellStyle name="Draw lines around data in range 3 2 3 2" xfId="43002" xr:uid="{00000000-0005-0000-0000-000062040000}"/>
    <cellStyle name="Draw lines around data in range 3 2 4" xfId="20960" xr:uid="{00000000-0005-0000-0000-000062040000}"/>
    <cellStyle name="Draw lines around data in range 3 2 5" xfId="39349" xr:uid="{00000000-0005-0000-0000-000062040000}"/>
    <cellStyle name="Draw lines around data in range 3 3" xfId="18334" xr:uid="{00000000-0005-0000-0000-000062040000}"/>
    <cellStyle name="Draw lines around data in range 3 3 2" xfId="36740" xr:uid="{00000000-0005-0000-0000-000062040000}"/>
    <cellStyle name="Draw lines around data in range 3 4" xfId="6957" xr:uid="{00000000-0005-0000-0000-000062040000}"/>
    <cellStyle name="Draw lines around data in range 3 5" xfId="7099" xr:uid="{00000000-0005-0000-0000-000062040000}"/>
    <cellStyle name="Draw lines around data in range 4" xfId="2048" xr:uid="{00000000-0005-0000-0000-000063040000}"/>
    <cellStyle name="Draw lines around data in range 4 2" xfId="4884" xr:uid="{00000000-0005-0000-0000-000063040000}"/>
    <cellStyle name="Draw lines around data in range 4 2 2" xfId="15610" xr:uid="{00000000-0005-0000-0000-000063040000}"/>
    <cellStyle name="Draw lines around data in range 4 2 2 2" xfId="34001" xr:uid="{00000000-0005-0000-0000-000063040000}"/>
    <cellStyle name="Draw lines around data in range 4 2 2 3" xfId="52364" xr:uid="{00000000-0005-0000-0000-000063040000}"/>
    <cellStyle name="Draw lines around data in range 4 2 3" xfId="24732" xr:uid="{00000000-0005-0000-0000-000063040000}"/>
    <cellStyle name="Draw lines around data in range 4 2 3 2" xfId="43101" xr:uid="{00000000-0005-0000-0000-000063040000}"/>
    <cellStyle name="Draw lines around data in range 4 2 4" xfId="21059" xr:uid="{00000000-0005-0000-0000-000063040000}"/>
    <cellStyle name="Draw lines around data in range 4 2 5" xfId="39448" xr:uid="{00000000-0005-0000-0000-000063040000}"/>
    <cellStyle name="Draw lines around data in range 4 3" xfId="19033" xr:uid="{00000000-0005-0000-0000-000063040000}"/>
    <cellStyle name="Draw lines around data in range 4 3 2" xfId="37442" xr:uid="{00000000-0005-0000-0000-000063040000}"/>
    <cellStyle name="Draw lines around data in range 4 4" xfId="8321" xr:uid="{00000000-0005-0000-0000-000063040000}"/>
    <cellStyle name="Draw lines around data in range 4 5" xfId="8176" xr:uid="{00000000-0005-0000-0000-000063040000}"/>
    <cellStyle name="Draw lines around data in range 5" xfId="2501" xr:uid="{00000000-0005-0000-0000-000064040000}"/>
    <cellStyle name="Draw lines around data in range 5 2" xfId="5051" xr:uid="{00000000-0005-0000-0000-000064040000}"/>
    <cellStyle name="Draw lines around data in range 5 2 2" xfId="15764" xr:uid="{00000000-0005-0000-0000-000064040000}"/>
    <cellStyle name="Draw lines around data in range 5 2 2 2" xfId="34151" xr:uid="{00000000-0005-0000-0000-000064040000}"/>
    <cellStyle name="Draw lines around data in range 5 2 2 3" xfId="52514" xr:uid="{00000000-0005-0000-0000-000064040000}"/>
    <cellStyle name="Draw lines around data in range 5 2 3" xfId="24887" xr:uid="{00000000-0005-0000-0000-000064040000}"/>
    <cellStyle name="Draw lines around data in range 5 2 3 2" xfId="43256" xr:uid="{00000000-0005-0000-0000-000064040000}"/>
    <cellStyle name="Draw lines around data in range 5 2 4" xfId="21212" xr:uid="{00000000-0005-0000-0000-000064040000}"/>
    <cellStyle name="Draw lines around data in range 5 2 5" xfId="39598" xr:uid="{00000000-0005-0000-0000-000064040000}"/>
    <cellStyle name="Draw lines around data in range 5 3" xfId="19284" xr:uid="{00000000-0005-0000-0000-000064040000}"/>
    <cellStyle name="Draw lines around data in range 5 3 2" xfId="37691" xr:uid="{00000000-0005-0000-0000-000064040000}"/>
    <cellStyle name="Draw lines around data in range 5 4" xfId="8809" xr:uid="{00000000-0005-0000-0000-000064040000}"/>
    <cellStyle name="Draw lines around data in range 5 5" xfId="35863" xr:uid="{00000000-0005-0000-0000-000064040000}"/>
    <cellStyle name="Draw lines around data in range 6" xfId="3017" xr:uid="{00000000-0005-0000-0000-000065040000}"/>
    <cellStyle name="Draw lines around data in range 6 2" xfId="5270" xr:uid="{00000000-0005-0000-0000-000065040000}"/>
    <cellStyle name="Draw lines around data in range 6 2 2" xfId="15962" xr:uid="{00000000-0005-0000-0000-000065040000}"/>
    <cellStyle name="Draw lines around data in range 6 2 2 2" xfId="34336" xr:uid="{00000000-0005-0000-0000-000065040000}"/>
    <cellStyle name="Draw lines around data in range 6 2 2 3" xfId="52699" xr:uid="{00000000-0005-0000-0000-000065040000}"/>
    <cellStyle name="Draw lines around data in range 6 2 3" xfId="25083" xr:uid="{00000000-0005-0000-0000-000065040000}"/>
    <cellStyle name="Draw lines around data in range 6 2 3 2" xfId="43452" xr:uid="{00000000-0005-0000-0000-000065040000}"/>
    <cellStyle name="Draw lines around data in range 6 2 4" xfId="21404" xr:uid="{00000000-0005-0000-0000-000065040000}"/>
    <cellStyle name="Draw lines around data in range 6 2 5" xfId="39783" xr:uid="{00000000-0005-0000-0000-000065040000}"/>
    <cellStyle name="Draw lines around data in range 6 3" xfId="23024" xr:uid="{00000000-0005-0000-0000-000065040000}"/>
    <cellStyle name="Draw lines around data in range 6 3 2" xfId="41393" xr:uid="{00000000-0005-0000-0000-000065040000}"/>
    <cellStyle name="Draw lines around data in range 6 4" xfId="17585" xr:uid="{00000000-0005-0000-0000-000065040000}"/>
    <cellStyle name="Draw lines around data in range 6 5" xfId="36026" xr:uid="{00000000-0005-0000-0000-000065040000}"/>
    <cellStyle name="Draw lines around data in range 7" xfId="2996" xr:uid="{00000000-0005-0000-0000-000066040000}"/>
    <cellStyle name="Draw lines around data in range 7 2" xfId="5254" xr:uid="{00000000-0005-0000-0000-000066040000}"/>
    <cellStyle name="Draw lines around data in range 7 2 2" xfId="15946" xr:uid="{00000000-0005-0000-0000-000066040000}"/>
    <cellStyle name="Draw lines around data in range 7 2 2 2" xfId="34320" xr:uid="{00000000-0005-0000-0000-000066040000}"/>
    <cellStyle name="Draw lines around data in range 7 2 2 3" xfId="52683" xr:uid="{00000000-0005-0000-0000-000066040000}"/>
    <cellStyle name="Draw lines around data in range 7 2 3" xfId="25067" xr:uid="{00000000-0005-0000-0000-000066040000}"/>
    <cellStyle name="Draw lines around data in range 7 2 3 2" xfId="43436" xr:uid="{00000000-0005-0000-0000-000066040000}"/>
    <cellStyle name="Draw lines around data in range 7 2 4" xfId="21388" xr:uid="{00000000-0005-0000-0000-000066040000}"/>
    <cellStyle name="Draw lines around data in range 7 2 5" xfId="39767" xr:uid="{00000000-0005-0000-0000-000066040000}"/>
    <cellStyle name="Draw lines around data in range 7 3" xfId="23009" xr:uid="{00000000-0005-0000-0000-000066040000}"/>
    <cellStyle name="Draw lines around data in range 7 3 2" xfId="41378" xr:uid="{00000000-0005-0000-0000-000066040000}"/>
    <cellStyle name="Draw lines around data in range 7 4" xfId="17568" xr:uid="{00000000-0005-0000-0000-000066040000}"/>
    <cellStyle name="Draw lines around data in range 7 5" xfId="36011" xr:uid="{00000000-0005-0000-0000-000066040000}"/>
    <cellStyle name="Draw lines around data in range 8" xfId="3276" xr:uid="{00000000-0005-0000-0000-000067040000}"/>
    <cellStyle name="Draw lines around data in range 8 2" xfId="5469" xr:uid="{00000000-0005-0000-0000-000067040000}"/>
    <cellStyle name="Draw lines around data in range 8 2 2" xfId="16160" xr:uid="{00000000-0005-0000-0000-000067040000}"/>
    <cellStyle name="Draw lines around data in range 8 2 2 2" xfId="34532" xr:uid="{00000000-0005-0000-0000-000067040000}"/>
    <cellStyle name="Draw lines around data in range 8 2 2 3" xfId="52895" xr:uid="{00000000-0005-0000-0000-000067040000}"/>
    <cellStyle name="Draw lines around data in range 8 2 3" xfId="25279" xr:uid="{00000000-0005-0000-0000-000067040000}"/>
    <cellStyle name="Draw lines around data in range 8 2 3 2" xfId="43648" xr:uid="{00000000-0005-0000-0000-000067040000}"/>
    <cellStyle name="Draw lines around data in range 8 2 4" xfId="21600" xr:uid="{00000000-0005-0000-0000-000067040000}"/>
    <cellStyle name="Draw lines around data in range 8 2 5" xfId="39979" xr:uid="{00000000-0005-0000-0000-000067040000}"/>
    <cellStyle name="Draw lines around data in range 8 3" xfId="23208" xr:uid="{00000000-0005-0000-0000-000067040000}"/>
    <cellStyle name="Draw lines around data in range 8 3 2" xfId="41577" xr:uid="{00000000-0005-0000-0000-000067040000}"/>
    <cellStyle name="Draw lines around data in range 8 4" xfId="17794" xr:uid="{00000000-0005-0000-0000-000067040000}"/>
    <cellStyle name="Draw lines around data in range 8 5" xfId="36210" xr:uid="{00000000-0005-0000-0000-000067040000}"/>
    <cellStyle name="Draw lines around data in range 9" xfId="4034" xr:uid="{00000000-0005-0000-0000-000060040000}"/>
    <cellStyle name="Draw lines around data in range 9 2" xfId="14795" xr:uid="{00000000-0005-0000-0000-000060040000}"/>
    <cellStyle name="Draw lines around data in range 9 2 2" xfId="33207" xr:uid="{00000000-0005-0000-0000-000060040000}"/>
    <cellStyle name="Draw lines around data in range 9 2 3" xfId="51570" xr:uid="{00000000-0005-0000-0000-000060040000}"/>
    <cellStyle name="Draw lines around data in range 9 3" xfId="23931" xr:uid="{00000000-0005-0000-0000-000060040000}"/>
    <cellStyle name="Draw lines around data in range 9 3 2" xfId="42300" xr:uid="{00000000-0005-0000-0000-000060040000}"/>
    <cellStyle name="Draw lines around data in range 9 4" xfId="20251" xr:uid="{00000000-0005-0000-0000-000060040000}"/>
    <cellStyle name="Draw lines around data in range 9 5" xfId="38654" xr:uid="{00000000-0005-0000-0000-000060040000}"/>
    <cellStyle name="Draw shadow and lines within range" xfId="437" xr:uid="{00000000-0005-0000-0000-000068040000}"/>
    <cellStyle name="Draw shadow and lines within range 10" xfId="19533" xr:uid="{00000000-0005-0000-0000-000068040000}"/>
    <cellStyle name="Draw shadow and lines within range 10 2" xfId="37939" xr:uid="{00000000-0005-0000-0000-000068040000}"/>
    <cellStyle name="Draw shadow and lines within range 11" xfId="7459" xr:uid="{00000000-0005-0000-0000-000068040000}"/>
    <cellStyle name="Draw shadow and lines within range 12" xfId="11624" xr:uid="{00000000-0005-0000-0000-000068040000}"/>
    <cellStyle name="Draw shadow and lines within range 2" xfId="1128" xr:uid="{00000000-0005-0000-0000-000069040000}"/>
    <cellStyle name="Draw shadow and lines within range 2 2" xfId="4227" xr:uid="{00000000-0005-0000-0000-000069040000}"/>
    <cellStyle name="Draw shadow and lines within range 2 2 2" xfId="14972" xr:uid="{00000000-0005-0000-0000-000069040000}"/>
    <cellStyle name="Draw shadow and lines within range 2 2 2 2" xfId="33376" xr:uid="{00000000-0005-0000-0000-000069040000}"/>
    <cellStyle name="Draw shadow and lines within range 2 2 2 3" xfId="51739" xr:uid="{00000000-0005-0000-0000-000069040000}"/>
    <cellStyle name="Draw shadow and lines within range 2 2 3" xfId="24105" xr:uid="{00000000-0005-0000-0000-000069040000}"/>
    <cellStyle name="Draw shadow and lines within range 2 2 3 2" xfId="42474" xr:uid="{00000000-0005-0000-0000-000069040000}"/>
    <cellStyle name="Draw shadow and lines within range 2 2 4" xfId="20425" xr:uid="{00000000-0005-0000-0000-000069040000}"/>
    <cellStyle name="Draw shadow and lines within range 2 2 5" xfId="38823" xr:uid="{00000000-0005-0000-0000-000069040000}"/>
    <cellStyle name="Draw shadow and lines within range 2 3" xfId="19423" xr:uid="{00000000-0005-0000-0000-000069040000}"/>
    <cellStyle name="Draw shadow and lines within range 2 3 2" xfId="37829" xr:uid="{00000000-0005-0000-0000-000069040000}"/>
    <cellStyle name="Draw shadow and lines within range 2 4" xfId="7310" xr:uid="{00000000-0005-0000-0000-000069040000}"/>
    <cellStyle name="Draw shadow and lines within range 2 5" xfId="10867" xr:uid="{00000000-0005-0000-0000-000069040000}"/>
    <cellStyle name="Draw shadow and lines within range 3" xfId="1857" xr:uid="{00000000-0005-0000-0000-00006A040000}"/>
    <cellStyle name="Draw shadow and lines within range 3 2" xfId="4782" xr:uid="{00000000-0005-0000-0000-00006A040000}"/>
    <cellStyle name="Draw shadow and lines within range 3 2 2" xfId="15508" xr:uid="{00000000-0005-0000-0000-00006A040000}"/>
    <cellStyle name="Draw shadow and lines within range 3 2 2 2" xfId="33901" xr:uid="{00000000-0005-0000-0000-00006A040000}"/>
    <cellStyle name="Draw shadow and lines within range 3 2 2 3" xfId="52264" xr:uid="{00000000-0005-0000-0000-00006A040000}"/>
    <cellStyle name="Draw shadow and lines within range 3 2 3" xfId="24632" xr:uid="{00000000-0005-0000-0000-00006A040000}"/>
    <cellStyle name="Draw shadow and lines within range 3 2 3 2" xfId="43001" xr:uid="{00000000-0005-0000-0000-00006A040000}"/>
    <cellStyle name="Draw shadow and lines within range 3 2 4" xfId="20959" xr:uid="{00000000-0005-0000-0000-00006A040000}"/>
    <cellStyle name="Draw shadow and lines within range 3 2 5" xfId="39348" xr:uid="{00000000-0005-0000-0000-00006A040000}"/>
    <cellStyle name="Draw shadow and lines within range 3 3" xfId="19158" xr:uid="{00000000-0005-0000-0000-00006A040000}"/>
    <cellStyle name="Draw shadow and lines within range 3 3 2" xfId="37566" xr:uid="{00000000-0005-0000-0000-00006A040000}"/>
    <cellStyle name="Draw shadow and lines within range 3 4" xfId="7326" xr:uid="{00000000-0005-0000-0000-00006A040000}"/>
    <cellStyle name="Draw shadow and lines within range 3 5" xfId="7372" xr:uid="{00000000-0005-0000-0000-00006A040000}"/>
    <cellStyle name="Draw shadow and lines within range 4" xfId="2049" xr:uid="{00000000-0005-0000-0000-00006B040000}"/>
    <cellStyle name="Draw shadow and lines within range 4 2" xfId="4885" xr:uid="{00000000-0005-0000-0000-00006B040000}"/>
    <cellStyle name="Draw shadow and lines within range 4 2 2" xfId="15611" xr:uid="{00000000-0005-0000-0000-00006B040000}"/>
    <cellStyle name="Draw shadow and lines within range 4 2 2 2" xfId="34002" xr:uid="{00000000-0005-0000-0000-00006B040000}"/>
    <cellStyle name="Draw shadow and lines within range 4 2 2 3" xfId="52365" xr:uid="{00000000-0005-0000-0000-00006B040000}"/>
    <cellStyle name="Draw shadow and lines within range 4 2 3" xfId="24733" xr:uid="{00000000-0005-0000-0000-00006B040000}"/>
    <cellStyle name="Draw shadow and lines within range 4 2 3 2" xfId="43102" xr:uid="{00000000-0005-0000-0000-00006B040000}"/>
    <cellStyle name="Draw shadow and lines within range 4 2 4" xfId="21060" xr:uid="{00000000-0005-0000-0000-00006B040000}"/>
    <cellStyle name="Draw shadow and lines within range 4 2 5" xfId="39449" xr:uid="{00000000-0005-0000-0000-00006B040000}"/>
    <cellStyle name="Draw shadow and lines within range 4 3" xfId="18229" xr:uid="{00000000-0005-0000-0000-00006B040000}"/>
    <cellStyle name="Draw shadow and lines within range 4 3 2" xfId="36635" xr:uid="{00000000-0005-0000-0000-00006B040000}"/>
    <cellStyle name="Draw shadow and lines within range 4 4" xfId="8591" xr:uid="{00000000-0005-0000-0000-00006B040000}"/>
    <cellStyle name="Draw shadow and lines within range 4 5" xfId="20201" xr:uid="{00000000-0005-0000-0000-00006B040000}"/>
    <cellStyle name="Draw shadow and lines within range 5" xfId="2502" xr:uid="{00000000-0005-0000-0000-00006C040000}"/>
    <cellStyle name="Draw shadow and lines within range 5 2" xfId="5052" xr:uid="{00000000-0005-0000-0000-00006C040000}"/>
    <cellStyle name="Draw shadow and lines within range 5 2 2" xfId="15765" xr:uid="{00000000-0005-0000-0000-00006C040000}"/>
    <cellStyle name="Draw shadow and lines within range 5 2 2 2" xfId="34152" xr:uid="{00000000-0005-0000-0000-00006C040000}"/>
    <cellStyle name="Draw shadow and lines within range 5 2 2 3" xfId="52515" xr:uid="{00000000-0005-0000-0000-00006C040000}"/>
    <cellStyle name="Draw shadow and lines within range 5 2 3" xfId="24888" xr:uid="{00000000-0005-0000-0000-00006C040000}"/>
    <cellStyle name="Draw shadow and lines within range 5 2 3 2" xfId="43257" xr:uid="{00000000-0005-0000-0000-00006C040000}"/>
    <cellStyle name="Draw shadow and lines within range 5 2 4" xfId="21213" xr:uid="{00000000-0005-0000-0000-00006C040000}"/>
    <cellStyle name="Draw shadow and lines within range 5 2 5" xfId="39599" xr:uid="{00000000-0005-0000-0000-00006C040000}"/>
    <cellStyle name="Draw shadow and lines within range 5 3" xfId="18075" xr:uid="{00000000-0005-0000-0000-00006C040000}"/>
    <cellStyle name="Draw shadow and lines within range 5 3 2" xfId="36482" xr:uid="{00000000-0005-0000-0000-00006C040000}"/>
    <cellStyle name="Draw shadow and lines within range 5 4" xfId="8237" xr:uid="{00000000-0005-0000-0000-00006C040000}"/>
    <cellStyle name="Draw shadow and lines within range 5 5" xfId="35864" xr:uid="{00000000-0005-0000-0000-00006C040000}"/>
    <cellStyle name="Draw shadow and lines within range 6" xfId="3016" xr:uid="{00000000-0005-0000-0000-00006D040000}"/>
    <cellStyle name="Draw shadow and lines within range 6 2" xfId="5269" xr:uid="{00000000-0005-0000-0000-00006D040000}"/>
    <cellStyle name="Draw shadow and lines within range 6 2 2" xfId="15961" xr:uid="{00000000-0005-0000-0000-00006D040000}"/>
    <cellStyle name="Draw shadow and lines within range 6 2 2 2" xfId="34335" xr:uid="{00000000-0005-0000-0000-00006D040000}"/>
    <cellStyle name="Draw shadow and lines within range 6 2 2 3" xfId="52698" xr:uid="{00000000-0005-0000-0000-00006D040000}"/>
    <cellStyle name="Draw shadow and lines within range 6 2 3" xfId="25082" xr:uid="{00000000-0005-0000-0000-00006D040000}"/>
    <cellStyle name="Draw shadow and lines within range 6 2 3 2" xfId="43451" xr:uid="{00000000-0005-0000-0000-00006D040000}"/>
    <cellStyle name="Draw shadow and lines within range 6 2 4" xfId="21403" xr:uid="{00000000-0005-0000-0000-00006D040000}"/>
    <cellStyle name="Draw shadow and lines within range 6 2 5" xfId="39782" xr:uid="{00000000-0005-0000-0000-00006D040000}"/>
    <cellStyle name="Draw shadow and lines within range 6 3" xfId="23023" xr:uid="{00000000-0005-0000-0000-00006D040000}"/>
    <cellStyle name="Draw shadow and lines within range 6 3 2" xfId="41392" xr:uid="{00000000-0005-0000-0000-00006D040000}"/>
    <cellStyle name="Draw shadow and lines within range 6 4" xfId="17584" xr:uid="{00000000-0005-0000-0000-00006D040000}"/>
    <cellStyle name="Draw shadow and lines within range 6 5" xfId="36025" xr:uid="{00000000-0005-0000-0000-00006D040000}"/>
    <cellStyle name="Draw shadow and lines within range 7" xfId="2997" xr:uid="{00000000-0005-0000-0000-00006E040000}"/>
    <cellStyle name="Draw shadow and lines within range 7 2" xfId="5255" xr:uid="{00000000-0005-0000-0000-00006E040000}"/>
    <cellStyle name="Draw shadow and lines within range 7 2 2" xfId="15947" xr:uid="{00000000-0005-0000-0000-00006E040000}"/>
    <cellStyle name="Draw shadow and lines within range 7 2 2 2" xfId="34321" xr:uid="{00000000-0005-0000-0000-00006E040000}"/>
    <cellStyle name="Draw shadow and lines within range 7 2 2 3" xfId="52684" xr:uid="{00000000-0005-0000-0000-00006E040000}"/>
    <cellStyle name="Draw shadow and lines within range 7 2 3" xfId="25068" xr:uid="{00000000-0005-0000-0000-00006E040000}"/>
    <cellStyle name="Draw shadow and lines within range 7 2 3 2" xfId="43437" xr:uid="{00000000-0005-0000-0000-00006E040000}"/>
    <cellStyle name="Draw shadow and lines within range 7 2 4" xfId="21389" xr:uid="{00000000-0005-0000-0000-00006E040000}"/>
    <cellStyle name="Draw shadow and lines within range 7 2 5" xfId="39768" xr:uid="{00000000-0005-0000-0000-00006E040000}"/>
    <cellStyle name="Draw shadow and lines within range 7 3" xfId="23010" xr:uid="{00000000-0005-0000-0000-00006E040000}"/>
    <cellStyle name="Draw shadow and lines within range 7 3 2" xfId="41379" xr:uid="{00000000-0005-0000-0000-00006E040000}"/>
    <cellStyle name="Draw shadow and lines within range 7 4" xfId="17569" xr:uid="{00000000-0005-0000-0000-00006E040000}"/>
    <cellStyle name="Draw shadow and lines within range 7 5" xfId="36012" xr:uid="{00000000-0005-0000-0000-00006E040000}"/>
    <cellStyle name="Draw shadow and lines within range 8" xfId="3275" xr:uid="{00000000-0005-0000-0000-00006F040000}"/>
    <cellStyle name="Draw shadow and lines within range 8 2" xfId="5468" xr:uid="{00000000-0005-0000-0000-00006F040000}"/>
    <cellStyle name="Draw shadow and lines within range 8 2 2" xfId="16159" xr:uid="{00000000-0005-0000-0000-00006F040000}"/>
    <cellStyle name="Draw shadow and lines within range 8 2 2 2" xfId="34531" xr:uid="{00000000-0005-0000-0000-00006F040000}"/>
    <cellStyle name="Draw shadow and lines within range 8 2 2 3" xfId="52894" xr:uid="{00000000-0005-0000-0000-00006F040000}"/>
    <cellStyle name="Draw shadow and lines within range 8 2 3" xfId="25278" xr:uid="{00000000-0005-0000-0000-00006F040000}"/>
    <cellStyle name="Draw shadow and lines within range 8 2 3 2" xfId="43647" xr:uid="{00000000-0005-0000-0000-00006F040000}"/>
    <cellStyle name="Draw shadow and lines within range 8 2 4" xfId="21599" xr:uid="{00000000-0005-0000-0000-00006F040000}"/>
    <cellStyle name="Draw shadow and lines within range 8 2 5" xfId="39978" xr:uid="{00000000-0005-0000-0000-00006F040000}"/>
    <cellStyle name="Draw shadow and lines within range 8 3" xfId="23207" xr:uid="{00000000-0005-0000-0000-00006F040000}"/>
    <cellStyle name="Draw shadow and lines within range 8 3 2" xfId="41576" xr:uid="{00000000-0005-0000-0000-00006F040000}"/>
    <cellStyle name="Draw shadow and lines within range 8 4" xfId="17793" xr:uid="{00000000-0005-0000-0000-00006F040000}"/>
    <cellStyle name="Draw shadow and lines within range 8 5" xfId="36209" xr:uid="{00000000-0005-0000-0000-00006F040000}"/>
    <cellStyle name="Draw shadow and lines within range 9" xfId="4035" xr:uid="{00000000-0005-0000-0000-000068040000}"/>
    <cellStyle name="Draw shadow and lines within range 9 2" xfId="14796" xr:uid="{00000000-0005-0000-0000-000068040000}"/>
    <cellStyle name="Draw shadow and lines within range 9 2 2" xfId="33208" xr:uid="{00000000-0005-0000-0000-000068040000}"/>
    <cellStyle name="Draw shadow and lines within range 9 2 3" xfId="51571" xr:uid="{00000000-0005-0000-0000-000068040000}"/>
    <cellStyle name="Draw shadow and lines within range 9 3" xfId="23932" xr:uid="{00000000-0005-0000-0000-000068040000}"/>
    <cellStyle name="Draw shadow and lines within range 9 3 2" xfId="42301" xr:uid="{00000000-0005-0000-0000-000068040000}"/>
    <cellStyle name="Draw shadow and lines within range 9 4" xfId="20252" xr:uid="{00000000-0005-0000-0000-000068040000}"/>
    <cellStyle name="Draw shadow and lines within range 9 5" xfId="38655" xr:uid="{00000000-0005-0000-0000-000068040000}"/>
    <cellStyle name="Driver" xfId="438" xr:uid="{00000000-0005-0000-0000-000070040000}"/>
    <cellStyle name="Driver Lable" xfId="439" xr:uid="{00000000-0005-0000-0000-000071040000}"/>
    <cellStyle name="Driver Lable 2" xfId="2050" xr:uid="{00000000-0005-0000-0000-000072040000}"/>
    <cellStyle name="Driver Lable 3" xfId="2503" xr:uid="{00000000-0005-0000-0000-000073040000}"/>
    <cellStyle name="Enlarge title text, yellow on blue" xfId="440" xr:uid="{00000000-0005-0000-0000-000074040000}"/>
    <cellStyle name="Enlarge title text, yellow on blue 2" xfId="2051" xr:uid="{00000000-0005-0000-0000-000075040000}"/>
    <cellStyle name="Enlarge title text, yellow on blue 3" xfId="2504" xr:uid="{00000000-0005-0000-0000-000076040000}"/>
    <cellStyle name="Enter Currency (0)" xfId="441" xr:uid="{00000000-0005-0000-0000-000077040000}"/>
    <cellStyle name="Enter Currency (0) 2" xfId="2052" xr:uid="{00000000-0005-0000-0000-000078040000}"/>
    <cellStyle name="Enter Currency (0) 3" xfId="2505" xr:uid="{00000000-0005-0000-0000-000079040000}"/>
    <cellStyle name="Enter Currency (2)" xfId="442" xr:uid="{00000000-0005-0000-0000-00007A040000}"/>
    <cellStyle name="Enter Here" xfId="443" xr:uid="{00000000-0005-0000-0000-00007B040000}"/>
    <cellStyle name="Enter Units (0)" xfId="444" xr:uid="{00000000-0005-0000-0000-00007C040000}"/>
    <cellStyle name="Enter Units (0) 2" xfId="2053" xr:uid="{00000000-0005-0000-0000-00007D040000}"/>
    <cellStyle name="Enter Units (0) 3" xfId="2506" xr:uid="{00000000-0005-0000-0000-00007E040000}"/>
    <cellStyle name="Enter Units (1)" xfId="445" xr:uid="{00000000-0005-0000-0000-00007F040000}"/>
    <cellStyle name="Enter Units (1) 2" xfId="2054" xr:uid="{00000000-0005-0000-0000-000080040000}"/>
    <cellStyle name="Enter Units (1) 3" xfId="2507" xr:uid="{00000000-0005-0000-0000-000081040000}"/>
    <cellStyle name="Enter Units (2)" xfId="446" xr:uid="{00000000-0005-0000-0000-000082040000}"/>
    <cellStyle name="En-tête" xfId="447" xr:uid="{00000000-0005-0000-0000-000083040000}"/>
    <cellStyle name="Est - $" xfId="448" xr:uid="{00000000-0005-0000-0000-000084040000}"/>
    <cellStyle name="Est - %" xfId="449" xr:uid="{00000000-0005-0000-0000-000085040000}"/>
    <cellStyle name="Est 0,000.0" xfId="450" xr:uid="{00000000-0005-0000-0000-000086040000}"/>
    <cellStyle name="Euro" xfId="451" xr:uid="{00000000-0005-0000-0000-000087040000}"/>
    <cellStyle name="Explanatory Text" xfId="27" builtinId="53" customBuiltin="1"/>
    <cellStyle name="Explanatory Text 2" xfId="1557" xr:uid="{00000000-0005-0000-0000-000089040000}"/>
    <cellStyle name="Explanatory Text 2 2" xfId="4552" xr:uid="{00000000-0005-0000-0000-000045000000}"/>
    <cellStyle name="Explanatory Text 3" xfId="4600" xr:uid="{00000000-0005-0000-0000-0000781A0000}"/>
    <cellStyle name="EY0dp" xfId="1291" xr:uid="{00000000-0005-0000-0000-00008A040000}"/>
    <cellStyle name="EY0dp 3" xfId="1288" xr:uid="{00000000-0005-0000-0000-00008B040000}"/>
    <cellStyle name="EY1dp" xfId="1297" xr:uid="{00000000-0005-0000-0000-00008C040000}"/>
    <cellStyle name="EYColumnHeading 10" xfId="1298" xr:uid="{00000000-0005-0000-0000-00008D040000}"/>
    <cellStyle name="EYColumnHeading 10 2" xfId="4355" xr:uid="{00000000-0005-0000-0000-00008D040000}"/>
    <cellStyle name="EYColumnHeading 10 2 2" xfId="15095" xr:uid="{00000000-0005-0000-0000-00008D040000}"/>
    <cellStyle name="EYColumnHeading 10 2 2 2" xfId="33495" xr:uid="{00000000-0005-0000-0000-00008D040000}"/>
    <cellStyle name="EYColumnHeading 10 2 2 3" xfId="51858" xr:uid="{00000000-0005-0000-0000-00008D040000}"/>
    <cellStyle name="EYColumnHeading 10 2 3" xfId="24225" xr:uid="{00000000-0005-0000-0000-00008D040000}"/>
    <cellStyle name="EYColumnHeading 10 2 3 2" xfId="42594" xr:uid="{00000000-0005-0000-0000-00008D040000}"/>
    <cellStyle name="EYColumnHeading 10 2 4" xfId="20547" xr:uid="{00000000-0005-0000-0000-00008D040000}"/>
    <cellStyle name="EYColumnHeading 10 2 5" xfId="38942" xr:uid="{00000000-0005-0000-0000-00008D040000}"/>
    <cellStyle name="EYColumnHeading 10 3" xfId="19417" xr:uid="{00000000-0005-0000-0000-00008D040000}"/>
    <cellStyle name="EYColumnHeading 10 3 2" xfId="37823" xr:uid="{00000000-0005-0000-0000-00008D040000}"/>
    <cellStyle name="EYColumnHeading 10 4" xfId="7100" xr:uid="{00000000-0005-0000-0000-00008D040000}"/>
    <cellStyle name="EYColumnHeading 10 5" xfId="8385" xr:uid="{00000000-0005-0000-0000-00008D040000}"/>
    <cellStyle name="EYCurrency 2" xfId="1296" xr:uid="{00000000-0005-0000-0000-00008E040000}"/>
    <cellStyle name="EYCurrency 2 2" xfId="4353" xr:uid="{00000000-0005-0000-0000-00008E040000}"/>
    <cellStyle name="EYCurrency 2 2 2" xfId="15093" xr:uid="{00000000-0005-0000-0000-00008E040000}"/>
    <cellStyle name="EYCurrency 2 2 2 2" xfId="33493" xr:uid="{00000000-0005-0000-0000-00008E040000}"/>
    <cellStyle name="EYCurrency 2 2 2 3" xfId="51856" xr:uid="{00000000-0005-0000-0000-00008E040000}"/>
    <cellStyle name="EYCurrency 2 2 3" xfId="24223" xr:uid="{00000000-0005-0000-0000-00008E040000}"/>
    <cellStyle name="EYCurrency 2 2 3 2" xfId="42592" xr:uid="{00000000-0005-0000-0000-00008E040000}"/>
    <cellStyle name="EYCurrency 2 2 4" xfId="20545" xr:uid="{00000000-0005-0000-0000-00008E040000}"/>
    <cellStyle name="EYCurrency 2 2 5" xfId="38940" xr:uid="{00000000-0005-0000-0000-00008E040000}"/>
    <cellStyle name="EYCurrency 2 3" xfId="19226" xr:uid="{00000000-0005-0000-0000-00008E040000}"/>
    <cellStyle name="EYCurrency 2 3 2" xfId="37633" xr:uid="{00000000-0005-0000-0000-00008E040000}"/>
    <cellStyle name="EYCurrency 2 4" xfId="7275" xr:uid="{00000000-0005-0000-0000-00008E040000}"/>
    <cellStyle name="EYCurrency 2 5" xfId="8486" xr:uid="{00000000-0005-0000-0000-00008E040000}"/>
    <cellStyle name="EYSource 2" xfId="1299" xr:uid="{00000000-0005-0000-0000-00008F040000}"/>
    <cellStyle name="EYtext" xfId="1290" xr:uid="{00000000-0005-0000-0000-000090040000}"/>
    <cellStyle name="EYtext 10" xfId="1287" xr:uid="{00000000-0005-0000-0000-000091040000}"/>
    <cellStyle name="EYtext 10 2" xfId="1295" xr:uid="{00000000-0005-0000-0000-000092040000}"/>
    <cellStyle name="factsheet" xfId="452" xr:uid="{00000000-0005-0000-0000-000093040000}"/>
    <cellStyle name="factsheet 2" xfId="2055" xr:uid="{00000000-0005-0000-0000-000094040000}"/>
    <cellStyle name="factsheet 3" xfId="2508" xr:uid="{00000000-0005-0000-0000-000095040000}"/>
    <cellStyle name="Fail" xfId="453" xr:uid="{00000000-0005-0000-0000-000096040000}"/>
    <cellStyle name="Fail 2" xfId="2056" xr:uid="{00000000-0005-0000-0000-000097040000}"/>
    <cellStyle name="Fail 3" xfId="2509" xr:uid="{00000000-0005-0000-0000-000098040000}"/>
    <cellStyle name="FF_EURO" xfId="454" xr:uid="{00000000-0005-0000-0000-000099040000}"/>
    <cellStyle name="FieldName" xfId="455" xr:uid="{00000000-0005-0000-0000-00009A040000}"/>
    <cellStyle name="FieldName 2" xfId="1129" xr:uid="{00000000-0005-0000-0000-00009B040000}"/>
    <cellStyle name="FieldName 2 2" xfId="4228" xr:uid="{00000000-0005-0000-0000-00009B040000}"/>
    <cellStyle name="FieldName 2 2 2" xfId="14973" xr:uid="{00000000-0005-0000-0000-00009B040000}"/>
    <cellStyle name="FieldName 2 2 2 2" xfId="33377" xr:uid="{00000000-0005-0000-0000-00009B040000}"/>
    <cellStyle name="FieldName 2 2 2 3" xfId="51740" xr:uid="{00000000-0005-0000-0000-00009B040000}"/>
    <cellStyle name="FieldName 2 2 3" xfId="24106" xr:uid="{00000000-0005-0000-0000-00009B040000}"/>
    <cellStyle name="FieldName 2 2 3 2" xfId="42475" xr:uid="{00000000-0005-0000-0000-00009B040000}"/>
    <cellStyle name="FieldName 2 2 4" xfId="20426" xr:uid="{00000000-0005-0000-0000-00009B040000}"/>
    <cellStyle name="FieldName 2 2 5" xfId="38824" xr:uid="{00000000-0005-0000-0000-00009B040000}"/>
    <cellStyle name="FieldName 2 3" xfId="18866" xr:uid="{00000000-0005-0000-0000-00009B040000}"/>
    <cellStyle name="FieldName 2 3 2" xfId="37275" xr:uid="{00000000-0005-0000-0000-00009B040000}"/>
    <cellStyle name="FieldName 2 4" xfId="14835" xr:uid="{00000000-0005-0000-0000-00009B040000}"/>
    <cellStyle name="FieldName 2 5" xfId="11703" xr:uid="{00000000-0005-0000-0000-00009B040000}"/>
    <cellStyle name="FieldName 3" xfId="1821" xr:uid="{00000000-0005-0000-0000-00009C040000}"/>
    <cellStyle name="FieldName 3 2" xfId="4747" xr:uid="{00000000-0005-0000-0000-00009C040000}"/>
    <cellStyle name="FieldName 3 2 2" xfId="15473" xr:uid="{00000000-0005-0000-0000-00009C040000}"/>
    <cellStyle name="FieldName 3 2 2 2" xfId="33866" xr:uid="{00000000-0005-0000-0000-00009C040000}"/>
    <cellStyle name="FieldName 3 2 2 3" xfId="52229" xr:uid="{00000000-0005-0000-0000-00009C040000}"/>
    <cellStyle name="FieldName 3 2 3" xfId="24597" xr:uid="{00000000-0005-0000-0000-00009C040000}"/>
    <cellStyle name="FieldName 3 2 3 2" xfId="42966" xr:uid="{00000000-0005-0000-0000-00009C040000}"/>
    <cellStyle name="FieldName 3 2 4" xfId="20924" xr:uid="{00000000-0005-0000-0000-00009C040000}"/>
    <cellStyle name="FieldName 3 2 5" xfId="39313" xr:uid="{00000000-0005-0000-0000-00009C040000}"/>
    <cellStyle name="FieldName 3 3" xfId="19195" xr:uid="{00000000-0005-0000-0000-00009C040000}"/>
    <cellStyle name="FieldName 3 3 2" xfId="37602" xr:uid="{00000000-0005-0000-0000-00009C040000}"/>
    <cellStyle name="FieldName 3 4" xfId="10898" xr:uid="{00000000-0005-0000-0000-00009C040000}"/>
    <cellStyle name="FieldName 3 5" xfId="11762" xr:uid="{00000000-0005-0000-0000-00009C040000}"/>
    <cellStyle name="FieldName 4" xfId="2907" xr:uid="{00000000-0005-0000-0000-00009D040000}"/>
    <cellStyle name="FieldName 4 2" xfId="5181" xr:uid="{00000000-0005-0000-0000-00009D040000}"/>
    <cellStyle name="FieldName 4 2 2" xfId="15873" xr:uid="{00000000-0005-0000-0000-00009D040000}"/>
    <cellStyle name="FieldName 4 2 2 2" xfId="34247" xr:uid="{00000000-0005-0000-0000-00009D040000}"/>
    <cellStyle name="FieldName 4 2 2 3" xfId="52610" xr:uid="{00000000-0005-0000-0000-00009D040000}"/>
    <cellStyle name="FieldName 4 2 3" xfId="24994" xr:uid="{00000000-0005-0000-0000-00009D040000}"/>
    <cellStyle name="FieldName 4 2 3 2" xfId="43363" xr:uid="{00000000-0005-0000-0000-00009D040000}"/>
    <cellStyle name="FieldName 4 2 4" xfId="21315" xr:uid="{00000000-0005-0000-0000-00009D040000}"/>
    <cellStyle name="FieldName 4 2 5" xfId="39694" xr:uid="{00000000-0005-0000-0000-00009D040000}"/>
    <cellStyle name="FieldName 4 3" xfId="22930" xr:uid="{00000000-0005-0000-0000-00009D040000}"/>
    <cellStyle name="FieldName 4 3 2" xfId="41299" xr:uid="{00000000-0005-0000-0000-00009D040000}"/>
    <cellStyle name="FieldName 4 4" xfId="7604" xr:uid="{00000000-0005-0000-0000-00009D040000}"/>
    <cellStyle name="FieldName 4 5" xfId="35932" xr:uid="{00000000-0005-0000-0000-00009D040000}"/>
    <cellStyle name="FieldName 5" xfId="3185" xr:uid="{00000000-0005-0000-0000-00009E040000}"/>
    <cellStyle name="FieldName 5 2" xfId="5394" xr:uid="{00000000-0005-0000-0000-00009E040000}"/>
    <cellStyle name="FieldName 5 2 2" xfId="16085" xr:uid="{00000000-0005-0000-0000-00009E040000}"/>
    <cellStyle name="FieldName 5 2 2 2" xfId="34457" xr:uid="{00000000-0005-0000-0000-00009E040000}"/>
    <cellStyle name="FieldName 5 2 2 3" xfId="52820" xr:uid="{00000000-0005-0000-0000-00009E040000}"/>
    <cellStyle name="FieldName 5 2 3" xfId="25204" xr:uid="{00000000-0005-0000-0000-00009E040000}"/>
    <cellStyle name="FieldName 5 2 3 2" xfId="43573" xr:uid="{00000000-0005-0000-0000-00009E040000}"/>
    <cellStyle name="FieldName 5 2 4" xfId="21525" xr:uid="{00000000-0005-0000-0000-00009E040000}"/>
    <cellStyle name="FieldName 5 2 5" xfId="39904" xr:uid="{00000000-0005-0000-0000-00009E040000}"/>
    <cellStyle name="FieldName 5 3" xfId="23133" xr:uid="{00000000-0005-0000-0000-00009E040000}"/>
    <cellStyle name="FieldName 5 3 2" xfId="41502" xr:uid="{00000000-0005-0000-0000-00009E040000}"/>
    <cellStyle name="FieldName 5 4" xfId="17714" xr:uid="{00000000-0005-0000-0000-00009E040000}"/>
    <cellStyle name="FieldName 5 5" xfId="36135" xr:uid="{00000000-0005-0000-0000-00009E040000}"/>
    <cellStyle name="FiscalPeriod" xfId="456" xr:uid="{00000000-0005-0000-0000-00009F040000}"/>
    <cellStyle name="FiscalPeriod 2" xfId="2057" xr:uid="{00000000-0005-0000-0000-0000A0040000}"/>
    <cellStyle name="FiscalPeriod 3" xfId="2510" xr:uid="{00000000-0005-0000-0000-0000A1040000}"/>
    <cellStyle name="Fixed" xfId="457" xr:uid="{00000000-0005-0000-0000-0000A2040000}"/>
    <cellStyle name="Fixed (1)" xfId="458" xr:uid="{00000000-0005-0000-0000-0000A3040000}"/>
    <cellStyle name="Fixed (1) 2" xfId="2058" xr:uid="{00000000-0005-0000-0000-0000A4040000}"/>
    <cellStyle name="Fixed (1) 3" xfId="2511" xr:uid="{00000000-0005-0000-0000-0000A5040000}"/>
    <cellStyle name="Fixed [0]" xfId="459" xr:uid="{00000000-0005-0000-0000-0000A6040000}"/>
    <cellStyle name="Fixed_AV Model_MS_012505" xfId="460" xr:uid="{00000000-0005-0000-0000-0000A7040000}"/>
    <cellStyle name="Fon10" xfId="461" xr:uid="{00000000-0005-0000-0000-0000A8040000}"/>
    <cellStyle name="Fon10 2" xfId="2059" xr:uid="{00000000-0005-0000-0000-0000A9040000}"/>
    <cellStyle name="Fon10 3" xfId="2512" xr:uid="{00000000-0005-0000-0000-0000AA040000}"/>
    <cellStyle name="Fon10B" xfId="462" xr:uid="{00000000-0005-0000-0000-0000AB040000}"/>
    <cellStyle name="Fon10B 2" xfId="2060" xr:uid="{00000000-0005-0000-0000-0000AC040000}"/>
    <cellStyle name="Fon10B 3" xfId="2513" xr:uid="{00000000-0005-0000-0000-0000AD040000}"/>
    <cellStyle name="Fon12" xfId="463" xr:uid="{00000000-0005-0000-0000-0000AE040000}"/>
    <cellStyle name="Fon12 2" xfId="2061" xr:uid="{00000000-0005-0000-0000-0000AF040000}"/>
    <cellStyle name="Fon12 3" xfId="2514" xr:uid="{00000000-0005-0000-0000-0000B0040000}"/>
    <cellStyle name="Fon12B" xfId="464" xr:uid="{00000000-0005-0000-0000-0000B1040000}"/>
    <cellStyle name="Fon12B 2" xfId="2062" xr:uid="{00000000-0005-0000-0000-0000B2040000}"/>
    <cellStyle name="Fon12B 3" xfId="2515" xr:uid="{00000000-0005-0000-0000-0000B3040000}"/>
    <cellStyle name="Fon14B" xfId="465" xr:uid="{00000000-0005-0000-0000-0000B4040000}"/>
    <cellStyle name="Fon14B 2" xfId="2063" xr:uid="{00000000-0005-0000-0000-0000B5040000}"/>
    <cellStyle name="Fon14B 3" xfId="2516" xr:uid="{00000000-0005-0000-0000-0000B6040000}"/>
    <cellStyle name="Fon18B" xfId="466" xr:uid="{00000000-0005-0000-0000-0000B7040000}"/>
    <cellStyle name="Fon18B 2" xfId="2064" xr:uid="{00000000-0005-0000-0000-0000B8040000}"/>
    <cellStyle name="Fon18B 3" xfId="2517" xr:uid="{00000000-0005-0000-0000-0000B9040000}"/>
    <cellStyle name="Fon6" xfId="467" xr:uid="{00000000-0005-0000-0000-0000BA040000}"/>
    <cellStyle name="Fon6 2" xfId="2065" xr:uid="{00000000-0005-0000-0000-0000BB040000}"/>
    <cellStyle name="Fon6 3" xfId="2518" xr:uid="{00000000-0005-0000-0000-0000BC040000}"/>
    <cellStyle name="Fon8B" xfId="468" xr:uid="{00000000-0005-0000-0000-0000BD040000}"/>
    <cellStyle name="Fon8B 2" xfId="2066" xr:uid="{00000000-0005-0000-0000-0000BE040000}"/>
    <cellStyle name="Fon8B 3" xfId="2519" xr:uid="{00000000-0005-0000-0000-0000BF040000}"/>
    <cellStyle name="Footnote" xfId="469" xr:uid="{00000000-0005-0000-0000-0000C0040000}"/>
    <cellStyle name="Footnote 2" xfId="2067" xr:uid="{00000000-0005-0000-0000-0000C1040000}"/>
    <cellStyle name="Footnote 3" xfId="2520" xr:uid="{00000000-0005-0000-0000-0000C2040000}"/>
    <cellStyle name="Footnotes" xfId="470" xr:uid="{00000000-0005-0000-0000-0000C3040000}"/>
    <cellStyle name="Footnotes 2" xfId="2068" xr:uid="{00000000-0005-0000-0000-0000C4040000}"/>
    <cellStyle name="Footnotes 3" xfId="2521" xr:uid="{00000000-0005-0000-0000-0000C5040000}"/>
    <cellStyle name="Format a column of totals" xfId="471" xr:uid="{00000000-0005-0000-0000-0000C6040000}"/>
    <cellStyle name="Format a column of totals 2" xfId="2069" xr:uid="{00000000-0005-0000-0000-0000C7040000}"/>
    <cellStyle name="Format a column of totals 3" xfId="2522" xr:uid="{00000000-0005-0000-0000-0000C8040000}"/>
    <cellStyle name="Format a row of totals" xfId="472" xr:uid="{00000000-0005-0000-0000-0000C9040000}"/>
    <cellStyle name="Format a row of totals 10" xfId="18174" xr:uid="{00000000-0005-0000-0000-0000C9040000}"/>
    <cellStyle name="Format a row of totals 10 2" xfId="36580" xr:uid="{00000000-0005-0000-0000-0000C9040000}"/>
    <cellStyle name="Format a row of totals 11" xfId="7296" xr:uid="{00000000-0005-0000-0000-0000C9040000}"/>
    <cellStyle name="Format a row of totals 12" xfId="8442" xr:uid="{00000000-0005-0000-0000-0000C9040000}"/>
    <cellStyle name="Format a row of totals 2" xfId="1130" xr:uid="{00000000-0005-0000-0000-0000CA040000}"/>
    <cellStyle name="Format a row of totals 2 2" xfId="4229" xr:uid="{00000000-0005-0000-0000-0000CA040000}"/>
    <cellStyle name="Format a row of totals 2 2 2" xfId="14974" xr:uid="{00000000-0005-0000-0000-0000CA040000}"/>
    <cellStyle name="Format a row of totals 2 2 2 2" xfId="33378" xr:uid="{00000000-0005-0000-0000-0000CA040000}"/>
    <cellStyle name="Format a row of totals 2 2 2 3" xfId="51741" xr:uid="{00000000-0005-0000-0000-0000CA040000}"/>
    <cellStyle name="Format a row of totals 2 2 3" xfId="24107" xr:uid="{00000000-0005-0000-0000-0000CA040000}"/>
    <cellStyle name="Format a row of totals 2 2 3 2" xfId="42476" xr:uid="{00000000-0005-0000-0000-0000CA040000}"/>
    <cellStyle name="Format a row of totals 2 2 4" xfId="20427" xr:uid="{00000000-0005-0000-0000-0000CA040000}"/>
    <cellStyle name="Format a row of totals 2 2 5" xfId="38825" xr:uid="{00000000-0005-0000-0000-0000CA040000}"/>
    <cellStyle name="Format a row of totals 2 3" xfId="18160" xr:uid="{00000000-0005-0000-0000-0000CA040000}"/>
    <cellStyle name="Format a row of totals 2 3 2" xfId="36566" xr:uid="{00000000-0005-0000-0000-0000CA040000}"/>
    <cellStyle name="Format a row of totals 2 4" xfId="15106" xr:uid="{00000000-0005-0000-0000-0000CA040000}"/>
    <cellStyle name="Format a row of totals 2 5" xfId="7374" xr:uid="{00000000-0005-0000-0000-0000CA040000}"/>
    <cellStyle name="Format a row of totals 3" xfId="1856" xr:uid="{00000000-0005-0000-0000-0000CB040000}"/>
    <cellStyle name="Format a row of totals 3 2" xfId="4781" xr:uid="{00000000-0005-0000-0000-0000CB040000}"/>
    <cellStyle name="Format a row of totals 3 2 2" xfId="15507" xr:uid="{00000000-0005-0000-0000-0000CB040000}"/>
    <cellStyle name="Format a row of totals 3 2 2 2" xfId="33900" xr:uid="{00000000-0005-0000-0000-0000CB040000}"/>
    <cellStyle name="Format a row of totals 3 2 2 3" xfId="52263" xr:uid="{00000000-0005-0000-0000-0000CB040000}"/>
    <cellStyle name="Format a row of totals 3 2 3" xfId="24631" xr:uid="{00000000-0005-0000-0000-0000CB040000}"/>
    <cellStyle name="Format a row of totals 3 2 3 2" xfId="43000" xr:uid="{00000000-0005-0000-0000-0000CB040000}"/>
    <cellStyle name="Format a row of totals 3 2 4" xfId="20958" xr:uid="{00000000-0005-0000-0000-0000CB040000}"/>
    <cellStyle name="Format a row of totals 3 2 5" xfId="39347" xr:uid="{00000000-0005-0000-0000-0000CB040000}"/>
    <cellStyle name="Format a row of totals 3 3" xfId="19135" xr:uid="{00000000-0005-0000-0000-0000CB040000}"/>
    <cellStyle name="Format a row of totals 3 3 2" xfId="37543" xr:uid="{00000000-0005-0000-0000-0000CB040000}"/>
    <cellStyle name="Format a row of totals 3 4" xfId="8781" xr:uid="{00000000-0005-0000-0000-0000CB040000}"/>
    <cellStyle name="Format a row of totals 3 5" xfId="17681" xr:uid="{00000000-0005-0000-0000-0000CB040000}"/>
    <cellStyle name="Format a row of totals 4" xfId="2070" xr:uid="{00000000-0005-0000-0000-0000CC040000}"/>
    <cellStyle name="Format a row of totals 4 2" xfId="4901" xr:uid="{00000000-0005-0000-0000-0000CC040000}"/>
    <cellStyle name="Format a row of totals 4 2 2" xfId="15627" xr:uid="{00000000-0005-0000-0000-0000CC040000}"/>
    <cellStyle name="Format a row of totals 4 2 2 2" xfId="34018" xr:uid="{00000000-0005-0000-0000-0000CC040000}"/>
    <cellStyle name="Format a row of totals 4 2 2 3" xfId="52381" xr:uid="{00000000-0005-0000-0000-0000CC040000}"/>
    <cellStyle name="Format a row of totals 4 2 3" xfId="24749" xr:uid="{00000000-0005-0000-0000-0000CC040000}"/>
    <cellStyle name="Format a row of totals 4 2 3 2" xfId="43118" xr:uid="{00000000-0005-0000-0000-0000CC040000}"/>
    <cellStyle name="Format a row of totals 4 2 4" xfId="21076" xr:uid="{00000000-0005-0000-0000-0000CC040000}"/>
    <cellStyle name="Format a row of totals 4 2 5" xfId="39465" xr:uid="{00000000-0005-0000-0000-0000CC040000}"/>
    <cellStyle name="Format a row of totals 4 3" xfId="19191" xr:uid="{00000000-0005-0000-0000-0000CC040000}"/>
    <cellStyle name="Format a row of totals 4 3 2" xfId="37598" xr:uid="{00000000-0005-0000-0000-0000CC040000}"/>
    <cellStyle name="Format a row of totals 4 4" xfId="11680" xr:uid="{00000000-0005-0000-0000-0000CC040000}"/>
    <cellStyle name="Format a row of totals 4 5" xfId="20503" xr:uid="{00000000-0005-0000-0000-0000CC040000}"/>
    <cellStyle name="Format a row of totals 5" xfId="2523" xr:uid="{00000000-0005-0000-0000-0000CD040000}"/>
    <cellStyle name="Format a row of totals 5 2" xfId="5067" xr:uid="{00000000-0005-0000-0000-0000CD040000}"/>
    <cellStyle name="Format a row of totals 5 2 2" xfId="15780" xr:uid="{00000000-0005-0000-0000-0000CD040000}"/>
    <cellStyle name="Format a row of totals 5 2 2 2" xfId="34167" xr:uid="{00000000-0005-0000-0000-0000CD040000}"/>
    <cellStyle name="Format a row of totals 5 2 2 3" xfId="52530" xr:uid="{00000000-0005-0000-0000-0000CD040000}"/>
    <cellStyle name="Format a row of totals 5 2 3" xfId="24903" xr:uid="{00000000-0005-0000-0000-0000CD040000}"/>
    <cellStyle name="Format a row of totals 5 2 3 2" xfId="43272" xr:uid="{00000000-0005-0000-0000-0000CD040000}"/>
    <cellStyle name="Format a row of totals 5 2 4" xfId="21228" xr:uid="{00000000-0005-0000-0000-0000CD040000}"/>
    <cellStyle name="Format a row of totals 5 2 5" xfId="39614" xr:uid="{00000000-0005-0000-0000-0000CD040000}"/>
    <cellStyle name="Format a row of totals 5 3" xfId="19343" xr:uid="{00000000-0005-0000-0000-0000CD040000}"/>
    <cellStyle name="Format a row of totals 5 3 2" xfId="37750" xr:uid="{00000000-0005-0000-0000-0000CD040000}"/>
    <cellStyle name="Format a row of totals 5 4" xfId="7157" xr:uid="{00000000-0005-0000-0000-0000CD040000}"/>
    <cellStyle name="Format a row of totals 5 5" xfId="35865" xr:uid="{00000000-0005-0000-0000-0000CD040000}"/>
    <cellStyle name="Format a row of totals 6" xfId="3013" xr:uid="{00000000-0005-0000-0000-0000CE040000}"/>
    <cellStyle name="Format a row of totals 6 2" xfId="5266" xr:uid="{00000000-0005-0000-0000-0000CE040000}"/>
    <cellStyle name="Format a row of totals 6 2 2" xfId="15958" xr:uid="{00000000-0005-0000-0000-0000CE040000}"/>
    <cellStyle name="Format a row of totals 6 2 2 2" xfId="34332" xr:uid="{00000000-0005-0000-0000-0000CE040000}"/>
    <cellStyle name="Format a row of totals 6 2 2 3" xfId="52695" xr:uid="{00000000-0005-0000-0000-0000CE040000}"/>
    <cellStyle name="Format a row of totals 6 2 3" xfId="25079" xr:uid="{00000000-0005-0000-0000-0000CE040000}"/>
    <cellStyle name="Format a row of totals 6 2 3 2" xfId="43448" xr:uid="{00000000-0005-0000-0000-0000CE040000}"/>
    <cellStyle name="Format a row of totals 6 2 4" xfId="21400" xr:uid="{00000000-0005-0000-0000-0000CE040000}"/>
    <cellStyle name="Format a row of totals 6 2 5" xfId="39779" xr:uid="{00000000-0005-0000-0000-0000CE040000}"/>
    <cellStyle name="Format a row of totals 6 3" xfId="23020" xr:uid="{00000000-0005-0000-0000-0000CE040000}"/>
    <cellStyle name="Format a row of totals 6 3 2" xfId="41389" xr:uid="{00000000-0005-0000-0000-0000CE040000}"/>
    <cellStyle name="Format a row of totals 6 4" xfId="17581" xr:uid="{00000000-0005-0000-0000-0000CE040000}"/>
    <cellStyle name="Format a row of totals 6 5" xfId="36022" xr:uid="{00000000-0005-0000-0000-0000CE040000}"/>
    <cellStyle name="Format a row of totals 7" xfId="3002" xr:uid="{00000000-0005-0000-0000-0000CF040000}"/>
    <cellStyle name="Format a row of totals 7 2" xfId="5260" xr:uid="{00000000-0005-0000-0000-0000CF040000}"/>
    <cellStyle name="Format a row of totals 7 2 2" xfId="15952" xr:uid="{00000000-0005-0000-0000-0000CF040000}"/>
    <cellStyle name="Format a row of totals 7 2 2 2" xfId="34326" xr:uid="{00000000-0005-0000-0000-0000CF040000}"/>
    <cellStyle name="Format a row of totals 7 2 2 3" xfId="52689" xr:uid="{00000000-0005-0000-0000-0000CF040000}"/>
    <cellStyle name="Format a row of totals 7 2 3" xfId="25073" xr:uid="{00000000-0005-0000-0000-0000CF040000}"/>
    <cellStyle name="Format a row of totals 7 2 3 2" xfId="43442" xr:uid="{00000000-0005-0000-0000-0000CF040000}"/>
    <cellStyle name="Format a row of totals 7 2 4" xfId="21394" xr:uid="{00000000-0005-0000-0000-0000CF040000}"/>
    <cellStyle name="Format a row of totals 7 2 5" xfId="39773" xr:uid="{00000000-0005-0000-0000-0000CF040000}"/>
    <cellStyle name="Format a row of totals 7 3" xfId="23015" xr:uid="{00000000-0005-0000-0000-0000CF040000}"/>
    <cellStyle name="Format a row of totals 7 3 2" xfId="41384" xr:uid="{00000000-0005-0000-0000-0000CF040000}"/>
    <cellStyle name="Format a row of totals 7 4" xfId="17574" xr:uid="{00000000-0005-0000-0000-0000CF040000}"/>
    <cellStyle name="Format a row of totals 7 5" xfId="36017" xr:uid="{00000000-0005-0000-0000-0000CF040000}"/>
    <cellStyle name="Format a row of totals 8" xfId="3274" xr:uid="{00000000-0005-0000-0000-0000D0040000}"/>
    <cellStyle name="Format a row of totals 8 2" xfId="5467" xr:uid="{00000000-0005-0000-0000-0000D0040000}"/>
    <cellStyle name="Format a row of totals 8 2 2" xfId="16158" xr:uid="{00000000-0005-0000-0000-0000D0040000}"/>
    <cellStyle name="Format a row of totals 8 2 2 2" xfId="34530" xr:uid="{00000000-0005-0000-0000-0000D0040000}"/>
    <cellStyle name="Format a row of totals 8 2 2 3" xfId="52893" xr:uid="{00000000-0005-0000-0000-0000D0040000}"/>
    <cellStyle name="Format a row of totals 8 2 3" xfId="25277" xr:uid="{00000000-0005-0000-0000-0000D0040000}"/>
    <cellStyle name="Format a row of totals 8 2 3 2" xfId="43646" xr:uid="{00000000-0005-0000-0000-0000D0040000}"/>
    <cellStyle name="Format a row of totals 8 2 4" xfId="21598" xr:uid="{00000000-0005-0000-0000-0000D0040000}"/>
    <cellStyle name="Format a row of totals 8 2 5" xfId="39977" xr:uid="{00000000-0005-0000-0000-0000D0040000}"/>
    <cellStyle name="Format a row of totals 8 3" xfId="23206" xr:uid="{00000000-0005-0000-0000-0000D0040000}"/>
    <cellStyle name="Format a row of totals 8 3 2" xfId="41575" xr:uid="{00000000-0005-0000-0000-0000D0040000}"/>
    <cellStyle name="Format a row of totals 8 4" xfId="17792" xr:uid="{00000000-0005-0000-0000-0000D0040000}"/>
    <cellStyle name="Format a row of totals 8 5" xfId="36208" xr:uid="{00000000-0005-0000-0000-0000D0040000}"/>
    <cellStyle name="Format a row of totals 9" xfId="4062" xr:uid="{00000000-0005-0000-0000-0000C9040000}"/>
    <cellStyle name="Format a row of totals 9 2" xfId="14823" xr:uid="{00000000-0005-0000-0000-0000C9040000}"/>
    <cellStyle name="Format a row of totals 9 2 2" xfId="33235" xr:uid="{00000000-0005-0000-0000-0000C9040000}"/>
    <cellStyle name="Format a row of totals 9 2 3" xfId="51598" xr:uid="{00000000-0005-0000-0000-0000C9040000}"/>
    <cellStyle name="Format a row of totals 9 3" xfId="23959" xr:uid="{00000000-0005-0000-0000-0000C9040000}"/>
    <cellStyle name="Format a row of totals 9 3 2" xfId="42328" xr:uid="{00000000-0005-0000-0000-0000C9040000}"/>
    <cellStyle name="Format a row of totals 9 4" xfId="20279" xr:uid="{00000000-0005-0000-0000-0000C9040000}"/>
    <cellStyle name="Format a row of totals 9 5" xfId="38682" xr:uid="{00000000-0005-0000-0000-0000C9040000}"/>
    <cellStyle name="Format text as bold, black on yellow" xfId="473" xr:uid="{00000000-0005-0000-0000-0000D1040000}"/>
    <cellStyle name="Format text as bold, black on yellow 10" xfId="19534" xr:uid="{00000000-0005-0000-0000-0000D1040000}"/>
    <cellStyle name="Format text as bold, black on yellow 10 2" xfId="37940" xr:uid="{00000000-0005-0000-0000-0000D1040000}"/>
    <cellStyle name="Format text as bold, black on yellow 11" xfId="6971" xr:uid="{00000000-0005-0000-0000-0000D1040000}"/>
    <cellStyle name="Format text as bold, black on yellow 12" xfId="12567" xr:uid="{00000000-0005-0000-0000-0000D1040000}"/>
    <cellStyle name="Format text as bold, black on yellow 2" xfId="1131" xr:uid="{00000000-0005-0000-0000-0000D2040000}"/>
    <cellStyle name="Format text as bold, black on yellow 2 2" xfId="4230" xr:uid="{00000000-0005-0000-0000-0000D2040000}"/>
    <cellStyle name="Format text as bold, black on yellow 2 2 2" xfId="14975" xr:uid="{00000000-0005-0000-0000-0000D2040000}"/>
    <cellStyle name="Format text as bold, black on yellow 2 2 2 2" xfId="33379" xr:uid="{00000000-0005-0000-0000-0000D2040000}"/>
    <cellStyle name="Format text as bold, black on yellow 2 2 2 3" xfId="51742" xr:uid="{00000000-0005-0000-0000-0000D2040000}"/>
    <cellStyle name="Format text as bold, black on yellow 2 2 3" xfId="24108" xr:uid="{00000000-0005-0000-0000-0000D2040000}"/>
    <cellStyle name="Format text as bold, black on yellow 2 2 3 2" xfId="42477" xr:uid="{00000000-0005-0000-0000-0000D2040000}"/>
    <cellStyle name="Format text as bold, black on yellow 2 2 4" xfId="20428" xr:uid="{00000000-0005-0000-0000-0000D2040000}"/>
    <cellStyle name="Format text as bold, black on yellow 2 2 5" xfId="38826" xr:uid="{00000000-0005-0000-0000-0000D2040000}"/>
    <cellStyle name="Format text as bold, black on yellow 2 3" xfId="19065" xr:uid="{00000000-0005-0000-0000-0000D2040000}"/>
    <cellStyle name="Format text as bold, black on yellow 2 3 2" xfId="37473" xr:uid="{00000000-0005-0000-0000-0000D2040000}"/>
    <cellStyle name="Format text as bold, black on yellow 2 4" xfId="7181" xr:uid="{00000000-0005-0000-0000-0000D2040000}"/>
    <cellStyle name="Format text as bold, black on yellow 2 5" xfId="7179" xr:uid="{00000000-0005-0000-0000-0000D2040000}"/>
    <cellStyle name="Format text as bold, black on yellow 3" xfId="1855" xr:uid="{00000000-0005-0000-0000-0000D3040000}"/>
    <cellStyle name="Format text as bold, black on yellow 3 2" xfId="4780" xr:uid="{00000000-0005-0000-0000-0000D3040000}"/>
    <cellStyle name="Format text as bold, black on yellow 3 2 2" xfId="15506" xr:uid="{00000000-0005-0000-0000-0000D3040000}"/>
    <cellStyle name="Format text as bold, black on yellow 3 2 2 2" xfId="33899" xr:uid="{00000000-0005-0000-0000-0000D3040000}"/>
    <cellStyle name="Format text as bold, black on yellow 3 2 2 3" xfId="52262" xr:uid="{00000000-0005-0000-0000-0000D3040000}"/>
    <cellStyle name="Format text as bold, black on yellow 3 2 3" xfId="24630" xr:uid="{00000000-0005-0000-0000-0000D3040000}"/>
    <cellStyle name="Format text as bold, black on yellow 3 2 3 2" xfId="42999" xr:uid="{00000000-0005-0000-0000-0000D3040000}"/>
    <cellStyle name="Format text as bold, black on yellow 3 2 4" xfId="20957" xr:uid="{00000000-0005-0000-0000-0000D3040000}"/>
    <cellStyle name="Format text as bold, black on yellow 3 2 5" xfId="39346" xr:uid="{00000000-0005-0000-0000-0000D3040000}"/>
    <cellStyle name="Format text as bold, black on yellow 3 3" xfId="19170" xr:uid="{00000000-0005-0000-0000-0000D3040000}"/>
    <cellStyle name="Format text as bold, black on yellow 3 3 2" xfId="37578" xr:uid="{00000000-0005-0000-0000-0000D3040000}"/>
    <cellStyle name="Format text as bold, black on yellow 3 4" xfId="7717" xr:uid="{00000000-0005-0000-0000-0000D3040000}"/>
    <cellStyle name="Format text as bold, black on yellow 3 5" xfId="7608" xr:uid="{00000000-0005-0000-0000-0000D3040000}"/>
    <cellStyle name="Format text as bold, black on yellow 4" xfId="2071" xr:uid="{00000000-0005-0000-0000-0000D4040000}"/>
    <cellStyle name="Format text as bold, black on yellow 4 2" xfId="4902" xr:uid="{00000000-0005-0000-0000-0000D4040000}"/>
    <cellStyle name="Format text as bold, black on yellow 4 2 2" xfId="15628" xr:uid="{00000000-0005-0000-0000-0000D4040000}"/>
    <cellStyle name="Format text as bold, black on yellow 4 2 2 2" xfId="34019" xr:uid="{00000000-0005-0000-0000-0000D4040000}"/>
    <cellStyle name="Format text as bold, black on yellow 4 2 2 3" xfId="52382" xr:uid="{00000000-0005-0000-0000-0000D4040000}"/>
    <cellStyle name="Format text as bold, black on yellow 4 2 3" xfId="24750" xr:uid="{00000000-0005-0000-0000-0000D4040000}"/>
    <cellStyle name="Format text as bold, black on yellow 4 2 3 2" xfId="43119" xr:uid="{00000000-0005-0000-0000-0000D4040000}"/>
    <cellStyle name="Format text as bold, black on yellow 4 2 4" xfId="21077" xr:uid="{00000000-0005-0000-0000-0000D4040000}"/>
    <cellStyle name="Format text as bold, black on yellow 4 2 5" xfId="39466" xr:uid="{00000000-0005-0000-0000-0000D4040000}"/>
    <cellStyle name="Format text as bold, black on yellow 4 3" xfId="17883" xr:uid="{00000000-0005-0000-0000-0000D4040000}"/>
    <cellStyle name="Format text as bold, black on yellow 4 3 2" xfId="36293" xr:uid="{00000000-0005-0000-0000-0000D4040000}"/>
    <cellStyle name="Format text as bold, black on yellow 4 4" xfId="8863" xr:uid="{00000000-0005-0000-0000-0000D4040000}"/>
    <cellStyle name="Format text as bold, black on yellow 4 5" xfId="8306" xr:uid="{00000000-0005-0000-0000-0000D4040000}"/>
    <cellStyle name="Format text as bold, black on yellow 5" xfId="2524" xr:uid="{00000000-0005-0000-0000-0000D5040000}"/>
    <cellStyle name="Format text as bold, black on yellow 5 2" xfId="5068" xr:uid="{00000000-0005-0000-0000-0000D5040000}"/>
    <cellStyle name="Format text as bold, black on yellow 5 2 2" xfId="15781" xr:uid="{00000000-0005-0000-0000-0000D5040000}"/>
    <cellStyle name="Format text as bold, black on yellow 5 2 2 2" xfId="34168" xr:uid="{00000000-0005-0000-0000-0000D5040000}"/>
    <cellStyle name="Format text as bold, black on yellow 5 2 2 3" xfId="52531" xr:uid="{00000000-0005-0000-0000-0000D5040000}"/>
    <cellStyle name="Format text as bold, black on yellow 5 2 3" xfId="24904" xr:uid="{00000000-0005-0000-0000-0000D5040000}"/>
    <cellStyle name="Format text as bold, black on yellow 5 2 3 2" xfId="43273" xr:uid="{00000000-0005-0000-0000-0000D5040000}"/>
    <cellStyle name="Format text as bold, black on yellow 5 2 4" xfId="21229" xr:uid="{00000000-0005-0000-0000-0000D5040000}"/>
    <cellStyle name="Format text as bold, black on yellow 5 2 5" xfId="39615" xr:uid="{00000000-0005-0000-0000-0000D5040000}"/>
    <cellStyle name="Format text as bold, black on yellow 5 3" xfId="19168" xr:uid="{00000000-0005-0000-0000-0000D5040000}"/>
    <cellStyle name="Format text as bold, black on yellow 5 3 2" xfId="37576" xr:uid="{00000000-0005-0000-0000-0000D5040000}"/>
    <cellStyle name="Format text as bold, black on yellow 5 4" xfId="11716" xr:uid="{00000000-0005-0000-0000-0000D5040000}"/>
    <cellStyle name="Format text as bold, black on yellow 5 5" xfId="35866" xr:uid="{00000000-0005-0000-0000-0000D5040000}"/>
    <cellStyle name="Format text as bold, black on yellow 6" xfId="3012" xr:uid="{00000000-0005-0000-0000-0000D6040000}"/>
    <cellStyle name="Format text as bold, black on yellow 6 2" xfId="5265" xr:uid="{00000000-0005-0000-0000-0000D6040000}"/>
    <cellStyle name="Format text as bold, black on yellow 6 2 2" xfId="15957" xr:uid="{00000000-0005-0000-0000-0000D6040000}"/>
    <cellStyle name="Format text as bold, black on yellow 6 2 2 2" xfId="34331" xr:uid="{00000000-0005-0000-0000-0000D6040000}"/>
    <cellStyle name="Format text as bold, black on yellow 6 2 2 3" xfId="52694" xr:uid="{00000000-0005-0000-0000-0000D6040000}"/>
    <cellStyle name="Format text as bold, black on yellow 6 2 3" xfId="25078" xr:uid="{00000000-0005-0000-0000-0000D6040000}"/>
    <cellStyle name="Format text as bold, black on yellow 6 2 3 2" xfId="43447" xr:uid="{00000000-0005-0000-0000-0000D6040000}"/>
    <cellStyle name="Format text as bold, black on yellow 6 2 4" xfId="21399" xr:uid="{00000000-0005-0000-0000-0000D6040000}"/>
    <cellStyle name="Format text as bold, black on yellow 6 2 5" xfId="39778" xr:uid="{00000000-0005-0000-0000-0000D6040000}"/>
    <cellStyle name="Format text as bold, black on yellow 6 3" xfId="23019" xr:uid="{00000000-0005-0000-0000-0000D6040000}"/>
    <cellStyle name="Format text as bold, black on yellow 6 3 2" xfId="41388" xr:uid="{00000000-0005-0000-0000-0000D6040000}"/>
    <cellStyle name="Format text as bold, black on yellow 6 4" xfId="17580" xr:uid="{00000000-0005-0000-0000-0000D6040000}"/>
    <cellStyle name="Format text as bold, black on yellow 6 5" xfId="36021" xr:uid="{00000000-0005-0000-0000-0000D6040000}"/>
    <cellStyle name="Format text as bold, black on yellow 7" xfId="3006" xr:uid="{00000000-0005-0000-0000-0000D7040000}"/>
    <cellStyle name="Format text as bold, black on yellow 7 2" xfId="5261" xr:uid="{00000000-0005-0000-0000-0000D7040000}"/>
    <cellStyle name="Format text as bold, black on yellow 7 2 2" xfId="15953" xr:uid="{00000000-0005-0000-0000-0000D7040000}"/>
    <cellStyle name="Format text as bold, black on yellow 7 2 2 2" xfId="34327" xr:uid="{00000000-0005-0000-0000-0000D7040000}"/>
    <cellStyle name="Format text as bold, black on yellow 7 2 2 3" xfId="52690" xr:uid="{00000000-0005-0000-0000-0000D7040000}"/>
    <cellStyle name="Format text as bold, black on yellow 7 2 3" xfId="25074" xr:uid="{00000000-0005-0000-0000-0000D7040000}"/>
    <cellStyle name="Format text as bold, black on yellow 7 2 3 2" xfId="43443" xr:uid="{00000000-0005-0000-0000-0000D7040000}"/>
    <cellStyle name="Format text as bold, black on yellow 7 2 4" xfId="21395" xr:uid="{00000000-0005-0000-0000-0000D7040000}"/>
    <cellStyle name="Format text as bold, black on yellow 7 2 5" xfId="39774" xr:uid="{00000000-0005-0000-0000-0000D7040000}"/>
    <cellStyle name="Format text as bold, black on yellow 7 3" xfId="23016" xr:uid="{00000000-0005-0000-0000-0000D7040000}"/>
    <cellStyle name="Format text as bold, black on yellow 7 3 2" xfId="41385" xr:uid="{00000000-0005-0000-0000-0000D7040000}"/>
    <cellStyle name="Format text as bold, black on yellow 7 4" xfId="17575" xr:uid="{00000000-0005-0000-0000-0000D7040000}"/>
    <cellStyle name="Format text as bold, black on yellow 7 5" xfId="36018" xr:uid="{00000000-0005-0000-0000-0000D7040000}"/>
    <cellStyle name="Format text as bold, black on yellow 8" xfId="3273" xr:uid="{00000000-0005-0000-0000-0000D8040000}"/>
    <cellStyle name="Format text as bold, black on yellow 8 2" xfId="5466" xr:uid="{00000000-0005-0000-0000-0000D8040000}"/>
    <cellStyle name="Format text as bold, black on yellow 8 2 2" xfId="16157" xr:uid="{00000000-0005-0000-0000-0000D8040000}"/>
    <cellStyle name="Format text as bold, black on yellow 8 2 2 2" xfId="34529" xr:uid="{00000000-0005-0000-0000-0000D8040000}"/>
    <cellStyle name="Format text as bold, black on yellow 8 2 2 3" xfId="52892" xr:uid="{00000000-0005-0000-0000-0000D8040000}"/>
    <cellStyle name="Format text as bold, black on yellow 8 2 3" xfId="25276" xr:uid="{00000000-0005-0000-0000-0000D8040000}"/>
    <cellStyle name="Format text as bold, black on yellow 8 2 3 2" xfId="43645" xr:uid="{00000000-0005-0000-0000-0000D8040000}"/>
    <cellStyle name="Format text as bold, black on yellow 8 2 4" xfId="21597" xr:uid="{00000000-0005-0000-0000-0000D8040000}"/>
    <cellStyle name="Format text as bold, black on yellow 8 2 5" xfId="39976" xr:uid="{00000000-0005-0000-0000-0000D8040000}"/>
    <cellStyle name="Format text as bold, black on yellow 8 3" xfId="23205" xr:uid="{00000000-0005-0000-0000-0000D8040000}"/>
    <cellStyle name="Format text as bold, black on yellow 8 3 2" xfId="41574" xr:uid="{00000000-0005-0000-0000-0000D8040000}"/>
    <cellStyle name="Format text as bold, black on yellow 8 4" xfId="17791" xr:uid="{00000000-0005-0000-0000-0000D8040000}"/>
    <cellStyle name="Format text as bold, black on yellow 8 5" xfId="36207" xr:uid="{00000000-0005-0000-0000-0000D8040000}"/>
    <cellStyle name="Format text as bold, black on yellow 9" xfId="4063" xr:uid="{00000000-0005-0000-0000-0000D1040000}"/>
    <cellStyle name="Format text as bold, black on yellow 9 2" xfId="14824" xr:uid="{00000000-0005-0000-0000-0000D1040000}"/>
    <cellStyle name="Format text as bold, black on yellow 9 2 2" xfId="33236" xr:uid="{00000000-0005-0000-0000-0000D1040000}"/>
    <cellStyle name="Format text as bold, black on yellow 9 2 3" xfId="51599" xr:uid="{00000000-0005-0000-0000-0000D1040000}"/>
    <cellStyle name="Format text as bold, black on yellow 9 3" xfId="23960" xr:uid="{00000000-0005-0000-0000-0000D1040000}"/>
    <cellStyle name="Format text as bold, black on yellow 9 3 2" xfId="42329" xr:uid="{00000000-0005-0000-0000-0000D1040000}"/>
    <cellStyle name="Format text as bold, black on yellow 9 4" xfId="20280" xr:uid="{00000000-0005-0000-0000-0000D1040000}"/>
    <cellStyle name="Format text as bold, black on yellow 9 5" xfId="38683" xr:uid="{00000000-0005-0000-0000-0000D1040000}"/>
    <cellStyle name="fourdecplace" xfId="474" xr:uid="{00000000-0005-0000-0000-0000D9040000}"/>
    <cellStyle name="fourdecplace 2" xfId="2072" xr:uid="{00000000-0005-0000-0000-0000DA040000}"/>
    <cellStyle name="fourdecplace 3" xfId="2525" xr:uid="{00000000-0005-0000-0000-0000DB040000}"/>
    <cellStyle name="G02 Table Text" xfId="475" xr:uid="{00000000-0005-0000-0000-0000DC040000}"/>
    <cellStyle name="G04_Main head" xfId="476" xr:uid="{00000000-0005-0000-0000-0000DD040000}"/>
    <cellStyle name="G05 Tab Head Bold" xfId="477" xr:uid="{00000000-0005-0000-0000-0000DE040000}"/>
    <cellStyle name="G05 Tab Head Light" xfId="478" xr:uid="{00000000-0005-0000-0000-0000DF040000}"/>
    <cellStyle name="General" xfId="479" xr:uid="{00000000-0005-0000-0000-0000E0040000}"/>
    <cellStyle name="Global" xfId="480" xr:uid="{00000000-0005-0000-0000-0000E1040000}"/>
    <cellStyle name="Global 2" xfId="1055" xr:uid="{00000000-0005-0000-0000-0000E2040000}"/>
    <cellStyle name="Global 2 2" xfId="4185" xr:uid="{00000000-0005-0000-0000-0000E2040000}"/>
    <cellStyle name="Global 2 2 2" xfId="14931" xr:uid="{00000000-0005-0000-0000-0000E2040000}"/>
    <cellStyle name="Global 2 2 2 2" xfId="33335" xr:uid="{00000000-0005-0000-0000-0000E2040000}"/>
    <cellStyle name="Global 2 2 2 3" xfId="51698" xr:uid="{00000000-0005-0000-0000-0000E2040000}"/>
    <cellStyle name="Global 2 2 3" xfId="24064" xr:uid="{00000000-0005-0000-0000-0000E2040000}"/>
    <cellStyle name="Global 2 2 3 2" xfId="42433" xr:uid="{00000000-0005-0000-0000-0000E2040000}"/>
    <cellStyle name="Global 2 2 4" xfId="20384" xr:uid="{00000000-0005-0000-0000-0000E2040000}"/>
    <cellStyle name="Global 2 2 5" xfId="38782" xr:uid="{00000000-0005-0000-0000-0000E2040000}"/>
    <cellStyle name="Global 2 3" xfId="19336" xr:uid="{00000000-0005-0000-0000-0000E2040000}"/>
    <cellStyle name="Global 2 3 2" xfId="37743" xr:uid="{00000000-0005-0000-0000-0000E2040000}"/>
    <cellStyle name="Global 2 4" xfId="8946" xr:uid="{00000000-0005-0000-0000-0000E2040000}"/>
    <cellStyle name="Global 2 5" xfId="12507" xr:uid="{00000000-0005-0000-0000-0000E2040000}"/>
    <cellStyle name="Good" xfId="17" builtinId="26" customBuiltin="1"/>
    <cellStyle name="Good 2" xfId="1558" xr:uid="{00000000-0005-0000-0000-0000E4040000}"/>
    <cellStyle name="Good 2 2" xfId="4086" xr:uid="{00000000-0005-0000-0000-000047000000}"/>
    <cellStyle name="Good 3" xfId="3908" xr:uid="{00000000-0005-0000-0000-00007A1A0000}"/>
    <cellStyle name="Grand Total" xfId="481" xr:uid="{00000000-0005-0000-0000-0000E5040000}"/>
    <cellStyle name="Green" xfId="482" xr:uid="{00000000-0005-0000-0000-0000E6040000}"/>
    <cellStyle name="Grey" xfId="483" xr:uid="{00000000-0005-0000-0000-0000E7040000}"/>
    <cellStyle name="Growth" xfId="484" xr:uid="{00000000-0005-0000-0000-0000E8040000}"/>
    <cellStyle name="Growth 2" xfId="2073" xr:uid="{00000000-0005-0000-0000-0000E9040000}"/>
    <cellStyle name="Growth 3" xfId="2526" xr:uid="{00000000-0005-0000-0000-0000EA040000}"/>
    <cellStyle name="Growth%" xfId="485" xr:uid="{00000000-0005-0000-0000-0000EB040000}"/>
    <cellStyle name="Growth_Citi_VZ_090806" xfId="997" xr:uid="{00000000-0005-0000-0000-0000EC040000}"/>
    <cellStyle name="GrowthLarge" xfId="486" xr:uid="{00000000-0005-0000-0000-0000ED040000}"/>
    <cellStyle name="GrowthRate" xfId="487" xr:uid="{00000000-0005-0000-0000-0000EE040000}"/>
    <cellStyle name="GrowthRate 2" xfId="2074" xr:uid="{00000000-0005-0000-0000-0000EF040000}"/>
    <cellStyle name="GrowthRate 3" xfId="2527" xr:uid="{00000000-0005-0000-0000-0000F0040000}"/>
    <cellStyle name="GrowthSeq" xfId="488" xr:uid="{00000000-0005-0000-0000-0000F1040000}"/>
    <cellStyle name="GrowthSmall" xfId="489" xr:uid="{00000000-0005-0000-0000-0000F2040000}"/>
    <cellStyle name="hard no" xfId="490" xr:uid="{00000000-0005-0000-0000-0000F3040000}"/>
    <cellStyle name="hard no 2" xfId="3011" xr:uid="{00000000-0005-0000-0000-0000F4040000}"/>
    <cellStyle name="hard no 3" xfId="3272" xr:uid="{00000000-0005-0000-0000-0000F5040000}"/>
    <cellStyle name="hard no." xfId="491" xr:uid="{00000000-0005-0000-0000-0000F6040000}"/>
    <cellStyle name="hard no. 2" xfId="3010" xr:uid="{00000000-0005-0000-0000-0000F7040000}"/>
    <cellStyle name="hard no. 3" xfId="3271" xr:uid="{00000000-0005-0000-0000-0000F8040000}"/>
    <cellStyle name="Hard Percent" xfId="492" xr:uid="{00000000-0005-0000-0000-0000F9040000}"/>
    <cellStyle name="Hard Percent 2" xfId="3128" xr:uid="{00000000-0005-0000-0000-0000FA040000}"/>
    <cellStyle name="hardno" xfId="493" xr:uid="{00000000-0005-0000-0000-0000FB040000}"/>
    <cellStyle name="Header" xfId="494" xr:uid="{00000000-0005-0000-0000-0000FC040000}"/>
    <cellStyle name="Header 2" xfId="2075" xr:uid="{00000000-0005-0000-0000-0000FD040000}"/>
    <cellStyle name="Header 3" xfId="2528" xr:uid="{00000000-0005-0000-0000-0000FE040000}"/>
    <cellStyle name="Header1" xfId="495" xr:uid="{00000000-0005-0000-0000-0000FF040000}"/>
    <cellStyle name="Header1 2" xfId="2076" xr:uid="{00000000-0005-0000-0000-000000050000}"/>
    <cellStyle name="Header1 3" xfId="2529" xr:uid="{00000000-0005-0000-0000-000001050000}"/>
    <cellStyle name="Header2" xfId="496" xr:uid="{00000000-0005-0000-0000-000002050000}"/>
    <cellStyle name="Header2 2" xfId="1056" xr:uid="{00000000-0005-0000-0000-000003050000}"/>
    <cellStyle name="Header2 2 2" xfId="2771" xr:uid="{00000000-0005-0000-0000-000004050000}"/>
    <cellStyle name="Header2 2 2 2" xfId="5132" xr:uid="{00000000-0005-0000-0000-000004050000}"/>
    <cellStyle name="Header2 2 2 2 2" xfId="15836" xr:uid="{00000000-0005-0000-0000-000004050000}"/>
    <cellStyle name="Header2 2 2 2 2 2" xfId="34220" xr:uid="{00000000-0005-0000-0000-000004050000}"/>
    <cellStyle name="Header2 2 2 2 2 3" xfId="52583" xr:uid="{00000000-0005-0000-0000-000004050000}"/>
    <cellStyle name="Header2 2 2 2 3" xfId="24959" xr:uid="{00000000-0005-0000-0000-000004050000}"/>
    <cellStyle name="Header2 2 2 2 3 2" xfId="43328" xr:uid="{00000000-0005-0000-0000-000004050000}"/>
    <cellStyle name="Header2 2 2 2 4" xfId="21282" xr:uid="{00000000-0005-0000-0000-000004050000}"/>
    <cellStyle name="Header2 2 2 2 5" xfId="39667" xr:uid="{00000000-0005-0000-0000-000004050000}"/>
    <cellStyle name="Header2 2 2 3" xfId="18142" xr:uid="{00000000-0005-0000-0000-000004050000}"/>
    <cellStyle name="Header2 2 2 3 2" xfId="36549" xr:uid="{00000000-0005-0000-0000-000004050000}"/>
    <cellStyle name="Header2 2 2 4" xfId="8512" xr:uid="{00000000-0005-0000-0000-000004050000}"/>
    <cellStyle name="Header2 2 2 5" xfId="35913" xr:uid="{00000000-0005-0000-0000-000004050000}"/>
    <cellStyle name="Header2 2 3" xfId="4186" xr:uid="{00000000-0005-0000-0000-000003050000}"/>
    <cellStyle name="Header2 2 3 2" xfId="14932" xr:uid="{00000000-0005-0000-0000-000003050000}"/>
    <cellStyle name="Header2 2 3 2 2" xfId="33336" xr:uid="{00000000-0005-0000-0000-000003050000}"/>
    <cellStyle name="Header2 2 3 2 3" xfId="51699" xr:uid="{00000000-0005-0000-0000-000003050000}"/>
    <cellStyle name="Header2 2 3 3" xfId="24065" xr:uid="{00000000-0005-0000-0000-000003050000}"/>
    <cellStyle name="Header2 2 3 3 2" xfId="42434" xr:uid="{00000000-0005-0000-0000-000003050000}"/>
    <cellStyle name="Header2 2 3 4" xfId="20385" xr:uid="{00000000-0005-0000-0000-000003050000}"/>
    <cellStyle name="Header2 2 3 5" xfId="38783" xr:uid="{00000000-0005-0000-0000-000003050000}"/>
    <cellStyle name="Header2 2 4" xfId="18084" xr:uid="{00000000-0005-0000-0000-000003050000}"/>
    <cellStyle name="Header2 2 4 2" xfId="36491" xr:uid="{00000000-0005-0000-0000-000003050000}"/>
    <cellStyle name="Header2 2 5" xfId="11829" xr:uid="{00000000-0005-0000-0000-000003050000}"/>
    <cellStyle name="Header2 2 6" xfId="14687" xr:uid="{00000000-0005-0000-0000-000003050000}"/>
    <cellStyle name="Header2 3" xfId="2077" xr:uid="{00000000-0005-0000-0000-000005050000}"/>
    <cellStyle name="Header2 4" xfId="2530" xr:uid="{00000000-0005-0000-0000-000006050000}"/>
    <cellStyle name="Header2_Summary" xfId="2355" xr:uid="{00000000-0005-0000-0000-000007050000}"/>
    <cellStyle name="headers" xfId="497" xr:uid="{00000000-0005-0000-0000-000008050000}"/>
    <cellStyle name="headers 2" xfId="2078" xr:uid="{00000000-0005-0000-0000-000009050000}"/>
    <cellStyle name="headers 3" xfId="2531" xr:uid="{00000000-0005-0000-0000-00000A050000}"/>
    <cellStyle name="heading" xfId="498" xr:uid="{00000000-0005-0000-0000-00000B050000}"/>
    <cellStyle name="Heading [Helv]" xfId="499" xr:uid="{00000000-0005-0000-0000-00000C050000}"/>
    <cellStyle name="Heading [Helv] 10" xfId="7115" xr:uid="{00000000-0005-0000-0000-00000C050000}"/>
    <cellStyle name="Heading [Helv] 10 2" xfId="26724" xr:uid="{00000000-0005-0000-0000-00000C050000}"/>
    <cellStyle name="Heading [Helv] 10 3" xfId="45092" xr:uid="{00000000-0005-0000-0000-00000C050000}"/>
    <cellStyle name="Heading [Helv] 2" xfId="1057" xr:uid="{00000000-0005-0000-0000-00000D050000}"/>
    <cellStyle name="Heading [Helv] 2 10" xfId="7449" xr:uid="{00000000-0005-0000-0000-00000D050000}"/>
    <cellStyle name="Heading [Helv] 2 10 2" xfId="26828" xr:uid="{00000000-0005-0000-0000-00000D050000}"/>
    <cellStyle name="Heading [Helv] 2 10 3" xfId="45196" xr:uid="{00000000-0005-0000-0000-00000D050000}"/>
    <cellStyle name="Heading [Helv] 2 11" xfId="7274" xr:uid="{00000000-0005-0000-0000-00000D050000}"/>
    <cellStyle name="Heading [Helv] 2 11 2" xfId="26780" xr:uid="{00000000-0005-0000-0000-00000D050000}"/>
    <cellStyle name="Heading [Helv] 2 11 3" xfId="45148" xr:uid="{00000000-0005-0000-0000-00000D050000}"/>
    <cellStyle name="Heading [Helv] 2 12" xfId="7392" xr:uid="{00000000-0005-0000-0000-00000D050000}"/>
    <cellStyle name="Heading [Helv] 2 2" xfId="1244" xr:uid="{00000000-0005-0000-0000-00000E050000}"/>
    <cellStyle name="Heading [Helv] 2 2 10" xfId="8323" xr:uid="{00000000-0005-0000-0000-00000E050000}"/>
    <cellStyle name="Heading [Helv] 2 2 2" xfId="1647" xr:uid="{00000000-0005-0000-0000-00000F050000}"/>
    <cellStyle name="Heading [Helv] 2 2 2 10" xfId="17864" xr:uid="{00000000-0005-0000-0000-00000F050000}"/>
    <cellStyle name="Heading [Helv] 2 2 2 10 2" xfId="36274" xr:uid="{00000000-0005-0000-0000-00000F050000}"/>
    <cellStyle name="Heading [Helv] 2 2 2 11" xfId="7050" xr:uid="{00000000-0005-0000-0000-00000F050000}"/>
    <cellStyle name="Heading [Helv] 2 2 2 12" xfId="8428" xr:uid="{00000000-0005-0000-0000-00000F050000}"/>
    <cellStyle name="Heading [Helv] 2 2 2 2" xfId="1728" xr:uid="{00000000-0005-0000-0000-000010050000}"/>
    <cellStyle name="Heading [Helv] 2 2 2 2 10" xfId="7182" xr:uid="{00000000-0005-0000-0000-000010050000}"/>
    <cellStyle name="Heading [Helv] 2 2 2 2 2" xfId="3625" xr:uid="{00000000-0005-0000-0000-000010050000}"/>
    <cellStyle name="Heading [Helv] 2 2 2 2 2 2" xfId="5798" xr:uid="{00000000-0005-0000-0000-000010050000}"/>
    <cellStyle name="Heading [Helv] 2 2 2 2 2 2 2" xfId="12162" xr:uid="{00000000-0005-0000-0000-000010050000}"/>
    <cellStyle name="Heading [Helv] 2 2 2 2 2 2 2 2" xfId="30609" xr:uid="{00000000-0005-0000-0000-000010050000}"/>
    <cellStyle name="Heading [Helv] 2 2 2 2 2 2 2 3" xfId="48972" xr:uid="{00000000-0005-0000-0000-000010050000}"/>
    <cellStyle name="Heading [Helv] 2 2 2 2 2 2 3" xfId="16488" xr:uid="{00000000-0005-0000-0000-000010050000}"/>
    <cellStyle name="Heading [Helv] 2 2 2 2 2 2 3 2" xfId="34860" xr:uid="{00000000-0005-0000-0000-000010050000}"/>
    <cellStyle name="Heading [Helv] 2 2 2 2 2 2 3 3" xfId="53223" xr:uid="{00000000-0005-0000-0000-000010050000}"/>
    <cellStyle name="Heading [Helv] 2 2 2 2 2 2 4" xfId="25607" xr:uid="{00000000-0005-0000-0000-000010050000}"/>
    <cellStyle name="Heading [Helv] 2 2 2 2 2 2 4 2" xfId="43976" xr:uid="{00000000-0005-0000-0000-000010050000}"/>
    <cellStyle name="Heading [Helv] 2 2 2 2 2 2 5" xfId="21928" xr:uid="{00000000-0005-0000-0000-000010050000}"/>
    <cellStyle name="Heading [Helv] 2 2 2 2 2 2 6" xfId="40307" xr:uid="{00000000-0005-0000-0000-000010050000}"/>
    <cellStyle name="Heading [Helv] 2 2 2 2 2 3" xfId="6624" xr:uid="{00000000-0005-0000-0000-000010050000}"/>
    <cellStyle name="Heading [Helv] 2 2 2 2 2 3 2" xfId="12915" xr:uid="{00000000-0005-0000-0000-000010050000}"/>
    <cellStyle name="Heading [Helv] 2 2 2 2 2 3 2 2" xfId="31341" xr:uid="{00000000-0005-0000-0000-000010050000}"/>
    <cellStyle name="Heading [Helv] 2 2 2 2 2 3 2 3" xfId="49704" xr:uid="{00000000-0005-0000-0000-000010050000}"/>
    <cellStyle name="Heading [Helv] 2 2 2 2 2 3 3" xfId="17226" xr:uid="{00000000-0005-0000-0000-000010050000}"/>
    <cellStyle name="Heading [Helv] 2 2 2 2 2 3 3 2" xfId="35574" xr:uid="{00000000-0005-0000-0000-000010050000}"/>
    <cellStyle name="Heading [Helv] 2 2 2 2 2 3 3 3" xfId="53937" xr:uid="{00000000-0005-0000-0000-000010050000}"/>
    <cellStyle name="Heading [Helv] 2 2 2 2 2 3 4" xfId="26359" xr:uid="{00000000-0005-0000-0000-000010050000}"/>
    <cellStyle name="Heading [Helv] 2 2 2 2 2 3 4 2" xfId="44728" xr:uid="{00000000-0005-0000-0000-000010050000}"/>
    <cellStyle name="Heading [Helv] 2 2 2 2 2 3 5" xfId="22652" xr:uid="{00000000-0005-0000-0000-000010050000}"/>
    <cellStyle name="Heading [Helv] 2 2 2 2 2 3 6" xfId="41021" xr:uid="{00000000-0005-0000-0000-000010050000}"/>
    <cellStyle name="Heading [Helv] 2 2 2 2 2 4" xfId="10338" xr:uid="{00000000-0005-0000-0000-000010050000}"/>
    <cellStyle name="Heading [Helv] 2 2 2 2 2 4 2" xfId="14395" xr:uid="{00000000-0005-0000-0000-000010050000}"/>
    <cellStyle name="Heading [Helv] 2 2 2 2 2 4 2 2" xfId="32811" xr:uid="{00000000-0005-0000-0000-000010050000}"/>
    <cellStyle name="Heading [Helv] 2 2 2 2 2 4 2 3" xfId="51174" xr:uid="{00000000-0005-0000-0000-000010050000}"/>
    <cellStyle name="Heading [Helv] 2 2 2 2 2 4 3" xfId="29049" xr:uid="{00000000-0005-0000-0000-000010050000}"/>
    <cellStyle name="Heading [Helv] 2 2 2 2 2 4 3 2" xfId="47412" xr:uid="{00000000-0005-0000-0000-000010050000}"/>
    <cellStyle name="Heading [Helv] 2 2 2 2 2 4 4" xfId="19852" xr:uid="{00000000-0005-0000-0000-000010050000}"/>
    <cellStyle name="Heading [Helv] 2 2 2 2 2 4 5" xfId="38258" xr:uid="{00000000-0005-0000-0000-000010050000}"/>
    <cellStyle name="Heading [Helv] 2 2 2 2 2 5" xfId="9546" xr:uid="{00000000-0005-0000-0000-000010050000}"/>
    <cellStyle name="Heading [Helv] 2 2 2 2 2 5 2" xfId="28263" xr:uid="{00000000-0005-0000-0000-000010050000}"/>
    <cellStyle name="Heading [Helv] 2 2 2 2 2 5 3" xfId="46626" xr:uid="{00000000-0005-0000-0000-000010050000}"/>
    <cellStyle name="Heading [Helv] 2 2 2 2 2 6" xfId="13604" xr:uid="{00000000-0005-0000-0000-000010050000}"/>
    <cellStyle name="Heading [Helv] 2 2 2 2 2 6 2" xfId="32025" xr:uid="{00000000-0005-0000-0000-000010050000}"/>
    <cellStyle name="Heading [Helv] 2 2 2 2 2 6 3" xfId="50388" xr:uid="{00000000-0005-0000-0000-000010050000}"/>
    <cellStyle name="Heading [Helv] 2 2 2 2 2 7" xfId="23533" xr:uid="{00000000-0005-0000-0000-000010050000}"/>
    <cellStyle name="Heading [Helv] 2 2 2 2 2 7 2" xfId="41902" xr:uid="{00000000-0005-0000-0000-000010050000}"/>
    <cellStyle name="Heading [Helv] 2 2 2 2 2 8" xfId="18645" xr:uid="{00000000-0005-0000-0000-000010050000}"/>
    <cellStyle name="Heading [Helv] 2 2 2 2 2 9" xfId="37055" xr:uid="{00000000-0005-0000-0000-000010050000}"/>
    <cellStyle name="Heading [Helv] 2 2 2 2 3" xfId="4665" xr:uid="{00000000-0005-0000-0000-000010050000}"/>
    <cellStyle name="Heading [Helv] 2 2 2 2 3 2" xfId="11249" xr:uid="{00000000-0005-0000-0000-000010050000}"/>
    <cellStyle name="Heading [Helv] 2 2 2 2 3 2 2" xfId="29861" xr:uid="{00000000-0005-0000-0000-000010050000}"/>
    <cellStyle name="Heading [Helv] 2 2 2 2 3 2 3" xfId="48224" xr:uid="{00000000-0005-0000-0000-000010050000}"/>
    <cellStyle name="Heading [Helv] 2 2 2 2 3 3" xfId="15391" xr:uid="{00000000-0005-0000-0000-000010050000}"/>
    <cellStyle name="Heading [Helv] 2 2 2 2 3 3 2" xfId="33784" xr:uid="{00000000-0005-0000-0000-000010050000}"/>
    <cellStyle name="Heading [Helv] 2 2 2 2 3 3 3" xfId="52147" xr:uid="{00000000-0005-0000-0000-000010050000}"/>
    <cellStyle name="Heading [Helv] 2 2 2 2 3 4" xfId="24515" xr:uid="{00000000-0005-0000-0000-000010050000}"/>
    <cellStyle name="Heading [Helv] 2 2 2 2 3 4 2" xfId="42884" xr:uid="{00000000-0005-0000-0000-000010050000}"/>
    <cellStyle name="Heading [Helv] 2 2 2 2 3 5" xfId="20842" xr:uid="{00000000-0005-0000-0000-000010050000}"/>
    <cellStyle name="Heading [Helv] 2 2 2 2 3 6" xfId="39231" xr:uid="{00000000-0005-0000-0000-000010050000}"/>
    <cellStyle name="Heading [Helv] 2 2 2 2 4" xfId="5361" xr:uid="{00000000-0005-0000-0000-000010050000}"/>
    <cellStyle name="Heading [Helv] 2 2 2 2 4 2" xfId="11784" xr:uid="{00000000-0005-0000-0000-000010050000}"/>
    <cellStyle name="Heading [Helv] 2 2 2 2 4 2 2" xfId="30261" xr:uid="{00000000-0005-0000-0000-000010050000}"/>
    <cellStyle name="Heading [Helv] 2 2 2 2 4 2 3" xfId="48624" xr:uid="{00000000-0005-0000-0000-000010050000}"/>
    <cellStyle name="Heading [Helv] 2 2 2 2 4 3" xfId="16053" xr:uid="{00000000-0005-0000-0000-000010050000}"/>
    <cellStyle name="Heading [Helv] 2 2 2 2 4 3 2" xfId="34427" xr:uid="{00000000-0005-0000-0000-000010050000}"/>
    <cellStyle name="Heading [Helv] 2 2 2 2 4 3 3" xfId="52790" xr:uid="{00000000-0005-0000-0000-000010050000}"/>
    <cellStyle name="Heading [Helv] 2 2 2 2 4 4" xfId="25174" xr:uid="{00000000-0005-0000-0000-000010050000}"/>
    <cellStyle name="Heading [Helv] 2 2 2 2 4 4 2" xfId="43543" xr:uid="{00000000-0005-0000-0000-000010050000}"/>
    <cellStyle name="Heading [Helv] 2 2 2 2 4 5" xfId="21495" xr:uid="{00000000-0005-0000-0000-000010050000}"/>
    <cellStyle name="Heading [Helv] 2 2 2 2 4 6" xfId="39874" xr:uid="{00000000-0005-0000-0000-000010050000}"/>
    <cellStyle name="Heading [Helv] 2 2 2 2 5" xfId="9706" xr:uid="{00000000-0005-0000-0000-000010050000}"/>
    <cellStyle name="Heading [Helv] 2 2 2 2 5 2" xfId="13763" xr:uid="{00000000-0005-0000-0000-000010050000}"/>
    <cellStyle name="Heading [Helv] 2 2 2 2 5 2 2" xfId="32184" xr:uid="{00000000-0005-0000-0000-000010050000}"/>
    <cellStyle name="Heading [Helv] 2 2 2 2 5 2 3" xfId="50547" xr:uid="{00000000-0005-0000-0000-000010050000}"/>
    <cellStyle name="Heading [Helv] 2 2 2 2 5 3" xfId="28422" xr:uid="{00000000-0005-0000-0000-000010050000}"/>
    <cellStyle name="Heading [Helv] 2 2 2 2 5 3 2" xfId="46785" xr:uid="{00000000-0005-0000-0000-000010050000}"/>
    <cellStyle name="Heading [Helv] 2 2 2 2 5 4" xfId="18853" xr:uid="{00000000-0005-0000-0000-000010050000}"/>
    <cellStyle name="Heading [Helv] 2 2 2 2 5 5" xfId="37262" xr:uid="{00000000-0005-0000-0000-000010050000}"/>
    <cellStyle name="Heading [Helv] 2 2 2 2 6" xfId="7959" xr:uid="{00000000-0005-0000-0000-000010050000}"/>
    <cellStyle name="Heading [Helv] 2 2 2 2 6 2" xfId="27189" xr:uid="{00000000-0005-0000-0000-000010050000}"/>
    <cellStyle name="Heading [Helv] 2 2 2 2 6 3" xfId="45554" xr:uid="{00000000-0005-0000-0000-000010050000}"/>
    <cellStyle name="Heading [Helv] 2 2 2 2 7" xfId="8127" xr:uid="{00000000-0005-0000-0000-000010050000}"/>
    <cellStyle name="Heading [Helv] 2 2 2 2 7 2" xfId="27332" xr:uid="{00000000-0005-0000-0000-000010050000}"/>
    <cellStyle name="Heading [Helv] 2 2 2 2 7 3" xfId="45697" xr:uid="{00000000-0005-0000-0000-000010050000}"/>
    <cellStyle name="Heading [Helv] 2 2 2 2 8" xfId="18103" xr:uid="{00000000-0005-0000-0000-000010050000}"/>
    <cellStyle name="Heading [Helv] 2 2 2 2 8 2" xfId="36510" xr:uid="{00000000-0005-0000-0000-000010050000}"/>
    <cellStyle name="Heading [Helv] 2 2 2 2 9" xfId="8055" xr:uid="{00000000-0005-0000-0000-000010050000}"/>
    <cellStyle name="Heading [Helv] 2 2 2 3" xfId="1758" xr:uid="{00000000-0005-0000-0000-000011050000}"/>
    <cellStyle name="Heading [Helv] 2 2 2 3 10" xfId="8562" xr:uid="{00000000-0005-0000-0000-000011050000}"/>
    <cellStyle name="Heading [Helv] 2 2 2 3 2" xfId="3655" xr:uid="{00000000-0005-0000-0000-000011050000}"/>
    <cellStyle name="Heading [Helv] 2 2 2 3 2 2" xfId="5828" xr:uid="{00000000-0005-0000-0000-000011050000}"/>
    <cellStyle name="Heading [Helv] 2 2 2 3 2 2 2" xfId="12192" xr:uid="{00000000-0005-0000-0000-000011050000}"/>
    <cellStyle name="Heading [Helv] 2 2 2 3 2 2 2 2" xfId="30639" xr:uid="{00000000-0005-0000-0000-000011050000}"/>
    <cellStyle name="Heading [Helv] 2 2 2 3 2 2 2 3" xfId="49002" xr:uid="{00000000-0005-0000-0000-000011050000}"/>
    <cellStyle name="Heading [Helv] 2 2 2 3 2 2 3" xfId="16518" xr:uid="{00000000-0005-0000-0000-000011050000}"/>
    <cellStyle name="Heading [Helv] 2 2 2 3 2 2 3 2" xfId="34890" xr:uid="{00000000-0005-0000-0000-000011050000}"/>
    <cellStyle name="Heading [Helv] 2 2 2 3 2 2 3 3" xfId="53253" xr:uid="{00000000-0005-0000-0000-000011050000}"/>
    <cellStyle name="Heading [Helv] 2 2 2 3 2 2 4" xfId="25637" xr:uid="{00000000-0005-0000-0000-000011050000}"/>
    <cellStyle name="Heading [Helv] 2 2 2 3 2 2 4 2" xfId="44006" xr:uid="{00000000-0005-0000-0000-000011050000}"/>
    <cellStyle name="Heading [Helv] 2 2 2 3 2 2 5" xfId="21958" xr:uid="{00000000-0005-0000-0000-000011050000}"/>
    <cellStyle name="Heading [Helv] 2 2 2 3 2 2 6" xfId="40337" xr:uid="{00000000-0005-0000-0000-000011050000}"/>
    <cellStyle name="Heading [Helv] 2 2 2 3 2 3" xfId="6654" xr:uid="{00000000-0005-0000-0000-000011050000}"/>
    <cellStyle name="Heading [Helv] 2 2 2 3 2 3 2" xfId="12945" xr:uid="{00000000-0005-0000-0000-000011050000}"/>
    <cellStyle name="Heading [Helv] 2 2 2 3 2 3 2 2" xfId="31371" xr:uid="{00000000-0005-0000-0000-000011050000}"/>
    <cellStyle name="Heading [Helv] 2 2 2 3 2 3 2 3" xfId="49734" xr:uid="{00000000-0005-0000-0000-000011050000}"/>
    <cellStyle name="Heading [Helv] 2 2 2 3 2 3 3" xfId="17256" xr:uid="{00000000-0005-0000-0000-000011050000}"/>
    <cellStyle name="Heading [Helv] 2 2 2 3 2 3 3 2" xfId="35604" xr:uid="{00000000-0005-0000-0000-000011050000}"/>
    <cellStyle name="Heading [Helv] 2 2 2 3 2 3 3 3" xfId="53967" xr:uid="{00000000-0005-0000-0000-000011050000}"/>
    <cellStyle name="Heading [Helv] 2 2 2 3 2 3 4" xfId="26389" xr:uid="{00000000-0005-0000-0000-000011050000}"/>
    <cellStyle name="Heading [Helv] 2 2 2 3 2 3 4 2" xfId="44758" xr:uid="{00000000-0005-0000-0000-000011050000}"/>
    <cellStyle name="Heading [Helv] 2 2 2 3 2 3 5" xfId="22682" xr:uid="{00000000-0005-0000-0000-000011050000}"/>
    <cellStyle name="Heading [Helv] 2 2 2 3 2 3 6" xfId="41051" xr:uid="{00000000-0005-0000-0000-000011050000}"/>
    <cellStyle name="Heading [Helv] 2 2 2 3 2 4" xfId="10368" xr:uid="{00000000-0005-0000-0000-000011050000}"/>
    <cellStyle name="Heading [Helv] 2 2 2 3 2 4 2" xfId="14425" xr:uid="{00000000-0005-0000-0000-000011050000}"/>
    <cellStyle name="Heading [Helv] 2 2 2 3 2 4 2 2" xfId="32841" xr:uid="{00000000-0005-0000-0000-000011050000}"/>
    <cellStyle name="Heading [Helv] 2 2 2 3 2 4 2 3" xfId="51204" xr:uid="{00000000-0005-0000-0000-000011050000}"/>
    <cellStyle name="Heading [Helv] 2 2 2 3 2 4 3" xfId="29079" xr:uid="{00000000-0005-0000-0000-000011050000}"/>
    <cellStyle name="Heading [Helv] 2 2 2 3 2 4 3 2" xfId="47442" xr:uid="{00000000-0005-0000-0000-000011050000}"/>
    <cellStyle name="Heading [Helv] 2 2 2 3 2 4 4" xfId="19882" xr:uid="{00000000-0005-0000-0000-000011050000}"/>
    <cellStyle name="Heading [Helv] 2 2 2 3 2 4 5" xfId="38288" xr:uid="{00000000-0005-0000-0000-000011050000}"/>
    <cellStyle name="Heading [Helv] 2 2 2 3 2 5" xfId="9576" xr:uid="{00000000-0005-0000-0000-000011050000}"/>
    <cellStyle name="Heading [Helv] 2 2 2 3 2 5 2" xfId="28293" xr:uid="{00000000-0005-0000-0000-000011050000}"/>
    <cellStyle name="Heading [Helv] 2 2 2 3 2 5 3" xfId="46656" xr:uid="{00000000-0005-0000-0000-000011050000}"/>
    <cellStyle name="Heading [Helv] 2 2 2 3 2 6" xfId="13634" xr:uid="{00000000-0005-0000-0000-000011050000}"/>
    <cellStyle name="Heading [Helv] 2 2 2 3 2 6 2" xfId="32055" xr:uid="{00000000-0005-0000-0000-000011050000}"/>
    <cellStyle name="Heading [Helv] 2 2 2 3 2 6 3" xfId="50418" xr:uid="{00000000-0005-0000-0000-000011050000}"/>
    <cellStyle name="Heading [Helv] 2 2 2 3 2 7" xfId="23563" xr:uid="{00000000-0005-0000-0000-000011050000}"/>
    <cellStyle name="Heading [Helv] 2 2 2 3 2 7 2" xfId="41932" xr:uid="{00000000-0005-0000-0000-000011050000}"/>
    <cellStyle name="Heading [Helv] 2 2 2 3 2 8" xfId="18675" xr:uid="{00000000-0005-0000-0000-000011050000}"/>
    <cellStyle name="Heading [Helv] 2 2 2 3 2 9" xfId="37085" xr:uid="{00000000-0005-0000-0000-000011050000}"/>
    <cellStyle name="Heading [Helv] 2 2 2 3 3" xfId="4695" xr:uid="{00000000-0005-0000-0000-000011050000}"/>
    <cellStyle name="Heading [Helv] 2 2 2 3 3 2" xfId="11279" xr:uid="{00000000-0005-0000-0000-000011050000}"/>
    <cellStyle name="Heading [Helv] 2 2 2 3 3 2 2" xfId="29891" xr:uid="{00000000-0005-0000-0000-000011050000}"/>
    <cellStyle name="Heading [Helv] 2 2 2 3 3 2 3" xfId="48254" xr:uid="{00000000-0005-0000-0000-000011050000}"/>
    <cellStyle name="Heading [Helv] 2 2 2 3 3 3" xfId="15421" xr:uid="{00000000-0005-0000-0000-000011050000}"/>
    <cellStyle name="Heading [Helv] 2 2 2 3 3 3 2" xfId="33814" xr:uid="{00000000-0005-0000-0000-000011050000}"/>
    <cellStyle name="Heading [Helv] 2 2 2 3 3 3 3" xfId="52177" xr:uid="{00000000-0005-0000-0000-000011050000}"/>
    <cellStyle name="Heading [Helv] 2 2 2 3 3 4" xfId="24545" xr:uid="{00000000-0005-0000-0000-000011050000}"/>
    <cellStyle name="Heading [Helv] 2 2 2 3 3 4 2" xfId="42914" xr:uid="{00000000-0005-0000-0000-000011050000}"/>
    <cellStyle name="Heading [Helv] 2 2 2 3 3 5" xfId="20872" xr:uid="{00000000-0005-0000-0000-000011050000}"/>
    <cellStyle name="Heading [Helv] 2 2 2 3 3 6" xfId="39261" xr:uid="{00000000-0005-0000-0000-000011050000}"/>
    <cellStyle name="Heading [Helv] 2 2 2 3 4" xfId="3955" xr:uid="{00000000-0005-0000-0000-000011050000}"/>
    <cellStyle name="Heading [Helv] 2 2 2 3 4 2" xfId="10660" xr:uid="{00000000-0005-0000-0000-000011050000}"/>
    <cellStyle name="Heading [Helv] 2 2 2 3 4 2 2" xfId="29366" xr:uid="{00000000-0005-0000-0000-000011050000}"/>
    <cellStyle name="Heading [Helv] 2 2 2 3 4 2 3" xfId="47729" xr:uid="{00000000-0005-0000-0000-000011050000}"/>
    <cellStyle name="Heading [Helv] 2 2 2 3 4 3" xfId="14718" xr:uid="{00000000-0005-0000-0000-000011050000}"/>
    <cellStyle name="Heading [Helv] 2 2 2 3 4 3 2" xfId="33130" xr:uid="{00000000-0005-0000-0000-000011050000}"/>
    <cellStyle name="Heading [Helv] 2 2 2 3 4 3 3" xfId="51493" xr:uid="{00000000-0005-0000-0000-000011050000}"/>
    <cellStyle name="Heading [Helv] 2 2 2 3 4 4" xfId="23854" xr:uid="{00000000-0005-0000-0000-000011050000}"/>
    <cellStyle name="Heading [Helv] 2 2 2 3 4 4 2" xfId="42223" xr:uid="{00000000-0005-0000-0000-000011050000}"/>
    <cellStyle name="Heading [Helv] 2 2 2 3 4 5" xfId="20172" xr:uid="{00000000-0005-0000-0000-000011050000}"/>
    <cellStyle name="Heading [Helv] 2 2 2 3 4 6" xfId="38577" xr:uid="{00000000-0005-0000-0000-000011050000}"/>
    <cellStyle name="Heading [Helv] 2 2 2 3 5" xfId="9801" xr:uid="{00000000-0005-0000-0000-000011050000}"/>
    <cellStyle name="Heading [Helv] 2 2 2 3 5 2" xfId="13858" xr:uid="{00000000-0005-0000-0000-000011050000}"/>
    <cellStyle name="Heading [Helv] 2 2 2 3 5 2 2" xfId="32278" xr:uid="{00000000-0005-0000-0000-000011050000}"/>
    <cellStyle name="Heading [Helv] 2 2 2 3 5 2 3" xfId="50641" xr:uid="{00000000-0005-0000-0000-000011050000}"/>
    <cellStyle name="Heading [Helv] 2 2 2 3 5 3" xfId="28516" xr:uid="{00000000-0005-0000-0000-000011050000}"/>
    <cellStyle name="Heading [Helv] 2 2 2 3 5 3 2" xfId="46879" xr:uid="{00000000-0005-0000-0000-000011050000}"/>
    <cellStyle name="Heading [Helv] 2 2 2 3 5 4" xfId="19016" xr:uid="{00000000-0005-0000-0000-000011050000}"/>
    <cellStyle name="Heading [Helv] 2 2 2 3 5 5" xfId="37425" xr:uid="{00000000-0005-0000-0000-000011050000}"/>
    <cellStyle name="Heading [Helv] 2 2 2 3 6" xfId="7989" xr:uid="{00000000-0005-0000-0000-000011050000}"/>
    <cellStyle name="Heading [Helv] 2 2 2 3 6 2" xfId="27219" xr:uid="{00000000-0005-0000-0000-000011050000}"/>
    <cellStyle name="Heading [Helv] 2 2 2 3 6 3" xfId="45584" xr:uid="{00000000-0005-0000-0000-000011050000}"/>
    <cellStyle name="Heading [Helv] 2 2 2 3 7" xfId="8706" xr:uid="{00000000-0005-0000-0000-000011050000}"/>
    <cellStyle name="Heading [Helv] 2 2 2 3 7 2" xfId="27595" xr:uid="{00000000-0005-0000-0000-000011050000}"/>
    <cellStyle name="Heading [Helv] 2 2 2 3 7 3" xfId="45958" xr:uid="{00000000-0005-0000-0000-000011050000}"/>
    <cellStyle name="Heading [Helv] 2 2 2 3 8" xfId="18107" xr:uid="{00000000-0005-0000-0000-000011050000}"/>
    <cellStyle name="Heading [Helv] 2 2 2 3 8 2" xfId="36514" xr:uid="{00000000-0005-0000-0000-000011050000}"/>
    <cellStyle name="Heading [Helv] 2 2 2 3 9" xfId="8859" xr:uid="{00000000-0005-0000-0000-000011050000}"/>
    <cellStyle name="Heading [Helv] 2 2 2 4" xfId="1786" xr:uid="{00000000-0005-0000-0000-000012050000}"/>
    <cellStyle name="Heading [Helv] 2 2 2 4 10" xfId="11343" xr:uid="{00000000-0005-0000-0000-000012050000}"/>
    <cellStyle name="Heading [Helv] 2 2 2 4 2" xfId="3683" xr:uid="{00000000-0005-0000-0000-000012050000}"/>
    <cellStyle name="Heading [Helv] 2 2 2 4 2 2" xfId="5856" xr:uid="{00000000-0005-0000-0000-000012050000}"/>
    <cellStyle name="Heading [Helv] 2 2 2 4 2 2 2" xfId="12220" xr:uid="{00000000-0005-0000-0000-000012050000}"/>
    <cellStyle name="Heading [Helv] 2 2 2 4 2 2 2 2" xfId="30667" xr:uid="{00000000-0005-0000-0000-000012050000}"/>
    <cellStyle name="Heading [Helv] 2 2 2 4 2 2 2 3" xfId="49030" xr:uid="{00000000-0005-0000-0000-000012050000}"/>
    <cellStyle name="Heading [Helv] 2 2 2 4 2 2 3" xfId="16546" xr:uid="{00000000-0005-0000-0000-000012050000}"/>
    <cellStyle name="Heading [Helv] 2 2 2 4 2 2 3 2" xfId="34918" xr:uid="{00000000-0005-0000-0000-000012050000}"/>
    <cellStyle name="Heading [Helv] 2 2 2 4 2 2 3 3" xfId="53281" xr:uid="{00000000-0005-0000-0000-000012050000}"/>
    <cellStyle name="Heading [Helv] 2 2 2 4 2 2 4" xfId="25665" xr:uid="{00000000-0005-0000-0000-000012050000}"/>
    <cellStyle name="Heading [Helv] 2 2 2 4 2 2 4 2" xfId="44034" xr:uid="{00000000-0005-0000-0000-000012050000}"/>
    <cellStyle name="Heading [Helv] 2 2 2 4 2 2 5" xfId="21986" xr:uid="{00000000-0005-0000-0000-000012050000}"/>
    <cellStyle name="Heading [Helv] 2 2 2 4 2 2 6" xfId="40365" xr:uid="{00000000-0005-0000-0000-000012050000}"/>
    <cellStyle name="Heading [Helv] 2 2 2 4 2 3" xfId="6682" xr:uid="{00000000-0005-0000-0000-000012050000}"/>
    <cellStyle name="Heading [Helv] 2 2 2 4 2 3 2" xfId="12973" xr:uid="{00000000-0005-0000-0000-000012050000}"/>
    <cellStyle name="Heading [Helv] 2 2 2 4 2 3 2 2" xfId="31399" xr:uid="{00000000-0005-0000-0000-000012050000}"/>
    <cellStyle name="Heading [Helv] 2 2 2 4 2 3 2 3" xfId="49762" xr:uid="{00000000-0005-0000-0000-000012050000}"/>
    <cellStyle name="Heading [Helv] 2 2 2 4 2 3 3" xfId="17284" xr:uid="{00000000-0005-0000-0000-000012050000}"/>
    <cellStyle name="Heading [Helv] 2 2 2 4 2 3 3 2" xfId="35632" xr:uid="{00000000-0005-0000-0000-000012050000}"/>
    <cellStyle name="Heading [Helv] 2 2 2 4 2 3 3 3" xfId="53995" xr:uid="{00000000-0005-0000-0000-000012050000}"/>
    <cellStyle name="Heading [Helv] 2 2 2 4 2 3 4" xfId="26417" xr:uid="{00000000-0005-0000-0000-000012050000}"/>
    <cellStyle name="Heading [Helv] 2 2 2 4 2 3 4 2" xfId="44786" xr:uid="{00000000-0005-0000-0000-000012050000}"/>
    <cellStyle name="Heading [Helv] 2 2 2 4 2 3 5" xfId="22710" xr:uid="{00000000-0005-0000-0000-000012050000}"/>
    <cellStyle name="Heading [Helv] 2 2 2 4 2 3 6" xfId="41079" xr:uid="{00000000-0005-0000-0000-000012050000}"/>
    <cellStyle name="Heading [Helv] 2 2 2 4 2 4" xfId="10396" xr:uid="{00000000-0005-0000-0000-000012050000}"/>
    <cellStyle name="Heading [Helv] 2 2 2 4 2 4 2" xfId="14453" xr:uid="{00000000-0005-0000-0000-000012050000}"/>
    <cellStyle name="Heading [Helv] 2 2 2 4 2 4 2 2" xfId="32869" xr:uid="{00000000-0005-0000-0000-000012050000}"/>
    <cellStyle name="Heading [Helv] 2 2 2 4 2 4 2 3" xfId="51232" xr:uid="{00000000-0005-0000-0000-000012050000}"/>
    <cellStyle name="Heading [Helv] 2 2 2 4 2 4 3" xfId="29107" xr:uid="{00000000-0005-0000-0000-000012050000}"/>
    <cellStyle name="Heading [Helv] 2 2 2 4 2 4 3 2" xfId="47470" xr:uid="{00000000-0005-0000-0000-000012050000}"/>
    <cellStyle name="Heading [Helv] 2 2 2 4 2 4 4" xfId="19910" xr:uid="{00000000-0005-0000-0000-000012050000}"/>
    <cellStyle name="Heading [Helv] 2 2 2 4 2 4 5" xfId="38316" xr:uid="{00000000-0005-0000-0000-000012050000}"/>
    <cellStyle name="Heading [Helv] 2 2 2 4 2 5" xfId="9604" xr:uid="{00000000-0005-0000-0000-000012050000}"/>
    <cellStyle name="Heading [Helv] 2 2 2 4 2 5 2" xfId="28321" xr:uid="{00000000-0005-0000-0000-000012050000}"/>
    <cellStyle name="Heading [Helv] 2 2 2 4 2 5 3" xfId="46684" xr:uid="{00000000-0005-0000-0000-000012050000}"/>
    <cellStyle name="Heading [Helv] 2 2 2 4 2 6" xfId="13662" xr:uid="{00000000-0005-0000-0000-000012050000}"/>
    <cellStyle name="Heading [Helv] 2 2 2 4 2 6 2" xfId="32083" xr:uid="{00000000-0005-0000-0000-000012050000}"/>
    <cellStyle name="Heading [Helv] 2 2 2 4 2 6 3" xfId="50446" xr:uid="{00000000-0005-0000-0000-000012050000}"/>
    <cellStyle name="Heading [Helv] 2 2 2 4 2 7" xfId="23591" xr:uid="{00000000-0005-0000-0000-000012050000}"/>
    <cellStyle name="Heading [Helv] 2 2 2 4 2 7 2" xfId="41960" xr:uid="{00000000-0005-0000-0000-000012050000}"/>
    <cellStyle name="Heading [Helv] 2 2 2 4 2 8" xfId="18703" xr:uid="{00000000-0005-0000-0000-000012050000}"/>
    <cellStyle name="Heading [Helv] 2 2 2 4 2 9" xfId="37113" xr:uid="{00000000-0005-0000-0000-000012050000}"/>
    <cellStyle name="Heading [Helv] 2 2 2 4 3" xfId="4723" xr:uid="{00000000-0005-0000-0000-000012050000}"/>
    <cellStyle name="Heading [Helv] 2 2 2 4 3 2" xfId="11307" xr:uid="{00000000-0005-0000-0000-000012050000}"/>
    <cellStyle name="Heading [Helv] 2 2 2 4 3 2 2" xfId="29919" xr:uid="{00000000-0005-0000-0000-000012050000}"/>
    <cellStyle name="Heading [Helv] 2 2 2 4 3 2 3" xfId="48282" xr:uid="{00000000-0005-0000-0000-000012050000}"/>
    <cellStyle name="Heading [Helv] 2 2 2 4 3 3" xfId="15449" xr:uid="{00000000-0005-0000-0000-000012050000}"/>
    <cellStyle name="Heading [Helv] 2 2 2 4 3 3 2" xfId="33842" xr:uid="{00000000-0005-0000-0000-000012050000}"/>
    <cellStyle name="Heading [Helv] 2 2 2 4 3 3 3" xfId="52205" xr:uid="{00000000-0005-0000-0000-000012050000}"/>
    <cellStyle name="Heading [Helv] 2 2 2 4 3 4" xfId="24573" xr:uid="{00000000-0005-0000-0000-000012050000}"/>
    <cellStyle name="Heading [Helv] 2 2 2 4 3 4 2" xfId="42942" xr:uid="{00000000-0005-0000-0000-000012050000}"/>
    <cellStyle name="Heading [Helv] 2 2 2 4 3 5" xfId="20900" xr:uid="{00000000-0005-0000-0000-000012050000}"/>
    <cellStyle name="Heading [Helv] 2 2 2 4 3 6" xfId="39289" xr:uid="{00000000-0005-0000-0000-000012050000}"/>
    <cellStyle name="Heading [Helv] 2 2 2 4 4" xfId="5020" xr:uid="{00000000-0005-0000-0000-000012050000}"/>
    <cellStyle name="Heading [Helv] 2 2 2 4 4 2" xfId="11543" xr:uid="{00000000-0005-0000-0000-000012050000}"/>
    <cellStyle name="Heading [Helv] 2 2 2 4 4 2 2" xfId="30115" xr:uid="{00000000-0005-0000-0000-000012050000}"/>
    <cellStyle name="Heading [Helv] 2 2 2 4 4 2 3" xfId="48478" xr:uid="{00000000-0005-0000-0000-000012050000}"/>
    <cellStyle name="Heading [Helv] 2 2 2 4 4 3" xfId="15733" xr:uid="{00000000-0005-0000-0000-000012050000}"/>
    <cellStyle name="Heading [Helv] 2 2 2 4 4 3 2" xfId="34121" xr:uid="{00000000-0005-0000-0000-000012050000}"/>
    <cellStyle name="Heading [Helv] 2 2 2 4 4 3 3" xfId="52484" xr:uid="{00000000-0005-0000-0000-000012050000}"/>
    <cellStyle name="Heading [Helv] 2 2 2 4 4 4" xfId="24857" xr:uid="{00000000-0005-0000-0000-000012050000}"/>
    <cellStyle name="Heading [Helv] 2 2 2 4 4 4 2" xfId="43226" xr:uid="{00000000-0005-0000-0000-000012050000}"/>
    <cellStyle name="Heading [Helv] 2 2 2 4 4 5" xfId="21181" xr:uid="{00000000-0005-0000-0000-000012050000}"/>
    <cellStyle name="Heading [Helv] 2 2 2 4 4 6" xfId="39568" xr:uid="{00000000-0005-0000-0000-000012050000}"/>
    <cellStyle name="Heading [Helv] 2 2 2 4 5" xfId="9691" xr:uid="{00000000-0005-0000-0000-000012050000}"/>
    <cellStyle name="Heading [Helv] 2 2 2 4 5 2" xfId="13748" xr:uid="{00000000-0005-0000-0000-000012050000}"/>
    <cellStyle name="Heading [Helv] 2 2 2 4 5 2 2" xfId="32169" xr:uid="{00000000-0005-0000-0000-000012050000}"/>
    <cellStyle name="Heading [Helv] 2 2 2 4 5 2 3" xfId="50532" xr:uid="{00000000-0005-0000-0000-000012050000}"/>
    <cellStyle name="Heading [Helv] 2 2 2 4 5 3" xfId="28407" xr:uid="{00000000-0005-0000-0000-000012050000}"/>
    <cellStyle name="Heading [Helv] 2 2 2 4 5 3 2" xfId="46770" xr:uid="{00000000-0005-0000-0000-000012050000}"/>
    <cellStyle name="Heading [Helv] 2 2 2 4 5 4" xfId="18838" xr:uid="{00000000-0005-0000-0000-000012050000}"/>
    <cellStyle name="Heading [Helv] 2 2 2 4 5 5" xfId="37247" xr:uid="{00000000-0005-0000-0000-000012050000}"/>
    <cellStyle name="Heading [Helv] 2 2 2 4 6" xfId="8017" xr:uid="{00000000-0005-0000-0000-000012050000}"/>
    <cellStyle name="Heading [Helv] 2 2 2 4 6 2" xfId="27247" xr:uid="{00000000-0005-0000-0000-000012050000}"/>
    <cellStyle name="Heading [Helv] 2 2 2 4 6 3" xfId="45612" xr:uid="{00000000-0005-0000-0000-000012050000}"/>
    <cellStyle name="Heading [Helv] 2 2 2 4 7" xfId="8625" xr:uid="{00000000-0005-0000-0000-000012050000}"/>
    <cellStyle name="Heading [Helv] 2 2 2 4 7 2" xfId="27536" xr:uid="{00000000-0005-0000-0000-000012050000}"/>
    <cellStyle name="Heading [Helv] 2 2 2 4 7 3" xfId="45900" xr:uid="{00000000-0005-0000-0000-000012050000}"/>
    <cellStyle name="Heading [Helv] 2 2 2 4 8" xfId="18741" xr:uid="{00000000-0005-0000-0000-000012050000}"/>
    <cellStyle name="Heading [Helv] 2 2 2 4 8 2" xfId="37150" xr:uid="{00000000-0005-0000-0000-000012050000}"/>
    <cellStyle name="Heading [Helv] 2 2 2 4 9" xfId="7382" xr:uid="{00000000-0005-0000-0000-000012050000}"/>
    <cellStyle name="Heading [Helv] 2 2 2 5" xfId="3559" xr:uid="{00000000-0005-0000-0000-00000F050000}"/>
    <cellStyle name="Heading [Helv] 2 2 2 5 2" xfId="5732" xr:uid="{00000000-0005-0000-0000-00000F050000}"/>
    <cellStyle name="Heading [Helv] 2 2 2 5 2 2" xfId="12096" xr:uid="{00000000-0005-0000-0000-00000F050000}"/>
    <cellStyle name="Heading [Helv] 2 2 2 5 2 2 2" xfId="30543" xr:uid="{00000000-0005-0000-0000-00000F050000}"/>
    <cellStyle name="Heading [Helv] 2 2 2 5 2 2 3" xfId="48906" xr:uid="{00000000-0005-0000-0000-00000F050000}"/>
    <cellStyle name="Heading [Helv] 2 2 2 5 2 3" xfId="16422" xr:uid="{00000000-0005-0000-0000-00000F050000}"/>
    <cellStyle name="Heading [Helv] 2 2 2 5 2 3 2" xfId="34794" xr:uid="{00000000-0005-0000-0000-00000F050000}"/>
    <cellStyle name="Heading [Helv] 2 2 2 5 2 3 3" xfId="53157" xr:uid="{00000000-0005-0000-0000-00000F050000}"/>
    <cellStyle name="Heading [Helv] 2 2 2 5 2 4" xfId="25541" xr:uid="{00000000-0005-0000-0000-00000F050000}"/>
    <cellStyle name="Heading [Helv] 2 2 2 5 2 4 2" xfId="43910" xr:uid="{00000000-0005-0000-0000-00000F050000}"/>
    <cellStyle name="Heading [Helv] 2 2 2 5 2 5" xfId="21862" xr:uid="{00000000-0005-0000-0000-00000F050000}"/>
    <cellStyle name="Heading [Helv] 2 2 2 5 2 6" xfId="40241" xr:uid="{00000000-0005-0000-0000-00000F050000}"/>
    <cellStyle name="Heading [Helv] 2 2 2 5 3" xfId="6558" xr:uid="{00000000-0005-0000-0000-00000F050000}"/>
    <cellStyle name="Heading [Helv] 2 2 2 5 3 2" xfId="12849" xr:uid="{00000000-0005-0000-0000-00000F050000}"/>
    <cellStyle name="Heading [Helv] 2 2 2 5 3 2 2" xfId="31275" xr:uid="{00000000-0005-0000-0000-00000F050000}"/>
    <cellStyle name="Heading [Helv] 2 2 2 5 3 2 3" xfId="49638" xr:uid="{00000000-0005-0000-0000-00000F050000}"/>
    <cellStyle name="Heading [Helv] 2 2 2 5 3 3" xfId="17160" xr:uid="{00000000-0005-0000-0000-00000F050000}"/>
    <cellStyle name="Heading [Helv] 2 2 2 5 3 3 2" xfId="35508" xr:uid="{00000000-0005-0000-0000-00000F050000}"/>
    <cellStyle name="Heading [Helv] 2 2 2 5 3 3 3" xfId="53871" xr:uid="{00000000-0005-0000-0000-00000F050000}"/>
    <cellStyle name="Heading [Helv] 2 2 2 5 3 4" xfId="26293" xr:uid="{00000000-0005-0000-0000-00000F050000}"/>
    <cellStyle name="Heading [Helv] 2 2 2 5 3 4 2" xfId="44662" xr:uid="{00000000-0005-0000-0000-00000F050000}"/>
    <cellStyle name="Heading [Helv] 2 2 2 5 3 5" xfId="22586" xr:uid="{00000000-0005-0000-0000-00000F050000}"/>
    <cellStyle name="Heading [Helv] 2 2 2 5 3 6" xfId="40955" xr:uid="{00000000-0005-0000-0000-00000F050000}"/>
    <cellStyle name="Heading [Helv] 2 2 2 5 4" xfId="10272" xr:uid="{00000000-0005-0000-0000-00000F050000}"/>
    <cellStyle name="Heading [Helv] 2 2 2 5 4 2" xfId="14329" xr:uid="{00000000-0005-0000-0000-00000F050000}"/>
    <cellStyle name="Heading [Helv] 2 2 2 5 4 2 2" xfId="32745" xr:uid="{00000000-0005-0000-0000-00000F050000}"/>
    <cellStyle name="Heading [Helv] 2 2 2 5 4 2 3" xfId="51108" xr:uid="{00000000-0005-0000-0000-00000F050000}"/>
    <cellStyle name="Heading [Helv] 2 2 2 5 4 3" xfId="28983" xr:uid="{00000000-0005-0000-0000-00000F050000}"/>
    <cellStyle name="Heading [Helv] 2 2 2 5 4 3 2" xfId="47346" xr:uid="{00000000-0005-0000-0000-00000F050000}"/>
    <cellStyle name="Heading [Helv] 2 2 2 5 4 4" xfId="19786" xr:uid="{00000000-0005-0000-0000-00000F050000}"/>
    <cellStyle name="Heading [Helv] 2 2 2 5 4 5" xfId="38192" xr:uid="{00000000-0005-0000-0000-00000F050000}"/>
    <cellStyle name="Heading [Helv] 2 2 2 5 5" xfId="9480" xr:uid="{00000000-0005-0000-0000-00000F050000}"/>
    <cellStyle name="Heading [Helv] 2 2 2 5 5 2" xfId="28197" xr:uid="{00000000-0005-0000-0000-00000F050000}"/>
    <cellStyle name="Heading [Helv] 2 2 2 5 5 3" xfId="46560" xr:uid="{00000000-0005-0000-0000-00000F050000}"/>
    <cellStyle name="Heading [Helv] 2 2 2 5 6" xfId="13538" xr:uid="{00000000-0005-0000-0000-00000F050000}"/>
    <cellStyle name="Heading [Helv] 2 2 2 5 6 2" xfId="31959" xr:uid="{00000000-0005-0000-0000-00000F050000}"/>
    <cellStyle name="Heading [Helv] 2 2 2 5 6 3" xfId="50322" xr:uid="{00000000-0005-0000-0000-00000F050000}"/>
    <cellStyle name="Heading [Helv] 2 2 2 5 7" xfId="23467" xr:uid="{00000000-0005-0000-0000-00000F050000}"/>
    <cellStyle name="Heading [Helv] 2 2 2 5 7 2" xfId="41836" xr:uid="{00000000-0005-0000-0000-00000F050000}"/>
    <cellStyle name="Heading [Helv] 2 2 2 5 8" xfId="18577" xr:uid="{00000000-0005-0000-0000-00000F050000}"/>
    <cellStyle name="Heading [Helv] 2 2 2 5 9" xfId="36987" xr:uid="{00000000-0005-0000-0000-00000F050000}"/>
    <cellStyle name="Heading [Helv] 2 2 2 6" xfId="4590" xr:uid="{00000000-0005-0000-0000-00000F050000}"/>
    <cellStyle name="Heading [Helv] 2 2 2 6 2" xfId="11175" xr:uid="{00000000-0005-0000-0000-00000F050000}"/>
    <cellStyle name="Heading [Helv] 2 2 2 6 2 2" xfId="29789" xr:uid="{00000000-0005-0000-0000-00000F050000}"/>
    <cellStyle name="Heading [Helv] 2 2 2 6 2 3" xfId="48152" xr:uid="{00000000-0005-0000-0000-00000F050000}"/>
    <cellStyle name="Heading [Helv] 2 2 2 6 3" xfId="15316" xr:uid="{00000000-0005-0000-0000-00000F050000}"/>
    <cellStyle name="Heading [Helv] 2 2 2 6 3 2" xfId="33710" xr:uid="{00000000-0005-0000-0000-00000F050000}"/>
    <cellStyle name="Heading [Helv] 2 2 2 6 3 3" xfId="52073" xr:uid="{00000000-0005-0000-0000-00000F050000}"/>
    <cellStyle name="Heading [Helv] 2 2 2 6 4" xfId="24441" xr:uid="{00000000-0005-0000-0000-00000F050000}"/>
    <cellStyle name="Heading [Helv] 2 2 2 6 4 2" xfId="42810" xr:uid="{00000000-0005-0000-0000-00000F050000}"/>
    <cellStyle name="Heading [Helv] 2 2 2 6 5" xfId="20767" xr:uid="{00000000-0005-0000-0000-00000F050000}"/>
    <cellStyle name="Heading [Helv] 2 2 2 6 6" xfId="39157" xr:uid="{00000000-0005-0000-0000-00000F050000}"/>
    <cellStyle name="Heading [Helv] 2 2 2 7" xfId="5180" xr:uid="{00000000-0005-0000-0000-00000F050000}"/>
    <cellStyle name="Heading [Helv] 2 2 2 7 2" xfId="11673" xr:uid="{00000000-0005-0000-0000-00000F050000}"/>
    <cellStyle name="Heading [Helv] 2 2 2 7 2 2" xfId="30216" xr:uid="{00000000-0005-0000-0000-00000F050000}"/>
    <cellStyle name="Heading [Helv] 2 2 2 7 2 3" xfId="48579" xr:uid="{00000000-0005-0000-0000-00000F050000}"/>
    <cellStyle name="Heading [Helv] 2 2 2 7 3" xfId="15872" xr:uid="{00000000-0005-0000-0000-00000F050000}"/>
    <cellStyle name="Heading [Helv] 2 2 2 7 3 2" xfId="34246" xr:uid="{00000000-0005-0000-0000-00000F050000}"/>
    <cellStyle name="Heading [Helv] 2 2 2 7 3 3" xfId="52609" xr:uid="{00000000-0005-0000-0000-00000F050000}"/>
    <cellStyle name="Heading [Helv] 2 2 2 7 4" xfId="24993" xr:uid="{00000000-0005-0000-0000-00000F050000}"/>
    <cellStyle name="Heading [Helv] 2 2 2 7 4 2" xfId="43362" xr:uid="{00000000-0005-0000-0000-00000F050000}"/>
    <cellStyle name="Heading [Helv] 2 2 2 7 5" xfId="21314" xr:uid="{00000000-0005-0000-0000-00000F050000}"/>
    <cellStyle name="Heading [Helv] 2 2 2 7 6" xfId="39693" xr:uid="{00000000-0005-0000-0000-00000F050000}"/>
    <cellStyle name="Heading [Helv] 2 2 2 8" xfId="7886" xr:uid="{00000000-0005-0000-0000-00000F050000}"/>
    <cellStyle name="Heading [Helv] 2 2 2 8 2" xfId="27123" xr:uid="{00000000-0005-0000-0000-00000F050000}"/>
    <cellStyle name="Heading [Helv] 2 2 2 8 3" xfId="45488" xr:uid="{00000000-0005-0000-0000-00000F050000}"/>
    <cellStyle name="Heading [Helv] 2 2 2 9" xfId="10778" xr:uid="{00000000-0005-0000-0000-00000F050000}"/>
    <cellStyle name="Heading [Helv] 2 2 2 9 2" xfId="29476" xr:uid="{00000000-0005-0000-0000-00000F050000}"/>
    <cellStyle name="Heading [Helv] 2 2 2 9 3" xfId="47839" xr:uid="{00000000-0005-0000-0000-00000F050000}"/>
    <cellStyle name="Heading [Helv] 2 2 3" xfId="1511" xr:uid="{00000000-0005-0000-0000-000013050000}"/>
    <cellStyle name="Heading [Helv] 2 2 3 10" xfId="8528" xr:uid="{00000000-0005-0000-0000-000013050000}"/>
    <cellStyle name="Heading [Helv] 2 2 3 10 2" xfId="27515" xr:uid="{00000000-0005-0000-0000-000013050000}"/>
    <cellStyle name="Heading [Helv] 2 2 3 10 3" xfId="45879" xr:uid="{00000000-0005-0000-0000-000013050000}"/>
    <cellStyle name="Heading [Helv] 2 2 3 11" xfId="8547" xr:uid="{00000000-0005-0000-0000-000013050000}"/>
    <cellStyle name="Heading [Helv] 2 2 3 12" xfId="8322" xr:uid="{00000000-0005-0000-0000-000013050000}"/>
    <cellStyle name="Heading [Helv] 2 2 3 2" xfId="1680" xr:uid="{00000000-0005-0000-0000-000014050000}"/>
    <cellStyle name="Heading [Helv] 2 2 3 2 10" xfId="8563" xr:uid="{00000000-0005-0000-0000-000014050000}"/>
    <cellStyle name="Heading [Helv] 2 2 3 2 2" xfId="3578" xr:uid="{00000000-0005-0000-0000-000014050000}"/>
    <cellStyle name="Heading [Helv] 2 2 3 2 2 2" xfId="5751" xr:uid="{00000000-0005-0000-0000-000014050000}"/>
    <cellStyle name="Heading [Helv] 2 2 3 2 2 2 2" xfId="12115" xr:uid="{00000000-0005-0000-0000-000014050000}"/>
    <cellStyle name="Heading [Helv] 2 2 3 2 2 2 2 2" xfId="30562" xr:uid="{00000000-0005-0000-0000-000014050000}"/>
    <cellStyle name="Heading [Helv] 2 2 3 2 2 2 2 3" xfId="48925" xr:uid="{00000000-0005-0000-0000-000014050000}"/>
    <cellStyle name="Heading [Helv] 2 2 3 2 2 2 3" xfId="16441" xr:uid="{00000000-0005-0000-0000-000014050000}"/>
    <cellStyle name="Heading [Helv] 2 2 3 2 2 2 3 2" xfId="34813" xr:uid="{00000000-0005-0000-0000-000014050000}"/>
    <cellStyle name="Heading [Helv] 2 2 3 2 2 2 3 3" xfId="53176" xr:uid="{00000000-0005-0000-0000-000014050000}"/>
    <cellStyle name="Heading [Helv] 2 2 3 2 2 2 4" xfId="25560" xr:uid="{00000000-0005-0000-0000-000014050000}"/>
    <cellStyle name="Heading [Helv] 2 2 3 2 2 2 4 2" xfId="43929" xr:uid="{00000000-0005-0000-0000-000014050000}"/>
    <cellStyle name="Heading [Helv] 2 2 3 2 2 2 5" xfId="21881" xr:uid="{00000000-0005-0000-0000-000014050000}"/>
    <cellStyle name="Heading [Helv] 2 2 3 2 2 2 6" xfId="40260" xr:uid="{00000000-0005-0000-0000-000014050000}"/>
    <cellStyle name="Heading [Helv] 2 2 3 2 2 3" xfId="6577" xr:uid="{00000000-0005-0000-0000-000014050000}"/>
    <cellStyle name="Heading [Helv] 2 2 3 2 2 3 2" xfId="12868" xr:uid="{00000000-0005-0000-0000-000014050000}"/>
    <cellStyle name="Heading [Helv] 2 2 3 2 2 3 2 2" xfId="31294" xr:uid="{00000000-0005-0000-0000-000014050000}"/>
    <cellStyle name="Heading [Helv] 2 2 3 2 2 3 2 3" xfId="49657" xr:uid="{00000000-0005-0000-0000-000014050000}"/>
    <cellStyle name="Heading [Helv] 2 2 3 2 2 3 3" xfId="17179" xr:uid="{00000000-0005-0000-0000-000014050000}"/>
    <cellStyle name="Heading [Helv] 2 2 3 2 2 3 3 2" xfId="35527" xr:uid="{00000000-0005-0000-0000-000014050000}"/>
    <cellStyle name="Heading [Helv] 2 2 3 2 2 3 3 3" xfId="53890" xr:uid="{00000000-0005-0000-0000-000014050000}"/>
    <cellStyle name="Heading [Helv] 2 2 3 2 2 3 4" xfId="26312" xr:uid="{00000000-0005-0000-0000-000014050000}"/>
    <cellStyle name="Heading [Helv] 2 2 3 2 2 3 4 2" xfId="44681" xr:uid="{00000000-0005-0000-0000-000014050000}"/>
    <cellStyle name="Heading [Helv] 2 2 3 2 2 3 5" xfId="22605" xr:uid="{00000000-0005-0000-0000-000014050000}"/>
    <cellStyle name="Heading [Helv] 2 2 3 2 2 3 6" xfId="40974" xr:uid="{00000000-0005-0000-0000-000014050000}"/>
    <cellStyle name="Heading [Helv] 2 2 3 2 2 4" xfId="10291" xr:uid="{00000000-0005-0000-0000-000014050000}"/>
    <cellStyle name="Heading [Helv] 2 2 3 2 2 4 2" xfId="14348" xr:uid="{00000000-0005-0000-0000-000014050000}"/>
    <cellStyle name="Heading [Helv] 2 2 3 2 2 4 2 2" xfId="32764" xr:uid="{00000000-0005-0000-0000-000014050000}"/>
    <cellStyle name="Heading [Helv] 2 2 3 2 2 4 2 3" xfId="51127" xr:uid="{00000000-0005-0000-0000-000014050000}"/>
    <cellStyle name="Heading [Helv] 2 2 3 2 2 4 3" xfId="29002" xr:uid="{00000000-0005-0000-0000-000014050000}"/>
    <cellStyle name="Heading [Helv] 2 2 3 2 2 4 3 2" xfId="47365" xr:uid="{00000000-0005-0000-0000-000014050000}"/>
    <cellStyle name="Heading [Helv] 2 2 3 2 2 4 4" xfId="19805" xr:uid="{00000000-0005-0000-0000-000014050000}"/>
    <cellStyle name="Heading [Helv] 2 2 3 2 2 4 5" xfId="38211" xr:uid="{00000000-0005-0000-0000-000014050000}"/>
    <cellStyle name="Heading [Helv] 2 2 3 2 2 5" xfId="9499" xr:uid="{00000000-0005-0000-0000-000014050000}"/>
    <cellStyle name="Heading [Helv] 2 2 3 2 2 5 2" xfId="28216" xr:uid="{00000000-0005-0000-0000-000014050000}"/>
    <cellStyle name="Heading [Helv] 2 2 3 2 2 5 3" xfId="46579" xr:uid="{00000000-0005-0000-0000-000014050000}"/>
    <cellStyle name="Heading [Helv] 2 2 3 2 2 6" xfId="13557" xr:uid="{00000000-0005-0000-0000-000014050000}"/>
    <cellStyle name="Heading [Helv] 2 2 3 2 2 6 2" xfId="31978" xr:uid="{00000000-0005-0000-0000-000014050000}"/>
    <cellStyle name="Heading [Helv] 2 2 3 2 2 6 3" xfId="50341" xr:uid="{00000000-0005-0000-0000-000014050000}"/>
    <cellStyle name="Heading [Helv] 2 2 3 2 2 7" xfId="23486" xr:uid="{00000000-0005-0000-0000-000014050000}"/>
    <cellStyle name="Heading [Helv] 2 2 3 2 2 7 2" xfId="41855" xr:uid="{00000000-0005-0000-0000-000014050000}"/>
    <cellStyle name="Heading [Helv] 2 2 3 2 2 8" xfId="18597" xr:uid="{00000000-0005-0000-0000-000014050000}"/>
    <cellStyle name="Heading [Helv] 2 2 3 2 2 9" xfId="37007" xr:uid="{00000000-0005-0000-0000-000014050000}"/>
    <cellStyle name="Heading [Helv] 2 2 3 2 3" xfId="4619" xr:uid="{00000000-0005-0000-0000-000014050000}"/>
    <cellStyle name="Heading [Helv] 2 2 3 2 3 2" xfId="11203" xr:uid="{00000000-0005-0000-0000-000014050000}"/>
    <cellStyle name="Heading [Helv] 2 2 3 2 3 2 2" xfId="29815" xr:uid="{00000000-0005-0000-0000-000014050000}"/>
    <cellStyle name="Heading [Helv] 2 2 3 2 3 2 3" xfId="48178" xr:uid="{00000000-0005-0000-0000-000014050000}"/>
    <cellStyle name="Heading [Helv] 2 2 3 2 3 3" xfId="15345" xr:uid="{00000000-0005-0000-0000-000014050000}"/>
    <cellStyle name="Heading [Helv] 2 2 3 2 3 3 2" xfId="33738" xr:uid="{00000000-0005-0000-0000-000014050000}"/>
    <cellStyle name="Heading [Helv] 2 2 3 2 3 3 3" xfId="52101" xr:uid="{00000000-0005-0000-0000-000014050000}"/>
    <cellStyle name="Heading [Helv] 2 2 3 2 3 4" xfId="24469" xr:uid="{00000000-0005-0000-0000-000014050000}"/>
    <cellStyle name="Heading [Helv] 2 2 3 2 3 4 2" xfId="42838" xr:uid="{00000000-0005-0000-0000-000014050000}"/>
    <cellStyle name="Heading [Helv] 2 2 3 2 3 5" xfId="20796" xr:uid="{00000000-0005-0000-0000-000014050000}"/>
    <cellStyle name="Heading [Helv] 2 2 3 2 3 6" xfId="39185" xr:uid="{00000000-0005-0000-0000-000014050000}"/>
    <cellStyle name="Heading [Helv] 2 2 3 2 4" xfId="4839" xr:uid="{00000000-0005-0000-0000-000014050000}"/>
    <cellStyle name="Heading [Helv] 2 2 3 2 4 2" xfId="11400" xr:uid="{00000000-0005-0000-0000-000014050000}"/>
    <cellStyle name="Heading [Helv] 2 2 3 2 4 2 2" xfId="29992" xr:uid="{00000000-0005-0000-0000-000014050000}"/>
    <cellStyle name="Heading [Helv] 2 2 3 2 4 2 3" xfId="48355" xr:uid="{00000000-0005-0000-0000-000014050000}"/>
    <cellStyle name="Heading [Helv] 2 2 3 2 4 3" xfId="15565" xr:uid="{00000000-0005-0000-0000-000014050000}"/>
    <cellStyle name="Heading [Helv] 2 2 3 2 4 3 2" xfId="33958" xr:uid="{00000000-0005-0000-0000-000014050000}"/>
    <cellStyle name="Heading [Helv] 2 2 3 2 4 3 3" xfId="52321" xr:uid="{00000000-0005-0000-0000-000014050000}"/>
    <cellStyle name="Heading [Helv] 2 2 3 2 4 4" xfId="24689" xr:uid="{00000000-0005-0000-0000-000014050000}"/>
    <cellStyle name="Heading [Helv] 2 2 3 2 4 4 2" xfId="43058" xr:uid="{00000000-0005-0000-0000-000014050000}"/>
    <cellStyle name="Heading [Helv] 2 2 3 2 4 5" xfId="21016" xr:uid="{00000000-0005-0000-0000-000014050000}"/>
    <cellStyle name="Heading [Helv] 2 2 3 2 4 6" xfId="39405" xr:uid="{00000000-0005-0000-0000-000014050000}"/>
    <cellStyle name="Heading [Helv] 2 2 3 2 5" xfId="9814" xr:uid="{00000000-0005-0000-0000-000014050000}"/>
    <cellStyle name="Heading [Helv] 2 2 3 2 5 2" xfId="13871" xr:uid="{00000000-0005-0000-0000-000014050000}"/>
    <cellStyle name="Heading [Helv] 2 2 3 2 5 2 2" xfId="32291" xr:uid="{00000000-0005-0000-0000-000014050000}"/>
    <cellStyle name="Heading [Helv] 2 2 3 2 5 2 3" xfId="50654" xr:uid="{00000000-0005-0000-0000-000014050000}"/>
    <cellStyle name="Heading [Helv] 2 2 3 2 5 3" xfId="28529" xr:uid="{00000000-0005-0000-0000-000014050000}"/>
    <cellStyle name="Heading [Helv] 2 2 3 2 5 3 2" xfId="46892" xr:uid="{00000000-0005-0000-0000-000014050000}"/>
    <cellStyle name="Heading [Helv] 2 2 3 2 5 4" xfId="19029" xr:uid="{00000000-0005-0000-0000-000014050000}"/>
    <cellStyle name="Heading [Helv] 2 2 3 2 5 5" xfId="37438" xr:uid="{00000000-0005-0000-0000-000014050000}"/>
    <cellStyle name="Heading [Helv] 2 2 3 2 6" xfId="7913" xr:uid="{00000000-0005-0000-0000-000014050000}"/>
    <cellStyle name="Heading [Helv] 2 2 3 2 6 2" xfId="27145" xr:uid="{00000000-0005-0000-0000-000014050000}"/>
    <cellStyle name="Heading [Helv] 2 2 3 2 6 3" xfId="45510" xr:uid="{00000000-0005-0000-0000-000014050000}"/>
    <cellStyle name="Heading [Helv] 2 2 3 2 7" xfId="8745" xr:uid="{00000000-0005-0000-0000-000014050000}"/>
    <cellStyle name="Heading [Helv] 2 2 3 2 7 2" xfId="27618" xr:uid="{00000000-0005-0000-0000-000014050000}"/>
    <cellStyle name="Heading [Helv] 2 2 3 2 7 3" xfId="45981" xr:uid="{00000000-0005-0000-0000-000014050000}"/>
    <cellStyle name="Heading [Helv] 2 2 3 2 8" xfId="18808" xr:uid="{00000000-0005-0000-0000-000014050000}"/>
    <cellStyle name="Heading [Helv] 2 2 3 2 8 2" xfId="37217" xr:uid="{00000000-0005-0000-0000-000014050000}"/>
    <cellStyle name="Heading [Helv] 2 2 3 2 9" xfId="7131" xr:uid="{00000000-0005-0000-0000-000014050000}"/>
    <cellStyle name="Heading [Helv] 2 2 3 3" xfId="1406" xr:uid="{00000000-0005-0000-0000-000015050000}"/>
    <cellStyle name="Heading [Helv] 2 2 3 3 10" xfId="7597" xr:uid="{00000000-0005-0000-0000-000015050000}"/>
    <cellStyle name="Heading [Helv] 2 2 3 3 2" xfId="3439" xr:uid="{00000000-0005-0000-0000-000015050000}"/>
    <cellStyle name="Heading [Helv] 2 2 3 3 2 2" xfId="5614" xr:uid="{00000000-0005-0000-0000-000015050000}"/>
    <cellStyle name="Heading [Helv] 2 2 3 3 2 2 2" xfId="11978" xr:uid="{00000000-0005-0000-0000-000015050000}"/>
    <cellStyle name="Heading [Helv] 2 2 3 3 2 2 2 2" xfId="30425" xr:uid="{00000000-0005-0000-0000-000015050000}"/>
    <cellStyle name="Heading [Helv] 2 2 3 3 2 2 2 3" xfId="48788" xr:uid="{00000000-0005-0000-0000-000015050000}"/>
    <cellStyle name="Heading [Helv] 2 2 3 3 2 2 3" xfId="16304" xr:uid="{00000000-0005-0000-0000-000015050000}"/>
    <cellStyle name="Heading [Helv] 2 2 3 3 2 2 3 2" xfId="34676" xr:uid="{00000000-0005-0000-0000-000015050000}"/>
    <cellStyle name="Heading [Helv] 2 2 3 3 2 2 3 3" xfId="53039" xr:uid="{00000000-0005-0000-0000-000015050000}"/>
    <cellStyle name="Heading [Helv] 2 2 3 3 2 2 4" xfId="25423" xr:uid="{00000000-0005-0000-0000-000015050000}"/>
    <cellStyle name="Heading [Helv] 2 2 3 3 2 2 4 2" xfId="43792" xr:uid="{00000000-0005-0000-0000-000015050000}"/>
    <cellStyle name="Heading [Helv] 2 2 3 3 2 2 5" xfId="21744" xr:uid="{00000000-0005-0000-0000-000015050000}"/>
    <cellStyle name="Heading [Helv] 2 2 3 3 2 2 6" xfId="40123" xr:uid="{00000000-0005-0000-0000-000015050000}"/>
    <cellStyle name="Heading [Helv] 2 2 3 3 2 3" xfId="6438" xr:uid="{00000000-0005-0000-0000-000015050000}"/>
    <cellStyle name="Heading [Helv] 2 2 3 3 2 3 2" xfId="12729" xr:uid="{00000000-0005-0000-0000-000015050000}"/>
    <cellStyle name="Heading [Helv] 2 2 3 3 2 3 2 2" xfId="31155" xr:uid="{00000000-0005-0000-0000-000015050000}"/>
    <cellStyle name="Heading [Helv] 2 2 3 3 2 3 2 3" xfId="49518" xr:uid="{00000000-0005-0000-0000-000015050000}"/>
    <cellStyle name="Heading [Helv] 2 2 3 3 2 3 3" xfId="17040" xr:uid="{00000000-0005-0000-0000-000015050000}"/>
    <cellStyle name="Heading [Helv] 2 2 3 3 2 3 3 2" xfId="35388" xr:uid="{00000000-0005-0000-0000-000015050000}"/>
    <cellStyle name="Heading [Helv] 2 2 3 3 2 3 3 3" xfId="53751" xr:uid="{00000000-0005-0000-0000-000015050000}"/>
    <cellStyle name="Heading [Helv] 2 2 3 3 2 3 4" xfId="26173" xr:uid="{00000000-0005-0000-0000-000015050000}"/>
    <cellStyle name="Heading [Helv] 2 2 3 3 2 3 4 2" xfId="44542" xr:uid="{00000000-0005-0000-0000-000015050000}"/>
    <cellStyle name="Heading [Helv] 2 2 3 3 2 3 5" xfId="22466" xr:uid="{00000000-0005-0000-0000-000015050000}"/>
    <cellStyle name="Heading [Helv] 2 2 3 3 2 3 6" xfId="40835" xr:uid="{00000000-0005-0000-0000-000015050000}"/>
    <cellStyle name="Heading [Helv] 2 2 3 3 2 4" xfId="10152" xr:uid="{00000000-0005-0000-0000-000015050000}"/>
    <cellStyle name="Heading [Helv] 2 2 3 3 2 4 2" xfId="14209" xr:uid="{00000000-0005-0000-0000-000015050000}"/>
    <cellStyle name="Heading [Helv] 2 2 3 3 2 4 2 2" xfId="32625" xr:uid="{00000000-0005-0000-0000-000015050000}"/>
    <cellStyle name="Heading [Helv] 2 2 3 3 2 4 2 3" xfId="50988" xr:uid="{00000000-0005-0000-0000-000015050000}"/>
    <cellStyle name="Heading [Helv] 2 2 3 3 2 4 3" xfId="28863" xr:uid="{00000000-0005-0000-0000-000015050000}"/>
    <cellStyle name="Heading [Helv] 2 2 3 3 2 4 3 2" xfId="47226" xr:uid="{00000000-0005-0000-0000-000015050000}"/>
    <cellStyle name="Heading [Helv] 2 2 3 3 2 4 4" xfId="19666" xr:uid="{00000000-0005-0000-0000-000015050000}"/>
    <cellStyle name="Heading [Helv] 2 2 3 3 2 4 5" xfId="38072" xr:uid="{00000000-0005-0000-0000-000015050000}"/>
    <cellStyle name="Heading [Helv] 2 2 3 3 2 5" xfId="9339" xr:uid="{00000000-0005-0000-0000-000015050000}"/>
    <cellStyle name="Heading [Helv] 2 2 3 3 2 5 2" xfId="28058" xr:uid="{00000000-0005-0000-0000-000015050000}"/>
    <cellStyle name="Heading [Helv] 2 2 3 3 2 5 3" xfId="46421" xr:uid="{00000000-0005-0000-0000-000015050000}"/>
    <cellStyle name="Heading [Helv] 2 2 3 3 2 6" xfId="13395" xr:uid="{00000000-0005-0000-0000-000015050000}"/>
    <cellStyle name="Heading [Helv] 2 2 3 3 2 6 2" xfId="31816" xr:uid="{00000000-0005-0000-0000-000015050000}"/>
    <cellStyle name="Heading [Helv] 2 2 3 3 2 6 3" xfId="50179" xr:uid="{00000000-0005-0000-0000-000015050000}"/>
    <cellStyle name="Heading [Helv] 2 2 3 3 2 7" xfId="23347" xr:uid="{00000000-0005-0000-0000-000015050000}"/>
    <cellStyle name="Heading [Helv] 2 2 3 3 2 7 2" xfId="41716" xr:uid="{00000000-0005-0000-0000-000015050000}"/>
    <cellStyle name="Heading [Helv] 2 2 3 3 2 8" xfId="18418" xr:uid="{00000000-0005-0000-0000-000015050000}"/>
    <cellStyle name="Heading [Helv] 2 2 3 3 2 9" xfId="36824" xr:uid="{00000000-0005-0000-0000-000015050000}"/>
    <cellStyle name="Heading [Helv] 2 2 3 3 3" xfId="4432" xr:uid="{00000000-0005-0000-0000-000015050000}"/>
    <cellStyle name="Heading [Helv] 2 2 3 3 3 2" xfId="11031" xr:uid="{00000000-0005-0000-0000-000015050000}"/>
    <cellStyle name="Heading [Helv] 2 2 3 3 3 2 2" xfId="29651" xr:uid="{00000000-0005-0000-0000-000015050000}"/>
    <cellStyle name="Heading [Helv] 2 2 3 3 3 2 3" xfId="48014" xr:uid="{00000000-0005-0000-0000-000015050000}"/>
    <cellStyle name="Heading [Helv] 2 2 3 3 3 3" xfId="15166" xr:uid="{00000000-0005-0000-0000-000015050000}"/>
    <cellStyle name="Heading [Helv] 2 2 3 3 3 3 2" xfId="33563" xr:uid="{00000000-0005-0000-0000-000015050000}"/>
    <cellStyle name="Heading [Helv] 2 2 3 3 3 3 3" xfId="51926" xr:uid="{00000000-0005-0000-0000-000015050000}"/>
    <cellStyle name="Heading [Helv] 2 2 3 3 3 4" xfId="24294" xr:uid="{00000000-0005-0000-0000-000015050000}"/>
    <cellStyle name="Heading [Helv] 2 2 3 3 3 4 2" xfId="42663" xr:uid="{00000000-0005-0000-0000-000015050000}"/>
    <cellStyle name="Heading [Helv] 2 2 3 3 3 5" xfId="20617" xr:uid="{00000000-0005-0000-0000-000015050000}"/>
    <cellStyle name="Heading [Helv] 2 2 3 3 3 6" xfId="39010" xr:uid="{00000000-0005-0000-0000-000015050000}"/>
    <cellStyle name="Heading [Helv] 2 2 3 3 4" xfId="4888" xr:uid="{00000000-0005-0000-0000-000015050000}"/>
    <cellStyle name="Heading [Helv] 2 2 3 3 4 2" xfId="11444" xr:uid="{00000000-0005-0000-0000-000015050000}"/>
    <cellStyle name="Heading [Helv] 2 2 3 3 4 2 2" xfId="30032" xr:uid="{00000000-0005-0000-0000-000015050000}"/>
    <cellStyle name="Heading [Helv] 2 2 3 3 4 2 3" xfId="48395" xr:uid="{00000000-0005-0000-0000-000015050000}"/>
    <cellStyle name="Heading [Helv] 2 2 3 3 4 3" xfId="15614" xr:uid="{00000000-0005-0000-0000-000015050000}"/>
    <cellStyle name="Heading [Helv] 2 2 3 3 4 3 2" xfId="34005" xr:uid="{00000000-0005-0000-0000-000015050000}"/>
    <cellStyle name="Heading [Helv] 2 2 3 3 4 3 3" xfId="52368" xr:uid="{00000000-0005-0000-0000-000015050000}"/>
    <cellStyle name="Heading [Helv] 2 2 3 3 4 4" xfId="24736" xr:uid="{00000000-0005-0000-0000-000015050000}"/>
    <cellStyle name="Heading [Helv] 2 2 3 3 4 4 2" xfId="43105" xr:uid="{00000000-0005-0000-0000-000015050000}"/>
    <cellStyle name="Heading [Helv] 2 2 3 3 4 5" xfId="21063" xr:uid="{00000000-0005-0000-0000-000015050000}"/>
    <cellStyle name="Heading [Helv] 2 2 3 3 4 6" xfId="39452" xr:uid="{00000000-0005-0000-0000-000015050000}"/>
    <cellStyle name="Heading [Helv] 2 2 3 3 5" xfId="9943" xr:uid="{00000000-0005-0000-0000-000015050000}"/>
    <cellStyle name="Heading [Helv] 2 2 3 3 5 2" xfId="14000" xr:uid="{00000000-0005-0000-0000-000015050000}"/>
    <cellStyle name="Heading [Helv] 2 2 3 3 5 2 2" xfId="32417" xr:uid="{00000000-0005-0000-0000-000015050000}"/>
    <cellStyle name="Heading [Helv] 2 2 3 3 5 2 3" xfId="50780" xr:uid="{00000000-0005-0000-0000-000015050000}"/>
    <cellStyle name="Heading [Helv] 2 2 3 3 5 3" xfId="28655" xr:uid="{00000000-0005-0000-0000-000015050000}"/>
    <cellStyle name="Heading [Helv] 2 2 3 3 5 3 2" xfId="47018" xr:uid="{00000000-0005-0000-0000-000015050000}"/>
    <cellStyle name="Heading [Helv] 2 2 3 3 5 4" xfId="19269" xr:uid="{00000000-0005-0000-0000-000015050000}"/>
    <cellStyle name="Heading [Helv] 2 2 3 3 5 5" xfId="37676" xr:uid="{00000000-0005-0000-0000-000015050000}"/>
    <cellStyle name="Heading [Helv] 2 2 3 3 6" xfId="7698" xr:uid="{00000000-0005-0000-0000-000015050000}"/>
    <cellStyle name="Heading [Helv] 2 2 3 3 6 2" xfId="26980" xr:uid="{00000000-0005-0000-0000-000015050000}"/>
    <cellStyle name="Heading [Helv] 2 2 3 3 6 3" xfId="45345" xr:uid="{00000000-0005-0000-0000-000015050000}"/>
    <cellStyle name="Heading [Helv] 2 2 3 3 7" xfId="7478" xr:uid="{00000000-0005-0000-0000-000015050000}"/>
    <cellStyle name="Heading [Helv] 2 2 3 3 7 2" xfId="26844" xr:uid="{00000000-0005-0000-0000-000015050000}"/>
    <cellStyle name="Heading [Helv] 2 2 3 3 7 3" xfId="45209" xr:uid="{00000000-0005-0000-0000-000015050000}"/>
    <cellStyle name="Heading [Helv] 2 2 3 3 8" xfId="18544" xr:uid="{00000000-0005-0000-0000-000015050000}"/>
    <cellStyle name="Heading [Helv] 2 2 3 3 8 2" xfId="36953" xr:uid="{00000000-0005-0000-0000-000015050000}"/>
    <cellStyle name="Heading [Helv] 2 2 3 3 9" xfId="7780" xr:uid="{00000000-0005-0000-0000-000015050000}"/>
    <cellStyle name="Heading [Helv] 2 2 3 4" xfId="1369" xr:uid="{00000000-0005-0000-0000-000016050000}"/>
    <cellStyle name="Heading [Helv] 2 2 3 4 10" xfId="21310" xr:uid="{00000000-0005-0000-0000-000016050000}"/>
    <cellStyle name="Heading [Helv] 2 2 3 4 2" xfId="3411" xr:uid="{00000000-0005-0000-0000-000016050000}"/>
    <cellStyle name="Heading [Helv] 2 2 3 4 2 2" xfId="5586" xr:uid="{00000000-0005-0000-0000-000016050000}"/>
    <cellStyle name="Heading [Helv] 2 2 3 4 2 2 2" xfId="11950" xr:uid="{00000000-0005-0000-0000-000016050000}"/>
    <cellStyle name="Heading [Helv] 2 2 3 4 2 2 2 2" xfId="30397" xr:uid="{00000000-0005-0000-0000-000016050000}"/>
    <cellStyle name="Heading [Helv] 2 2 3 4 2 2 2 3" xfId="48760" xr:uid="{00000000-0005-0000-0000-000016050000}"/>
    <cellStyle name="Heading [Helv] 2 2 3 4 2 2 3" xfId="16276" xr:uid="{00000000-0005-0000-0000-000016050000}"/>
    <cellStyle name="Heading [Helv] 2 2 3 4 2 2 3 2" xfId="34648" xr:uid="{00000000-0005-0000-0000-000016050000}"/>
    <cellStyle name="Heading [Helv] 2 2 3 4 2 2 3 3" xfId="53011" xr:uid="{00000000-0005-0000-0000-000016050000}"/>
    <cellStyle name="Heading [Helv] 2 2 3 4 2 2 4" xfId="25395" xr:uid="{00000000-0005-0000-0000-000016050000}"/>
    <cellStyle name="Heading [Helv] 2 2 3 4 2 2 4 2" xfId="43764" xr:uid="{00000000-0005-0000-0000-000016050000}"/>
    <cellStyle name="Heading [Helv] 2 2 3 4 2 2 5" xfId="21716" xr:uid="{00000000-0005-0000-0000-000016050000}"/>
    <cellStyle name="Heading [Helv] 2 2 3 4 2 2 6" xfId="40095" xr:uid="{00000000-0005-0000-0000-000016050000}"/>
    <cellStyle name="Heading [Helv] 2 2 3 4 2 3" xfId="6410" xr:uid="{00000000-0005-0000-0000-000016050000}"/>
    <cellStyle name="Heading [Helv] 2 2 3 4 2 3 2" xfId="12701" xr:uid="{00000000-0005-0000-0000-000016050000}"/>
    <cellStyle name="Heading [Helv] 2 2 3 4 2 3 2 2" xfId="31127" xr:uid="{00000000-0005-0000-0000-000016050000}"/>
    <cellStyle name="Heading [Helv] 2 2 3 4 2 3 2 3" xfId="49490" xr:uid="{00000000-0005-0000-0000-000016050000}"/>
    <cellStyle name="Heading [Helv] 2 2 3 4 2 3 3" xfId="17012" xr:uid="{00000000-0005-0000-0000-000016050000}"/>
    <cellStyle name="Heading [Helv] 2 2 3 4 2 3 3 2" xfId="35360" xr:uid="{00000000-0005-0000-0000-000016050000}"/>
    <cellStyle name="Heading [Helv] 2 2 3 4 2 3 3 3" xfId="53723" xr:uid="{00000000-0005-0000-0000-000016050000}"/>
    <cellStyle name="Heading [Helv] 2 2 3 4 2 3 4" xfId="26145" xr:uid="{00000000-0005-0000-0000-000016050000}"/>
    <cellStyle name="Heading [Helv] 2 2 3 4 2 3 4 2" xfId="44514" xr:uid="{00000000-0005-0000-0000-000016050000}"/>
    <cellStyle name="Heading [Helv] 2 2 3 4 2 3 5" xfId="22438" xr:uid="{00000000-0005-0000-0000-000016050000}"/>
    <cellStyle name="Heading [Helv] 2 2 3 4 2 3 6" xfId="40807" xr:uid="{00000000-0005-0000-0000-000016050000}"/>
    <cellStyle name="Heading [Helv] 2 2 3 4 2 4" xfId="10124" xr:uid="{00000000-0005-0000-0000-000016050000}"/>
    <cellStyle name="Heading [Helv] 2 2 3 4 2 4 2" xfId="14181" xr:uid="{00000000-0005-0000-0000-000016050000}"/>
    <cellStyle name="Heading [Helv] 2 2 3 4 2 4 2 2" xfId="32597" xr:uid="{00000000-0005-0000-0000-000016050000}"/>
    <cellStyle name="Heading [Helv] 2 2 3 4 2 4 2 3" xfId="50960" xr:uid="{00000000-0005-0000-0000-000016050000}"/>
    <cellStyle name="Heading [Helv] 2 2 3 4 2 4 3" xfId="28835" xr:uid="{00000000-0005-0000-0000-000016050000}"/>
    <cellStyle name="Heading [Helv] 2 2 3 4 2 4 3 2" xfId="47198" xr:uid="{00000000-0005-0000-0000-000016050000}"/>
    <cellStyle name="Heading [Helv] 2 2 3 4 2 4 4" xfId="19638" xr:uid="{00000000-0005-0000-0000-000016050000}"/>
    <cellStyle name="Heading [Helv] 2 2 3 4 2 4 5" xfId="38044" xr:uid="{00000000-0005-0000-0000-000016050000}"/>
    <cellStyle name="Heading [Helv] 2 2 3 4 2 5" xfId="9311" xr:uid="{00000000-0005-0000-0000-000016050000}"/>
    <cellStyle name="Heading [Helv] 2 2 3 4 2 5 2" xfId="28030" xr:uid="{00000000-0005-0000-0000-000016050000}"/>
    <cellStyle name="Heading [Helv] 2 2 3 4 2 5 3" xfId="46393" xr:uid="{00000000-0005-0000-0000-000016050000}"/>
    <cellStyle name="Heading [Helv] 2 2 3 4 2 6" xfId="13367" xr:uid="{00000000-0005-0000-0000-000016050000}"/>
    <cellStyle name="Heading [Helv] 2 2 3 4 2 6 2" xfId="31788" xr:uid="{00000000-0005-0000-0000-000016050000}"/>
    <cellStyle name="Heading [Helv] 2 2 3 4 2 6 3" xfId="50151" xr:uid="{00000000-0005-0000-0000-000016050000}"/>
    <cellStyle name="Heading [Helv] 2 2 3 4 2 7" xfId="23319" xr:uid="{00000000-0005-0000-0000-000016050000}"/>
    <cellStyle name="Heading [Helv] 2 2 3 4 2 7 2" xfId="41688" xr:uid="{00000000-0005-0000-0000-000016050000}"/>
    <cellStyle name="Heading [Helv] 2 2 3 4 2 8" xfId="18387" xr:uid="{00000000-0005-0000-0000-000016050000}"/>
    <cellStyle name="Heading [Helv] 2 2 3 4 2 9" xfId="36793" xr:uid="{00000000-0005-0000-0000-000016050000}"/>
    <cellStyle name="Heading [Helv] 2 2 3 4 3" xfId="4402" xr:uid="{00000000-0005-0000-0000-000016050000}"/>
    <cellStyle name="Heading [Helv] 2 2 3 4 3 2" xfId="11001" xr:uid="{00000000-0005-0000-0000-000016050000}"/>
    <cellStyle name="Heading [Helv] 2 2 3 4 3 2 2" xfId="29623" xr:uid="{00000000-0005-0000-0000-000016050000}"/>
    <cellStyle name="Heading [Helv] 2 2 3 4 3 2 3" xfId="47986" xr:uid="{00000000-0005-0000-0000-000016050000}"/>
    <cellStyle name="Heading [Helv] 2 2 3 4 3 3" xfId="15137" xr:uid="{00000000-0005-0000-0000-000016050000}"/>
    <cellStyle name="Heading [Helv] 2 2 3 4 3 3 2" xfId="33534" xr:uid="{00000000-0005-0000-0000-000016050000}"/>
    <cellStyle name="Heading [Helv] 2 2 3 4 3 3 3" xfId="51897" xr:uid="{00000000-0005-0000-0000-000016050000}"/>
    <cellStyle name="Heading [Helv] 2 2 3 4 3 4" xfId="24265" xr:uid="{00000000-0005-0000-0000-000016050000}"/>
    <cellStyle name="Heading [Helv] 2 2 3 4 3 4 2" xfId="42634" xr:uid="{00000000-0005-0000-0000-000016050000}"/>
    <cellStyle name="Heading [Helv] 2 2 3 4 3 5" xfId="20588" xr:uid="{00000000-0005-0000-0000-000016050000}"/>
    <cellStyle name="Heading [Helv] 2 2 3 4 3 6" xfId="38981" xr:uid="{00000000-0005-0000-0000-000016050000}"/>
    <cellStyle name="Heading [Helv] 2 2 3 4 4" xfId="4051" xr:uid="{00000000-0005-0000-0000-000016050000}"/>
    <cellStyle name="Heading [Helv] 2 2 3 4 4 2" xfId="10752" xr:uid="{00000000-0005-0000-0000-000016050000}"/>
    <cellStyle name="Heading [Helv] 2 2 3 4 4 2 2" xfId="29455" xr:uid="{00000000-0005-0000-0000-000016050000}"/>
    <cellStyle name="Heading [Helv] 2 2 3 4 4 2 3" xfId="47818" xr:uid="{00000000-0005-0000-0000-000016050000}"/>
    <cellStyle name="Heading [Helv] 2 2 3 4 4 3" xfId="14812" xr:uid="{00000000-0005-0000-0000-000016050000}"/>
    <cellStyle name="Heading [Helv] 2 2 3 4 4 3 2" xfId="33224" xr:uid="{00000000-0005-0000-0000-000016050000}"/>
    <cellStyle name="Heading [Helv] 2 2 3 4 4 3 3" xfId="51587" xr:uid="{00000000-0005-0000-0000-000016050000}"/>
    <cellStyle name="Heading [Helv] 2 2 3 4 4 4" xfId="23948" xr:uid="{00000000-0005-0000-0000-000016050000}"/>
    <cellStyle name="Heading [Helv] 2 2 3 4 4 4 2" xfId="42317" xr:uid="{00000000-0005-0000-0000-000016050000}"/>
    <cellStyle name="Heading [Helv] 2 2 3 4 4 5" xfId="20268" xr:uid="{00000000-0005-0000-0000-000016050000}"/>
    <cellStyle name="Heading [Helv] 2 2 3 4 4 6" xfId="38671" xr:uid="{00000000-0005-0000-0000-000016050000}"/>
    <cellStyle name="Heading [Helv] 2 2 3 4 5" xfId="9175" xr:uid="{00000000-0005-0000-0000-000016050000}"/>
    <cellStyle name="Heading [Helv] 2 2 3 4 5 2" xfId="13233" xr:uid="{00000000-0005-0000-0000-000016050000}"/>
    <cellStyle name="Heading [Helv] 2 2 3 4 5 2 2" xfId="31654" xr:uid="{00000000-0005-0000-0000-000016050000}"/>
    <cellStyle name="Heading [Helv] 2 2 3 4 5 2 3" xfId="50017" xr:uid="{00000000-0005-0000-0000-000016050000}"/>
    <cellStyle name="Heading [Helv] 2 2 3 4 5 3" xfId="27896" xr:uid="{00000000-0005-0000-0000-000016050000}"/>
    <cellStyle name="Heading [Helv] 2 2 3 4 5 3 2" xfId="46259" xr:uid="{00000000-0005-0000-0000-000016050000}"/>
    <cellStyle name="Heading [Helv] 2 2 3 4 5 4" xfId="18184" xr:uid="{00000000-0005-0000-0000-000016050000}"/>
    <cellStyle name="Heading [Helv] 2 2 3 4 5 5" xfId="36590" xr:uid="{00000000-0005-0000-0000-000016050000}"/>
    <cellStyle name="Heading [Helv] 2 2 3 4 6" xfId="7664" xr:uid="{00000000-0005-0000-0000-000016050000}"/>
    <cellStyle name="Heading [Helv] 2 2 3 4 6 2" xfId="26948" xr:uid="{00000000-0005-0000-0000-000016050000}"/>
    <cellStyle name="Heading [Helv] 2 2 3 4 6 3" xfId="45313" xr:uid="{00000000-0005-0000-0000-000016050000}"/>
    <cellStyle name="Heading [Helv] 2 2 3 4 7" xfId="9008" xr:uid="{00000000-0005-0000-0000-000016050000}"/>
    <cellStyle name="Heading [Helv] 2 2 3 4 7 2" xfId="27736" xr:uid="{00000000-0005-0000-0000-000016050000}"/>
    <cellStyle name="Heading [Helv] 2 2 3 4 7 3" xfId="46099" xr:uid="{00000000-0005-0000-0000-000016050000}"/>
    <cellStyle name="Heading [Helv] 2 2 3 4 8" xfId="19452" xr:uid="{00000000-0005-0000-0000-000016050000}"/>
    <cellStyle name="Heading [Helv] 2 2 3 4 8 2" xfId="37858" xr:uid="{00000000-0005-0000-0000-000016050000}"/>
    <cellStyle name="Heading [Helv] 2 2 3 4 9" xfId="10882" xr:uid="{00000000-0005-0000-0000-000016050000}"/>
    <cellStyle name="Heading [Helv] 2 2 3 5" xfId="3517" xr:uid="{00000000-0005-0000-0000-000013050000}"/>
    <cellStyle name="Heading [Helv] 2 2 3 5 2" xfId="5691" xr:uid="{00000000-0005-0000-0000-000013050000}"/>
    <cellStyle name="Heading [Helv] 2 2 3 5 2 2" xfId="12055" xr:uid="{00000000-0005-0000-0000-000013050000}"/>
    <cellStyle name="Heading [Helv] 2 2 3 5 2 2 2" xfId="30502" xr:uid="{00000000-0005-0000-0000-000013050000}"/>
    <cellStyle name="Heading [Helv] 2 2 3 5 2 2 3" xfId="48865" xr:uid="{00000000-0005-0000-0000-000013050000}"/>
    <cellStyle name="Heading [Helv] 2 2 3 5 2 3" xfId="16381" xr:uid="{00000000-0005-0000-0000-000013050000}"/>
    <cellStyle name="Heading [Helv] 2 2 3 5 2 3 2" xfId="34753" xr:uid="{00000000-0005-0000-0000-000013050000}"/>
    <cellStyle name="Heading [Helv] 2 2 3 5 2 3 3" xfId="53116" xr:uid="{00000000-0005-0000-0000-000013050000}"/>
    <cellStyle name="Heading [Helv] 2 2 3 5 2 4" xfId="25500" xr:uid="{00000000-0005-0000-0000-000013050000}"/>
    <cellStyle name="Heading [Helv] 2 2 3 5 2 4 2" xfId="43869" xr:uid="{00000000-0005-0000-0000-000013050000}"/>
    <cellStyle name="Heading [Helv] 2 2 3 5 2 5" xfId="21821" xr:uid="{00000000-0005-0000-0000-000013050000}"/>
    <cellStyle name="Heading [Helv] 2 2 3 5 2 6" xfId="40200" xr:uid="{00000000-0005-0000-0000-000013050000}"/>
    <cellStyle name="Heading [Helv] 2 2 3 5 3" xfId="6516" xr:uid="{00000000-0005-0000-0000-000013050000}"/>
    <cellStyle name="Heading [Helv] 2 2 3 5 3 2" xfId="12807" xr:uid="{00000000-0005-0000-0000-000013050000}"/>
    <cellStyle name="Heading [Helv] 2 2 3 5 3 2 2" xfId="31233" xr:uid="{00000000-0005-0000-0000-000013050000}"/>
    <cellStyle name="Heading [Helv] 2 2 3 5 3 2 3" xfId="49596" xr:uid="{00000000-0005-0000-0000-000013050000}"/>
    <cellStyle name="Heading [Helv] 2 2 3 5 3 3" xfId="17118" xr:uid="{00000000-0005-0000-0000-000013050000}"/>
    <cellStyle name="Heading [Helv] 2 2 3 5 3 3 2" xfId="35466" xr:uid="{00000000-0005-0000-0000-000013050000}"/>
    <cellStyle name="Heading [Helv] 2 2 3 5 3 3 3" xfId="53829" xr:uid="{00000000-0005-0000-0000-000013050000}"/>
    <cellStyle name="Heading [Helv] 2 2 3 5 3 4" xfId="26251" xr:uid="{00000000-0005-0000-0000-000013050000}"/>
    <cellStyle name="Heading [Helv] 2 2 3 5 3 4 2" xfId="44620" xr:uid="{00000000-0005-0000-0000-000013050000}"/>
    <cellStyle name="Heading [Helv] 2 2 3 5 3 5" xfId="22544" xr:uid="{00000000-0005-0000-0000-000013050000}"/>
    <cellStyle name="Heading [Helv] 2 2 3 5 3 6" xfId="40913" xr:uid="{00000000-0005-0000-0000-000013050000}"/>
    <cellStyle name="Heading [Helv] 2 2 3 5 4" xfId="10230" xr:uid="{00000000-0005-0000-0000-000013050000}"/>
    <cellStyle name="Heading [Helv] 2 2 3 5 4 2" xfId="14287" xr:uid="{00000000-0005-0000-0000-000013050000}"/>
    <cellStyle name="Heading [Helv] 2 2 3 5 4 2 2" xfId="32703" xr:uid="{00000000-0005-0000-0000-000013050000}"/>
    <cellStyle name="Heading [Helv] 2 2 3 5 4 2 3" xfId="51066" xr:uid="{00000000-0005-0000-0000-000013050000}"/>
    <cellStyle name="Heading [Helv] 2 2 3 5 4 3" xfId="28941" xr:uid="{00000000-0005-0000-0000-000013050000}"/>
    <cellStyle name="Heading [Helv] 2 2 3 5 4 3 2" xfId="47304" xr:uid="{00000000-0005-0000-0000-000013050000}"/>
    <cellStyle name="Heading [Helv] 2 2 3 5 4 4" xfId="19744" xr:uid="{00000000-0005-0000-0000-000013050000}"/>
    <cellStyle name="Heading [Helv] 2 2 3 5 4 5" xfId="38150" xr:uid="{00000000-0005-0000-0000-000013050000}"/>
    <cellStyle name="Heading [Helv] 2 2 3 5 5" xfId="9425" xr:uid="{00000000-0005-0000-0000-000013050000}"/>
    <cellStyle name="Heading [Helv] 2 2 3 5 5 2" xfId="28142" xr:uid="{00000000-0005-0000-0000-000013050000}"/>
    <cellStyle name="Heading [Helv] 2 2 3 5 5 3" xfId="46505" xr:uid="{00000000-0005-0000-0000-000013050000}"/>
    <cellStyle name="Heading [Helv] 2 2 3 5 6" xfId="13482" xr:uid="{00000000-0005-0000-0000-000013050000}"/>
    <cellStyle name="Heading [Helv] 2 2 3 5 6 2" xfId="31903" xr:uid="{00000000-0005-0000-0000-000013050000}"/>
    <cellStyle name="Heading [Helv] 2 2 3 5 6 3" xfId="50266" xr:uid="{00000000-0005-0000-0000-000013050000}"/>
    <cellStyle name="Heading [Helv] 2 2 3 5 7" xfId="23425" xr:uid="{00000000-0005-0000-0000-000013050000}"/>
    <cellStyle name="Heading [Helv] 2 2 3 5 7 2" xfId="41794" xr:uid="{00000000-0005-0000-0000-000013050000}"/>
    <cellStyle name="Heading [Helv] 2 2 3 5 8" xfId="18510" xr:uid="{00000000-0005-0000-0000-000013050000}"/>
    <cellStyle name="Heading [Helv] 2 2 3 5 9" xfId="36919" xr:uid="{00000000-0005-0000-0000-000013050000}"/>
    <cellStyle name="Heading [Helv] 2 2 3 6" xfId="4521" xr:uid="{00000000-0005-0000-0000-000013050000}"/>
    <cellStyle name="Heading [Helv] 2 2 3 6 2" xfId="11112" xr:uid="{00000000-0005-0000-0000-000013050000}"/>
    <cellStyle name="Heading [Helv] 2 2 3 6 2 2" xfId="29730" xr:uid="{00000000-0005-0000-0000-000013050000}"/>
    <cellStyle name="Heading [Helv] 2 2 3 6 2 3" xfId="48093" xr:uid="{00000000-0005-0000-0000-000013050000}"/>
    <cellStyle name="Heading [Helv] 2 2 3 6 3" xfId="15250" xr:uid="{00000000-0005-0000-0000-000013050000}"/>
    <cellStyle name="Heading [Helv] 2 2 3 6 3 2" xfId="33644" xr:uid="{00000000-0005-0000-0000-000013050000}"/>
    <cellStyle name="Heading [Helv] 2 2 3 6 3 3" xfId="52007" xr:uid="{00000000-0005-0000-0000-000013050000}"/>
    <cellStyle name="Heading [Helv] 2 2 3 6 4" xfId="24375" xr:uid="{00000000-0005-0000-0000-000013050000}"/>
    <cellStyle name="Heading [Helv] 2 2 3 6 4 2" xfId="42744" xr:uid="{00000000-0005-0000-0000-000013050000}"/>
    <cellStyle name="Heading [Helv] 2 2 3 6 5" xfId="20699" xr:uid="{00000000-0005-0000-0000-000013050000}"/>
    <cellStyle name="Heading [Helv] 2 2 3 6 6" xfId="39091" xr:uid="{00000000-0005-0000-0000-000013050000}"/>
    <cellStyle name="Heading [Helv] 2 2 3 7" xfId="3990" xr:uid="{00000000-0005-0000-0000-000013050000}"/>
    <cellStyle name="Heading [Helv] 2 2 3 7 2" xfId="10695" xr:uid="{00000000-0005-0000-0000-000013050000}"/>
    <cellStyle name="Heading [Helv] 2 2 3 7 2 2" xfId="29400" xr:uid="{00000000-0005-0000-0000-000013050000}"/>
    <cellStyle name="Heading [Helv] 2 2 3 7 2 3" xfId="47763" xr:uid="{00000000-0005-0000-0000-000013050000}"/>
    <cellStyle name="Heading [Helv] 2 2 3 7 3" xfId="14751" xr:uid="{00000000-0005-0000-0000-000013050000}"/>
    <cellStyle name="Heading [Helv] 2 2 3 7 3 2" xfId="33163" xr:uid="{00000000-0005-0000-0000-000013050000}"/>
    <cellStyle name="Heading [Helv] 2 2 3 7 3 3" xfId="51526" xr:uid="{00000000-0005-0000-0000-000013050000}"/>
    <cellStyle name="Heading [Helv] 2 2 3 7 4" xfId="23887" xr:uid="{00000000-0005-0000-0000-000013050000}"/>
    <cellStyle name="Heading [Helv] 2 2 3 7 4 2" xfId="42256" xr:uid="{00000000-0005-0000-0000-000013050000}"/>
    <cellStyle name="Heading [Helv] 2 2 3 7 5" xfId="20207" xr:uid="{00000000-0005-0000-0000-000013050000}"/>
    <cellStyle name="Heading [Helv] 2 2 3 7 6" xfId="38610" xr:uid="{00000000-0005-0000-0000-000013050000}"/>
    <cellStyle name="Heading [Helv] 2 2 3 8" xfId="9720" xr:uid="{00000000-0005-0000-0000-000013050000}"/>
    <cellStyle name="Heading [Helv] 2 2 3 8 2" xfId="13777" xr:uid="{00000000-0005-0000-0000-000013050000}"/>
    <cellStyle name="Heading [Helv] 2 2 3 8 2 2" xfId="32198" xr:uid="{00000000-0005-0000-0000-000013050000}"/>
    <cellStyle name="Heading [Helv] 2 2 3 8 2 3" xfId="50561" xr:uid="{00000000-0005-0000-0000-000013050000}"/>
    <cellStyle name="Heading [Helv] 2 2 3 8 3" xfId="28436" xr:uid="{00000000-0005-0000-0000-000013050000}"/>
    <cellStyle name="Heading [Helv] 2 2 3 8 3 2" xfId="46799" xr:uid="{00000000-0005-0000-0000-000013050000}"/>
    <cellStyle name="Heading [Helv] 2 2 3 8 4" xfId="18871" xr:uid="{00000000-0005-0000-0000-000013050000}"/>
    <cellStyle name="Heading [Helv] 2 2 3 8 5" xfId="37280" xr:uid="{00000000-0005-0000-0000-000013050000}"/>
    <cellStyle name="Heading [Helv] 2 2 3 9" xfId="7790" xr:uid="{00000000-0005-0000-0000-000013050000}"/>
    <cellStyle name="Heading [Helv] 2 2 3 9 2" xfId="27061" xr:uid="{00000000-0005-0000-0000-000013050000}"/>
    <cellStyle name="Heading [Helv] 2 2 3 9 3" xfId="45426" xr:uid="{00000000-0005-0000-0000-000013050000}"/>
    <cellStyle name="Heading [Helv] 2 2 4" xfId="1469" xr:uid="{00000000-0005-0000-0000-000017050000}"/>
    <cellStyle name="Heading [Helv] 2 2 4 10" xfId="7293" xr:uid="{00000000-0005-0000-0000-000017050000}"/>
    <cellStyle name="Heading [Helv] 2 2 4 2" xfId="3485" xr:uid="{00000000-0005-0000-0000-000017050000}"/>
    <cellStyle name="Heading [Helv] 2 2 4 2 2" xfId="5660" xr:uid="{00000000-0005-0000-0000-000017050000}"/>
    <cellStyle name="Heading [Helv] 2 2 4 2 2 2" xfId="12024" xr:uid="{00000000-0005-0000-0000-000017050000}"/>
    <cellStyle name="Heading [Helv] 2 2 4 2 2 2 2" xfId="30471" xr:uid="{00000000-0005-0000-0000-000017050000}"/>
    <cellStyle name="Heading [Helv] 2 2 4 2 2 2 3" xfId="48834" xr:uid="{00000000-0005-0000-0000-000017050000}"/>
    <cellStyle name="Heading [Helv] 2 2 4 2 2 3" xfId="16350" xr:uid="{00000000-0005-0000-0000-000017050000}"/>
    <cellStyle name="Heading [Helv] 2 2 4 2 2 3 2" xfId="34722" xr:uid="{00000000-0005-0000-0000-000017050000}"/>
    <cellStyle name="Heading [Helv] 2 2 4 2 2 3 3" xfId="53085" xr:uid="{00000000-0005-0000-0000-000017050000}"/>
    <cellStyle name="Heading [Helv] 2 2 4 2 2 4" xfId="25469" xr:uid="{00000000-0005-0000-0000-000017050000}"/>
    <cellStyle name="Heading [Helv] 2 2 4 2 2 4 2" xfId="43838" xr:uid="{00000000-0005-0000-0000-000017050000}"/>
    <cellStyle name="Heading [Helv] 2 2 4 2 2 5" xfId="21790" xr:uid="{00000000-0005-0000-0000-000017050000}"/>
    <cellStyle name="Heading [Helv] 2 2 4 2 2 6" xfId="40169" xr:uid="{00000000-0005-0000-0000-000017050000}"/>
    <cellStyle name="Heading [Helv] 2 2 4 2 3" xfId="6484" xr:uid="{00000000-0005-0000-0000-000017050000}"/>
    <cellStyle name="Heading [Helv] 2 2 4 2 3 2" xfId="12775" xr:uid="{00000000-0005-0000-0000-000017050000}"/>
    <cellStyle name="Heading [Helv] 2 2 4 2 3 2 2" xfId="31201" xr:uid="{00000000-0005-0000-0000-000017050000}"/>
    <cellStyle name="Heading [Helv] 2 2 4 2 3 2 3" xfId="49564" xr:uid="{00000000-0005-0000-0000-000017050000}"/>
    <cellStyle name="Heading [Helv] 2 2 4 2 3 3" xfId="17086" xr:uid="{00000000-0005-0000-0000-000017050000}"/>
    <cellStyle name="Heading [Helv] 2 2 4 2 3 3 2" xfId="35434" xr:uid="{00000000-0005-0000-0000-000017050000}"/>
    <cellStyle name="Heading [Helv] 2 2 4 2 3 3 3" xfId="53797" xr:uid="{00000000-0005-0000-0000-000017050000}"/>
    <cellStyle name="Heading [Helv] 2 2 4 2 3 4" xfId="26219" xr:uid="{00000000-0005-0000-0000-000017050000}"/>
    <cellStyle name="Heading [Helv] 2 2 4 2 3 4 2" xfId="44588" xr:uid="{00000000-0005-0000-0000-000017050000}"/>
    <cellStyle name="Heading [Helv] 2 2 4 2 3 5" xfId="22512" xr:uid="{00000000-0005-0000-0000-000017050000}"/>
    <cellStyle name="Heading [Helv] 2 2 4 2 3 6" xfId="40881" xr:uid="{00000000-0005-0000-0000-000017050000}"/>
    <cellStyle name="Heading [Helv] 2 2 4 2 4" xfId="10198" xr:uid="{00000000-0005-0000-0000-000017050000}"/>
    <cellStyle name="Heading [Helv] 2 2 4 2 4 2" xfId="14255" xr:uid="{00000000-0005-0000-0000-000017050000}"/>
    <cellStyle name="Heading [Helv] 2 2 4 2 4 2 2" xfId="32671" xr:uid="{00000000-0005-0000-0000-000017050000}"/>
    <cellStyle name="Heading [Helv] 2 2 4 2 4 2 3" xfId="51034" xr:uid="{00000000-0005-0000-0000-000017050000}"/>
    <cellStyle name="Heading [Helv] 2 2 4 2 4 3" xfId="28909" xr:uid="{00000000-0005-0000-0000-000017050000}"/>
    <cellStyle name="Heading [Helv] 2 2 4 2 4 3 2" xfId="47272" xr:uid="{00000000-0005-0000-0000-000017050000}"/>
    <cellStyle name="Heading [Helv] 2 2 4 2 4 4" xfId="19712" xr:uid="{00000000-0005-0000-0000-000017050000}"/>
    <cellStyle name="Heading [Helv] 2 2 4 2 4 5" xfId="38118" xr:uid="{00000000-0005-0000-0000-000017050000}"/>
    <cellStyle name="Heading [Helv] 2 2 4 2 5" xfId="9391" xr:uid="{00000000-0005-0000-0000-000017050000}"/>
    <cellStyle name="Heading [Helv] 2 2 4 2 5 2" xfId="28110" xr:uid="{00000000-0005-0000-0000-000017050000}"/>
    <cellStyle name="Heading [Helv] 2 2 4 2 5 3" xfId="46473" xr:uid="{00000000-0005-0000-0000-000017050000}"/>
    <cellStyle name="Heading [Helv] 2 2 4 2 6" xfId="13447" xr:uid="{00000000-0005-0000-0000-000017050000}"/>
    <cellStyle name="Heading [Helv] 2 2 4 2 6 2" xfId="31868" xr:uid="{00000000-0005-0000-0000-000017050000}"/>
    <cellStyle name="Heading [Helv] 2 2 4 2 6 3" xfId="50231" xr:uid="{00000000-0005-0000-0000-000017050000}"/>
    <cellStyle name="Heading [Helv] 2 2 4 2 7" xfId="23393" xr:uid="{00000000-0005-0000-0000-000017050000}"/>
    <cellStyle name="Heading [Helv] 2 2 4 2 7 2" xfId="41762" xr:uid="{00000000-0005-0000-0000-000017050000}"/>
    <cellStyle name="Heading [Helv] 2 2 4 2 8" xfId="18474" xr:uid="{00000000-0005-0000-0000-000017050000}"/>
    <cellStyle name="Heading [Helv] 2 2 4 2 9" xfId="36880" xr:uid="{00000000-0005-0000-0000-000017050000}"/>
    <cellStyle name="Heading [Helv] 2 2 4 3" xfId="4484" xr:uid="{00000000-0005-0000-0000-000017050000}"/>
    <cellStyle name="Heading [Helv] 2 2 4 3 2" xfId="11079" xr:uid="{00000000-0005-0000-0000-000017050000}"/>
    <cellStyle name="Heading [Helv] 2 2 4 3 2 2" xfId="29699" xr:uid="{00000000-0005-0000-0000-000017050000}"/>
    <cellStyle name="Heading [Helv] 2 2 4 3 2 3" xfId="48062" xr:uid="{00000000-0005-0000-0000-000017050000}"/>
    <cellStyle name="Heading [Helv] 2 2 4 3 3" xfId="15218" xr:uid="{00000000-0005-0000-0000-000017050000}"/>
    <cellStyle name="Heading [Helv] 2 2 4 3 3 2" xfId="33613" xr:uid="{00000000-0005-0000-0000-000017050000}"/>
    <cellStyle name="Heading [Helv] 2 2 4 3 3 3" xfId="51976" xr:uid="{00000000-0005-0000-0000-000017050000}"/>
    <cellStyle name="Heading [Helv] 2 2 4 3 4" xfId="24344" xr:uid="{00000000-0005-0000-0000-000017050000}"/>
    <cellStyle name="Heading [Helv] 2 2 4 3 4 2" xfId="42713" xr:uid="{00000000-0005-0000-0000-000017050000}"/>
    <cellStyle name="Heading [Helv] 2 2 4 3 5" xfId="20668" xr:uid="{00000000-0005-0000-0000-000017050000}"/>
    <cellStyle name="Heading [Helv] 2 2 4 3 6" xfId="39060" xr:uid="{00000000-0005-0000-0000-000017050000}"/>
    <cellStyle name="Heading [Helv] 2 2 4 4" xfId="4013" xr:uid="{00000000-0005-0000-0000-000017050000}"/>
    <cellStyle name="Heading [Helv] 2 2 4 4 2" xfId="10717" xr:uid="{00000000-0005-0000-0000-000017050000}"/>
    <cellStyle name="Heading [Helv] 2 2 4 4 2 2" xfId="29421" xr:uid="{00000000-0005-0000-0000-000017050000}"/>
    <cellStyle name="Heading [Helv] 2 2 4 4 2 3" xfId="47784" xr:uid="{00000000-0005-0000-0000-000017050000}"/>
    <cellStyle name="Heading [Helv] 2 2 4 4 3" xfId="14774" xr:uid="{00000000-0005-0000-0000-000017050000}"/>
    <cellStyle name="Heading [Helv] 2 2 4 4 3 2" xfId="33186" xr:uid="{00000000-0005-0000-0000-000017050000}"/>
    <cellStyle name="Heading [Helv] 2 2 4 4 3 3" xfId="51549" xr:uid="{00000000-0005-0000-0000-000017050000}"/>
    <cellStyle name="Heading [Helv] 2 2 4 4 4" xfId="23910" xr:uid="{00000000-0005-0000-0000-000017050000}"/>
    <cellStyle name="Heading [Helv] 2 2 4 4 4 2" xfId="42279" xr:uid="{00000000-0005-0000-0000-000017050000}"/>
    <cellStyle name="Heading [Helv] 2 2 4 4 5" xfId="20230" xr:uid="{00000000-0005-0000-0000-000017050000}"/>
    <cellStyle name="Heading [Helv] 2 2 4 4 6" xfId="38633" xr:uid="{00000000-0005-0000-0000-000017050000}"/>
    <cellStyle name="Heading [Helv] 2 2 4 5" xfId="9724" xr:uid="{00000000-0005-0000-0000-000017050000}"/>
    <cellStyle name="Heading [Helv] 2 2 4 5 2" xfId="13781" xr:uid="{00000000-0005-0000-0000-000017050000}"/>
    <cellStyle name="Heading [Helv] 2 2 4 5 2 2" xfId="32202" xr:uid="{00000000-0005-0000-0000-000017050000}"/>
    <cellStyle name="Heading [Helv] 2 2 4 5 2 3" xfId="50565" xr:uid="{00000000-0005-0000-0000-000017050000}"/>
    <cellStyle name="Heading [Helv] 2 2 4 5 3" xfId="28440" xr:uid="{00000000-0005-0000-0000-000017050000}"/>
    <cellStyle name="Heading [Helv] 2 2 4 5 3 2" xfId="46803" xr:uid="{00000000-0005-0000-0000-000017050000}"/>
    <cellStyle name="Heading [Helv] 2 2 4 5 4" xfId="18875" xr:uid="{00000000-0005-0000-0000-000017050000}"/>
    <cellStyle name="Heading [Helv] 2 2 4 5 5" xfId="37284" xr:uid="{00000000-0005-0000-0000-000017050000}"/>
    <cellStyle name="Heading [Helv] 2 2 4 6" xfId="7755" xr:uid="{00000000-0005-0000-0000-000017050000}"/>
    <cellStyle name="Heading [Helv] 2 2 4 6 2" xfId="27031" xr:uid="{00000000-0005-0000-0000-000017050000}"/>
    <cellStyle name="Heading [Helv] 2 2 4 6 3" xfId="45396" xr:uid="{00000000-0005-0000-0000-000017050000}"/>
    <cellStyle name="Heading [Helv] 2 2 4 7" xfId="7214" xr:uid="{00000000-0005-0000-0000-000017050000}"/>
    <cellStyle name="Heading [Helv] 2 2 4 7 2" xfId="26757" xr:uid="{00000000-0005-0000-0000-000017050000}"/>
    <cellStyle name="Heading [Helv] 2 2 4 7 3" xfId="45125" xr:uid="{00000000-0005-0000-0000-000017050000}"/>
    <cellStyle name="Heading [Helv] 2 2 4 8" xfId="18227" xr:uid="{00000000-0005-0000-0000-000017050000}"/>
    <cellStyle name="Heading [Helv] 2 2 4 8 2" xfId="36633" xr:uid="{00000000-0005-0000-0000-000017050000}"/>
    <cellStyle name="Heading [Helv] 2 2 4 9" xfId="8281" xr:uid="{00000000-0005-0000-0000-000017050000}"/>
    <cellStyle name="Heading [Helv] 2 2 5" xfId="3374" xr:uid="{00000000-0005-0000-0000-00000E050000}"/>
    <cellStyle name="Heading [Helv] 2 2 5 2" xfId="5549" xr:uid="{00000000-0005-0000-0000-00000E050000}"/>
    <cellStyle name="Heading [Helv] 2 2 5 2 2" xfId="11913" xr:uid="{00000000-0005-0000-0000-00000E050000}"/>
    <cellStyle name="Heading [Helv] 2 2 5 2 2 2" xfId="30360" xr:uid="{00000000-0005-0000-0000-00000E050000}"/>
    <cellStyle name="Heading [Helv] 2 2 5 2 2 3" xfId="48723" xr:uid="{00000000-0005-0000-0000-00000E050000}"/>
    <cellStyle name="Heading [Helv] 2 2 5 2 3" xfId="16239" xr:uid="{00000000-0005-0000-0000-00000E050000}"/>
    <cellStyle name="Heading [Helv] 2 2 5 2 3 2" xfId="34611" xr:uid="{00000000-0005-0000-0000-00000E050000}"/>
    <cellStyle name="Heading [Helv] 2 2 5 2 3 3" xfId="52974" xr:uid="{00000000-0005-0000-0000-00000E050000}"/>
    <cellStyle name="Heading [Helv] 2 2 5 2 4" xfId="25358" xr:uid="{00000000-0005-0000-0000-00000E050000}"/>
    <cellStyle name="Heading [Helv] 2 2 5 2 4 2" xfId="43727" xr:uid="{00000000-0005-0000-0000-00000E050000}"/>
    <cellStyle name="Heading [Helv] 2 2 5 2 5" xfId="21679" xr:uid="{00000000-0005-0000-0000-00000E050000}"/>
    <cellStyle name="Heading [Helv] 2 2 5 2 6" xfId="40058" xr:uid="{00000000-0005-0000-0000-00000E050000}"/>
    <cellStyle name="Heading [Helv] 2 2 5 3" xfId="6373" xr:uid="{00000000-0005-0000-0000-00000E050000}"/>
    <cellStyle name="Heading [Helv] 2 2 5 3 2" xfId="12664" xr:uid="{00000000-0005-0000-0000-00000E050000}"/>
    <cellStyle name="Heading [Helv] 2 2 5 3 2 2" xfId="31090" xr:uid="{00000000-0005-0000-0000-00000E050000}"/>
    <cellStyle name="Heading [Helv] 2 2 5 3 2 3" xfId="49453" xr:uid="{00000000-0005-0000-0000-00000E050000}"/>
    <cellStyle name="Heading [Helv] 2 2 5 3 3" xfId="16975" xr:uid="{00000000-0005-0000-0000-00000E050000}"/>
    <cellStyle name="Heading [Helv] 2 2 5 3 3 2" xfId="35323" xr:uid="{00000000-0005-0000-0000-00000E050000}"/>
    <cellStyle name="Heading [Helv] 2 2 5 3 3 3" xfId="53686" xr:uid="{00000000-0005-0000-0000-00000E050000}"/>
    <cellStyle name="Heading [Helv] 2 2 5 3 4" xfId="26108" xr:uid="{00000000-0005-0000-0000-00000E050000}"/>
    <cellStyle name="Heading [Helv] 2 2 5 3 4 2" xfId="44477" xr:uid="{00000000-0005-0000-0000-00000E050000}"/>
    <cellStyle name="Heading [Helv] 2 2 5 3 5" xfId="22401" xr:uid="{00000000-0005-0000-0000-00000E050000}"/>
    <cellStyle name="Heading [Helv] 2 2 5 3 6" xfId="40770" xr:uid="{00000000-0005-0000-0000-00000E050000}"/>
    <cellStyle name="Heading [Helv] 2 2 5 4" xfId="10087" xr:uid="{00000000-0005-0000-0000-00000E050000}"/>
    <cellStyle name="Heading [Helv] 2 2 5 4 2" xfId="14144" xr:uid="{00000000-0005-0000-0000-00000E050000}"/>
    <cellStyle name="Heading [Helv] 2 2 5 4 2 2" xfId="32560" xr:uid="{00000000-0005-0000-0000-00000E050000}"/>
    <cellStyle name="Heading [Helv] 2 2 5 4 2 3" xfId="50923" xr:uid="{00000000-0005-0000-0000-00000E050000}"/>
    <cellStyle name="Heading [Helv] 2 2 5 4 3" xfId="28798" xr:uid="{00000000-0005-0000-0000-00000E050000}"/>
    <cellStyle name="Heading [Helv] 2 2 5 4 3 2" xfId="47161" xr:uid="{00000000-0005-0000-0000-00000E050000}"/>
    <cellStyle name="Heading [Helv] 2 2 5 4 4" xfId="19601" xr:uid="{00000000-0005-0000-0000-00000E050000}"/>
    <cellStyle name="Heading [Helv] 2 2 5 4 5" xfId="38007" xr:uid="{00000000-0005-0000-0000-00000E050000}"/>
    <cellStyle name="Heading [Helv] 2 2 5 5" xfId="9239" xr:uid="{00000000-0005-0000-0000-00000E050000}"/>
    <cellStyle name="Heading [Helv] 2 2 5 5 2" xfId="27959" xr:uid="{00000000-0005-0000-0000-00000E050000}"/>
    <cellStyle name="Heading [Helv] 2 2 5 5 3" xfId="46322" xr:uid="{00000000-0005-0000-0000-00000E050000}"/>
    <cellStyle name="Heading [Helv] 2 2 5 6" xfId="13296" xr:uid="{00000000-0005-0000-0000-00000E050000}"/>
    <cellStyle name="Heading [Helv] 2 2 5 6 2" xfId="31717" xr:uid="{00000000-0005-0000-0000-00000E050000}"/>
    <cellStyle name="Heading [Helv] 2 2 5 6 3" xfId="50080" xr:uid="{00000000-0005-0000-0000-00000E050000}"/>
    <cellStyle name="Heading [Helv] 2 2 5 7" xfId="23282" xr:uid="{00000000-0005-0000-0000-00000E050000}"/>
    <cellStyle name="Heading [Helv] 2 2 5 7 2" xfId="41651" xr:uid="{00000000-0005-0000-0000-00000E050000}"/>
    <cellStyle name="Heading [Helv] 2 2 5 8" xfId="18291" xr:uid="{00000000-0005-0000-0000-00000E050000}"/>
    <cellStyle name="Heading [Helv] 2 2 5 9" xfId="36697" xr:uid="{00000000-0005-0000-0000-00000E050000}"/>
    <cellStyle name="Heading [Helv] 2 2 6" xfId="4324" xr:uid="{00000000-0005-0000-0000-00000E050000}"/>
    <cellStyle name="Heading [Helv] 2 2 6 2" xfId="10932" xr:uid="{00000000-0005-0000-0000-00000E050000}"/>
    <cellStyle name="Heading [Helv] 2 2 6 2 2" xfId="29562" xr:uid="{00000000-0005-0000-0000-00000E050000}"/>
    <cellStyle name="Heading [Helv] 2 2 6 2 3" xfId="47925" xr:uid="{00000000-0005-0000-0000-00000E050000}"/>
    <cellStyle name="Heading [Helv] 2 2 6 3" xfId="15068" xr:uid="{00000000-0005-0000-0000-00000E050000}"/>
    <cellStyle name="Heading [Helv] 2 2 6 3 2" xfId="33470" xr:uid="{00000000-0005-0000-0000-00000E050000}"/>
    <cellStyle name="Heading [Helv] 2 2 6 3 3" xfId="51833" xr:uid="{00000000-0005-0000-0000-00000E050000}"/>
    <cellStyle name="Heading [Helv] 2 2 6 4" xfId="24199" xr:uid="{00000000-0005-0000-0000-00000E050000}"/>
    <cellStyle name="Heading [Helv] 2 2 6 4 2" xfId="42568" xr:uid="{00000000-0005-0000-0000-00000E050000}"/>
    <cellStyle name="Heading [Helv] 2 2 6 5" xfId="20520" xr:uid="{00000000-0005-0000-0000-00000E050000}"/>
    <cellStyle name="Heading [Helv] 2 2 6 6" xfId="38917" xr:uid="{00000000-0005-0000-0000-00000E050000}"/>
    <cellStyle name="Heading [Helv] 2 2 7" xfId="5072" xr:uid="{00000000-0005-0000-0000-00000E050000}"/>
    <cellStyle name="Heading [Helv] 2 2 7 2" xfId="11594" xr:uid="{00000000-0005-0000-0000-00000E050000}"/>
    <cellStyle name="Heading [Helv] 2 2 7 2 2" xfId="30161" xr:uid="{00000000-0005-0000-0000-00000E050000}"/>
    <cellStyle name="Heading [Helv] 2 2 7 2 3" xfId="48524" xr:uid="{00000000-0005-0000-0000-00000E050000}"/>
    <cellStyle name="Heading [Helv] 2 2 7 3" xfId="15785" xr:uid="{00000000-0005-0000-0000-00000E050000}"/>
    <cellStyle name="Heading [Helv] 2 2 7 3 2" xfId="34172" xr:uid="{00000000-0005-0000-0000-00000E050000}"/>
    <cellStyle name="Heading [Helv] 2 2 7 3 3" xfId="52535" xr:uid="{00000000-0005-0000-0000-00000E050000}"/>
    <cellStyle name="Heading [Helv] 2 2 7 4" xfId="24908" xr:uid="{00000000-0005-0000-0000-00000E050000}"/>
    <cellStyle name="Heading [Helv] 2 2 7 4 2" xfId="43277" xr:uid="{00000000-0005-0000-0000-00000E050000}"/>
    <cellStyle name="Heading [Helv] 2 2 7 5" xfId="21233" xr:uid="{00000000-0005-0000-0000-00000E050000}"/>
    <cellStyle name="Heading [Helv] 2 2 7 6" xfId="39619" xr:uid="{00000000-0005-0000-0000-00000E050000}"/>
    <cellStyle name="Heading [Helv] 2 2 8" xfId="7576" xr:uid="{00000000-0005-0000-0000-00000E050000}"/>
    <cellStyle name="Heading [Helv] 2 2 8 2" xfId="26884" xr:uid="{00000000-0005-0000-0000-00000E050000}"/>
    <cellStyle name="Heading [Helv] 2 2 8 3" xfId="45249" xr:uid="{00000000-0005-0000-0000-00000E050000}"/>
    <cellStyle name="Heading [Helv] 2 2 9" xfId="8832" xr:uid="{00000000-0005-0000-0000-00000E050000}"/>
    <cellStyle name="Heading [Helv] 2 2 9 2" xfId="27651" xr:uid="{00000000-0005-0000-0000-00000E050000}"/>
    <cellStyle name="Heading [Helv] 2 2 9 3" xfId="46014" xr:uid="{00000000-0005-0000-0000-00000E050000}"/>
    <cellStyle name="Heading [Helv] 2 3" xfId="1441" xr:uid="{00000000-0005-0000-0000-000018050000}"/>
    <cellStyle name="Heading [Helv] 2 3 10" xfId="8711" xr:uid="{00000000-0005-0000-0000-000018050000}"/>
    <cellStyle name="Heading [Helv] 2 3 2" xfId="3461" xr:uid="{00000000-0005-0000-0000-000018050000}"/>
    <cellStyle name="Heading [Helv] 2 3 2 2" xfId="5636" xr:uid="{00000000-0005-0000-0000-000018050000}"/>
    <cellStyle name="Heading [Helv] 2 3 2 2 2" xfId="12000" xr:uid="{00000000-0005-0000-0000-000018050000}"/>
    <cellStyle name="Heading [Helv] 2 3 2 2 2 2" xfId="30447" xr:uid="{00000000-0005-0000-0000-000018050000}"/>
    <cellStyle name="Heading [Helv] 2 3 2 2 2 3" xfId="48810" xr:uid="{00000000-0005-0000-0000-000018050000}"/>
    <cellStyle name="Heading [Helv] 2 3 2 2 3" xfId="16326" xr:uid="{00000000-0005-0000-0000-000018050000}"/>
    <cellStyle name="Heading [Helv] 2 3 2 2 3 2" xfId="34698" xr:uid="{00000000-0005-0000-0000-000018050000}"/>
    <cellStyle name="Heading [Helv] 2 3 2 2 3 3" xfId="53061" xr:uid="{00000000-0005-0000-0000-000018050000}"/>
    <cellStyle name="Heading [Helv] 2 3 2 2 4" xfId="25445" xr:uid="{00000000-0005-0000-0000-000018050000}"/>
    <cellStyle name="Heading [Helv] 2 3 2 2 4 2" xfId="43814" xr:uid="{00000000-0005-0000-0000-000018050000}"/>
    <cellStyle name="Heading [Helv] 2 3 2 2 5" xfId="21766" xr:uid="{00000000-0005-0000-0000-000018050000}"/>
    <cellStyle name="Heading [Helv] 2 3 2 2 6" xfId="40145" xr:uid="{00000000-0005-0000-0000-000018050000}"/>
    <cellStyle name="Heading [Helv] 2 3 2 3" xfId="6460" xr:uid="{00000000-0005-0000-0000-000018050000}"/>
    <cellStyle name="Heading [Helv] 2 3 2 3 2" xfId="12751" xr:uid="{00000000-0005-0000-0000-000018050000}"/>
    <cellStyle name="Heading [Helv] 2 3 2 3 2 2" xfId="31177" xr:uid="{00000000-0005-0000-0000-000018050000}"/>
    <cellStyle name="Heading [Helv] 2 3 2 3 2 3" xfId="49540" xr:uid="{00000000-0005-0000-0000-000018050000}"/>
    <cellStyle name="Heading [Helv] 2 3 2 3 3" xfId="17062" xr:uid="{00000000-0005-0000-0000-000018050000}"/>
    <cellStyle name="Heading [Helv] 2 3 2 3 3 2" xfId="35410" xr:uid="{00000000-0005-0000-0000-000018050000}"/>
    <cellStyle name="Heading [Helv] 2 3 2 3 3 3" xfId="53773" xr:uid="{00000000-0005-0000-0000-000018050000}"/>
    <cellStyle name="Heading [Helv] 2 3 2 3 4" xfId="26195" xr:uid="{00000000-0005-0000-0000-000018050000}"/>
    <cellStyle name="Heading [Helv] 2 3 2 3 4 2" xfId="44564" xr:uid="{00000000-0005-0000-0000-000018050000}"/>
    <cellStyle name="Heading [Helv] 2 3 2 3 5" xfId="22488" xr:uid="{00000000-0005-0000-0000-000018050000}"/>
    <cellStyle name="Heading [Helv] 2 3 2 3 6" xfId="40857" xr:uid="{00000000-0005-0000-0000-000018050000}"/>
    <cellStyle name="Heading [Helv] 2 3 2 4" xfId="10174" xr:uid="{00000000-0005-0000-0000-000018050000}"/>
    <cellStyle name="Heading [Helv] 2 3 2 4 2" xfId="14231" xr:uid="{00000000-0005-0000-0000-000018050000}"/>
    <cellStyle name="Heading [Helv] 2 3 2 4 2 2" xfId="32647" xr:uid="{00000000-0005-0000-0000-000018050000}"/>
    <cellStyle name="Heading [Helv] 2 3 2 4 2 3" xfId="51010" xr:uid="{00000000-0005-0000-0000-000018050000}"/>
    <cellStyle name="Heading [Helv] 2 3 2 4 3" xfId="28885" xr:uid="{00000000-0005-0000-0000-000018050000}"/>
    <cellStyle name="Heading [Helv] 2 3 2 4 3 2" xfId="47248" xr:uid="{00000000-0005-0000-0000-000018050000}"/>
    <cellStyle name="Heading [Helv] 2 3 2 4 4" xfId="19688" xr:uid="{00000000-0005-0000-0000-000018050000}"/>
    <cellStyle name="Heading [Helv] 2 3 2 4 5" xfId="38094" xr:uid="{00000000-0005-0000-0000-000018050000}"/>
    <cellStyle name="Heading [Helv] 2 3 2 5" xfId="9364" xr:uid="{00000000-0005-0000-0000-000018050000}"/>
    <cellStyle name="Heading [Helv] 2 3 2 5 2" xfId="28083" xr:uid="{00000000-0005-0000-0000-000018050000}"/>
    <cellStyle name="Heading [Helv] 2 3 2 5 3" xfId="46446" xr:uid="{00000000-0005-0000-0000-000018050000}"/>
    <cellStyle name="Heading [Helv] 2 3 2 6" xfId="13420" xr:uid="{00000000-0005-0000-0000-000018050000}"/>
    <cellStyle name="Heading [Helv] 2 3 2 6 2" xfId="31841" xr:uid="{00000000-0005-0000-0000-000018050000}"/>
    <cellStyle name="Heading [Helv] 2 3 2 6 3" xfId="50204" xr:uid="{00000000-0005-0000-0000-000018050000}"/>
    <cellStyle name="Heading [Helv] 2 3 2 7" xfId="23369" xr:uid="{00000000-0005-0000-0000-000018050000}"/>
    <cellStyle name="Heading [Helv] 2 3 2 7 2" xfId="41738" xr:uid="{00000000-0005-0000-0000-000018050000}"/>
    <cellStyle name="Heading [Helv] 2 3 2 8" xfId="18446" xr:uid="{00000000-0005-0000-0000-000018050000}"/>
    <cellStyle name="Heading [Helv] 2 3 2 9" xfId="36852" xr:uid="{00000000-0005-0000-0000-000018050000}"/>
    <cellStyle name="Heading [Helv] 2 3 3" xfId="4458" xr:uid="{00000000-0005-0000-0000-000018050000}"/>
    <cellStyle name="Heading [Helv] 2 3 3 2" xfId="11055" xr:uid="{00000000-0005-0000-0000-000018050000}"/>
    <cellStyle name="Heading [Helv] 2 3 3 2 2" xfId="29675" xr:uid="{00000000-0005-0000-0000-000018050000}"/>
    <cellStyle name="Heading [Helv] 2 3 3 2 3" xfId="48038" xr:uid="{00000000-0005-0000-0000-000018050000}"/>
    <cellStyle name="Heading [Helv] 2 3 3 3" xfId="15192" xr:uid="{00000000-0005-0000-0000-000018050000}"/>
    <cellStyle name="Heading [Helv] 2 3 3 3 2" xfId="33588" xr:uid="{00000000-0005-0000-0000-000018050000}"/>
    <cellStyle name="Heading [Helv] 2 3 3 3 3" xfId="51951" xr:uid="{00000000-0005-0000-0000-000018050000}"/>
    <cellStyle name="Heading [Helv] 2 3 3 4" xfId="24319" xr:uid="{00000000-0005-0000-0000-000018050000}"/>
    <cellStyle name="Heading [Helv] 2 3 3 4 2" xfId="42688" xr:uid="{00000000-0005-0000-0000-000018050000}"/>
    <cellStyle name="Heading [Helv] 2 3 3 5" xfId="20643" xr:uid="{00000000-0005-0000-0000-000018050000}"/>
    <cellStyle name="Heading [Helv] 2 3 3 6" xfId="39035" xr:uid="{00000000-0005-0000-0000-000018050000}"/>
    <cellStyle name="Heading [Helv] 2 3 4" xfId="4024" xr:uid="{00000000-0005-0000-0000-000018050000}"/>
    <cellStyle name="Heading [Helv] 2 3 4 2" xfId="10728" xr:uid="{00000000-0005-0000-0000-000018050000}"/>
    <cellStyle name="Heading [Helv] 2 3 4 2 2" xfId="29432" xr:uid="{00000000-0005-0000-0000-000018050000}"/>
    <cellStyle name="Heading [Helv] 2 3 4 2 3" xfId="47795" xr:uid="{00000000-0005-0000-0000-000018050000}"/>
    <cellStyle name="Heading [Helv] 2 3 4 3" xfId="14785" xr:uid="{00000000-0005-0000-0000-000018050000}"/>
    <cellStyle name="Heading [Helv] 2 3 4 3 2" xfId="33197" xr:uid="{00000000-0005-0000-0000-000018050000}"/>
    <cellStyle name="Heading [Helv] 2 3 4 3 3" xfId="51560" xr:uid="{00000000-0005-0000-0000-000018050000}"/>
    <cellStyle name="Heading [Helv] 2 3 4 4" xfId="23921" xr:uid="{00000000-0005-0000-0000-000018050000}"/>
    <cellStyle name="Heading [Helv] 2 3 4 4 2" xfId="42290" xr:uid="{00000000-0005-0000-0000-000018050000}"/>
    <cellStyle name="Heading [Helv] 2 3 4 5" xfId="20241" xr:uid="{00000000-0005-0000-0000-000018050000}"/>
    <cellStyle name="Heading [Helv] 2 3 4 6" xfId="38644" xr:uid="{00000000-0005-0000-0000-000018050000}"/>
    <cellStyle name="Heading [Helv] 2 3 5" xfId="9728" xr:uid="{00000000-0005-0000-0000-000018050000}"/>
    <cellStyle name="Heading [Helv] 2 3 5 2" xfId="13785" xr:uid="{00000000-0005-0000-0000-000018050000}"/>
    <cellStyle name="Heading [Helv] 2 3 5 2 2" xfId="32206" xr:uid="{00000000-0005-0000-0000-000018050000}"/>
    <cellStyle name="Heading [Helv] 2 3 5 2 3" xfId="50569" xr:uid="{00000000-0005-0000-0000-000018050000}"/>
    <cellStyle name="Heading [Helv] 2 3 5 3" xfId="28444" xr:uid="{00000000-0005-0000-0000-000018050000}"/>
    <cellStyle name="Heading [Helv] 2 3 5 3 2" xfId="46807" xr:uid="{00000000-0005-0000-0000-000018050000}"/>
    <cellStyle name="Heading [Helv] 2 3 5 4" xfId="18880" xr:uid="{00000000-0005-0000-0000-000018050000}"/>
    <cellStyle name="Heading [Helv] 2 3 5 5" xfId="37289" xr:uid="{00000000-0005-0000-0000-000018050000}"/>
    <cellStyle name="Heading [Helv] 2 3 6" xfId="7729" xr:uid="{00000000-0005-0000-0000-000018050000}"/>
    <cellStyle name="Heading [Helv] 2 3 6 2" xfId="27006" xr:uid="{00000000-0005-0000-0000-000018050000}"/>
    <cellStyle name="Heading [Helv] 2 3 6 3" xfId="45371" xr:uid="{00000000-0005-0000-0000-000018050000}"/>
    <cellStyle name="Heading [Helv] 2 3 7" xfId="7562" xr:uid="{00000000-0005-0000-0000-000018050000}"/>
    <cellStyle name="Heading [Helv] 2 3 7 2" xfId="26874" xr:uid="{00000000-0005-0000-0000-000018050000}"/>
    <cellStyle name="Heading [Helv] 2 3 7 3" xfId="45239" xr:uid="{00000000-0005-0000-0000-000018050000}"/>
    <cellStyle name="Heading [Helv] 2 3 8" xfId="18063" xr:uid="{00000000-0005-0000-0000-000018050000}"/>
    <cellStyle name="Heading [Helv] 2 3 8 2" xfId="36470" xr:uid="{00000000-0005-0000-0000-000018050000}"/>
    <cellStyle name="Heading [Helv] 2 3 9" xfId="8178" xr:uid="{00000000-0005-0000-0000-000018050000}"/>
    <cellStyle name="Heading [Helv] 2 4" xfId="1910" xr:uid="{00000000-0005-0000-0000-000019050000}"/>
    <cellStyle name="Heading [Helv] 2 4 10" xfId="8291" xr:uid="{00000000-0005-0000-0000-000019050000}"/>
    <cellStyle name="Heading [Helv] 2 4 2" xfId="3728" xr:uid="{00000000-0005-0000-0000-000019050000}"/>
    <cellStyle name="Heading [Helv] 2 4 2 2" xfId="5901" xr:uid="{00000000-0005-0000-0000-000019050000}"/>
    <cellStyle name="Heading [Helv] 2 4 2 2 2" xfId="12265" xr:uid="{00000000-0005-0000-0000-000019050000}"/>
    <cellStyle name="Heading [Helv] 2 4 2 2 2 2" xfId="30712" xr:uid="{00000000-0005-0000-0000-000019050000}"/>
    <cellStyle name="Heading [Helv] 2 4 2 2 2 3" xfId="49075" xr:uid="{00000000-0005-0000-0000-000019050000}"/>
    <cellStyle name="Heading [Helv] 2 4 2 2 3" xfId="16591" xr:uid="{00000000-0005-0000-0000-000019050000}"/>
    <cellStyle name="Heading [Helv] 2 4 2 2 3 2" xfId="34963" xr:uid="{00000000-0005-0000-0000-000019050000}"/>
    <cellStyle name="Heading [Helv] 2 4 2 2 3 3" xfId="53326" xr:uid="{00000000-0005-0000-0000-000019050000}"/>
    <cellStyle name="Heading [Helv] 2 4 2 2 4" xfId="25710" xr:uid="{00000000-0005-0000-0000-000019050000}"/>
    <cellStyle name="Heading [Helv] 2 4 2 2 4 2" xfId="44079" xr:uid="{00000000-0005-0000-0000-000019050000}"/>
    <cellStyle name="Heading [Helv] 2 4 2 2 5" xfId="22031" xr:uid="{00000000-0005-0000-0000-000019050000}"/>
    <cellStyle name="Heading [Helv] 2 4 2 2 6" xfId="40410" xr:uid="{00000000-0005-0000-0000-000019050000}"/>
    <cellStyle name="Heading [Helv] 2 4 2 3" xfId="6727" xr:uid="{00000000-0005-0000-0000-000019050000}"/>
    <cellStyle name="Heading [Helv] 2 4 2 3 2" xfId="13018" xr:uid="{00000000-0005-0000-0000-000019050000}"/>
    <cellStyle name="Heading [Helv] 2 4 2 3 2 2" xfId="31444" xr:uid="{00000000-0005-0000-0000-000019050000}"/>
    <cellStyle name="Heading [Helv] 2 4 2 3 2 3" xfId="49807" xr:uid="{00000000-0005-0000-0000-000019050000}"/>
    <cellStyle name="Heading [Helv] 2 4 2 3 3" xfId="17329" xr:uid="{00000000-0005-0000-0000-000019050000}"/>
    <cellStyle name="Heading [Helv] 2 4 2 3 3 2" xfId="35677" xr:uid="{00000000-0005-0000-0000-000019050000}"/>
    <cellStyle name="Heading [Helv] 2 4 2 3 3 3" xfId="54040" xr:uid="{00000000-0005-0000-0000-000019050000}"/>
    <cellStyle name="Heading [Helv] 2 4 2 3 4" xfId="26462" xr:uid="{00000000-0005-0000-0000-000019050000}"/>
    <cellStyle name="Heading [Helv] 2 4 2 3 4 2" xfId="44831" xr:uid="{00000000-0005-0000-0000-000019050000}"/>
    <cellStyle name="Heading [Helv] 2 4 2 3 5" xfId="22755" xr:uid="{00000000-0005-0000-0000-000019050000}"/>
    <cellStyle name="Heading [Helv] 2 4 2 3 6" xfId="41124" xr:uid="{00000000-0005-0000-0000-000019050000}"/>
    <cellStyle name="Heading [Helv] 2 4 2 4" xfId="10441" xr:uid="{00000000-0005-0000-0000-000019050000}"/>
    <cellStyle name="Heading [Helv] 2 4 2 4 2" xfId="14498" xr:uid="{00000000-0005-0000-0000-000019050000}"/>
    <cellStyle name="Heading [Helv] 2 4 2 4 2 2" xfId="32914" xr:uid="{00000000-0005-0000-0000-000019050000}"/>
    <cellStyle name="Heading [Helv] 2 4 2 4 2 3" xfId="51277" xr:uid="{00000000-0005-0000-0000-000019050000}"/>
    <cellStyle name="Heading [Helv] 2 4 2 4 3" xfId="29152" xr:uid="{00000000-0005-0000-0000-000019050000}"/>
    <cellStyle name="Heading [Helv] 2 4 2 4 3 2" xfId="47515" xr:uid="{00000000-0005-0000-0000-000019050000}"/>
    <cellStyle name="Heading [Helv] 2 4 2 4 4" xfId="19955" xr:uid="{00000000-0005-0000-0000-000019050000}"/>
    <cellStyle name="Heading [Helv] 2 4 2 4 5" xfId="38361" xr:uid="{00000000-0005-0000-0000-000019050000}"/>
    <cellStyle name="Heading [Helv] 2 4 2 5" xfId="9657" xr:uid="{00000000-0005-0000-0000-000019050000}"/>
    <cellStyle name="Heading [Helv] 2 4 2 5 2" xfId="28373" xr:uid="{00000000-0005-0000-0000-000019050000}"/>
    <cellStyle name="Heading [Helv] 2 4 2 5 3" xfId="46736" xr:uid="{00000000-0005-0000-0000-000019050000}"/>
    <cellStyle name="Heading [Helv] 2 4 2 6" xfId="13714" xr:uid="{00000000-0005-0000-0000-000019050000}"/>
    <cellStyle name="Heading [Helv] 2 4 2 6 2" xfId="32135" xr:uid="{00000000-0005-0000-0000-000019050000}"/>
    <cellStyle name="Heading [Helv] 2 4 2 6 3" xfId="50498" xr:uid="{00000000-0005-0000-0000-000019050000}"/>
    <cellStyle name="Heading [Helv] 2 4 2 7" xfId="23636" xr:uid="{00000000-0005-0000-0000-000019050000}"/>
    <cellStyle name="Heading [Helv] 2 4 2 7 2" xfId="42005" xr:uid="{00000000-0005-0000-0000-000019050000}"/>
    <cellStyle name="Heading [Helv] 2 4 2 8" xfId="18782" xr:uid="{00000000-0005-0000-0000-000019050000}"/>
    <cellStyle name="Heading [Helv] 2 4 2 9" xfId="37191" xr:uid="{00000000-0005-0000-0000-000019050000}"/>
    <cellStyle name="Heading [Helv] 2 4 3" xfId="4821" xr:uid="{00000000-0005-0000-0000-000019050000}"/>
    <cellStyle name="Heading [Helv] 2 4 3 2" xfId="11382" xr:uid="{00000000-0005-0000-0000-000019050000}"/>
    <cellStyle name="Heading [Helv] 2 4 3 2 2" xfId="29974" xr:uid="{00000000-0005-0000-0000-000019050000}"/>
    <cellStyle name="Heading [Helv] 2 4 3 2 3" xfId="48337" xr:uid="{00000000-0005-0000-0000-000019050000}"/>
    <cellStyle name="Heading [Helv] 2 4 3 3" xfId="15547" xr:uid="{00000000-0005-0000-0000-000019050000}"/>
    <cellStyle name="Heading [Helv] 2 4 3 3 2" xfId="33940" xr:uid="{00000000-0005-0000-0000-000019050000}"/>
    <cellStyle name="Heading [Helv] 2 4 3 3 3" xfId="52303" xr:uid="{00000000-0005-0000-0000-000019050000}"/>
    <cellStyle name="Heading [Helv] 2 4 3 4" xfId="24671" xr:uid="{00000000-0005-0000-0000-000019050000}"/>
    <cellStyle name="Heading [Helv] 2 4 3 4 2" xfId="43040" xr:uid="{00000000-0005-0000-0000-000019050000}"/>
    <cellStyle name="Heading [Helv] 2 4 3 5" xfId="20998" xr:uid="{00000000-0005-0000-0000-000019050000}"/>
    <cellStyle name="Heading [Helv] 2 4 3 6" xfId="39387" xr:uid="{00000000-0005-0000-0000-000019050000}"/>
    <cellStyle name="Heading [Helv] 2 4 4" xfId="67" xr:uid="{00000000-0005-0000-0000-000019050000}"/>
    <cellStyle name="Heading [Helv] 2 4 4 2" xfId="9157" xr:uid="{00000000-0005-0000-0000-000019050000}"/>
    <cellStyle name="Heading [Helv] 2 4 4 2 2" xfId="27879" xr:uid="{00000000-0005-0000-0000-000019050000}"/>
    <cellStyle name="Heading [Helv] 2 4 4 2 3" xfId="46242" xr:uid="{00000000-0005-0000-0000-000019050000}"/>
    <cellStyle name="Heading [Helv] 2 4 4 3" xfId="13216" xr:uid="{00000000-0005-0000-0000-000019050000}"/>
    <cellStyle name="Heading [Helv] 2 4 4 3 2" xfId="31637" xr:uid="{00000000-0005-0000-0000-000019050000}"/>
    <cellStyle name="Heading [Helv] 2 4 4 3 3" xfId="50000" xr:uid="{00000000-0005-0000-0000-000019050000}"/>
    <cellStyle name="Heading [Helv] 2 4 4 4" xfId="18437" xr:uid="{00000000-0005-0000-0000-000019050000}"/>
    <cellStyle name="Heading [Helv] 2 4 4 4 2" xfId="36843" xr:uid="{00000000-0005-0000-0000-000019050000}"/>
    <cellStyle name="Heading [Helv] 2 4 4 5" xfId="18149" xr:uid="{00000000-0005-0000-0000-000019050000}"/>
    <cellStyle name="Heading [Helv] 2 4 4 6" xfId="36556" xr:uid="{00000000-0005-0000-0000-000019050000}"/>
    <cellStyle name="Heading [Helv] 2 4 5" xfId="9043" xr:uid="{00000000-0005-0000-0000-000019050000}"/>
    <cellStyle name="Heading [Helv] 2 4 5 2" xfId="8150" xr:uid="{00000000-0005-0000-0000-000019050000}"/>
    <cellStyle name="Heading [Helv] 2 4 5 2 2" xfId="27354" xr:uid="{00000000-0005-0000-0000-000019050000}"/>
    <cellStyle name="Heading [Helv] 2 4 5 2 3" xfId="45719" xr:uid="{00000000-0005-0000-0000-000019050000}"/>
    <cellStyle name="Heading [Helv] 2 4 5 3" xfId="27769" xr:uid="{00000000-0005-0000-0000-000019050000}"/>
    <cellStyle name="Heading [Helv] 2 4 5 3 2" xfId="46132" xr:uid="{00000000-0005-0000-0000-000019050000}"/>
    <cellStyle name="Heading [Helv] 2 4 5 4" xfId="17938" xr:uid="{00000000-0005-0000-0000-000019050000}"/>
    <cellStyle name="Heading [Helv] 2 4 5 5" xfId="36346" xr:uid="{00000000-0005-0000-0000-000019050000}"/>
    <cellStyle name="Heading [Helv] 2 4 6" xfId="8109" xr:uid="{00000000-0005-0000-0000-000019050000}"/>
    <cellStyle name="Heading [Helv] 2 4 6 2" xfId="27314" xr:uid="{00000000-0005-0000-0000-000019050000}"/>
    <cellStyle name="Heading [Helv] 2 4 6 3" xfId="45679" xr:uid="{00000000-0005-0000-0000-000019050000}"/>
    <cellStyle name="Heading [Helv] 2 4 7" xfId="7498" xr:uid="{00000000-0005-0000-0000-000019050000}"/>
    <cellStyle name="Heading [Helv] 2 4 7 2" xfId="26861" xr:uid="{00000000-0005-0000-0000-000019050000}"/>
    <cellStyle name="Heading [Helv] 2 4 7 3" xfId="45226" xr:uid="{00000000-0005-0000-0000-000019050000}"/>
    <cellStyle name="Heading [Helv] 2 4 8" xfId="18750" xr:uid="{00000000-0005-0000-0000-000019050000}"/>
    <cellStyle name="Heading [Helv] 2 4 8 2" xfId="37159" xr:uid="{00000000-0005-0000-0000-000019050000}"/>
    <cellStyle name="Heading [Helv] 2 4 9" xfId="8682" xr:uid="{00000000-0005-0000-0000-000019050000}"/>
    <cellStyle name="Heading [Helv] 2 5" xfId="2325" xr:uid="{00000000-0005-0000-0000-00001A050000}"/>
    <cellStyle name="Heading [Helv] 2 5 10" xfId="8774" xr:uid="{00000000-0005-0000-0000-00001A050000}"/>
    <cellStyle name="Heading [Helv] 2 5 2" xfId="3773" xr:uid="{00000000-0005-0000-0000-00001A050000}"/>
    <cellStyle name="Heading [Helv] 2 5 2 2" xfId="5946" xr:uid="{00000000-0005-0000-0000-00001A050000}"/>
    <cellStyle name="Heading [Helv] 2 5 2 2 2" xfId="12310" xr:uid="{00000000-0005-0000-0000-00001A050000}"/>
    <cellStyle name="Heading [Helv] 2 5 2 2 2 2" xfId="30757" xr:uid="{00000000-0005-0000-0000-00001A050000}"/>
    <cellStyle name="Heading [Helv] 2 5 2 2 2 3" xfId="49120" xr:uid="{00000000-0005-0000-0000-00001A050000}"/>
    <cellStyle name="Heading [Helv] 2 5 2 2 3" xfId="16636" xr:uid="{00000000-0005-0000-0000-00001A050000}"/>
    <cellStyle name="Heading [Helv] 2 5 2 2 3 2" xfId="35008" xr:uid="{00000000-0005-0000-0000-00001A050000}"/>
    <cellStyle name="Heading [Helv] 2 5 2 2 3 3" xfId="53371" xr:uid="{00000000-0005-0000-0000-00001A050000}"/>
    <cellStyle name="Heading [Helv] 2 5 2 2 4" xfId="25755" xr:uid="{00000000-0005-0000-0000-00001A050000}"/>
    <cellStyle name="Heading [Helv] 2 5 2 2 4 2" xfId="44124" xr:uid="{00000000-0005-0000-0000-00001A050000}"/>
    <cellStyle name="Heading [Helv] 2 5 2 2 5" xfId="22076" xr:uid="{00000000-0005-0000-0000-00001A050000}"/>
    <cellStyle name="Heading [Helv] 2 5 2 2 6" xfId="40455" xr:uid="{00000000-0005-0000-0000-00001A050000}"/>
    <cellStyle name="Heading [Helv] 2 5 2 3" xfId="6772" xr:uid="{00000000-0005-0000-0000-00001A050000}"/>
    <cellStyle name="Heading [Helv] 2 5 2 3 2" xfId="13063" xr:uid="{00000000-0005-0000-0000-00001A050000}"/>
    <cellStyle name="Heading [Helv] 2 5 2 3 2 2" xfId="31489" xr:uid="{00000000-0005-0000-0000-00001A050000}"/>
    <cellStyle name="Heading [Helv] 2 5 2 3 2 3" xfId="49852" xr:uid="{00000000-0005-0000-0000-00001A050000}"/>
    <cellStyle name="Heading [Helv] 2 5 2 3 3" xfId="17374" xr:uid="{00000000-0005-0000-0000-00001A050000}"/>
    <cellStyle name="Heading [Helv] 2 5 2 3 3 2" xfId="35722" xr:uid="{00000000-0005-0000-0000-00001A050000}"/>
    <cellStyle name="Heading [Helv] 2 5 2 3 3 3" xfId="54085" xr:uid="{00000000-0005-0000-0000-00001A050000}"/>
    <cellStyle name="Heading [Helv] 2 5 2 3 4" xfId="26507" xr:uid="{00000000-0005-0000-0000-00001A050000}"/>
    <cellStyle name="Heading [Helv] 2 5 2 3 4 2" xfId="44876" xr:uid="{00000000-0005-0000-0000-00001A050000}"/>
    <cellStyle name="Heading [Helv] 2 5 2 3 5" xfId="22800" xr:uid="{00000000-0005-0000-0000-00001A050000}"/>
    <cellStyle name="Heading [Helv] 2 5 2 3 6" xfId="41169" xr:uid="{00000000-0005-0000-0000-00001A050000}"/>
    <cellStyle name="Heading [Helv] 2 5 2 4" xfId="10486" xr:uid="{00000000-0005-0000-0000-00001A050000}"/>
    <cellStyle name="Heading [Helv] 2 5 2 4 2" xfId="14543" xr:uid="{00000000-0005-0000-0000-00001A050000}"/>
    <cellStyle name="Heading [Helv] 2 5 2 4 2 2" xfId="32959" xr:uid="{00000000-0005-0000-0000-00001A050000}"/>
    <cellStyle name="Heading [Helv] 2 5 2 4 2 3" xfId="51322" xr:uid="{00000000-0005-0000-0000-00001A050000}"/>
    <cellStyle name="Heading [Helv] 2 5 2 4 3" xfId="29197" xr:uid="{00000000-0005-0000-0000-00001A050000}"/>
    <cellStyle name="Heading [Helv] 2 5 2 4 3 2" xfId="47560" xr:uid="{00000000-0005-0000-0000-00001A050000}"/>
    <cellStyle name="Heading [Helv] 2 5 2 4 4" xfId="20000" xr:uid="{00000000-0005-0000-0000-00001A050000}"/>
    <cellStyle name="Heading [Helv] 2 5 2 4 5" xfId="38406" xr:uid="{00000000-0005-0000-0000-00001A050000}"/>
    <cellStyle name="Heading [Helv] 2 5 2 5" xfId="9757" xr:uid="{00000000-0005-0000-0000-00001A050000}"/>
    <cellStyle name="Heading [Helv] 2 5 2 5 2" xfId="28472" xr:uid="{00000000-0005-0000-0000-00001A050000}"/>
    <cellStyle name="Heading [Helv] 2 5 2 5 3" xfId="46835" xr:uid="{00000000-0005-0000-0000-00001A050000}"/>
    <cellStyle name="Heading [Helv] 2 5 2 6" xfId="13814" xr:uid="{00000000-0005-0000-0000-00001A050000}"/>
    <cellStyle name="Heading [Helv] 2 5 2 6 2" xfId="32234" xr:uid="{00000000-0005-0000-0000-00001A050000}"/>
    <cellStyle name="Heading [Helv] 2 5 2 6 3" xfId="50597" xr:uid="{00000000-0005-0000-0000-00001A050000}"/>
    <cellStyle name="Heading [Helv] 2 5 2 7" xfId="23681" xr:uid="{00000000-0005-0000-0000-00001A050000}"/>
    <cellStyle name="Heading [Helv] 2 5 2 7 2" xfId="42050" xr:uid="{00000000-0005-0000-0000-00001A050000}"/>
    <cellStyle name="Heading [Helv] 2 5 2 8" xfId="18939" xr:uid="{00000000-0005-0000-0000-00001A050000}"/>
    <cellStyle name="Heading [Helv] 2 5 2 9" xfId="37348" xr:uid="{00000000-0005-0000-0000-00001A050000}"/>
    <cellStyle name="Heading [Helv] 2 5 3" xfId="4973" xr:uid="{00000000-0005-0000-0000-00001A050000}"/>
    <cellStyle name="Heading [Helv] 2 5 3 2" xfId="11503" xr:uid="{00000000-0005-0000-0000-00001A050000}"/>
    <cellStyle name="Heading [Helv] 2 5 3 2 2" xfId="30076" xr:uid="{00000000-0005-0000-0000-00001A050000}"/>
    <cellStyle name="Heading [Helv] 2 5 3 2 3" xfId="48439" xr:uid="{00000000-0005-0000-0000-00001A050000}"/>
    <cellStyle name="Heading [Helv] 2 5 3 3" xfId="15689" xr:uid="{00000000-0005-0000-0000-00001A050000}"/>
    <cellStyle name="Heading [Helv] 2 5 3 3 2" xfId="34078" xr:uid="{00000000-0005-0000-0000-00001A050000}"/>
    <cellStyle name="Heading [Helv] 2 5 3 3 3" xfId="52441" xr:uid="{00000000-0005-0000-0000-00001A050000}"/>
    <cellStyle name="Heading [Helv] 2 5 3 4" xfId="24813" xr:uid="{00000000-0005-0000-0000-00001A050000}"/>
    <cellStyle name="Heading [Helv] 2 5 3 4 2" xfId="43182" xr:uid="{00000000-0005-0000-0000-00001A050000}"/>
    <cellStyle name="Heading [Helv] 2 5 3 5" xfId="21138" xr:uid="{00000000-0005-0000-0000-00001A050000}"/>
    <cellStyle name="Heading [Helv] 2 5 3 6" xfId="39525" xr:uid="{00000000-0005-0000-0000-00001A050000}"/>
    <cellStyle name="Heading [Helv] 2 5 4" xfId="6113" xr:uid="{00000000-0005-0000-0000-00001A050000}"/>
    <cellStyle name="Heading [Helv] 2 5 4 2" xfId="12467" xr:uid="{00000000-0005-0000-0000-00001A050000}"/>
    <cellStyle name="Heading [Helv] 2 5 4 2 2" xfId="30907" xr:uid="{00000000-0005-0000-0000-00001A050000}"/>
    <cellStyle name="Heading [Helv] 2 5 4 2 3" xfId="49270" xr:uid="{00000000-0005-0000-0000-00001A050000}"/>
    <cellStyle name="Heading [Helv] 2 5 4 3" xfId="16786" xr:uid="{00000000-0005-0000-0000-00001A050000}"/>
    <cellStyle name="Heading [Helv] 2 5 4 3 2" xfId="35155" xr:uid="{00000000-0005-0000-0000-00001A050000}"/>
    <cellStyle name="Heading [Helv] 2 5 4 3 3" xfId="53518" xr:uid="{00000000-0005-0000-0000-00001A050000}"/>
    <cellStyle name="Heading [Helv] 2 5 4 4" xfId="25909" xr:uid="{00000000-0005-0000-0000-00001A050000}"/>
    <cellStyle name="Heading [Helv] 2 5 4 4 2" xfId="44278" xr:uid="{00000000-0005-0000-0000-00001A050000}"/>
    <cellStyle name="Heading [Helv] 2 5 4 5" xfId="22225" xr:uid="{00000000-0005-0000-0000-00001A050000}"/>
    <cellStyle name="Heading [Helv] 2 5 4 6" xfId="40602" xr:uid="{00000000-0005-0000-0000-00001A050000}"/>
    <cellStyle name="Heading [Helv] 2 5 5" xfId="9784" xr:uid="{00000000-0005-0000-0000-00001A050000}"/>
    <cellStyle name="Heading [Helv] 2 5 5 2" xfId="13841" xr:uid="{00000000-0005-0000-0000-00001A050000}"/>
    <cellStyle name="Heading [Helv] 2 5 5 2 2" xfId="32261" xr:uid="{00000000-0005-0000-0000-00001A050000}"/>
    <cellStyle name="Heading [Helv] 2 5 5 2 3" xfId="50624" xr:uid="{00000000-0005-0000-0000-00001A050000}"/>
    <cellStyle name="Heading [Helv] 2 5 5 3" xfId="28499" xr:uid="{00000000-0005-0000-0000-00001A050000}"/>
    <cellStyle name="Heading [Helv] 2 5 5 3 2" xfId="46862" xr:uid="{00000000-0005-0000-0000-00001A050000}"/>
    <cellStyle name="Heading [Helv] 2 5 5 4" xfId="18986" xr:uid="{00000000-0005-0000-0000-00001A050000}"/>
    <cellStyle name="Heading [Helv] 2 5 5 5" xfId="37395" xr:uid="{00000000-0005-0000-0000-00001A050000}"/>
    <cellStyle name="Heading [Helv] 2 5 6" xfId="8366" xr:uid="{00000000-0005-0000-0000-00001A050000}"/>
    <cellStyle name="Heading [Helv] 2 5 6 2" xfId="27433" xr:uid="{00000000-0005-0000-0000-00001A050000}"/>
    <cellStyle name="Heading [Helv] 2 5 6 3" xfId="45797" xr:uid="{00000000-0005-0000-0000-00001A050000}"/>
    <cellStyle name="Heading [Helv] 2 5 7" xfId="7508" xr:uid="{00000000-0005-0000-0000-00001A050000}"/>
    <cellStyle name="Heading [Helv] 2 5 7 2" xfId="26862" xr:uid="{00000000-0005-0000-0000-00001A050000}"/>
    <cellStyle name="Heading [Helv] 2 5 7 3" xfId="45227" xr:uid="{00000000-0005-0000-0000-00001A050000}"/>
    <cellStyle name="Heading [Helv] 2 5 8" xfId="18121" xr:uid="{00000000-0005-0000-0000-00001A050000}"/>
    <cellStyle name="Heading [Helv] 2 5 8 2" xfId="36528" xr:uid="{00000000-0005-0000-0000-00001A050000}"/>
    <cellStyle name="Heading [Helv] 2 5 9" xfId="7433" xr:uid="{00000000-0005-0000-0000-00001A050000}"/>
    <cellStyle name="Heading [Helv] 2 6" xfId="2772" xr:uid="{00000000-0005-0000-0000-00001B050000}"/>
    <cellStyle name="Heading [Helv] 2 6 10" xfId="35914" xr:uid="{00000000-0005-0000-0000-00001B050000}"/>
    <cellStyle name="Heading [Helv] 2 6 2" xfId="3810" xr:uid="{00000000-0005-0000-0000-00001B050000}"/>
    <cellStyle name="Heading [Helv] 2 6 2 2" xfId="5983" xr:uid="{00000000-0005-0000-0000-00001B050000}"/>
    <cellStyle name="Heading [Helv] 2 6 2 2 2" xfId="12347" xr:uid="{00000000-0005-0000-0000-00001B050000}"/>
    <cellStyle name="Heading [Helv] 2 6 2 2 2 2" xfId="30794" xr:uid="{00000000-0005-0000-0000-00001B050000}"/>
    <cellStyle name="Heading [Helv] 2 6 2 2 2 3" xfId="49157" xr:uid="{00000000-0005-0000-0000-00001B050000}"/>
    <cellStyle name="Heading [Helv] 2 6 2 2 3" xfId="16673" xr:uid="{00000000-0005-0000-0000-00001B050000}"/>
    <cellStyle name="Heading [Helv] 2 6 2 2 3 2" xfId="35045" xr:uid="{00000000-0005-0000-0000-00001B050000}"/>
    <cellStyle name="Heading [Helv] 2 6 2 2 3 3" xfId="53408" xr:uid="{00000000-0005-0000-0000-00001B050000}"/>
    <cellStyle name="Heading [Helv] 2 6 2 2 4" xfId="25792" xr:uid="{00000000-0005-0000-0000-00001B050000}"/>
    <cellStyle name="Heading [Helv] 2 6 2 2 4 2" xfId="44161" xr:uid="{00000000-0005-0000-0000-00001B050000}"/>
    <cellStyle name="Heading [Helv] 2 6 2 2 5" xfId="22113" xr:uid="{00000000-0005-0000-0000-00001B050000}"/>
    <cellStyle name="Heading [Helv] 2 6 2 2 6" xfId="40492" xr:uid="{00000000-0005-0000-0000-00001B050000}"/>
    <cellStyle name="Heading [Helv] 2 6 2 3" xfId="6809" xr:uid="{00000000-0005-0000-0000-00001B050000}"/>
    <cellStyle name="Heading [Helv] 2 6 2 3 2" xfId="13100" xr:uid="{00000000-0005-0000-0000-00001B050000}"/>
    <cellStyle name="Heading [Helv] 2 6 2 3 2 2" xfId="31526" xr:uid="{00000000-0005-0000-0000-00001B050000}"/>
    <cellStyle name="Heading [Helv] 2 6 2 3 2 3" xfId="49889" xr:uid="{00000000-0005-0000-0000-00001B050000}"/>
    <cellStyle name="Heading [Helv] 2 6 2 3 3" xfId="17411" xr:uid="{00000000-0005-0000-0000-00001B050000}"/>
    <cellStyle name="Heading [Helv] 2 6 2 3 3 2" xfId="35759" xr:uid="{00000000-0005-0000-0000-00001B050000}"/>
    <cellStyle name="Heading [Helv] 2 6 2 3 3 3" xfId="54122" xr:uid="{00000000-0005-0000-0000-00001B050000}"/>
    <cellStyle name="Heading [Helv] 2 6 2 3 4" xfId="26544" xr:uid="{00000000-0005-0000-0000-00001B050000}"/>
    <cellStyle name="Heading [Helv] 2 6 2 3 4 2" xfId="44913" xr:uid="{00000000-0005-0000-0000-00001B050000}"/>
    <cellStyle name="Heading [Helv] 2 6 2 3 5" xfId="22837" xr:uid="{00000000-0005-0000-0000-00001B050000}"/>
    <cellStyle name="Heading [Helv] 2 6 2 3 6" xfId="41206" xr:uid="{00000000-0005-0000-0000-00001B050000}"/>
    <cellStyle name="Heading [Helv] 2 6 2 4" xfId="10523" xr:uid="{00000000-0005-0000-0000-00001B050000}"/>
    <cellStyle name="Heading [Helv] 2 6 2 4 2" xfId="14580" xr:uid="{00000000-0005-0000-0000-00001B050000}"/>
    <cellStyle name="Heading [Helv] 2 6 2 4 2 2" xfId="32996" xr:uid="{00000000-0005-0000-0000-00001B050000}"/>
    <cellStyle name="Heading [Helv] 2 6 2 4 2 3" xfId="51359" xr:uid="{00000000-0005-0000-0000-00001B050000}"/>
    <cellStyle name="Heading [Helv] 2 6 2 4 3" xfId="29234" xr:uid="{00000000-0005-0000-0000-00001B050000}"/>
    <cellStyle name="Heading [Helv] 2 6 2 4 3 2" xfId="47597" xr:uid="{00000000-0005-0000-0000-00001B050000}"/>
    <cellStyle name="Heading [Helv] 2 6 2 4 4" xfId="20037" xr:uid="{00000000-0005-0000-0000-00001B050000}"/>
    <cellStyle name="Heading [Helv] 2 6 2 4 5" xfId="38443" xr:uid="{00000000-0005-0000-0000-00001B050000}"/>
    <cellStyle name="Heading [Helv] 2 6 2 5" xfId="9856" xr:uid="{00000000-0005-0000-0000-00001B050000}"/>
    <cellStyle name="Heading [Helv] 2 6 2 5 2" xfId="28570" xr:uid="{00000000-0005-0000-0000-00001B050000}"/>
    <cellStyle name="Heading [Helv] 2 6 2 5 3" xfId="46933" xr:uid="{00000000-0005-0000-0000-00001B050000}"/>
    <cellStyle name="Heading [Helv] 2 6 2 6" xfId="13914" xr:uid="{00000000-0005-0000-0000-00001B050000}"/>
    <cellStyle name="Heading [Helv] 2 6 2 6 2" xfId="32332" xr:uid="{00000000-0005-0000-0000-00001B050000}"/>
    <cellStyle name="Heading [Helv] 2 6 2 6 3" xfId="50695" xr:uid="{00000000-0005-0000-0000-00001B050000}"/>
    <cellStyle name="Heading [Helv] 2 6 2 7" xfId="23718" xr:uid="{00000000-0005-0000-0000-00001B050000}"/>
    <cellStyle name="Heading [Helv] 2 6 2 7 2" xfId="42087" xr:uid="{00000000-0005-0000-0000-00001B050000}"/>
    <cellStyle name="Heading [Helv] 2 6 2 8" xfId="19110" xr:uid="{00000000-0005-0000-0000-00001B050000}"/>
    <cellStyle name="Heading [Helv] 2 6 2 9" xfId="37518" xr:uid="{00000000-0005-0000-0000-00001B050000}"/>
    <cellStyle name="Heading [Helv] 2 6 3" xfId="5133" xr:uid="{00000000-0005-0000-0000-00001B050000}"/>
    <cellStyle name="Heading [Helv] 2 6 3 2" xfId="11638" xr:uid="{00000000-0005-0000-0000-00001B050000}"/>
    <cellStyle name="Heading [Helv] 2 6 3 2 2" xfId="30186" xr:uid="{00000000-0005-0000-0000-00001B050000}"/>
    <cellStyle name="Heading [Helv] 2 6 3 2 3" xfId="48549" xr:uid="{00000000-0005-0000-0000-00001B050000}"/>
    <cellStyle name="Heading [Helv] 2 6 3 3" xfId="15837" xr:uid="{00000000-0005-0000-0000-00001B050000}"/>
    <cellStyle name="Heading [Helv] 2 6 3 3 2" xfId="34221" xr:uid="{00000000-0005-0000-0000-00001B050000}"/>
    <cellStyle name="Heading [Helv] 2 6 3 3 3" xfId="52584" xr:uid="{00000000-0005-0000-0000-00001B050000}"/>
    <cellStyle name="Heading [Helv] 2 6 3 4" xfId="24960" xr:uid="{00000000-0005-0000-0000-00001B050000}"/>
    <cellStyle name="Heading [Helv] 2 6 3 4 2" xfId="43329" xr:uid="{00000000-0005-0000-0000-00001B050000}"/>
    <cellStyle name="Heading [Helv] 2 6 3 5" xfId="21283" xr:uid="{00000000-0005-0000-0000-00001B050000}"/>
    <cellStyle name="Heading [Helv] 2 6 3 6" xfId="39668" xr:uid="{00000000-0005-0000-0000-00001B050000}"/>
    <cellStyle name="Heading [Helv] 2 6 4" xfId="6184" xr:uid="{00000000-0005-0000-0000-00001B050000}"/>
    <cellStyle name="Heading [Helv] 2 6 4 2" xfId="12519" xr:uid="{00000000-0005-0000-0000-00001B050000}"/>
    <cellStyle name="Heading [Helv] 2 6 4 2 2" xfId="30951" xr:uid="{00000000-0005-0000-0000-00001B050000}"/>
    <cellStyle name="Heading [Helv] 2 6 4 2 3" xfId="49314" xr:uid="{00000000-0005-0000-0000-00001B050000}"/>
    <cellStyle name="Heading [Helv] 2 6 4 3" xfId="16834" xr:uid="{00000000-0005-0000-0000-00001B050000}"/>
    <cellStyle name="Heading [Helv] 2 6 4 3 2" xfId="35194" xr:uid="{00000000-0005-0000-0000-00001B050000}"/>
    <cellStyle name="Heading [Helv] 2 6 4 3 3" xfId="53557" xr:uid="{00000000-0005-0000-0000-00001B050000}"/>
    <cellStyle name="Heading [Helv] 2 6 4 4" xfId="25961" xr:uid="{00000000-0005-0000-0000-00001B050000}"/>
    <cellStyle name="Heading [Helv] 2 6 4 4 2" xfId="44330" xr:uid="{00000000-0005-0000-0000-00001B050000}"/>
    <cellStyle name="Heading [Helv] 2 6 4 5" xfId="22268" xr:uid="{00000000-0005-0000-0000-00001B050000}"/>
    <cellStyle name="Heading [Helv] 2 6 4 6" xfId="40641" xr:uid="{00000000-0005-0000-0000-00001B050000}"/>
    <cellStyle name="Heading [Helv] 2 6 5" xfId="10015" xr:uid="{00000000-0005-0000-0000-00001B050000}"/>
    <cellStyle name="Heading [Helv] 2 6 5 2" xfId="14072" xr:uid="{00000000-0005-0000-0000-00001B050000}"/>
    <cellStyle name="Heading [Helv] 2 6 5 2 2" xfId="32489" xr:uid="{00000000-0005-0000-0000-00001B050000}"/>
    <cellStyle name="Heading [Helv] 2 6 5 2 3" xfId="50852" xr:uid="{00000000-0005-0000-0000-00001B050000}"/>
    <cellStyle name="Heading [Helv] 2 6 5 3" xfId="28727" xr:uid="{00000000-0005-0000-0000-00001B050000}"/>
    <cellStyle name="Heading [Helv] 2 6 5 3 2" xfId="47090" xr:uid="{00000000-0005-0000-0000-00001B050000}"/>
    <cellStyle name="Heading [Helv] 2 6 5 4" xfId="19394" xr:uid="{00000000-0005-0000-0000-00001B050000}"/>
    <cellStyle name="Heading [Helv] 2 6 5 5" xfId="37801" xr:uid="{00000000-0005-0000-0000-00001B050000}"/>
    <cellStyle name="Heading [Helv] 2 6 6" xfId="8642" xr:uid="{00000000-0005-0000-0000-00001B050000}"/>
    <cellStyle name="Heading [Helv] 2 6 6 2" xfId="27550" xr:uid="{00000000-0005-0000-0000-00001B050000}"/>
    <cellStyle name="Heading [Helv] 2 6 6 3" xfId="45914" xr:uid="{00000000-0005-0000-0000-00001B050000}"/>
    <cellStyle name="Heading [Helv] 2 6 7" xfId="8894" xr:uid="{00000000-0005-0000-0000-00001B050000}"/>
    <cellStyle name="Heading [Helv] 2 6 7 2" xfId="27675" xr:uid="{00000000-0005-0000-0000-00001B050000}"/>
    <cellStyle name="Heading [Helv] 2 6 7 3" xfId="46038" xr:uid="{00000000-0005-0000-0000-00001B050000}"/>
    <cellStyle name="Heading [Helv] 2 6 8" xfId="18143" xr:uid="{00000000-0005-0000-0000-00001B050000}"/>
    <cellStyle name="Heading [Helv] 2 6 8 2" xfId="36550" xr:uid="{00000000-0005-0000-0000-00001B050000}"/>
    <cellStyle name="Heading [Helv] 2 6 9" xfId="11370" xr:uid="{00000000-0005-0000-0000-00001B050000}"/>
    <cellStyle name="Heading [Helv] 2 7" xfId="3347" xr:uid="{00000000-0005-0000-0000-00000D050000}"/>
    <cellStyle name="Heading [Helv] 2 7 2" xfId="5522" xr:uid="{00000000-0005-0000-0000-00000D050000}"/>
    <cellStyle name="Heading [Helv] 2 7 2 2" xfId="11886" xr:uid="{00000000-0005-0000-0000-00000D050000}"/>
    <cellStyle name="Heading [Helv] 2 7 2 2 2" xfId="30333" xr:uid="{00000000-0005-0000-0000-00000D050000}"/>
    <cellStyle name="Heading [Helv] 2 7 2 2 3" xfId="48696" xr:uid="{00000000-0005-0000-0000-00000D050000}"/>
    <cellStyle name="Heading [Helv] 2 7 2 3" xfId="16212" xr:uid="{00000000-0005-0000-0000-00000D050000}"/>
    <cellStyle name="Heading [Helv] 2 7 2 3 2" xfId="34584" xr:uid="{00000000-0005-0000-0000-00000D050000}"/>
    <cellStyle name="Heading [Helv] 2 7 2 3 3" xfId="52947" xr:uid="{00000000-0005-0000-0000-00000D050000}"/>
    <cellStyle name="Heading [Helv] 2 7 2 4" xfId="25331" xr:uid="{00000000-0005-0000-0000-00000D050000}"/>
    <cellStyle name="Heading [Helv] 2 7 2 4 2" xfId="43700" xr:uid="{00000000-0005-0000-0000-00000D050000}"/>
    <cellStyle name="Heading [Helv] 2 7 2 5" xfId="21652" xr:uid="{00000000-0005-0000-0000-00000D050000}"/>
    <cellStyle name="Heading [Helv] 2 7 2 6" xfId="40031" xr:uid="{00000000-0005-0000-0000-00000D050000}"/>
    <cellStyle name="Heading [Helv] 2 7 3" xfId="6346" xr:uid="{00000000-0005-0000-0000-00000D050000}"/>
    <cellStyle name="Heading [Helv] 2 7 3 2" xfId="12637" xr:uid="{00000000-0005-0000-0000-00000D050000}"/>
    <cellStyle name="Heading [Helv] 2 7 3 2 2" xfId="31063" xr:uid="{00000000-0005-0000-0000-00000D050000}"/>
    <cellStyle name="Heading [Helv] 2 7 3 2 3" xfId="49426" xr:uid="{00000000-0005-0000-0000-00000D050000}"/>
    <cellStyle name="Heading [Helv] 2 7 3 3" xfId="16948" xr:uid="{00000000-0005-0000-0000-00000D050000}"/>
    <cellStyle name="Heading [Helv] 2 7 3 3 2" xfId="35296" xr:uid="{00000000-0005-0000-0000-00000D050000}"/>
    <cellStyle name="Heading [Helv] 2 7 3 3 3" xfId="53659" xr:uid="{00000000-0005-0000-0000-00000D050000}"/>
    <cellStyle name="Heading [Helv] 2 7 3 4" xfId="26081" xr:uid="{00000000-0005-0000-0000-00000D050000}"/>
    <cellStyle name="Heading [Helv] 2 7 3 4 2" xfId="44450" xr:uid="{00000000-0005-0000-0000-00000D050000}"/>
    <cellStyle name="Heading [Helv] 2 7 3 5" xfId="22374" xr:uid="{00000000-0005-0000-0000-00000D050000}"/>
    <cellStyle name="Heading [Helv] 2 7 3 6" xfId="40743" xr:uid="{00000000-0005-0000-0000-00000D050000}"/>
    <cellStyle name="Heading [Helv] 2 7 4" xfId="10060" xr:uid="{00000000-0005-0000-0000-00000D050000}"/>
    <cellStyle name="Heading [Helv] 2 7 4 2" xfId="14117" xr:uid="{00000000-0005-0000-0000-00000D050000}"/>
    <cellStyle name="Heading [Helv] 2 7 4 2 2" xfId="32533" xr:uid="{00000000-0005-0000-0000-00000D050000}"/>
    <cellStyle name="Heading [Helv] 2 7 4 2 3" xfId="50896" xr:uid="{00000000-0005-0000-0000-00000D050000}"/>
    <cellStyle name="Heading [Helv] 2 7 4 3" xfId="28771" xr:uid="{00000000-0005-0000-0000-00000D050000}"/>
    <cellStyle name="Heading [Helv] 2 7 4 3 2" xfId="47134" xr:uid="{00000000-0005-0000-0000-00000D050000}"/>
    <cellStyle name="Heading [Helv] 2 7 4 4" xfId="19574" xr:uid="{00000000-0005-0000-0000-00000D050000}"/>
    <cellStyle name="Heading [Helv] 2 7 4 5" xfId="37980" xr:uid="{00000000-0005-0000-0000-00000D050000}"/>
    <cellStyle name="Heading [Helv] 2 7 5" xfId="9190" xr:uid="{00000000-0005-0000-0000-00000D050000}"/>
    <cellStyle name="Heading [Helv] 2 7 5 2" xfId="27911" xr:uid="{00000000-0005-0000-0000-00000D050000}"/>
    <cellStyle name="Heading [Helv] 2 7 5 3" xfId="46274" xr:uid="{00000000-0005-0000-0000-00000D050000}"/>
    <cellStyle name="Heading [Helv] 2 7 6" xfId="13248" xr:uid="{00000000-0005-0000-0000-00000D050000}"/>
    <cellStyle name="Heading [Helv] 2 7 6 2" xfId="31669" xr:uid="{00000000-0005-0000-0000-00000D050000}"/>
    <cellStyle name="Heading [Helv] 2 7 6 3" xfId="50032" xr:uid="{00000000-0005-0000-0000-00000D050000}"/>
    <cellStyle name="Heading [Helv] 2 7 7" xfId="23255" xr:uid="{00000000-0005-0000-0000-00000D050000}"/>
    <cellStyle name="Heading [Helv] 2 7 7 2" xfId="41624" xr:uid="{00000000-0005-0000-0000-00000D050000}"/>
    <cellStyle name="Heading [Helv] 2 7 8" xfId="18205" xr:uid="{00000000-0005-0000-0000-00000D050000}"/>
    <cellStyle name="Heading [Helv] 2 7 9" xfId="36611" xr:uid="{00000000-0005-0000-0000-00000D050000}"/>
    <cellStyle name="Heading [Helv] 2 8" xfId="4187" xr:uid="{00000000-0005-0000-0000-00000D050000}"/>
    <cellStyle name="Heading [Helv] 2 8 2" xfId="10837" xr:uid="{00000000-0005-0000-0000-00000D050000}"/>
    <cellStyle name="Heading [Helv] 2 8 2 2" xfId="29508" xr:uid="{00000000-0005-0000-0000-00000D050000}"/>
    <cellStyle name="Heading [Helv] 2 8 2 3" xfId="47871" xr:uid="{00000000-0005-0000-0000-00000D050000}"/>
    <cellStyle name="Heading [Helv] 2 8 3" xfId="14933" xr:uid="{00000000-0005-0000-0000-00000D050000}"/>
    <cellStyle name="Heading [Helv] 2 8 3 2" xfId="33337" xr:uid="{00000000-0005-0000-0000-00000D050000}"/>
    <cellStyle name="Heading [Helv] 2 8 3 3" xfId="51700" xr:uid="{00000000-0005-0000-0000-00000D050000}"/>
    <cellStyle name="Heading [Helv] 2 8 4" xfId="24066" xr:uid="{00000000-0005-0000-0000-00000D050000}"/>
    <cellStyle name="Heading [Helv] 2 8 4 2" xfId="42435" xr:uid="{00000000-0005-0000-0000-00000D050000}"/>
    <cellStyle name="Heading [Helv] 2 8 5" xfId="20386" xr:uid="{00000000-0005-0000-0000-00000D050000}"/>
    <cellStyle name="Heading [Helv] 2 8 6" xfId="38784" xr:uid="{00000000-0005-0000-0000-00000D050000}"/>
    <cellStyle name="Heading [Helv] 2 9" xfId="4958" xr:uid="{00000000-0005-0000-0000-00000D050000}"/>
    <cellStyle name="Heading [Helv] 2 9 2" xfId="11490" xr:uid="{00000000-0005-0000-0000-00000D050000}"/>
    <cellStyle name="Heading [Helv] 2 9 2 2" xfId="30063" xr:uid="{00000000-0005-0000-0000-00000D050000}"/>
    <cellStyle name="Heading [Helv] 2 9 2 3" xfId="48426" xr:uid="{00000000-0005-0000-0000-00000D050000}"/>
    <cellStyle name="Heading [Helv] 2 9 3" xfId="15675" xr:uid="{00000000-0005-0000-0000-00000D050000}"/>
    <cellStyle name="Heading [Helv] 2 9 3 2" xfId="34064" xr:uid="{00000000-0005-0000-0000-00000D050000}"/>
    <cellStyle name="Heading [Helv] 2 9 3 3" xfId="52427" xr:uid="{00000000-0005-0000-0000-00000D050000}"/>
    <cellStyle name="Heading [Helv] 2 9 4" xfId="24798" xr:uid="{00000000-0005-0000-0000-00000D050000}"/>
    <cellStyle name="Heading [Helv] 2 9 4 2" xfId="43167" xr:uid="{00000000-0005-0000-0000-00000D050000}"/>
    <cellStyle name="Heading [Helv] 2 9 5" xfId="21124" xr:uid="{00000000-0005-0000-0000-00000D050000}"/>
    <cellStyle name="Heading [Helv] 2 9 6" xfId="39511" xr:uid="{00000000-0005-0000-0000-00000D050000}"/>
    <cellStyle name="Heading [Helv] 3" xfId="1854" xr:uid="{00000000-0005-0000-0000-00001C050000}"/>
    <cellStyle name="Heading [Helv] 3 10" xfId="7371" xr:uid="{00000000-0005-0000-0000-00001C050000}"/>
    <cellStyle name="Heading [Helv] 3 2" xfId="3708" xr:uid="{00000000-0005-0000-0000-00001C050000}"/>
    <cellStyle name="Heading [Helv] 3 2 2" xfId="5881" xr:uid="{00000000-0005-0000-0000-00001C050000}"/>
    <cellStyle name="Heading [Helv] 3 2 2 2" xfId="12245" xr:uid="{00000000-0005-0000-0000-00001C050000}"/>
    <cellStyle name="Heading [Helv] 3 2 2 2 2" xfId="30692" xr:uid="{00000000-0005-0000-0000-00001C050000}"/>
    <cellStyle name="Heading [Helv] 3 2 2 2 3" xfId="49055" xr:uid="{00000000-0005-0000-0000-00001C050000}"/>
    <cellStyle name="Heading [Helv] 3 2 2 3" xfId="16571" xr:uid="{00000000-0005-0000-0000-00001C050000}"/>
    <cellStyle name="Heading [Helv] 3 2 2 3 2" xfId="34943" xr:uid="{00000000-0005-0000-0000-00001C050000}"/>
    <cellStyle name="Heading [Helv] 3 2 2 3 3" xfId="53306" xr:uid="{00000000-0005-0000-0000-00001C050000}"/>
    <cellStyle name="Heading [Helv] 3 2 2 4" xfId="25690" xr:uid="{00000000-0005-0000-0000-00001C050000}"/>
    <cellStyle name="Heading [Helv] 3 2 2 4 2" xfId="44059" xr:uid="{00000000-0005-0000-0000-00001C050000}"/>
    <cellStyle name="Heading [Helv] 3 2 2 5" xfId="22011" xr:uid="{00000000-0005-0000-0000-00001C050000}"/>
    <cellStyle name="Heading [Helv] 3 2 2 6" xfId="40390" xr:uid="{00000000-0005-0000-0000-00001C050000}"/>
    <cellStyle name="Heading [Helv] 3 2 3" xfId="6707" xr:uid="{00000000-0005-0000-0000-00001C050000}"/>
    <cellStyle name="Heading [Helv] 3 2 3 2" xfId="12998" xr:uid="{00000000-0005-0000-0000-00001C050000}"/>
    <cellStyle name="Heading [Helv] 3 2 3 2 2" xfId="31424" xr:uid="{00000000-0005-0000-0000-00001C050000}"/>
    <cellStyle name="Heading [Helv] 3 2 3 2 3" xfId="49787" xr:uid="{00000000-0005-0000-0000-00001C050000}"/>
    <cellStyle name="Heading [Helv] 3 2 3 3" xfId="17309" xr:uid="{00000000-0005-0000-0000-00001C050000}"/>
    <cellStyle name="Heading [Helv] 3 2 3 3 2" xfId="35657" xr:uid="{00000000-0005-0000-0000-00001C050000}"/>
    <cellStyle name="Heading [Helv] 3 2 3 3 3" xfId="54020" xr:uid="{00000000-0005-0000-0000-00001C050000}"/>
    <cellStyle name="Heading [Helv] 3 2 3 4" xfId="26442" xr:uid="{00000000-0005-0000-0000-00001C050000}"/>
    <cellStyle name="Heading [Helv] 3 2 3 4 2" xfId="44811" xr:uid="{00000000-0005-0000-0000-00001C050000}"/>
    <cellStyle name="Heading [Helv] 3 2 3 5" xfId="22735" xr:uid="{00000000-0005-0000-0000-00001C050000}"/>
    <cellStyle name="Heading [Helv] 3 2 3 6" xfId="41104" xr:uid="{00000000-0005-0000-0000-00001C050000}"/>
    <cellStyle name="Heading [Helv] 3 2 4" xfId="10421" xr:uid="{00000000-0005-0000-0000-00001C050000}"/>
    <cellStyle name="Heading [Helv] 3 2 4 2" xfId="14478" xr:uid="{00000000-0005-0000-0000-00001C050000}"/>
    <cellStyle name="Heading [Helv] 3 2 4 2 2" xfId="32894" xr:uid="{00000000-0005-0000-0000-00001C050000}"/>
    <cellStyle name="Heading [Helv] 3 2 4 2 3" xfId="51257" xr:uid="{00000000-0005-0000-0000-00001C050000}"/>
    <cellStyle name="Heading [Helv] 3 2 4 3" xfId="29132" xr:uid="{00000000-0005-0000-0000-00001C050000}"/>
    <cellStyle name="Heading [Helv] 3 2 4 3 2" xfId="47495" xr:uid="{00000000-0005-0000-0000-00001C050000}"/>
    <cellStyle name="Heading [Helv] 3 2 4 4" xfId="19935" xr:uid="{00000000-0005-0000-0000-00001C050000}"/>
    <cellStyle name="Heading [Helv] 3 2 4 5" xfId="38341" xr:uid="{00000000-0005-0000-0000-00001C050000}"/>
    <cellStyle name="Heading [Helv] 3 2 5" xfId="9633" xr:uid="{00000000-0005-0000-0000-00001C050000}"/>
    <cellStyle name="Heading [Helv] 3 2 5 2" xfId="28349" xr:uid="{00000000-0005-0000-0000-00001C050000}"/>
    <cellStyle name="Heading [Helv] 3 2 5 3" xfId="46712" xr:uid="{00000000-0005-0000-0000-00001C050000}"/>
    <cellStyle name="Heading [Helv] 3 2 6" xfId="13690" xr:uid="{00000000-0005-0000-0000-00001C050000}"/>
    <cellStyle name="Heading [Helv] 3 2 6 2" xfId="32111" xr:uid="{00000000-0005-0000-0000-00001C050000}"/>
    <cellStyle name="Heading [Helv] 3 2 6 3" xfId="50474" xr:uid="{00000000-0005-0000-0000-00001C050000}"/>
    <cellStyle name="Heading [Helv] 3 2 7" xfId="23616" xr:uid="{00000000-0005-0000-0000-00001C050000}"/>
    <cellStyle name="Heading [Helv] 3 2 7 2" xfId="41985" xr:uid="{00000000-0005-0000-0000-00001C050000}"/>
    <cellStyle name="Heading [Helv] 3 2 8" xfId="18747" xr:uid="{00000000-0005-0000-0000-00001C050000}"/>
    <cellStyle name="Heading [Helv] 3 2 9" xfId="37156" xr:uid="{00000000-0005-0000-0000-00001C050000}"/>
    <cellStyle name="Heading [Helv] 3 3" xfId="4779" xr:uid="{00000000-0005-0000-0000-00001C050000}"/>
    <cellStyle name="Heading [Helv] 3 3 2" xfId="11352" xr:uid="{00000000-0005-0000-0000-00001C050000}"/>
    <cellStyle name="Heading [Helv] 3 3 2 2" xfId="29948" xr:uid="{00000000-0005-0000-0000-00001C050000}"/>
    <cellStyle name="Heading [Helv] 3 3 2 3" xfId="48311" xr:uid="{00000000-0005-0000-0000-00001C050000}"/>
    <cellStyle name="Heading [Helv] 3 3 3" xfId="15505" xr:uid="{00000000-0005-0000-0000-00001C050000}"/>
    <cellStyle name="Heading [Helv] 3 3 3 2" xfId="33898" xr:uid="{00000000-0005-0000-0000-00001C050000}"/>
    <cellStyle name="Heading [Helv] 3 3 3 3" xfId="52261" xr:uid="{00000000-0005-0000-0000-00001C050000}"/>
    <cellStyle name="Heading [Helv] 3 3 4" xfId="24629" xr:uid="{00000000-0005-0000-0000-00001C050000}"/>
    <cellStyle name="Heading [Helv] 3 3 4 2" xfId="42998" xr:uid="{00000000-0005-0000-0000-00001C050000}"/>
    <cellStyle name="Heading [Helv] 3 3 5" xfId="20956" xr:uid="{00000000-0005-0000-0000-00001C050000}"/>
    <cellStyle name="Heading [Helv] 3 3 6" xfId="39345" xr:uid="{00000000-0005-0000-0000-00001C050000}"/>
    <cellStyle name="Heading [Helv] 3 4" xfId="5011" xr:uid="{00000000-0005-0000-0000-00001C050000}"/>
    <cellStyle name="Heading [Helv] 3 4 2" xfId="11535" xr:uid="{00000000-0005-0000-0000-00001C050000}"/>
    <cellStyle name="Heading [Helv] 3 4 2 2" xfId="30107" xr:uid="{00000000-0005-0000-0000-00001C050000}"/>
    <cellStyle name="Heading [Helv] 3 4 2 3" xfId="48470" xr:uid="{00000000-0005-0000-0000-00001C050000}"/>
    <cellStyle name="Heading [Helv] 3 4 3" xfId="15725" xr:uid="{00000000-0005-0000-0000-00001C050000}"/>
    <cellStyle name="Heading [Helv] 3 4 3 2" xfId="34113" xr:uid="{00000000-0005-0000-0000-00001C050000}"/>
    <cellStyle name="Heading [Helv] 3 4 3 3" xfId="52476" xr:uid="{00000000-0005-0000-0000-00001C050000}"/>
    <cellStyle name="Heading [Helv] 3 4 4" xfId="24849" xr:uid="{00000000-0005-0000-0000-00001C050000}"/>
    <cellStyle name="Heading [Helv] 3 4 4 2" xfId="43218" xr:uid="{00000000-0005-0000-0000-00001C050000}"/>
    <cellStyle name="Heading [Helv] 3 4 5" xfId="21173" xr:uid="{00000000-0005-0000-0000-00001C050000}"/>
    <cellStyle name="Heading [Helv] 3 4 6" xfId="39560" xr:uid="{00000000-0005-0000-0000-00001C050000}"/>
    <cellStyle name="Heading [Helv] 3 5" xfId="9187" xr:uid="{00000000-0005-0000-0000-00001C050000}"/>
    <cellStyle name="Heading [Helv] 3 5 2" xfId="13245" xr:uid="{00000000-0005-0000-0000-00001C050000}"/>
    <cellStyle name="Heading [Helv] 3 5 2 2" xfId="31666" xr:uid="{00000000-0005-0000-0000-00001C050000}"/>
    <cellStyle name="Heading [Helv] 3 5 2 3" xfId="50029" xr:uid="{00000000-0005-0000-0000-00001C050000}"/>
    <cellStyle name="Heading [Helv] 3 5 3" xfId="27908" xr:uid="{00000000-0005-0000-0000-00001C050000}"/>
    <cellStyle name="Heading [Helv] 3 5 3 2" xfId="46271" xr:uid="{00000000-0005-0000-0000-00001C050000}"/>
    <cellStyle name="Heading [Helv] 3 5 4" xfId="18202" xr:uid="{00000000-0005-0000-0000-00001C050000}"/>
    <cellStyle name="Heading [Helv] 3 5 5" xfId="36608" xr:uid="{00000000-0005-0000-0000-00001C050000}"/>
    <cellStyle name="Heading [Helv] 3 6" xfId="8068" xr:uid="{00000000-0005-0000-0000-00001C050000}"/>
    <cellStyle name="Heading [Helv] 3 6 2" xfId="27280" xr:uid="{00000000-0005-0000-0000-00001C050000}"/>
    <cellStyle name="Heading [Helv] 3 6 3" xfId="45645" xr:uid="{00000000-0005-0000-0000-00001C050000}"/>
    <cellStyle name="Heading [Helv] 3 7" xfId="8701" xr:uid="{00000000-0005-0000-0000-00001C050000}"/>
    <cellStyle name="Heading [Helv] 3 7 2" xfId="27591" xr:uid="{00000000-0005-0000-0000-00001C050000}"/>
    <cellStyle name="Heading [Helv] 3 7 3" xfId="45954" xr:uid="{00000000-0005-0000-0000-00001C050000}"/>
    <cellStyle name="Heading [Helv] 3 8" xfId="19101" xr:uid="{00000000-0005-0000-0000-00001C050000}"/>
    <cellStyle name="Heading [Helv] 3 8 2" xfId="37509" xr:uid="{00000000-0005-0000-0000-00001C050000}"/>
    <cellStyle name="Heading [Helv] 3 9" xfId="10873" xr:uid="{00000000-0005-0000-0000-00001C050000}"/>
    <cellStyle name="Heading [Helv] 4" xfId="2080" xr:uid="{00000000-0005-0000-0000-00001D050000}"/>
    <cellStyle name="Heading [Helv] 4 10" xfId="21302" xr:uid="{00000000-0005-0000-0000-00001D050000}"/>
    <cellStyle name="Heading [Helv] 4 2" xfId="3751" xr:uid="{00000000-0005-0000-0000-00001D050000}"/>
    <cellStyle name="Heading [Helv] 4 2 2" xfId="5924" xr:uid="{00000000-0005-0000-0000-00001D050000}"/>
    <cellStyle name="Heading [Helv] 4 2 2 2" xfId="12288" xr:uid="{00000000-0005-0000-0000-00001D050000}"/>
    <cellStyle name="Heading [Helv] 4 2 2 2 2" xfId="30735" xr:uid="{00000000-0005-0000-0000-00001D050000}"/>
    <cellStyle name="Heading [Helv] 4 2 2 2 3" xfId="49098" xr:uid="{00000000-0005-0000-0000-00001D050000}"/>
    <cellStyle name="Heading [Helv] 4 2 2 3" xfId="16614" xr:uid="{00000000-0005-0000-0000-00001D050000}"/>
    <cellStyle name="Heading [Helv] 4 2 2 3 2" xfId="34986" xr:uid="{00000000-0005-0000-0000-00001D050000}"/>
    <cellStyle name="Heading [Helv] 4 2 2 3 3" xfId="53349" xr:uid="{00000000-0005-0000-0000-00001D050000}"/>
    <cellStyle name="Heading [Helv] 4 2 2 4" xfId="25733" xr:uid="{00000000-0005-0000-0000-00001D050000}"/>
    <cellStyle name="Heading [Helv] 4 2 2 4 2" xfId="44102" xr:uid="{00000000-0005-0000-0000-00001D050000}"/>
    <cellStyle name="Heading [Helv] 4 2 2 5" xfId="22054" xr:uid="{00000000-0005-0000-0000-00001D050000}"/>
    <cellStyle name="Heading [Helv] 4 2 2 6" xfId="40433" xr:uid="{00000000-0005-0000-0000-00001D050000}"/>
    <cellStyle name="Heading [Helv] 4 2 3" xfId="6750" xr:uid="{00000000-0005-0000-0000-00001D050000}"/>
    <cellStyle name="Heading [Helv] 4 2 3 2" xfId="13041" xr:uid="{00000000-0005-0000-0000-00001D050000}"/>
    <cellStyle name="Heading [Helv] 4 2 3 2 2" xfId="31467" xr:uid="{00000000-0005-0000-0000-00001D050000}"/>
    <cellStyle name="Heading [Helv] 4 2 3 2 3" xfId="49830" xr:uid="{00000000-0005-0000-0000-00001D050000}"/>
    <cellStyle name="Heading [Helv] 4 2 3 3" xfId="17352" xr:uid="{00000000-0005-0000-0000-00001D050000}"/>
    <cellStyle name="Heading [Helv] 4 2 3 3 2" xfId="35700" xr:uid="{00000000-0005-0000-0000-00001D050000}"/>
    <cellStyle name="Heading [Helv] 4 2 3 3 3" xfId="54063" xr:uid="{00000000-0005-0000-0000-00001D050000}"/>
    <cellStyle name="Heading [Helv] 4 2 3 4" xfId="26485" xr:uid="{00000000-0005-0000-0000-00001D050000}"/>
    <cellStyle name="Heading [Helv] 4 2 3 4 2" xfId="44854" xr:uid="{00000000-0005-0000-0000-00001D050000}"/>
    <cellStyle name="Heading [Helv] 4 2 3 5" xfId="22778" xr:uid="{00000000-0005-0000-0000-00001D050000}"/>
    <cellStyle name="Heading [Helv] 4 2 3 6" xfId="41147" xr:uid="{00000000-0005-0000-0000-00001D050000}"/>
    <cellStyle name="Heading [Helv] 4 2 4" xfId="10464" xr:uid="{00000000-0005-0000-0000-00001D050000}"/>
    <cellStyle name="Heading [Helv] 4 2 4 2" xfId="14521" xr:uid="{00000000-0005-0000-0000-00001D050000}"/>
    <cellStyle name="Heading [Helv] 4 2 4 2 2" xfId="32937" xr:uid="{00000000-0005-0000-0000-00001D050000}"/>
    <cellStyle name="Heading [Helv] 4 2 4 2 3" xfId="51300" xr:uid="{00000000-0005-0000-0000-00001D050000}"/>
    <cellStyle name="Heading [Helv] 4 2 4 3" xfId="29175" xr:uid="{00000000-0005-0000-0000-00001D050000}"/>
    <cellStyle name="Heading [Helv] 4 2 4 3 2" xfId="47538" xr:uid="{00000000-0005-0000-0000-00001D050000}"/>
    <cellStyle name="Heading [Helv] 4 2 4 4" xfId="19978" xr:uid="{00000000-0005-0000-0000-00001D050000}"/>
    <cellStyle name="Heading [Helv] 4 2 4 5" xfId="38384" xr:uid="{00000000-0005-0000-0000-00001D050000}"/>
    <cellStyle name="Heading [Helv] 4 2 5" xfId="9713" xr:uid="{00000000-0005-0000-0000-00001D050000}"/>
    <cellStyle name="Heading [Helv] 4 2 5 2" xfId="28429" xr:uid="{00000000-0005-0000-0000-00001D050000}"/>
    <cellStyle name="Heading [Helv] 4 2 5 3" xfId="46792" xr:uid="{00000000-0005-0000-0000-00001D050000}"/>
    <cellStyle name="Heading [Helv] 4 2 6" xfId="13770" xr:uid="{00000000-0005-0000-0000-00001D050000}"/>
    <cellStyle name="Heading [Helv] 4 2 6 2" xfId="32191" xr:uid="{00000000-0005-0000-0000-00001D050000}"/>
    <cellStyle name="Heading [Helv] 4 2 6 3" xfId="50554" xr:uid="{00000000-0005-0000-0000-00001D050000}"/>
    <cellStyle name="Heading [Helv] 4 2 7" xfId="23659" xr:uid="{00000000-0005-0000-0000-00001D050000}"/>
    <cellStyle name="Heading [Helv] 4 2 7 2" xfId="42028" xr:uid="{00000000-0005-0000-0000-00001D050000}"/>
    <cellStyle name="Heading [Helv] 4 2 8" xfId="18861" xr:uid="{00000000-0005-0000-0000-00001D050000}"/>
    <cellStyle name="Heading [Helv] 4 2 9" xfId="37270" xr:uid="{00000000-0005-0000-0000-00001D050000}"/>
    <cellStyle name="Heading [Helv] 4 3" xfId="4903" xr:uid="{00000000-0005-0000-0000-00001D050000}"/>
    <cellStyle name="Heading [Helv] 4 3 2" xfId="11458" xr:uid="{00000000-0005-0000-0000-00001D050000}"/>
    <cellStyle name="Heading [Helv] 4 3 2 2" xfId="30046" xr:uid="{00000000-0005-0000-0000-00001D050000}"/>
    <cellStyle name="Heading [Helv] 4 3 2 3" xfId="48409" xr:uid="{00000000-0005-0000-0000-00001D050000}"/>
    <cellStyle name="Heading [Helv] 4 3 3" xfId="15629" xr:uid="{00000000-0005-0000-0000-00001D050000}"/>
    <cellStyle name="Heading [Helv] 4 3 3 2" xfId="34020" xr:uid="{00000000-0005-0000-0000-00001D050000}"/>
    <cellStyle name="Heading [Helv] 4 3 3 3" xfId="52383" xr:uid="{00000000-0005-0000-0000-00001D050000}"/>
    <cellStyle name="Heading [Helv] 4 3 4" xfId="24751" xr:uid="{00000000-0005-0000-0000-00001D050000}"/>
    <cellStyle name="Heading [Helv] 4 3 4 2" xfId="43120" xr:uid="{00000000-0005-0000-0000-00001D050000}"/>
    <cellStyle name="Heading [Helv] 4 3 5" xfId="21078" xr:uid="{00000000-0005-0000-0000-00001D050000}"/>
    <cellStyle name="Heading [Helv] 4 3 6" xfId="39467" xr:uid="{00000000-0005-0000-0000-00001D050000}"/>
    <cellStyle name="Heading [Helv] 4 4" xfId="3917" xr:uid="{00000000-0005-0000-0000-00001D050000}"/>
    <cellStyle name="Heading [Helv] 4 4 2" xfId="10625" xr:uid="{00000000-0005-0000-0000-00001D050000}"/>
    <cellStyle name="Heading [Helv] 4 4 2 2" xfId="29335" xr:uid="{00000000-0005-0000-0000-00001D050000}"/>
    <cellStyle name="Heading [Helv] 4 4 2 3" xfId="47698" xr:uid="{00000000-0005-0000-0000-00001D050000}"/>
    <cellStyle name="Heading [Helv] 4 4 3" xfId="14682" xr:uid="{00000000-0005-0000-0000-00001D050000}"/>
    <cellStyle name="Heading [Helv] 4 4 3 2" xfId="33096" xr:uid="{00000000-0005-0000-0000-00001D050000}"/>
    <cellStyle name="Heading [Helv] 4 4 3 3" xfId="51459" xr:uid="{00000000-0005-0000-0000-00001D050000}"/>
    <cellStyle name="Heading [Helv] 4 4 4" xfId="23820" xr:uid="{00000000-0005-0000-0000-00001D050000}"/>
    <cellStyle name="Heading [Helv] 4 4 4 2" xfId="42189" xr:uid="{00000000-0005-0000-0000-00001D050000}"/>
    <cellStyle name="Heading [Helv] 4 4 5" xfId="20138" xr:uid="{00000000-0005-0000-0000-00001D050000}"/>
    <cellStyle name="Heading [Helv] 4 4 6" xfId="38543" xr:uid="{00000000-0005-0000-0000-00001D050000}"/>
    <cellStyle name="Heading [Helv] 4 5" xfId="9946" xr:uid="{00000000-0005-0000-0000-00001D050000}"/>
    <cellStyle name="Heading [Helv] 4 5 2" xfId="14003" xr:uid="{00000000-0005-0000-0000-00001D050000}"/>
    <cellStyle name="Heading [Helv] 4 5 2 2" xfId="32420" xr:uid="{00000000-0005-0000-0000-00001D050000}"/>
    <cellStyle name="Heading [Helv] 4 5 2 3" xfId="50783" xr:uid="{00000000-0005-0000-0000-00001D050000}"/>
    <cellStyle name="Heading [Helv] 4 5 3" xfId="28658" xr:uid="{00000000-0005-0000-0000-00001D050000}"/>
    <cellStyle name="Heading [Helv] 4 5 3 2" xfId="47021" xr:uid="{00000000-0005-0000-0000-00001D050000}"/>
    <cellStyle name="Heading [Helv] 4 5 4" xfId="19274" xr:uid="{00000000-0005-0000-0000-00001D050000}"/>
    <cellStyle name="Heading [Helv] 4 5 5" xfId="37681" xr:uid="{00000000-0005-0000-0000-00001D050000}"/>
    <cellStyle name="Heading [Helv] 4 6" xfId="8217" xr:uid="{00000000-0005-0000-0000-00001D050000}"/>
    <cellStyle name="Heading [Helv] 4 6 2" xfId="27376" xr:uid="{00000000-0005-0000-0000-00001D050000}"/>
    <cellStyle name="Heading [Helv] 4 6 3" xfId="45741" xr:uid="{00000000-0005-0000-0000-00001D050000}"/>
    <cellStyle name="Heading [Helv] 4 7" xfId="7137" xr:uid="{00000000-0005-0000-0000-00001D050000}"/>
    <cellStyle name="Heading [Helv] 4 7 2" xfId="26727" xr:uid="{00000000-0005-0000-0000-00001D050000}"/>
    <cellStyle name="Heading [Helv] 4 7 3" xfId="45095" xr:uid="{00000000-0005-0000-0000-00001D050000}"/>
    <cellStyle name="Heading [Helv] 4 8" xfId="18217" xr:uid="{00000000-0005-0000-0000-00001D050000}"/>
    <cellStyle name="Heading [Helv] 4 8 2" xfId="36623" xr:uid="{00000000-0005-0000-0000-00001D050000}"/>
    <cellStyle name="Heading [Helv] 4 9" xfId="6953" xr:uid="{00000000-0005-0000-0000-00001D050000}"/>
    <cellStyle name="Heading [Helv] 5" xfId="2533" xr:uid="{00000000-0005-0000-0000-00001E050000}"/>
    <cellStyle name="Heading [Helv] 5 10" xfId="35867" xr:uid="{00000000-0005-0000-0000-00001E050000}"/>
    <cellStyle name="Heading [Helv] 5 2" xfId="3795" xr:uid="{00000000-0005-0000-0000-00001E050000}"/>
    <cellStyle name="Heading [Helv] 5 2 2" xfId="5968" xr:uid="{00000000-0005-0000-0000-00001E050000}"/>
    <cellStyle name="Heading [Helv] 5 2 2 2" xfId="12332" xr:uid="{00000000-0005-0000-0000-00001E050000}"/>
    <cellStyle name="Heading [Helv] 5 2 2 2 2" xfId="30779" xr:uid="{00000000-0005-0000-0000-00001E050000}"/>
    <cellStyle name="Heading [Helv] 5 2 2 2 3" xfId="49142" xr:uid="{00000000-0005-0000-0000-00001E050000}"/>
    <cellStyle name="Heading [Helv] 5 2 2 3" xfId="16658" xr:uid="{00000000-0005-0000-0000-00001E050000}"/>
    <cellStyle name="Heading [Helv] 5 2 2 3 2" xfId="35030" xr:uid="{00000000-0005-0000-0000-00001E050000}"/>
    <cellStyle name="Heading [Helv] 5 2 2 3 3" xfId="53393" xr:uid="{00000000-0005-0000-0000-00001E050000}"/>
    <cellStyle name="Heading [Helv] 5 2 2 4" xfId="25777" xr:uid="{00000000-0005-0000-0000-00001E050000}"/>
    <cellStyle name="Heading [Helv] 5 2 2 4 2" xfId="44146" xr:uid="{00000000-0005-0000-0000-00001E050000}"/>
    <cellStyle name="Heading [Helv] 5 2 2 5" xfId="22098" xr:uid="{00000000-0005-0000-0000-00001E050000}"/>
    <cellStyle name="Heading [Helv] 5 2 2 6" xfId="40477" xr:uid="{00000000-0005-0000-0000-00001E050000}"/>
    <cellStyle name="Heading [Helv] 5 2 3" xfId="6794" xr:uid="{00000000-0005-0000-0000-00001E050000}"/>
    <cellStyle name="Heading [Helv] 5 2 3 2" xfId="13085" xr:uid="{00000000-0005-0000-0000-00001E050000}"/>
    <cellStyle name="Heading [Helv] 5 2 3 2 2" xfId="31511" xr:uid="{00000000-0005-0000-0000-00001E050000}"/>
    <cellStyle name="Heading [Helv] 5 2 3 2 3" xfId="49874" xr:uid="{00000000-0005-0000-0000-00001E050000}"/>
    <cellStyle name="Heading [Helv] 5 2 3 3" xfId="17396" xr:uid="{00000000-0005-0000-0000-00001E050000}"/>
    <cellStyle name="Heading [Helv] 5 2 3 3 2" xfId="35744" xr:uid="{00000000-0005-0000-0000-00001E050000}"/>
    <cellStyle name="Heading [Helv] 5 2 3 3 3" xfId="54107" xr:uid="{00000000-0005-0000-0000-00001E050000}"/>
    <cellStyle name="Heading [Helv] 5 2 3 4" xfId="26529" xr:uid="{00000000-0005-0000-0000-00001E050000}"/>
    <cellStyle name="Heading [Helv] 5 2 3 4 2" xfId="44898" xr:uid="{00000000-0005-0000-0000-00001E050000}"/>
    <cellStyle name="Heading [Helv] 5 2 3 5" xfId="22822" xr:uid="{00000000-0005-0000-0000-00001E050000}"/>
    <cellStyle name="Heading [Helv] 5 2 3 6" xfId="41191" xr:uid="{00000000-0005-0000-0000-00001E050000}"/>
    <cellStyle name="Heading [Helv] 5 2 4" xfId="10508" xr:uid="{00000000-0005-0000-0000-00001E050000}"/>
    <cellStyle name="Heading [Helv] 5 2 4 2" xfId="14565" xr:uid="{00000000-0005-0000-0000-00001E050000}"/>
    <cellStyle name="Heading [Helv] 5 2 4 2 2" xfId="32981" xr:uid="{00000000-0005-0000-0000-00001E050000}"/>
    <cellStyle name="Heading [Helv] 5 2 4 2 3" xfId="51344" xr:uid="{00000000-0005-0000-0000-00001E050000}"/>
    <cellStyle name="Heading [Helv] 5 2 4 3" xfId="29219" xr:uid="{00000000-0005-0000-0000-00001E050000}"/>
    <cellStyle name="Heading [Helv] 5 2 4 3 2" xfId="47582" xr:uid="{00000000-0005-0000-0000-00001E050000}"/>
    <cellStyle name="Heading [Helv] 5 2 4 4" xfId="20022" xr:uid="{00000000-0005-0000-0000-00001E050000}"/>
    <cellStyle name="Heading [Helv] 5 2 4 5" xfId="38428" xr:uid="{00000000-0005-0000-0000-00001E050000}"/>
    <cellStyle name="Heading [Helv] 5 2 5" xfId="9815" xr:uid="{00000000-0005-0000-0000-00001E050000}"/>
    <cellStyle name="Heading [Helv] 5 2 5 2" xfId="28530" xr:uid="{00000000-0005-0000-0000-00001E050000}"/>
    <cellStyle name="Heading [Helv] 5 2 5 3" xfId="46893" xr:uid="{00000000-0005-0000-0000-00001E050000}"/>
    <cellStyle name="Heading [Helv] 5 2 6" xfId="13872" xr:uid="{00000000-0005-0000-0000-00001E050000}"/>
    <cellStyle name="Heading [Helv] 5 2 6 2" xfId="32292" xr:uid="{00000000-0005-0000-0000-00001E050000}"/>
    <cellStyle name="Heading [Helv] 5 2 6 3" xfId="50655" xr:uid="{00000000-0005-0000-0000-00001E050000}"/>
    <cellStyle name="Heading [Helv] 5 2 7" xfId="23703" xr:uid="{00000000-0005-0000-0000-00001E050000}"/>
    <cellStyle name="Heading [Helv] 5 2 7 2" xfId="42072" xr:uid="{00000000-0005-0000-0000-00001E050000}"/>
    <cellStyle name="Heading [Helv] 5 2 8" xfId="19030" xr:uid="{00000000-0005-0000-0000-00001E050000}"/>
    <cellStyle name="Heading [Helv] 5 2 9" xfId="37439" xr:uid="{00000000-0005-0000-0000-00001E050000}"/>
    <cellStyle name="Heading [Helv] 5 3" xfId="5069" xr:uid="{00000000-0005-0000-0000-00001E050000}"/>
    <cellStyle name="Heading [Helv] 5 3 2" xfId="11591" xr:uid="{00000000-0005-0000-0000-00001E050000}"/>
    <cellStyle name="Heading [Helv] 5 3 2 2" xfId="30158" xr:uid="{00000000-0005-0000-0000-00001E050000}"/>
    <cellStyle name="Heading [Helv] 5 3 2 3" xfId="48521" xr:uid="{00000000-0005-0000-0000-00001E050000}"/>
    <cellStyle name="Heading [Helv] 5 3 3" xfId="15782" xr:uid="{00000000-0005-0000-0000-00001E050000}"/>
    <cellStyle name="Heading [Helv] 5 3 3 2" xfId="34169" xr:uid="{00000000-0005-0000-0000-00001E050000}"/>
    <cellStyle name="Heading [Helv] 5 3 3 3" xfId="52532" xr:uid="{00000000-0005-0000-0000-00001E050000}"/>
    <cellStyle name="Heading [Helv] 5 3 4" xfId="24905" xr:uid="{00000000-0005-0000-0000-00001E050000}"/>
    <cellStyle name="Heading [Helv] 5 3 4 2" xfId="43274" xr:uid="{00000000-0005-0000-0000-00001E050000}"/>
    <cellStyle name="Heading [Helv] 5 3 5" xfId="21230" xr:uid="{00000000-0005-0000-0000-00001E050000}"/>
    <cellStyle name="Heading [Helv] 5 3 6" xfId="39616" xr:uid="{00000000-0005-0000-0000-00001E050000}"/>
    <cellStyle name="Heading [Helv] 5 4" xfId="6139" xr:uid="{00000000-0005-0000-0000-00001E050000}"/>
    <cellStyle name="Heading [Helv] 5 4 2" xfId="12493" xr:uid="{00000000-0005-0000-0000-00001E050000}"/>
    <cellStyle name="Heading [Helv] 5 4 2 2" xfId="30931" xr:uid="{00000000-0005-0000-0000-00001E050000}"/>
    <cellStyle name="Heading [Helv] 5 4 2 3" xfId="49294" xr:uid="{00000000-0005-0000-0000-00001E050000}"/>
    <cellStyle name="Heading [Helv] 5 4 3" xfId="16811" xr:uid="{00000000-0005-0000-0000-00001E050000}"/>
    <cellStyle name="Heading [Helv] 5 4 3 2" xfId="35178" xr:uid="{00000000-0005-0000-0000-00001E050000}"/>
    <cellStyle name="Heading [Helv] 5 4 3 3" xfId="53541" xr:uid="{00000000-0005-0000-0000-00001E050000}"/>
    <cellStyle name="Heading [Helv] 5 4 4" xfId="25932" xr:uid="{00000000-0005-0000-0000-00001E050000}"/>
    <cellStyle name="Heading [Helv] 5 4 4 2" xfId="44301" xr:uid="{00000000-0005-0000-0000-00001E050000}"/>
    <cellStyle name="Heading [Helv] 5 4 5" xfId="22248" xr:uid="{00000000-0005-0000-0000-00001E050000}"/>
    <cellStyle name="Heading [Helv] 5 4 6" xfId="40625" xr:uid="{00000000-0005-0000-0000-00001E050000}"/>
    <cellStyle name="Heading [Helv] 5 5" xfId="9013" xr:uid="{00000000-0005-0000-0000-00001E050000}"/>
    <cellStyle name="Heading [Helv] 5 5 2" xfId="6937" xr:uid="{00000000-0005-0000-0000-00001E050000}"/>
    <cellStyle name="Heading [Helv] 5 5 2 2" xfId="26670" xr:uid="{00000000-0005-0000-0000-00001E050000}"/>
    <cellStyle name="Heading [Helv] 5 5 2 3" xfId="45039" xr:uid="{00000000-0005-0000-0000-00001E050000}"/>
    <cellStyle name="Heading [Helv] 5 5 3" xfId="27740" xr:uid="{00000000-0005-0000-0000-00001E050000}"/>
    <cellStyle name="Heading [Helv] 5 5 3 2" xfId="46103" xr:uid="{00000000-0005-0000-0000-00001E050000}"/>
    <cellStyle name="Heading [Helv] 5 5 4" xfId="17868" xr:uid="{00000000-0005-0000-0000-00001E050000}"/>
    <cellStyle name="Heading [Helv] 5 5 5" xfId="36278" xr:uid="{00000000-0005-0000-0000-00001E050000}"/>
    <cellStyle name="Heading [Helv] 5 6" xfId="8487" xr:uid="{00000000-0005-0000-0000-00001E050000}"/>
    <cellStyle name="Heading [Helv] 5 6 2" xfId="27503" xr:uid="{00000000-0005-0000-0000-00001E050000}"/>
    <cellStyle name="Heading [Helv] 5 6 3" xfId="45867" xr:uid="{00000000-0005-0000-0000-00001E050000}"/>
    <cellStyle name="Heading [Helv] 5 7" xfId="7070" xr:uid="{00000000-0005-0000-0000-00001E050000}"/>
    <cellStyle name="Heading [Helv] 5 7 2" xfId="26710" xr:uid="{00000000-0005-0000-0000-00001E050000}"/>
    <cellStyle name="Heading [Helv] 5 7 3" xfId="45078" xr:uid="{00000000-0005-0000-0000-00001E050000}"/>
    <cellStyle name="Heading [Helv] 5 8" xfId="18923" xr:uid="{00000000-0005-0000-0000-00001E050000}"/>
    <cellStyle name="Heading [Helv] 5 8 2" xfId="37332" xr:uid="{00000000-0005-0000-0000-00001E050000}"/>
    <cellStyle name="Heading [Helv] 5 9" xfId="7263" xr:uid="{00000000-0005-0000-0000-00001E050000}"/>
    <cellStyle name="Heading [Helv] 6" xfId="3009" xr:uid="{00000000-0005-0000-0000-00001F050000}"/>
    <cellStyle name="Heading [Helv] 6 10" xfId="36020" xr:uid="{00000000-0005-0000-0000-00001F050000}"/>
    <cellStyle name="Heading [Helv] 6 2" xfId="3838" xr:uid="{00000000-0005-0000-0000-00001F050000}"/>
    <cellStyle name="Heading [Helv] 6 2 2" xfId="6011" xr:uid="{00000000-0005-0000-0000-00001F050000}"/>
    <cellStyle name="Heading [Helv] 6 2 2 2" xfId="12375" xr:uid="{00000000-0005-0000-0000-00001F050000}"/>
    <cellStyle name="Heading [Helv] 6 2 2 2 2" xfId="30822" xr:uid="{00000000-0005-0000-0000-00001F050000}"/>
    <cellStyle name="Heading [Helv] 6 2 2 2 3" xfId="49185" xr:uid="{00000000-0005-0000-0000-00001F050000}"/>
    <cellStyle name="Heading [Helv] 6 2 2 3" xfId="16701" xr:uid="{00000000-0005-0000-0000-00001F050000}"/>
    <cellStyle name="Heading [Helv] 6 2 2 3 2" xfId="35073" xr:uid="{00000000-0005-0000-0000-00001F050000}"/>
    <cellStyle name="Heading [Helv] 6 2 2 3 3" xfId="53436" xr:uid="{00000000-0005-0000-0000-00001F050000}"/>
    <cellStyle name="Heading [Helv] 6 2 2 4" xfId="25820" xr:uid="{00000000-0005-0000-0000-00001F050000}"/>
    <cellStyle name="Heading [Helv] 6 2 2 4 2" xfId="44189" xr:uid="{00000000-0005-0000-0000-00001F050000}"/>
    <cellStyle name="Heading [Helv] 6 2 2 5" xfId="22141" xr:uid="{00000000-0005-0000-0000-00001F050000}"/>
    <cellStyle name="Heading [Helv] 6 2 2 6" xfId="40520" xr:uid="{00000000-0005-0000-0000-00001F050000}"/>
    <cellStyle name="Heading [Helv] 6 2 3" xfId="6837" xr:uid="{00000000-0005-0000-0000-00001F050000}"/>
    <cellStyle name="Heading [Helv] 6 2 3 2" xfId="13128" xr:uid="{00000000-0005-0000-0000-00001F050000}"/>
    <cellStyle name="Heading [Helv] 6 2 3 2 2" xfId="31554" xr:uid="{00000000-0005-0000-0000-00001F050000}"/>
    <cellStyle name="Heading [Helv] 6 2 3 2 3" xfId="49917" xr:uid="{00000000-0005-0000-0000-00001F050000}"/>
    <cellStyle name="Heading [Helv] 6 2 3 3" xfId="17439" xr:uid="{00000000-0005-0000-0000-00001F050000}"/>
    <cellStyle name="Heading [Helv] 6 2 3 3 2" xfId="35787" xr:uid="{00000000-0005-0000-0000-00001F050000}"/>
    <cellStyle name="Heading [Helv] 6 2 3 3 3" xfId="54150" xr:uid="{00000000-0005-0000-0000-00001F050000}"/>
    <cellStyle name="Heading [Helv] 6 2 3 4" xfId="26572" xr:uid="{00000000-0005-0000-0000-00001F050000}"/>
    <cellStyle name="Heading [Helv] 6 2 3 4 2" xfId="44941" xr:uid="{00000000-0005-0000-0000-00001F050000}"/>
    <cellStyle name="Heading [Helv] 6 2 3 5" xfId="22865" xr:uid="{00000000-0005-0000-0000-00001F050000}"/>
    <cellStyle name="Heading [Helv] 6 2 3 6" xfId="41234" xr:uid="{00000000-0005-0000-0000-00001F050000}"/>
    <cellStyle name="Heading [Helv] 6 2 4" xfId="10551" xr:uid="{00000000-0005-0000-0000-00001F050000}"/>
    <cellStyle name="Heading [Helv] 6 2 4 2" xfId="14608" xr:uid="{00000000-0005-0000-0000-00001F050000}"/>
    <cellStyle name="Heading [Helv] 6 2 4 2 2" xfId="33024" xr:uid="{00000000-0005-0000-0000-00001F050000}"/>
    <cellStyle name="Heading [Helv] 6 2 4 2 3" xfId="51387" xr:uid="{00000000-0005-0000-0000-00001F050000}"/>
    <cellStyle name="Heading [Helv] 6 2 4 3" xfId="29262" xr:uid="{00000000-0005-0000-0000-00001F050000}"/>
    <cellStyle name="Heading [Helv] 6 2 4 3 2" xfId="47625" xr:uid="{00000000-0005-0000-0000-00001F050000}"/>
    <cellStyle name="Heading [Helv] 6 2 4 4" xfId="20065" xr:uid="{00000000-0005-0000-0000-00001F050000}"/>
    <cellStyle name="Heading [Helv] 6 2 4 5" xfId="38471" xr:uid="{00000000-0005-0000-0000-00001F050000}"/>
    <cellStyle name="Heading [Helv] 6 2 5" xfId="9918" xr:uid="{00000000-0005-0000-0000-00001F050000}"/>
    <cellStyle name="Heading [Helv] 6 2 5 2" xfId="28630" xr:uid="{00000000-0005-0000-0000-00001F050000}"/>
    <cellStyle name="Heading [Helv] 6 2 5 3" xfId="46993" xr:uid="{00000000-0005-0000-0000-00001F050000}"/>
    <cellStyle name="Heading [Helv] 6 2 6" xfId="13975" xr:uid="{00000000-0005-0000-0000-00001F050000}"/>
    <cellStyle name="Heading [Helv] 6 2 6 2" xfId="32392" xr:uid="{00000000-0005-0000-0000-00001F050000}"/>
    <cellStyle name="Heading [Helv] 6 2 6 3" xfId="50755" xr:uid="{00000000-0005-0000-0000-00001F050000}"/>
    <cellStyle name="Heading [Helv] 6 2 7" xfId="23746" xr:uid="{00000000-0005-0000-0000-00001F050000}"/>
    <cellStyle name="Heading [Helv] 6 2 7 2" xfId="42115" xr:uid="{00000000-0005-0000-0000-00001F050000}"/>
    <cellStyle name="Heading [Helv] 6 2 8" xfId="19221" xr:uid="{00000000-0005-0000-0000-00001F050000}"/>
    <cellStyle name="Heading [Helv] 6 2 9" xfId="37628" xr:uid="{00000000-0005-0000-0000-00001F050000}"/>
    <cellStyle name="Heading [Helv] 6 3" xfId="5264" xr:uid="{00000000-0005-0000-0000-00001F050000}"/>
    <cellStyle name="Heading [Helv] 6 3 2" xfId="11722" xr:uid="{00000000-0005-0000-0000-00001F050000}"/>
    <cellStyle name="Heading [Helv] 6 3 2 2" xfId="30232" xr:uid="{00000000-0005-0000-0000-00001F050000}"/>
    <cellStyle name="Heading [Helv] 6 3 2 3" xfId="48595" xr:uid="{00000000-0005-0000-0000-00001F050000}"/>
    <cellStyle name="Heading [Helv] 6 3 3" xfId="15956" xr:uid="{00000000-0005-0000-0000-00001F050000}"/>
    <cellStyle name="Heading [Helv] 6 3 3 2" xfId="34330" xr:uid="{00000000-0005-0000-0000-00001F050000}"/>
    <cellStyle name="Heading [Helv] 6 3 3 3" xfId="52693" xr:uid="{00000000-0005-0000-0000-00001F050000}"/>
    <cellStyle name="Heading [Helv] 6 3 4" xfId="25077" xr:uid="{00000000-0005-0000-0000-00001F050000}"/>
    <cellStyle name="Heading [Helv] 6 3 4 2" xfId="43446" xr:uid="{00000000-0005-0000-0000-00001F050000}"/>
    <cellStyle name="Heading [Helv] 6 3 5" xfId="21398" xr:uid="{00000000-0005-0000-0000-00001F050000}"/>
    <cellStyle name="Heading [Helv] 6 3 6" xfId="39777" xr:uid="{00000000-0005-0000-0000-00001F050000}"/>
    <cellStyle name="Heading [Helv] 6 4" xfId="6233" xr:uid="{00000000-0005-0000-0000-00001F050000}"/>
    <cellStyle name="Heading [Helv] 6 4 2" xfId="12548" xr:uid="{00000000-0005-0000-0000-00001F050000}"/>
    <cellStyle name="Heading [Helv] 6 4 2 2" xfId="30980" xr:uid="{00000000-0005-0000-0000-00001F050000}"/>
    <cellStyle name="Heading [Helv] 6 4 2 3" xfId="49343" xr:uid="{00000000-0005-0000-0000-00001F050000}"/>
    <cellStyle name="Heading [Helv] 6 4 3" xfId="16865" xr:uid="{00000000-0005-0000-0000-00001F050000}"/>
    <cellStyle name="Heading [Helv] 6 4 3 2" xfId="35222" xr:uid="{00000000-0005-0000-0000-00001F050000}"/>
    <cellStyle name="Heading [Helv] 6 4 3 3" xfId="53585" xr:uid="{00000000-0005-0000-0000-00001F050000}"/>
    <cellStyle name="Heading [Helv] 6 4 4" xfId="25997" xr:uid="{00000000-0005-0000-0000-00001F050000}"/>
    <cellStyle name="Heading [Helv] 6 4 4 2" xfId="44366" xr:uid="{00000000-0005-0000-0000-00001F050000}"/>
    <cellStyle name="Heading [Helv] 6 4 5" xfId="22296" xr:uid="{00000000-0005-0000-0000-00001F050000}"/>
    <cellStyle name="Heading [Helv] 6 4 6" xfId="40669" xr:uid="{00000000-0005-0000-0000-00001F050000}"/>
    <cellStyle name="Heading [Helv] 6 5" xfId="10038" xr:uid="{00000000-0005-0000-0000-00001F050000}"/>
    <cellStyle name="Heading [Helv] 6 5 2" xfId="14095" xr:uid="{00000000-0005-0000-0000-00001F050000}"/>
    <cellStyle name="Heading [Helv] 6 5 2 2" xfId="32511" xr:uid="{00000000-0005-0000-0000-00001F050000}"/>
    <cellStyle name="Heading [Helv] 6 5 2 3" xfId="50874" xr:uid="{00000000-0005-0000-0000-00001F050000}"/>
    <cellStyle name="Heading [Helv] 6 5 3" xfId="28749" xr:uid="{00000000-0005-0000-0000-00001F050000}"/>
    <cellStyle name="Heading [Helv] 6 5 3 2" xfId="47112" xr:uid="{00000000-0005-0000-0000-00001F050000}"/>
    <cellStyle name="Heading [Helv] 6 5 4" xfId="19485" xr:uid="{00000000-0005-0000-0000-00001F050000}"/>
    <cellStyle name="Heading [Helv] 6 5 5" xfId="37891" xr:uid="{00000000-0005-0000-0000-00001F050000}"/>
    <cellStyle name="Heading [Helv] 6 6" xfId="8804" xr:uid="{00000000-0005-0000-0000-00001F050000}"/>
    <cellStyle name="Heading [Helv] 6 6 2" xfId="27638" xr:uid="{00000000-0005-0000-0000-00001F050000}"/>
    <cellStyle name="Heading [Helv] 6 6 3" xfId="46001" xr:uid="{00000000-0005-0000-0000-00001F050000}"/>
    <cellStyle name="Heading [Helv] 6 7" xfId="8168" xr:uid="{00000000-0005-0000-0000-00001F050000}"/>
    <cellStyle name="Heading [Helv] 6 7 2" xfId="27361" xr:uid="{00000000-0005-0000-0000-00001F050000}"/>
    <cellStyle name="Heading [Helv] 6 7 3" xfId="45726" xr:uid="{00000000-0005-0000-0000-00001F050000}"/>
    <cellStyle name="Heading [Helv] 6 8" xfId="23018" xr:uid="{00000000-0005-0000-0000-00001F050000}"/>
    <cellStyle name="Heading [Helv] 6 8 2" xfId="41387" xr:uid="{00000000-0005-0000-0000-00001F050000}"/>
    <cellStyle name="Heading [Helv] 6 9" xfId="17577" xr:uid="{00000000-0005-0000-0000-00001F050000}"/>
    <cellStyle name="Heading [Helv] 7" xfId="3168" xr:uid="{00000000-0005-0000-0000-000020050000}"/>
    <cellStyle name="Heading [Helv] 7 2" xfId="3862" xr:uid="{00000000-0005-0000-0000-000020050000}"/>
    <cellStyle name="Heading [Helv] 7 2 2" xfId="6035" xr:uid="{00000000-0005-0000-0000-000020050000}"/>
    <cellStyle name="Heading [Helv] 7 2 2 2" xfId="12399" xr:uid="{00000000-0005-0000-0000-000020050000}"/>
    <cellStyle name="Heading [Helv] 7 2 2 2 2" xfId="30846" xr:uid="{00000000-0005-0000-0000-000020050000}"/>
    <cellStyle name="Heading [Helv] 7 2 2 2 3" xfId="49209" xr:uid="{00000000-0005-0000-0000-000020050000}"/>
    <cellStyle name="Heading [Helv] 7 2 2 3" xfId="16725" xr:uid="{00000000-0005-0000-0000-000020050000}"/>
    <cellStyle name="Heading [Helv] 7 2 2 3 2" xfId="35097" xr:uid="{00000000-0005-0000-0000-000020050000}"/>
    <cellStyle name="Heading [Helv] 7 2 2 3 3" xfId="53460" xr:uid="{00000000-0005-0000-0000-000020050000}"/>
    <cellStyle name="Heading [Helv] 7 2 2 4" xfId="25844" xr:uid="{00000000-0005-0000-0000-000020050000}"/>
    <cellStyle name="Heading [Helv] 7 2 2 4 2" xfId="44213" xr:uid="{00000000-0005-0000-0000-000020050000}"/>
    <cellStyle name="Heading [Helv] 7 2 2 5" xfId="22165" xr:uid="{00000000-0005-0000-0000-000020050000}"/>
    <cellStyle name="Heading [Helv] 7 2 2 6" xfId="40544" xr:uid="{00000000-0005-0000-0000-000020050000}"/>
    <cellStyle name="Heading [Helv] 7 2 3" xfId="6861" xr:uid="{00000000-0005-0000-0000-000020050000}"/>
    <cellStyle name="Heading [Helv] 7 2 3 2" xfId="13152" xr:uid="{00000000-0005-0000-0000-000020050000}"/>
    <cellStyle name="Heading [Helv] 7 2 3 2 2" xfId="31578" xr:uid="{00000000-0005-0000-0000-000020050000}"/>
    <cellStyle name="Heading [Helv] 7 2 3 2 3" xfId="49941" xr:uid="{00000000-0005-0000-0000-000020050000}"/>
    <cellStyle name="Heading [Helv] 7 2 3 3" xfId="17463" xr:uid="{00000000-0005-0000-0000-000020050000}"/>
    <cellStyle name="Heading [Helv] 7 2 3 3 2" xfId="35811" xr:uid="{00000000-0005-0000-0000-000020050000}"/>
    <cellStyle name="Heading [Helv] 7 2 3 3 3" xfId="54174" xr:uid="{00000000-0005-0000-0000-000020050000}"/>
    <cellStyle name="Heading [Helv] 7 2 3 4" xfId="26596" xr:uid="{00000000-0005-0000-0000-000020050000}"/>
    <cellStyle name="Heading [Helv] 7 2 3 4 2" xfId="44965" xr:uid="{00000000-0005-0000-0000-000020050000}"/>
    <cellStyle name="Heading [Helv] 7 2 3 5" xfId="22889" xr:uid="{00000000-0005-0000-0000-000020050000}"/>
    <cellStyle name="Heading [Helv] 7 2 3 6" xfId="41258" xr:uid="{00000000-0005-0000-0000-000020050000}"/>
    <cellStyle name="Heading [Helv] 7 2 4" xfId="10575" xr:uid="{00000000-0005-0000-0000-000020050000}"/>
    <cellStyle name="Heading [Helv] 7 2 4 2" xfId="14632" xr:uid="{00000000-0005-0000-0000-000020050000}"/>
    <cellStyle name="Heading [Helv] 7 2 4 2 2" xfId="33048" xr:uid="{00000000-0005-0000-0000-000020050000}"/>
    <cellStyle name="Heading [Helv] 7 2 4 2 3" xfId="51411" xr:uid="{00000000-0005-0000-0000-000020050000}"/>
    <cellStyle name="Heading [Helv] 7 2 4 3" xfId="29286" xr:uid="{00000000-0005-0000-0000-000020050000}"/>
    <cellStyle name="Heading [Helv] 7 2 4 3 2" xfId="47649" xr:uid="{00000000-0005-0000-0000-000020050000}"/>
    <cellStyle name="Heading [Helv] 7 2 4 4" xfId="20089" xr:uid="{00000000-0005-0000-0000-000020050000}"/>
    <cellStyle name="Heading [Helv] 7 2 4 5" xfId="38495" xr:uid="{00000000-0005-0000-0000-000020050000}"/>
    <cellStyle name="Heading [Helv] 7 2 5" xfId="9962" xr:uid="{00000000-0005-0000-0000-000020050000}"/>
    <cellStyle name="Heading [Helv] 7 2 5 2" xfId="28674" xr:uid="{00000000-0005-0000-0000-000020050000}"/>
    <cellStyle name="Heading [Helv] 7 2 5 3" xfId="47037" xr:uid="{00000000-0005-0000-0000-000020050000}"/>
    <cellStyle name="Heading [Helv] 7 2 6" xfId="14019" xr:uid="{00000000-0005-0000-0000-000020050000}"/>
    <cellStyle name="Heading [Helv] 7 2 6 2" xfId="32436" xr:uid="{00000000-0005-0000-0000-000020050000}"/>
    <cellStyle name="Heading [Helv] 7 2 6 3" xfId="50799" xr:uid="{00000000-0005-0000-0000-000020050000}"/>
    <cellStyle name="Heading [Helv] 7 2 7" xfId="23770" xr:uid="{00000000-0005-0000-0000-000020050000}"/>
    <cellStyle name="Heading [Helv] 7 2 7 2" xfId="42139" xr:uid="{00000000-0005-0000-0000-000020050000}"/>
    <cellStyle name="Heading [Helv] 7 2 8" xfId="19299" xr:uid="{00000000-0005-0000-0000-000020050000}"/>
    <cellStyle name="Heading [Helv] 7 2 9" xfId="37706" xr:uid="{00000000-0005-0000-0000-000020050000}"/>
    <cellStyle name="Heading [Helv] 7 3" xfId="5383" xr:uid="{00000000-0005-0000-0000-000020050000}"/>
    <cellStyle name="Heading [Helv] 7 3 2" xfId="11800" xr:uid="{00000000-0005-0000-0000-000020050000}"/>
    <cellStyle name="Heading [Helv] 7 3 2 2" xfId="30273" xr:uid="{00000000-0005-0000-0000-000020050000}"/>
    <cellStyle name="Heading [Helv] 7 3 2 3" xfId="48636" xr:uid="{00000000-0005-0000-0000-000020050000}"/>
    <cellStyle name="Heading [Helv] 7 3 3" xfId="16075" xr:uid="{00000000-0005-0000-0000-000020050000}"/>
    <cellStyle name="Heading [Helv] 7 3 3 2" xfId="34447" xr:uid="{00000000-0005-0000-0000-000020050000}"/>
    <cellStyle name="Heading [Helv] 7 3 3 3" xfId="52810" xr:uid="{00000000-0005-0000-0000-000020050000}"/>
    <cellStyle name="Heading [Helv] 7 3 4" xfId="25194" xr:uid="{00000000-0005-0000-0000-000020050000}"/>
    <cellStyle name="Heading [Helv] 7 3 4 2" xfId="43563" xr:uid="{00000000-0005-0000-0000-000020050000}"/>
    <cellStyle name="Heading [Helv] 7 3 5" xfId="21515" xr:uid="{00000000-0005-0000-0000-000020050000}"/>
    <cellStyle name="Heading [Helv] 7 3 6" xfId="39894" xr:uid="{00000000-0005-0000-0000-000020050000}"/>
    <cellStyle name="Heading [Helv] 7 4" xfId="6276" xr:uid="{00000000-0005-0000-0000-000020050000}"/>
    <cellStyle name="Heading [Helv] 7 4 2" xfId="12578" xr:uid="{00000000-0005-0000-0000-000020050000}"/>
    <cellStyle name="Heading [Helv] 7 4 2 2" xfId="31007" xr:uid="{00000000-0005-0000-0000-000020050000}"/>
    <cellStyle name="Heading [Helv] 7 4 2 3" xfId="49370" xr:uid="{00000000-0005-0000-0000-000020050000}"/>
    <cellStyle name="Heading [Helv] 7 4 3" xfId="16891" xr:uid="{00000000-0005-0000-0000-000020050000}"/>
    <cellStyle name="Heading [Helv] 7 4 3 2" xfId="35246" xr:uid="{00000000-0005-0000-0000-000020050000}"/>
    <cellStyle name="Heading [Helv] 7 4 3 3" xfId="53609" xr:uid="{00000000-0005-0000-0000-000020050000}"/>
    <cellStyle name="Heading [Helv] 7 4 4" xfId="26026" xr:uid="{00000000-0005-0000-0000-000020050000}"/>
    <cellStyle name="Heading [Helv] 7 4 4 2" xfId="44395" xr:uid="{00000000-0005-0000-0000-000020050000}"/>
    <cellStyle name="Heading [Helv] 7 4 5" xfId="22323" xr:uid="{00000000-0005-0000-0000-000020050000}"/>
    <cellStyle name="Heading [Helv] 7 4 6" xfId="40693" xr:uid="{00000000-0005-0000-0000-000020050000}"/>
    <cellStyle name="Heading [Helv] 7 5" xfId="8909" xr:uid="{00000000-0005-0000-0000-000020050000}"/>
    <cellStyle name="Heading [Helv] 7 5 2" xfId="27685" xr:uid="{00000000-0005-0000-0000-000020050000}"/>
    <cellStyle name="Heading [Helv] 7 5 3" xfId="46048" xr:uid="{00000000-0005-0000-0000-000020050000}"/>
    <cellStyle name="Heading [Helv] 7 6" xfId="11665" xr:uid="{00000000-0005-0000-0000-000020050000}"/>
    <cellStyle name="Heading [Helv] 7 6 2" xfId="30211" xr:uid="{00000000-0005-0000-0000-000020050000}"/>
    <cellStyle name="Heading [Helv] 7 6 3" xfId="48574" xr:uid="{00000000-0005-0000-0000-000020050000}"/>
    <cellStyle name="Heading [Helv] 7 7" xfId="23123" xr:uid="{00000000-0005-0000-0000-000020050000}"/>
    <cellStyle name="Heading [Helv] 7 7 2" xfId="41492" xr:uid="{00000000-0005-0000-0000-000020050000}"/>
    <cellStyle name="Heading [Helv] 7 8" xfId="17702" xr:uid="{00000000-0005-0000-0000-000020050000}"/>
    <cellStyle name="Heading [Helv] 7 9" xfId="36125" xr:uid="{00000000-0005-0000-0000-000020050000}"/>
    <cellStyle name="Heading [Helv] 8" xfId="3270" xr:uid="{00000000-0005-0000-0000-000021050000}"/>
    <cellStyle name="Heading [Helv] 8 2" xfId="3878" xr:uid="{00000000-0005-0000-0000-000021050000}"/>
    <cellStyle name="Heading [Helv] 8 2 2" xfId="6051" xr:uid="{00000000-0005-0000-0000-000021050000}"/>
    <cellStyle name="Heading [Helv] 8 2 2 2" xfId="12415" xr:uid="{00000000-0005-0000-0000-000021050000}"/>
    <cellStyle name="Heading [Helv] 8 2 2 2 2" xfId="30862" xr:uid="{00000000-0005-0000-0000-000021050000}"/>
    <cellStyle name="Heading [Helv] 8 2 2 2 3" xfId="49225" xr:uid="{00000000-0005-0000-0000-000021050000}"/>
    <cellStyle name="Heading [Helv] 8 2 2 3" xfId="16741" xr:uid="{00000000-0005-0000-0000-000021050000}"/>
    <cellStyle name="Heading [Helv] 8 2 2 3 2" xfId="35113" xr:uid="{00000000-0005-0000-0000-000021050000}"/>
    <cellStyle name="Heading [Helv] 8 2 2 3 3" xfId="53476" xr:uid="{00000000-0005-0000-0000-000021050000}"/>
    <cellStyle name="Heading [Helv] 8 2 2 4" xfId="25860" xr:uid="{00000000-0005-0000-0000-000021050000}"/>
    <cellStyle name="Heading [Helv] 8 2 2 4 2" xfId="44229" xr:uid="{00000000-0005-0000-0000-000021050000}"/>
    <cellStyle name="Heading [Helv] 8 2 2 5" xfId="22181" xr:uid="{00000000-0005-0000-0000-000021050000}"/>
    <cellStyle name="Heading [Helv] 8 2 2 6" xfId="40560" xr:uid="{00000000-0005-0000-0000-000021050000}"/>
    <cellStyle name="Heading [Helv] 8 2 3" xfId="6877" xr:uid="{00000000-0005-0000-0000-000021050000}"/>
    <cellStyle name="Heading [Helv] 8 2 3 2" xfId="13168" xr:uid="{00000000-0005-0000-0000-000021050000}"/>
    <cellStyle name="Heading [Helv] 8 2 3 2 2" xfId="31594" xr:uid="{00000000-0005-0000-0000-000021050000}"/>
    <cellStyle name="Heading [Helv] 8 2 3 2 3" xfId="49957" xr:uid="{00000000-0005-0000-0000-000021050000}"/>
    <cellStyle name="Heading [Helv] 8 2 3 3" xfId="17479" xr:uid="{00000000-0005-0000-0000-000021050000}"/>
    <cellStyle name="Heading [Helv] 8 2 3 3 2" xfId="35827" xr:uid="{00000000-0005-0000-0000-000021050000}"/>
    <cellStyle name="Heading [Helv] 8 2 3 3 3" xfId="54190" xr:uid="{00000000-0005-0000-0000-000021050000}"/>
    <cellStyle name="Heading [Helv] 8 2 3 4" xfId="26612" xr:uid="{00000000-0005-0000-0000-000021050000}"/>
    <cellStyle name="Heading [Helv] 8 2 3 4 2" xfId="44981" xr:uid="{00000000-0005-0000-0000-000021050000}"/>
    <cellStyle name="Heading [Helv] 8 2 3 5" xfId="22905" xr:uid="{00000000-0005-0000-0000-000021050000}"/>
    <cellStyle name="Heading [Helv] 8 2 3 6" xfId="41274" xr:uid="{00000000-0005-0000-0000-000021050000}"/>
    <cellStyle name="Heading [Helv] 8 2 4" xfId="10591" xr:uid="{00000000-0005-0000-0000-000021050000}"/>
    <cellStyle name="Heading [Helv] 8 2 4 2" xfId="14648" xr:uid="{00000000-0005-0000-0000-000021050000}"/>
    <cellStyle name="Heading [Helv] 8 2 4 2 2" xfId="33064" xr:uid="{00000000-0005-0000-0000-000021050000}"/>
    <cellStyle name="Heading [Helv] 8 2 4 2 3" xfId="51427" xr:uid="{00000000-0005-0000-0000-000021050000}"/>
    <cellStyle name="Heading [Helv] 8 2 4 3" xfId="29302" xr:uid="{00000000-0005-0000-0000-000021050000}"/>
    <cellStyle name="Heading [Helv] 8 2 4 3 2" xfId="47665" xr:uid="{00000000-0005-0000-0000-000021050000}"/>
    <cellStyle name="Heading [Helv] 8 2 4 4" xfId="20105" xr:uid="{00000000-0005-0000-0000-000021050000}"/>
    <cellStyle name="Heading [Helv] 8 2 4 5" xfId="38511" xr:uid="{00000000-0005-0000-0000-000021050000}"/>
    <cellStyle name="Heading [Helv] 8 2 5" xfId="9979" xr:uid="{00000000-0005-0000-0000-000021050000}"/>
    <cellStyle name="Heading [Helv] 8 2 5 2" xfId="28691" xr:uid="{00000000-0005-0000-0000-000021050000}"/>
    <cellStyle name="Heading [Helv] 8 2 5 3" xfId="47054" xr:uid="{00000000-0005-0000-0000-000021050000}"/>
    <cellStyle name="Heading [Helv] 8 2 6" xfId="14036" xr:uid="{00000000-0005-0000-0000-000021050000}"/>
    <cellStyle name="Heading [Helv] 8 2 6 2" xfId="32453" xr:uid="{00000000-0005-0000-0000-000021050000}"/>
    <cellStyle name="Heading [Helv] 8 2 6 3" xfId="50816" xr:uid="{00000000-0005-0000-0000-000021050000}"/>
    <cellStyle name="Heading [Helv] 8 2 7" xfId="23786" xr:uid="{00000000-0005-0000-0000-000021050000}"/>
    <cellStyle name="Heading [Helv] 8 2 7 2" xfId="42155" xr:uid="{00000000-0005-0000-0000-000021050000}"/>
    <cellStyle name="Heading [Helv] 8 2 8" xfId="19345" xr:uid="{00000000-0005-0000-0000-000021050000}"/>
    <cellStyle name="Heading [Helv] 8 2 9" xfId="37752" xr:uid="{00000000-0005-0000-0000-000021050000}"/>
    <cellStyle name="Heading [Helv] 8 3" xfId="5465" xr:uid="{00000000-0005-0000-0000-000021050000}"/>
    <cellStyle name="Heading [Helv] 8 3 2" xfId="11841" xr:uid="{00000000-0005-0000-0000-000021050000}"/>
    <cellStyle name="Heading [Helv] 8 3 2 2" xfId="30292" xr:uid="{00000000-0005-0000-0000-000021050000}"/>
    <cellStyle name="Heading [Helv] 8 3 2 3" xfId="48655" xr:uid="{00000000-0005-0000-0000-000021050000}"/>
    <cellStyle name="Heading [Helv] 8 3 3" xfId="16156" xr:uid="{00000000-0005-0000-0000-000021050000}"/>
    <cellStyle name="Heading [Helv] 8 3 3 2" xfId="34528" xr:uid="{00000000-0005-0000-0000-000021050000}"/>
    <cellStyle name="Heading [Helv] 8 3 3 3" xfId="52891" xr:uid="{00000000-0005-0000-0000-000021050000}"/>
    <cellStyle name="Heading [Helv] 8 3 4" xfId="25275" xr:uid="{00000000-0005-0000-0000-000021050000}"/>
    <cellStyle name="Heading [Helv] 8 3 4 2" xfId="43644" xr:uid="{00000000-0005-0000-0000-000021050000}"/>
    <cellStyle name="Heading [Helv] 8 3 5" xfId="21596" xr:uid="{00000000-0005-0000-0000-000021050000}"/>
    <cellStyle name="Heading [Helv] 8 3 6" xfId="39975" xr:uid="{00000000-0005-0000-0000-000021050000}"/>
    <cellStyle name="Heading [Helv] 8 4" xfId="6309" xr:uid="{00000000-0005-0000-0000-000021050000}"/>
    <cellStyle name="Heading [Helv] 8 4 2" xfId="12600" xr:uid="{00000000-0005-0000-0000-000021050000}"/>
    <cellStyle name="Heading [Helv] 8 4 2 2" xfId="31026" xr:uid="{00000000-0005-0000-0000-000021050000}"/>
    <cellStyle name="Heading [Helv] 8 4 2 3" xfId="49389" xr:uid="{00000000-0005-0000-0000-000021050000}"/>
    <cellStyle name="Heading [Helv] 8 4 3" xfId="16912" xr:uid="{00000000-0005-0000-0000-000021050000}"/>
    <cellStyle name="Heading [Helv] 8 4 3 2" xfId="35262" xr:uid="{00000000-0005-0000-0000-000021050000}"/>
    <cellStyle name="Heading [Helv] 8 4 3 3" xfId="53625" xr:uid="{00000000-0005-0000-0000-000021050000}"/>
    <cellStyle name="Heading [Helv] 8 4 4" xfId="26047" xr:uid="{00000000-0005-0000-0000-000021050000}"/>
    <cellStyle name="Heading [Helv] 8 4 4 2" xfId="44416" xr:uid="{00000000-0005-0000-0000-000021050000}"/>
    <cellStyle name="Heading [Helv] 8 4 5" xfId="22340" xr:uid="{00000000-0005-0000-0000-000021050000}"/>
    <cellStyle name="Heading [Helv] 8 4 6" xfId="40709" xr:uid="{00000000-0005-0000-0000-000021050000}"/>
    <cellStyle name="Heading [Helv] 8 5" xfId="8967" xr:uid="{00000000-0005-0000-0000-000021050000}"/>
    <cellStyle name="Heading [Helv] 8 5 2" xfId="27708" xr:uid="{00000000-0005-0000-0000-000021050000}"/>
    <cellStyle name="Heading [Helv] 8 5 3" xfId="46071" xr:uid="{00000000-0005-0000-0000-000021050000}"/>
    <cellStyle name="Heading [Helv] 8 6" xfId="6960" xr:uid="{00000000-0005-0000-0000-000021050000}"/>
    <cellStyle name="Heading [Helv] 8 6 2" xfId="26687" xr:uid="{00000000-0005-0000-0000-000021050000}"/>
    <cellStyle name="Heading [Helv] 8 6 3" xfId="45056" xr:uid="{00000000-0005-0000-0000-000021050000}"/>
    <cellStyle name="Heading [Helv] 8 7" xfId="23204" xr:uid="{00000000-0005-0000-0000-000021050000}"/>
    <cellStyle name="Heading [Helv] 8 7 2" xfId="41573" xr:uid="{00000000-0005-0000-0000-000021050000}"/>
    <cellStyle name="Heading [Helv] 8 8" xfId="17788" xr:uid="{00000000-0005-0000-0000-000021050000}"/>
    <cellStyle name="Heading [Helv] 8 9" xfId="36206" xr:uid="{00000000-0005-0000-0000-000021050000}"/>
    <cellStyle name="Heading [Helv] 9" xfId="3314" xr:uid="{00000000-0005-0000-0000-000022050000}"/>
    <cellStyle name="Heading [Helv] 9 2" xfId="3894" xr:uid="{00000000-0005-0000-0000-000022050000}"/>
    <cellStyle name="Heading [Helv] 9 2 2" xfId="6067" xr:uid="{00000000-0005-0000-0000-000022050000}"/>
    <cellStyle name="Heading [Helv] 9 2 2 2" xfId="12431" xr:uid="{00000000-0005-0000-0000-000022050000}"/>
    <cellStyle name="Heading [Helv] 9 2 2 2 2" xfId="30878" xr:uid="{00000000-0005-0000-0000-000022050000}"/>
    <cellStyle name="Heading [Helv] 9 2 2 2 3" xfId="49241" xr:uid="{00000000-0005-0000-0000-000022050000}"/>
    <cellStyle name="Heading [Helv] 9 2 2 3" xfId="16757" xr:uid="{00000000-0005-0000-0000-000022050000}"/>
    <cellStyle name="Heading [Helv] 9 2 2 3 2" xfId="35129" xr:uid="{00000000-0005-0000-0000-000022050000}"/>
    <cellStyle name="Heading [Helv] 9 2 2 3 3" xfId="53492" xr:uid="{00000000-0005-0000-0000-000022050000}"/>
    <cellStyle name="Heading [Helv] 9 2 2 4" xfId="25876" xr:uid="{00000000-0005-0000-0000-000022050000}"/>
    <cellStyle name="Heading [Helv] 9 2 2 4 2" xfId="44245" xr:uid="{00000000-0005-0000-0000-000022050000}"/>
    <cellStyle name="Heading [Helv] 9 2 2 5" xfId="22197" xr:uid="{00000000-0005-0000-0000-000022050000}"/>
    <cellStyle name="Heading [Helv] 9 2 2 6" xfId="40576" xr:uid="{00000000-0005-0000-0000-000022050000}"/>
    <cellStyle name="Heading [Helv] 9 2 3" xfId="6893" xr:uid="{00000000-0005-0000-0000-000022050000}"/>
    <cellStyle name="Heading [Helv] 9 2 3 2" xfId="13184" xr:uid="{00000000-0005-0000-0000-000022050000}"/>
    <cellStyle name="Heading [Helv] 9 2 3 2 2" xfId="31610" xr:uid="{00000000-0005-0000-0000-000022050000}"/>
    <cellStyle name="Heading [Helv] 9 2 3 2 3" xfId="49973" xr:uid="{00000000-0005-0000-0000-000022050000}"/>
    <cellStyle name="Heading [Helv] 9 2 3 3" xfId="17495" xr:uid="{00000000-0005-0000-0000-000022050000}"/>
    <cellStyle name="Heading [Helv] 9 2 3 3 2" xfId="35843" xr:uid="{00000000-0005-0000-0000-000022050000}"/>
    <cellStyle name="Heading [Helv] 9 2 3 3 3" xfId="54206" xr:uid="{00000000-0005-0000-0000-000022050000}"/>
    <cellStyle name="Heading [Helv] 9 2 3 4" xfId="26628" xr:uid="{00000000-0005-0000-0000-000022050000}"/>
    <cellStyle name="Heading [Helv] 9 2 3 4 2" xfId="44997" xr:uid="{00000000-0005-0000-0000-000022050000}"/>
    <cellStyle name="Heading [Helv] 9 2 3 5" xfId="22921" xr:uid="{00000000-0005-0000-0000-000022050000}"/>
    <cellStyle name="Heading [Helv] 9 2 3 6" xfId="41290" xr:uid="{00000000-0005-0000-0000-000022050000}"/>
    <cellStyle name="Heading [Helv] 9 2 4" xfId="10607" xr:uid="{00000000-0005-0000-0000-000022050000}"/>
    <cellStyle name="Heading [Helv] 9 2 4 2" xfId="14664" xr:uid="{00000000-0005-0000-0000-000022050000}"/>
    <cellStyle name="Heading [Helv] 9 2 4 2 2" xfId="33080" xr:uid="{00000000-0005-0000-0000-000022050000}"/>
    <cellStyle name="Heading [Helv] 9 2 4 2 3" xfId="51443" xr:uid="{00000000-0005-0000-0000-000022050000}"/>
    <cellStyle name="Heading [Helv] 9 2 4 3" xfId="29318" xr:uid="{00000000-0005-0000-0000-000022050000}"/>
    <cellStyle name="Heading [Helv] 9 2 4 3 2" xfId="47681" xr:uid="{00000000-0005-0000-0000-000022050000}"/>
    <cellStyle name="Heading [Helv] 9 2 4 4" xfId="20121" xr:uid="{00000000-0005-0000-0000-000022050000}"/>
    <cellStyle name="Heading [Helv] 9 2 4 5" xfId="38527" xr:uid="{00000000-0005-0000-0000-000022050000}"/>
    <cellStyle name="Heading [Helv] 9 2 5" xfId="10001" xr:uid="{00000000-0005-0000-0000-000022050000}"/>
    <cellStyle name="Heading [Helv] 9 2 5 2" xfId="28713" xr:uid="{00000000-0005-0000-0000-000022050000}"/>
    <cellStyle name="Heading [Helv] 9 2 5 3" xfId="47076" xr:uid="{00000000-0005-0000-0000-000022050000}"/>
    <cellStyle name="Heading [Helv] 9 2 6" xfId="14058" xr:uid="{00000000-0005-0000-0000-000022050000}"/>
    <cellStyle name="Heading [Helv] 9 2 6 2" xfId="32475" xr:uid="{00000000-0005-0000-0000-000022050000}"/>
    <cellStyle name="Heading [Helv] 9 2 6 3" xfId="50838" xr:uid="{00000000-0005-0000-0000-000022050000}"/>
    <cellStyle name="Heading [Helv] 9 2 7" xfId="23802" xr:uid="{00000000-0005-0000-0000-000022050000}"/>
    <cellStyle name="Heading [Helv] 9 2 7 2" xfId="42171" xr:uid="{00000000-0005-0000-0000-000022050000}"/>
    <cellStyle name="Heading [Helv] 9 2 8" xfId="19371" xr:uid="{00000000-0005-0000-0000-000022050000}"/>
    <cellStyle name="Heading [Helv] 9 2 9" xfId="37778" xr:uid="{00000000-0005-0000-0000-000022050000}"/>
    <cellStyle name="Heading [Helv] 9 3" xfId="5499" xr:uid="{00000000-0005-0000-0000-000022050000}"/>
    <cellStyle name="Heading [Helv] 9 3 2" xfId="11864" xr:uid="{00000000-0005-0000-0000-000022050000}"/>
    <cellStyle name="Heading [Helv] 9 3 2 2" xfId="30311" xr:uid="{00000000-0005-0000-0000-000022050000}"/>
    <cellStyle name="Heading [Helv] 9 3 2 3" xfId="48674" xr:uid="{00000000-0005-0000-0000-000022050000}"/>
    <cellStyle name="Heading [Helv] 9 3 3" xfId="16190" xr:uid="{00000000-0005-0000-0000-000022050000}"/>
    <cellStyle name="Heading [Helv] 9 3 3 2" xfId="34562" xr:uid="{00000000-0005-0000-0000-000022050000}"/>
    <cellStyle name="Heading [Helv] 9 3 3 3" xfId="52925" xr:uid="{00000000-0005-0000-0000-000022050000}"/>
    <cellStyle name="Heading [Helv] 9 3 4" xfId="25309" xr:uid="{00000000-0005-0000-0000-000022050000}"/>
    <cellStyle name="Heading [Helv] 9 3 4 2" xfId="43678" xr:uid="{00000000-0005-0000-0000-000022050000}"/>
    <cellStyle name="Heading [Helv] 9 3 5" xfId="21630" xr:uid="{00000000-0005-0000-0000-000022050000}"/>
    <cellStyle name="Heading [Helv] 9 3 6" xfId="40009" xr:uid="{00000000-0005-0000-0000-000022050000}"/>
    <cellStyle name="Heading [Helv] 9 4" xfId="6327" xr:uid="{00000000-0005-0000-0000-000022050000}"/>
    <cellStyle name="Heading [Helv] 9 4 2" xfId="12618" xr:uid="{00000000-0005-0000-0000-000022050000}"/>
    <cellStyle name="Heading [Helv] 9 4 2 2" xfId="31044" xr:uid="{00000000-0005-0000-0000-000022050000}"/>
    <cellStyle name="Heading [Helv] 9 4 2 3" xfId="49407" xr:uid="{00000000-0005-0000-0000-000022050000}"/>
    <cellStyle name="Heading [Helv] 9 4 3" xfId="16929" xr:uid="{00000000-0005-0000-0000-000022050000}"/>
    <cellStyle name="Heading [Helv] 9 4 3 2" xfId="35278" xr:uid="{00000000-0005-0000-0000-000022050000}"/>
    <cellStyle name="Heading [Helv] 9 4 3 3" xfId="53641" xr:uid="{00000000-0005-0000-0000-000022050000}"/>
    <cellStyle name="Heading [Helv] 9 4 4" xfId="26063" xr:uid="{00000000-0005-0000-0000-000022050000}"/>
    <cellStyle name="Heading [Helv] 9 4 4 2" xfId="44432" xr:uid="{00000000-0005-0000-0000-000022050000}"/>
    <cellStyle name="Heading [Helv] 9 4 5" xfId="22356" xr:uid="{00000000-0005-0000-0000-000022050000}"/>
    <cellStyle name="Heading [Helv] 9 4 6" xfId="40725" xr:uid="{00000000-0005-0000-0000-000022050000}"/>
    <cellStyle name="Heading [Helv] 9 5" xfId="8999" xr:uid="{00000000-0005-0000-0000-000022050000}"/>
    <cellStyle name="Heading [Helv] 9 5 2" xfId="27727" xr:uid="{00000000-0005-0000-0000-000022050000}"/>
    <cellStyle name="Heading [Helv] 9 5 3" xfId="46090" xr:uid="{00000000-0005-0000-0000-000022050000}"/>
    <cellStyle name="Heading [Helv] 9 6" xfId="8423" xr:uid="{00000000-0005-0000-0000-000022050000}"/>
    <cellStyle name="Heading [Helv] 9 6 2" xfId="27484" xr:uid="{00000000-0005-0000-0000-000022050000}"/>
    <cellStyle name="Heading [Helv] 9 6 3" xfId="45848" xr:uid="{00000000-0005-0000-0000-000022050000}"/>
    <cellStyle name="Heading [Helv] 9 7" xfId="23236" xr:uid="{00000000-0005-0000-0000-000022050000}"/>
    <cellStyle name="Heading [Helv] 9 7 2" xfId="41605" xr:uid="{00000000-0005-0000-0000-000022050000}"/>
    <cellStyle name="Heading [Helv] 9 8" xfId="17825" xr:uid="{00000000-0005-0000-0000-000022050000}"/>
    <cellStyle name="Heading [Helv] 9 9" xfId="36238" xr:uid="{00000000-0005-0000-0000-000022050000}"/>
    <cellStyle name="Heading [Helv]_Summary" xfId="2356" xr:uid="{00000000-0005-0000-0000-000023050000}"/>
    <cellStyle name="Heading [Palat]" xfId="500" xr:uid="{00000000-0005-0000-0000-000024050000}"/>
    <cellStyle name="Heading [Palat] 10" xfId="7116" xr:uid="{00000000-0005-0000-0000-000024050000}"/>
    <cellStyle name="Heading [Palat] 10 2" xfId="26725" xr:uid="{00000000-0005-0000-0000-000024050000}"/>
    <cellStyle name="Heading [Palat] 10 3" xfId="45093" xr:uid="{00000000-0005-0000-0000-000024050000}"/>
    <cellStyle name="Heading [Palat] 2" xfId="1058" xr:uid="{00000000-0005-0000-0000-000025050000}"/>
    <cellStyle name="Heading [Palat] 2 10" xfId="7450" xr:uid="{00000000-0005-0000-0000-000025050000}"/>
    <cellStyle name="Heading [Palat] 2 10 2" xfId="26829" xr:uid="{00000000-0005-0000-0000-000025050000}"/>
    <cellStyle name="Heading [Palat] 2 10 3" xfId="45197" xr:uid="{00000000-0005-0000-0000-000025050000}"/>
    <cellStyle name="Heading [Palat] 2 11" xfId="10789" xr:uid="{00000000-0005-0000-0000-000025050000}"/>
    <cellStyle name="Heading [Palat] 2 11 2" xfId="29481" xr:uid="{00000000-0005-0000-0000-000025050000}"/>
    <cellStyle name="Heading [Palat] 2 11 3" xfId="47844" xr:uid="{00000000-0005-0000-0000-000025050000}"/>
    <cellStyle name="Heading [Palat] 2 12" xfId="11005" xr:uid="{00000000-0005-0000-0000-000025050000}"/>
    <cellStyle name="Heading [Palat] 2 2" xfId="1245" xr:uid="{00000000-0005-0000-0000-000026050000}"/>
    <cellStyle name="Heading [Palat] 2 2 10" xfId="8219" xr:uid="{00000000-0005-0000-0000-000026050000}"/>
    <cellStyle name="Heading [Palat] 2 2 2" xfId="1648" xr:uid="{00000000-0005-0000-0000-000027050000}"/>
    <cellStyle name="Heading [Palat] 2 2 2 10" xfId="18998" xr:uid="{00000000-0005-0000-0000-000027050000}"/>
    <cellStyle name="Heading [Palat] 2 2 2 10 2" xfId="37407" xr:uid="{00000000-0005-0000-0000-000027050000}"/>
    <cellStyle name="Heading [Palat] 2 2 2 11" xfId="8497" xr:uid="{00000000-0005-0000-0000-000027050000}"/>
    <cellStyle name="Heading [Palat] 2 2 2 12" xfId="11674" xr:uid="{00000000-0005-0000-0000-000027050000}"/>
    <cellStyle name="Heading [Palat] 2 2 2 2" xfId="1729" xr:uid="{00000000-0005-0000-0000-000028050000}"/>
    <cellStyle name="Heading [Palat] 2 2 2 2 10" xfId="8467" xr:uid="{00000000-0005-0000-0000-000028050000}"/>
    <cellStyle name="Heading [Palat] 2 2 2 2 2" xfId="3626" xr:uid="{00000000-0005-0000-0000-000028050000}"/>
    <cellStyle name="Heading [Palat] 2 2 2 2 2 2" xfId="5799" xr:uid="{00000000-0005-0000-0000-000028050000}"/>
    <cellStyle name="Heading [Palat] 2 2 2 2 2 2 2" xfId="12163" xr:uid="{00000000-0005-0000-0000-000028050000}"/>
    <cellStyle name="Heading [Palat] 2 2 2 2 2 2 2 2" xfId="30610" xr:uid="{00000000-0005-0000-0000-000028050000}"/>
    <cellStyle name="Heading [Palat] 2 2 2 2 2 2 2 3" xfId="48973" xr:uid="{00000000-0005-0000-0000-000028050000}"/>
    <cellStyle name="Heading [Palat] 2 2 2 2 2 2 3" xfId="16489" xr:uid="{00000000-0005-0000-0000-000028050000}"/>
    <cellStyle name="Heading [Palat] 2 2 2 2 2 2 3 2" xfId="34861" xr:uid="{00000000-0005-0000-0000-000028050000}"/>
    <cellStyle name="Heading [Palat] 2 2 2 2 2 2 3 3" xfId="53224" xr:uid="{00000000-0005-0000-0000-000028050000}"/>
    <cellStyle name="Heading [Palat] 2 2 2 2 2 2 4" xfId="25608" xr:uid="{00000000-0005-0000-0000-000028050000}"/>
    <cellStyle name="Heading [Palat] 2 2 2 2 2 2 4 2" xfId="43977" xr:uid="{00000000-0005-0000-0000-000028050000}"/>
    <cellStyle name="Heading [Palat] 2 2 2 2 2 2 5" xfId="21929" xr:uid="{00000000-0005-0000-0000-000028050000}"/>
    <cellStyle name="Heading [Palat] 2 2 2 2 2 2 6" xfId="40308" xr:uid="{00000000-0005-0000-0000-000028050000}"/>
    <cellStyle name="Heading [Palat] 2 2 2 2 2 3" xfId="6625" xr:uid="{00000000-0005-0000-0000-000028050000}"/>
    <cellStyle name="Heading [Palat] 2 2 2 2 2 3 2" xfId="12916" xr:uid="{00000000-0005-0000-0000-000028050000}"/>
    <cellStyle name="Heading [Palat] 2 2 2 2 2 3 2 2" xfId="31342" xr:uid="{00000000-0005-0000-0000-000028050000}"/>
    <cellStyle name="Heading [Palat] 2 2 2 2 2 3 2 3" xfId="49705" xr:uid="{00000000-0005-0000-0000-000028050000}"/>
    <cellStyle name="Heading [Palat] 2 2 2 2 2 3 3" xfId="17227" xr:uid="{00000000-0005-0000-0000-000028050000}"/>
    <cellStyle name="Heading [Palat] 2 2 2 2 2 3 3 2" xfId="35575" xr:uid="{00000000-0005-0000-0000-000028050000}"/>
    <cellStyle name="Heading [Palat] 2 2 2 2 2 3 3 3" xfId="53938" xr:uid="{00000000-0005-0000-0000-000028050000}"/>
    <cellStyle name="Heading [Palat] 2 2 2 2 2 3 4" xfId="26360" xr:uid="{00000000-0005-0000-0000-000028050000}"/>
    <cellStyle name="Heading [Palat] 2 2 2 2 2 3 4 2" xfId="44729" xr:uid="{00000000-0005-0000-0000-000028050000}"/>
    <cellStyle name="Heading [Palat] 2 2 2 2 2 3 5" xfId="22653" xr:uid="{00000000-0005-0000-0000-000028050000}"/>
    <cellStyle name="Heading [Palat] 2 2 2 2 2 3 6" xfId="41022" xr:uid="{00000000-0005-0000-0000-000028050000}"/>
    <cellStyle name="Heading [Palat] 2 2 2 2 2 4" xfId="10339" xr:uid="{00000000-0005-0000-0000-000028050000}"/>
    <cellStyle name="Heading [Palat] 2 2 2 2 2 4 2" xfId="14396" xr:uid="{00000000-0005-0000-0000-000028050000}"/>
    <cellStyle name="Heading [Palat] 2 2 2 2 2 4 2 2" xfId="32812" xr:uid="{00000000-0005-0000-0000-000028050000}"/>
    <cellStyle name="Heading [Palat] 2 2 2 2 2 4 2 3" xfId="51175" xr:uid="{00000000-0005-0000-0000-000028050000}"/>
    <cellStyle name="Heading [Palat] 2 2 2 2 2 4 3" xfId="29050" xr:uid="{00000000-0005-0000-0000-000028050000}"/>
    <cellStyle name="Heading [Palat] 2 2 2 2 2 4 3 2" xfId="47413" xr:uid="{00000000-0005-0000-0000-000028050000}"/>
    <cellStyle name="Heading [Palat] 2 2 2 2 2 4 4" xfId="19853" xr:uid="{00000000-0005-0000-0000-000028050000}"/>
    <cellStyle name="Heading [Palat] 2 2 2 2 2 4 5" xfId="38259" xr:uid="{00000000-0005-0000-0000-000028050000}"/>
    <cellStyle name="Heading [Palat] 2 2 2 2 2 5" xfId="9547" xr:uid="{00000000-0005-0000-0000-000028050000}"/>
    <cellStyle name="Heading [Palat] 2 2 2 2 2 5 2" xfId="28264" xr:uid="{00000000-0005-0000-0000-000028050000}"/>
    <cellStyle name="Heading [Palat] 2 2 2 2 2 5 3" xfId="46627" xr:uid="{00000000-0005-0000-0000-000028050000}"/>
    <cellStyle name="Heading [Palat] 2 2 2 2 2 6" xfId="13605" xr:uid="{00000000-0005-0000-0000-000028050000}"/>
    <cellStyle name="Heading [Palat] 2 2 2 2 2 6 2" xfId="32026" xr:uid="{00000000-0005-0000-0000-000028050000}"/>
    <cellStyle name="Heading [Palat] 2 2 2 2 2 6 3" xfId="50389" xr:uid="{00000000-0005-0000-0000-000028050000}"/>
    <cellStyle name="Heading [Palat] 2 2 2 2 2 7" xfId="23534" xr:uid="{00000000-0005-0000-0000-000028050000}"/>
    <cellStyle name="Heading [Palat] 2 2 2 2 2 7 2" xfId="41903" xr:uid="{00000000-0005-0000-0000-000028050000}"/>
    <cellStyle name="Heading [Palat] 2 2 2 2 2 8" xfId="18646" xr:uid="{00000000-0005-0000-0000-000028050000}"/>
    <cellStyle name="Heading [Palat] 2 2 2 2 2 9" xfId="37056" xr:uid="{00000000-0005-0000-0000-000028050000}"/>
    <cellStyle name="Heading [Palat] 2 2 2 2 3" xfId="4666" xr:uid="{00000000-0005-0000-0000-000028050000}"/>
    <cellStyle name="Heading [Palat] 2 2 2 2 3 2" xfId="11250" xr:uid="{00000000-0005-0000-0000-000028050000}"/>
    <cellStyle name="Heading [Palat] 2 2 2 2 3 2 2" xfId="29862" xr:uid="{00000000-0005-0000-0000-000028050000}"/>
    <cellStyle name="Heading [Palat] 2 2 2 2 3 2 3" xfId="48225" xr:uid="{00000000-0005-0000-0000-000028050000}"/>
    <cellStyle name="Heading [Palat] 2 2 2 2 3 3" xfId="15392" xr:uid="{00000000-0005-0000-0000-000028050000}"/>
    <cellStyle name="Heading [Palat] 2 2 2 2 3 3 2" xfId="33785" xr:uid="{00000000-0005-0000-0000-000028050000}"/>
    <cellStyle name="Heading [Palat] 2 2 2 2 3 3 3" xfId="52148" xr:uid="{00000000-0005-0000-0000-000028050000}"/>
    <cellStyle name="Heading [Palat] 2 2 2 2 3 4" xfId="24516" xr:uid="{00000000-0005-0000-0000-000028050000}"/>
    <cellStyle name="Heading [Palat] 2 2 2 2 3 4 2" xfId="42885" xr:uid="{00000000-0005-0000-0000-000028050000}"/>
    <cellStyle name="Heading [Palat] 2 2 2 2 3 5" xfId="20843" xr:uid="{00000000-0005-0000-0000-000028050000}"/>
    <cellStyle name="Heading [Palat] 2 2 2 2 3 6" xfId="39232" xr:uid="{00000000-0005-0000-0000-000028050000}"/>
    <cellStyle name="Heading [Palat] 2 2 2 2 4" xfId="4159" xr:uid="{00000000-0005-0000-0000-000028050000}"/>
    <cellStyle name="Heading [Palat] 2 2 2 2 4 2" xfId="10815" xr:uid="{00000000-0005-0000-0000-000028050000}"/>
    <cellStyle name="Heading [Palat] 2 2 2 2 4 2 2" xfId="29487" xr:uid="{00000000-0005-0000-0000-000028050000}"/>
    <cellStyle name="Heading [Palat] 2 2 2 2 4 2 3" xfId="47850" xr:uid="{00000000-0005-0000-0000-000028050000}"/>
    <cellStyle name="Heading [Palat] 2 2 2 2 4 3" xfId="14910" xr:uid="{00000000-0005-0000-0000-000028050000}"/>
    <cellStyle name="Heading [Palat] 2 2 2 2 4 3 2" xfId="33314" xr:uid="{00000000-0005-0000-0000-000028050000}"/>
    <cellStyle name="Heading [Palat] 2 2 2 2 4 3 3" xfId="51677" xr:uid="{00000000-0005-0000-0000-000028050000}"/>
    <cellStyle name="Heading [Palat] 2 2 2 2 4 4" xfId="24039" xr:uid="{00000000-0005-0000-0000-000028050000}"/>
    <cellStyle name="Heading [Palat] 2 2 2 2 4 4 2" xfId="42408" xr:uid="{00000000-0005-0000-0000-000028050000}"/>
    <cellStyle name="Heading [Palat] 2 2 2 2 4 5" xfId="20363" xr:uid="{00000000-0005-0000-0000-000028050000}"/>
    <cellStyle name="Heading [Palat] 2 2 2 2 4 6" xfId="38761" xr:uid="{00000000-0005-0000-0000-000028050000}"/>
    <cellStyle name="Heading [Palat] 2 2 2 2 5" xfId="9075" xr:uid="{00000000-0005-0000-0000-000028050000}"/>
    <cellStyle name="Heading [Palat] 2 2 2 2 5 2" xfId="3915" xr:uid="{00000000-0005-0000-0000-000028050000}"/>
    <cellStyle name="Heading [Palat] 2 2 2 2 5 2 2" xfId="23818" xr:uid="{00000000-0005-0000-0000-000028050000}"/>
    <cellStyle name="Heading [Palat] 2 2 2 2 5 2 3" xfId="42187" xr:uid="{00000000-0005-0000-0000-000028050000}"/>
    <cellStyle name="Heading [Palat] 2 2 2 2 5 3" xfId="27801" xr:uid="{00000000-0005-0000-0000-000028050000}"/>
    <cellStyle name="Heading [Palat] 2 2 2 2 5 3 2" xfId="46164" xr:uid="{00000000-0005-0000-0000-000028050000}"/>
    <cellStyle name="Heading [Palat] 2 2 2 2 5 4" xfId="17975" xr:uid="{00000000-0005-0000-0000-000028050000}"/>
    <cellStyle name="Heading [Palat] 2 2 2 2 5 5" xfId="36383" xr:uid="{00000000-0005-0000-0000-000028050000}"/>
    <cellStyle name="Heading [Palat] 2 2 2 2 6" xfId="7960" xr:uid="{00000000-0005-0000-0000-000028050000}"/>
    <cellStyle name="Heading [Palat] 2 2 2 2 6 2" xfId="27190" xr:uid="{00000000-0005-0000-0000-000028050000}"/>
    <cellStyle name="Heading [Palat] 2 2 2 2 6 3" xfId="45555" xr:uid="{00000000-0005-0000-0000-000028050000}"/>
    <cellStyle name="Heading [Palat] 2 2 2 2 7" xfId="8095" xr:uid="{00000000-0005-0000-0000-000028050000}"/>
    <cellStyle name="Heading [Palat] 2 2 2 2 7 2" xfId="27301" xr:uid="{00000000-0005-0000-0000-000028050000}"/>
    <cellStyle name="Heading [Palat] 2 2 2 2 7 3" xfId="45666" xr:uid="{00000000-0005-0000-0000-000028050000}"/>
    <cellStyle name="Heading [Palat] 2 2 2 2 8" xfId="17869" xr:uid="{00000000-0005-0000-0000-000028050000}"/>
    <cellStyle name="Heading [Palat] 2 2 2 2 8 2" xfId="36279" xr:uid="{00000000-0005-0000-0000-000028050000}"/>
    <cellStyle name="Heading [Palat] 2 2 2 2 9" xfId="7061" xr:uid="{00000000-0005-0000-0000-000028050000}"/>
    <cellStyle name="Heading [Palat] 2 2 2 3" xfId="1759" xr:uid="{00000000-0005-0000-0000-000029050000}"/>
    <cellStyle name="Heading [Palat] 2 2 2 3 10" xfId="8293" xr:uid="{00000000-0005-0000-0000-000029050000}"/>
    <cellStyle name="Heading [Palat] 2 2 2 3 2" xfId="3656" xr:uid="{00000000-0005-0000-0000-000029050000}"/>
    <cellStyle name="Heading [Palat] 2 2 2 3 2 2" xfId="5829" xr:uid="{00000000-0005-0000-0000-000029050000}"/>
    <cellStyle name="Heading [Palat] 2 2 2 3 2 2 2" xfId="12193" xr:uid="{00000000-0005-0000-0000-000029050000}"/>
    <cellStyle name="Heading [Palat] 2 2 2 3 2 2 2 2" xfId="30640" xr:uid="{00000000-0005-0000-0000-000029050000}"/>
    <cellStyle name="Heading [Palat] 2 2 2 3 2 2 2 3" xfId="49003" xr:uid="{00000000-0005-0000-0000-000029050000}"/>
    <cellStyle name="Heading [Palat] 2 2 2 3 2 2 3" xfId="16519" xr:uid="{00000000-0005-0000-0000-000029050000}"/>
    <cellStyle name="Heading [Palat] 2 2 2 3 2 2 3 2" xfId="34891" xr:uid="{00000000-0005-0000-0000-000029050000}"/>
    <cellStyle name="Heading [Palat] 2 2 2 3 2 2 3 3" xfId="53254" xr:uid="{00000000-0005-0000-0000-000029050000}"/>
    <cellStyle name="Heading [Palat] 2 2 2 3 2 2 4" xfId="25638" xr:uid="{00000000-0005-0000-0000-000029050000}"/>
    <cellStyle name="Heading [Palat] 2 2 2 3 2 2 4 2" xfId="44007" xr:uid="{00000000-0005-0000-0000-000029050000}"/>
    <cellStyle name="Heading [Palat] 2 2 2 3 2 2 5" xfId="21959" xr:uid="{00000000-0005-0000-0000-000029050000}"/>
    <cellStyle name="Heading [Palat] 2 2 2 3 2 2 6" xfId="40338" xr:uid="{00000000-0005-0000-0000-000029050000}"/>
    <cellStyle name="Heading [Palat] 2 2 2 3 2 3" xfId="6655" xr:uid="{00000000-0005-0000-0000-000029050000}"/>
    <cellStyle name="Heading [Palat] 2 2 2 3 2 3 2" xfId="12946" xr:uid="{00000000-0005-0000-0000-000029050000}"/>
    <cellStyle name="Heading [Palat] 2 2 2 3 2 3 2 2" xfId="31372" xr:uid="{00000000-0005-0000-0000-000029050000}"/>
    <cellStyle name="Heading [Palat] 2 2 2 3 2 3 2 3" xfId="49735" xr:uid="{00000000-0005-0000-0000-000029050000}"/>
    <cellStyle name="Heading [Palat] 2 2 2 3 2 3 3" xfId="17257" xr:uid="{00000000-0005-0000-0000-000029050000}"/>
    <cellStyle name="Heading [Palat] 2 2 2 3 2 3 3 2" xfId="35605" xr:uid="{00000000-0005-0000-0000-000029050000}"/>
    <cellStyle name="Heading [Palat] 2 2 2 3 2 3 3 3" xfId="53968" xr:uid="{00000000-0005-0000-0000-000029050000}"/>
    <cellStyle name="Heading [Palat] 2 2 2 3 2 3 4" xfId="26390" xr:uid="{00000000-0005-0000-0000-000029050000}"/>
    <cellStyle name="Heading [Palat] 2 2 2 3 2 3 4 2" xfId="44759" xr:uid="{00000000-0005-0000-0000-000029050000}"/>
    <cellStyle name="Heading [Palat] 2 2 2 3 2 3 5" xfId="22683" xr:uid="{00000000-0005-0000-0000-000029050000}"/>
    <cellStyle name="Heading [Palat] 2 2 2 3 2 3 6" xfId="41052" xr:uid="{00000000-0005-0000-0000-000029050000}"/>
    <cellStyle name="Heading [Palat] 2 2 2 3 2 4" xfId="10369" xr:uid="{00000000-0005-0000-0000-000029050000}"/>
    <cellStyle name="Heading [Palat] 2 2 2 3 2 4 2" xfId="14426" xr:uid="{00000000-0005-0000-0000-000029050000}"/>
    <cellStyle name="Heading [Palat] 2 2 2 3 2 4 2 2" xfId="32842" xr:uid="{00000000-0005-0000-0000-000029050000}"/>
    <cellStyle name="Heading [Palat] 2 2 2 3 2 4 2 3" xfId="51205" xr:uid="{00000000-0005-0000-0000-000029050000}"/>
    <cellStyle name="Heading [Palat] 2 2 2 3 2 4 3" xfId="29080" xr:uid="{00000000-0005-0000-0000-000029050000}"/>
    <cellStyle name="Heading [Palat] 2 2 2 3 2 4 3 2" xfId="47443" xr:uid="{00000000-0005-0000-0000-000029050000}"/>
    <cellStyle name="Heading [Palat] 2 2 2 3 2 4 4" xfId="19883" xr:uid="{00000000-0005-0000-0000-000029050000}"/>
    <cellStyle name="Heading [Palat] 2 2 2 3 2 4 5" xfId="38289" xr:uid="{00000000-0005-0000-0000-000029050000}"/>
    <cellStyle name="Heading [Palat] 2 2 2 3 2 5" xfId="9577" xr:uid="{00000000-0005-0000-0000-000029050000}"/>
    <cellStyle name="Heading [Palat] 2 2 2 3 2 5 2" xfId="28294" xr:uid="{00000000-0005-0000-0000-000029050000}"/>
    <cellStyle name="Heading [Palat] 2 2 2 3 2 5 3" xfId="46657" xr:uid="{00000000-0005-0000-0000-000029050000}"/>
    <cellStyle name="Heading [Palat] 2 2 2 3 2 6" xfId="13635" xr:uid="{00000000-0005-0000-0000-000029050000}"/>
    <cellStyle name="Heading [Palat] 2 2 2 3 2 6 2" xfId="32056" xr:uid="{00000000-0005-0000-0000-000029050000}"/>
    <cellStyle name="Heading [Palat] 2 2 2 3 2 6 3" xfId="50419" xr:uid="{00000000-0005-0000-0000-000029050000}"/>
    <cellStyle name="Heading [Palat] 2 2 2 3 2 7" xfId="23564" xr:uid="{00000000-0005-0000-0000-000029050000}"/>
    <cellStyle name="Heading [Palat] 2 2 2 3 2 7 2" xfId="41933" xr:uid="{00000000-0005-0000-0000-000029050000}"/>
    <cellStyle name="Heading [Palat] 2 2 2 3 2 8" xfId="18676" xr:uid="{00000000-0005-0000-0000-000029050000}"/>
    <cellStyle name="Heading [Palat] 2 2 2 3 2 9" xfId="37086" xr:uid="{00000000-0005-0000-0000-000029050000}"/>
    <cellStyle name="Heading [Palat] 2 2 2 3 3" xfId="4696" xr:uid="{00000000-0005-0000-0000-000029050000}"/>
    <cellStyle name="Heading [Palat] 2 2 2 3 3 2" xfId="11280" xr:uid="{00000000-0005-0000-0000-000029050000}"/>
    <cellStyle name="Heading [Palat] 2 2 2 3 3 2 2" xfId="29892" xr:uid="{00000000-0005-0000-0000-000029050000}"/>
    <cellStyle name="Heading [Palat] 2 2 2 3 3 2 3" xfId="48255" xr:uid="{00000000-0005-0000-0000-000029050000}"/>
    <cellStyle name="Heading [Palat] 2 2 2 3 3 3" xfId="15422" xr:uid="{00000000-0005-0000-0000-000029050000}"/>
    <cellStyle name="Heading [Palat] 2 2 2 3 3 3 2" xfId="33815" xr:uid="{00000000-0005-0000-0000-000029050000}"/>
    <cellStyle name="Heading [Palat] 2 2 2 3 3 3 3" xfId="52178" xr:uid="{00000000-0005-0000-0000-000029050000}"/>
    <cellStyle name="Heading [Palat] 2 2 2 3 3 4" xfId="24546" xr:uid="{00000000-0005-0000-0000-000029050000}"/>
    <cellStyle name="Heading [Palat] 2 2 2 3 3 4 2" xfId="42915" xr:uid="{00000000-0005-0000-0000-000029050000}"/>
    <cellStyle name="Heading [Palat] 2 2 2 3 3 5" xfId="20873" xr:uid="{00000000-0005-0000-0000-000029050000}"/>
    <cellStyle name="Heading [Palat] 2 2 2 3 3 6" xfId="39262" xr:uid="{00000000-0005-0000-0000-000029050000}"/>
    <cellStyle name="Heading [Palat] 2 2 2 3 4" xfId="5026" xr:uid="{00000000-0005-0000-0000-000029050000}"/>
    <cellStyle name="Heading [Palat] 2 2 2 3 4 2" xfId="11549" xr:uid="{00000000-0005-0000-0000-000029050000}"/>
    <cellStyle name="Heading [Palat] 2 2 2 3 4 2 2" xfId="30121" xr:uid="{00000000-0005-0000-0000-000029050000}"/>
    <cellStyle name="Heading [Palat] 2 2 2 3 4 2 3" xfId="48484" xr:uid="{00000000-0005-0000-0000-000029050000}"/>
    <cellStyle name="Heading [Palat] 2 2 2 3 4 3" xfId="15739" xr:uid="{00000000-0005-0000-0000-000029050000}"/>
    <cellStyle name="Heading [Palat] 2 2 2 3 4 3 2" xfId="34127" xr:uid="{00000000-0005-0000-0000-000029050000}"/>
    <cellStyle name="Heading [Palat] 2 2 2 3 4 3 3" xfId="52490" xr:uid="{00000000-0005-0000-0000-000029050000}"/>
    <cellStyle name="Heading [Palat] 2 2 2 3 4 4" xfId="24863" xr:uid="{00000000-0005-0000-0000-000029050000}"/>
    <cellStyle name="Heading [Palat] 2 2 2 3 4 4 2" xfId="43232" xr:uid="{00000000-0005-0000-0000-000029050000}"/>
    <cellStyle name="Heading [Palat] 2 2 2 3 4 5" xfId="21187" xr:uid="{00000000-0005-0000-0000-000029050000}"/>
    <cellStyle name="Heading [Palat] 2 2 2 3 4 6" xfId="39574" xr:uid="{00000000-0005-0000-0000-000029050000}"/>
    <cellStyle name="Heading [Palat] 2 2 2 3 5" xfId="9699" xr:uid="{00000000-0005-0000-0000-000029050000}"/>
    <cellStyle name="Heading [Palat] 2 2 2 3 5 2" xfId="13756" xr:uid="{00000000-0005-0000-0000-000029050000}"/>
    <cellStyle name="Heading [Palat] 2 2 2 3 5 2 2" xfId="32177" xr:uid="{00000000-0005-0000-0000-000029050000}"/>
    <cellStyle name="Heading [Palat] 2 2 2 3 5 2 3" xfId="50540" xr:uid="{00000000-0005-0000-0000-000029050000}"/>
    <cellStyle name="Heading [Palat] 2 2 2 3 5 3" xfId="28415" xr:uid="{00000000-0005-0000-0000-000029050000}"/>
    <cellStyle name="Heading [Palat] 2 2 2 3 5 3 2" xfId="46778" xr:uid="{00000000-0005-0000-0000-000029050000}"/>
    <cellStyle name="Heading [Palat] 2 2 2 3 5 4" xfId="18846" xr:uid="{00000000-0005-0000-0000-000029050000}"/>
    <cellStyle name="Heading [Palat] 2 2 2 3 5 5" xfId="37255" xr:uid="{00000000-0005-0000-0000-000029050000}"/>
    <cellStyle name="Heading [Palat] 2 2 2 3 6" xfId="7990" xr:uid="{00000000-0005-0000-0000-000029050000}"/>
    <cellStyle name="Heading [Palat] 2 2 2 3 6 2" xfId="27220" xr:uid="{00000000-0005-0000-0000-000029050000}"/>
    <cellStyle name="Heading [Palat] 2 2 2 3 6 3" xfId="45585" xr:uid="{00000000-0005-0000-0000-000029050000}"/>
    <cellStyle name="Heading [Palat] 2 2 2 3 7" xfId="7599" xr:uid="{00000000-0005-0000-0000-000029050000}"/>
    <cellStyle name="Heading [Palat] 2 2 2 3 7 2" xfId="26902" xr:uid="{00000000-0005-0000-0000-000029050000}"/>
    <cellStyle name="Heading [Palat] 2 2 2 3 7 3" xfId="45267" xr:uid="{00000000-0005-0000-0000-000029050000}"/>
    <cellStyle name="Heading [Palat] 2 2 2 3 8" xfId="18893" xr:uid="{00000000-0005-0000-0000-000029050000}"/>
    <cellStyle name="Heading [Palat] 2 2 2 3 8 2" xfId="37302" xr:uid="{00000000-0005-0000-0000-000029050000}"/>
    <cellStyle name="Heading [Palat] 2 2 2 3 9" xfId="11778" xr:uid="{00000000-0005-0000-0000-000029050000}"/>
    <cellStyle name="Heading [Palat] 2 2 2 4" xfId="1787" xr:uid="{00000000-0005-0000-0000-00002A050000}"/>
    <cellStyle name="Heading [Palat] 2 2 2 4 10" xfId="8658" xr:uid="{00000000-0005-0000-0000-00002A050000}"/>
    <cellStyle name="Heading [Palat] 2 2 2 4 2" xfId="3684" xr:uid="{00000000-0005-0000-0000-00002A050000}"/>
    <cellStyle name="Heading [Palat] 2 2 2 4 2 2" xfId="5857" xr:uid="{00000000-0005-0000-0000-00002A050000}"/>
    <cellStyle name="Heading [Palat] 2 2 2 4 2 2 2" xfId="12221" xr:uid="{00000000-0005-0000-0000-00002A050000}"/>
    <cellStyle name="Heading [Palat] 2 2 2 4 2 2 2 2" xfId="30668" xr:uid="{00000000-0005-0000-0000-00002A050000}"/>
    <cellStyle name="Heading [Palat] 2 2 2 4 2 2 2 3" xfId="49031" xr:uid="{00000000-0005-0000-0000-00002A050000}"/>
    <cellStyle name="Heading [Palat] 2 2 2 4 2 2 3" xfId="16547" xr:uid="{00000000-0005-0000-0000-00002A050000}"/>
    <cellStyle name="Heading [Palat] 2 2 2 4 2 2 3 2" xfId="34919" xr:uid="{00000000-0005-0000-0000-00002A050000}"/>
    <cellStyle name="Heading [Palat] 2 2 2 4 2 2 3 3" xfId="53282" xr:uid="{00000000-0005-0000-0000-00002A050000}"/>
    <cellStyle name="Heading [Palat] 2 2 2 4 2 2 4" xfId="25666" xr:uid="{00000000-0005-0000-0000-00002A050000}"/>
    <cellStyle name="Heading [Palat] 2 2 2 4 2 2 4 2" xfId="44035" xr:uid="{00000000-0005-0000-0000-00002A050000}"/>
    <cellStyle name="Heading [Palat] 2 2 2 4 2 2 5" xfId="21987" xr:uid="{00000000-0005-0000-0000-00002A050000}"/>
    <cellStyle name="Heading [Palat] 2 2 2 4 2 2 6" xfId="40366" xr:uid="{00000000-0005-0000-0000-00002A050000}"/>
    <cellStyle name="Heading [Palat] 2 2 2 4 2 3" xfId="6683" xr:uid="{00000000-0005-0000-0000-00002A050000}"/>
    <cellStyle name="Heading [Palat] 2 2 2 4 2 3 2" xfId="12974" xr:uid="{00000000-0005-0000-0000-00002A050000}"/>
    <cellStyle name="Heading [Palat] 2 2 2 4 2 3 2 2" xfId="31400" xr:uid="{00000000-0005-0000-0000-00002A050000}"/>
    <cellStyle name="Heading [Palat] 2 2 2 4 2 3 2 3" xfId="49763" xr:uid="{00000000-0005-0000-0000-00002A050000}"/>
    <cellStyle name="Heading [Palat] 2 2 2 4 2 3 3" xfId="17285" xr:uid="{00000000-0005-0000-0000-00002A050000}"/>
    <cellStyle name="Heading [Palat] 2 2 2 4 2 3 3 2" xfId="35633" xr:uid="{00000000-0005-0000-0000-00002A050000}"/>
    <cellStyle name="Heading [Palat] 2 2 2 4 2 3 3 3" xfId="53996" xr:uid="{00000000-0005-0000-0000-00002A050000}"/>
    <cellStyle name="Heading [Palat] 2 2 2 4 2 3 4" xfId="26418" xr:uid="{00000000-0005-0000-0000-00002A050000}"/>
    <cellStyle name="Heading [Palat] 2 2 2 4 2 3 4 2" xfId="44787" xr:uid="{00000000-0005-0000-0000-00002A050000}"/>
    <cellStyle name="Heading [Palat] 2 2 2 4 2 3 5" xfId="22711" xr:uid="{00000000-0005-0000-0000-00002A050000}"/>
    <cellStyle name="Heading [Palat] 2 2 2 4 2 3 6" xfId="41080" xr:uid="{00000000-0005-0000-0000-00002A050000}"/>
    <cellStyle name="Heading [Palat] 2 2 2 4 2 4" xfId="10397" xr:uid="{00000000-0005-0000-0000-00002A050000}"/>
    <cellStyle name="Heading [Palat] 2 2 2 4 2 4 2" xfId="14454" xr:uid="{00000000-0005-0000-0000-00002A050000}"/>
    <cellStyle name="Heading [Palat] 2 2 2 4 2 4 2 2" xfId="32870" xr:uid="{00000000-0005-0000-0000-00002A050000}"/>
    <cellStyle name="Heading [Palat] 2 2 2 4 2 4 2 3" xfId="51233" xr:uid="{00000000-0005-0000-0000-00002A050000}"/>
    <cellStyle name="Heading [Palat] 2 2 2 4 2 4 3" xfId="29108" xr:uid="{00000000-0005-0000-0000-00002A050000}"/>
    <cellStyle name="Heading [Palat] 2 2 2 4 2 4 3 2" xfId="47471" xr:uid="{00000000-0005-0000-0000-00002A050000}"/>
    <cellStyle name="Heading [Palat] 2 2 2 4 2 4 4" xfId="19911" xr:uid="{00000000-0005-0000-0000-00002A050000}"/>
    <cellStyle name="Heading [Palat] 2 2 2 4 2 4 5" xfId="38317" xr:uid="{00000000-0005-0000-0000-00002A050000}"/>
    <cellStyle name="Heading [Palat] 2 2 2 4 2 5" xfId="9605" xr:uid="{00000000-0005-0000-0000-00002A050000}"/>
    <cellStyle name="Heading [Palat] 2 2 2 4 2 5 2" xfId="28322" xr:uid="{00000000-0005-0000-0000-00002A050000}"/>
    <cellStyle name="Heading [Palat] 2 2 2 4 2 5 3" xfId="46685" xr:uid="{00000000-0005-0000-0000-00002A050000}"/>
    <cellStyle name="Heading [Palat] 2 2 2 4 2 6" xfId="13663" xr:uid="{00000000-0005-0000-0000-00002A050000}"/>
    <cellStyle name="Heading [Palat] 2 2 2 4 2 6 2" xfId="32084" xr:uid="{00000000-0005-0000-0000-00002A050000}"/>
    <cellStyle name="Heading [Palat] 2 2 2 4 2 6 3" xfId="50447" xr:uid="{00000000-0005-0000-0000-00002A050000}"/>
    <cellStyle name="Heading [Palat] 2 2 2 4 2 7" xfId="23592" xr:uid="{00000000-0005-0000-0000-00002A050000}"/>
    <cellStyle name="Heading [Palat] 2 2 2 4 2 7 2" xfId="41961" xr:uid="{00000000-0005-0000-0000-00002A050000}"/>
    <cellStyle name="Heading [Palat] 2 2 2 4 2 8" xfId="18704" xr:uid="{00000000-0005-0000-0000-00002A050000}"/>
    <cellStyle name="Heading [Palat] 2 2 2 4 2 9" xfId="37114" xr:uid="{00000000-0005-0000-0000-00002A050000}"/>
    <cellStyle name="Heading [Palat] 2 2 2 4 3" xfId="4724" xr:uid="{00000000-0005-0000-0000-00002A050000}"/>
    <cellStyle name="Heading [Palat] 2 2 2 4 3 2" xfId="11308" xr:uid="{00000000-0005-0000-0000-00002A050000}"/>
    <cellStyle name="Heading [Palat] 2 2 2 4 3 2 2" xfId="29920" xr:uid="{00000000-0005-0000-0000-00002A050000}"/>
    <cellStyle name="Heading [Palat] 2 2 2 4 3 2 3" xfId="48283" xr:uid="{00000000-0005-0000-0000-00002A050000}"/>
    <cellStyle name="Heading [Palat] 2 2 2 4 3 3" xfId="15450" xr:uid="{00000000-0005-0000-0000-00002A050000}"/>
    <cellStyle name="Heading [Palat] 2 2 2 4 3 3 2" xfId="33843" xr:uid="{00000000-0005-0000-0000-00002A050000}"/>
    <cellStyle name="Heading [Palat] 2 2 2 4 3 3 3" xfId="52206" xr:uid="{00000000-0005-0000-0000-00002A050000}"/>
    <cellStyle name="Heading [Palat] 2 2 2 4 3 4" xfId="24574" xr:uid="{00000000-0005-0000-0000-00002A050000}"/>
    <cellStyle name="Heading [Palat] 2 2 2 4 3 4 2" xfId="42943" xr:uid="{00000000-0005-0000-0000-00002A050000}"/>
    <cellStyle name="Heading [Palat] 2 2 2 4 3 5" xfId="20901" xr:uid="{00000000-0005-0000-0000-00002A050000}"/>
    <cellStyle name="Heading [Palat] 2 2 2 4 3 6" xfId="39290" xr:uid="{00000000-0005-0000-0000-00002A050000}"/>
    <cellStyle name="Heading [Palat] 2 2 2 4 4" xfId="4859" xr:uid="{00000000-0005-0000-0000-00002A050000}"/>
    <cellStyle name="Heading [Palat] 2 2 2 4 4 2" xfId="11417" xr:uid="{00000000-0005-0000-0000-00002A050000}"/>
    <cellStyle name="Heading [Palat] 2 2 2 4 4 2 2" xfId="30007" xr:uid="{00000000-0005-0000-0000-00002A050000}"/>
    <cellStyle name="Heading [Palat] 2 2 2 4 4 2 3" xfId="48370" xr:uid="{00000000-0005-0000-0000-00002A050000}"/>
    <cellStyle name="Heading [Palat] 2 2 2 4 4 3" xfId="15585" xr:uid="{00000000-0005-0000-0000-00002A050000}"/>
    <cellStyle name="Heading [Palat] 2 2 2 4 4 3 2" xfId="33976" xr:uid="{00000000-0005-0000-0000-00002A050000}"/>
    <cellStyle name="Heading [Palat] 2 2 2 4 4 3 3" xfId="52339" xr:uid="{00000000-0005-0000-0000-00002A050000}"/>
    <cellStyle name="Heading [Palat] 2 2 2 4 4 4" xfId="24707" xr:uid="{00000000-0005-0000-0000-00002A050000}"/>
    <cellStyle name="Heading [Palat] 2 2 2 4 4 4 2" xfId="43076" xr:uid="{00000000-0005-0000-0000-00002A050000}"/>
    <cellStyle name="Heading [Palat] 2 2 2 4 4 5" xfId="21034" xr:uid="{00000000-0005-0000-0000-00002A050000}"/>
    <cellStyle name="Heading [Palat] 2 2 2 4 4 6" xfId="39423" xr:uid="{00000000-0005-0000-0000-00002A050000}"/>
    <cellStyle name="Heading [Palat] 2 2 2 4 5" xfId="9057" xr:uid="{00000000-0005-0000-0000-00002A050000}"/>
    <cellStyle name="Heading [Palat] 2 2 2 4 5 2" xfId="8418" xr:uid="{00000000-0005-0000-0000-00002A050000}"/>
    <cellStyle name="Heading [Palat] 2 2 2 4 5 2 2" xfId="27479" xr:uid="{00000000-0005-0000-0000-00002A050000}"/>
    <cellStyle name="Heading [Palat] 2 2 2 4 5 2 3" xfId="45843" xr:uid="{00000000-0005-0000-0000-00002A050000}"/>
    <cellStyle name="Heading [Palat] 2 2 2 4 5 3" xfId="27783" xr:uid="{00000000-0005-0000-0000-00002A050000}"/>
    <cellStyle name="Heading [Palat] 2 2 2 4 5 3 2" xfId="46146" xr:uid="{00000000-0005-0000-0000-00002A050000}"/>
    <cellStyle name="Heading [Palat] 2 2 2 4 5 4" xfId="17957" xr:uid="{00000000-0005-0000-0000-00002A050000}"/>
    <cellStyle name="Heading [Palat] 2 2 2 4 5 5" xfId="36365" xr:uid="{00000000-0005-0000-0000-00002A050000}"/>
    <cellStyle name="Heading [Palat] 2 2 2 4 6" xfId="8018" xr:uid="{00000000-0005-0000-0000-00002A050000}"/>
    <cellStyle name="Heading [Palat] 2 2 2 4 6 2" xfId="27248" xr:uid="{00000000-0005-0000-0000-00002A050000}"/>
    <cellStyle name="Heading [Palat] 2 2 2 4 6 3" xfId="45613" xr:uid="{00000000-0005-0000-0000-00002A050000}"/>
    <cellStyle name="Heading [Palat] 2 2 2 4 7" xfId="8689" xr:uid="{00000000-0005-0000-0000-00002A050000}"/>
    <cellStyle name="Heading [Palat] 2 2 2 4 7 2" xfId="27585" xr:uid="{00000000-0005-0000-0000-00002A050000}"/>
    <cellStyle name="Heading [Palat] 2 2 2 4 7 3" xfId="45948" xr:uid="{00000000-0005-0000-0000-00002A050000}"/>
    <cellStyle name="Heading [Palat] 2 2 2 4 8" xfId="19548" xr:uid="{00000000-0005-0000-0000-00002A050000}"/>
    <cellStyle name="Heading [Palat] 2 2 2 4 8 2" xfId="37954" xr:uid="{00000000-0005-0000-0000-00002A050000}"/>
    <cellStyle name="Heading [Palat] 2 2 2 4 9" xfId="15868" xr:uid="{00000000-0005-0000-0000-00002A050000}"/>
    <cellStyle name="Heading [Palat] 2 2 2 5" xfId="3560" xr:uid="{00000000-0005-0000-0000-000027050000}"/>
    <cellStyle name="Heading [Palat] 2 2 2 5 2" xfId="5733" xr:uid="{00000000-0005-0000-0000-000027050000}"/>
    <cellStyle name="Heading [Palat] 2 2 2 5 2 2" xfId="12097" xr:uid="{00000000-0005-0000-0000-000027050000}"/>
    <cellStyle name="Heading [Palat] 2 2 2 5 2 2 2" xfId="30544" xr:uid="{00000000-0005-0000-0000-000027050000}"/>
    <cellStyle name="Heading [Palat] 2 2 2 5 2 2 3" xfId="48907" xr:uid="{00000000-0005-0000-0000-000027050000}"/>
    <cellStyle name="Heading [Palat] 2 2 2 5 2 3" xfId="16423" xr:uid="{00000000-0005-0000-0000-000027050000}"/>
    <cellStyle name="Heading [Palat] 2 2 2 5 2 3 2" xfId="34795" xr:uid="{00000000-0005-0000-0000-000027050000}"/>
    <cellStyle name="Heading [Palat] 2 2 2 5 2 3 3" xfId="53158" xr:uid="{00000000-0005-0000-0000-000027050000}"/>
    <cellStyle name="Heading [Palat] 2 2 2 5 2 4" xfId="25542" xr:uid="{00000000-0005-0000-0000-000027050000}"/>
    <cellStyle name="Heading [Palat] 2 2 2 5 2 4 2" xfId="43911" xr:uid="{00000000-0005-0000-0000-000027050000}"/>
    <cellStyle name="Heading [Palat] 2 2 2 5 2 5" xfId="21863" xr:uid="{00000000-0005-0000-0000-000027050000}"/>
    <cellStyle name="Heading [Palat] 2 2 2 5 2 6" xfId="40242" xr:uid="{00000000-0005-0000-0000-000027050000}"/>
    <cellStyle name="Heading [Palat] 2 2 2 5 3" xfId="6559" xr:uid="{00000000-0005-0000-0000-000027050000}"/>
    <cellStyle name="Heading [Palat] 2 2 2 5 3 2" xfId="12850" xr:uid="{00000000-0005-0000-0000-000027050000}"/>
    <cellStyle name="Heading [Palat] 2 2 2 5 3 2 2" xfId="31276" xr:uid="{00000000-0005-0000-0000-000027050000}"/>
    <cellStyle name="Heading [Palat] 2 2 2 5 3 2 3" xfId="49639" xr:uid="{00000000-0005-0000-0000-000027050000}"/>
    <cellStyle name="Heading [Palat] 2 2 2 5 3 3" xfId="17161" xr:uid="{00000000-0005-0000-0000-000027050000}"/>
    <cellStyle name="Heading [Palat] 2 2 2 5 3 3 2" xfId="35509" xr:uid="{00000000-0005-0000-0000-000027050000}"/>
    <cellStyle name="Heading [Palat] 2 2 2 5 3 3 3" xfId="53872" xr:uid="{00000000-0005-0000-0000-000027050000}"/>
    <cellStyle name="Heading [Palat] 2 2 2 5 3 4" xfId="26294" xr:uid="{00000000-0005-0000-0000-000027050000}"/>
    <cellStyle name="Heading [Palat] 2 2 2 5 3 4 2" xfId="44663" xr:uid="{00000000-0005-0000-0000-000027050000}"/>
    <cellStyle name="Heading [Palat] 2 2 2 5 3 5" xfId="22587" xr:uid="{00000000-0005-0000-0000-000027050000}"/>
    <cellStyle name="Heading [Palat] 2 2 2 5 3 6" xfId="40956" xr:uid="{00000000-0005-0000-0000-000027050000}"/>
    <cellStyle name="Heading [Palat] 2 2 2 5 4" xfId="10273" xr:uid="{00000000-0005-0000-0000-000027050000}"/>
    <cellStyle name="Heading [Palat] 2 2 2 5 4 2" xfId="14330" xr:uid="{00000000-0005-0000-0000-000027050000}"/>
    <cellStyle name="Heading [Palat] 2 2 2 5 4 2 2" xfId="32746" xr:uid="{00000000-0005-0000-0000-000027050000}"/>
    <cellStyle name="Heading [Palat] 2 2 2 5 4 2 3" xfId="51109" xr:uid="{00000000-0005-0000-0000-000027050000}"/>
    <cellStyle name="Heading [Palat] 2 2 2 5 4 3" xfId="28984" xr:uid="{00000000-0005-0000-0000-000027050000}"/>
    <cellStyle name="Heading [Palat] 2 2 2 5 4 3 2" xfId="47347" xr:uid="{00000000-0005-0000-0000-000027050000}"/>
    <cellStyle name="Heading [Palat] 2 2 2 5 4 4" xfId="19787" xr:uid="{00000000-0005-0000-0000-000027050000}"/>
    <cellStyle name="Heading [Palat] 2 2 2 5 4 5" xfId="38193" xr:uid="{00000000-0005-0000-0000-000027050000}"/>
    <cellStyle name="Heading [Palat] 2 2 2 5 5" xfId="9481" xr:uid="{00000000-0005-0000-0000-000027050000}"/>
    <cellStyle name="Heading [Palat] 2 2 2 5 5 2" xfId="28198" xr:uid="{00000000-0005-0000-0000-000027050000}"/>
    <cellStyle name="Heading [Palat] 2 2 2 5 5 3" xfId="46561" xr:uid="{00000000-0005-0000-0000-000027050000}"/>
    <cellStyle name="Heading [Palat] 2 2 2 5 6" xfId="13539" xr:uid="{00000000-0005-0000-0000-000027050000}"/>
    <cellStyle name="Heading [Palat] 2 2 2 5 6 2" xfId="31960" xr:uid="{00000000-0005-0000-0000-000027050000}"/>
    <cellStyle name="Heading [Palat] 2 2 2 5 6 3" xfId="50323" xr:uid="{00000000-0005-0000-0000-000027050000}"/>
    <cellStyle name="Heading [Palat] 2 2 2 5 7" xfId="23468" xr:uid="{00000000-0005-0000-0000-000027050000}"/>
    <cellStyle name="Heading [Palat] 2 2 2 5 7 2" xfId="41837" xr:uid="{00000000-0005-0000-0000-000027050000}"/>
    <cellStyle name="Heading [Palat] 2 2 2 5 8" xfId="18578" xr:uid="{00000000-0005-0000-0000-000027050000}"/>
    <cellStyle name="Heading [Palat] 2 2 2 5 9" xfId="36988" xr:uid="{00000000-0005-0000-0000-000027050000}"/>
    <cellStyle name="Heading [Palat] 2 2 2 6" xfId="4591" xr:uid="{00000000-0005-0000-0000-000027050000}"/>
    <cellStyle name="Heading [Palat] 2 2 2 6 2" xfId="11176" xr:uid="{00000000-0005-0000-0000-000027050000}"/>
    <cellStyle name="Heading [Palat] 2 2 2 6 2 2" xfId="29790" xr:uid="{00000000-0005-0000-0000-000027050000}"/>
    <cellStyle name="Heading [Palat] 2 2 2 6 2 3" xfId="48153" xr:uid="{00000000-0005-0000-0000-000027050000}"/>
    <cellStyle name="Heading [Palat] 2 2 2 6 3" xfId="15317" xr:uid="{00000000-0005-0000-0000-000027050000}"/>
    <cellStyle name="Heading [Palat] 2 2 2 6 3 2" xfId="33711" xr:uid="{00000000-0005-0000-0000-000027050000}"/>
    <cellStyle name="Heading [Palat] 2 2 2 6 3 3" xfId="52074" xr:uid="{00000000-0005-0000-0000-000027050000}"/>
    <cellStyle name="Heading [Palat] 2 2 2 6 4" xfId="24442" xr:uid="{00000000-0005-0000-0000-000027050000}"/>
    <cellStyle name="Heading [Palat] 2 2 2 6 4 2" xfId="42811" xr:uid="{00000000-0005-0000-0000-000027050000}"/>
    <cellStyle name="Heading [Palat] 2 2 2 6 5" xfId="20768" xr:uid="{00000000-0005-0000-0000-000027050000}"/>
    <cellStyle name="Heading [Palat] 2 2 2 6 6" xfId="39158" xr:uid="{00000000-0005-0000-0000-000027050000}"/>
    <cellStyle name="Heading [Palat] 2 2 2 7" xfId="4216" xr:uid="{00000000-0005-0000-0000-000027050000}"/>
    <cellStyle name="Heading [Palat] 2 2 2 7 2" xfId="10862" xr:uid="{00000000-0005-0000-0000-000027050000}"/>
    <cellStyle name="Heading [Palat] 2 2 2 7 2 2" xfId="29533" xr:uid="{00000000-0005-0000-0000-000027050000}"/>
    <cellStyle name="Heading [Palat] 2 2 2 7 2 3" xfId="47896" xr:uid="{00000000-0005-0000-0000-000027050000}"/>
    <cellStyle name="Heading [Palat] 2 2 2 7 3" xfId="14961" xr:uid="{00000000-0005-0000-0000-000027050000}"/>
    <cellStyle name="Heading [Palat] 2 2 2 7 3 2" xfId="33365" xr:uid="{00000000-0005-0000-0000-000027050000}"/>
    <cellStyle name="Heading [Palat] 2 2 2 7 3 3" xfId="51728" xr:uid="{00000000-0005-0000-0000-000027050000}"/>
    <cellStyle name="Heading [Palat] 2 2 2 7 4" xfId="24094" xr:uid="{00000000-0005-0000-0000-000027050000}"/>
    <cellStyle name="Heading [Palat] 2 2 2 7 4 2" xfId="42463" xr:uid="{00000000-0005-0000-0000-000027050000}"/>
    <cellStyle name="Heading [Palat] 2 2 2 7 5" xfId="20414" xr:uid="{00000000-0005-0000-0000-000027050000}"/>
    <cellStyle name="Heading [Palat] 2 2 2 7 6" xfId="38812" xr:uid="{00000000-0005-0000-0000-000027050000}"/>
    <cellStyle name="Heading [Palat] 2 2 2 8" xfId="7887" xr:uid="{00000000-0005-0000-0000-000027050000}"/>
    <cellStyle name="Heading [Palat] 2 2 2 8 2" xfId="27124" xr:uid="{00000000-0005-0000-0000-000027050000}"/>
    <cellStyle name="Heading [Palat] 2 2 2 8 3" xfId="45489" xr:uid="{00000000-0005-0000-0000-000027050000}"/>
    <cellStyle name="Heading [Palat] 2 2 2 9" xfId="6255" xr:uid="{00000000-0005-0000-0000-000027050000}"/>
    <cellStyle name="Heading [Palat] 2 2 2 9 2" xfId="26010" xr:uid="{00000000-0005-0000-0000-000027050000}"/>
    <cellStyle name="Heading [Palat] 2 2 2 9 3" xfId="44379" xr:uid="{00000000-0005-0000-0000-000027050000}"/>
    <cellStyle name="Heading [Palat] 2 2 3" xfId="1510" xr:uid="{00000000-0005-0000-0000-00002B050000}"/>
    <cellStyle name="Heading [Palat] 2 2 3 10" xfId="7202" xr:uid="{00000000-0005-0000-0000-00002B050000}"/>
    <cellStyle name="Heading [Palat] 2 2 3 10 2" xfId="26746" xr:uid="{00000000-0005-0000-0000-00002B050000}"/>
    <cellStyle name="Heading [Palat] 2 2 3 10 3" xfId="45114" xr:uid="{00000000-0005-0000-0000-00002B050000}"/>
    <cellStyle name="Heading [Palat] 2 2 3 11" xfId="9150" xr:uid="{00000000-0005-0000-0000-00002B050000}"/>
    <cellStyle name="Heading [Palat] 2 2 3 12" xfId="8839" xr:uid="{00000000-0005-0000-0000-00002B050000}"/>
    <cellStyle name="Heading [Palat] 2 2 3 2" xfId="1679" xr:uid="{00000000-0005-0000-0000-00002C050000}"/>
    <cellStyle name="Heading [Palat] 2 2 3 2 10" xfId="8721" xr:uid="{00000000-0005-0000-0000-00002C050000}"/>
    <cellStyle name="Heading [Palat] 2 2 3 2 2" xfId="3577" xr:uid="{00000000-0005-0000-0000-00002C050000}"/>
    <cellStyle name="Heading [Palat] 2 2 3 2 2 2" xfId="5750" xr:uid="{00000000-0005-0000-0000-00002C050000}"/>
    <cellStyle name="Heading [Palat] 2 2 3 2 2 2 2" xfId="12114" xr:uid="{00000000-0005-0000-0000-00002C050000}"/>
    <cellStyle name="Heading [Palat] 2 2 3 2 2 2 2 2" xfId="30561" xr:uid="{00000000-0005-0000-0000-00002C050000}"/>
    <cellStyle name="Heading [Palat] 2 2 3 2 2 2 2 3" xfId="48924" xr:uid="{00000000-0005-0000-0000-00002C050000}"/>
    <cellStyle name="Heading [Palat] 2 2 3 2 2 2 3" xfId="16440" xr:uid="{00000000-0005-0000-0000-00002C050000}"/>
    <cellStyle name="Heading [Palat] 2 2 3 2 2 2 3 2" xfId="34812" xr:uid="{00000000-0005-0000-0000-00002C050000}"/>
    <cellStyle name="Heading [Palat] 2 2 3 2 2 2 3 3" xfId="53175" xr:uid="{00000000-0005-0000-0000-00002C050000}"/>
    <cellStyle name="Heading [Palat] 2 2 3 2 2 2 4" xfId="25559" xr:uid="{00000000-0005-0000-0000-00002C050000}"/>
    <cellStyle name="Heading [Palat] 2 2 3 2 2 2 4 2" xfId="43928" xr:uid="{00000000-0005-0000-0000-00002C050000}"/>
    <cellStyle name="Heading [Palat] 2 2 3 2 2 2 5" xfId="21880" xr:uid="{00000000-0005-0000-0000-00002C050000}"/>
    <cellStyle name="Heading [Palat] 2 2 3 2 2 2 6" xfId="40259" xr:uid="{00000000-0005-0000-0000-00002C050000}"/>
    <cellStyle name="Heading [Palat] 2 2 3 2 2 3" xfId="6576" xr:uid="{00000000-0005-0000-0000-00002C050000}"/>
    <cellStyle name="Heading [Palat] 2 2 3 2 2 3 2" xfId="12867" xr:uid="{00000000-0005-0000-0000-00002C050000}"/>
    <cellStyle name="Heading [Palat] 2 2 3 2 2 3 2 2" xfId="31293" xr:uid="{00000000-0005-0000-0000-00002C050000}"/>
    <cellStyle name="Heading [Palat] 2 2 3 2 2 3 2 3" xfId="49656" xr:uid="{00000000-0005-0000-0000-00002C050000}"/>
    <cellStyle name="Heading [Palat] 2 2 3 2 2 3 3" xfId="17178" xr:uid="{00000000-0005-0000-0000-00002C050000}"/>
    <cellStyle name="Heading [Palat] 2 2 3 2 2 3 3 2" xfId="35526" xr:uid="{00000000-0005-0000-0000-00002C050000}"/>
    <cellStyle name="Heading [Palat] 2 2 3 2 2 3 3 3" xfId="53889" xr:uid="{00000000-0005-0000-0000-00002C050000}"/>
    <cellStyle name="Heading [Palat] 2 2 3 2 2 3 4" xfId="26311" xr:uid="{00000000-0005-0000-0000-00002C050000}"/>
    <cellStyle name="Heading [Palat] 2 2 3 2 2 3 4 2" xfId="44680" xr:uid="{00000000-0005-0000-0000-00002C050000}"/>
    <cellStyle name="Heading [Palat] 2 2 3 2 2 3 5" xfId="22604" xr:uid="{00000000-0005-0000-0000-00002C050000}"/>
    <cellStyle name="Heading [Palat] 2 2 3 2 2 3 6" xfId="40973" xr:uid="{00000000-0005-0000-0000-00002C050000}"/>
    <cellStyle name="Heading [Palat] 2 2 3 2 2 4" xfId="10290" xr:uid="{00000000-0005-0000-0000-00002C050000}"/>
    <cellStyle name="Heading [Palat] 2 2 3 2 2 4 2" xfId="14347" xr:uid="{00000000-0005-0000-0000-00002C050000}"/>
    <cellStyle name="Heading [Palat] 2 2 3 2 2 4 2 2" xfId="32763" xr:uid="{00000000-0005-0000-0000-00002C050000}"/>
    <cellStyle name="Heading [Palat] 2 2 3 2 2 4 2 3" xfId="51126" xr:uid="{00000000-0005-0000-0000-00002C050000}"/>
    <cellStyle name="Heading [Palat] 2 2 3 2 2 4 3" xfId="29001" xr:uid="{00000000-0005-0000-0000-00002C050000}"/>
    <cellStyle name="Heading [Palat] 2 2 3 2 2 4 3 2" xfId="47364" xr:uid="{00000000-0005-0000-0000-00002C050000}"/>
    <cellStyle name="Heading [Palat] 2 2 3 2 2 4 4" xfId="19804" xr:uid="{00000000-0005-0000-0000-00002C050000}"/>
    <cellStyle name="Heading [Palat] 2 2 3 2 2 4 5" xfId="38210" xr:uid="{00000000-0005-0000-0000-00002C050000}"/>
    <cellStyle name="Heading [Palat] 2 2 3 2 2 5" xfId="9498" xr:uid="{00000000-0005-0000-0000-00002C050000}"/>
    <cellStyle name="Heading [Palat] 2 2 3 2 2 5 2" xfId="28215" xr:uid="{00000000-0005-0000-0000-00002C050000}"/>
    <cellStyle name="Heading [Palat] 2 2 3 2 2 5 3" xfId="46578" xr:uid="{00000000-0005-0000-0000-00002C050000}"/>
    <cellStyle name="Heading [Palat] 2 2 3 2 2 6" xfId="13556" xr:uid="{00000000-0005-0000-0000-00002C050000}"/>
    <cellStyle name="Heading [Palat] 2 2 3 2 2 6 2" xfId="31977" xr:uid="{00000000-0005-0000-0000-00002C050000}"/>
    <cellStyle name="Heading [Palat] 2 2 3 2 2 6 3" xfId="50340" xr:uid="{00000000-0005-0000-0000-00002C050000}"/>
    <cellStyle name="Heading [Palat] 2 2 3 2 2 7" xfId="23485" xr:uid="{00000000-0005-0000-0000-00002C050000}"/>
    <cellStyle name="Heading [Palat] 2 2 3 2 2 7 2" xfId="41854" xr:uid="{00000000-0005-0000-0000-00002C050000}"/>
    <cellStyle name="Heading [Palat] 2 2 3 2 2 8" xfId="18596" xr:uid="{00000000-0005-0000-0000-00002C050000}"/>
    <cellStyle name="Heading [Palat] 2 2 3 2 2 9" xfId="37006" xr:uid="{00000000-0005-0000-0000-00002C050000}"/>
    <cellStyle name="Heading [Palat] 2 2 3 2 3" xfId="4618" xr:uid="{00000000-0005-0000-0000-00002C050000}"/>
    <cellStyle name="Heading [Palat] 2 2 3 2 3 2" xfId="11202" xr:uid="{00000000-0005-0000-0000-00002C050000}"/>
    <cellStyle name="Heading [Palat] 2 2 3 2 3 2 2" xfId="29814" xr:uid="{00000000-0005-0000-0000-00002C050000}"/>
    <cellStyle name="Heading [Palat] 2 2 3 2 3 2 3" xfId="48177" xr:uid="{00000000-0005-0000-0000-00002C050000}"/>
    <cellStyle name="Heading [Palat] 2 2 3 2 3 3" xfId="15344" xr:uid="{00000000-0005-0000-0000-00002C050000}"/>
    <cellStyle name="Heading [Palat] 2 2 3 2 3 3 2" xfId="33737" xr:uid="{00000000-0005-0000-0000-00002C050000}"/>
    <cellStyle name="Heading [Palat] 2 2 3 2 3 3 3" xfId="52100" xr:uid="{00000000-0005-0000-0000-00002C050000}"/>
    <cellStyle name="Heading [Palat] 2 2 3 2 3 4" xfId="24468" xr:uid="{00000000-0005-0000-0000-00002C050000}"/>
    <cellStyle name="Heading [Palat] 2 2 3 2 3 4 2" xfId="42837" xr:uid="{00000000-0005-0000-0000-00002C050000}"/>
    <cellStyle name="Heading [Palat] 2 2 3 2 3 5" xfId="20795" xr:uid="{00000000-0005-0000-0000-00002C050000}"/>
    <cellStyle name="Heading [Palat] 2 2 3 2 3 6" xfId="39184" xr:uid="{00000000-0005-0000-0000-00002C050000}"/>
    <cellStyle name="Heading [Palat] 2 2 3 2 4" xfId="4841" xr:uid="{00000000-0005-0000-0000-00002C050000}"/>
    <cellStyle name="Heading [Palat] 2 2 3 2 4 2" xfId="11402" xr:uid="{00000000-0005-0000-0000-00002C050000}"/>
    <cellStyle name="Heading [Palat] 2 2 3 2 4 2 2" xfId="29993" xr:uid="{00000000-0005-0000-0000-00002C050000}"/>
    <cellStyle name="Heading [Palat] 2 2 3 2 4 2 3" xfId="48356" xr:uid="{00000000-0005-0000-0000-00002C050000}"/>
    <cellStyle name="Heading [Palat] 2 2 3 2 4 3" xfId="15567" xr:uid="{00000000-0005-0000-0000-00002C050000}"/>
    <cellStyle name="Heading [Palat] 2 2 3 2 4 3 2" xfId="33960" xr:uid="{00000000-0005-0000-0000-00002C050000}"/>
    <cellStyle name="Heading [Palat] 2 2 3 2 4 3 3" xfId="52323" xr:uid="{00000000-0005-0000-0000-00002C050000}"/>
    <cellStyle name="Heading [Palat] 2 2 3 2 4 4" xfId="24691" xr:uid="{00000000-0005-0000-0000-00002C050000}"/>
    <cellStyle name="Heading [Palat] 2 2 3 2 4 4 2" xfId="43060" xr:uid="{00000000-0005-0000-0000-00002C050000}"/>
    <cellStyle name="Heading [Palat] 2 2 3 2 4 5" xfId="21018" xr:uid="{00000000-0005-0000-0000-00002C050000}"/>
    <cellStyle name="Heading [Palat] 2 2 3 2 4 6" xfId="39407" xr:uid="{00000000-0005-0000-0000-00002C050000}"/>
    <cellStyle name="Heading [Palat] 2 2 3 2 5" xfId="9098" xr:uid="{00000000-0005-0000-0000-00002C050000}"/>
    <cellStyle name="Heading [Palat] 2 2 3 2 5 2" xfId="6213" xr:uid="{00000000-0005-0000-0000-00002C050000}"/>
    <cellStyle name="Heading [Palat] 2 2 3 2 5 2 2" xfId="25986" xr:uid="{00000000-0005-0000-0000-00002C050000}"/>
    <cellStyle name="Heading [Palat] 2 2 3 2 5 2 3" xfId="44355" xr:uid="{00000000-0005-0000-0000-00002C050000}"/>
    <cellStyle name="Heading [Palat] 2 2 3 2 5 3" xfId="27824" xr:uid="{00000000-0005-0000-0000-00002C050000}"/>
    <cellStyle name="Heading [Palat] 2 2 3 2 5 3 2" xfId="46187" xr:uid="{00000000-0005-0000-0000-00002C050000}"/>
    <cellStyle name="Heading [Palat] 2 2 3 2 5 4" xfId="17998" xr:uid="{00000000-0005-0000-0000-00002C050000}"/>
    <cellStyle name="Heading [Palat] 2 2 3 2 5 5" xfId="36406" xr:uid="{00000000-0005-0000-0000-00002C050000}"/>
    <cellStyle name="Heading [Palat] 2 2 3 2 6" xfId="7912" xr:uid="{00000000-0005-0000-0000-00002C050000}"/>
    <cellStyle name="Heading [Palat] 2 2 3 2 6 2" xfId="27144" xr:uid="{00000000-0005-0000-0000-00002C050000}"/>
    <cellStyle name="Heading [Palat] 2 2 3 2 6 3" xfId="45509" xr:uid="{00000000-0005-0000-0000-00002C050000}"/>
    <cellStyle name="Heading [Palat] 2 2 3 2 7" xfId="8623" xr:uid="{00000000-0005-0000-0000-00002C050000}"/>
    <cellStyle name="Heading [Palat] 2 2 3 2 7 2" xfId="27535" xr:uid="{00000000-0005-0000-0000-00002C050000}"/>
    <cellStyle name="Heading [Palat] 2 2 3 2 7 3" xfId="45899" xr:uid="{00000000-0005-0000-0000-00002C050000}"/>
    <cellStyle name="Heading [Palat] 2 2 3 2 8" xfId="18958" xr:uid="{00000000-0005-0000-0000-00002C050000}"/>
    <cellStyle name="Heading [Palat] 2 2 3 2 8 2" xfId="37367" xr:uid="{00000000-0005-0000-0000-00002C050000}"/>
    <cellStyle name="Heading [Palat] 2 2 3 2 9" xfId="7055" xr:uid="{00000000-0005-0000-0000-00002C050000}"/>
    <cellStyle name="Heading [Palat] 2 2 3 3" xfId="1473" xr:uid="{00000000-0005-0000-0000-00002D050000}"/>
    <cellStyle name="Heading [Palat] 2 2 3 3 10" xfId="8715" xr:uid="{00000000-0005-0000-0000-00002D050000}"/>
    <cellStyle name="Heading [Palat] 2 2 3 3 2" xfId="3489" xr:uid="{00000000-0005-0000-0000-00002D050000}"/>
    <cellStyle name="Heading [Palat] 2 2 3 3 2 2" xfId="5664" xr:uid="{00000000-0005-0000-0000-00002D050000}"/>
    <cellStyle name="Heading [Palat] 2 2 3 3 2 2 2" xfId="12028" xr:uid="{00000000-0005-0000-0000-00002D050000}"/>
    <cellStyle name="Heading [Palat] 2 2 3 3 2 2 2 2" xfId="30475" xr:uid="{00000000-0005-0000-0000-00002D050000}"/>
    <cellStyle name="Heading [Palat] 2 2 3 3 2 2 2 3" xfId="48838" xr:uid="{00000000-0005-0000-0000-00002D050000}"/>
    <cellStyle name="Heading [Palat] 2 2 3 3 2 2 3" xfId="16354" xr:uid="{00000000-0005-0000-0000-00002D050000}"/>
    <cellStyle name="Heading [Palat] 2 2 3 3 2 2 3 2" xfId="34726" xr:uid="{00000000-0005-0000-0000-00002D050000}"/>
    <cellStyle name="Heading [Palat] 2 2 3 3 2 2 3 3" xfId="53089" xr:uid="{00000000-0005-0000-0000-00002D050000}"/>
    <cellStyle name="Heading [Palat] 2 2 3 3 2 2 4" xfId="25473" xr:uid="{00000000-0005-0000-0000-00002D050000}"/>
    <cellStyle name="Heading [Palat] 2 2 3 3 2 2 4 2" xfId="43842" xr:uid="{00000000-0005-0000-0000-00002D050000}"/>
    <cellStyle name="Heading [Palat] 2 2 3 3 2 2 5" xfId="21794" xr:uid="{00000000-0005-0000-0000-00002D050000}"/>
    <cellStyle name="Heading [Palat] 2 2 3 3 2 2 6" xfId="40173" xr:uid="{00000000-0005-0000-0000-00002D050000}"/>
    <cellStyle name="Heading [Palat] 2 2 3 3 2 3" xfId="6488" xr:uid="{00000000-0005-0000-0000-00002D050000}"/>
    <cellStyle name="Heading [Palat] 2 2 3 3 2 3 2" xfId="12779" xr:uid="{00000000-0005-0000-0000-00002D050000}"/>
    <cellStyle name="Heading [Palat] 2 2 3 3 2 3 2 2" xfId="31205" xr:uid="{00000000-0005-0000-0000-00002D050000}"/>
    <cellStyle name="Heading [Palat] 2 2 3 3 2 3 2 3" xfId="49568" xr:uid="{00000000-0005-0000-0000-00002D050000}"/>
    <cellStyle name="Heading [Palat] 2 2 3 3 2 3 3" xfId="17090" xr:uid="{00000000-0005-0000-0000-00002D050000}"/>
    <cellStyle name="Heading [Palat] 2 2 3 3 2 3 3 2" xfId="35438" xr:uid="{00000000-0005-0000-0000-00002D050000}"/>
    <cellStyle name="Heading [Palat] 2 2 3 3 2 3 3 3" xfId="53801" xr:uid="{00000000-0005-0000-0000-00002D050000}"/>
    <cellStyle name="Heading [Palat] 2 2 3 3 2 3 4" xfId="26223" xr:uid="{00000000-0005-0000-0000-00002D050000}"/>
    <cellStyle name="Heading [Palat] 2 2 3 3 2 3 4 2" xfId="44592" xr:uid="{00000000-0005-0000-0000-00002D050000}"/>
    <cellStyle name="Heading [Palat] 2 2 3 3 2 3 5" xfId="22516" xr:uid="{00000000-0005-0000-0000-00002D050000}"/>
    <cellStyle name="Heading [Palat] 2 2 3 3 2 3 6" xfId="40885" xr:uid="{00000000-0005-0000-0000-00002D050000}"/>
    <cellStyle name="Heading [Palat] 2 2 3 3 2 4" xfId="10202" xr:uid="{00000000-0005-0000-0000-00002D050000}"/>
    <cellStyle name="Heading [Palat] 2 2 3 3 2 4 2" xfId="14259" xr:uid="{00000000-0005-0000-0000-00002D050000}"/>
    <cellStyle name="Heading [Palat] 2 2 3 3 2 4 2 2" xfId="32675" xr:uid="{00000000-0005-0000-0000-00002D050000}"/>
    <cellStyle name="Heading [Palat] 2 2 3 3 2 4 2 3" xfId="51038" xr:uid="{00000000-0005-0000-0000-00002D050000}"/>
    <cellStyle name="Heading [Palat] 2 2 3 3 2 4 3" xfId="28913" xr:uid="{00000000-0005-0000-0000-00002D050000}"/>
    <cellStyle name="Heading [Palat] 2 2 3 3 2 4 3 2" xfId="47276" xr:uid="{00000000-0005-0000-0000-00002D050000}"/>
    <cellStyle name="Heading [Palat] 2 2 3 3 2 4 4" xfId="19716" xr:uid="{00000000-0005-0000-0000-00002D050000}"/>
    <cellStyle name="Heading [Palat] 2 2 3 3 2 4 5" xfId="38122" xr:uid="{00000000-0005-0000-0000-00002D050000}"/>
    <cellStyle name="Heading [Palat] 2 2 3 3 2 5" xfId="9395" xr:uid="{00000000-0005-0000-0000-00002D050000}"/>
    <cellStyle name="Heading [Palat] 2 2 3 3 2 5 2" xfId="28114" xr:uid="{00000000-0005-0000-0000-00002D050000}"/>
    <cellStyle name="Heading [Palat] 2 2 3 3 2 5 3" xfId="46477" xr:uid="{00000000-0005-0000-0000-00002D050000}"/>
    <cellStyle name="Heading [Palat] 2 2 3 3 2 6" xfId="13451" xr:uid="{00000000-0005-0000-0000-00002D050000}"/>
    <cellStyle name="Heading [Palat] 2 2 3 3 2 6 2" xfId="31872" xr:uid="{00000000-0005-0000-0000-00002D050000}"/>
    <cellStyle name="Heading [Palat] 2 2 3 3 2 6 3" xfId="50235" xr:uid="{00000000-0005-0000-0000-00002D050000}"/>
    <cellStyle name="Heading [Palat] 2 2 3 3 2 7" xfId="23397" xr:uid="{00000000-0005-0000-0000-00002D050000}"/>
    <cellStyle name="Heading [Palat] 2 2 3 3 2 7 2" xfId="41766" xr:uid="{00000000-0005-0000-0000-00002D050000}"/>
    <cellStyle name="Heading [Palat] 2 2 3 3 2 8" xfId="18478" xr:uid="{00000000-0005-0000-0000-00002D050000}"/>
    <cellStyle name="Heading [Palat] 2 2 3 3 2 9" xfId="36884" xr:uid="{00000000-0005-0000-0000-00002D050000}"/>
    <cellStyle name="Heading [Palat] 2 2 3 3 3" xfId="4488" xr:uid="{00000000-0005-0000-0000-00002D050000}"/>
    <cellStyle name="Heading [Palat] 2 2 3 3 3 2" xfId="11083" xr:uid="{00000000-0005-0000-0000-00002D050000}"/>
    <cellStyle name="Heading [Palat] 2 2 3 3 3 2 2" xfId="29703" xr:uid="{00000000-0005-0000-0000-00002D050000}"/>
    <cellStyle name="Heading [Palat] 2 2 3 3 3 2 3" xfId="48066" xr:uid="{00000000-0005-0000-0000-00002D050000}"/>
    <cellStyle name="Heading [Palat] 2 2 3 3 3 3" xfId="15222" xr:uid="{00000000-0005-0000-0000-00002D050000}"/>
    <cellStyle name="Heading [Palat] 2 2 3 3 3 3 2" xfId="33617" xr:uid="{00000000-0005-0000-0000-00002D050000}"/>
    <cellStyle name="Heading [Palat] 2 2 3 3 3 3 3" xfId="51980" xr:uid="{00000000-0005-0000-0000-00002D050000}"/>
    <cellStyle name="Heading [Palat] 2 2 3 3 3 4" xfId="24348" xr:uid="{00000000-0005-0000-0000-00002D050000}"/>
    <cellStyle name="Heading [Palat] 2 2 3 3 3 4 2" xfId="42717" xr:uid="{00000000-0005-0000-0000-00002D050000}"/>
    <cellStyle name="Heading [Palat] 2 2 3 3 3 5" xfId="20672" xr:uid="{00000000-0005-0000-0000-00002D050000}"/>
    <cellStyle name="Heading [Palat] 2 2 3 3 3 6" xfId="39064" xr:uid="{00000000-0005-0000-0000-00002D050000}"/>
    <cellStyle name="Heading [Palat] 2 2 3 3 4" xfId="4009" xr:uid="{00000000-0005-0000-0000-00002D050000}"/>
    <cellStyle name="Heading [Palat] 2 2 3 3 4 2" xfId="10713" xr:uid="{00000000-0005-0000-0000-00002D050000}"/>
    <cellStyle name="Heading [Palat] 2 2 3 3 4 2 2" xfId="29417" xr:uid="{00000000-0005-0000-0000-00002D050000}"/>
    <cellStyle name="Heading [Palat] 2 2 3 3 4 2 3" xfId="47780" xr:uid="{00000000-0005-0000-0000-00002D050000}"/>
    <cellStyle name="Heading [Palat] 2 2 3 3 4 3" xfId="14770" xr:uid="{00000000-0005-0000-0000-00002D050000}"/>
    <cellStyle name="Heading [Palat] 2 2 3 3 4 3 2" xfId="33182" xr:uid="{00000000-0005-0000-0000-00002D050000}"/>
    <cellStyle name="Heading [Palat] 2 2 3 3 4 3 3" xfId="51545" xr:uid="{00000000-0005-0000-0000-00002D050000}"/>
    <cellStyle name="Heading [Palat] 2 2 3 3 4 4" xfId="23906" xr:uid="{00000000-0005-0000-0000-00002D050000}"/>
    <cellStyle name="Heading [Palat] 2 2 3 3 4 4 2" xfId="42275" xr:uid="{00000000-0005-0000-0000-00002D050000}"/>
    <cellStyle name="Heading [Palat] 2 2 3 3 4 5" xfId="20226" xr:uid="{00000000-0005-0000-0000-00002D050000}"/>
    <cellStyle name="Heading [Palat] 2 2 3 3 4 6" xfId="38629" xr:uid="{00000000-0005-0000-0000-00002D050000}"/>
    <cellStyle name="Heading [Palat] 2 2 3 3 5" xfId="9127" xr:uid="{00000000-0005-0000-0000-00002D050000}"/>
    <cellStyle name="Heading [Palat] 2 2 3 3 5 2" xfId="6297" xr:uid="{00000000-0005-0000-0000-00002D050000}"/>
    <cellStyle name="Heading [Palat] 2 2 3 3 5 2 2" xfId="26040" xr:uid="{00000000-0005-0000-0000-00002D050000}"/>
    <cellStyle name="Heading [Palat] 2 2 3 3 5 2 3" xfId="44409" xr:uid="{00000000-0005-0000-0000-00002D050000}"/>
    <cellStyle name="Heading [Palat] 2 2 3 3 5 3" xfId="27853" xr:uid="{00000000-0005-0000-0000-00002D050000}"/>
    <cellStyle name="Heading [Palat] 2 2 3 3 5 3 2" xfId="46216" xr:uid="{00000000-0005-0000-0000-00002D050000}"/>
    <cellStyle name="Heading [Palat] 2 2 3 3 5 4" xfId="18040" xr:uid="{00000000-0005-0000-0000-00002D050000}"/>
    <cellStyle name="Heading [Palat] 2 2 3 3 5 5" xfId="36448" xr:uid="{00000000-0005-0000-0000-00002D050000}"/>
    <cellStyle name="Heading [Palat] 2 2 3 3 6" xfId="7759" xr:uid="{00000000-0005-0000-0000-00002D050000}"/>
    <cellStyle name="Heading [Palat] 2 2 3 3 6 2" xfId="27035" xr:uid="{00000000-0005-0000-0000-00002D050000}"/>
    <cellStyle name="Heading [Palat] 2 2 3 3 6 3" xfId="45400" xr:uid="{00000000-0005-0000-0000-00002D050000}"/>
    <cellStyle name="Heading [Palat] 2 2 3 3 7" xfId="7212" xr:uid="{00000000-0005-0000-0000-00002D050000}"/>
    <cellStyle name="Heading [Palat] 2 2 3 3 7 2" xfId="26755" xr:uid="{00000000-0005-0000-0000-00002D050000}"/>
    <cellStyle name="Heading [Palat] 2 2 3 3 7 3" xfId="45123" xr:uid="{00000000-0005-0000-0000-00002D050000}"/>
    <cellStyle name="Heading [Palat] 2 2 3 3 8" xfId="19331" xr:uid="{00000000-0005-0000-0000-00002D050000}"/>
    <cellStyle name="Heading [Palat] 2 2 3 3 8 2" xfId="37738" xr:uid="{00000000-0005-0000-0000-00002D050000}"/>
    <cellStyle name="Heading [Palat] 2 2 3 3 9" xfId="7653" xr:uid="{00000000-0005-0000-0000-00002D050000}"/>
    <cellStyle name="Heading [Palat] 2 2 3 4" xfId="1670" xr:uid="{00000000-0005-0000-0000-00002E050000}"/>
    <cellStyle name="Heading [Palat] 2 2 3 4 10" xfId="7262" xr:uid="{00000000-0005-0000-0000-00002E050000}"/>
    <cellStyle name="Heading [Palat] 2 2 3 4 2" xfId="3568" xr:uid="{00000000-0005-0000-0000-00002E050000}"/>
    <cellStyle name="Heading [Palat] 2 2 3 4 2 2" xfId="5741" xr:uid="{00000000-0005-0000-0000-00002E050000}"/>
    <cellStyle name="Heading [Palat] 2 2 3 4 2 2 2" xfId="12105" xr:uid="{00000000-0005-0000-0000-00002E050000}"/>
    <cellStyle name="Heading [Palat] 2 2 3 4 2 2 2 2" xfId="30552" xr:uid="{00000000-0005-0000-0000-00002E050000}"/>
    <cellStyle name="Heading [Palat] 2 2 3 4 2 2 2 3" xfId="48915" xr:uid="{00000000-0005-0000-0000-00002E050000}"/>
    <cellStyle name="Heading [Palat] 2 2 3 4 2 2 3" xfId="16431" xr:uid="{00000000-0005-0000-0000-00002E050000}"/>
    <cellStyle name="Heading [Palat] 2 2 3 4 2 2 3 2" xfId="34803" xr:uid="{00000000-0005-0000-0000-00002E050000}"/>
    <cellStyle name="Heading [Palat] 2 2 3 4 2 2 3 3" xfId="53166" xr:uid="{00000000-0005-0000-0000-00002E050000}"/>
    <cellStyle name="Heading [Palat] 2 2 3 4 2 2 4" xfId="25550" xr:uid="{00000000-0005-0000-0000-00002E050000}"/>
    <cellStyle name="Heading [Palat] 2 2 3 4 2 2 4 2" xfId="43919" xr:uid="{00000000-0005-0000-0000-00002E050000}"/>
    <cellStyle name="Heading [Palat] 2 2 3 4 2 2 5" xfId="21871" xr:uid="{00000000-0005-0000-0000-00002E050000}"/>
    <cellStyle name="Heading [Palat] 2 2 3 4 2 2 6" xfId="40250" xr:uid="{00000000-0005-0000-0000-00002E050000}"/>
    <cellStyle name="Heading [Palat] 2 2 3 4 2 3" xfId="6567" xr:uid="{00000000-0005-0000-0000-00002E050000}"/>
    <cellStyle name="Heading [Palat] 2 2 3 4 2 3 2" xfId="12858" xr:uid="{00000000-0005-0000-0000-00002E050000}"/>
    <cellStyle name="Heading [Palat] 2 2 3 4 2 3 2 2" xfId="31284" xr:uid="{00000000-0005-0000-0000-00002E050000}"/>
    <cellStyle name="Heading [Palat] 2 2 3 4 2 3 2 3" xfId="49647" xr:uid="{00000000-0005-0000-0000-00002E050000}"/>
    <cellStyle name="Heading [Palat] 2 2 3 4 2 3 3" xfId="17169" xr:uid="{00000000-0005-0000-0000-00002E050000}"/>
    <cellStyle name="Heading [Palat] 2 2 3 4 2 3 3 2" xfId="35517" xr:uid="{00000000-0005-0000-0000-00002E050000}"/>
    <cellStyle name="Heading [Palat] 2 2 3 4 2 3 3 3" xfId="53880" xr:uid="{00000000-0005-0000-0000-00002E050000}"/>
    <cellStyle name="Heading [Palat] 2 2 3 4 2 3 4" xfId="26302" xr:uid="{00000000-0005-0000-0000-00002E050000}"/>
    <cellStyle name="Heading [Palat] 2 2 3 4 2 3 4 2" xfId="44671" xr:uid="{00000000-0005-0000-0000-00002E050000}"/>
    <cellStyle name="Heading [Palat] 2 2 3 4 2 3 5" xfId="22595" xr:uid="{00000000-0005-0000-0000-00002E050000}"/>
    <cellStyle name="Heading [Palat] 2 2 3 4 2 3 6" xfId="40964" xr:uid="{00000000-0005-0000-0000-00002E050000}"/>
    <cellStyle name="Heading [Palat] 2 2 3 4 2 4" xfId="10281" xr:uid="{00000000-0005-0000-0000-00002E050000}"/>
    <cellStyle name="Heading [Palat] 2 2 3 4 2 4 2" xfId="14338" xr:uid="{00000000-0005-0000-0000-00002E050000}"/>
    <cellStyle name="Heading [Palat] 2 2 3 4 2 4 2 2" xfId="32754" xr:uid="{00000000-0005-0000-0000-00002E050000}"/>
    <cellStyle name="Heading [Palat] 2 2 3 4 2 4 2 3" xfId="51117" xr:uid="{00000000-0005-0000-0000-00002E050000}"/>
    <cellStyle name="Heading [Palat] 2 2 3 4 2 4 3" xfId="28992" xr:uid="{00000000-0005-0000-0000-00002E050000}"/>
    <cellStyle name="Heading [Palat] 2 2 3 4 2 4 3 2" xfId="47355" xr:uid="{00000000-0005-0000-0000-00002E050000}"/>
    <cellStyle name="Heading [Palat] 2 2 3 4 2 4 4" xfId="19795" xr:uid="{00000000-0005-0000-0000-00002E050000}"/>
    <cellStyle name="Heading [Palat] 2 2 3 4 2 4 5" xfId="38201" xr:uid="{00000000-0005-0000-0000-00002E050000}"/>
    <cellStyle name="Heading [Palat] 2 2 3 4 2 5" xfId="9489" xr:uid="{00000000-0005-0000-0000-00002E050000}"/>
    <cellStyle name="Heading [Palat] 2 2 3 4 2 5 2" xfId="28206" xr:uid="{00000000-0005-0000-0000-00002E050000}"/>
    <cellStyle name="Heading [Palat] 2 2 3 4 2 5 3" xfId="46569" xr:uid="{00000000-0005-0000-0000-00002E050000}"/>
    <cellStyle name="Heading [Palat] 2 2 3 4 2 6" xfId="13547" xr:uid="{00000000-0005-0000-0000-00002E050000}"/>
    <cellStyle name="Heading [Palat] 2 2 3 4 2 6 2" xfId="31968" xr:uid="{00000000-0005-0000-0000-00002E050000}"/>
    <cellStyle name="Heading [Palat] 2 2 3 4 2 6 3" xfId="50331" xr:uid="{00000000-0005-0000-0000-00002E050000}"/>
    <cellStyle name="Heading [Palat] 2 2 3 4 2 7" xfId="23476" xr:uid="{00000000-0005-0000-0000-00002E050000}"/>
    <cellStyle name="Heading [Palat] 2 2 3 4 2 7 2" xfId="41845" xr:uid="{00000000-0005-0000-0000-00002E050000}"/>
    <cellStyle name="Heading [Palat] 2 2 3 4 2 8" xfId="18587" xr:uid="{00000000-0005-0000-0000-00002E050000}"/>
    <cellStyle name="Heading [Palat] 2 2 3 4 2 9" xfId="36997" xr:uid="{00000000-0005-0000-0000-00002E050000}"/>
    <cellStyle name="Heading [Palat] 2 2 3 4 3" xfId="4610" xr:uid="{00000000-0005-0000-0000-00002E050000}"/>
    <cellStyle name="Heading [Palat] 2 2 3 4 3 2" xfId="11194" xr:uid="{00000000-0005-0000-0000-00002E050000}"/>
    <cellStyle name="Heading [Palat] 2 2 3 4 3 2 2" xfId="29806" xr:uid="{00000000-0005-0000-0000-00002E050000}"/>
    <cellStyle name="Heading [Palat] 2 2 3 4 3 2 3" xfId="48169" xr:uid="{00000000-0005-0000-0000-00002E050000}"/>
    <cellStyle name="Heading [Palat] 2 2 3 4 3 3" xfId="15336" xr:uid="{00000000-0005-0000-0000-00002E050000}"/>
    <cellStyle name="Heading [Palat] 2 2 3 4 3 3 2" xfId="33729" xr:uid="{00000000-0005-0000-0000-00002E050000}"/>
    <cellStyle name="Heading [Palat] 2 2 3 4 3 3 3" xfId="52092" xr:uid="{00000000-0005-0000-0000-00002E050000}"/>
    <cellStyle name="Heading [Palat] 2 2 3 4 3 4" xfId="24460" xr:uid="{00000000-0005-0000-0000-00002E050000}"/>
    <cellStyle name="Heading [Palat] 2 2 3 4 3 4 2" xfId="42829" xr:uid="{00000000-0005-0000-0000-00002E050000}"/>
    <cellStyle name="Heading [Palat] 2 2 3 4 3 5" xfId="20787" xr:uid="{00000000-0005-0000-0000-00002E050000}"/>
    <cellStyle name="Heading [Palat] 2 2 3 4 3 6" xfId="39176" xr:uid="{00000000-0005-0000-0000-00002E050000}"/>
    <cellStyle name="Heading [Palat] 2 2 3 4 4" xfId="4996" xr:uid="{00000000-0005-0000-0000-00002E050000}"/>
    <cellStyle name="Heading [Palat] 2 2 3 4 4 2" xfId="11524" xr:uid="{00000000-0005-0000-0000-00002E050000}"/>
    <cellStyle name="Heading [Palat] 2 2 3 4 4 2 2" xfId="30097" xr:uid="{00000000-0005-0000-0000-00002E050000}"/>
    <cellStyle name="Heading [Palat] 2 2 3 4 4 2 3" xfId="48460" xr:uid="{00000000-0005-0000-0000-00002E050000}"/>
    <cellStyle name="Heading [Palat] 2 2 3 4 4 3" xfId="15712" xr:uid="{00000000-0005-0000-0000-00002E050000}"/>
    <cellStyle name="Heading [Palat] 2 2 3 4 4 3 2" xfId="34100" xr:uid="{00000000-0005-0000-0000-00002E050000}"/>
    <cellStyle name="Heading [Palat] 2 2 3 4 4 3 3" xfId="52463" xr:uid="{00000000-0005-0000-0000-00002E050000}"/>
    <cellStyle name="Heading [Palat] 2 2 3 4 4 4" xfId="24835" xr:uid="{00000000-0005-0000-0000-00002E050000}"/>
    <cellStyle name="Heading [Palat] 2 2 3 4 4 4 2" xfId="43204" xr:uid="{00000000-0005-0000-0000-00002E050000}"/>
    <cellStyle name="Heading [Palat] 2 2 3 4 4 5" xfId="21160" xr:uid="{00000000-0005-0000-0000-00002E050000}"/>
    <cellStyle name="Heading [Palat] 2 2 3 4 4 6" xfId="39547" xr:uid="{00000000-0005-0000-0000-00002E050000}"/>
    <cellStyle name="Heading [Palat] 2 2 3 4 5" xfId="9271" xr:uid="{00000000-0005-0000-0000-00002E050000}"/>
    <cellStyle name="Heading [Palat] 2 2 3 4 5 2" xfId="13328" xr:uid="{00000000-0005-0000-0000-00002E050000}"/>
    <cellStyle name="Heading [Palat] 2 2 3 4 5 2 2" xfId="31749" xr:uid="{00000000-0005-0000-0000-00002E050000}"/>
    <cellStyle name="Heading [Palat] 2 2 3 4 5 2 3" xfId="50112" xr:uid="{00000000-0005-0000-0000-00002E050000}"/>
    <cellStyle name="Heading [Palat] 2 2 3 4 5 3" xfId="27991" xr:uid="{00000000-0005-0000-0000-00002E050000}"/>
    <cellStyle name="Heading [Palat] 2 2 3 4 5 3 2" xfId="46354" xr:uid="{00000000-0005-0000-0000-00002E050000}"/>
    <cellStyle name="Heading [Palat] 2 2 3 4 5 4" xfId="18331" xr:uid="{00000000-0005-0000-0000-00002E050000}"/>
    <cellStyle name="Heading [Palat] 2 2 3 4 5 5" xfId="36737" xr:uid="{00000000-0005-0000-0000-00002E050000}"/>
    <cellStyle name="Heading [Palat] 2 2 3 4 6" xfId="7903" xr:uid="{00000000-0005-0000-0000-00002E050000}"/>
    <cellStyle name="Heading [Palat] 2 2 3 4 6 2" xfId="27135" xr:uid="{00000000-0005-0000-0000-00002E050000}"/>
    <cellStyle name="Heading [Palat] 2 2 3 4 6 3" xfId="45500" xr:uid="{00000000-0005-0000-0000-00002E050000}"/>
    <cellStyle name="Heading [Palat] 2 2 3 4 7" xfId="8921" xr:uid="{00000000-0005-0000-0000-00002E050000}"/>
    <cellStyle name="Heading [Palat] 2 2 3 4 7 2" xfId="27694" xr:uid="{00000000-0005-0000-0000-00002E050000}"/>
    <cellStyle name="Heading [Palat] 2 2 3 4 7 3" xfId="46057" xr:uid="{00000000-0005-0000-0000-00002E050000}"/>
    <cellStyle name="Heading [Palat] 2 2 3 4 8" xfId="19040" xr:uid="{00000000-0005-0000-0000-00002E050000}"/>
    <cellStyle name="Heading [Palat] 2 2 3 4 8 2" xfId="37449" xr:uid="{00000000-0005-0000-0000-00002E050000}"/>
    <cellStyle name="Heading [Palat] 2 2 3 4 9" xfId="7053" xr:uid="{00000000-0005-0000-0000-00002E050000}"/>
    <cellStyle name="Heading [Palat] 2 2 3 5" xfId="3516" xr:uid="{00000000-0005-0000-0000-00002B050000}"/>
    <cellStyle name="Heading [Palat] 2 2 3 5 2" xfId="5690" xr:uid="{00000000-0005-0000-0000-00002B050000}"/>
    <cellStyle name="Heading [Palat] 2 2 3 5 2 2" xfId="12054" xr:uid="{00000000-0005-0000-0000-00002B050000}"/>
    <cellStyle name="Heading [Palat] 2 2 3 5 2 2 2" xfId="30501" xr:uid="{00000000-0005-0000-0000-00002B050000}"/>
    <cellStyle name="Heading [Palat] 2 2 3 5 2 2 3" xfId="48864" xr:uid="{00000000-0005-0000-0000-00002B050000}"/>
    <cellStyle name="Heading [Palat] 2 2 3 5 2 3" xfId="16380" xr:uid="{00000000-0005-0000-0000-00002B050000}"/>
    <cellStyle name="Heading [Palat] 2 2 3 5 2 3 2" xfId="34752" xr:uid="{00000000-0005-0000-0000-00002B050000}"/>
    <cellStyle name="Heading [Palat] 2 2 3 5 2 3 3" xfId="53115" xr:uid="{00000000-0005-0000-0000-00002B050000}"/>
    <cellStyle name="Heading [Palat] 2 2 3 5 2 4" xfId="25499" xr:uid="{00000000-0005-0000-0000-00002B050000}"/>
    <cellStyle name="Heading [Palat] 2 2 3 5 2 4 2" xfId="43868" xr:uid="{00000000-0005-0000-0000-00002B050000}"/>
    <cellStyle name="Heading [Palat] 2 2 3 5 2 5" xfId="21820" xr:uid="{00000000-0005-0000-0000-00002B050000}"/>
    <cellStyle name="Heading [Palat] 2 2 3 5 2 6" xfId="40199" xr:uid="{00000000-0005-0000-0000-00002B050000}"/>
    <cellStyle name="Heading [Palat] 2 2 3 5 3" xfId="6515" xr:uid="{00000000-0005-0000-0000-00002B050000}"/>
    <cellStyle name="Heading [Palat] 2 2 3 5 3 2" xfId="12806" xr:uid="{00000000-0005-0000-0000-00002B050000}"/>
    <cellStyle name="Heading [Palat] 2 2 3 5 3 2 2" xfId="31232" xr:uid="{00000000-0005-0000-0000-00002B050000}"/>
    <cellStyle name="Heading [Palat] 2 2 3 5 3 2 3" xfId="49595" xr:uid="{00000000-0005-0000-0000-00002B050000}"/>
    <cellStyle name="Heading [Palat] 2 2 3 5 3 3" xfId="17117" xr:uid="{00000000-0005-0000-0000-00002B050000}"/>
    <cellStyle name="Heading [Palat] 2 2 3 5 3 3 2" xfId="35465" xr:uid="{00000000-0005-0000-0000-00002B050000}"/>
    <cellStyle name="Heading [Palat] 2 2 3 5 3 3 3" xfId="53828" xr:uid="{00000000-0005-0000-0000-00002B050000}"/>
    <cellStyle name="Heading [Palat] 2 2 3 5 3 4" xfId="26250" xr:uid="{00000000-0005-0000-0000-00002B050000}"/>
    <cellStyle name="Heading [Palat] 2 2 3 5 3 4 2" xfId="44619" xr:uid="{00000000-0005-0000-0000-00002B050000}"/>
    <cellStyle name="Heading [Palat] 2 2 3 5 3 5" xfId="22543" xr:uid="{00000000-0005-0000-0000-00002B050000}"/>
    <cellStyle name="Heading [Palat] 2 2 3 5 3 6" xfId="40912" xr:uid="{00000000-0005-0000-0000-00002B050000}"/>
    <cellStyle name="Heading [Palat] 2 2 3 5 4" xfId="10229" xr:uid="{00000000-0005-0000-0000-00002B050000}"/>
    <cellStyle name="Heading [Palat] 2 2 3 5 4 2" xfId="14286" xr:uid="{00000000-0005-0000-0000-00002B050000}"/>
    <cellStyle name="Heading [Palat] 2 2 3 5 4 2 2" xfId="32702" xr:uid="{00000000-0005-0000-0000-00002B050000}"/>
    <cellStyle name="Heading [Palat] 2 2 3 5 4 2 3" xfId="51065" xr:uid="{00000000-0005-0000-0000-00002B050000}"/>
    <cellStyle name="Heading [Palat] 2 2 3 5 4 3" xfId="28940" xr:uid="{00000000-0005-0000-0000-00002B050000}"/>
    <cellStyle name="Heading [Palat] 2 2 3 5 4 3 2" xfId="47303" xr:uid="{00000000-0005-0000-0000-00002B050000}"/>
    <cellStyle name="Heading [Palat] 2 2 3 5 4 4" xfId="19743" xr:uid="{00000000-0005-0000-0000-00002B050000}"/>
    <cellStyle name="Heading [Palat] 2 2 3 5 4 5" xfId="38149" xr:uid="{00000000-0005-0000-0000-00002B050000}"/>
    <cellStyle name="Heading [Palat] 2 2 3 5 5" xfId="9424" xr:uid="{00000000-0005-0000-0000-00002B050000}"/>
    <cellStyle name="Heading [Palat] 2 2 3 5 5 2" xfId="28141" xr:uid="{00000000-0005-0000-0000-00002B050000}"/>
    <cellStyle name="Heading [Palat] 2 2 3 5 5 3" xfId="46504" xr:uid="{00000000-0005-0000-0000-00002B050000}"/>
    <cellStyle name="Heading [Palat] 2 2 3 5 6" xfId="13481" xr:uid="{00000000-0005-0000-0000-00002B050000}"/>
    <cellStyle name="Heading [Palat] 2 2 3 5 6 2" xfId="31902" xr:uid="{00000000-0005-0000-0000-00002B050000}"/>
    <cellStyle name="Heading [Palat] 2 2 3 5 6 3" xfId="50265" xr:uid="{00000000-0005-0000-0000-00002B050000}"/>
    <cellStyle name="Heading [Palat] 2 2 3 5 7" xfId="23424" xr:uid="{00000000-0005-0000-0000-00002B050000}"/>
    <cellStyle name="Heading [Palat] 2 2 3 5 7 2" xfId="41793" xr:uid="{00000000-0005-0000-0000-00002B050000}"/>
    <cellStyle name="Heading [Palat] 2 2 3 5 8" xfId="18509" xr:uid="{00000000-0005-0000-0000-00002B050000}"/>
    <cellStyle name="Heading [Palat] 2 2 3 5 9" xfId="36918" xr:uid="{00000000-0005-0000-0000-00002B050000}"/>
    <cellStyle name="Heading [Palat] 2 2 3 6" xfId="4520" xr:uid="{00000000-0005-0000-0000-00002B050000}"/>
    <cellStyle name="Heading [Palat] 2 2 3 6 2" xfId="11111" xr:uid="{00000000-0005-0000-0000-00002B050000}"/>
    <cellStyle name="Heading [Palat] 2 2 3 6 2 2" xfId="29729" xr:uid="{00000000-0005-0000-0000-00002B050000}"/>
    <cellStyle name="Heading [Palat] 2 2 3 6 2 3" xfId="48092" xr:uid="{00000000-0005-0000-0000-00002B050000}"/>
    <cellStyle name="Heading [Palat] 2 2 3 6 3" xfId="15249" xr:uid="{00000000-0005-0000-0000-00002B050000}"/>
    <cellStyle name="Heading [Palat] 2 2 3 6 3 2" xfId="33643" xr:uid="{00000000-0005-0000-0000-00002B050000}"/>
    <cellStyle name="Heading [Palat] 2 2 3 6 3 3" xfId="52006" xr:uid="{00000000-0005-0000-0000-00002B050000}"/>
    <cellStyle name="Heading [Palat] 2 2 3 6 4" xfId="24374" xr:uid="{00000000-0005-0000-0000-00002B050000}"/>
    <cellStyle name="Heading [Palat] 2 2 3 6 4 2" xfId="42743" xr:uid="{00000000-0005-0000-0000-00002B050000}"/>
    <cellStyle name="Heading [Palat] 2 2 3 6 5" xfId="20698" xr:uid="{00000000-0005-0000-0000-00002B050000}"/>
    <cellStyle name="Heading [Palat] 2 2 3 6 6" xfId="39090" xr:uid="{00000000-0005-0000-0000-00002B050000}"/>
    <cellStyle name="Heading [Palat] 2 2 3 7" xfId="3991" xr:uid="{00000000-0005-0000-0000-00002B050000}"/>
    <cellStyle name="Heading [Palat] 2 2 3 7 2" xfId="10696" xr:uid="{00000000-0005-0000-0000-00002B050000}"/>
    <cellStyle name="Heading [Palat] 2 2 3 7 2 2" xfId="29401" xr:uid="{00000000-0005-0000-0000-00002B050000}"/>
    <cellStyle name="Heading [Palat] 2 2 3 7 2 3" xfId="47764" xr:uid="{00000000-0005-0000-0000-00002B050000}"/>
    <cellStyle name="Heading [Palat] 2 2 3 7 3" xfId="14752" xr:uid="{00000000-0005-0000-0000-00002B050000}"/>
    <cellStyle name="Heading [Palat] 2 2 3 7 3 2" xfId="33164" xr:uid="{00000000-0005-0000-0000-00002B050000}"/>
    <cellStyle name="Heading [Palat] 2 2 3 7 3 3" xfId="51527" xr:uid="{00000000-0005-0000-0000-00002B050000}"/>
    <cellStyle name="Heading [Palat] 2 2 3 7 4" xfId="23888" xr:uid="{00000000-0005-0000-0000-00002B050000}"/>
    <cellStyle name="Heading [Palat] 2 2 3 7 4 2" xfId="42257" xr:uid="{00000000-0005-0000-0000-00002B050000}"/>
    <cellStyle name="Heading [Palat] 2 2 3 7 5" xfId="20208" xr:uid="{00000000-0005-0000-0000-00002B050000}"/>
    <cellStyle name="Heading [Palat] 2 2 3 7 6" xfId="38611" xr:uid="{00000000-0005-0000-0000-00002B050000}"/>
    <cellStyle name="Heading [Palat] 2 2 3 8" xfId="9822" xr:uid="{00000000-0005-0000-0000-00002B050000}"/>
    <cellStyle name="Heading [Palat] 2 2 3 8 2" xfId="13879" xr:uid="{00000000-0005-0000-0000-00002B050000}"/>
    <cellStyle name="Heading [Palat] 2 2 3 8 2 2" xfId="32299" xr:uid="{00000000-0005-0000-0000-00002B050000}"/>
    <cellStyle name="Heading [Palat] 2 2 3 8 2 3" xfId="50662" xr:uid="{00000000-0005-0000-0000-00002B050000}"/>
    <cellStyle name="Heading [Palat] 2 2 3 8 3" xfId="28537" xr:uid="{00000000-0005-0000-0000-00002B050000}"/>
    <cellStyle name="Heading [Palat] 2 2 3 8 3 2" xfId="46900" xr:uid="{00000000-0005-0000-0000-00002B050000}"/>
    <cellStyle name="Heading [Palat] 2 2 3 8 4" xfId="19042" xr:uid="{00000000-0005-0000-0000-00002B050000}"/>
    <cellStyle name="Heading [Palat] 2 2 3 8 5" xfId="37451" xr:uid="{00000000-0005-0000-0000-00002B050000}"/>
    <cellStyle name="Heading [Palat] 2 2 3 9" xfId="7789" xr:uid="{00000000-0005-0000-0000-00002B050000}"/>
    <cellStyle name="Heading [Palat] 2 2 3 9 2" xfId="27060" xr:uid="{00000000-0005-0000-0000-00002B050000}"/>
    <cellStyle name="Heading [Palat] 2 2 3 9 3" xfId="45425" xr:uid="{00000000-0005-0000-0000-00002B050000}"/>
    <cellStyle name="Heading [Palat] 2 2 4" xfId="1397" xr:uid="{00000000-0005-0000-0000-00002F050000}"/>
    <cellStyle name="Heading [Palat] 2 2 4 10" xfId="17679" xr:uid="{00000000-0005-0000-0000-00002F050000}"/>
    <cellStyle name="Heading [Palat] 2 2 4 2" xfId="3430" xr:uid="{00000000-0005-0000-0000-00002F050000}"/>
    <cellStyle name="Heading [Palat] 2 2 4 2 2" xfId="5605" xr:uid="{00000000-0005-0000-0000-00002F050000}"/>
    <cellStyle name="Heading [Palat] 2 2 4 2 2 2" xfId="11969" xr:uid="{00000000-0005-0000-0000-00002F050000}"/>
    <cellStyle name="Heading [Palat] 2 2 4 2 2 2 2" xfId="30416" xr:uid="{00000000-0005-0000-0000-00002F050000}"/>
    <cellStyle name="Heading [Palat] 2 2 4 2 2 2 3" xfId="48779" xr:uid="{00000000-0005-0000-0000-00002F050000}"/>
    <cellStyle name="Heading [Palat] 2 2 4 2 2 3" xfId="16295" xr:uid="{00000000-0005-0000-0000-00002F050000}"/>
    <cellStyle name="Heading [Palat] 2 2 4 2 2 3 2" xfId="34667" xr:uid="{00000000-0005-0000-0000-00002F050000}"/>
    <cellStyle name="Heading [Palat] 2 2 4 2 2 3 3" xfId="53030" xr:uid="{00000000-0005-0000-0000-00002F050000}"/>
    <cellStyle name="Heading [Palat] 2 2 4 2 2 4" xfId="25414" xr:uid="{00000000-0005-0000-0000-00002F050000}"/>
    <cellStyle name="Heading [Palat] 2 2 4 2 2 4 2" xfId="43783" xr:uid="{00000000-0005-0000-0000-00002F050000}"/>
    <cellStyle name="Heading [Palat] 2 2 4 2 2 5" xfId="21735" xr:uid="{00000000-0005-0000-0000-00002F050000}"/>
    <cellStyle name="Heading [Palat] 2 2 4 2 2 6" xfId="40114" xr:uid="{00000000-0005-0000-0000-00002F050000}"/>
    <cellStyle name="Heading [Palat] 2 2 4 2 3" xfId="6429" xr:uid="{00000000-0005-0000-0000-00002F050000}"/>
    <cellStyle name="Heading [Palat] 2 2 4 2 3 2" xfId="12720" xr:uid="{00000000-0005-0000-0000-00002F050000}"/>
    <cellStyle name="Heading [Palat] 2 2 4 2 3 2 2" xfId="31146" xr:uid="{00000000-0005-0000-0000-00002F050000}"/>
    <cellStyle name="Heading [Palat] 2 2 4 2 3 2 3" xfId="49509" xr:uid="{00000000-0005-0000-0000-00002F050000}"/>
    <cellStyle name="Heading [Palat] 2 2 4 2 3 3" xfId="17031" xr:uid="{00000000-0005-0000-0000-00002F050000}"/>
    <cellStyle name="Heading [Palat] 2 2 4 2 3 3 2" xfId="35379" xr:uid="{00000000-0005-0000-0000-00002F050000}"/>
    <cellStyle name="Heading [Palat] 2 2 4 2 3 3 3" xfId="53742" xr:uid="{00000000-0005-0000-0000-00002F050000}"/>
    <cellStyle name="Heading [Palat] 2 2 4 2 3 4" xfId="26164" xr:uid="{00000000-0005-0000-0000-00002F050000}"/>
    <cellStyle name="Heading [Palat] 2 2 4 2 3 4 2" xfId="44533" xr:uid="{00000000-0005-0000-0000-00002F050000}"/>
    <cellStyle name="Heading [Palat] 2 2 4 2 3 5" xfId="22457" xr:uid="{00000000-0005-0000-0000-00002F050000}"/>
    <cellStyle name="Heading [Palat] 2 2 4 2 3 6" xfId="40826" xr:uid="{00000000-0005-0000-0000-00002F050000}"/>
    <cellStyle name="Heading [Palat] 2 2 4 2 4" xfId="10143" xr:uid="{00000000-0005-0000-0000-00002F050000}"/>
    <cellStyle name="Heading [Palat] 2 2 4 2 4 2" xfId="14200" xr:uid="{00000000-0005-0000-0000-00002F050000}"/>
    <cellStyle name="Heading [Palat] 2 2 4 2 4 2 2" xfId="32616" xr:uid="{00000000-0005-0000-0000-00002F050000}"/>
    <cellStyle name="Heading [Palat] 2 2 4 2 4 2 3" xfId="50979" xr:uid="{00000000-0005-0000-0000-00002F050000}"/>
    <cellStyle name="Heading [Palat] 2 2 4 2 4 3" xfId="28854" xr:uid="{00000000-0005-0000-0000-00002F050000}"/>
    <cellStyle name="Heading [Palat] 2 2 4 2 4 3 2" xfId="47217" xr:uid="{00000000-0005-0000-0000-00002F050000}"/>
    <cellStyle name="Heading [Palat] 2 2 4 2 4 4" xfId="19657" xr:uid="{00000000-0005-0000-0000-00002F050000}"/>
    <cellStyle name="Heading [Palat] 2 2 4 2 4 5" xfId="38063" xr:uid="{00000000-0005-0000-0000-00002F050000}"/>
    <cellStyle name="Heading [Palat] 2 2 4 2 5" xfId="9330" xr:uid="{00000000-0005-0000-0000-00002F050000}"/>
    <cellStyle name="Heading [Palat] 2 2 4 2 5 2" xfId="28049" xr:uid="{00000000-0005-0000-0000-00002F050000}"/>
    <cellStyle name="Heading [Palat] 2 2 4 2 5 3" xfId="46412" xr:uid="{00000000-0005-0000-0000-00002F050000}"/>
    <cellStyle name="Heading [Palat] 2 2 4 2 6" xfId="13386" xr:uid="{00000000-0005-0000-0000-00002F050000}"/>
    <cellStyle name="Heading [Palat] 2 2 4 2 6 2" xfId="31807" xr:uid="{00000000-0005-0000-0000-00002F050000}"/>
    <cellStyle name="Heading [Palat] 2 2 4 2 6 3" xfId="50170" xr:uid="{00000000-0005-0000-0000-00002F050000}"/>
    <cellStyle name="Heading [Palat] 2 2 4 2 7" xfId="23338" xr:uid="{00000000-0005-0000-0000-00002F050000}"/>
    <cellStyle name="Heading [Palat] 2 2 4 2 7 2" xfId="41707" xr:uid="{00000000-0005-0000-0000-00002F050000}"/>
    <cellStyle name="Heading [Palat] 2 2 4 2 8" xfId="18409" xr:uid="{00000000-0005-0000-0000-00002F050000}"/>
    <cellStyle name="Heading [Palat] 2 2 4 2 9" xfId="36815" xr:uid="{00000000-0005-0000-0000-00002F050000}"/>
    <cellStyle name="Heading [Palat] 2 2 4 3" xfId="4423" xr:uid="{00000000-0005-0000-0000-00002F050000}"/>
    <cellStyle name="Heading [Palat] 2 2 4 3 2" xfId="11022" xr:uid="{00000000-0005-0000-0000-00002F050000}"/>
    <cellStyle name="Heading [Palat] 2 2 4 3 2 2" xfId="29642" xr:uid="{00000000-0005-0000-0000-00002F050000}"/>
    <cellStyle name="Heading [Palat] 2 2 4 3 2 3" xfId="48005" xr:uid="{00000000-0005-0000-0000-00002F050000}"/>
    <cellStyle name="Heading [Palat] 2 2 4 3 3" xfId="15157" xr:uid="{00000000-0005-0000-0000-00002F050000}"/>
    <cellStyle name="Heading [Palat] 2 2 4 3 3 2" xfId="33554" xr:uid="{00000000-0005-0000-0000-00002F050000}"/>
    <cellStyle name="Heading [Palat] 2 2 4 3 3 3" xfId="51917" xr:uid="{00000000-0005-0000-0000-00002F050000}"/>
    <cellStyle name="Heading [Palat] 2 2 4 3 4" xfId="24285" xr:uid="{00000000-0005-0000-0000-00002F050000}"/>
    <cellStyle name="Heading [Palat] 2 2 4 3 4 2" xfId="42654" xr:uid="{00000000-0005-0000-0000-00002F050000}"/>
    <cellStyle name="Heading [Palat] 2 2 4 3 5" xfId="20608" xr:uid="{00000000-0005-0000-0000-00002F050000}"/>
    <cellStyle name="Heading [Palat] 2 2 4 3 6" xfId="39001" xr:uid="{00000000-0005-0000-0000-00002F050000}"/>
    <cellStyle name="Heading [Palat] 2 2 4 4" xfId="5057" xr:uid="{00000000-0005-0000-0000-00002F050000}"/>
    <cellStyle name="Heading [Palat] 2 2 4 4 2" xfId="11579" xr:uid="{00000000-0005-0000-0000-00002F050000}"/>
    <cellStyle name="Heading [Palat] 2 2 4 4 2 2" xfId="30147" xr:uid="{00000000-0005-0000-0000-00002F050000}"/>
    <cellStyle name="Heading [Palat] 2 2 4 4 2 3" xfId="48510" xr:uid="{00000000-0005-0000-0000-00002F050000}"/>
    <cellStyle name="Heading [Palat] 2 2 4 4 3" xfId="15770" xr:uid="{00000000-0005-0000-0000-00002F050000}"/>
    <cellStyle name="Heading [Palat] 2 2 4 4 3 2" xfId="34157" xr:uid="{00000000-0005-0000-0000-00002F050000}"/>
    <cellStyle name="Heading [Palat] 2 2 4 4 3 3" xfId="52520" xr:uid="{00000000-0005-0000-0000-00002F050000}"/>
    <cellStyle name="Heading [Palat] 2 2 4 4 4" xfId="24893" xr:uid="{00000000-0005-0000-0000-00002F050000}"/>
    <cellStyle name="Heading [Palat] 2 2 4 4 4 2" xfId="43262" xr:uid="{00000000-0005-0000-0000-00002F050000}"/>
    <cellStyle name="Heading [Palat] 2 2 4 4 5" xfId="21218" xr:uid="{00000000-0005-0000-0000-00002F050000}"/>
    <cellStyle name="Heading [Palat] 2 2 4 4 6" xfId="39604" xr:uid="{00000000-0005-0000-0000-00002F050000}"/>
    <cellStyle name="Heading [Palat] 2 2 4 5" xfId="9247" xr:uid="{00000000-0005-0000-0000-00002F050000}"/>
    <cellStyle name="Heading [Palat] 2 2 4 5 2" xfId="13304" xr:uid="{00000000-0005-0000-0000-00002F050000}"/>
    <cellStyle name="Heading [Palat] 2 2 4 5 2 2" xfId="31725" xr:uid="{00000000-0005-0000-0000-00002F050000}"/>
    <cellStyle name="Heading [Palat] 2 2 4 5 2 3" xfId="50088" xr:uid="{00000000-0005-0000-0000-00002F050000}"/>
    <cellStyle name="Heading [Palat] 2 2 4 5 3" xfId="27967" xr:uid="{00000000-0005-0000-0000-00002F050000}"/>
    <cellStyle name="Heading [Palat] 2 2 4 5 3 2" xfId="46330" xr:uid="{00000000-0005-0000-0000-00002F050000}"/>
    <cellStyle name="Heading [Palat] 2 2 4 5 4" xfId="18299" xr:uid="{00000000-0005-0000-0000-00002F050000}"/>
    <cellStyle name="Heading [Palat] 2 2 4 5 5" xfId="36705" xr:uid="{00000000-0005-0000-0000-00002F050000}"/>
    <cellStyle name="Heading [Palat] 2 2 4 6" xfId="7689" xr:uid="{00000000-0005-0000-0000-00002F050000}"/>
    <cellStyle name="Heading [Palat] 2 2 4 6 2" xfId="26971" xr:uid="{00000000-0005-0000-0000-00002F050000}"/>
    <cellStyle name="Heading [Palat] 2 2 4 6 3" xfId="45336" xr:uid="{00000000-0005-0000-0000-00002F050000}"/>
    <cellStyle name="Heading [Palat] 2 2 4 7" xfId="8047" xr:uid="{00000000-0005-0000-0000-00002F050000}"/>
    <cellStyle name="Heading [Palat] 2 2 4 7 2" xfId="27271" xr:uid="{00000000-0005-0000-0000-00002F050000}"/>
    <cellStyle name="Heading [Palat] 2 2 4 7 3" xfId="45636" xr:uid="{00000000-0005-0000-0000-00002F050000}"/>
    <cellStyle name="Heading [Palat] 2 2 4 8" xfId="19435" xr:uid="{00000000-0005-0000-0000-00002F050000}"/>
    <cellStyle name="Heading [Palat] 2 2 4 8 2" xfId="37841" xr:uid="{00000000-0005-0000-0000-00002F050000}"/>
    <cellStyle name="Heading [Palat] 2 2 4 9" xfId="7397" xr:uid="{00000000-0005-0000-0000-00002F050000}"/>
    <cellStyle name="Heading [Palat] 2 2 5" xfId="3375" xr:uid="{00000000-0005-0000-0000-000026050000}"/>
    <cellStyle name="Heading [Palat] 2 2 5 2" xfId="5550" xr:uid="{00000000-0005-0000-0000-000026050000}"/>
    <cellStyle name="Heading [Palat] 2 2 5 2 2" xfId="11914" xr:uid="{00000000-0005-0000-0000-000026050000}"/>
    <cellStyle name="Heading [Palat] 2 2 5 2 2 2" xfId="30361" xr:uid="{00000000-0005-0000-0000-000026050000}"/>
    <cellStyle name="Heading [Palat] 2 2 5 2 2 3" xfId="48724" xr:uid="{00000000-0005-0000-0000-000026050000}"/>
    <cellStyle name="Heading [Palat] 2 2 5 2 3" xfId="16240" xr:uid="{00000000-0005-0000-0000-000026050000}"/>
    <cellStyle name="Heading [Palat] 2 2 5 2 3 2" xfId="34612" xr:uid="{00000000-0005-0000-0000-000026050000}"/>
    <cellStyle name="Heading [Palat] 2 2 5 2 3 3" xfId="52975" xr:uid="{00000000-0005-0000-0000-000026050000}"/>
    <cellStyle name="Heading [Palat] 2 2 5 2 4" xfId="25359" xr:uid="{00000000-0005-0000-0000-000026050000}"/>
    <cellStyle name="Heading [Palat] 2 2 5 2 4 2" xfId="43728" xr:uid="{00000000-0005-0000-0000-000026050000}"/>
    <cellStyle name="Heading [Palat] 2 2 5 2 5" xfId="21680" xr:uid="{00000000-0005-0000-0000-000026050000}"/>
    <cellStyle name="Heading [Palat] 2 2 5 2 6" xfId="40059" xr:uid="{00000000-0005-0000-0000-000026050000}"/>
    <cellStyle name="Heading [Palat] 2 2 5 3" xfId="6374" xr:uid="{00000000-0005-0000-0000-000026050000}"/>
    <cellStyle name="Heading [Palat] 2 2 5 3 2" xfId="12665" xr:uid="{00000000-0005-0000-0000-000026050000}"/>
    <cellStyle name="Heading [Palat] 2 2 5 3 2 2" xfId="31091" xr:uid="{00000000-0005-0000-0000-000026050000}"/>
    <cellStyle name="Heading [Palat] 2 2 5 3 2 3" xfId="49454" xr:uid="{00000000-0005-0000-0000-000026050000}"/>
    <cellStyle name="Heading [Palat] 2 2 5 3 3" xfId="16976" xr:uid="{00000000-0005-0000-0000-000026050000}"/>
    <cellStyle name="Heading [Palat] 2 2 5 3 3 2" xfId="35324" xr:uid="{00000000-0005-0000-0000-000026050000}"/>
    <cellStyle name="Heading [Palat] 2 2 5 3 3 3" xfId="53687" xr:uid="{00000000-0005-0000-0000-000026050000}"/>
    <cellStyle name="Heading [Palat] 2 2 5 3 4" xfId="26109" xr:uid="{00000000-0005-0000-0000-000026050000}"/>
    <cellStyle name="Heading [Palat] 2 2 5 3 4 2" xfId="44478" xr:uid="{00000000-0005-0000-0000-000026050000}"/>
    <cellStyle name="Heading [Palat] 2 2 5 3 5" xfId="22402" xr:uid="{00000000-0005-0000-0000-000026050000}"/>
    <cellStyle name="Heading [Palat] 2 2 5 3 6" xfId="40771" xr:uid="{00000000-0005-0000-0000-000026050000}"/>
    <cellStyle name="Heading [Palat] 2 2 5 4" xfId="10088" xr:uid="{00000000-0005-0000-0000-000026050000}"/>
    <cellStyle name="Heading [Palat] 2 2 5 4 2" xfId="14145" xr:uid="{00000000-0005-0000-0000-000026050000}"/>
    <cellStyle name="Heading [Palat] 2 2 5 4 2 2" xfId="32561" xr:uid="{00000000-0005-0000-0000-000026050000}"/>
    <cellStyle name="Heading [Palat] 2 2 5 4 2 3" xfId="50924" xr:uid="{00000000-0005-0000-0000-000026050000}"/>
    <cellStyle name="Heading [Palat] 2 2 5 4 3" xfId="28799" xr:uid="{00000000-0005-0000-0000-000026050000}"/>
    <cellStyle name="Heading [Palat] 2 2 5 4 3 2" xfId="47162" xr:uid="{00000000-0005-0000-0000-000026050000}"/>
    <cellStyle name="Heading [Palat] 2 2 5 4 4" xfId="19602" xr:uid="{00000000-0005-0000-0000-000026050000}"/>
    <cellStyle name="Heading [Palat] 2 2 5 4 5" xfId="38008" xr:uid="{00000000-0005-0000-0000-000026050000}"/>
    <cellStyle name="Heading [Palat] 2 2 5 5" xfId="9240" xr:uid="{00000000-0005-0000-0000-000026050000}"/>
    <cellStyle name="Heading [Palat] 2 2 5 5 2" xfId="27960" xr:uid="{00000000-0005-0000-0000-000026050000}"/>
    <cellStyle name="Heading [Palat] 2 2 5 5 3" xfId="46323" xr:uid="{00000000-0005-0000-0000-000026050000}"/>
    <cellStyle name="Heading [Palat] 2 2 5 6" xfId="13297" xr:uid="{00000000-0005-0000-0000-000026050000}"/>
    <cellStyle name="Heading [Palat] 2 2 5 6 2" xfId="31718" xr:uid="{00000000-0005-0000-0000-000026050000}"/>
    <cellStyle name="Heading [Palat] 2 2 5 6 3" xfId="50081" xr:uid="{00000000-0005-0000-0000-000026050000}"/>
    <cellStyle name="Heading [Palat] 2 2 5 7" xfId="23283" xr:uid="{00000000-0005-0000-0000-000026050000}"/>
    <cellStyle name="Heading [Palat] 2 2 5 7 2" xfId="41652" xr:uid="{00000000-0005-0000-0000-000026050000}"/>
    <cellStyle name="Heading [Palat] 2 2 5 8" xfId="18292" xr:uid="{00000000-0005-0000-0000-000026050000}"/>
    <cellStyle name="Heading [Palat] 2 2 5 9" xfId="36698" xr:uid="{00000000-0005-0000-0000-000026050000}"/>
    <cellStyle name="Heading [Palat] 2 2 6" xfId="4325" xr:uid="{00000000-0005-0000-0000-000026050000}"/>
    <cellStyle name="Heading [Palat] 2 2 6 2" xfId="10933" xr:uid="{00000000-0005-0000-0000-000026050000}"/>
    <cellStyle name="Heading [Palat] 2 2 6 2 2" xfId="29563" xr:uid="{00000000-0005-0000-0000-000026050000}"/>
    <cellStyle name="Heading [Palat] 2 2 6 2 3" xfId="47926" xr:uid="{00000000-0005-0000-0000-000026050000}"/>
    <cellStyle name="Heading [Palat] 2 2 6 3" xfId="15069" xr:uid="{00000000-0005-0000-0000-000026050000}"/>
    <cellStyle name="Heading [Palat] 2 2 6 3 2" xfId="33471" xr:uid="{00000000-0005-0000-0000-000026050000}"/>
    <cellStyle name="Heading [Palat] 2 2 6 3 3" xfId="51834" xr:uid="{00000000-0005-0000-0000-000026050000}"/>
    <cellStyle name="Heading [Palat] 2 2 6 4" xfId="24200" xr:uid="{00000000-0005-0000-0000-000026050000}"/>
    <cellStyle name="Heading [Palat] 2 2 6 4 2" xfId="42569" xr:uid="{00000000-0005-0000-0000-000026050000}"/>
    <cellStyle name="Heading [Palat] 2 2 6 5" xfId="20521" xr:uid="{00000000-0005-0000-0000-000026050000}"/>
    <cellStyle name="Heading [Palat] 2 2 6 6" xfId="38918" xr:uid="{00000000-0005-0000-0000-000026050000}"/>
    <cellStyle name="Heading [Palat] 2 2 7" xfId="4906" xr:uid="{00000000-0005-0000-0000-000026050000}"/>
    <cellStyle name="Heading [Palat] 2 2 7 2" xfId="11461" xr:uid="{00000000-0005-0000-0000-000026050000}"/>
    <cellStyle name="Heading [Palat] 2 2 7 2 2" xfId="30049" xr:uid="{00000000-0005-0000-0000-000026050000}"/>
    <cellStyle name="Heading [Palat] 2 2 7 2 3" xfId="48412" xr:uid="{00000000-0005-0000-0000-000026050000}"/>
    <cellStyle name="Heading [Palat] 2 2 7 3" xfId="15632" xr:uid="{00000000-0005-0000-0000-000026050000}"/>
    <cellStyle name="Heading [Palat] 2 2 7 3 2" xfId="34023" xr:uid="{00000000-0005-0000-0000-000026050000}"/>
    <cellStyle name="Heading [Palat] 2 2 7 3 3" xfId="52386" xr:uid="{00000000-0005-0000-0000-000026050000}"/>
    <cellStyle name="Heading [Palat] 2 2 7 4" xfId="24754" xr:uid="{00000000-0005-0000-0000-000026050000}"/>
    <cellStyle name="Heading [Palat] 2 2 7 4 2" xfId="43123" xr:uid="{00000000-0005-0000-0000-000026050000}"/>
    <cellStyle name="Heading [Palat] 2 2 7 5" xfId="21081" xr:uid="{00000000-0005-0000-0000-000026050000}"/>
    <cellStyle name="Heading [Palat] 2 2 7 6" xfId="39470" xr:uid="{00000000-0005-0000-0000-000026050000}"/>
    <cellStyle name="Heading [Palat] 2 2 8" xfId="7577" xr:uid="{00000000-0005-0000-0000-000026050000}"/>
    <cellStyle name="Heading [Palat] 2 2 8 2" xfId="26885" xr:uid="{00000000-0005-0000-0000-000026050000}"/>
    <cellStyle name="Heading [Palat] 2 2 8 3" xfId="45250" xr:uid="{00000000-0005-0000-0000-000026050000}"/>
    <cellStyle name="Heading [Palat] 2 2 9" xfId="11711" xr:uid="{00000000-0005-0000-0000-000026050000}"/>
    <cellStyle name="Heading [Palat] 2 2 9 2" xfId="30224" xr:uid="{00000000-0005-0000-0000-000026050000}"/>
    <cellStyle name="Heading [Palat] 2 2 9 3" xfId="48587" xr:uid="{00000000-0005-0000-0000-000026050000}"/>
    <cellStyle name="Heading [Palat] 2 3" xfId="1442" xr:uid="{00000000-0005-0000-0000-000030050000}"/>
    <cellStyle name="Heading [Palat] 2 3 10" xfId="11485" xr:uid="{00000000-0005-0000-0000-000030050000}"/>
    <cellStyle name="Heading [Palat] 2 3 2" xfId="3462" xr:uid="{00000000-0005-0000-0000-000030050000}"/>
    <cellStyle name="Heading [Palat] 2 3 2 2" xfId="5637" xr:uid="{00000000-0005-0000-0000-000030050000}"/>
    <cellStyle name="Heading [Palat] 2 3 2 2 2" xfId="12001" xr:uid="{00000000-0005-0000-0000-000030050000}"/>
    <cellStyle name="Heading [Palat] 2 3 2 2 2 2" xfId="30448" xr:uid="{00000000-0005-0000-0000-000030050000}"/>
    <cellStyle name="Heading [Palat] 2 3 2 2 2 3" xfId="48811" xr:uid="{00000000-0005-0000-0000-000030050000}"/>
    <cellStyle name="Heading [Palat] 2 3 2 2 3" xfId="16327" xr:uid="{00000000-0005-0000-0000-000030050000}"/>
    <cellStyle name="Heading [Palat] 2 3 2 2 3 2" xfId="34699" xr:uid="{00000000-0005-0000-0000-000030050000}"/>
    <cellStyle name="Heading [Palat] 2 3 2 2 3 3" xfId="53062" xr:uid="{00000000-0005-0000-0000-000030050000}"/>
    <cellStyle name="Heading [Palat] 2 3 2 2 4" xfId="25446" xr:uid="{00000000-0005-0000-0000-000030050000}"/>
    <cellStyle name="Heading [Palat] 2 3 2 2 4 2" xfId="43815" xr:uid="{00000000-0005-0000-0000-000030050000}"/>
    <cellStyle name="Heading [Palat] 2 3 2 2 5" xfId="21767" xr:uid="{00000000-0005-0000-0000-000030050000}"/>
    <cellStyle name="Heading [Palat] 2 3 2 2 6" xfId="40146" xr:uid="{00000000-0005-0000-0000-000030050000}"/>
    <cellStyle name="Heading [Palat] 2 3 2 3" xfId="6461" xr:uid="{00000000-0005-0000-0000-000030050000}"/>
    <cellStyle name="Heading [Palat] 2 3 2 3 2" xfId="12752" xr:uid="{00000000-0005-0000-0000-000030050000}"/>
    <cellStyle name="Heading [Palat] 2 3 2 3 2 2" xfId="31178" xr:uid="{00000000-0005-0000-0000-000030050000}"/>
    <cellStyle name="Heading [Palat] 2 3 2 3 2 3" xfId="49541" xr:uid="{00000000-0005-0000-0000-000030050000}"/>
    <cellStyle name="Heading [Palat] 2 3 2 3 3" xfId="17063" xr:uid="{00000000-0005-0000-0000-000030050000}"/>
    <cellStyle name="Heading [Palat] 2 3 2 3 3 2" xfId="35411" xr:uid="{00000000-0005-0000-0000-000030050000}"/>
    <cellStyle name="Heading [Palat] 2 3 2 3 3 3" xfId="53774" xr:uid="{00000000-0005-0000-0000-000030050000}"/>
    <cellStyle name="Heading [Palat] 2 3 2 3 4" xfId="26196" xr:uid="{00000000-0005-0000-0000-000030050000}"/>
    <cellStyle name="Heading [Palat] 2 3 2 3 4 2" xfId="44565" xr:uid="{00000000-0005-0000-0000-000030050000}"/>
    <cellStyle name="Heading [Palat] 2 3 2 3 5" xfId="22489" xr:uid="{00000000-0005-0000-0000-000030050000}"/>
    <cellStyle name="Heading [Palat] 2 3 2 3 6" xfId="40858" xr:uid="{00000000-0005-0000-0000-000030050000}"/>
    <cellStyle name="Heading [Palat] 2 3 2 4" xfId="10175" xr:uid="{00000000-0005-0000-0000-000030050000}"/>
    <cellStyle name="Heading [Palat] 2 3 2 4 2" xfId="14232" xr:uid="{00000000-0005-0000-0000-000030050000}"/>
    <cellStyle name="Heading [Palat] 2 3 2 4 2 2" xfId="32648" xr:uid="{00000000-0005-0000-0000-000030050000}"/>
    <cellStyle name="Heading [Palat] 2 3 2 4 2 3" xfId="51011" xr:uid="{00000000-0005-0000-0000-000030050000}"/>
    <cellStyle name="Heading [Palat] 2 3 2 4 3" xfId="28886" xr:uid="{00000000-0005-0000-0000-000030050000}"/>
    <cellStyle name="Heading [Palat] 2 3 2 4 3 2" xfId="47249" xr:uid="{00000000-0005-0000-0000-000030050000}"/>
    <cellStyle name="Heading [Palat] 2 3 2 4 4" xfId="19689" xr:uid="{00000000-0005-0000-0000-000030050000}"/>
    <cellStyle name="Heading [Palat] 2 3 2 4 5" xfId="38095" xr:uid="{00000000-0005-0000-0000-000030050000}"/>
    <cellStyle name="Heading [Palat] 2 3 2 5" xfId="9365" xr:uid="{00000000-0005-0000-0000-000030050000}"/>
    <cellStyle name="Heading [Palat] 2 3 2 5 2" xfId="28084" xr:uid="{00000000-0005-0000-0000-000030050000}"/>
    <cellStyle name="Heading [Palat] 2 3 2 5 3" xfId="46447" xr:uid="{00000000-0005-0000-0000-000030050000}"/>
    <cellStyle name="Heading [Palat] 2 3 2 6" xfId="13421" xr:uid="{00000000-0005-0000-0000-000030050000}"/>
    <cellStyle name="Heading [Palat] 2 3 2 6 2" xfId="31842" xr:uid="{00000000-0005-0000-0000-000030050000}"/>
    <cellStyle name="Heading [Palat] 2 3 2 6 3" xfId="50205" xr:uid="{00000000-0005-0000-0000-000030050000}"/>
    <cellStyle name="Heading [Palat] 2 3 2 7" xfId="23370" xr:uid="{00000000-0005-0000-0000-000030050000}"/>
    <cellStyle name="Heading [Palat] 2 3 2 7 2" xfId="41739" xr:uid="{00000000-0005-0000-0000-000030050000}"/>
    <cellStyle name="Heading [Palat] 2 3 2 8" xfId="18447" xr:uid="{00000000-0005-0000-0000-000030050000}"/>
    <cellStyle name="Heading [Palat] 2 3 2 9" xfId="36853" xr:uid="{00000000-0005-0000-0000-000030050000}"/>
    <cellStyle name="Heading [Palat] 2 3 3" xfId="4459" xr:uid="{00000000-0005-0000-0000-000030050000}"/>
    <cellStyle name="Heading [Palat] 2 3 3 2" xfId="11056" xr:uid="{00000000-0005-0000-0000-000030050000}"/>
    <cellStyle name="Heading [Palat] 2 3 3 2 2" xfId="29676" xr:uid="{00000000-0005-0000-0000-000030050000}"/>
    <cellStyle name="Heading [Palat] 2 3 3 2 3" xfId="48039" xr:uid="{00000000-0005-0000-0000-000030050000}"/>
    <cellStyle name="Heading [Palat] 2 3 3 3" xfId="15193" xr:uid="{00000000-0005-0000-0000-000030050000}"/>
    <cellStyle name="Heading [Palat] 2 3 3 3 2" xfId="33589" xr:uid="{00000000-0005-0000-0000-000030050000}"/>
    <cellStyle name="Heading [Palat] 2 3 3 3 3" xfId="51952" xr:uid="{00000000-0005-0000-0000-000030050000}"/>
    <cellStyle name="Heading [Palat] 2 3 3 4" xfId="24320" xr:uid="{00000000-0005-0000-0000-000030050000}"/>
    <cellStyle name="Heading [Palat] 2 3 3 4 2" xfId="42689" xr:uid="{00000000-0005-0000-0000-000030050000}"/>
    <cellStyle name="Heading [Palat] 2 3 3 5" xfId="20644" xr:uid="{00000000-0005-0000-0000-000030050000}"/>
    <cellStyle name="Heading [Palat] 2 3 3 6" xfId="39036" xr:uid="{00000000-0005-0000-0000-000030050000}"/>
    <cellStyle name="Heading [Palat] 2 3 4" xfId="4023" xr:uid="{00000000-0005-0000-0000-000030050000}"/>
    <cellStyle name="Heading [Palat] 2 3 4 2" xfId="10727" xr:uid="{00000000-0005-0000-0000-000030050000}"/>
    <cellStyle name="Heading [Palat] 2 3 4 2 2" xfId="29431" xr:uid="{00000000-0005-0000-0000-000030050000}"/>
    <cellStyle name="Heading [Palat] 2 3 4 2 3" xfId="47794" xr:uid="{00000000-0005-0000-0000-000030050000}"/>
    <cellStyle name="Heading [Palat] 2 3 4 3" xfId="14784" xr:uid="{00000000-0005-0000-0000-000030050000}"/>
    <cellStyle name="Heading [Palat] 2 3 4 3 2" xfId="33196" xr:uid="{00000000-0005-0000-0000-000030050000}"/>
    <cellStyle name="Heading [Palat] 2 3 4 3 3" xfId="51559" xr:uid="{00000000-0005-0000-0000-000030050000}"/>
    <cellStyle name="Heading [Palat] 2 3 4 4" xfId="23920" xr:uid="{00000000-0005-0000-0000-000030050000}"/>
    <cellStyle name="Heading [Palat] 2 3 4 4 2" xfId="42289" xr:uid="{00000000-0005-0000-0000-000030050000}"/>
    <cellStyle name="Heading [Palat] 2 3 4 5" xfId="20240" xr:uid="{00000000-0005-0000-0000-000030050000}"/>
    <cellStyle name="Heading [Palat] 2 3 4 6" xfId="38643" xr:uid="{00000000-0005-0000-0000-000030050000}"/>
    <cellStyle name="Heading [Palat] 2 3 5" xfId="9139" xr:uid="{00000000-0005-0000-0000-000030050000}"/>
    <cellStyle name="Heading [Palat] 2 3 5 2" xfId="13198" xr:uid="{00000000-0005-0000-0000-000030050000}"/>
    <cellStyle name="Heading [Palat] 2 3 5 2 2" xfId="31624" xr:uid="{00000000-0005-0000-0000-000030050000}"/>
    <cellStyle name="Heading [Palat] 2 3 5 2 3" xfId="49987" xr:uid="{00000000-0005-0000-0000-000030050000}"/>
    <cellStyle name="Heading [Palat] 2 3 5 3" xfId="27865" xr:uid="{00000000-0005-0000-0000-000030050000}"/>
    <cellStyle name="Heading [Palat] 2 3 5 3 2" xfId="46228" xr:uid="{00000000-0005-0000-0000-000030050000}"/>
    <cellStyle name="Heading [Palat] 2 3 5 4" xfId="18052" xr:uid="{00000000-0005-0000-0000-000030050000}"/>
    <cellStyle name="Heading [Palat] 2 3 5 5" xfId="36460" xr:uid="{00000000-0005-0000-0000-000030050000}"/>
    <cellStyle name="Heading [Palat] 2 3 6" xfId="7730" xr:uid="{00000000-0005-0000-0000-000030050000}"/>
    <cellStyle name="Heading [Palat] 2 3 6 2" xfId="27007" xr:uid="{00000000-0005-0000-0000-000030050000}"/>
    <cellStyle name="Heading [Palat] 2 3 6 3" xfId="45372" xr:uid="{00000000-0005-0000-0000-000030050000}"/>
    <cellStyle name="Heading [Palat] 2 3 7" xfId="7560" xr:uid="{00000000-0005-0000-0000-000030050000}"/>
    <cellStyle name="Heading [Palat] 2 3 7 2" xfId="26873" xr:uid="{00000000-0005-0000-0000-000030050000}"/>
    <cellStyle name="Heading [Palat] 2 3 7 3" xfId="45238" xr:uid="{00000000-0005-0000-0000-000030050000}"/>
    <cellStyle name="Heading [Palat] 2 3 8" xfId="19522" xr:uid="{00000000-0005-0000-0000-000030050000}"/>
    <cellStyle name="Heading [Palat] 2 3 8 2" xfId="37928" xr:uid="{00000000-0005-0000-0000-000030050000}"/>
    <cellStyle name="Heading [Palat] 2 3 9" xfId="7030" xr:uid="{00000000-0005-0000-0000-000030050000}"/>
    <cellStyle name="Heading [Palat] 2 4" xfId="1911" xr:uid="{00000000-0005-0000-0000-000031050000}"/>
    <cellStyle name="Heading [Palat] 2 4 10" xfId="7031" xr:uid="{00000000-0005-0000-0000-000031050000}"/>
    <cellStyle name="Heading [Palat] 2 4 2" xfId="3729" xr:uid="{00000000-0005-0000-0000-000031050000}"/>
    <cellStyle name="Heading [Palat] 2 4 2 2" xfId="5902" xr:uid="{00000000-0005-0000-0000-000031050000}"/>
    <cellStyle name="Heading [Palat] 2 4 2 2 2" xfId="12266" xr:uid="{00000000-0005-0000-0000-000031050000}"/>
    <cellStyle name="Heading [Palat] 2 4 2 2 2 2" xfId="30713" xr:uid="{00000000-0005-0000-0000-000031050000}"/>
    <cellStyle name="Heading [Palat] 2 4 2 2 2 3" xfId="49076" xr:uid="{00000000-0005-0000-0000-000031050000}"/>
    <cellStyle name="Heading [Palat] 2 4 2 2 3" xfId="16592" xr:uid="{00000000-0005-0000-0000-000031050000}"/>
    <cellStyle name="Heading [Palat] 2 4 2 2 3 2" xfId="34964" xr:uid="{00000000-0005-0000-0000-000031050000}"/>
    <cellStyle name="Heading [Palat] 2 4 2 2 3 3" xfId="53327" xr:uid="{00000000-0005-0000-0000-000031050000}"/>
    <cellStyle name="Heading [Palat] 2 4 2 2 4" xfId="25711" xr:uid="{00000000-0005-0000-0000-000031050000}"/>
    <cellStyle name="Heading [Palat] 2 4 2 2 4 2" xfId="44080" xr:uid="{00000000-0005-0000-0000-000031050000}"/>
    <cellStyle name="Heading [Palat] 2 4 2 2 5" xfId="22032" xr:uid="{00000000-0005-0000-0000-000031050000}"/>
    <cellStyle name="Heading [Palat] 2 4 2 2 6" xfId="40411" xr:uid="{00000000-0005-0000-0000-000031050000}"/>
    <cellStyle name="Heading [Palat] 2 4 2 3" xfId="6728" xr:uid="{00000000-0005-0000-0000-000031050000}"/>
    <cellStyle name="Heading [Palat] 2 4 2 3 2" xfId="13019" xr:uid="{00000000-0005-0000-0000-000031050000}"/>
    <cellStyle name="Heading [Palat] 2 4 2 3 2 2" xfId="31445" xr:uid="{00000000-0005-0000-0000-000031050000}"/>
    <cellStyle name="Heading [Palat] 2 4 2 3 2 3" xfId="49808" xr:uid="{00000000-0005-0000-0000-000031050000}"/>
    <cellStyle name="Heading [Palat] 2 4 2 3 3" xfId="17330" xr:uid="{00000000-0005-0000-0000-000031050000}"/>
    <cellStyle name="Heading [Palat] 2 4 2 3 3 2" xfId="35678" xr:uid="{00000000-0005-0000-0000-000031050000}"/>
    <cellStyle name="Heading [Palat] 2 4 2 3 3 3" xfId="54041" xr:uid="{00000000-0005-0000-0000-000031050000}"/>
    <cellStyle name="Heading [Palat] 2 4 2 3 4" xfId="26463" xr:uid="{00000000-0005-0000-0000-000031050000}"/>
    <cellStyle name="Heading [Palat] 2 4 2 3 4 2" xfId="44832" xr:uid="{00000000-0005-0000-0000-000031050000}"/>
    <cellStyle name="Heading [Palat] 2 4 2 3 5" xfId="22756" xr:uid="{00000000-0005-0000-0000-000031050000}"/>
    <cellStyle name="Heading [Palat] 2 4 2 3 6" xfId="41125" xr:uid="{00000000-0005-0000-0000-000031050000}"/>
    <cellStyle name="Heading [Palat] 2 4 2 4" xfId="10442" xr:uid="{00000000-0005-0000-0000-000031050000}"/>
    <cellStyle name="Heading [Palat] 2 4 2 4 2" xfId="14499" xr:uid="{00000000-0005-0000-0000-000031050000}"/>
    <cellStyle name="Heading [Palat] 2 4 2 4 2 2" xfId="32915" xr:uid="{00000000-0005-0000-0000-000031050000}"/>
    <cellStyle name="Heading [Palat] 2 4 2 4 2 3" xfId="51278" xr:uid="{00000000-0005-0000-0000-000031050000}"/>
    <cellStyle name="Heading [Palat] 2 4 2 4 3" xfId="29153" xr:uid="{00000000-0005-0000-0000-000031050000}"/>
    <cellStyle name="Heading [Palat] 2 4 2 4 3 2" xfId="47516" xr:uid="{00000000-0005-0000-0000-000031050000}"/>
    <cellStyle name="Heading [Palat] 2 4 2 4 4" xfId="19956" xr:uid="{00000000-0005-0000-0000-000031050000}"/>
    <cellStyle name="Heading [Palat] 2 4 2 4 5" xfId="38362" xr:uid="{00000000-0005-0000-0000-000031050000}"/>
    <cellStyle name="Heading [Palat] 2 4 2 5" xfId="9658" xr:uid="{00000000-0005-0000-0000-000031050000}"/>
    <cellStyle name="Heading [Palat] 2 4 2 5 2" xfId="28374" xr:uid="{00000000-0005-0000-0000-000031050000}"/>
    <cellStyle name="Heading [Palat] 2 4 2 5 3" xfId="46737" xr:uid="{00000000-0005-0000-0000-000031050000}"/>
    <cellStyle name="Heading [Palat] 2 4 2 6" xfId="13715" xr:uid="{00000000-0005-0000-0000-000031050000}"/>
    <cellStyle name="Heading [Palat] 2 4 2 6 2" xfId="32136" xr:uid="{00000000-0005-0000-0000-000031050000}"/>
    <cellStyle name="Heading [Palat] 2 4 2 6 3" xfId="50499" xr:uid="{00000000-0005-0000-0000-000031050000}"/>
    <cellStyle name="Heading [Palat] 2 4 2 7" xfId="23637" xr:uid="{00000000-0005-0000-0000-000031050000}"/>
    <cellStyle name="Heading [Palat] 2 4 2 7 2" xfId="42006" xr:uid="{00000000-0005-0000-0000-000031050000}"/>
    <cellStyle name="Heading [Palat] 2 4 2 8" xfId="18783" xr:uid="{00000000-0005-0000-0000-000031050000}"/>
    <cellStyle name="Heading [Palat] 2 4 2 9" xfId="37192" xr:uid="{00000000-0005-0000-0000-000031050000}"/>
    <cellStyle name="Heading [Palat] 2 4 3" xfId="4822" xr:uid="{00000000-0005-0000-0000-000031050000}"/>
    <cellStyle name="Heading [Palat] 2 4 3 2" xfId="11383" xr:uid="{00000000-0005-0000-0000-000031050000}"/>
    <cellStyle name="Heading [Palat] 2 4 3 2 2" xfId="29975" xr:uid="{00000000-0005-0000-0000-000031050000}"/>
    <cellStyle name="Heading [Palat] 2 4 3 2 3" xfId="48338" xr:uid="{00000000-0005-0000-0000-000031050000}"/>
    <cellStyle name="Heading [Palat] 2 4 3 3" xfId="15548" xr:uid="{00000000-0005-0000-0000-000031050000}"/>
    <cellStyle name="Heading [Palat] 2 4 3 3 2" xfId="33941" xr:uid="{00000000-0005-0000-0000-000031050000}"/>
    <cellStyle name="Heading [Palat] 2 4 3 3 3" xfId="52304" xr:uid="{00000000-0005-0000-0000-000031050000}"/>
    <cellStyle name="Heading [Palat] 2 4 3 4" xfId="24672" xr:uid="{00000000-0005-0000-0000-000031050000}"/>
    <cellStyle name="Heading [Palat] 2 4 3 4 2" xfId="43041" xr:uid="{00000000-0005-0000-0000-000031050000}"/>
    <cellStyle name="Heading [Palat] 2 4 3 5" xfId="20999" xr:uid="{00000000-0005-0000-0000-000031050000}"/>
    <cellStyle name="Heading [Palat] 2 4 3 6" xfId="39388" xr:uid="{00000000-0005-0000-0000-000031050000}"/>
    <cellStyle name="Heading [Palat] 2 4 4" xfId="4574" xr:uid="{00000000-0005-0000-0000-000031050000}"/>
    <cellStyle name="Heading [Palat] 2 4 4 2" xfId="11159" xr:uid="{00000000-0005-0000-0000-000031050000}"/>
    <cellStyle name="Heading [Palat] 2 4 4 2 2" xfId="29773" xr:uid="{00000000-0005-0000-0000-000031050000}"/>
    <cellStyle name="Heading [Palat] 2 4 4 2 3" xfId="48136" xr:uid="{00000000-0005-0000-0000-000031050000}"/>
    <cellStyle name="Heading [Palat] 2 4 4 3" xfId="15300" xr:uid="{00000000-0005-0000-0000-000031050000}"/>
    <cellStyle name="Heading [Palat] 2 4 4 3 2" xfId="33694" xr:uid="{00000000-0005-0000-0000-000031050000}"/>
    <cellStyle name="Heading [Palat] 2 4 4 3 3" xfId="52057" xr:uid="{00000000-0005-0000-0000-000031050000}"/>
    <cellStyle name="Heading [Palat] 2 4 4 4" xfId="24425" xr:uid="{00000000-0005-0000-0000-000031050000}"/>
    <cellStyle name="Heading [Palat] 2 4 4 4 2" xfId="42794" xr:uid="{00000000-0005-0000-0000-000031050000}"/>
    <cellStyle name="Heading [Palat] 2 4 4 5" xfId="20751" xr:uid="{00000000-0005-0000-0000-000031050000}"/>
    <cellStyle name="Heading [Palat] 2 4 4 6" xfId="39141" xr:uid="{00000000-0005-0000-0000-000031050000}"/>
    <cellStyle name="Heading [Palat] 2 4 5" xfId="9042" xr:uid="{00000000-0005-0000-0000-000031050000}"/>
    <cellStyle name="Heading [Palat] 2 4 5 2" xfId="8421" xr:uid="{00000000-0005-0000-0000-000031050000}"/>
    <cellStyle name="Heading [Palat] 2 4 5 2 2" xfId="27482" xr:uid="{00000000-0005-0000-0000-000031050000}"/>
    <cellStyle name="Heading [Palat] 2 4 5 2 3" xfId="45846" xr:uid="{00000000-0005-0000-0000-000031050000}"/>
    <cellStyle name="Heading [Palat] 2 4 5 3" xfId="27768" xr:uid="{00000000-0005-0000-0000-000031050000}"/>
    <cellStyle name="Heading [Palat] 2 4 5 3 2" xfId="46131" xr:uid="{00000000-0005-0000-0000-000031050000}"/>
    <cellStyle name="Heading [Palat] 2 4 5 4" xfId="17937" xr:uid="{00000000-0005-0000-0000-000031050000}"/>
    <cellStyle name="Heading [Palat] 2 4 5 5" xfId="36345" xr:uid="{00000000-0005-0000-0000-000031050000}"/>
    <cellStyle name="Heading [Palat] 2 4 6" xfId="8110" xr:uid="{00000000-0005-0000-0000-000031050000}"/>
    <cellStyle name="Heading [Palat] 2 4 6 2" xfId="27315" xr:uid="{00000000-0005-0000-0000-000031050000}"/>
    <cellStyle name="Heading [Palat] 2 4 6 3" xfId="45680" xr:uid="{00000000-0005-0000-0000-000031050000}"/>
    <cellStyle name="Heading [Palat] 2 4 7" xfId="8880" xr:uid="{00000000-0005-0000-0000-000031050000}"/>
    <cellStyle name="Heading [Palat] 2 4 7 2" xfId="27665" xr:uid="{00000000-0005-0000-0000-000031050000}"/>
    <cellStyle name="Heading [Palat] 2 4 7 3" xfId="46028" xr:uid="{00000000-0005-0000-0000-000031050000}"/>
    <cellStyle name="Heading [Palat] 2 4 8" xfId="18058" xr:uid="{00000000-0005-0000-0000-000031050000}"/>
    <cellStyle name="Heading [Palat] 2 4 8 2" xfId="36465" xr:uid="{00000000-0005-0000-0000-000031050000}"/>
    <cellStyle name="Heading [Palat] 2 4 9" xfId="8838" xr:uid="{00000000-0005-0000-0000-000031050000}"/>
    <cellStyle name="Heading [Palat] 2 5" xfId="2326" xr:uid="{00000000-0005-0000-0000-000032050000}"/>
    <cellStyle name="Heading [Palat] 2 5 10" xfId="10885" xr:uid="{00000000-0005-0000-0000-000032050000}"/>
    <cellStyle name="Heading [Palat] 2 5 2" xfId="3774" xr:uid="{00000000-0005-0000-0000-000032050000}"/>
    <cellStyle name="Heading [Palat] 2 5 2 2" xfId="5947" xr:uid="{00000000-0005-0000-0000-000032050000}"/>
    <cellStyle name="Heading [Palat] 2 5 2 2 2" xfId="12311" xr:uid="{00000000-0005-0000-0000-000032050000}"/>
    <cellStyle name="Heading [Palat] 2 5 2 2 2 2" xfId="30758" xr:uid="{00000000-0005-0000-0000-000032050000}"/>
    <cellStyle name="Heading [Palat] 2 5 2 2 2 3" xfId="49121" xr:uid="{00000000-0005-0000-0000-000032050000}"/>
    <cellStyle name="Heading [Palat] 2 5 2 2 3" xfId="16637" xr:uid="{00000000-0005-0000-0000-000032050000}"/>
    <cellStyle name="Heading [Palat] 2 5 2 2 3 2" xfId="35009" xr:uid="{00000000-0005-0000-0000-000032050000}"/>
    <cellStyle name="Heading [Palat] 2 5 2 2 3 3" xfId="53372" xr:uid="{00000000-0005-0000-0000-000032050000}"/>
    <cellStyle name="Heading [Palat] 2 5 2 2 4" xfId="25756" xr:uid="{00000000-0005-0000-0000-000032050000}"/>
    <cellStyle name="Heading [Palat] 2 5 2 2 4 2" xfId="44125" xr:uid="{00000000-0005-0000-0000-000032050000}"/>
    <cellStyle name="Heading [Palat] 2 5 2 2 5" xfId="22077" xr:uid="{00000000-0005-0000-0000-000032050000}"/>
    <cellStyle name="Heading [Palat] 2 5 2 2 6" xfId="40456" xr:uid="{00000000-0005-0000-0000-000032050000}"/>
    <cellStyle name="Heading [Palat] 2 5 2 3" xfId="6773" xr:uid="{00000000-0005-0000-0000-000032050000}"/>
    <cellStyle name="Heading [Palat] 2 5 2 3 2" xfId="13064" xr:uid="{00000000-0005-0000-0000-000032050000}"/>
    <cellStyle name="Heading [Palat] 2 5 2 3 2 2" xfId="31490" xr:uid="{00000000-0005-0000-0000-000032050000}"/>
    <cellStyle name="Heading [Palat] 2 5 2 3 2 3" xfId="49853" xr:uid="{00000000-0005-0000-0000-000032050000}"/>
    <cellStyle name="Heading [Palat] 2 5 2 3 3" xfId="17375" xr:uid="{00000000-0005-0000-0000-000032050000}"/>
    <cellStyle name="Heading [Palat] 2 5 2 3 3 2" xfId="35723" xr:uid="{00000000-0005-0000-0000-000032050000}"/>
    <cellStyle name="Heading [Palat] 2 5 2 3 3 3" xfId="54086" xr:uid="{00000000-0005-0000-0000-000032050000}"/>
    <cellStyle name="Heading [Palat] 2 5 2 3 4" xfId="26508" xr:uid="{00000000-0005-0000-0000-000032050000}"/>
    <cellStyle name="Heading [Palat] 2 5 2 3 4 2" xfId="44877" xr:uid="{00000000-0005-0000-0000-000032050000}"/>
    <cellStyle name="Heading [Palat] 2 5 2 3 5" xfId="22801" xr:uid="{00000000-0005-0000-0000-000032050000}"/>
    <cellStyle name="Heading [Palat] 2 5 2 3 6" xfId="41170" xr:uid="{00000000-0005-0000-0000-000032050000}"/>
    <cellStyle name="Heading [Palat] 2 5 2 4" xfId="10487" xr:uid="{00000000-0005-0000-0000-000032050000}"/>
    <cellStyle name="Heading [Palat] 2 5 2 4 2" xfId="14544" xr:uid="{00000000-0005-0000-0000-000032050000}"/>
    <cellStyle name="Heading [Palat] 2 5 2 4 2 2" xfId="32960" xr:uid="{00000000-0005-0000-0000-000032050000}"/>
    <cellStyle name="Heading [Palat] 2 5 2 4 2 3" xfId="51323" xr:uid="{00000000-0005-0000-0000-000032050000}"/>
    <cellStyle name="Heading [Palat] 2 5 2 4 3" xfId="29198" xr:uid="{00000000-0005-0000-0000-000032050000}"/>
    <cellStyle name="Heading [Palat] 2 5 2 4 3 2" xfId="47561" xr:uid="{00000000-0005-0000-0000-000032050000}"/>
    <cellStyle name="Heading [Palat] 2 5 2 4 4" xfId="20001" xr:uid="{00000000-0005-0000-0000-000032050000}"/>
    <cellStyle name="Heading [Palat] 2 5 2 4 5" xfId="38407" xr:uid="{00000000-0005-0000-0000-000032050000}"/>
    <cellStyle name="Heading [Palat] 2 5 2 5" xfId="9758" xr:uid="{00000000-0005-0000-0000-000032050000}"/>
    <cellStyle name="Heading [Palat] 2 5 2 5 2" xfId="28473" xr:uid="{00000000-0005-0000-0000-000032050000}"/>
    <cellStyle name="Heading [Palat] 2 5 2 5 3" xfId="46836" xr:uid="{00000000-0005-0000-0000-000032050000}"/>
    <cellStyle name="Heading [Palat] 2 5 2 6" xfId="13815" xr:uid="{00000000-0005-0000-0000-000032050000}"/>
    <cellStyle name="Heading [Palat] 2 5 2 6 2" xfId="32235" xr:uid="{00000000-0005-0000-0000-000032050000}"/>
    <cellStyle name="Heading [Palat] 2 5 2 6 3" xfId="50598" xr:uid="{00000000-0005-0000-0000-000032050000}"/>
    <cellStyle name="Heading [Palat] 2 5 2 7" xfId="23682" xr:uid="{00000000-0005-0000-0000-000032050000}"/>
    <cellStyle name="Heading [Palat] 2 5 2 7 2" xfId="42051" xr:uid="{00000000-0005-0000-0000-000032050000}"/>
    <cellStyle name="Heading [Palat] 2 5 2 8" xfId="18940" xr:uid="{00000000-0005-0000-0000-000032050000}"/>
    <cellStyle name="Heading [Palat] 2 5 2 9" xfId="37349" xr:uid="{00000000-0005-0000-0000-000032050000}"/>
    <cellStyle name="Heading [Palat] 2 5 3" xfId="4974" xr:uid="{00000000-0005-0000-0000-000032050000}"/>
    <cellStyle name="Heading [Palat] 2 5 3 2" xfId="11504" xr:uid="{00000000-0005-0000-0000-000032050000}"/>
    <cellStyle name="Heading [Palat] 2 5 3 2 2" xfId="30077" xr:uid="{00000000-0005-0000-0000-000032050000}"/>
    <cellStyle name="Heading [Palat] 2 5 3 2 3" xfId="48440" xr:uid="{00000000-0005-0000-0000-000032050000}"/>
    <cellStyle name="Heading [Palat] 2 5 3 3" xfId="15690" xr:uid="{00000000-0005-0000-0000-000032050000}"/>
    <cellStyle name="Heading [Palat] 2 5 3 3 2" xfId="34079" xr:uid="{00000000-0005-0000-0000-000032050000}"/>
    <cellStyle name="Heading [Palat] 2 5 3 3 3" xfId="52442" xr:uid="{00000000-0005-0000-0000-000032050000}"/>
    <cellStyle name="Heading [Palat] 2 5 3 4" xfId="24814" xr:uid="{00000000-0005-0000-0000-000032050000}"/>
    <cellStyle name="Heading [Palat] 2 5 3 4 2" xfId="43183" xr:uid="{00000000-0005-0000-0000-000032050000}"/>
    <cellStyle name="Heading [Palat] 2 5 3 5" xfId="21139" xr:uid="{00000000-0005-0000-0000-000032050000}"/>
    <cellStyle name="Heading [Palat] 2 5 3 6" xfId="39526" xr:uid="{00000000-0005-0000-0000-000032050000}"/>
    <cellStyle name="Heading [Palat] 2 5 4" xfId="6114" xr:uid="{00000000-0005-0000-0000-000032050000}"/>
    <cellStyle name="Heading [Palat] 2 5 4 2" xfId="12468" xr:uid="{00000000-0005-0000-0000-000032050000}"/>
    <cellStyle name="Heading [Palat] 2 5 4 2 2" xfId="30908" xr:uid="{00000000-0005-0000-0000-000032050000}"/>
    <cellStyle name="Heading [Palat] 2 5 4 2 3" xfId="49271" xr:uid="{00000000-0005-0000-0000-000032050000}"/>
    <cellStyle name="Heading [Palat] 2 5 4 3" xfId="16787" xr:uid="{00000000-0005-0000-0000-000032050000}"/>
    <cellStyle name="Heading [Palat] 2 5 4 3 2" xfId="35156" xr:uid="{00000000-0005-0000-0000-000032050000}"/>
    <cellStyle name="Heading [Palat] 2 5 4 3 3" xfId="53519" xr:uid="{00000000-0005-0000-0000-000032050000}"/>
    <cellStyle name="Heading [Palat] 2 5 4 4" xfId="25910" xr:uid="{00000000-0005-0000-0000-000032050000}"/>
    <cellStyle name="Heading [Palat] 2 5 4 4 2" xfId="44279" xr:uid="{00000000-0005-0000-0000-000032050000}"/>
    <cellStyle name="Heading [Palat] 2 5 4 5" xfId="22226" xr:uid="{00000000-0005-0000-0000-000032050000}"/>
    <cellStyle name="Heading [Palat] 2 5 4 6" xfId="40603" xr:uid="{00000000-0005-0000-0000-000032050000}"/>
    <cellStyle name="Heading [Palat] 2 5 5" xfId="9680" xr:uid="{00000000-0005-0000-0000-000032050000}"/>
    <cellStyle name="Heading [Palat] 2 5 5 2" xfId="13737" xr:uid="{00000000-0005-0000-0000-000032050000}"/>
    <cellStyle name="Heading [Palat] 2 5 5 2 2" xfId="32158" xr:uid="{00000000-0005-0000-0000-000032050000}"/>
    <cellStyle name="Heading [Palat] 2 5 5 2 3" xfId="50521" xr:uid="{00000000-0005-0000-0000-000032050000}"/>
    <cellStyle name="Heading [Palat] 2 5 5 3" xfId="28396" xr:uid="{00000000-0005-0000-0000-000032050000}"/>
    <cellStyle name="Heading [Palat] 2 5 5 3 2" xfId="46759" xr:uid="{00000000-0005-0000-0000-000032050000}"/>
    <cellStyle name="Heading [Palat] 2 5 5 4" xfId="18821" xr:uid="{00000000-0005-0000-0000-000032050000}"/>
    <cellStyle name="Heading [Palat] 2 5 5 5" xfId="37230" xr:uid="{00000000-0005-0000-0000-000032050000}"/>
    <cellStyle name="Heading [Palat] 2 5 6" xfId="8367" xr:uid="{00000000-0005-0000-0000-000032050000}"/>
    <cellStyle name="Heading [Palat] 2 5 6 2" xfId="27434" xr:uid="{00000000-0005-0000-0000-000032050000}"/>
    <cellStyle name="Heading [Palat] 2 5 6 3" xfId="45798" xr:uid="{00000000-0005-0000-0000-000032050000}"/>
    <cellStyle name="Heading [Palat] 2 5 7" xfId="7106" xr:uid="{00000000-0005-0000-0000-000032050000}"/>
    <cellStyle name="Heading [Palat] 2 5 7 2" xfId="26722" xr:uid="{00000000-0005-0000-0000-000032050000}"/>
    <cellStyle name="Heading [Palat] 2 5 7 3" xfId="45090" xr:uid="{00000000-0005-0000-0000-000032050000}"/>
    <cellStyle name="Heading [Palat] 2 5 8" xfId="18122" xr:uid="{00000000-0005-0000-0000-000032050000}"/>
    <cellStyle name="Heading [Palat] 2 5 8 2" xfId="36529" xr:uid="{00000000-0005-0000-0000-000032050000}"/>
    <cellStyle name="Heading [Palat] 2 5 9" xfId="8710" xr:uid="{00000000-0005-0000-0000-000032050000}"/>
    <cellStyle name="Heading [Palat] 2 6" xfId="2773" xr:uid="{00000000-0005-0000-0000-000033050000}"/>
    <cellStyle name="Heading [Palat] 2 6 10" xfId="35915" xr:uid="{00000000-0005-0000-0000-000033050000}"/>
    <cellStyle name="Heading [Palat] 2 6 2" xfId="3811" xr:uid="{00000000-0005-0000-0000-000033050000}"/>
    <cellStyle name="Heading [Palat] 2 6 2 2" xfId="5984" xr:uid="{00000000-0005-0000-0000-000033050000}"/>
    <cellStyle name="Heading [Palat] 2 6 2 2 2" xfId="12348" xr:uid="{00000000-0005-0000-0000-000033050000}"/>
    <cellStyle name="Heading [Palat] 2 6 2 2 2 2" xfId="30795" xr:uid="{00000000-0005-0000-0000-000033050000}"/>
    <cellStyle name="Heading [Palat] 2 6 2 2 2 3" xfId="49158" xr:uid="{00000000-0005-0000-0000-000033050000}"/>
    <cellStyle name="Heading [Palat] 2 6 2 2 3" xfId="16674" xr:uid="{00000000-0005-0000-0000-000033050000}"/>
    <cellStyle name="Heading [Palat] 2 6 2 2 3 2" xfId="35046" xr:uid="{00000000-0005-0000-0000-000033050000}"/>
    <cellStyle name="Heading [Palat] 2 6 2 2 3 3" xfId="53409" xr:uid="{00000000-0005-0000-0000-000033050000}"/>
    <cellStyle name="Heading [Palat] 2 6 2 2 4" xfId="25793" xr:uid="{00000000-0005-0000-0000-000033050000}"/>
    <cellStyle name="Heading [Palat] 2 6 2 2 4 2" xfId="44162" xr:uid="{00000000-0005-0000-0000-000033050000}"/>
    <cellStyle name="Heading [Palat] 2 6 2 2 5" xfId="22114" xr:uid="{00000000-0005-0000-0000-000033050000}"/>
    <cellStyle name="Heading [Palat] 2 6 2 2 6" xfId="40493" xr:uid="{00000000-0005-0000-0000-000033050000}"/>
    <cellStyle name="Heading [Palat] 2 6 2 3" xfId="6810" xr:uid="{00000000-0005-0000-0000-000033050000}"/>
    <cellStyle name="Heading [Palat] 2 6 2 3 2" xfId="13101" xr:uid="{00000000-0005-0000-0000-000033050000}"/>
    <cellStyle name="Heading [Palat] 2 6 2 3 2 2" xfId="31527" xr:uid="{00000000-0005-0000-0000-000033050000}"/>
    <cellStyle name="Heading [Palat] 2 6 2 3 2 3" xfId="49890" xr:uid="{00000000-0005-0000-0000-000033050000}"/>
    <cellStyle name="Heading [Palat] 2 6 2 3 3" xfId="17412" xr:uid="{00000000-0005-0000-0000-000033050000}"/>
    <cellStyle name="Heading [Palat] 2 6 2 3 3 2" xfId="35760" xr:uid="{00000000-0005-0000-0000-000033050000}"/>
    <cellStyle name="Heading [Palat] 2 6 2 3 3 3" xfId="54123" xr:uid="{00000000-0005-0000-0000-000033050000}"/>
    <cellStyle name="Heading [Palat] 2 6 2 3 4" xfId="26545" xr:uid="{00000000-0005-0000-0000-000033050000}"/>
    <cellStyle name="Heading [Palat] 2 6 2 3 4 2" xfId="44914" xr:uid="{00000000-0005-0000-0000-000033050000}"/>
    <cellStyle name="Heading [Palat] 2 6 2 3 5" xfId="22838" xr:uid="{00000000-0005-0000-0000-000033050000}"/>
    <cellStyle name="Heading [Palat] 2 6 2 3 6" xfId="41207" xr:uid="{00000000-0005-0000-0000-000033050000}"/>
    <cellStyle name="Heading [Palat] 2 6 2 4" xfId="10524" xr:uid="{00000000-0005-0000-0000-000033050000}"/>
    <cellStyle name="Heading [Palat] 2 6 2 4 2" xfId="14581" xr:uid="{00000000-0005-0000-0000-000033050000}"/>
    <cellStyle name="Heading [Palat] 2 6 2 4 2 2" xfId="32997" xr:uid="{00000000-0005-0000-0000-000033050000}"/>
    <cellStyle name="Heading [Palat] 2 6 2 4 2 3" xfId="51360" xr:uid="{00000000-0005-0000-0000-000033050000}"/>
    <cellStyle name="Heading [Palat] 2 6 2 4 3" xfId="29235" xr:uid="{00000000-0005-0000-0000-000033050000}"/>
    <cellStyle name="Heading [Palat] 2 6 2 4 3 2" xfId="47598" xr:uid="{00000000-0005-0000-0000-000033050000}"/>
    <cellStyle name="Heading [Palat] 2 6 2 4 4" xfId="20038" xr:uid="{00000000-0005-0000-0000-000033050000}"/>
    <cellStyle name="Heading [Palat] 2 6 2 4 5" xfId="38444" xr:uid="{00000000-0005-0000-0000-000033050000}"/>
    <cellStyle name="Heading [Palat] 2 6 2 5" xfId="9857" xr:uid="{00000000-0005-0000-0000-000033050000}"/>
    <cellStyle name="Heading [Palat] 2 6 2 5 2" xfId="28571" xr:uid="{00000000-0005-0000-0000-000033050000}"/>
    <cellStyle name="Heading [Palat] 2 6 2 5 3" xfId="46934" xr:uid="{00000000-0005-0000-0000-000033050000}"/>
    <cellStyle name="Heading [Palat] 2 6 2 6" xfId="13915" xr:uid="{00000000-0005-0000-0000-000033050000}"/>
    <cellStyle name="Heading [Palat] 2 6 2 6 2" xfId="32333" xr:uid="{00000000-0005-0000-0000-000033050000}"/>
    <cellStyle name="Heading [Palat] 2 6 2 6 3" xfId="50696" xr:uid="{00000000-0005-0000-0000-000033050000}"/>
    <cellStyle name="Heading [Palat] 2 6 2 7" xfId="23719" xr:uid="{00000000-0005-0000-0000-000033050000}"/>
    <cellStyle name="Heading [Palat] 2 6 2 7 2" xfId="42088" xr:uid="{00000000-0005-0000-0000-000033050000}"/>
    <cellStyle name="Heading [Palat] 2 6 2 8" xfId="19111" xr:uid="{00000000-0005-0000-0000-000033050000}"/>
    <cellStyle name="Heading [Palat] 2 6 2 9" xfId="37519" xr:uid="{00000000-0005-0000-0000-000033050000}"/>
    <cellStyle name="Heading [Palat] 2 6 3" xfId="5134" xr:uid="{00000000-0005-0000-0000-000033050000}"/>
    <cellStyle name="Heading [Palat] 2 6 3 2" xfId="11639" xr:uid="{00000000-0005-0000-0000-000033050000}"/>
    <cellStyle name="Heading [Palat] 2 6 3 2 2" xfId="30187" xr:uid="{00000000-0005-0000-0000-000033050000}"/>
    <cellStyle name="Heading [Palat] 2 6 3 2 3" xfId="48550" xr:uid="{00000000-0005-0000-0000-000033050000}"/>
    <cellStyle name="Heading [Palat] 2 6 3 3" xfId="15838" xr:uid="{00000000-0005-0000-0000-000033050000}"/>
    <cellStyle name="Heading [Palat] 2 6 3 3 2" xfId="34222" xr:uid="{00000000-0005-0000-0000-000033050000}"/>
    <cellStyle name="Heading [Palat] 2 6 3 3 3" xfId="52585" xr:uid="{00000000-0005-0000-0000-000033050000}"/>
    <cellStyle name="Heading [Palat] 2 6 3 4" xfId="24961" xr:uid="{00000000-0005-0000-0000-000033050000}"/>
    <cellStyle name="Heading [Palat] 2 6 3 4 2" xfId="43330" xr:uid="{00000000-0005-0000-0000-000033050000}"/>
    <cellStyle name="Heading [Palat] 2 6 3 5" xfId="21284" xr:uid="{00000000-0005-0000-0000-000033050000}"/>
    <cellStyle name="Heading [Palat] 2 6 3 6" xfId="39669" xr:uid="{00000000-0005-0000-0000-000033050000}"/>
    <cellStyle name="Heading [Palat] 2 6 4" xfId="6185" xr:uid="{00000000-0005-0000-0000-000033050000}"/>
    <cellStyle name="Heading [Palat] 2 6 4 2" xfId="12520" xr:uid="{00000000-0005-0000-0000-000033050000}"/>
    <cellStyle name="Heading [Palat] 2 6 4 2 2" xfId="30952" xr:uid="{00000000-0005-0000-0000-000033050000}"/>
    <cellStyle name="Heading [Palat] 2 6 4 2 3" xfId="49315" xr:uid="{00000000-0005-0000-0000-000033050000}"/>
    <cellStyle name="Heading [Palat] 2 6 4 3" xfId="16835" xr:uid="{00000000-0005-0000-0000-000033050000}"/>
    <cellStyle name="Heading [Palat] 2 6 4 3 2" xfId="35195" xr:uid="{00000000-0005-0000-0000-000033050000}"/>
    <cellStyle name="Heading [Palat] 2 6 4 3 3" xfId="53558" xr:uid="{00000000-0005-0000-0000-000033050000}"/>
    <cellStyle name="Heading [Palat] 2 6 4 4" xfId="25962" xr:uid="{00000000-0005-0000-0000-000033050000}"/>
    <cellStyle name="Heading [Palat] 2 6 4 4 2" xfId="44331" xr:uid="{00000000-0005-0000-0000-000033050000}"/>
    <cellStyle name="Heading [Palat] 2 6 4 5" xfId="22269" xr:uid="{00000000-0005-0000-0000-000033050000}"/>
    <cellStyle name="Heading [Palat] 2 6 4 6" xfId="40642" xr:uid="{00000000-0005-0000-0000-000033050000}"/>
    <cellStyle name="Heading [Palat] 2 6 5" xfId="10016" xr:uid="{00000000-0005-0000-0000-000033050000}"/>
    <cellStyle name="Heading [Palat] 2 6 5 2" xfId="14073" xr:uid="{00000000-0005-0000-0000-000033050000}"/>
    <cellStyle name="Heading [Palat] 2 6 5 2 2" xfId="32490" xr:uid="{00000000-0005-0000-0000-000033050000}"/>
    <cellStyle name="Heading [Palat] 2 6 5 2 3" xfId="50853" xr:uid="{00000000-0005-0000-0000-000033050000}"/>
    <cellStyle name="Heading [Palat] 2 6 5 3" xfId="28728" xr:uid="{00000000-0005-0000-0000-000033050000}"/>
    <cellStyle name="Heading [Palat] 2 6 5 3 2" xfId="47091" xr:uid="{00000000-0005-0000-0000-000033050000}"/>
    <cellStyle name="Heading [Palat] 2 6 5 4" xfId="19395" xr:uid="{00000000-0005-0000-0000-000033050000}"/>
    <cellStyle name="Heading [Palat] 2 6 5 5" xfId="37802" xr:uid="{00000000-0005-0000-0000-000033050000}"/>
    <cellStyle name="Heading [Palat] 2 6 6" xfId="8643" xr:uid="{00000000-0005-0000-0000-000033050000}"/>
    <cellStyle name="Heading [Palat] 2 6 6 2" xfId="27551" xr:uid="{00000000-0005-0000-0000-000033050000}"/>
    <cellStyle name="Heading [Palat] 2 6 6 3" xfId="45915" xr:uid="{00000000-0005-0000-0000-000033050000}"/>
    <cellStyle name="Heading [Palat] 2 6 7" xfId="8865" xr:uid="{00000000-0005-0000-0000-000033050000}"/>
    <cellStyle name="Heading [Palat] 2 6 7 2" xfId="27657" xr:uid="{00000000-0005-0000-0000-000033050000}"/>
    <cellStyle name="Heading [Palat] 2 6 7 3" xfId="46020" xr:uid="{00000000-0005-0000-0000-000033050000}"/>
    <cellStyle name="Heading [Palat] 2 6 8" xfId="18466" xr:uid="{00000000-0005-0000-0000-000033050000}"/>
    <cellStyle name="Heading [Palat] 2 6 8 2" xfId="36872" xr:uid="{00000000-0005-0000-0000-000033050000}"/>
    <cellStyle name="Heading [Palat] 2 6 9" xfId="7095" xr:uid="{00000000-0005-0000-0000-000033050000}"/>
    <cellStyle name="Heading [Palat] 2 7" xfId="3348" xr:uid="{00000000-0005-0000-0000-000025050000}"/>
    <cellStyle name="Heading [Palat] 2 7 2" xfId="5523" xr:uid="{00000000-0005-0000-0000-000025050000}"/>
    <cellStyle name="Heading [Palat] 2 7 2 2" xfId="11887" xr:uid="{00000000-0005-0000-0000-000025050000}"/>
    <cellStyle name="Heading [Palat] 2 7 2 2 2" xfId="30334" xr:uid="{00000000-0005-0000-0000-000025050000}"/>
    <cellStyle name="Heading [Palat] 2 7 2 2 3" xfId="48697" xr:uid="{00000000-0005-0000-0000-000025050000}"/>
    <cellStyle name="Heading [Palat] 2 7 2 3" xfId="16213" xr:uid="{00000000-0005-0000-0000-000025050000}"/>
    <cellStyle name="Heading [Palat] 2 7 2 3 2" xfId="34585" xr:uid="{00000000-0005-0000-0000-000025050000}"/>
    <cellStyle name="Heading [Palat] 2 7 2 3 3" xfId="52948" xr:uid="{00000000-0005-0000-0000-000025050000}"/>
    <cellStyle name="Heading [Palat] 2 7 2 4" xfId="25332" xr:uid="{00000000-0005-0000-0000-000025050000}"/>
    <cellStyle name="Heading [Palat] 2 7 2 4 2" xfId="43701" xr:uid="{00000000-0005-0000-0000-000025050000}"/>
    <cellStyle name="Heading [Palat] 2 7 2 5" xfId="21653" xr:uid="{00000000-0005-0000-0000-000025050000}"/>
    <cellStyle name="Heading [Palat] 2 7 2 6" xfId="40032" xr:uid="{00000000-0005-0000-0000-000025050000}"/>
    <cellStyle name="Heading [Palat] 2 7 3" xfId="6347" xr:uid="{00000000-0005-0000-0000-000025050000}"/>
    <cellStyle name="Heading [Palat] 2 7 3 2" xfId="12638" xr:uid="{00000000-0005-0000-0000-000025050000}"/>
    <cellStyle name="Heading [Palat] 2 7 3 2 2" xfId="31064" xr:uid="{00000000-0005-0000-0000-000025050000}"/>
    <cellStyle name="Heading [Palat] 2 7 3 2 3" xfId="49427" xr:uid="{00000000-0005-0000-0000-000025050000}"/>
    <cellStyle name="Heading [Palat] 2 7 3 3" xfId="16949" xr:uid="{00000000-0005-0000-0000-000025050000}"/>
    <cellStyle name="Heading [Palat] 2 7 3 3 2" xfId="35297" xr:uid="{00000000-0005-0000-0000-000025050000}"/>
    <cellStyle name="Heading [Palat] 2 7 3 3 3" xfId="53660" xr:uid="{00000000-0005-0000-0000-000025050000}"/>
    <cellStyle name="Heading [Palat] 2 7 3 4" xfId="26082" xr:uid="{00000000-0005-0000-0000-000025050000}"/>
    <cellStyle name="Heading [Palat] 2 7 3 4 2" xfId="44451" xr:uid="{00000000-0005-0000-0000-000025050000}"/>
    <cellStyle name="Heading [Palat] 2 7 3 5" xfId="22375" xr:uid="{00000000-0005-0000-0000-000025050000}"/>
    <cellStyle name="Heading [Palat] 2 7 3 6" xfId="40744" xr:uid="{00000000-0005-0000-0000-000025050000}"/>
    <cellStyle name="Heading [Palat] 2 7 4" xfId="10061" xr:uid="{00000000-0005-0000-0000-000025050000}"/>
    <cellStyle name="Heading [Palat] 2 7 4 2" xfId="14118" xr:uid="{00000000-0005-0000-0000-000025050000}"/>
    <cellStyle name="Heading [Palat] 2 7 4 2 2" xfId="32534" xr:uid="{00000000-0005-0000-0000-000025050000}"/>
    <cellStyle name="Heading [Palat] 2 7 4 2 3" xfId="50897" xr:uid="{00000000-0005-0000-0000-000025050000}"/>
    <cellStyle name="Heading [Palat] 2 7 4 3" xfId="28772" xr:uid="{00000000-0005-0000-0000-000025050000}"/>
    <cellStyle name="Heading [Palat] 2 7 4 3 2" xfId="47135" xr:uid="{00000000-0005-0000-0000-000025050000}"/>
    <cellStyle name="Heading [Palat] 2 7 4 4" xfId="19575" xr:uid="{00000000-0005-0000-0000-000025050000}"/>
    <cellStyle name="Heading [Palat] 2 7 4 5" xfId="37981" xr:uid="{00000000-0005-0000-0000-000025050000}"/>
    <cellStyle name="Heading [Palat] 2 7 5" xfId="9191" xr:uid="{00000000-0005-0000-0000-000025050000}"/>
    <cellStyle name="Heading [Palat] 2 7 5 2" xfId="27912" xr:uid="{00000000-0005-0000-0000-000025050000}"/>
    <cellStyle name="Heading [Palat] 2 7 5 3" xfId="46275" xr:uid="{00000000-0005-0000-0000-000025050000}"/>
    <cellStyle name="Heading [Palat] 2 7 6" xfId="13249" xr:uid="{00000000-0005-0000-0000-000025050000}"/>
    <cellStyle name="Heading [Palat] 2 7 6 2" xfId="31670" xr:uid="{00000000-0005-0000-0000-000025050000}"/>
    <cellStyle name="Heading [Palat] 2 7 6 3" xfId="50033" xr:uid="{00000000-0005-0000-0000-000025050000}"/>
    <cellStyle name="Heading [Palat] 2 7 7" xfId="23256" xr:uid="{00000000-0005-0000-0000-000025050000}"/>
    <cellStyle name="Heading [Palat] 2 7 7 2" xfId="41625" xr:uid="{00000000-0005-0000-0000-000025050000}"/>
    <cellStyle name="Heading [Palat] 2 7 8" xfId="18206" xr:uid="{00000000-0005-0000-0000-000025050000}"/>
    <cellStyle name="Heading [Palat] 2 7 9" xfId="36612" xr:uid="{00000000-0005-0000-0000-000025050000}"/>
    <cellStyle name="Heading [Palat] 2 8" xfId="4188" xr:uid="{00000000-0005-0000-0000-000025050000}"/>
    <cellStyle name="Heading [Palat] 2 8 2" xfId="10838" xr:uid="{00000000-0005-0000-0000-000025050000}"/>
    <cellStyle name="Heading [Palat] 2 8 2 2" xfId="29509" xr:uid="{00000000-0005-0000-0000-000025050000}"/>
    <cellStyle name="Heading [Palat] 2 8 2 3" xfId="47872" xr:uid="{00000000-0005-0000-0000-000025050000}"/>
    <cellStyle name="Heading [Palat] 2 8 3" xfId="14934" xr:uid="{00000000-0005-0000-0000-000025050000}"/>
    <cellStyle name="Heading [Palat] 2 8 3 2" xfId="33338" xr:uid="{00000000-0005-0000-0000-000025050000}"/>
    <cellStyle name="Heading [Palat] 2 8 3 3" xfId="51701" xr:uid="{00000000-0005-0000-0000-000025050000}"/>
    <cellStyle name="Heading [Palat] 2 8 4" xfId="24067" xr:uid="{00000000-0005-0000-0000-000025050000}"/>
    <cellStyle name="Heading [Palat] 2 8 4 2" xfId="42436" xr:uid="{00000000-0005-0000-0000-000025050000}"/>
    <cellStyle name="Heading [Palat] 2 8 5" xfId="20387" xr:uid="{00000000-0005-0000-0000-000025050000}"/>
    <cellStyle name="Heading [Palat] 2 8 6" xfId="38785" xr:uid="{00000000-0005-0000-0000-000025050000}"/>
    <cellStyle name="Heading [Palat] 2 9" xfId="4805" xr:uid="{00000000-0005-0000-0000-000025050000}"/>
    <cellStyle name="Heading [Palat] 2 9 2" xfId="11366" xr:uid="{00000000-0005-0000-0000-000025050000}"/>
    <cellStyle name="Heading [Palat] 2 9 2 2" xfId="29960" xr:uid="{00000000-0005-0000-0000-000025050000}"/>
    <cellStyle name="Heading [Palat] 2 9 2 3" xfId="48323" xr:uid="{00000000-0005-0000-0000-000025050000}"/>
    <cellStyle name="Heading [Palat] 2 9 3" xfId="15531" xr:uid="{00000000-0005-0000-0000-000025050000}"/>
    <cellStyle name="Heading [Palat] 2 9 3 2" xfId="33924" xr:uid="{00000000-0005-0000-0000-000025050000}"/>
    <cellStyle name="Heading [Palat] 2 9 3 3" xfId="52287" xr:uid="{00000000-0005-0000-0000-000025050000}"/>
    <cellStyle name="Heading [Palat] 2 9 4" xfId="24655" xr:uid="{00000000-0005-0000-0000-000025050000}"/>
    <cellStyle name="Heading [Palat] 2 9 4 2" xfId="43024" xr:uid="{00000000-0005-0000-0000-000025050000}"/>
    <cellStyle name="Heading [Palat] 2 9 5" xfId="20982" xr:uid="{00000000-0005-0000-0000-000025050000}"/>
    <cellStyle name="Heading [Palat] 2 9 6" xfId="39371" xr:uid="{00000000-0005-0000-0000-000025050000}"/>
    <cellStyle name="Heading [Palat] 3" xfId="1853" xr:uid="{00000000-0005-0000-0000-000034050000}"/>
    <cellStyle name="Heading [Palat] 3 10" xfId="17669" xr:uid="{00000000-0005-0000-0000-000034050000}"/>
    <cellStyle name="Heading [Palat] 3 2" xfId="3707" xr:uid="{00000000-0005-0000-0000-000034050000}"/>
    <cellStyle name="Heading [Palat] 3 2 2" xfId="5880" xr:uid="{00000000-0005-0000-0000-000034050000}"/>
    <cellStyle name="Heading [Palat] 3 2 2 2" xfId="12244" xr:uid="{00000000-0005-0000-0000-000034050000}"/>
    <cellStyle name="Heading [Palat] 3 2 2 2 2" xfId="30691" xr:uid="{00000000-0005-0000-0000-000034050000}"/>
    <cellStyle name="Heading [Palat] 3 2 2 2 3" xfId="49054" xr:uid="{00000000-0005-0000-0000-000034050000}"/>
    <cellStyle name="Heading [Palat] 3 2 2 3" xfId="16570" xr:uid="{00000000-0005-0000-0000-000034050000}"/>
    <cellStyle name="Heading [Palat] 3 2 2 3 2" xfId="34942" xr:uid="{00000000-0005-0000-0000-000034050000}"/>
    <cellStyle name="Heading [Palat] 3 2 2 3 3" xfId="53305" xr:uid="{00000000-0005-0000-0000-000034050000}"/>
    <cellStyle name="Heading [Palat] 3 2 2 4" xfId="25689" xr:uid="{00000000-0005-0000-0000-000034050000}"/>
    <cellStyle name="Heading [Palat] 3 2 2 4 2" xfId="44058" xr:uid="{00000000-0005-0000-0000-000034050000}"/>
    <cellStyle name="Heading [Palat] 3 2 2 5" xfId="22010" xr:uid="{00000000-0005-0000-0000-000034050000}"/>
    <cellStyle name="Heading [Palat] 3 2 2 6" xfId="40389" xr:uid="{00000000-0005-0000-0000-000034050000}"/>
    <cellStyle name="Heading [Palat] 3 2 3" xfId="6706" xr:uid="{00000000-0005-0000-0000-000034050000}"/>
    <cellStyle name="Heading [Palat] 3 2 3 2" xfId="12997" xr:uid="{00000000-0005-0000-0000-000034050000}"/>
    <cellStyle name="Heading [Palat] 3 2 3 2 2" xfId="31423" xr:uid="{00000000-0005-0000-0000-000034050000}"/>
    <cellStyle name="Heading [Palat] 3 2 3 2 3" xfId="49786" xr:uid="{00000000-0005-0000-0000-000034050000}"/>
    <cellStyle name="Heading [Palat] 3 2 3 3" xfId="17308" xr:uid="{00000000-0005-0000-0000-000034050000}"/>
    <cellStyle name="Heading [Palat] 3 2 3 3 2" xfId="35656" xr:uid="{00000000-0005-0000-0000-000034050000}"/>
    <cellStyle name="Heading [Palat] 3 2 3 3 3" xfId="54019" xr:uid="{00000000-0005-0000-0000-000034050000}"/>
    <cellStyle name="Heading [Palat] 3 2 3 4" xfId="26441" xr:uid="{00000000-0005-0000-0000-000034050000}"/>
    <cellStyle name="Heading [Palat] 3 2 3 4 2" xfId="44810" xr:uid="{00000000-0005-0000-0000-000034050000}"/>
    <cellStyle name="Heading [Palat] 3 2 3 5" xfId="22734" xr:uid="{00000000-0005-0000-0000-000034050000}"/>
    <cellStyle name="Heading [Palat] 3 2 3 6" xfId="41103" xr:uid="{00000000-0005-0000-0000-000034050000}"/>
    <cellStyle name="Heading [Palat] 3 2 4" xfId="10420" xr:uid="{00000000-0005-0000-0000-000034050000}"/>
    <cellStyle name="Heading [Palat] 3 2 4 2" xfId="14477" xr:uid="{00000000-0005-0000-0000-000034050000}"/>
    <cellStyle name="Heading [Palat] 3 2 4 2 2" xfId="32893" xr:uid="{00000000-0005-0000-0000-000034050000}"/>
    <cellStyle name="Heading [Palat] 3 2 4 2 3" xfId="51256" xr:uid="{00000000-0005-0000-0000-000034050000}"/>
    <cellStyle name="Heading [Palat] 3 2 4 3" xfId="29131" xr:uid="{00000000-0005-0000-0000-000034050000}"/>
    <cellStyle name="Heading [Palat] 3 2 4 3 2" xfId="47494" xr:uid="{00000000-0005-0000-0000-000034050000}"/>
    <cellStyle name="Heading [Palat] 3 2 4 4" xfId="19934" xr:uid="{00000000-0005-0000-0000-000034050000}"/>
    <cellStyle name="Heading [Palat] 3 2 4 5" xfId="38340" xr:uid="{00000000-0005-0000-0000-000034050000}"/>
    <cellStyle name="Heading [Palat] 3 2 5" xfId="9632" xr:uid="{00000000-0005-0000-0000-000034050000}"/>
    <cellStyle name="Heading [Palat] 3 2 5 2" xfId="28348" xr:uid="{00000000-0005-0000-0000-000034050000}"/>
    <cellStyle name="Heading [Palat] 3 2 5 3" xfId="46711" xr:uid="{00000000-0005-0000-0000-000034050000}"/>
    <cellStyle name="Heading [Palat] 3 2 6" xfId="13689" xr:uid="{00000000-0005-0000-0000-000034050000}"/>
    <cellStyle name="Heading [Palat] 3 2 6 2" xfId="32110" xr:uid="{00000000-0005-0000-0000-000034050000}"/>
    <cellStyle name="Heading [Palat] 3 2 6 3" xfId="50473" xr:uid="{00000000-0005-0000-0000-000034050000}"/>
    <cellStyle name="Heading [Palat] 3 2 7" xfId="23615" xr:uid="{00000000-0005-0000-0000-000034050000}"/>
    <cellStyle name="Heading [Palat] 3 2 7 2" xfId="41984" xr:uid="{00000000-0005-0000-0000-000034050000}"/>
    <cellStyle name="Heading [Palat] 3 2 8" xfId="18746" xr:uid="{00000000-0005-0000-0000-000034050000}"/>
    <cellStyle name="Heading [Palat] 3 2 9" xfId="37155" xr:uid="{00000000-0005-0000-0000-000034050000}"/>
    <cellStyle name="Heading [Palat] 3 3" xfId="4778" xr:uid="{00000000-0005-0000-0000-000034050000}"/>
    <cellStyle name="Heading [Palat] 3 3 2" xfId="11351" xr:uid="{00000000-0005-0000-0000-000034050000}"/>
    <cellStyle name="Heading [Palat] 3 3 2 2" xfId="29947" xr:uid="{00000000-0005-0000-0000-000034050000}"/>
    <cellStyle name="Heading [Palat] 3 3 2 3" xfId="48310" xr:uid="{00000000-0005-0000-0000-000034050000}"/>
    <cellStyle name="Heading [Palat] 3 3 3" xfId="15504" xr:uid="{00000000-0005-0000-0000-000034050000}"/>
    <cellStyle name="Heading [Palat] 3 3 3 2" xfId="33897" xr:uid="{00000000-0005-0000-0000-000034050000}"/>
    <cellStyle name="Heading [Palat] 3 3 3 3" xfId="52260" xr:uid="{00000000-0005-0000-0000-000034050000}"/>
    <cellStyle name="Heading [Palat] 3 3 4" xfId="24628" xr:uid="{00000000-0005-0000-0000-000034050000}"/>
    <cellStyle name="Heading [Palat] 3 3 4 2" xfId="42997" xr:uid="{00000000-0005-0000-0000-000034050000}"/>
    <cellStyle name="Heading [Palat] 3 3 5" xfId="20955" xr:uid="{00000000-0005-0000-0000-000034050000}"/>
    <cellStyle name="Heading [Palat] 3 3 6" xfId="39344" xr:uid="{00000000-0005-0000-0000-000034050000}"/>
    <cellStyle name="Heading [Palat] 3 4" xfId="5510" xr:uid="{00000000-0005-0000-0000-000034050000}"/>
    <cellStyle name="Heading [Palat] 3 4 2" xfId="11874" xr:uid="{00000000-0005-0000-0000-000034050000}"/>
    <cellStyle name="Heading [Palat] 3 4 2 2" xfId="30321" xr:uid="{00000000-0005-0000-0000-000034050000}"/>
    <cellStyle name="Heading [Palat] 3 4 2 3" xfId="48684" xr:uid="{00000000-0005-0000-0000-000034050000}"/>
    <cellStyle name="Heading [Palat] 3 4 3" xfId="16201" xr:uid="{00000000-0005-0000-0000-000034050000}"/>
    <cellStyle name="Heading [Palat] 3 4 3 2" xfId="34573" xr:uid="{00000000-0005-0000-0000-000034050000}"/>
    <cellStyle name="Heading [Palat] 3 4 3 3" xfId="52936" xr:uid="{00000000-0005-0000-0000-000034050000}"/>
    <cellStyle name="Heading [Palat] 3 4 4" xfId="25320" xr:uid="{00000000-0005-0000-0000-000034050000}"/>
    <cellStyle name="Heading [Palat] 3 4 4 2" xfId="43689" xr:uid="{00000000-0005-0000-0000-000034050000}"/>
    <cellStyle name="Heading [Palat] 3 4 5" xfId="21641" xr:uid="{00000000-0005-0000-0000-000034050000}"/>
    <cellStyle name="Heading [Palat] 3 4 6" xfId="40020" xr:uid="{00000000-0005-0000-0000-000034050000}"/>
    <cellStyle name="Heading [Palat] 3 5" xfId="9051" xr:uid="{00000000-0005-0000-0000-000034050000}"/>
    <cellStyle name="Heading [Palat] 3 5 2" xfId="6908" xr:uid="{00000000-0005-0000-0000-000034050000}"/>
    <cellStyle name="Heading [Palat] 3 5 2 2" xfId="26643" xr:uid="{00000000-0005-0000-0000-000034050000}"/>
    <cellStyle name="Heading [Palat] 3 5 2 3" xfId="45012" xr:uid="{00000000-0005-0000-0000-000034050000}"/>
    <cellStyle name="Heading [Palat] 3 5 3" xfId="27777" xr:uid="{00000000-0005-0000-0000-000034050000}"/>
    <cellStyle name="Heading [Palat] 3 5 3 2" xfId="46140" xr:uid="{00000000-0005-0000-0000-000034050000}"/>
    <cellStyle name="Heading [Palat] 3 5 4" xfId="17948" xr:uid="{00000000-0005-0000-0000-000034050000}"/>
    <cellStyle name="Heading [Palat] 3 5 5" xfId="36356" xr:uid="{00000000-0005-0000-0000-000034050000}"/>
    <cellStyle name="Heading [Palat] 3 6" xfId="8067" xr:uid="{00000000-0005-0000-0000-000034050000}"/>
    <cellStyle name="Heading [Palat] 3 6 2" xfId="27279" xr:uid="{00000000-0005-0000-0000-000034050000}"/>
    <cellStyle name="Heading [Palat] 3 6 3" xfId="45644" xr:uid="{00000000-0005-0000-0000-000034050000}"/>
    <cellStyle name="Heading [Palat] 3 7" xfId="8883" xr:uid="{00000000-0005-0000-0000-000034050000}"/>
    <cellStyle name="Heading [Palat] 3 7 2" xfId="27667" xr:uid="{00000000-0005-0000-0000-000034050000}"/>
    <cellStyle name="Heading [Palat] 3 7 3" xfId="46030" xr:uid="{00000000-0005-0000-0000-000034050000}"/>
    <cellStyle name="Heading [Palat] 3 8" xfId="19164" xr:uid="{00000000-0005-0000-0000-000034050000}"/>
    <cellStyle name="Heading [Palat] 3 8 2" xfId="37572" xr:uid="{00000000-0005-0000-0000-000034050000}"/>
    <cellStyle name="Heading [Palat] 3 9" xfId="7074" xr:uid="{00000000-0005-0000-0000-000034050000}"/>
    <cellStyle name="Heading [Palat] 4" xfId="2081" xr:uid="{00000000-0005-0000-0000-000035050000}"/>
    <cellStyle name="Heading [Palat] 4 10" xfId="11342" xr:uid="{00000000-0005-0000-0000-000035050000}"/>
    <cellStyle name="Heading [Palat] 4 2" xfId="3752" xr:uid="{00000000-0005-0000-0000-000035050000}"/>
    <cellStyle name="Heading [Palat] 4 2 2" xfId="5925" xr:uid="{00000000-0005-0000-0000-000035050000}"/>
    <cellStyle name="Heading [Palat] 4 2 2 2" xfId="12289" xr:uid="{00000000-0005-0000-0000-000035050000}"/>
    <cellStyle name="Heading [Palat] 4 2 2 2 2" xfId="30736" xr:uid="{00000000-0005-0000-0000-000035050000}"/>
    <cellStyle name="Heading [Palat] 4 2 2 2 3" xfId="49099" xr:uid="{00000000-0005-0000-0000-000035050000}"/>
    <cellStyle name="Heading [Palat] 4 2 2 3" xfId="16615" xr:uid="{00000000-0005-0000-0000-000035050000}"/>
    <cellStyle name="Heading [Palat] 4 2 2 3 2" xfId="34987" xr:uid="{00000000-0005-0000-0000-000035050000}"/>
    <cellStyle name="Heading [Palat] 4 2 2 3 3" xfId="53350" xr:uid="{00000000-0005-0000-0000-000035050000}"/>
    <cellStyle name="Heading [Palat] 4 2 2 4" xfId="25734" xr:uid="{00000000-0005-0000-0000-000035050000}"/>
    <cellStyle name="Heading [Palat] 4 2 2 4 2" xfId="44103" xr:uid="{00000000-0005-0000-0000-000035050000}"/>
    <cellStyle name="Heading [Palat] 4 2 2 5" xfId="22055" xr:uid="{00000000-0005-0000-0000-000035050000}"/>
    <cellStyle name="Heading [Palat] 4 2 2 6" xfId="40434" xr:uid="{00000000-0005-0000-0000-000035050000}"/>
    <cellStyle name="Heading [Palat] 4 2 3" xfId="6751" xr:uid="{00000000-0005-0000-0000-000035050000}"/>
    <cellStyle name="Heading [Palat] 4 2 3 2" xfId="13042" xr:uid="{00000000-0005-0000-0000-000035050000}"/>
    <cellStyle name="Heading [Palat] 4 2 3 2 2" xfId="31468" xr:uid="{00000000-0005-0000-0000-000035050000}"/>
    <cellStyle name="Heading [Palat] 4 2 3 2 3" xfId="49831" xr:uid="{00000000-0005-0000-0000-000035050000}"/>
    <cellStyle name="Heading [Palat] 4 2 3 3" xfId="17353" xr:uid="{00000000-0005-0000-0000-000035050000}"/>
    <cellStyle name="Heading [Palat] 4 2 3 3 2" xfId="35701" xr:uid="{00000000-0005-0000-0000-000035050000}"/>
    <cellStyle name="Heading [Palat] 4 2 3 3 3" xfId="54064" xr:uid="{00000000-0005-0000-0000-000035050000}"/>
    <cellStyle name="Heading [Palat] 4 2 3 4" xfId="26486" xr:uid="{00000000-0005-0000-0000-000035050000}"/>
    <cellStyle name="Heading [Palat] 4 2 3 4 2" xfId="44855" xr:uid="{00000000-0005-0000-0000-000035050000}"/>
    <cellStyle name="Heading [Palat] 4 2 3 5" xfId="22779" xr:uid="{00000000-0005-0000-0000-000035050000}"/>
    <cellStyle name="Heading [Palat] 4 2 3 6" xfId="41148" xr:uid="{00000000-0005-0000-0000-000035050000}"/>
    <cellStyle name="Heading [Palat] 4 2 4" xfId="10465" xr:uid="{00000000-0005-0000-0000-000035050000}"/>
    <cellStyle name="Heading [Palat] 4 2 4 2" xfId="14522" xr:uid="{00000000-0005-0000-0000-000035050000}"/>
    <cellStyle name="Heading [Palat] 4 2 4 2 2" xfId="32938" xr:uid="{00000000-0005-0000-0000-000035050000}"/>
    <cellStyle name="Heading [Palat] 4 2 4 2 3" xfId="51301" xr:uid="{00000000-0005-0000-0000-000035050000}"/>
    <cellStyle name="Heading [Palat] 4 2 4 3" xfId="29176" xr:uid="{00000000-0005-0000-0000-000035050000}"/>
    <cellStyle name="Heading [Palat] 4 2 4 3 2" xfId="47539" xr:uid="{00000000-0005-0000-0000-000035050000}"/>
    <cellStyle name="Heading [Palat] 4 2 4 4" xfId="19979" xr:uid="{00000000-0005-0000-0000-000035050000}"/>
    <cellStyle name="Heading [Palat] 4 2 4 5" xfId="38385" xr:uid="{00000000-0005-0000-0000-000035050000}"/>
    <cellStyle name="Heading [Palat] 4 2 5" xfId="9714" xr:uid="{00000000-0005-0000-0000-000035050000}"/>
    <cellStyle name="Heading [Palat] 4 2 5 2" xfId="28430" xr:uid="{00000000-0005-0000-0000-000035050000}"/>
    <cellStyle name="Heading [Palat] 4 2 5 3" xfId="46793" xr:uid="{00000000-0005-0000-0000-000035050000}"/>
    <cellStyle name="Heading [Palat] 4 2 6" xfId="13771" xr:uid="{00000000-0005-0000-0000-000035050000}"/>
    <cellStyle name="Heading [Palat] 4 2 6 2" xfId="32192" xr:uid="{00000000-0005-0000-0000-000035050000}"/>
    <cellStyle name="Heading [Palat] 4 2 6 3" xfId="50555" xr:uid="{00000000-0005-0000-0000-000035050000}"/>
    <cellStyle name="Heading [Palat] 4 2 7" xfId="23660" xr:uid="{00000000-0005-0000-0000-000035050000}"/>
    <cellStyle name="Heading [Palat] 4 2 7 2" xfId="42029" xr:uid="{00000000-0005-0000-0000-000035050000}"/>
    <cellStyle name="Heading [Palat] 4 2 8" xfId="18862" xr:uid="{00000000-0005-0000-0000-000035050000}"/>
    <cellStyle name="Heading [Palat] 4 2 9" xfId="37271" xr:uid="{00000000-0005-0000-0000-000035050000}"/>
    <cellStyle name="Heading [Palat] 4 3" xfId="4904" xr:uid="{00000000-0005-0000-0000-000035050000}"/>
    <cellStyle name="Heading [Palat] 4 3 2" xfId="11459" xr:uid="{00000000-0005-0000-0000-000035050000}"/>
    <cellStyle name="Heading [Palat] 4 3 2 2" xfId="30047" xr:uid="{00000000-0005-0000-0000-000035050000}"/>
    <cellStyle name="Heading [Palat] 4 3 2 3" xfId="48410" xr:uid="{00000000-0005-0000-0000-000035050000}"/>
    <cellStyle name="Heading [Palat] 4 3 3" xfId="15630" xr:uid="{00000000-0005-0000-0000-000035050000}"/>
    <cellStyle name="Heading [Palat] 4 3 3 2" xfId="34021" xr:uid="{00000000-0005-0000-0000-000035050000}"/>
    <cellStyle name="Heading [Palat] 4 3 3 3" xfId="52384" xr:uid="{00000000-0005-0000-0000-000035050000}"/>
    <cellStyle name="Heading [Palat] 4 3 4" xfId="24752" xr:uid="{00000000-0005-0000-0000-000035050000}"/>
    <cellStyle name="Heading [Palat] 4 3 4 2" xfId="43121" xr:uid="{00000000-0005-0000-0000-000035050000}"/>
    <cellStyle name="Heading [Palat] 4 3 5" xfId="21079" xr:uid="{00000000-0005-0000-0000-000035050000}"/>
    <cellStyle name="Heading [Palat] 4 3 6" xfId="39468" xr:uid="{00000000-0005-0000-0000-000035050000}"/>
    <cellStyle name="Heading [Palat] 4 4" xfId="3916" xr:uid="{00000000-0005-0000-0000-000035050000}"/>
    <cellStyle name="Heading [Palat] 4 4 2" xfId="10624" xr:uid="{00000000-0005-0000-0000-000035050000}"/>
    <cellStyle name="Heading [Palat] 4 4 2 2" xfId="29334" xr:uid="{00000000-0005-0000-0000-000035050000}"/>
    <cellStyle name="Heading [Palat] 4 4 2 3" xfId="47697" xr:uid="{00000000-0005-0000-0000-000035050000}"/>
    <cellStyle name="Heading [Palat] 4 4 3" xfId="14681" xr:uid="{00000000-0005-0000-0000-000035050000}"/>
    <cellStyle name="Heading [Palat] 4 4 3 2" xfId="33095" xr:uid="{00000000-0005-0000-0000-000035050000}"/>
    <cellStyle name="Heading [Palat] 4 4 3 3" xfId="51458" xr:uid="{00000000-0005-0000-0000-000035050000}"/>
    <cellStyle name="Heading [Palat] 4 4 4" xfId="23819" xr:uid="{00000000-0005-0000-0000-000035050000}"/>
    <cellStyle name="Heading [Palat] 4 4 4 2" xfId="42188" xr:uid="{00000000-0005-0000-0000-000035050000}"/>
    <cellStyle name="Heading [Palat] 4 4 5" xfId="20137" xr:uid="{00000000-0005-0000-0000-000035050000}"/>
    <cellStyle name="Heading [Palat] 4 4 6" xfId="38542" xr:uid="{00000000-0005-0000-0000-000035050000}"/>
    <cellStyle name="Heading [Palat] 4 5" xfId="9024" xr:uid="{00000000-0005-0000-0000-000035050000}"/>
    <cellStyle name="Heading [Palat] 4 5 2" xfId="6925" xr:uid="{00000000-0005-0000-0000-000035050000}"/>
    <cellStyle name="Heading [Palat] 4 5 2 2" xfId="26660" xr:uid="{00000000-0005-0000-0000-000035050000}"/>
    <cellStyle name="Heading [Palat] 4 5 2 3" xfId="45029" xr:uid="{00000000-0005-0000-0000-000035050000}"/>
    <cellStyle name="Heading [Palat] 4 5 3" xfId="27750" xr:uid="{00000000-0005-0000-0000-000035050000}"/>
    <cellStyle name="Heading [Palat] 4 5 3 2" xfId="46113" xr:uid="{00000000-0005-0000-0000-000035050000}"/>
    <cellStyle name="Heading [Palat] 4 5 4" xfId="17910" xr:uid="{00000000-0005-0000-0000-000035050000}"/>
    <cellStyle name="Heading [Palat] 4 5 5" xfId="36319" xr:uid="{00000000-0005-0000-0000-000035050000}"/>
    <cellStyle name="Heading [Palat] 4 6" xfId="8218" xr:uid="{00000000-0005-0000-0000-000035050000}"/>
    <cellStyle name="Heading [Palat] 4 6 2" xfId="27377" xr:uid="{00000000-0005-0000-0000-000035050000}"/>
    <cellStyle name="Heading [Palat] 4 6 3" xfId="45742" xr:uid="{00000000-0005-0000-0000-000035050000}"/>
    <cellStyle name="Heading [Palat] 4 7" xfId="8500" xr:uid="{00000000-0005-0000-0000-000035050000}"/>
    <cellStyle name="Heading [Palat] 4 7 2" xfId="27507" xr:uid="{00000000-0005-0000-0000-000035050000}"/>
    <cellStyle name="Heading [Palat] 4 7 3" xfId="45871" xr:uid="{00000000-0005-0000-0000-000035050000}"/>
    <cellStyle name="Heading [Palat] 4 8" xfId="18215" xr:uid="{00000000-0005-0000-0000-000035050000}"/>
    <cellStyle name="Heading [Palat] 4 8 2" xfId="36621" xr:uid="{00000000-0005-0000-0000-000035050000}"/>
    <cellStyle name="Heading [Palat] 4 9" xfId="12451" xr:uid="{00000000-0005-0000-0000-000035050000}"/>
    <cellStyle name="Heading [Palat] 5" xfId="2534" xr:uid="{00000000-0005-0000-0000-000036050000}"/>
    <cellStyle name="Heading [Palat] 5 10" xfId="35868" xr:uid="{00000000-0005-0000-0000-000036050000}"/>
    <cellStyle name="Heading [Palat] 5 2" xfId="3796" xr:uid="{00000000-0005-0000-0000-000036050000}"/>
    <cellStyle name="Heading [Palat] 5 2 2" xfId="5969" xr:uid="{00000000-0005-0000-0000-000036050000}"/>
    <cellStyle name="Heading [Palat] 5 2 2 2" xfId="12333" xr:uid="{00000000-0005-0000-0000-000036050000}"/>
    <cellStyle name="Heading [Palat] 5 2 2 2 2" xfId="30780" xr:uid="{00000000-0005-0000-0000-000036050000}"/>
    <cellStyle name="Heading [Palat] 5 2 2 2 3" xfId="49143" xr:uid="{00000000-0005-0000-0000-000036050000}"/>
    <cellStyle name="Heading [Palat] 5 2 2 3" xfId="16659" xr:uid="{00000000-0005-0000-0000-000036050000}"/>
    <cellStyle name="Heading [Palat] 5 2 2 3 2" xfId="35031" xr:uid="{00000000-0005-0000-0000-000036050000}"/>
    <cellStyle name="Heading [Palat] 5 2 2 3 3" xfId="53394" xr:uid="{00000000-0005-0000-0000-000036050000}"/>
    <cellStyle name="Heading [Palat] 5 2 2 4" xfId="25778" xr:uid="{00000000-0005-0000-0000-000036050000}"/>
    <cellStyle name="Heading [Palat] 5 2 2 4 2" xfId="44147" xr:uid="{00000000-0005-0000-0000-000036050000}"/>
    <cellStyle name="Heading [Palat] 5 2 2 5" xfId="22099" xr:uid="{00000000-0005-0000-0000-000036050000}"/>
    <cellStyle name="Heading [Palat] 5 2 2 6" xfId="40478" xr:uid="{00000000-0005-0000-0000-000036050000}"/>
    <cellStyle name="Heading [Palat] 5 2 3" xfId="6795" xr:uid="{00000000-0005-0000-0000-000036050000}"/>
    <cellStyle name="Heading [Palat] 5 2 3 2" xfId="13086" xr:uid="{00000000-0005-0000-0000-000036050000}"/>
    <cellStyle name="Heading [Palat] 5 2 3 2 2" xfId="31512" xr:uid="{00000000-0005-0000-0000-000036050000}"/>
    <cellStyle name="Heading [Palat] 5 2 3 2 3" xfId="49875" xr:uid="{00000000-0005-0000-0000-000036050000}"/>
    <cellStyle name="Heading [Palat] 5 2 3 3" xfId="17397" xr:uid="{00000000-0005-0000-0000-000036050000}"/>
    <cellStyle name="Heading [Palat] 5 2 3 3 2" xfId="35745" xr:uid="{00000000-0005-0000-0000-000036050000}"/>
    <cellStyle name="Heading [Palat] 5 2 3 3 3" xfId="54108" xr:uid="{00000000-0005-0000-0000-000036050000}"/>
    <cellStyle name="Heading [Palat] 5 2 3 4" xfId="26530" xr:uid="{00000000-0005-0000-0000-000036050000}"/>
    <cellStyle name="Heading [Palat] 5 2 3 4 2" xfId="44899" xr:uid="{00000000-0005-0000-0000-000036050000}"/>
    <cellStyle name="Heading [Palat] 5 2 3 5" xfId="22823" xr:uid="{00000000-0005-0000-0000-000036050000}"/>
    <cellStyle name="Heading [Palat] 5 2 3 6" xfId="41192" xr:uid="{00000000-0005-0000-0000-000036050000}"/>
    <cellStyle name="Heading [Palat] 5 2 4" xfId="10509" xr:uid="{00000000-0005-0000-0000-000036050000}"/>
    <cellStyle name="Heading [Palat] 5 2 4 2" xfId="14566" xr:uid="{00000000-0005-0000-0000-000036050000}"/>
    <cellStyle name="Heading [Palat] 5 2 4 2 2" xfId="32982" xr:uid="{00000000-0005-0000-0000-000036050000}"/>
    <cellStyle name="Heading [Palat] 5 2 4 2 3" xfId="51345" xr:uid="{00000000-0005-0000-0000-000036050000}"/>
    <cellStyle name="Heading [Palat] 5 2 4 3" xfId="29220" xr:uid="{00000000-0005-0000-0000-000036050000}"/>
    <cellStyle name="Heading [Palat] 5 2 4 3 2" xfId="47583" xr:uid="{00000000-0005-0000-0000-000036050000}"/>
    <cellStyle name="Heading [Palat] 5 2 4 4" xfId="20023" xr:uid="{00000000-0005-0000-0000-000036050000}"/>
    <cellStyle name="Heading [Palat] 5 2 4 5" xfId="38429" xr:uid="{00000000-0005-0000-0000-000036050000}"/>
    <cellStyle name="Heading [Palat] 5 2 5" xfId="9816" xr:uid="{00000000-0005-0000-0000-000036050000}"/>
    <cellStyle name="Heading [Palat] 5 2 5 2" xfId="28531" xr:uid="{00000000-0005-0000-0000-000036050000}"/>
    <cellStyle name="Heading [Palat] 5 2 5 3" xfId="46894" xr:uid="{00000000-0005-0000-0000-000036050000}"/>
    <cellStyle name="Heading [Palat] 5 2 6" xfId="13873" xr:uid="{00000000-0005-0000-0000-000036050000}"/>
    <cellStyle name="Heading [Palat] 5 2 6 2" xfId="32293" xr:uid="{00000000-0005-0000-0000-000036050000}"/>
    <cellStyle name="Heading [Palat] 5 2 6 3" xfId="50656" xr:uid="{00000000-0005-0000-0000-000036050000}"/>
    <cellStyle name="Heading [Palat] 5 2 7" xfId="23704" xr:uid="{00000000-0005-0000-0000-000036050000}"/>
    <cellStyle name="Heading [Palat] 5 2 7 2" xfId="42073" xr:uid="{00000000-0005-0000-0000-000036050000}"/>
    <cellStyle name="Heading [Palat] 5 2 8" xfId="19031" xr:uid="{00000000-0005-0000-0000-000036050000}"/>
    <cellStyle name="Heading [Palat] 5 2 9" xfId="37440" xr:uid="{00000000-0005-0000-0000-000036050000}"/>
    <cellStyle name="Heading [Palat] 5 3" xfId="5070" xr:uid="{00000000-0005-0000-0000-000036050000}"/>
    <cellStyle name="Heading [Palat] 5 3 2" xfId="11592" xr:uid="{00000000-0005-0000-0000-000036050000}"/>
    <cellStyle name="Heading [Palat] 5 3 2 2" xfId="30159" xr:uid="{00000000-0005-0000-0000-000036050000}"/>
    <cellStyle name="Heading [Palat] 5 3 2 3" xfId="48522" xr:uid="{00000000-0005-0000-0000-000036050000}"/>
    <cellStyle name="Heading [Palat] 5 3 3" xfId="15783" xr:uid="{00000000-0005-0000-0000-000036050000}"/>
    <cellStyle name="Heading [Palat] 5 3 3 2" xfId="34170" xr:uid="{00000000-0005-0000-0000-000036050000}"/>
    <cellStyle name="Heading [Palat] 5 3 3 3" xfId="52533" xr:uid="{00000000-0005-0000-0000-000036050000}"/>
    <cellStyle name="Heading [Palat] 5 3 4" xfId="24906" xr:uid="{00000000-0005-0000-0000-000036050000}"/>
    <cellStyle name="Heading [Palat] 5 3 4 2" xfId="43275" xr:uid="{00000000-0005-0000-0000-000036050000}"/>
    <cellStyle name="Heading [Palat] 5 3 5" xfId="21231" xr:uid="{00000000-0005-0000-0000-000036050000}"/>
    <cellStyle name="Heading [Palat] 5 3 6" xfId="39617" xr:uid="{00000000-0005-0000-0000-000036050000}"/>
    <cellStyle name="Heading [Palat] 5 4" xfId="6140" xr:uid="{00000000-0005-0000-0000-000036050000}"/>
    <cellStyle name="Heading [Palat] 5 4 2" xfId="12494" xr:uid="{00000000-0005-0000-0000-000036050000}"/>
    <cellStyle name="Heading [Palat] 5 4 2 2" xfId="30932" xr:uid="{00000000-0005-0000-0000-000036050000}"/>
    <cellStyle name="Heading [Palat] 5 4 2 3" xfId="49295" xr:uid="{00000000-0005-0000-0000-000036050000}"/>
    <cellStyle name="Heading [Palat] 5 4 3" xfId="16812" xr:uid="{00000000-0005-0000-0000-000036050000}"/>
    <cellStyle name="Heading [Palat] 5 4 3 2" xfId="35179" xr:uid="{00000000-0005-0000-0000-000036050000}"/>
    <cellStyle name="Heading [Palat] 5 4 3 3" xfId="53542" xr:uid="{00000000-0005-0000-0000-000036050000}"/>
    <cellStyle name="Heading [Palat] 5 4 4" xfId="25933" xr:uid="{00000000-0005-0000-0000-000036050000}"/>
    <cellStyle name="Heading [Palat] 5 4 4 2" xfId="44302" xr:uid="{00000000-0005-0000-0000-000036050000}"/>
    <cellStyle name="Heading [Palat] 5 4 5" xfId="22249" xr:uid="{00000000-0005-0000-0000-000036050000}"/>
    <cellStyle name="Heading [Palat] 5 4 6" xfId="40626" xr:uid="{00000000-0005-0000-0000-000036050000}"/>
    <cellStyle name="Heading [Palat] 5 5" xfId="9945" xr:uid="{00000000-0005-0000-0000-000036050000}"/>
    <cellStyle name="Heading [Palat] 5 5 2" xfId="14002" xr:uid="{00000000-0005-0000-0000-000036050000}"/>
    <cellStyle name="Heading [Palat] 5 5 2 2" xfId="32419" xr:uid="{00000000-0005-0000-0000-000036050000}"/>
    <cellStyle name="Heading [Palat] 5 5 2 3" xfId="50782" xr:uid="{00000000-0005-0000-0000-000036050000}"/>
    <cellStyle name="Heading [Palat] 5 5 3" xfId="28657" xr:uid="{00000000-0005-0000-0000-000036050000}"/>
    <cellStyle name="Heading [Palat] 5 5 3 2" xfId="47020" xr:uid="{00000000-0005-0000-0000-000036050000}"/>
    <cellStyle name="Heading [Palat] 5 5 4" xfId="19272" xr:uid="{00000000-0005-0000-0000-000036050000}"/>
    <cellStyle name="Heading [Palat] 5 5 5" xfId="37679" xr:uid="{00000000-0005-0000-0000-000036050000}"/>
    <cellStyle name="Heading [Palat] 5 6" xfId="8488" xr:uid="{00000000-0005-0000-0000-000036050000}"/>
    <cellStyle name="Heading [Palat] 5 6 2" xfId="27504" xr:uid="{00000000-0005-0000-0000-000036050000}"/>
    <cellStyle name="Heading [Palat] 5 6 3" xfId="45868" xr:uid="{00000000-0005-0000-0000-000036050000}"/>
    <cellStyle name="Heading [Palat] 5 7" xfId="7069" xr:uid="{00000000-0005-0000-0000-000036050000}"/>
    <cellStyle name="Heading [Palat] 5 7 2" xfId="26709" xr:uid="{00000000-0005-0000-0000-000036050000}"/>
    <cellStyle name="Heading [Palat] 5 7 3" xfId="45077" xr:uid="{00000000-0005-0000-0000-000036050000}"/>
    <cellStyle name="Heading [Palat] 5 8" xfId="19227" xr:uid="{00000000-0005-0000-0000-000036050000}"/>
    <cellStyle name="Heading [Palat] 5 8 2" xfId="37634" xr:uid="{00000000-0005-0000-0000-000036050000}"/>
    <cellStyle name="Heading [Palat] 5 9" xfId="4915" xr:uid="{00000000-0005-0000-0000-000036050000}"/>
    <cellStyle name="Heading [Palat] 6" xfId="3008" xr:uid="{00000000-0005-0000-0000-000037050000}"/>
    <cellStyle name="Heading [Palat] 6 10" xfId="36019" xr:uid="{00000000-0005-0000-0000-000037050000}"/>
    <cellStyle name="Heading [Palat] 6 2" xfId="3837" xr:uid="{00000000-0005-0000-0000-000037050000}"/>
    <cellStyle name="Heading [Palat] 6 2 2" xfId="6010" xr:uid="{00000000-0005-0000-0000-000037050000}"/>
    <cellStyle name="Heading [Palat] 6 2 2 2" xfId="12374" xr:uid="{00000000-0005-0000-0000-000037050000}"/>
    <cellStyle name="Heading [Palat] 6 2 2 2 2" xfId="30821" xr:uid="{00000000-0005-0000-0000-000037050000}"/>
    <cellStyle name="Heading [Palat] 6 2 2 2 3" xfId="49184" xr:uid="{00000000-0005-0000-0000-000037050000}"/>
    <cellStyle name="Heading [Palat] 6 2 2 3" xfId="16700" xr:uid="{00000000-0005-0000-0000-000037050000}"/>
    <cellStyle name="Heading [Palat] 6 2 2 3 2" xfId="35072" xr:uid="{00000000-0005-0000-0000-000037050000}"/>
    <cellStyle name="Heading [Palat] 6 2 2 3 3" xfId="53435" xr:uid="{00000000-0005-0000-0000-000037050000}"/>
    <cellStyle name="Heading [Palat] 6 2 2 4" xfId="25819" xr:uid="{00000000-0005-0000-0000-000037050000}"/>
    <cellStyle name="Heading [Palat] 6 2 2 4 2" xfId="44188" xr:uid="{00000000-0005-0000-0000-000037050000}"/>
    <cellStyle name="Heading [Palat] 6 2 2 5" xfId="22140" xr:uid="{00000000-0005-0000-0000-000037050000}"/>
    <cellStyle name="Heading [Palat] 6 2 2 6" xfId="40519" xr:uid="{00000000-0005-0000-0000-000037050000}"/>
    <cellStyle name="Heading [Palat] 6 2 3" xfId="6836" xr:uid="{00000000-0005-0000-0000-000037050000}"/>
    <cellStyle name="Heading [Palat] 6 2 3 2" xfId="13127" xr:uid="{00000000-0005-0000-0000-000037050000}"/>
    <cellStyle name="Heading [Palat] 6 2 3 2 2" xfId="31553" xr:uid="{00000000-0005-0000-0000-000037050000}"/>
    <cellStyle name="Heading [Palat] 6 2 3 2 3" xfId="49916" xr:uid="{00000000-0005-0000-0000-000037050000}"/>
    <cellStyle name="Heading [Palat] 6 2 3 3" xfId="17438" xr:uid="{00000000-0005-0000-0000-000037050000}"/>
    <cellStyle name="Heading [Palat] 6 2 3 3 2" xfId="35786" xr:uid="{00000000-0005-0000-0000-000037050000}"/>
    <cellStyle name="Heading [Palat] 6 2 3 3 3" xfId="54149" xr:uid="{00000000-0005-0000-0000-000037050000}"/>
    <cellStyle name="Heading [Palat] 6 2 3 4" xfId="26571" xr:uid="{00000000-0005-0000-0000-000037050000}"/>
    <cellStyle name="Heading [Palat] 6 2 3 4 2" xfId="44940" xr:uid="{00000000-0005-0000-0000-000037050000}"/>
    <cellStyle name="Heading [Palat] 6 2 3 5" xfId="22864" xr:uid="{00000000-0005-0000-0000-000037050000}"/>
    <cellStyle name="Heading [Palat] 6 2 3 6" xfId="41233" xr:uid="{00000000-0005-0000-0000-000037050000}"/>
    <cellStyle name="Heading [Palat] 6 2 4" xfId="10550" xr:uid="{00000000-0005-0000-0000-000037050000}"/>
    <cellStyle name="Heading [Palat] 6 2 4 2" xfId="14607" xr:uid="{00000000-0005-0000-0000-000037050000}"/>
    <cellStyle name="Heading [Palat] 6 2 4 2 2" xfId="33023" xr:uid="{00000000-0005-0000-0000-000037050000}"/>
    <cellStyle name="Heading [Palat] 6 2 4 2 3" xfId="51386" xr:uid="{00000000-0005-0000-0000-000037050000}"/>
    <cellStyle name="Heading [Palat] 6 2 4 3" xfId="29261" xr:uid="{00000000-0005-0000-0000-000037050000}"/>
    <cellStyle name="Heading [Palat] 6 2 4 3 2" xfId="47624" xr:uid="{00000000-0005-0000-0000-000037050000}"/>
    <cellStyle name="Heading [Palat] 6 2 4 4" xfId="20064" xr:uid="{00000000-0005-0000-0000-000037050000}"/>
    <cellStyle name="Heading [Palat] 6 2 4 5" xfId="38470" xr:uid="{00000000-0005-0000-0000-000037050000}"/>
    <cellStyle name="Heading [Palat] 6 2 5" xfId="9917" xr:uid="{00000000-0005-0000-0000-000037050000}"/>
    <cellStyle name="Heading [Palat] 6 2 5 2" xfId="28629" xr:uid="{00000000-0005-0000-0000-000037050000}"/>
    <cellStyle name="Heading [Palat] 6 2 5 3" xfId="46992" xr:uid="{00000000-0005-0000-0000-000037050000}"/>
    <cellStyle name="Heading [Palat] 6 2 6" xfId="13974" xr:uid="{00000000-0005-0000-0000-000037050000}"/>
    <cellStyle name="Heading [Palat] 6 2 6 2" xfId="32391" xr:uid="{00000000-0005-0000-0000-000037050000}"/>
    <cellStyle name="Heading [Palat] 6 2 6 3" xfId="50754" xr:uid="{00000000-0005-0000-0000-000037050000}"/>
    <cellStyle name="Heading [Palat] 6 2 7" xfId="23745" xr:uid="{00000000-0005-0000-0000-000037050000}"/>
    <cellStyle name="Heading [Palat] 6 2 7 2" xfId="42114" xr:uid="{00000000-0005-0000-0000-000037050000}"/>
    <cellStyle name="Heading [Palat] 6 2 8" xfId="19220" xr:uid="{00000000-0005-0000-0000-000037050000}"/>
    <cellStyle name="Heading [Palat] 6 2 9" xfId="37627" xr:uid="{00000000-0005-0000-0000-000037050000}"/>
    <cellStyle name="Heading [Palat] 6 3" xfId="5263" xr:uid="{00000000-0005-0000-0000-000037050000}"/>
    <cellStyle name="Heading [Palat] 6 3 2" xfId="11721" xr:uid="{00000000-0005-0000-0000-000037050000}"/>
    <cellStyle name="Heading [Palat] 6 3 2 2" xfId="30231" xr:uid="{00000000-0005-0000-0000-000037050000}"/>
    <cellStyle name="Heading [Palat] 6 3 2 3" xfId="48594" xr:uid="{00000000-0005-0000-0000-000037050000}"/>
    <cellStyle name="Heading [Palat] 6 3 3" xfId="15955" xr:uid="{00000000-0005-0000-0000-000037050000}"/>
    <cellStyle name="Heading [Palat] 6 3 3 2" xfId="34329" xr:uid="{00000000-0005-0000-0000-000037050000}"/>
    <cellStyle name="Heading [Palat] 6 3 3 3" xfId="52692" xr:uid="{00000000-0005-0000-0000-000037050000}"/>
    <cellStyle name="Heading [Palat] 6 3 4" xfId="25076" xr:uid="{00000000-0005-0000-0000-000037050000}"/>
    <cellStyle name="Heading [Palat] 6 3 4 2" xfId="43445" xr:uid="{00000000-0005-0000-0000-000037050000}"/>
    <cellStyle name="Heading [Palat] 6 3 5" xfId="21397" xr:uid="{00000000-0005-0000-0000-000037050000}"/>
    <cellStyle name="Heading [Palat] 6 3 6" xfId="39776" xr:uid="{00000000-0005-0000-0000-000037050000}"/>
    <cellStyle name="Heading [Palat] 6 4" xfId="6232" xr:uid="{00000000-0005-0000-0000-000037050000}"/>
    <cellStyle name="Heading [Palat] 6 4 2" xfId="12547" xr:uid="{00000000-0005-0000-0000-000037050000}"/>
    <cellStyle name="Heading [Palat] 6 4 2 2" xfId="30979" xr:uid="{00000000-0005-0000-0000-000037050000}"/>
    <cellStyle name="Heading [Palat] 6 4 2 3" xfId="49342" xr:uid="{00000000-0005-0000-0000-000037050000}"/>
    <cellStyle name="Heading [Palat] 6 4 3" xfId="16864" xr:uid="{00000000-0005-0000-0000-000037050000}"/>
    <cellStyle name="Heading [Palat] 6 4 3 2" xfId="35221" xr:uid="{00000000-0005-0000-0000-000037050000}"/>
    <cellStyle name="Heading [Palat] 6 4 3 3" xfId="53584" xr:uid="{00000000-0005-0000-0000-000037050000}"/>
    <cellStyle name="Heading [Palat] 6 4 4" xfId="25996" xr:uid="{00000000-0005-0000-0000-000037050000}"/>
    <cellStyle name="Heading [Palat] 6 4 4 2" xfId="44365" xr:uid="{00000000-0005-0000-0000-000037050000}"/>
    <cellStyle name="Heading [Palat] 6 4 5" xfId="22295" xr:uid="{00000000-0005-0000-0000-000037050000}"/>
    <cellStyle name="Heading [Palat] 6 4 6" xfId="40668" xr:uid="{00000000-0005-0000-0000-000037050000}"/>
    <cellStyle name="Heading [Palat] 6 5" xfId="10037" xr:uid="{00000000-0005-0000-0000-000037050000}"/>
    <cellStyle name="Heading [Palat] 6 5 2" xfId="14094" xr:uid="{00000000-0005-0000-0000-000037050000}"/>
    <cellStyle name="Heading [Palat] 6 5 2 2" xfId="32510" xr:uid="{00000000-0005-0000-0000-000037050000}"/>
    <cellStyle name="Heading [Palat] 6 5 2 3" xfId="50873" xr:uid="{00000000-0005-0000-0000-000037050000}"/>
    <cellStyle name="Heading [Palat] 6 5 3" xfId="28748" xr:uid="{00000000-0005-0000-0000-000037050000}"/>
    <cellStyle name="Heading [Palat] 6 5 3 2" xfId="47111" xr:uid="{00000000-0005-0000-0000-000037050000}"/>
    <cellStyle name="Heading [Palat] 6 5 4" xfId="19484" xr:uid="{00000000-0005-0000-0000-000037050000}"/>
    <cellStyle name="Heading [Palat] 6 5 5" xfId="37890" xr:uid="{00000000-0005-0000-0000-000037050000}"/>
    <cellStyle name="Heading [Palat] 6 6" xfId="8803" xr:uid="{00000000-0005-0000-0000-000037050000}"/>
    <cellStyle name="Heading [Palat] 6 6 2" xfId="27637" xr:uid="{00000000-0005-0000-0000-000037050000}"/>
    <cellStyle name="Heading [Palat] 6 6 3" xfId="46000" xr:uid="{00000000-0005-0000-0000-000037050000}"/>
    <cellStyle name="Heading [Palat] 6 7" xfId="11408" xr:uid="{00000000-0005-0000-0000-000037050000}"/>
    <cellStyle name="Heading [Palat] 6 7 2" xfId="29999" xr:uid="{00000000-0005-0000-0000-000037050000}"/>
    <cellStyle name="Heading [Palat] 6 7 3" xfId="48362" xr:uid="{00000000-0005-0000-0000-000037050000}"/>
    <cellStyle name="Heading [Palat] 6 8" xfId="23017" xr:uid="{00000000-0005-0000-0000-000037050000}"/>
    <cellStyle name="Heading [Palat] 6 8 2" xfId="41386" xr:uid="{00000000-0005-0000-0000-000037050000}"/>
    <cellStyle name="Heading [Palat] 6 9" xfId="17576" xr:uid="{00000000-0005-0000-0000-000037050000}"/>
    <cellStyle name="Heading [Palat] 7" xfId="3167" xr:uid="{00000000-0005-0000-0000-000038050000}"/>
    <cellStyle name="Heading [Palat] 7 2" xfId="3861" xr:uid="{00000000-0005-0000-0000-000038050000}"/>
    <cellStyle name="Heading [Palat] 7 2 2" xfId="6034" xr:uid="{00000000-0005-0000-0000-000038050000}"/>
    <cellStyle name="Heading [Palat] 7 2 2 2" xfId="12398" xr:uid="{00000000-0005-0000-0000-000038050000}"/>
    <cellStyle name="Heading [Palat] 7 2 2 2 2" xfId="30845" xr:uid="{00000000-0005-0000-0000-000038050000}"/>
    <cellStyle name="Heading [Palat] 7 2 2 2 3" xfId="49208" xr:uid="{00000000-0005-0000-0000-000038050000}"/>
    <cellStyle name="Heading [Palat] 7 2 2 3" xfId="16724" xr:uid="{00000000-0005-0000-0000-000038050000}"/>
    <cellStyle name="Heading [Palat] 7 2 2 3 2" xfId="35096" xr:uid="{00000000-0005-0000-0000-000038050000}"/>
    <cellStyle name="Heading [Palat] 7 2 2 3 3" xfId="53459" xr:uid="{00000000-0005-0000-0000-000038050000}"/>
    <cellStyle name="Heading [Palat] 7 2 2 4" xfId="25843" xr:uid="{00000000-0005-0000-0000-000038050000}"/>
    <cellStyle name="Heading [Palat] 7 2 2 4 2" xfId="44212" xr:uid="{00000000-0005-0000-0000-000038050000}"/>
    <cellStyle name="Heading [Palat] 7 2 2 5" xfId="22164" xr:uid="{00000000-0005-0000-0000-000038050000}"/>
    <cellStyle name="Heading [Palat] 7 2 2 6" xfId="40543" xr:uid="{00000000-0005-0000-0000-000038050000}"/>
    <cellStyle name="Heading [Palat] 7 2 3" xfId="6860" xr:uid="{00000000-0005-0000-0000-000038050000}"/>
    <cellStyle name="Heading [Palat] 7 2 3 2" xfId="13151" xr:uid="{00000000-0005-0000-0000-000038050000}"/>
    <cellStyle name="Heading [Palat] 7 2 3 2 2" xfId="31577" xr:uid="{00000000-0005-0000-0000-000038050000}"/>
    <cellStyle name="Heading [Palat] 7 2 3 2 3" xfId="49940" xr:uid="{00000000-0005-0000-0000-000038050000}"/>
    <cellStyle name="Heading [Palat] 7 2 3 3" xfId="17462" xr:uid="{00000000-0005-0000-0000-000038050000}"/>
    <cellStyle name="Heading [Palat] 7 2 3 3 2" xfId="35810" xr:uid="{00000000-0005-0000-0000-000038050000}"/>
    <cellStyle name="Heading [Palat] 7 2 3 3 3" xfId="54173" xr:uid="{00000000-0005-0000-0000-000038050000}"/>
    <cellStyle name="Heading [Palat] 7 2 3 4" xfId="26595" xr:uid="{00000000-0005-0000-0000-000038050000}"/>
    <cellStyle name="Heading [Palat] 7 2 3 4 2" xfId="44964" xr:uid="{00000000-0005-0000-0000-000038050000}"/>
    <cellStyle name="Heading [Palat] 7 2 3 5" xfId="22888" xr:uid="{00000000-0005-0000-0000-000038050000}"/>
    <cellStyle name="Heading [Palat] 7 2 3 6" xfId="41257" xr:uid="{00000000-0005-0000-0000-000038050000}"/>
    <cellStyle name="Heading [Palat] 7 2 4" xfId="10574" xr:uid="{00000000-0005-0000-0000-000038050000}"/>
    <cellStyle name="Heading [Palat] 7 2 4 2" xfId="14631" xr:uid="{00000000-0005-0000-0000-000038050000}"/>
    <cellStyle name="Heading [Palat] 7 2 4 2 2" xfId="33047" xr:uid="{00000000-0005-0000-0000-000038050000}"/>
    <cellStyle name="Heading [Palat] 7 2 4 2 3" xfId="51410" xr:uid="{00000000-0005-0000-0000-000038050000}"/>
    <cellStyle name="Heading [Palat] 7 2 4 3" xfId="29285" xr:uid="{00000000-0005-0000-0000-000038050000}"/>
    <cellStyle name="Heading [Palat] 7 2 4 3 2" xfId="47648" xr:uid="{00000000-0005-0000-0000-000038050000}"/>
    <cellStyle name="Heading [Palat] 7 2 4 4" xfId="20088" xr:uid="{00000000-0005-0000-0000-000038050000}"/>
    <cellStyle name="Heading [Palat] 7 2 4 5" xfId="38494" xr:uid="{00000000-0005-0000-0000-000038050000}"/>
    <cellStyle name="Heading [Palat] 7 2 5" xfId="9961" xr:uid="{00000000-0005-0000-0000-000038050000}"/>
    <cellStyle name="Heading [Palat] 7 2 5 2" xfId="28673" xr:uid="{00000000-0005-0000-0000-000038050000}"/>
    <cellStyle name="Heading [Palat] 7 2 5 3" xfId="47036" xr:uid="{00000000-0005-0000-0000-000038050000}"/>
    <cellStyle name="Heading [Palat] 7 2 6" xfId="14018" xr:uid="{00000000-0005-0000-0000-000038050000}"/>
    <cellStyle name="Heading [Palat] 7 2 6 2" xfId="32435" xr:uid="{00000000-0005-0000-0000-000038050000}"/>
    <cellStyle name="Heading [Palat] 7 2 6 3" xfId="50798" xr:uid="{00000000-0005-0000-0000-000038050000}"/>
    <cellStyle name="Heading [Palat] 7 2 7" xfId="23769" xr:uid="{00000000-0005-0000-0000-000038050000}"/>
    <cellStyle name="Heading [Palat] 7 2 7 2" xfId="42138" xr:uid="{00000000-0005-0000-0000-000038050000}"/>
    <cellStyle name="Heading [Palat] 7 2 8" xfId="19298" xr:uid="{00000000-0005-0000-0000-000038050000}"/>
    <cellStyle name="Heading [Palat] 7 2 9" xfId="37705" xr:uid="{00000000-0005-0000-0000-000038050000}"/>
    <cellStyle name="Heading [Palat] 7 3" xfId="5382" xr:uid="{00000000-0005-0000-0000-000038050000}"/>
    <cellStyle name="Heading [Palat] 7 3 2" xfId="11799" xr:uid="{00000000-0005-0000-0000-000038050000}"/>
    <cellStyle name="Heading [Palat] 7 3 2 2" xfId="30272" xr:uid="{00000000-0005-0000-0000-000038050000}"/>
    <cellStyle name="Heading [Palat] 7 3 2 3" xfId="48635" xr:uid="{00000000-0005-0000-0000-000038050000}"/>
    <cellStyle name="Heading [Palat] 7 3 3" xfId="16074" xr:uid="{00000000-0005-0000-0000-000038050000}"/>
    <cellStyle name="Heading [Palat] 7 3 3 2" xfId="34446" xr:uid="{00000000-0005-0000-0000-000038050000}"/>
    <cellStyle name="Heading [Palat] 7 3 3 3" xfId="52809" xr:uid="{00000000-0005-0000-0000-000038050000}"/>
    <cellStyle name="Heading [Palat] 7 3 4" xfId="25193" xr:uid="{00000000-0005-0000-0000-000038050000}"/>
    <cellStyle name="Heading [Palat] 7 3 4 2" xfId="43562" xr:uid="{00000000-0005-0000-0000-000038050000}"/>
    <cellStyle name="Heading [Palat] 7 3 5" xfId="21514" xr:uid="{00000000-0005-0000-0000-000038050000}"/>
    <cellStyle name="Heading [Palat] 7 3 6" xfId="39893" xr:uid="{00000000-0005-0000-0000-000038050000}"/>
    <cellStyle name="Heading [Palat] 7 4" xfId="6275" xr:uid="{00000000-0005-0000-0000-000038050000}"/>
    <cellStyle name="Heading [Palat] 7 4 2" xfId="12577" xr:uid="{00000000-0005-0000-0000-000038050000}"/>
    <cellStyle name="Heading [Palat] 7 4 2 2" xfId="31006" xr:uid="{00000000-0005-0000-0000-000038050000}"/>
    <cellStyle name="Heading [Palat] 7 4 2 3" xfId="49369" xr:uid="{00000000-0005-0000-0000-000038050000}"/>
    <cellStyle name="Heading [Palat] 7 4 3" xfId="16890" xr:uid="{00000000-0005-0000-0000-000038050000}"/>
    <cellStyle name="Heading [Palat] 7 4 3 2" xfId="35245" xr:uid="{00000000-0005-0000-0000-000038050000}"/>
    <cellStyle name="Heading [Palat] 7 4 3 3" xfId="53608" xr:uid="{00000000-0005-0000-0000-000038050000}"/>
    <cellStyle name="Heading [Palat] 7 4 4" xfId="26025" xr:uid="{00000000-0005-0000-0000-000038050000}"/>
    <cellStyle name="Heading [Palat] 7 4 4 2" xfId="44394" xr:uid="{00000000-0005-0000-0000-000038050000}"/>
    <cellStyle name="Heading [Palat] 7 4 5" xfId="22322" xr:uid="{00000000-0005-0000-0000-000038050000}"/>
    <cellStyle name="Heading [Palat] 7 4 6" xfId="40692" xr:uid="{00000000-0005-0000-0000-000038050000}"/>
    <cellStyle name="Heading [Palat] 7 5" xfId="8908" xr:uid="{00000000-0005-0000-0000-000038050000}"/>
    <cellStyle name="Heading [Palat] 7 5 2" xfId="27684" xr:uid="{00000000-0005-0000-0000-000038050000}"/>
    <cellStyle name="Heading [Palat] 7 5 3" xfId="46047" xr:uid="{00000000-0005-0000-0000-000038050000}"/>
    <cellStyle name="Heading [Palat] 7 6" xfId="11664" xr:uid="{00000000-0005-0000-0000-000038050000}"/>
    <cellStyle name="Heading [Palat] 7 6 2" xfId="30210" xr:uid="{00000000-0005-0000-0000-000038050000}"/>
    <cellStyle name="Heading [Palat] 7 6 3" xfId="48573" xr:uid="{00000000-0005-0000-0000-000038050000}"/>
    <cellStyle name="Heading [Palat] 7 7" xfId="23122" xr:uid="{00000000-0005-0000-0000-000038050000}"/>
    <cellStyle name="Heading [Palat] 7 7 2" xfId="41491" xr:uid="{00000000-0005-0000-0000-000038050000}"/>
    <cellStyle name="Heading [Palat] 7 8" xfId="17701" xr:uid="{00000000-0005-0000-0000-000038050000}"/>
    <cellStyle name="Heading [Palat] 7 9" xfId="36124" xr:uid="{00000000-0005-0000-0000-000038050000}"/>
    <cellStyle name="Heading [Palat] 8" xfId="3269" xr:uid="{00000000-0005-0000-0000-000039050000}"/>
    <cellStyle name="Heading [Palat] 8 2" xfId="3877" xr:uid="{00000000-0005-0000-0000-000039050000}"/>
    <cellStyle name="Heading [Palat] 8 2 2" xfId="6050" xr:uid="{00000000-0005-0000-0000-000039050000}"/>
    <cellStyle name="Heading [Palat] 8 2 2 2" xfId="12414" xr:uid="{00000000-0005-0000-0000-000039050000}"/>
    <cellStyle name="Heading [Palat] 8 2 2 2 2" xfId="30861" xr:uid="{00000000-0005-0000-0000-000039050000}"/>
    <cellStyle name="Heading [Palat] 8 2 2 2 3" xfId="49224" xr:uid="{00000000-0005-0000-0000-000039050000}"/>
    <cellStyle name="Heading [Palat] 8 2 2 3" xfId="16740" xr:uid="{00000000-0005-0000-0000-000039050000}"/>
    <cellStyle name="Heading [Palat] 8 2 2 3 2" xfId="35112" xr:uid="{00000000-0005-0000-0000-000039050000}"/>
    <cellStyle name="Heading [Palat] 8 2 2 3 3" xfId="53475" xr:uid="{00000000-0005-0000-0000-000039050000}"/>
    <cellStyle name="Heading [Palat] 8 2 2 4" xfId="25859" xr:uid="{00000000-0005-0000-0000-000039050000}"/>
    <cellStyle name="Heading [Palat] 8 2 2 4 2" xfId="44228" xr:uid="{00000000-0005-0000-0000-000039050000}"/>
    <cellStyle name="Heading [Palat] 8 2 2 5" xfId="22180" xr:uid="{00000000-0005-0000-0000-000039050000}"/>
    <cellStyle name="Heading [Palat] 8 2 2 6" xfId="40559" xr:uid="{00000000-0005-0000-0000-000039050000}"/>
    <cellStyle name="Heading [Palat] 8 2 3" xfId="6876" xr:uid="{00000000-0005-0000-0000-000039050000}"/>
    <cellStyle name="Heading [Palat] 8 2 3 2" xfId="13167" xr:uid="{00000000-0005-0000-0000-000039050000}"/>
    <cellStyle name="Heading [Palat] 8 2 3 2 2" xfId="31593" xr:uid="{00000000-0005-0000-0000-000039050000}"/>
    <cellStyle name="Heading [Palat] 8 2 3 2 3" xfId="49956" xr:uid="{00000000-0005-0000-0000-000039050000}"/>
    <cellStyle name="Heading [Palat] 8 2 3 3" xfId="17478" xr:uid="{00000000-0005-0000-0000-000039050000}"/>
    <cellStyle name="Heading [Palat] 8 2 3 3 2" xfId="35826" xr:uid="{00000000-0005-0000-0000-000039050000}"/>
    <cellStyle name="Heading [Palat] 8 2 3 3 3" xfId="54189" xr:uid="{00000000-0005-0000-0000-000039050000}"/>
    <cellStyle name="Heading [Palat] 8 2 3 4" xfId="26611" xr:uid="{00000000-0005-0000-0000-000039050000}"/>
    <cellStyle name="Heading [Palat] 8 2 3 4 2" xfId="44980" xr:uid="{00000000-0005-0000-0000-000039050000}"/>
    <cellStyle name="Heading [Palat] 8 2 3 5" xfId="22904" xr:uid="{00000000-0005-0000-0000-000039050000}"/>
    <cellStyle name="Heading [Palat] 8 2 3 6" xfId="41273" xr:uid="{00000000-0005-0000-0000-000039050000}"/>
    <cellStyle name="Heading [Palat] 8 2 4" xfId="10590" xr:uid="{00000000-0005-0000-0000-000039050000}"/>
    <cellStyle name="Heading [Palat] 8 2 4 2" xfId="14647" xr:uid="{00000000-0005-0000-0000-000039050000}"/>
    <cellStyle name="Heading [Palat] 8 2 4 2 2" xfId="33063" xr:uid="{00000000-0005-0000-0000-000039050000}"/>
    <cellStyle name="Heading [Palat] 8 2 4 2 3" xfId="51426" xr:uid="{00000000-0005-0000-0000-000039050000}"/>
    <cellStyle name="Heading [Palat] 8 2 4 3" xfId="29301" xr:uid="{00000000-0005-0000-0000-000039050000}"/>
    <cellStyle name="Heading [Palat] 8 2 4 3 2" xfId="47664" xr:uid="{00000000-0005-0000-0000-000039050000}"/>
    <cellStyle name="Heading [Palat] 8 2 4 4" xfId="20104" xr:uid="{00000000-0005-0000-0000-000039050000}"/>
    <cellStyle name="Heading [Palat] 8 2 4 5" xfId="38510" xr:uid="{00000000-0005-0000-0000-000039050000}"/>
    <cellStyle name="Heading [Palat] 8 2 5" xfId="9978" xr:uid="{00000000-0005-0000-0000-000039050000}"/>
    <cellStyle name="Heading [Palat] 8 2 5 2" xfId="28690" xr:uid="{00000000-0005-0000-0000-000039050000}"/>
    <cellStyle name="Heading [Palat] 8 2 5 3" xfId="47053" xr:uid="{00000000-0005-0000-0000-000039050000}"/>
    <cellStyle name="Heading [Palat] 8 2 6" xfId="14035" xr:uid="{00000000-0005-0000-0000-000039050000}"/>
    <cellStyle name="Heading [Palat] 8 2 6 2" xfId="32452" xr:uid="{00000000-0005-0000-0000-000039050000}"/>
    <cellStyle name="Heading [Palat] 8 2 6 3" xfId="50815" xr:uid="{00000000-0005-0000-0000-000039050000}"/>
    <cellStyle name="Heading [Palat] 8 2 7" xfId="23785" xr:uid="{00000000-0005-0000-0000-000039050000}"/>
    <cellStyle name="Heading [Palat] 8 2 7 2" xfId="42154" xr:uid="{00000000-0005-0000-0000-000039050000}"/>
    <cellStyle name="Heading [Palat] 8 2 8" xfId="19344" xr:uid="{00000000-0005-0000-0000-000039050000}"/>
    <cellStyle name="Heading [Palat] 8 2 9" xfId="37751" xr:uid="{00000000-0005-0000-0000-000039050000}"/>
    <cellStyle name="Heading [Palat] 8 3" xfId="5464" xr:uid="{00000000-0005-0000-0000-000039050000}"/>
    <cellStyle name="Heading [Palat] 8 3 2" xfId="11840" xr:uid="{00000000-0005-0000-0000-000039050000}"/>
    <cellStyle name="Heading [Palat] 8 3 2 2" xfId="30291" xr:uid="{00000000-0005-0000-0000-000039050000}"/>
    <cellStyle name="Heading [Palat] 8 3 2 3" xfId="48654" xr:uid="{00000000-0005-0000-0000-000039050000}"/>
    <cellStyle name="Heading [Palat] 8 3 3" xfId="16155" xr:uid="{00000000-0005-0000-0000-000039050000}"/>
    <cellStyle name="Heading [Palat] 8 3 3 2" xfId="34527" xr:uid="{00000000-0005-0000-0000-000039050000}"/>
    <cellStyle name="Heading [Palat] 8 3 3 3" xfId="52890" xr:uid="{00000000-0005-0000-0000-000039050000}"/>
    <cellStyle name="Heading [Palat] 8 3 4" xfId="25274" xr:uid="{00000000-0005-0000-0000-000039050000}"/>
    <cellStyle name="Heading [Palat] 8 3 4 2" xfId="43643" xr:uid="{00000000-0005-0000-0000-000039050000}"/>
    <cellStyle name="Heading [Palat] 8 3 5" xfId="21595" xr:uid="{00000000-0005-0000-0000-000039050000}"/>
    <cellStyle name="Heading [Palat] 8 3 6" xfId="39974" xr:uid="{00000000-0005-0000-0000-000039050000}"/>
    <cellStyle name="Heading [Palat] 8 4" xfId="6308" xr:uid="{00000000-0005-0000-0000-000039050000}"/>
    <cellStyle name="Heading [Palat] 8 4 2" xfId="12599" xr:uid="{00000000-0005-0000-0000-000039050000}"/>
    <cellStyle name="Heading [Palat] 8 4 2 2" xfId="31025" xr:uid="{00000000-0005-0000-0000-000039050000}"/>
    <cellStyle name="Heading [Palat] 8 4 2 3" xfId="49388" xr:uid="{00000000-0005-0000-0000-000039050000}"/>
    <cellStyle name="Heading [Palat] 8 4 3" xfId="16911" xr:uid="{00000000-0005-0000-0000-000039050000}"/>
    <cellStyle name="Heading [Palat] 8 4 3 2" xfId="35261" xr:uid="{00000000-0005-0000-0000-000039050000}"/>
    <cellStyle name="Heading [Palat] 8 4 3 3" xfId="53624" xr:uid="{00000000-0005-0000-0000-000039050000}"/>
    <cellStyle name="Heading [Palat] 8 4 4" xfId="26046" xr:uid="{00000000-0005-0000-0000-000039050000}"/>
    <cellStyle name="Heading [Palat] 8 4 4 2" xfId="44415" xr:uid="{00000000-0005-0000-0000-000039050000}"/>
    <cellStyle name="Heading [Palat] 8 4 5" xfId="22339" xr:uid="{00000000-0005-0000-0000-000039050000}"/>
    <cellStyle name="Heading [Palat] 8 4 6" xfId="40708" xr:uid="{00000000-0005-0000-0000-000039050000}"/>
    <cellStyle name="Heading [Palat] 8 5" xfId="8966" xr:uid="{00000000-0005-0000-0000-000039050000}"/>
    <cellStyle name="Heading [Palat] 8 5 2" xfId="27707" xr:uid="{00000000-0005-0000-0000-000039050000}"/>
    <cellStyle name="Heading [Palat] 8 5 3" xfId="46070" xr:uid="{00000000-0005-0000-0000-000039050000}"/>
    <cellStyle name="Heading [Palat] 8 6" xfId="6961" xr:uid="{00000000-0005-0000-0000-000039050000}"/>
    <cellStyle name="Heading [Palat] 8 6 2" xfId="26688" xr:uid="{00000000-0005-0000-0000-000039050000}"/>
    <cellStyle name="Heading [Palat] 8 6 3" xfId="45057" xr:uid="{00000000-0005-0000-0000-000039050000}"/>
    <cellStyle name="Heading [Palat] 8 7" xfId="23203" xr:uid="{00000000-0005-0000-0000-000039050000}"/>
    <cellStyle name="Heading [Palat] 8 7 2" xfId="41572" xr:uid="{00000000-0005-0000-0000-000039050000}"/>
    <cellStyle name="Heading [Palat] 8 8" xfId="17787" xr:uid="{00000000-0005-0000-0000-000039050000}"/>
    <cellStyle name="Heading [Palat] 8 9" xfId="36205" xr:uid="{00000000-0005-0000-0000-000039050000}"/>
    <cellStyle name="Heading [Palat] 9" xfId="3313" xr:uid="{00000000-0005-0000-0000-00003A050000}"/>
    <cellStyle name="Heading [Palat] 9 2" xfId="3893" xr:uid="{00000000-0005-0000-0000-00003A050000}"/>
    <cellStyle name="Heading [Palat] 9 2 2" xfId="6066" xr:uid="{00000000-0005-0000-0000-00003A050000}"/>
    <cellStyle name="Heading [Palat] 9 2 2 2" xfId="12430" xr:uid="{00000000-0005-0000-0000-00003A050000}"/>
    <cellStyle name="Heading [Palat] 9 2 2 2 2" xfId="30877" xr:uid="{00000000-0005-0000-0000-00003A050000}"/>
    <cellStyle name="Heading [Palat] 9 2 2 2 3" xfId="49240" xr:uid="{00000000-0005-0000-0000-00003A050000}"/>
    <cellStyle name="Heading [Palat] 9 2 2 3" xfId="16756" xr:uid="{00000000-0005-0000-0000-00003A050000}"/>
    <cellStyle name="Heading [Palat] 9 2 2 3 2" xfId="35128" xr:uid="{00000000-0005-0000-0000-00003A050000}"/>
    <cellStyle name="Heading [Palat] 9 2 2 3 3" xfId="53491" xr:uid="{00000000-0005-0000-0000-00003A050000}"/>
    <cellStyle name="Heading [Palat] 9 2 2 4" xfId="25875" xr:uid="{00000000-0005-0000-0000-00003A050000}"/>
    <cellStyle name="Heading [Palat] 9 2 2 4 2" xfId="44244" xr:uid="{00000000-0005-0000-0000-00003A050000}"/>
    <cellStyle name="Heading [Palat] 9 2 2 5" xfId="22196" xr:uid="{00000000-0005-0000-0000-00003A050000}"/>
    <cellStyle name="Heading [Palat] 9 2 2 6" xfId="40575" xr:uid="{00000000-0005-0000-0000-00003A050000}"/>
    <cellStyle name="Heading [Palat] 9 2 3" xfId="6892" xr:uid="{00000000-0005-0000-0000-00003A050000}"/>
    <cellStyle name="Heading [Palat] 9 2 3 2" xfId="13183" xr:uid="{00000000-0005-0000-0000-00003A050000}"/>
    <cellStyle name="Heading [Palat] 9 2 3 2 2" xfId="31609" xr:uid="{00000000-0005-0000-0000-00003A050000}"/>
    <cellStyle name="Heading [Palat] 9 2 3 2 3" xfId="49972" xr:uid="{00000000-0005-0000-0000-00003A050000}"/>
    <cellStyle name="Heading [Palat] 9 2 3 3" xfId="17494" xr:uid="{00000000-0005-0000-0000-00003A050000}"/>
    <cellStyle name="Heading [Palat] 9 2 3 3 2" xfId="35842" xr:uid="{00000000-0005-0000-0000-00003A050000}"/>
    <cellStyle name="Heading [Palat] 9 2 3 3 3" xfId="54205" xr:uid="{00000000-0005-0000-0000-00003A050000}"/>
    <cellStyle name="Heading [Palat] 9 2 3 4" xfId="26627" xr:uid="{00000000-0005-0000-0000-00003A050000}"/>
    <cellStyle name="Heading [Palat] 9 2 3 4 2" xfId="44996" xr:uid="{00000000-0005-0000-0000-00003A050000}"/>
    <cellStyle name="Heading [Palat] 9 2 3 5" xfId="22920" xr:uid="{00000000-0005-0000-0000-00003A050000}"/>
    <cellStyle name="Heading [Palat] 9 2 3 6" xfId="41289" xr:uid="{00000000-0005-0000-0000-00003A050000}"/>
    <cellStyle name="Heading [Palat] 9 2 4" xfId="10606" xr:uid="{00000000-0005-0000-0000-00003A050000}"/>
    <cellStyle name="Heading [Palat] 9 2 4 2" xfId="14663" xr:uid="{00000000-0005-0000-0000-00003A050000}"/>
    <cellStyle name="Heading [Palat] 9 2 4 2 2" xfId="33079" xr:uid="{00000000-0005-0000-0000-00003A050000}"/>
    <cellStyle name="Heading [Palat] 9 2 4 2 3" xfId="51442" xr:uid="{00000000-0005-0000-0000-00003A050000}"/>
    <cellStyle name="Heading [Palat] 9 2 4 3" xfId="29317" xr:uid="{00000000-0005-0000-0000-00003A050000}"/>
    <cellStyle name="Heading [Palat] 9 2 4 3 2" xfId="47680" xr:uid="{00000000-0005-0000-0000-00003A050000}"/>
    <cellStyle name="Heading [Palat] 9 2 4 4" xfId="20120" xr:uid="{00000000-0005-0000-0000-00003A050000}"/>
    <cellStyle name="Heading [Palat] 9 2 4 5" xfId="38526" xr:uid="{00000000-0005-0000-0000-00003A050000}"/>
    <cellStyle name="Heading [Palat] 9 2 5" xfId="10000" xr:uid="{00000000-0005-0000-0000-00003A050000}"/>
    <cellStyle name="Heading [Palat] 9 2 5 2" xfId="28712" xr:uid="{00000000-0005-0000-0000-00003A050000}"/>
    <cellStyle name="Heading [Palat] 9 2 5 3" xfId="47075" xr:uid="{00000000-0005-0000-0000-00003A050000}"/>
    <cellStyle name="Heading [Palat] 9 2 6" xfId="14057" xr:uid="{00000000-0005-0000-0000-00003A050000}"/>
    <cellStyle name="Heading [Palat] 9 2 6 2" xfId="32474" xr:uid="{00000000-0005-0000-0000-00003A050000}"/>
    <cellStyle name="Heading [Palat] 9 2 6 3" xfId="50837" xr:uid="{00000000-0005-0000-0000-00003A050000}"/>
    <cellStyle name="Heading [Palat] 9 2 7" xfId="23801" xr:uid="{00000000-0005-0000-0000-00003A050000}"/>
    <cellStyle name="Heading [Palat] 9 2 7 2" xfId="42170" xr:uid="{00000000-0005-0000-0000-00003A050000}"/>
    <cellStyle name="Heading [Palat] 9 2 8" xfId="19370" xr:uid="{00000000-0005-0000-0000-00003A050000}"/>
    <cellStyle name="Heading [Palat] 9 2 9" xfId="37777" xr:uid="{00000000-0005-0000-0000-00003A050000}"/>
    <cellStyle name="Heading [Palat] 9 3" xfId="5498" xr:uid="{00000000-0005-0000-0000-00003A050000}"/>
    <cellStyle name="Heading [Palat] 9 3 2" xfId="11863" xr:uid="{00000000-0005-0000-0000-00003A050000}"/>
    <cellStyle name="Heading [Palat] 9 3 2 2" xfId="30310" xr:uid="{00000000-0005-0000-0000-00003A050000}"/>
    <cellStyle name="Heading [Palat] 9 3 2 3" xfId="48673" xr:uid="{00000000-0005-0000-0000-00003A050000}"/>
    <cellStyle name="Heading [Palat] 9 3 3" xfId="16189" xr:uid="{00000000-0005-0000-0000-00003A050000}"/>
    <cellStyle name="Heading [Palat] 9 3 3 2" xfId="34561" xr:uid="{00000000-0005-0000-0000-00003A050000}"/>
    <cellStyle name="Heading [Palat] 9 3 3 3" xfId="52924" xr:uid="{00000000-0005-0000-0000-00003A050000}"/>
    <cellStyle name="Heading [Palat] 9 3 4" xfId="25308" xr:uid="{00000000-0005-0000-0000-00003A050000}"/>
    <cellStyle name="Heading [Palat] 9 3 4 2" xfId="43677" xr:uid="{00000000-0005-0000-0000-00003A050000}"/>
    <cellStyle name="Heading [Palat] 9 3 5" xfId="21629" xr:uid="{00000000-0005-0000-0000-00003A050000}"/>
    <cellStyle name="Heading [Palat] 9 3 6" xfId="40008" xr:uid="{00000000-0005-0000-0000-00003A050000}"/>
    <cellStyle name="Heading [Palat] 9 4" xfId="6326" xr:uid="{00000000-0005-0000-0000-00003A050000}"/>
    <cellStyle name="Heading [Palat] 9 4 2" xfId="12617" xr:uid="{00000000-0005-0000-0000-00003A050000}"/>
    <cellStyle name="Heading [Palat] 9 4 2 2" xfId="31043" xr:uid="{00000000-0005-0000-0000-00003A050000}"/>
    <cellStyle name="Heading [Palat] 9 4 2 3" xfId="49406" xr:uid="{00000000-0005-0000-0000-00003A050000}"/>
    <cellStyle name="Heading [Palat] 9 4 3" xfId="16928" xr:uid="{00000000-0005-0000-0000-00003A050000}"/>
    <cellStyle name="Heading [Palat] 9 4 3 2" xfId="35277" xr:uid="{00000000-0005-0000-0000-00003A050000}"/>
    <cellStyle name="Heading [Palat] 9 4 3 3" xfId="53640" xr:uid="{00000000-0005-0000-0000-00003A050000}"/>
    <cellStyle name="Heading [Palat] 9 4 4" xfId="26062" xr:uid="{00000000-0005-0000-0000-00003A050000}"/>
    <cellStyle name="Heading [Palat] 9 4 4 2" xfId="44431" xr:uid="{00000000-0005-0000-0000-00003A050000}"/>
    <cellStyle name="Heading [Palat] 9 4 5" xfId="22355" xr:uid="{00000000-0005-0000-0000-00003A050000}"/>
    <cellStyle name="Heading [Palat] 9 4 6" xfId="40724" xr:uid="{00000000-0005-0000-0000-00003A050000}"/>
    <cellStyle name="Heading [Palat] 9 5" xfId="8998" xr:uid="{00000000-0005-0000-0000-00003A050000}"/>
    <cellStyle name="Heading [Palat] 9 5 2" xfId="27726" xr:uid="{00000000-0005-0000-0000-00003A050000}"/>
    <cellStyle name="Heading [Palat] 9 5 3" xfId="46089" xr:uid="{00000000-0005-0000-0000-00003A050000}"/>
    <cellStyle name="Heading [Palat] 9 6" xfId="6946" xr:uid="{00000000-0005-0000-0000-00003A050000}"/>
    <cellStyle name="Heading [Palat] 9 6 2" xfId="26678" xr:uid="{00000000-0005-0000-0000-00003A050000}"/>
    <cellStyle name="Heading [Palat] 9 6 3" xfId="45047" xr:uid="{00000000-0005-0000-0000-00003A050000}"/>
    <cellStyle name="Heading [Palat] 9 7" xfId="23235" xr:uid="{00000000-0005-0000-0000-00003A050000}"/>
    <cellStyle name="Heading [Palat] 9 7 2" xfId="41604" xr:uid="{00000000-0005-0000-0000-00003A050000}"/>
    <cellStyle name="Heading [Palat] 9 8" xfId="17824" xr:uid="{00000000-0005-0000-0000-00003A050000}"/>
    <cellStyle name="Heading [Palat] 9 9" xfId="36237" xr:uid="{00000000-0005-0000-0000-00003A050000}"/>
    <cellStyle name="Heading [Palat]_Summary" xfId="2357" xr:uid="{00000000-0005-0000-0000-00003B050000}"/>
    <cellStyle name="Heading 1" xfId="13" builtinId="16" customBuiltin="1"/>
    <cellStyle name="Heading 1 2" xfId="1559" xr:uid="{00000000-0005-0000-0000-00003D050000}"/>
    <cellStyle name="Heading 1 2 2" xfId="5123" xr:uid="{00000000-0005-0000-0000-000049000000}"/>
    <cellStyle name="Heading 1 3" xfId="4151" xr:uid="{00000000-0005-0000-0000-00007C1A0000}"/>
    <cellStyle name="Heading 2" xfId="14" builtinId="17" customBuiltin="1"/>
    <cellStyle name="Heading 2 2" xfId="1534" xr:uid="{00000000-0005-0000-0000-00003F050000}"/>
    <cellStyle name="Heading 2 2 2" xfId="5171" xr:uid="{00000000-0005-0000-0000-00004B000000}"/>
    <cellStyle name="Heading 2 3" xfId="5176" xr:uid="{00000000-0005-0000-0000-00007E1A0000}"/>
    <cellStyle name="Heading 3" xfId="15" builtinId="18" customBuiltin="1"/>
    <cellStyle name="Heading 3 2" xfId="1618" xr:uid="{00000000-0005-0000-0000-000041050000}"/>
    <cellStyle name="Heading 3 2 2" xfId="4073" xr:uid="{00000000-0005-0000-0000-00004D000000}"/>
    <cellStyle name="Heading 3 3" xfId="5049" xr:uid="{00000000-0005-0000-0000-0000801A0000}"/>
    <cellStyle name="Heading 4" xfId="16" builtinId="19" customBuiltin="1"/>
    <cellStyle name="Heading 4 2" xfId="1560" xr:uid="{00000000-0005-0000-0000-000043050000}"/>
    <cellStyle name="Heading 4 2 2" xfId="4337" xr:uid="{00000000-0005-0000-0000-00004F000000}"/>
    <cellStyle name="Heading 4 3" xfId="5178" xr:uid="{00000000-0005-0000-0000-0000821A0000}"/>
    <cellStyle name="heading 5" xfId="2079" xr:uid="{00000000-0005-0000-0000-000044050000}"/>
    <cellStyle name="heading 6" xfId="2532" xr:uid="{00000000-0005-0000-0000-000045050000}"/>
    <cellStyle name="Heading Left" xfId="501" xr:uid="{00000000-0005-0000-0000-000046050000}"/>
    <cellStyle name="Heading Right" xfId="502" xr:uid="{00000000-0005-0000-0000-000047050000}"/>
    <cellStyle name="Heading1" xfId="503" xr:uid="{00000000-0005-0000-0000-000048050000}"/>
    <cellStyle name="Heading2" xfId="504" xr:uid="{00000000-0005-0000-0000-000049050000}"/>
    <cellStyle name="Heading3" xfId="505" xr:uid="{00000000-0005-0000-0000-00004A050000}"/>
    <cellStyle name="HeadingB" xfId="506" xr:uid="{00000000-0005-0000-0000-00004B050000}"/>
    <cellStyle name="HeadingB 2" xfId="2082" xr:uid="{00000000-0005-0000-0000-00004C050000}"/>
    <cellStyle name="HeadingB 3" xfId="2535" xr:uid="{00000000-0005-0000-0000-00004D050000}"/>
    <cellStyle name="HeadingBU" xfId="507" xr:uid="{00000000-0005-0000-0000-00004E050000}"/>
    <cellStyle name="HeadingBU 2" xfId="2083" xr:uid="{00000000-0005-0000-0000-00004F050000}"/>
    <cellStyle name="HeadingBU 3" xfId="2536" xr:uid="{00000000-0005-0000-0000-000050050000}"/>
    <cellStyle name="HeadingS" xfId="508" xr:uid="{00000000-0005-0000-0000-000051050000}"/>
    <cellStyle name="HeadingS 2" xfId="2084" xr:uid="{00000000-0005-0000-0000-000052050000}"/>
    <cellStyle name="HeadingS 3" xfId="2537" xr:uid="{00000000-0005-0000-0000-000053050000}"/>
    <cellStyle name="Hidden" xfId="509" xr:uid="{00000000-0005-0000-0000-000054050000}"/>
    <cellStyle name="Hidden 2" xfId="2085" xr:uid="{00000000-0005-0000-0000-000055050000}"/>
    <cellStyle name="Hidden 3" xfId="2538" xr:uid="{00000000-0005-0000-0000-000056050000}"/>
    <cellStyle name="Hide" xfId="510" xr:uid="{00000000-0005-0000-0000-000057050000}"/>
    <cellStyle name="HIGHLIGHT" xfId="511" xr:uid="{00000000-0005-0000-0000-000058050000}"/>
    <cellStyle name="HIGHLIGHT 2" xfId="2086" xr:uid="{00000000-0005-0000-0000-000059050000}"/>
    <cellStyle name="HIGHLIGHT 3" xfId="2539" xr:uid="{00000000-0005-0000-0000-00005A050000}"/>
    <cellStyle name="HiLite" xfId="512" xr:uid="{00000000-0005-0000-0000-00005B050000}"/>
    <cellStyle name="HiLite 2" xfId="2087" xr:uid="{00000000-0005-0000-0000-00005C050000}"/>
    <cellStyle name="HiLite 3" xfId="2540" xr:uid="{00000000-0005-0000-0000-00005D050000}"/>
    <cellStyle name="Hyperlink 2" xfId="1893" xr:uid="{00000000-0005-0000-0000-00005E050000}"/>
    <cellStyle name="Hyperlink 2 2" xfId="4372" xr:uid="{00000000-0005-0000-0000-000051000000}"/>
    <cellStyle name="Income Statement" xfId="513" xr:uid="{00000000-0005-0000-0000-00005F050000}"/>
    <cellStyle name="IncomeStatement" xfId="514" xr:uid="{00000000-0005-0000-0000-000060050000}"/>
    <cellStyle name="IncomeStatement 2" xfId="2088" xr:uid="{00000000-0005-0000-0000-000061050000}"/>
    <cellStyle name="IncomeStatement 3" xfId="2541" xr:uid="{00000000-0005-0000-0000-000062050000}"/>
    <cellStyle name="Input" xfId="20" builtinId="20" customBuiltin="1"/>
    <cellStyle name="Input [yellow]" xfId="515" xr:uid="{00000000-0005-0000-0000-000064050000}"/>
    <cellStyle name="Input [yellow] 2" xfId="3007" xr:uid="{00000000-0005-0000-0000-000065050000}"/>
    <cellStyle name="Input [yellow] 3" xfId="3268" xr:uid="{00000000-0005-0000-0000-000066050000}"/>
    <cellStyle name="Input 2" xfId="1561" xr:uid="{00000000-0005-0000-0000-000067050000}"/>
    <cellStyle name="Input 2 2" xfId="1579" xr:uid="{00000000-0005-0000-0000-000068050000}"/>
    <cellStyle name="Input 2 2 2" xfId="4554" xr:uid="{00000000-0005-0000-0000-000068050000}"/>
    <cellStyle name="Input 2 2 2 2" xfId="15281" xr:uid="{00000000-0005-0000-0000-000068050000}"/>
    <cellStyle name="Input 2 2 2 2 2" xfId="33675" xr:uid="{00000000-0005-0000-0000-000068050000}"/>
    <cellStyle name="Input 2 2 2 2 3" xfId="52038" xr:uid="{00000000-0005-0000-0000-000068050000}"/>
    <cellStyle name="Input 2 2 2 3" xfId="24406" xr:uid="{00000000-0005-0000-0000-000068050000}"/>
    <cellStyle name="Input 2 2 2 3 2" xfId="42775" xr:uid="{00000000-0005-0000-0000-000068050000}"/>
    <cellStyle name="Input 2 2 2 4" xfId="20731" xr:uid="{00000000-0005-0000-0000-000068050000}"/>
    <cellStyle name="Input 2 2 2 5" xfId="39122" xr:uid="{00000000-0005-0000-0000-000068050000}"/>
    <cellStyle name="Input 2 2 3" xfId="18341" xr:uid="{00000000-0005-0000-0000-000068050000}"/>
    <cellStyle name="Input 2 2 3 2" xfId="36747" xr:uid="{00000000-0005-0000-0000-000068050000}"/>
    <cellStyle name="Input 2 2 4" xfId="11341" xr:uid="{00000000-0005-0000-0000-000068050000}"/>
    <cellStyle name="Input 2 2 5" xfId="13208" xr:uid="{00000000-0005-0000-0000-000068050000}"/>
    <cellStyle name="Input 2 3" xfId="4549" xr:uid="{00000000-0005-0000-0000-000067050000}"/>
    <cellStyle name="Input 2 3 2" xfId="15277" xr:uid="{00000000-0005-0000-0000-000067050000}"/>
    <cellStyle name="Input 2 3 2 2" xfId="33671" xr:uid="{00000000-0005-0000-0000-000067050000}"/>
    <cellStyle name="Input 2 3 2 3" xfId="52034" xr:uid="{00000000-0005-0000-0000-000067050000}"/>
    <cellStyle name="Input 2 3 3" xfId="24402" xr:uid="{00000000-0005-0000-0000-000067050000}"/>
    <cellStyle name="Input 2 3 3 2" xfId="42771" xr:uid="{00000000-0005-0000-0000-000067050000}"/>
    <cellStyle name="Input 2 3 4" xfId="20726" xr:uid="{00000000-0005-0000-0000-000067050000}"/>
    <cellStyle name="Input 2 3 5" xfId="39118" xr:uid="{00000000-0005-0000-0000-000067050000}"/>
    <cellStyle name="Input 2 4" xfId="4916" xr:uid="{00000000-0005-0000-0000-000053000000}"/>
    <cellStyle name="Input 2 5" xfId="18092" xr:uid="{00000000-0005-0000-0000-000067050000}"/>
    <cellStyle name="Input 2 5 2" xfId="36499" xr:uid="{00000000-0005-0000-0000-000067050000}"/>
    <cellStyle name="Input 2 6" xfId="8543" xr:uid="{00000000-0005-0000-0000-000067050000}"/>
    <cellStyle name="Input 2 7" xfId="7044" xr:uid="{00000000-0005-0000-0000-000067050000}"/>
    <cellStyle name="Input 3" xfId="5365" xr:uid="{00000000-0005-0000-0000-0000861A0000}"/>
    <cellStyle name="Input 4" xfId="6252" xr:uid="{00000000-0005-0000-0000-0000A71A0000}"/>
    <cellStyle name="Input 5" xfId="6295" xr:uid="{00000000-0005-0000-0000-0000AF1A0000}"/>
    <cellStyle name="Input 6" xfId="6220" xr:uid="{00000000-0005-0000-0000-0000B71A0000}"/>
    <cellStyle name="Input 7" xfId="4993" xr:uid="{00000000-0005-0000-0000-0000BF1A0000}"/>
    <cellStyle name="Input 8" xfId="6303" xr:uid="{00000000-0005-0000-0000-0000C51A0000}"/>
    <cellStyle name="Input Cell #" xfId="516" xr:uid="{00000000-0005-0000-0000-000069050000}"/>
    <cellStyle name="Input Currency" xfId="517" xr:uid="{00000000-0005-0000-0000-00006A050000}"/>
    <cellStyle name="Input Date" xfId="518" xr:uid="{00000000-0005-0000-0000-00006B050000}"/>
    <cellStyle name="Input Date 2" xfId="2089" xr:uid="{00000000-0005-0000-0000-00006C050000}"/>
    <cellStyle name="Input Date 3" xfId="2542" xr:uid="{00000000-0005-0000-0000-00006D050000}"/>
    <cellStyle name="Input Fixed [0]" xfId="519" xr:uid="{00000000-0005-0000-0000-00006E050000}"/>
    <cellStyle name="Input Fixed [0] 2" xfId="2090" xr:uid="{00000000-0005-0000-0000-00006F050000}"/>
    <cellStyle name="Input Fixed [0] 3" xfId="2543" xr:uid="{00000000-0005-0000-0000-000070050000}"/>
    <cellStyle name="Input Normal" xfId="520" xr:uid="{00000000-0005-0000-0000-000071050000}"/>
    <cellStyle name="Input Normal 2" xfId="2091" xr:uid="{00000000-0005-0000-0000-000072050000}"/>
    <cellStyle name="Input Normal 3" xfId="2544" xr:uid="{00000000-0005-0000-0000-000073050000}"/>
    <cellStyle name="Input Percent" xfId="521" xr:uid="{00000000-0005-0000-0000-000074050000}"/>
    <cellStyle name="Input Percent [2]" xfId="522" xr:uid="{00000000-0005-0000-0000-000075050000}"/>
    <cellStyle name="Input Percent 2" xfId="2092" xr:uid="{00000000-0005-0000-0000-000076050000}"/>
    <cellStyle name="Input Percent 3" xfId="2545" xr:uid="{00000000-0005-0000-0000-000077050000}"/>
    <cellStyle name="Input Percent_short_valuation_model" xfId="523" xr:uid="{00000000-0005-0000-0000-000078050000}"/>
    <cellStyle name="Input Titles" xfId="524" xr:uid="{00000000-0005-0000-0000-000079050000}"/>
    <cellStyle name="Input Titles 2" xfId="2093" xr:uid="{00000000-0005-0000-0000-00007A050000}"/>
    <cellStyle name="Input Titles 3" xfId="2546" xr:uid="{00000000-0005-0000-0000-00007B050000}"/>
    <cellStyle name="InputBlueFont" xfId="525" xr:uid="{00000000-0005-0000-0000-00007C050000}"/>
    <cellStyle name="InputBlueFont 2" xfId="2094" xr:uid="{00000000-0005-0000-0000-00007D050000}"/>
    <cellStyle name="InputBlueFont 3" xfId="2547" xr:uid="{00000000-0005-0000-0000-00007E050000}"/>
    <cellStyle name="InputPop" xfId="526" xr:uid="{00000000-0005-0000-0000-00007F050000}"/>
    <cellStyle name="InputPop 2" xfId="2095" xr:uid="{00000000-0005-0000-0000-000080050000}"/>
    <cellStyle name="InputPop 3" xfId="2548" xr:uid="{00000000-0005-0000-0000-000081050000}"/>
    <cellStyle name="Inputs" xfId="527" xr:uid="{00000000-0005-0000-0000-000082050000}"/>
    <cellStyle name="Inputs 2" xfId="2096" xr:uid="{00000000-0005-0000-0000-000083050000}"/>
    <cellStyle name="Inputs 3" xfId="2549" xr:uid="{00000000-0005-0000-0000-000084050000}"/>
    <cellStyle name="Integer" xfId="528" xr:uid="{00000000-0005-0000-0000-000085050000}"/>
    <cellStyle name="Integer 2" xfId="2097" xr:uid="{00000000-0005-0000-0000-000086050000}"/>
    <cellStyle name="Integer 3" xfId="2550" xr:uid="{00000000-0005-0000-0000-000087050000}"/>
    <cellStyle name="IntInput" xfId="529" xr:uid="{00000000-0005-0000-0000-000088050000}"/>
    <cellStyle name="IntInput 2" xfId="3005" xr:uid="{00000000-0005-0000-0000-000089050000}"/>
    <cellStyle name="IntInput 3" xfId="3267" xr:uid="{00000000-0005-0000-0000-00008A050000}"/>
    <cellStyle name="IntInputBk" xfId="530" xr:uid="{00000000-0005-0000-0000-00008B050000}"/>
    <cellStyle name="IntInputBk 2" xfId="3004" xr:uid="{00000000-0005-0000-0000-00008C050000}"/>
    <cellStyle name="IntInputBk 3" xfId="3266" xr:uid="{00000000-0005-0000-0000-00008D050000}"/>
    <cellStyle name="IntInputBu" xfId="531" xr:uid="{00000000-0005-0000-0000-00008E050000}"/>
    <cellStyle name="IntInputBu 2" xfId="3003" xr:uid="{00000000-0005-0000-0000-00008F050000}"/>
    <cellStyle name="IntInputBu 3" xfId="3265" xr:uid="{00000000-0005-0000-0000-000090050000}"/>
    <cellStyle name="Item" xfId="532" xr:uid="{00000000-0005-0000-0000-000091050000}"/>
    <cellStyle name="ItemTypeClass" xfId="533" xr:uid="{00000000-0005-0000-0000-000092050000}"/>
    <cellStyle name="ItemTypeClass 10" xfId="18081" xr:uid="{00000000-0005-0000-0000-000092050000}"/>
    <cellStyle name="ItemTypeClass 10 2" xfId="36488" xr:uid="{00000000-0005-0000-0000-000092050000}"/>
    <cellStyle name="ItemTypeClass 11" xfId="7117" xr:uid="{00000000-0005-0000-0000-000092050000}"/>
    <cellStyle name="ItemTypeClass 12" xfId="7128" xr:uid="{00000000-0005-0000-0000-000092050000}"/>
    <cellStyle name="ItemTypeClass 2" xfId="1132" xr:uid="{00000000-0005-0000-0000-000093050000}"/>
    <cellStyle name="ItemTypeClass 2 2" xfId="4231" xr:uid="{00000000-0005-0000-0000-000093050000}"/>
    <cellStyle name="ItemTypeClass 2 2 2" xfId="14976" xr:uid="{00000000-0005-0000-0000-000093050000}"/>
    <cellStyle name="ItemTypeClass 2 2 2 2" xfId="33380" xr:uid="{00000000-0005-0000-0000-000093050000}"/>
    <cellStyle name="ItemTypeClass 2 2 2 3" xfId="51743" xr:uid="{00000000-0005-0000-0000-000093050000}"/>
    <cellStyle name="ItemTypeClass 2 2 3" xfId="24109" xr:uid="{00000000-0005-0000-0000-000093050000}"/>
    <cellStyle name="ItemTypeClass 2 2 3 2" xfId="42478" xr:uid="{00000000-0005-0000-0000-000093050000}"/>
    <cellStyle name="ItemTypeClass 2 2 4" xfId="20429" xr:uid="{00000000-0005-0000-0000-000093050000}"/>
    <cellStyle name="ItemTypeClass 2 2 5" xfId="38827" xr:uid="{00000000-0005-0000-0000-000093050000}"/>
    <cellStyle name="ItemTypeClass 2 3" xfId="19205" xr:uid="{00000000-0005-0000-0000-000093050000}"/>
    <cellStyle name="ItemTypeClass 2 3 2" xfId="37612" xr:uid="{00000000-0005-0000-0000-000093050000}"/>
    <cellStyle name="ItemTypeClass 2 4" xfId="8349" xr:uid="{00000000-0005-0000-0000-000093050000}"/>
    <cellStyle name="ItemTypeClass 2 5" xfId="7075" xr:uid="{00000000-0005-0000-0000-000093050000}"/>
    <cellStyle name="ItemTypeClass 3" xfId="1852" xr:uid="{00000000-0005-0000-0000-000094050000}"/>
    <cellStyle name="ItemTypeClass 3 2" xfId="4777" xr:uid="{00000000-0005-0000-0000-000094050000}"/>
    <cellStyle name="ItemTypeClass 3 2 2" xfId="15503" xr:uid="{00000000-0005-0000-0000-000094050000}"/>
    <cellStyle name="ItemTypeClass 3 2 2 2" xfId="33896" xr:uid="{00000000-0005-0000-0000-000094050000}"/>
    <cellStyle name="ItemTypeClass 3 2 2 3" xfId="52259" xr:uid="{00000000-0005-0000-0000-000094050000}"/>
    <cellStyle name="ItemTypeClass 3 2 3" xfId="24627" xr:uid="{00000000-0005-0000-0000-000094050000}"/>
    <cellStyle name="ItemTypeClass 3 2 3 2" xfId="42996" xr:uid="{00000000-0005-0000-0000-000094050000}"/>
    <cellStyle name="ItemTypeClass 3 2 4" xfId="20954" xr:uid="{00000000-0005-0000-0000-000094050000}"/>
    <cellStyle name="ItemTypeClass 3 2 5" xfId="39343" xr:uid="{00000000-0005-0000-0000-000094050000}"/>
    <cellStyle name="ItemTypeClass 3 3" xfId="18167" xr:uid="{00000000-0005-0000-0000-000094050000}"/>
    <cellStyle name="ItemTypeClass 3 3 2" xfId="36573" xr:uid="{00000000-0005-0000-0000-000094050000}"/>
    <cellStyle name="ItemTypeClass 3 4" xfId="10866" xr:uid="{00000000-0005-0000-0000-000094050000}"/>
    <cellStyle name="ItemTypeClass 3 5" xfId="16920" xr:uid="{00000000-0005-0000-0000-000094050000}"/>
    <cellStyle name="ItemTypeClass 4" xfId="2098" xr:uid="{00000000-0005-0000-0000-000095050000}"/>
    <cellStyle name="ItemTypeClass 4 2" xfId="4910" xr:uid="{00000000-0005-0000-0000-000095050000}"/>
    <cellStyle name="ItemTypeClass 4 2 2" xfId="15636" xr:uid="{00000000-0005-0000-0000-000095050000}"/>
    <cellStyle name="ItemTypeClass 4 2 2 2" xfId="34026" xr:uid="{00000000-0005-0000-0000-000095050000}"/>
    <cellStyle name="ItemTypeClass 4 2 2 3" xfId="52389" xr:uid="{00000000-0005-0000-0000-000095050000}"/>
    <cellStyle name="ItemTypeClass 4 2 3" xfId="24757" xr:uid="{00000000-0005-0000-0000-000095050000}"/>
    <cellStyle name="ItemTypeClass 4 2 3 2" xfId="43126" xr:uid="{00000000-0005-0000-0000-000095050000}"/>
    <cellStyle name="ItemTypeClass 4 2 4" xfId="21085" xr:uid="{00000000-0005-0000-0000-000095050000}"/>
    <cellStyle name="ItemTypeClass 4 2 5" xfId="39473" xr:uid="{00000000-0005-0000-0000-000095050000}"/>
    <cellStyle name="ItemTypeClass 4 3" xfId="19425" xr:uid="{00000000-0005-0000-0000-000095050000}"/>
    <cellStyle name="ItemTypeClass 4 3 2" xfId="37831" xr:uid="{00000000-0005-0000-0000-000095050000}"/>
    <cellStyle name="ItemTypeClass 4 4" xfId="8594" xr:uid="{00000000-0005-0000-0000-000095050000}"/>
    <cellStyle name="ItemTypeClass 4 5" xfId="7432" xr:uid="{00000000-0005-0000-0000-000095050000}"/>
    <cellStyle name="ItemTypeClass 5" xfId="2551" xr:uid="{00000000-0005-0000-0000-000096050000}"/>
    <cellStyle name="ItemTypeClass 5 2" xfId="5075" xr:uid="{00000000-0005-0000-0000-000096050000}"/>
    <cellStyle name="ItemTypeClass 5 2 2" xfId="15788" xr:uid="{00000000-0005-0000-0000-000096050000}"/>
    <cellStyle name="ItemTypeClass 5 2 2 2" xfId="34174" xr:uid="{00000000-0005-0000-0000-000096050000}"/>
    <cellStyle name="ItemTypeClass 5 2 2 3" xfId="52537" xr:uid="{00000000-0005-0000-0000-000096050000}"/>
    <cellStyle name="ItemTypeClass 5 2 3" xfId="24910" xr:uid="{00000000-0005-0000-0000-000096050000}"/>
    <cellStyle name="ItemTypeClass 5 2 3 2" xfId="43279" xr:uid="{00000000-0005-0000-0000-000096050000}"/>
    <cellStyle name="ItemTypeClass 5 2 4" xfId="21236" xr:uid="{00000000-0005-0000-0000-000096050000}"/>
    <cellStyle name="ItemTypeClass 5 2 5" xfId="39621" xr:uid="{00000000-0005-0000-0000-000096050000}"/>
    <cellStyle name="ItemTypeClass 5 3" xfId="18159" xr:uid="{00000000-0005-0000-0000-000096050000}"/>
    <cellStyle name="ItemTypeClass 5 3 2" xfId="36565" xr:uid="{00000000-0005-0000-0000-000096050000}"/>
    <cellStyle name="ItemTypeClass 5 4" xfId="7189" xr:uid="{00000000-0005-0000-0000-000096050000}"/>
    <cellStyle name="ItemTypeClass 5 5" xfId="35869" xr:uid="{00000000-0005-0000-0000-000096050000}"/>
    <cellStyle name="ItemTypeClass 6" xfId="3001" xr:uid="{00000000-0005-0000-0000-000097050000}"/>
    <cellStyle name="ItemTypeClass 6 2" xfId="5259" xr:uid="{00000000-0005-0000-0000-000097050000}"/>
    <cellStyle name="ItemTypeClass 6 2 2" xfId="15951" xr:uid="{00000000-0005-0000-0000-000097050000}"/>
    <cellStyle name="ItemTypeClass 6 2 2 2" xfId="34325" xr:uid="{00000000-0005-0000-0000-000097050000}"/>
    <cellStyle name="ItemTypeClass 6 2 2 3" xfId="52688" xr:uid="{00000000-0005-0000-0000-000097050000}"/>
    <cellStyle name="ItemTypeClass 6 2 3" xfId="25072" xr:uid="{00000000-0005-0000-0000-000097050000}"/>
    <cellStyle name="ItemTypeClass 6 2 3 2" xfId="43441" xr:uid="{00000000-0005-0000-0000-000097050000}"/>
    <cellStyle name="ItemTypeClass 6 2 4" xfId="21393" xr:uid="{00000000-0005-0000-0000-000097050000}"/>
    <cellStyle name="ItemTypeClass 6 2 5" xfId="39772" xr:uid="{00000000-0005-0000-0000-000097050000}"/>
    <cellStyle name="ItemTypeClass 6 3" xfId="23014" xr:uid="{00000000-0005-0000-0000-000097050000}"/>
    <cellStyle name="ItemTypeClass 6 3 2" xfId="41383" xr:uid="{00000000-0005-0000-0000-000097050000}"/>
    <cellStyle name="ItemTypeClass 6 4" xfId="17573" xr:uid="{00000000-0005-0000-0000-000097050000}"/>
    <cellStyle name="ItemTypeClass 6 5" xfId="36016" xr:uid="{00000000-0005-0000-0000-000097050000}"/>
    <cellStyle name="ItemTypeClass 7" xfId="3014" xr:uid="{00000000-0005-0000-0000-000098050000}"/>
    <cellStyle name="ItemTypeClass 7 2" xfId="5267" xr:uid="{00000000-0005-0000-0000-000098050000}"/>
    <cellStyle name="ItemTypeClass 7 2 2" xfId="15959" xr:uid="{00000000-0005-0000-0000-000098050000}"/>
    <cellStyle name="ItemTypeClass 7 2 2 2" xfId="34333" xr:uid="{00000000-0005-0000-0000-000098050000}"/>
    <cellStyle name="ItemTypeClass 7 2 2 3" xfId="52696" xr:uid="{00000000-0005-0000-0000-000098050000}"/>
    <cellStyle name="ItemTypeClass 7 2 3" xfId="25080" xr:uid="{00000000-0005-0000-0000-000098050000}"/>
    <cellStyle name="ItemTypeClass 7 2 3 2" xfId="43449" xr:uid="{00000000-0005-0000-0000-000098050000}"/>
    <cellStyle name="ItemTypeClass 7 2 4" xfId="21401" xr:uid="{00000000-0005-0000-0000-000098050000}"/>
    <cellStyle name="ItemTypeClass 7 2 5" xfId="39780" xr:uid="{00000000-0005-0000-0000-000098050000}"/>
    <cellStyle name="ItemTypeClass 7 3" xfId="23021" xr:uid="{00000000-0005-0000-0000-000098050000}"/>
    <cellStyle name="ItemTypeClass 7 3 2" xfId="41390" xr:uid="{00000000-0005-0000-0000-000098050000}"/>
    <cellStyle name="ItemTypeClass 7 4" xfId="17582" xr:uid="{00000000-0005-0000-0000-000098050000}"/>
    <cellStyle name="ItemTypeClass 7 5" xfId="36023" xr:uid="{00000000-0005-0000-0000-000098050000}"/>
    <cellStyle name="ItemTypeClass 8" xfId="3264" xr:uid="{00000000-0005-0000-0000-000099050000}"/>
    <cellStyle name="ItemTypeClass 8 2" xfId="5463" xr:uid="{00000000-0005-0000-0000-000099050000}"/>
    <cellStyle name="ItemTypeClass 8 2 2" xfId="16154" xr:uid="{00000000-0005-0000-0000-000099050000}"/>
    <cellStyle name="ItemTypeClass 8 2 2 2" xfId="34526" xr:uid="{00000000-0005-0000-0000-000099050000}"/>
    <cellStyle name="ItemTypeClass 8 2 2 3" xfId="52889" xr:uid="{00000000-0005-0000-0000-000099050000}"/>
    <cellStyle name="ItemTypeClass 8 2 3" xfId="25273" xr:uid="{00000000-0005-0000-0000-000099050000}"/>
    <cellStyle name="ItemTypeClass 8 2 3 2" xfId="43642" xr:uid="{00000000-0005-0000-0000-000099050000}"/>
    <cellStyle name="ItemTypeClass 8 2 4" xfId="21594" xr:uid="{00000000-0005-0000-0000-000099050000}"/>
    <cellStyle name="ItemTypeClass 8 2 5" xfId="39973" xr:uid="{00000000-0005-0000-0000-000099050000}"/>
    <cellStyle name="ItemTypeClass 8 3" xfId="23202" xr:uid="{00000000-0005-0000-0000-000099050000}"/>
    <cellStyle name="ItemTypeClass 8 3 2" xfId="41571" xr:uid="{00000000-0005-0000-0000-000099050000}"/>
    <cellStyle name="ItemTypeClass 8 4" xfId="17786" xr:uid="{00000000-0005-0000-0000-000099050000}"/>
    <cellStyle name="ItemTypeClass 8 5" xfId="36204" xr:uid="{00000000-0005-0000-0000-000099050000}"/>
    <cellStyle name="ItemTypeClass 9" xfId="4074" xr:uid="{00000000-0005-0000-0000-000092050000}"/>
    <cellStyle name="ItemTypeClass 9 2" xfId="14834" xr:uid="{00000000-0005-0000-0000-000092050000}"/>
    <cellStyle name="ItemTypeClass 9 2 2" xfId="33244" xr:uid="{00000000-0005-0000-0000-000092050000}"/>
    <cellStyle name="ItemTypeClass 9 2 3" xfId="51607" xr:uid="{00000000-0005-0000-0000-000092050000}"/>
    <cellStyle name="ItemTypeClass 9 3" xfId="23968" xr:uid="{00000000-0005-0000-0000-000092050000}"/>
    <cellStyle name="ItemTypeClass 9 3 2" xfId="42337" xr:uid="{00000000-0005-0000-0000-000092050000}"/>
    <cellStyle name="ItemTypeClass 9 4" xfId="20290" xr:uid="{00000000-0005-0000-0000-000092050000}"/>
    <cellStyle name="ItemTypeClass 9 5" xfId="38691" xr:uid="{00000000-0005-0000-0000-000092050000}"/>
    <cellStyle name="JustOneDec" xfId="534" xr:uid="{00000000-0005-0000-0000-00009A050000}"/>
    <cellStyle name="kopregel" xfId="535" xr:uid="{00000000-0005-0000-0000-00009B050000}"/>
    <cellStyle name="KP_Normal" xfId="536" xr:uid="{00000000-0005-0000-0000-00009C050000}"/>
    <cellStyle name="Lable8Left" xfId="537" xr:uid="{00000000-0005-0000-0000-00009D050000}"/>
    <cellStyle name="Lable8Left 2" xfId="2099" xr:uid="{00000000-0005-0000-0000-00009E050000}"/>
    <cellStyle name="Lable8Left 3" xfId="2552" xr:uid="{00000000-0005-0000-0000-00009F050000}"/>
    <cellStyle name="LB Style" xfId="538" xr:uid="{00000000-0005-0000-0000-0000A0050000}"/>
    <cellStyle name="Line" xfId="539" xr:uid="{00000000-0005-0000-0000-0000A1050000}"/>
    <cellStyle name="Line 2" xfId="2100" xr:uid="{00000000-0005-0000-0000-0000A2050000}"/>
    <cellStyle name="Line 3" xfId="2553" xr:uid="{00000000-0005-0000-0000-0000A3050000}"/>
    <cellStyle name="LineItems" xfId="540" xr:uid="{00000000-0005-0000-0000-0000A4050000}"/>
    <cellStyle name="Link" xfId="541" xr:uid="{00000000-0005-0000-0000-0000A5050000}"/>
    <cellStyle name="Link Currency (0)" xfId="542" xr:uid="{00000000-0005-0000-0000-0000A6050000}"/>
    <cellStyle name="Link Currency (0) 2" xfId="2101" xr:uid="{00000000-0005-0000-0000-0000A7050000}"/>
    <cellStyle name="Link Currency (0) 3" xfId="2554" xr:uid="{00000000-0005-0000-0000-0000A8050000}"/>
    <cellStyle name="Link Currency (2)" xfId="543" xr:uid="{00000000-0005-0000-0000-0000A9050000}"/>
    <cellStyle name="Link Units (0)" xfId="544" xr:uid="{00000000-0005-0000-0000-0000AA050000}"/>
    <cellStyle name="Link Units (0) 2" xfId="2102" xr:uid="{00000000-0005-0000-0000-0000AB050000}"/>
    <cellStyle name="Link Units (0) 3" xfId="2555" xr:uid="{00000000-0005-0000-0000-0000AC050000}"/>
    <cellStyle name="Link Units (1)" xfId="545" xr:uid="{00000000-0005-0000-0000-0000AD050000}"/>
    <cellStyle name="Link Units (1) 2" xfId="2103" xr:uid="{00000000-0005-0000-0000-0000AE050000}"/>
    <cellStyle name="Link Units (1) 3" xfId="2556" xr:uid="{00000000-0005-0000-0000-0000AF050000}"/>
    <cellStyle name="Link Units (2)" xfId="546" xr:uid="{00000000-0005-0000-0000-0000B0050000}"/>
    <cellStyle name="Link_ML_VZ_092806" xfId="547" xr:uid="{00000000-0005-0000-0000-0000B1050000}"/>
    <cellStyle name="Linked" xfId="548" xr:uid="{00000000-0005-0000-0000-0000B2050000}"/>
    <cellStyle name="Linked Cell" xfId="23" builtinId="24" customBuiltin="1"/>
    <cellStyle name="Linked Cell #" xfId="549" xr:uid="{00000000-0005-0000-0000-0000B4050000}"/>
    <cellStyle name="Linked Cell 2" xfId="1636" xr:uid="{00000000-0005-0000-0000-0000B5050000}"/>
    <cellStyle name="Linked Cell 2 2" xfId="4298" xr:uid="{00000000-0005-0000-0000-000055000000}"/>
    <cellStyle name="Linked Cell 3" xfId="5159" xr:uid="{00000000-0005-0000-0000-0000881A0000}"/>
    <cellStyle name="Linked Cell 4" xfId="4081" xr:uid="{00000000-0005-0000-0000-0000A81A0000}"/>
    <cellStyle name="Linked Cell 5" xfId="3907" xr:uid="{00000000-0005-0000-0000-0000B01A0000}"/>
    <cellStyle name="Linked Cell 6" xfId="6304" xr:uid="{00000000-0005-0000-0000-0000B81A0000}"/>
    <cellStyle name="Linked Cell 7" xfId="6156" xr:uid="{00000000-0005-0000-0000-0000C01A0000}"/>
    <cellStyle name="Linked Cell 8" xfId="6251" xr:uid="{00000000-0005-0000-0000-0000C61A0000}"/>
    <cellStyle name="Locked" xfId="550" xr:uid="{00000000-0005-0000-0000-0000B6050000}"/>
    <cellStyle name="Locked 2" xfId="2104" xr:uid="{00000000-0005-0000-0000-0000B7050000}"/>
    <cellStyle name="Locked 3" xfId="2557" xr:uid="{00000000-0005-0000-0000-0000B8050000}"/>
    <cellStyle name="lou" xfId="551" xr:uid="{00000000-0005-0000-0000-0000B9050000}"/>
    <cellStyle name="lou 2" xfId="2105" xr:uid="{00000000-0005-0000-0000-0000BA050000}"/>
    <cellStyle name="lou 3" xfId="2558" xr:uid="{00000000-0005-0000-0000-0000BB050000}"/>
    <cellStyle name="m/d/yy" xfId="552" xr:uid="{00000000-0005-0000-0000-0000BC050000}"/>
    <cellStyle name="MacroCode" xfId="553" xr:uid="{00000000-0005-0000-0000-0000BD050000}"/>
    <cellStyle name="MacroCode 2" xfId="2106" xr:uid="{00000000-0005-0000-0000-0000BE050000}"/>
    <cellStyle name="MacroCode 3" xfId="2559" xr:uid="{00000000-0005-0000-0000-0000BF050000}"/>
    <cellStyle name="Magic" xfId="554" xr:uid="{00000000-0005-0000-0000-0000C0050000}"/>
    <cellStyle name="Magic 2" xfId="1060" xr:uid="{00000000-0005-0000-0000-0000C1050000}"/>
    <cellStyle name="Magic 2 10" xfId="8949" xr:uid="{00000000-0005-0000-0000-0000C1050000}"/>
    <cellStyle name="Magic 2 10 2" xfId="27702" xr:uid="{00000000-0005-0000-0000-0000C1050000}"/>
    <cellStyle name="Magic 2 10 3" xfId="46065" xr:uid="{00000000-0005-0000-0000-0000C1050000}"/>
    <cellStyle name="Magic 2 11" xfId="8236" xr:uid="{00000000-0005-0000-0000-0000C1050000}"/>
    <cellStyle name="Magic 2 2" xfId="1246" xr:uid="{00000000-0005-0000-0000-0000C2050000}"/>
    <cellStyle name="Magic 2 2 10" xfId="15238" xr:uid="{00000000-0005-0000-0000-0000C2050000}"/>
    <cellStyle name="Magic 2 2 2" xfId="1649" xr:uid="{00000000-0005-0000-0000-0000C3050000}"/>
    <cellStyle name="Magic 2 2 2 10" xfId="18249" xr:uid="{00000000-0005-0000-0000-0000C3050000}"/>
    <cellStyle name="Magic 2 2 2 10 2" xfId="36655" xr:uid="{00000000-0005-0000-0000-0000C3050000}"/>
    <cellStyle name="Magic 2 2 2 11" xfId="11686" xr:uid="{00000000-0005-0000-0000-0000C3050000}"/>
    <cellStyle name="Magic 2 2 2 12" xfId="8226" xr:uid="{00000000-0005-0000-0000-0000C3050000}"/>
    <cellStyle name="Magic 2 2 2 2" xfId="1730" xr:uid="{00000000-0005-0000-0000-0000C4050000}"/>
    <cellStyle name="Magic 2 2 2 2 10" xfId="7025" xr:uid="{00000000-0005-0000-0000-0000C4050000}"/>
    <cellStyle name="Magic 2 2 2 2 2" xfId="3627" xr:uid="{00000000-0005-0000-0000-0000C4050000}"/>
    <cellStyle name="Magic 2 2 2 2 2 2" xfId="5800" xr:uid="{00000000-0005-0000-0000-0000C4050000}"/>
    <cellStyle name="Magic 2 2 2 2 2 2 2" xfId="12164" xr:uid="{00000000-0005-0000-0000-0000C4050000}"/>
    <cellStyle name="Magic 2 2 2 2 2 2 2 2" xfId="30611" xr:uid="{00000000-0005-0000-0000-0000C4050000}"/>
    <cellStyle name="Magic 2 2 2 2 2 2 2 3" xfId="48974" xr:uid="{00000000-0005-0000-0000-0000C4050000}"/>
    <cellStyle name="Magic 2 2 2 2 2 2 3" xfId="16490" xr:uid="{00000000-0005-0000-0000-0000C4050000}"/>
    <cellStyle name="Magic 2 2 2 2 2 2 3 2" xfId="34862" xr:uid="{00000000-0005-0000-0000-0000C4050000}"/>
    <cellStyle name="Magic 2 2 2 2 2 2 3 3" xfId="53225" xr:uid="{00000000-0005-0000-0000-0000C4050000}"/>
    <cellStyle name="Magic 2 2 2 2 2 2 4" xfId="25609" xr:uid="{00000000-0005-0000-0000-0000C4050000}"/>
    <cellStyle name="Magic 2 2 2 2 2 2 4 2" xfId="43978" xr:uid="{00000000-0005-0000-0000-0000C4050000}"/>
    <cellStyle name="Magic 2 2 2 2 2 2 5" xfId="21930" xr:uid="{00000000-0005-0000-0000-0000C4050000}"/>
    <cellStyle name="Magic 2 2 2 2 2 2 6" xfId="40309" xr:uid="{00000000-0005-0000-0000-0000C4050000}"/>
    <cellStyle name="Magic 2 2 2 2 2 3" xfId="6626" xr:uid="{00000000-0005-0000-0000-0000C4050000}"/>
    <cellStyle name="Magic 2 2 2 2 2 3 2" xfId="12917" xr:uid="{00000000-0005-0000-0000-0000C4050000}"/>
    <cellStyle name="Magic 2 2 2 2 2 3 2 2" xfId="31343" xr:uid="{00000000-0005-0000-0000-0000C4050000}"/>
    <cellStyle name="Magic 2 2 2 2 2 3 2 3" xfId="49706" xr:uid="{00000000-0005-0000-0000-0000C4050000}"/>
    <cellStyle name="Magic 2 2 2 2 2 3 3" xfId="17228" xr:uid="{00000000-0005-0000-0000-0000C4050000}"/>
    <cellStyle name="Magic 2 2 2 2 2 3 3 2" xfId="35576" xr:uid="{00000000-0005-0000-0000-0000C4050000}"/>
    <cellStyle name="Magic 2 2 2 2 2 3 3 3" xfId="53939" xr:uid="{00000000-0005-0000-0000-0000C4050000}"/>
    <cellStyle name="Magic 2 2 2 2 2 3 4" xfId="26361" xr:uid="{00000000-0005-0000-0000-0000C4050000}"/>
    <cellStyle name="Magic 2 2 2 2 2 3 4 2" xfId="44730" xr:uid="{00000000-0005-0000-0000-0000C4050000}"/>
    <cellStyle name="Magic 2 2 2 2 2 3 5" xfId="22654" xr:uid="{00000000-0005-0000-0000-0000C4050000}"/>
    <cellStyle name="Magic 2 2 2 2 2 3 6" xfId="41023" xr:uid="{00000000-0005-0000-0000-0000C4050000}"/>
    <cellStyle name="Magic 2 2 2 2 2 4" xfId="10340" xr:uid="{00000000-0005-0000-0000-0000C4050000}"/>
    <cellStyle name="Magic 2 2 2 2 2 4 2" xfId="14397" xr:uid="{00000000-0005-0000-0000-0000C4050000}"/>
    <cellStyle name="Magic 2 2 2 2 2 4 2 2" xfId="32813" xr:uid="{00000000-0005-0000-0000-0000C4050000}"/>
    <cellStyle name="Magic 2 2 2 2 2 4 2 3" xfId="51176" xr:uid="{00000000-0005-0000-0000-0000C4050000}"/>
    <cellStyle name="Magic 2 2 2 2 2 4 3" xfId="29051" xr:uid="{00000000-0005-0000-0000-0000C4050000}"/>
    <cellStyle name="Magic 2 2 2 2 2 4 3 2" xfId="47414" xr:uid="{00000000-0005-0000-0000-0000C4050000}"/>
    <cellStyle name="Magic 2 2 2 2 2 4 4" xfId="19854" xr:uid="{00000000-0005-0000-0000-0000C4050000}"/>
    <cellStyle name="Magic 2 2 2 2 2 4 5" xfId="38260" xr:uid="{00000000-0005-0000-0000-0000C4050000}"/>
    <cellStyle name="Magic 2 2 2 2 2 5" xfId="9548" xr:uid="{00000000-0005-0000-0000-0000C4050000}"/>
    <cellStyle name="Magic 2 2 2 2 2 5 2" xfId="28265" xr:uid="{00000000-0005-0000-0000-0000C4050000}"/>
    <cellStyle name="Magic 2 2 2 2 2 5 3" xfId="46628" xr:uid="{00000000-0005-0000-0000-0000C4050000}"/>
    <cellStyle name="Magic 2 2 2 2 2 6" xfId="13606" xr:uid="{00000000-0005-0000-0000-0000C4050000}"/>
    <cellStyle name="Magic 2 2 2 2 2 6 2" xfId="32027" xr:uid="{00000000-0005-0000-0000-0000C4050000}"/>
    <cellStyle name="Magic 2 2 2 2 2 6 3" xfId="50390" xr:uid="{00000000-0005-0000-0000-0000C4050000}"/>
    <cellStyle name="Magic 2 2 2 2 2 7" xfId="23535" xr:uid="{00000000-0005-0000-0000-0000C4050000}"/>
    <cellStyle name="Magic 2 2 2 2 2 7 2" xfId="41904" xr:uid="{00000000-0005-0000-0000-0000C4050000}"/>
    <cellStyle name="Magic 2 2 2 2 2 8" xfId="18647" xr:uid="{00000000-0005-0000-0000-0000C4050000}"/>
    <cellStyle name="Magic 2 2 2 2 2 9" xfId="37057" xr:uid="{00000000-0005-0000-0000-0000C4050000}"/>
    <cellStyle name="Magic 2 2 2 2 3" xfId="4667" xr:uid="{00000000-0005-0000-0000-0000C4050000}"/>
    <cellStyle name="Magic 2 2 2 2 3 2" xfId="11251" xr:uid="{00000000-0005-0000-0000-0000C4050000}"/>
    <cellStyle name="Magic 2 2 2 2 3 2 2" xfId="29863" xr:uid="{00000000-0005-0000-0000-0000C4050000}"/>
    <cellStyle name="Magic 2 2 2 2 3 2 3" xfId="48226" xr:uid="{00000000-0005-0000-0000-0000C4050000}"/>
    <cellStyle name="Magic 2 2 2 2 3 3" xfId="15393" xr:uid="{00000000-0005-0000-0000-0000C4050000}"/>
    <cellStyle name="Magic 2 2 2 2 3 3 2" xfId="33786" xr:uid="{00000000-0005-0000-0000-0000C4050000}"/>
    <cellStyle name="Magic 2 2 2 2 3 3 3" xfId="52149" xr:uid="{00000000-0005-0000-0000-0000C4050000}"/>
    <cellStyle name="Magic 2 2 2 2 3 4" xfId="24517" xr:uid="{00000000-0005-0000-0000-0000C4050000}"/>
    <cellStyle name="Magic 2 2 2 2 3 4 2" xfId="42886" xr:uid="{00000000-0005-0000-0000-0000C4050000}"/>
    <cellStyle name="Magic 2 2 2 2 3 5" xfId="20844" xr:uid="{00000000-0005-0000-0000-0000C4050000}"/>
    <cellStyle name="Magic 2 2 2 2 3 6" xfId="39233" xr:uid="{00000000-0005-0000-0000-0000C4050000}"/>
    <cellStyle name="Magic 2 2 2 2 4" xfId="3967" xr:uid="{00000000-0005-0000-0000-0000C4050000}"/>
    <cellStyle name="Magic 2 2 2 2 4 2" xfId="10672" xr:uid="{00000000-0005-0000-0000-0000C4050000}"/>
    <cellStyle name="Magic 2 2 2 2 4 2 2" xfId="29378" xr:uid="{00000000-0005-0000-0000-0000C4050000}"/>
    <cellStyle name="Magic 2 2 2 2 4 2 3" xfId="47741" xr:uid="{00000000-0005-0000-0000-0000C4050000}"/>
    <cellStyle name="Magic 2 2 2 2 4 3" xfId="14730" xr:uid="{00000000-0005-0000-0000-0000C4050000}"/>
    <cellStyle name="Magic 2 2 2 2 4 3 2" xfId="33142" xr:uid="{00000000-0005-0000-0000-0000C4050000}"/>
    <cellStyle name="Magic 2 2 2 2 4 3 3" xfId="51505" xr:uid="{00000000-0005-0000-0000-0000C4050000}"/>
    <cellStyle name="Magic 2 2 2 2 4 4" xfId="23866" xr:uid="{00000000-0005-0000-0000-0000C4050000}"/>
    <cellStyle name="Magic 2 2 2 2 4 4 2" xfId="42235" xr:uid="{00000000-0005-0000-0000-0000C4050000}"/>
    <cellStyle name="Magic 2 2 2 2 4 5" xfId="20184" xr:uid="{00000000-0005-0000-0000-0000C4050000}"/>
    <cellStyle name="Magic 2 2 2 2 4 6" xfId="38589" xr:uid="{00000000-0005-0000-0000-0000C4050000}"/>
    <cellStyle name="Magic 2 2 2 2 5" xfId="9982" xr:uid="{00000000-0005-0000-0000-0000C4050000}"/>
    <cellStyle name="Magic 2 2 2 2 5 2" xfId="14039" xr:uid="{00000000-0005-0000-0000-0000C4050000}"/>
    <cellStyle name="Magic 2 2 2 2 5 2 2" xfId="32456" xr:uid="{00000000-0005-0000-0000-0000C4050000}"/>
    <cellStyle name="Magic 2 2 2 2 5 2 3" xfId="50819" xr:uid="{00000000-0005-0000-0000-0000C4050000}"/>
    <cellStyle name="Magic 2 2 2 2 5 3" xfId="28694" xr:uid="{00000000-0005-0000-0000-0000C4050000}"/>
    <cellStyle name="Magic 2 2 2 2 5 3 2" xfId="47057" xr:uid="{00000000-0005-0000-0000-0000C4050000}"/>
    <cellStyle name="Magic 2 2 2 2 5 4" xfId="19348" xr:uid="{00000000-0005-0000-0000-0000C4050000}"/>
    <cellStyle name="Magic 2 2 2 2 5 5" xfId="37755" xr:uid="{00000000-0005-0000-0000-0000C4050000}"/>
    <cellStyle name="Magic 2 2 2 2 6" xfId="7961" xr:uid="{00000000-0005-0000-0000-0000C4050000}"/>
    <cellStyle name="Magic 2 2 2 2 6 2" xfId="27191" xr:uid="{00000000-0005-0000-0000-0000C4050000}"/>
    <cellStyle name="Magic 2 2 2 2 6 3" xfId="45556" xr:uid="{00000000-0005-0000-0000-0000C4050000}"/>
    <cellStyle name="Magic 2 2 2 2 7" xfId="8091" xr:uid="{00000000-0005-0000-0000-0000C4050000}"/>
    <cellStyle name="Magic 2 2 2 2 7 2" xfId="27298" xr:uid="{00000000-0005-0000-0000-0000C4050000}"/>
    <cellStyle name="Magic 2 2 2 2 7 3" xfId="45663" xr:uid="{00000000-0005-0000-0000-0000C4050000}"/>
    <cellStyle name="Magic 2 2 2 2 8" xfId="18535" xr:uid="{00000000-0005-0000-0000-0000C4050000}"/>
    <cellStyle name="Magic 2 2 2 2 8 2" xfId="36944" xr:uid="{00000000-0005-0000-0000-0000C4050000}"/>
    <cellStyle name="Magic 2 2 2 2 9" xfId="11662" xr:uid="{00000000-0005-0000-0000-0000C4050000}"/>
    <cellStyle name="Magic 2 2 2 3" xfId="1760" xr:uid="{00000000-0005-0000-0000-0000C5050000}"/>
    <cellStyle name="Magic 2 2 2 3 10" xfId="7355" xr:uid="{00000000-0005-0000-0000-0000C5050000}"/>
    <cellStyle name="Magic 2 2 2 3 2" xfId="3657" xr:uid="{00000000-0005-0000-0000-0000C5050000}"/>
    <cellStyle name="Magic 2 2 2 3 2 2" xfId="5830" xr:uid="{00000000-0005-0000-0000-0000C5050000}"/>
    <cellStyle name="Magic 2 2 2 3 2 2 2" xfId="12194" xr:uid="{00000000-0005-0000-0000-0000C5050000}"/>
    <cellStyle name="Magic 2 2 2 3 2 2 2 2" xfId="30641" xr:uid="{00000000-0005-0000-0000-0000C5050000}"/>
    <cellStyle name="Magic 2 2 2 3 2 2 2 3" xfId="49004" xr:uid="{00000000-0005-0000-0000-0000C5050000}"/>
    <cellStyle name="Magic 2 2 2 3 2 2 3" xfId="16520" xr:uid="{00000000-0005-0000-0000-0000C5050000}"/>
    <cellStyle name="Magic 2 2 2 3 2 2 3 2" xfId="34892" xr:uid="{00000000-0005-0000-0000-0000C5050000}"/>
    <cellStyle name="Magic 2 2 2 3 2 2 3 3" xfId="53255" xr:uid="{00000000-0005-0000-0000-0000C5050000}"/>
    <cellStyle name="Magic 2 2 2 3 2 2 4" xfId="25639" xr:uid="{00000000-0005-0000-0000-0000C5050000}"/>
    <cellStyle name="Magic 2 2 2 3 2 2 4 2" xfId="44008" xr:uid="{00000000-0005-0000-0000-0000C5050000}"/>
    <cellStyle name="Magic 2 2 2 3 2 2 5" xfId="21960" xr:uid="{00000000-0005-0000-0000-0000C5050000}"/>
    <cellStyle name="Magic 2 2 2 3 2 2 6" xfId="40339" xr:uid="{00000000-0005-0000-0000-0000C5050000}"/>
    <cellStyle name="Magic 2 2 2 3 2 3" xfId="6656" xr:uid="{00000000-0005-0000-0000-0000C5050000}"/>
    <cellStyle name="Magic 2 2 2 3 2 3 2" xfId="12947" xr:uid="{00000000-0005-0000-0000-0000C5050000}"/>
    <cellStyle name="Magic 2 2 2 3 2 3 2 2" xfId="31373" xr:uid="{00000000-0005-0000-0000-0000C5050000}"/>
    <cellStyle name="Magic 2 2 2 3 2 3 2 3" xfId="49736" xr:uid="{00000000-0005-0000-0000-0000C5050000}"/>
    <cellStyle name="Magic 2 2 2 3 2 3 3" xfId="17258" xr:uid="{00000000-0005-0000-0000-0000C5050000}"/>
    <cellStyle name="Magic 2 2 2 3 2 3 3 2" xfId="35606" xr:uid="{00000000-0005-0000-0000-0000C5050000}"/>
    <cellStyle name="Magic 2 2 2 3 2 3 3 3" xfId="53969" xr:uid="{00000000-0005-0000-0000-0000C5050000}"/>
    <cellStyle name="Magic 2 2 2 3 2 3 4" xfId="26391" xr:uid="{00000000-0005-0000-0000-0000C5050000}"/>
    <cellStyle name="Magic 2 2 2 3 2 3 4 2" xfId="44760" xr:uid="{00000000-0005-0000-0000-0000C5050000}"/>
    <cellStyle name="Magic 2 2 2 3 2 3 5" xfId="22684" xr:uid="{00000000-0005-0000-0000-0000C5050000}"/>
    <cellStyle name="Magic 2 2 2 3 2 3 6" xfId="41053" xr:uid="{00000000-0005-0000-0000-0000C5050000}"/>
    <cellStyle name="Magic 2 2 2 3 2 4" xfId="10370" xr:uid="{00000000-0005-0000-0000-0000C5050000}"/>
    <cellStyle name="Magic 2 2 2 3 2 4 2" xfId="14427" xr:uid="{00000000-0005-0000-0000-0000C5050000}"/>
    <cellStyle name="Magic 2 2 2 3 2 4 2 2" xfId="32843" xr:uid="{00000000-0005-0000-0000-0000C5050000}"/>
    <cellStyle name="Magic 2 2 2 3 2 4 2 3" xfId="51206" xr:uid="{00000000-0005-0000-0000-0000C5050000}"/>
    <cellStyle name="Magic 2 2 2 3 2 4 3" xfId="29081" xr:uid="{00000000-0005-0000-0000-0000C5050000}"/>
    <cellStyle name="Magic 2 2 2 3 2 4 3 2" xfId="47444" xr:uid="{00000000-0005-0000-0000-0000C5050000}"/>
    <cellStyle name="Magic 2 2 2 3 2 4 4" xfId="19884" xr:uid="{00000000-0005-0000-0000-0000C5050000}"/>
    <cellStyle name="Magic 2 2 2 3 2 4 5" xfId="38290" xr:uid="{00000000-0005-0000-0000-0000C5050000}"/>
    <cellStyle name="Magic 2 2 2 3 2 5" xfId="9578" xr:uid="{00000000-0005-0000-0000-0000C5050000}"/>
    <cellStyle name="Magic 2 2 2 3 2 5 2" xfId="28295" xr:uid="{00000000-0005-0000-0000-0000C5050000}"/>
    <cellStyle name="Magic 2 2 2 3 2 5 3" xfId="46658" xr:uid="{00000000-0005-0000-0000-0000C5050000}"/>
    <cellStyle name="Magic 2 2 2 3 2 6" xfId="13636" xr:uid="{00000000-0005-0000-0000-0000C5050000}"/>
    <cellStyle name="Magic 2 2 2 3 2 6 2" xfId="32057" xr:uid="{00000000-0005-0000-0000-0000C5050000}"/>
    <cellStyle name="Magic 2 2 2 3 2 6 3" xfId="50420" xr:uid="{00000000-0005-0000-0000-0000C5050000}"/>
    <cellStyle name="Magic 2 2 2 3 2 7" xfId="23565" xr:uid="{00000000-0005-0000-0000-0000C5050000}"/>
    <cellStyle name="Magic 2 2 2 3 2 7 2" xfId="41934" xr:uid="{00000000-0005-0000-0000-0000C5050000}"/>
    <cellStyle name="Magic 2 2 2 3 2 8" xfId="18677" xr:uid="{00000000-0005-0000-0000-0000C5050000}"/>
    <cellStyle name="Magic 2 2 2 3 2 9" xfId="37087" xr:uid="{00000000-0005-0000-0000-0000C5050000}"/>
    <cellStyle name="Magic 2 2 2 3 3" xfId="4697" xr:uid="{00000000-0005-0000-0000-0000C5050000}"/>
    <cellStyle name="Magic 2 2 2 3 3 2" xfId="11281" xr:uid="{00000000-0005-0000-0000-0000C5050000}"/>
    <cellStyle name="Magic 2 2 2 3 3 2 2" xfId="29893" xr:uid="{00000000-0005-0000-0000-0000C5050000}"/>
    <cellStyle name="Magic 2 2 2 3 3 2 3" xfId="48256" xr:uid="{00000000-0005-0000-0000-0000C5050000}"/>
    <cellStyle name="Magic 2 2 2 3 3 3" xfId="15423" xr:uid="{00000000-0005-0000-0000-0000C5050000}"/>
    <cellStyle name="Magic 2 2 2 3 3 3 2" xfId="33816" xr:uid="{00000000-0005-0000-0000-0000C5050000}"/>
    <cellStyle name="Magic 2 2 2 3 3 3 3" xfId="52179" xr:uid="{00000000-0005-0000-0000-0000C5050000}"/>
    <cellStyle name="Magic 2 2 2 3 3 4" xfId="24547" xr:uid="{00000000-0005-0000-0000-0000C5050000}"/>
    <cellStyle name="Magic 2 2 2 3 3 4 2" xfId="42916" xr:uid="{00000000-0005-0000-0000-0000C5050000}"/>
    <cellStyle name="Magic 2 2 2 3 3 5" xfId="20874" xr:uid="{00000000-0005-0000-0000-0000C5050000}"/>
    <cellStyle name="Magic 2 2 2 3 3 6" xfId="39263" xr:uid="{00000000-0005-0000-0000-0000C5050000}"/>
    <cellStyle name="Magic 2 2 2 3 4" xfId="4865" xr:uid="{00000000-0005-0000-0000-0000C5050000}"/>
    <cellStyle name="Magic 2 2 2 3 4 2" xfId="11423" xr:uid="{00000000-0005-0000-0000-0000C5050000}"/>
    <cellStyle name="Magic 2 2 2 3 4 2 2" xfId="30013" xr:uid="{00000000-0005-0000-0000-0000C5050000}"/>
    <cellStyle name="Magic 2 2 2 3 4 2 3" xfId="48376" xr:uid="{00000000-0005-0000-0000-0000C5050000}"/>
    <cellStyle name="Magic 2 2 2 3 4 3" xfId="15591" xr:uid="{00000000-0005-0000-0000-0000C5050000}"/>
    <cellStyle name="Magic 2 2 2 3 4 3 2" xfId="33982" xr:uid="{00000000-0005-0000-0000-0000C5050000}"/>
    <cellStyle name="Magic 2 2 2 3 4 3 3" xfId="52345" xr:uid="{00000000-0005-0000-0000-0000C5050000}"/>
    <cellStyle name="Magic 2 2 2 3 4 4" xfId="24713" xr:uid="{00000000-0005-0000-0000-0000C5050000}"/>
    <cellStyle name="Magic 2 2 2 3 4 4 2" xfId="43082" xr:uid="{00000000-0005-0000-0000-0000C5050000}"/>
    <cellStyle name="Magic 2 2 2 3 4 5" xfId="21040" xr:uid="{00000000-0005-0000-0000-0000C5050000}"/>
    <cellStyle name="Magic 2 2 2 3 4 6" xfId="39429" xr:uid="{00000000-0005-0000-0000-0000C5050000}"/>
    <cellStyle name="Magic 2 2 2 3 5" xfId="9068" xr:uid="{00000000-0005-0000-0000-0000C5050000}"/>
    <cellStyle name="Magic 2 2 2 3 5 2" xfId="6199" xr:uid="{00000000-0005-0000-0000-0000C5050000}"/>
    <cellStyle name="Magic 2 2 2 3 5 2 2" xfId="25976" xr:uid="{00000000-0005-0000-0000-0000C5050000}"/>
    <cellStyle name="Magic 2 2 2 3 5 2 3" xfId="44345" xr:uid="{00000000-0005-0000-0000-0000C5050000}"/>
    <cellStyle name="Magic 2 2 2 3 5 3" xfId="27794" xr:uid="{00000000-0005-0000-0000-0000C5050000}"/>
    <cellStyle name="Magic 2 2 2 3 5 3 2" xfId="46157" xr:uid="{00000000-0005-0000-0000-0000C5050000}"/>
    <cellStyle name="Magic 2 2 2 3 5 4" xfId="17968" xr:uid="{00000000-0005-0000-0000-0000C5050000}"/>
    <cellStyle name="Magic 2 2 2 3 5 5" xfId="36376" xr:uid="{00000000-0005-0000-0000-0000C5050000}"/>
    <cellStyle name="Magic 2 2 2 3 6" xfId="7991" xr:uid="{00000000-0005-0000-0000-0000C5050000}"/>
    <cellStyle name="Magic 2 2 2 3 6 2" xfId="27221" xr:uid="{00000000-0005-0000-0000-0000C5050000}"/>
    <cellStyle name="Magic 2 2 2 3 6 3" xfId="45586" xr:uid="{00000000-0005-0000-0000-0000C5050000}"/>
    <cellStyle name="Magic 2 2 2 3 7" xfId="7170" xr:uid="{00000000-0005-0000-0000-0000C5050000}"/>
    <cellStyle name="Magic 2 2 2 3 7 2" xfId="26734" xr:uid="{00000000-0005-0000-0000-0000C5050000}"/>
    <cellStyle name="Magic 2 2 2 3 7 3" xfId="45102" xr:uid="{00000000-0005-0000-0000-0000C5050000}"/>
    <cellStyle name="Magic 2 2 2 3 8" xfId="18904" xr:uid="{00000000-0005-0000-0000-0000C5050000}"/>
    <cellStyle name="Magic 2 2 2 3 8 2" xfId="37313" xr:uid="{00000000-0005-0000-0000-0000C5050000}"/>
    <cellStyle name="Magic 2 2 2 3 9" xfId="7065" xr:uid="{00000000-0005-0000-0000-0000C5050000}"/>
    <cellStyle name="Magic 2 2 2 4" xfId="1788" xr:uid="{00000000-0005-0000-0000-0000C6050000}"/>
    <cellStyle name="Magic 2 2 2 4 10" xfId="8854" xr:uid="{00000000-0005-0000-0000-0000C6050000}"/>
    <cellStyle name="Magic 2 2 2 4 2" xfId="3685" xr:uid="{00000000-0005-0000-0000-0000C6050000}"/>
    <cellStyle name="Magic 2 2 2 4 2 2" xfId="5858" xr:uid="{00000000-0005-0000-0000-0000C6050000}"/>
    <cellStyle name="Magic 2 2 2 4 2 2 2" xfId="12222" xr:uid="{00000000-0005-0000-0000-0000C6050000}"/>
    <cellStyle name="Magic 2 2 2 4 2 2 2 2" xfId="30669" xr:uid="{00000000-0005-0000-0000-0000C6050000}"/>
    <cellStyle name="Magic 2 2 2 4 2 2 2 3" xfId="49032" xr:uid="{00000000-0005-0000-0000-0000C6050000}"/>
    <cellStyle name="Magic 2 2 2 4 2 2 3" xfId="16548" xr:uid="{00000000-0005-0000-0000-0000C6050000}"/>
    <cellStyle name="Magic 2 2 2 4 2 2 3 2" xfId="34920" xr:uid="{00000000-0005-0000-0000-0000C6050000}"/>
    <cellStyle name="Magic 2 2 2 4 2 2 3 3" xfId="53283" xr:uid="{00000000-0005-0000-0000-0000C6050000}"/>
    <cellStyle name="Magic 2 2 2 4 2 2 4" xfId="25667" xr:uid="{00000000-0005-0000-0000-0000C6050000}"/>
    <cellStyle name="Magic 2 2 2 4 2 2 4 2" xfId="44036" xr:uid="{00000000-0005-0000-0000-0000C6050000}"/>
    <cellStyle name="Magic 2 2 2 4 2 2 5" xfId="21988" xr:uid="{00000000-0005-0000-0000-0000C6050000}"/>
    <cellStyle name="Magic 2 2 2 4 2 2 6" xfId="40367" xr:uid="{00000000-0005-0000-0000-0000C6050000}"/>
    <cellStyle name="Magic 2 2 2 4 2 3" xfId="6684" xr:uid="{00000000-0005-0000-0000-0000C6050000}"/>
    <cellStyle name="Magic 2 2 2 4 2 3 2" xfId="12975" xr:uid="{00000000-0005-0000-0000-0000C6050000}"/>
    <cellStyle name="Magic 2 2 2 4 2 3 2 2" xfId="31401" xr:uid="{00000000-0005-0000-0000-0000C6050000}"/>
    <cellStyle name="Magic 2 2 2 4 2 3 2 3" xfId="49764" xr:uid="{00000000-0005-0000-0000-0000C6050000}"/>
    <cellStyle name="Magic 2 2 2 4 2 3 3" xfId="17286" xr:uid="{00000000-0005-0000-0000-0000C6050000}"/>
    <cellStyle name="Magic 2 2 2 4 2 3 3 2" xfId="35634" xr:uid="{00000000-0005-0000-0000-0000C6050000}"/>
    <cellStyle name="Magic 2 2 2 4 2 3 3 3" xfId="53997" xr:uid="{00000000-0005-0000-0000-0000C6050000}"/>
    <cellStyle name="Magic 2 2 2 4 2 3 4" xfId="26419" xr:uid="{00000000-0005-0000-0000-0000C6050000}"/>
    <cellStyle name="Magic 2 2 2 4 2 3 4 2" xfId="44788" xr:uid="{00000000-0005-0000-0000-0000C6050000}"/>
    <cellStyle name="Magic 2 2 2 4 2 3 5" xfId="22712" xr:uid="{00000000-0005-0000-0000-0000C6050000}"/>
    <cellStyle name="Magic 2 2 2 4 2 3 6" xfId="41081" xr:uid="{00000000-0005-0000-0000-0000C6050000}"/>
    <cellStyle name="Magic 2 2 2 4 2 4" xfId="10398" xr:uid="{00000000-0005-0000-0000-0000C6050000}"/>
    <cellStyle name="Magic 2 2 2 4 2 4 2" xfId="14455" xr:uid="{00000000-0005-0000-0000-0000C6050000}"/>
    <cellStyle name="Magic 2 2 2 4 2 4 2 2" xfId="32871" xr:uid="{00000000-0005-0000-0000-0000C6050000}"/>
    <cellStyle name="Magic 2 2 2 4 2 4 2 3" xfId="51234" xr:uid="{00000000-0005-0000-0000-0000C6050000}"/>
    <cellStyle name="Magic 2 2 2 4 2 4 3" xfId="29109" xr:uid="{00000000-0005-0000-0000-0000C6050000}"/>
    <cellStyle name="Magic 2 2 2 4 2 4 3 2" xfId="47472" xr:uid="{00000000-0005-0000-0000-0000C6050000}"/>
    <cellStyle name="Magic 2 2 2 4 2 4 4" xfId="19912" xr:uid="{00000000-0005-0000-0000-0000C6050000}"/>
    <cellStyle name="Magic 2 2 2 4 2 4 5" xfId="38318" xr:uid="{00000000-0005-0000-0000-0000C6050000}"/>
    <cellStyle name="Magic 2 2 2 4 2 5" xfId="9606" xr:uid="{00000000-0005-0000-0000-0000C6050000}"/>
    <cellStyle name="Magic 2 2 2 4 2 5 2" xfId="28323" xr:uid="{00000000-0005-0000-0000-0000C6050000}"/>
    <cellStyle name="Magic 2 2 2 4 2 5 3" xfId="46686" xr:uid="{00000000-0005-0000-0000-0000C6050000}"/>
    <cellStyle name="Magic 2 2 2 4 2 6" xfId="13664" xr:uid="{00000000-0005-0000-0000-0000C6050000}"/>
    <cellStyle name="Magic 2 2 2 4 2 6 2" xfId="32085" xr:uid="{00000000-0005-0000-0000-0000C6050000}"/>
    <cellStyle name="Magic 2 2 2 4 2 6 3" xfId="50448" xr:uid="{00000000-0005-0000-0000-0000C6050000}"/>
    <cellStyle name="Magic 2 2 2 4 2 7" xfId="23593" xr:uid="{00000000-0005-0000-0000-0000C6050000}"/>
    <cellStyle name="Magic 2 2 2 4 2 7 2" xfId="41962" xr:uid="{00000000-0005-0000-0000-0000C6050000}"/>
    <cellStyle name="Magic 2 2 2 4 2 8" xfId="18705" xr:uid="{00000000-0005-0000-0000-0000C6050000}"/>
    <cellStyle name="Magic 2 2 2 4 2 9" xfId="37115" xr:uid="{00000000-0005-0000-0000-0000C6050000}"/>
    <cellStyle name="Magic 2 2 2 4 3" xfId="4725" xr:uid="{00000000-0005-0000-0000-0000C6050000}"/>
    <cellStyle name="Magic 2 2 2 4 3 2" xfId="11309" xr:uid="{00000000-0005-0000-0000-0000C6050000}"/>
    <cellStyle name="Magic 2 2 2 4 3 2 2" xfId="29921" xr:uid="{00000000-0005-0000-0000-0000C6050000}"/>
    <cellStyle name="Magic 2 2 2 4 3 2 3" xfId="48284" xr:uid="{00000000-0005-0000-0000-0000C6050000}"/>
    <cellStyle name="Magic 2 2 2 4 3 3" xfId="15451" xr:uid="{00000000-0005-0000-0000-0000C6050000}"/>
    <cellStyle name="Magic 2 2 2 4 3 3 2" xfId="33844" xr:uid="{00000000-0005-0000-0000-0000C6050000}"/>
    <cellStyle name="Magic 2 2 2 4 3 3 3" xfId="52207" xr:uid="{00000000-0005-0000-0000-0000C6050000}"/>
    <cellStyle name="Magic 2 2 2 4 3 4" xfId="24575" xr:uid="{00000000-0005-0000-0000-0000C6050000}"/>
    <cellStyle name="Magic 2 2 2 4 3 4 2" xfId="42944" xr:uid="{00000000-0005-0000-0000-0000C6050000}"/>
    <cellStyle name="Magic 2 2 2 4 3 5" xfId="20902" xr:uid="{00000000-0005-0000-0000-0000C6050000}"/>
    <cellStyle name="Magic 2 2 2 4 3 6" xfId="39291" xr:uid="{00000000-0005-0000-0000-0000C6050000}"/>
    <cellStyle name="Magic 2 2 2 4 4" xfId="3942" xr:uid="{00000000-0005-0000-0000-0000C6050000}"/>
    <cellStyle name="Magic 2 2 2 4 4 2" xfId="10647" xr:uid="{00000000-0005-0000-0000-0000C6050000}"/>
    <cellStyle name="Magic 2 2 2 4 4 2 2" xfId="29353" xr:uid="{00000000-0005-0000-0000-0000C6050000}"/>
    <cellStyle name="Magic 2 2 2 4 4 2 3" xfId="47716" xr:uid="{00000000-0005-0000-0000-0000C6050000}"/>
    <cellStyle name="Magic 2 2 2 4 4 3" xfId="14705" xr:uid="{00000000-0005-0000-0000-0000C6050000}"/>
    <cellStyle name="Magic 2 2 2 4 4 3 2" xfId="33117" xr:uid="{00000000-0005-0000-0000-0000C6050000}"/>
    <cellStyle name="Magic 2 2 2 4 4 3 3" xfId="51480" xr:uid="{00000000-0005-0000-0000-0000C6050000}"/>
    <cellStyle name="Magic 2 2 2 4 4 4" xfId="23841" xr:uid="{00000000-0005-0000-0000-0000C6050000}"/>
    <cellStyle name="Magic 2 2 2 4 4 4 2" xfId="42210" xr:uid="{00000000-0005-0000-0000-0000C6050000}"/>
    <cellStyle name="Magic 2 2 2 4 4 5" xfId="20159" xr:uid="{00000000-0005-0000-0000-0000C6050000}"/>
    <cellStyle name="Magic 2 2 2 4 4 6" xfId="38564" xr:uid="{00000000-0005-0000-0000-0000C6050000}"/>
    <cellStyle name="Magic 2 2 2 4 5" xfId="9971" xr:uid="{00000000-0005-0000-0000-0000C6050000}"/>
    <cellStyle name="Magic 2 2 2 4 5 2" xfId="14028" xr:uid="{00000000-0005-0000-0000-0000C6050000}"/>
    <cellStyle name="Magic 2 2 2 4 5 2 2" xfId="32445" xr:uid="{00000000-0005-0000-0000-0000C6050000}"/>
    <cellStyle name="Magic 2 2 2 4 5 2 3" xfId="50808" xr:uid="{00000000-0005-0000-0000-0000C6050000}"/>
    <cellStyle name="Magic 2 2 2 4 5 3" xfId="28683" xr:uid="{00000000-0005-0000-0000-0000C6050000}"/>
    <cellStyle name="Magic 2 2 2 4 5 3 2" xfId="47046" xr:uid="{00000000-0005-0000-0000-0000C6050000}"/>
    <cellStyle name="Magic 2 2 2 4 5 4" xfId="19310" xr:uid="{00000000-0005-0000-0000-0000C6050000}"/>
    <cellStyle name="Magic 2 2 2 4 5 5" xfId="37717" xr:uid="{00000000-0005-0000-0000-0000C6050000}"/>
    <cellStyle name="Magic 2 2 2 4 6" xfId="8019" xr:uid="{00000000-0005-0000-0000-0000C6050000}"/>
    <cellStyle name="Magic 2 2 2 4 6 2" xfId="27249" xr:uid="{00000000-0005-0000-0000-0000C6050000}"/>
    <cellStyle name="Magic 2 2 2 4 6 3" xfId="45614" xr:uid="{00000000-0005-0000-0000-0000C6050000}"/>
    <cellStyle name="Magic 2 2 2 4 7" xfId="8346" xr:uid="{00000000-0005-0000-0000-0000C6050000}"/>
    <cellStyle name="Magic 2 2 2 4 7 2" xfId="27414" xr:uid="{00000000-0005-0000-0000-0000C6050000}"/>
    <cellStyle name="Magic 2 2 2 4 7 3" xfId="45778" xr:uid="{00000000-0005-0000-0000-0000C6050000}"/>
    <cellStyle name="Magic 2 2 2 4 8" xfId="19481" xr:uid="{00000000-0005-0000-0000-0000C6050000}"/>
    <cellStyle name="Magic 2 2 2 4 8 2" xfId="37887" xr:uid="{00000000-0005-0000-0000-0000C6050000}"/>
    <cellStyle name="Magic 2 2 2 4 9" xfId="15864" xr:uid="{00000000-0005-0000-0000-0000C6050000}"/>
    <cellStyle name="Magic 2 2 2 5" xfId="3561" xr:uid="{00000000-0005-0000-0000-0000C3050000}"/>
    <cellStyle name="Magic 2 2 2 5 2" xfId="5734" xr:uid="{00000000-0005-0000-0000-0000C3050000}"/>
    <cellStyle name="Magic 2 2 2 5 2 2" xfId="12098" xr:uid="{00000000-0005-0000-0000-0000C3050000}"/>
    <cellStyle name="Magic 2 2 2 5 2 2 2" xfId="30545" xr:uid="{00000000-0005-0000-0000-0000C3050000}"/>
    <cellStyle name="Magic 2 2 2 5 2 2 3" xfId="48908" xr:uid="{00000000-0005-0000-0000-0000C3050000}"/>
    <cellStyle name="Magic 2 2 2 5 2 3" xfId="16424" xr:uid="{00000000-0005-0000-0000-0000C3050000}"/>
    <cellStyle name="Magic 2 2 2 5 2 3 2" xfId="34796" xr:uid="{00000000-0005-0000-0000-0000C3050000}"/>
    <cellStyle name="Magic 2 2 2 5 2 3 3" xfId="53159" xr:uid="{00000000-0005-0000-0000-0000C3050000}"/>
    <cellStyle name="Magic 2 2 2 5 2 4" xfId="25543" xr:uid="{00000000-0005-0000-0000-0000C3050000}"/>
    <cellStyle name="Magic 2 2 2 5 2 4 2" xfId="43912" xr:uid="{00000000-0005-0000-0000-0000C3050000}"/>
    <cellStyle name="Magic 2 2 2 5 2 5" xfId="21864" xr:uid="{00000000-0005-0000-0000-0000C3050000}"/>
    <cellStyle name="Magic 2 2 2 5 2 6" xfId="40243" xr:uid="{00000000-0005-0000-0000-0000C3050000}"/>
    <cellStyle name="Magic 2 2 2 5 3" xfId="6560" xr:uid="{00000000-0005-0000-0000-0000C3050000}"/>
    <cellStyle name="Magic 2 2 2 5 3 2" xfId="12851" xr:uid="{00000000-0005-0000-0000-0000C3050000}"/>
    <cellStyle name="Magic 2 2 2 5 3 2 2" xfId="31277" xr:uid="{00000000-0005-0000-0000-0000C3050000}"/>
    <cellStyle name="Magic 2 2 2 5 3 2 3" xfId="49640" xr:uid="{00000000-0005-0000-0000-0000C3050000}"/>
    <cellStyle name="Magic 2 2 2 5 3 3" xfId="17162" xr:uid="{00000000-0005-0000-0000-0000C3050000}"/>
    <cellStyle name="Magic 2 2 2 5 3 3 2" xfId="35510" xr:uid="{00000000-0005-0000-0000-0000C3050000}"/>
    <cellStyle name="Magic 2 2 2 5 3 3 3" xfId="53873" xr:uid="{00000000-0005-0000-0000-0000C3050000}"/>
    <cellStyle name="Magic 2 2 2 5 3 4" xfId="26295" xr:uid="{00000000-0005-0000-0000-0000C3050000}"/>
    <cellStyle name="Magic 2 2 2 5 3 4 2" xfId="44664" xr:uid="{00000000-0005-0000-0000-0000C3050000}"/>
    <cellStyle name="Magic 2 2 2 5 3 5" xfId="22588" xr:uid="{00000000-0005-0000-0000-0000C3050000}"/>
    <cellStyle name="Magic 2 2 2 5 3 6" xfId="40957" xr:uid="{00000000-0005-0000-0000-0000C3050000}"/>
    <cellStyle name="Magic 2 2 2 5 4" xfId="10274" xr:uid="{00000000-0005-0000-0000-0000C3050000}"/>
    <cellStyle name="Magic 2 2 2 5 4 2" xfId="14331" xr:uid="{00000000-0005-0000-0000-0000C3050000}"/>
    <cellStyle name="Magic 2 2 2 5 4 2 2" xfId="32747" xr:uid="{00000000-0005-0000-0000-0000C3050000}"/>
    <cellStyle name="Magic 2 2 2 5 4 2 3" xfId="51110" xr:uid="{00000000-0005-0000-0000-0000C3050000}"/>
    <cellStyle name="Magic 2 2 2 5 4 3" xfId="28985" xr:uid="{00000000-0005-0000-0000-0000C3050000}"/>
    <cellStyle name="Magic 2 2 2 5 4 3 2" xfId="47348" xr:uid="{00000000-0005-0000-0000-0000C3050000}"/>
    <cellStyle name="Magic 2 2 2 5 4 4" xfId="19788" xr:uid="{00000000-0005-0000-0000-0000C3050000}"/>
    <cellStyle name="Magic 2 2 2 5 4 5" xfId="38194" xr:uid="{00000000-0005-0000-0000-0000C3050000}"/>
    <cellStyle name="Magic 2 2 2 5 5" xfId="9482" xr:uid="{00000000-0005-0000-0000-0000C3050000}"/>
    <cellStyle name="Magic 2 2 2 5 5 2" xfId="28199" xr:uid="{00000000-0005-0000-0000-0000C3050000}"/>
    <cellStyle name="Magic 2 2 2 5 5 3" xfId="46562" xr:uid="{00000000-0005-0000-0000-0000C3050000}"/>
    <cellStyle name="Magic 2 2 2 5 6" xfId="13540" xr:uid="{00000000-0005-0000-0000-0000C3050000}"/>
    <cellStyle name="Magic 2 2 2 5 6 2" xfId="31961" xr:uid="{00000000-0005-0000-0000-0000C3050000}"/>
    <cellStyle name="Magic 2 2 2 5 6 3" xfId="50324" xr:uid="{00000000-0005-0000-0000-0000C3050000}"/>
    <cellStyle name="Magic 2 2 2 5 7" xfId="23469" xr:uid="{00000000-0005-0000-0000-0000C3050000}"/>
    <cellStyle name="Magic 2 2 2 5 7 2" xfId="41838" xr:uid="{00000000-0005-0000-0000-0000C3050000}"/>
    <cellStyle name="Magic 2 2 2 5 8" xfId="18579" xr:uid="{00000000-0005-0000-0000-0000C3050000}"/>
    <cellStyle name="Magic 2 2 2 5 9" xfId="36989" xr:uid="{00000000-0005-0000-0000-0000C3050000}"/>
    <cellStyle name="Magic 2 2 2 6" xfId="4592" xr:uid="{00000000-0005-0000-0000-0000C3050000}"/>
    <cellStyle name="Magic 2 2 2 6 2" xfId="11177" xr:uid="{00000000-0005-0000-0000-0000C3050000}"/>
    <cellStyle name="Magic 2 2 2 6 2 2" xfId="29791" xr:uid="{00000000-0005-0000-0000-0000C3050000}"/>
    <cellStyle name="Magic 2 2 2 6 2 3" xfId="48154" xr:uid="{00000000-0005-0000-0000-0000C3050000}"/>
    <cellStyle name="Magic 2 2 2 6 3" xfId="15318" xr:uid="{00000000-0005-0000-0000-0000C3050000}"/>
    <cellStyle name="Magic 2 2 2 6 3 2" xfId="33712" xr:uid="{00000000-0005-0000-0000-0000C3050000}"/>
    <cellStyle name="Magic 2 2 2 6 3 3" xfId="52075" xr:uid="{00000000-0005-0000-0000-0000C3050000}"/>
    <cellStyle name="Magic 2 2 2 6 4" xfId="24443" xr:uid="{00000000-0005-0000-0000-0000C3050000}"/>
    <cellStyle name="Magic 2 2 2 6 4 2" xfId="42812" xr:uid="{00000000-0005-0000-0000-0000C3050000}"/>
    <cellStyle name="Magic 2 2 2 6 5" xfId="20769" xr:uid="{00000000-0005-0000-0000-0000C3050000}"/>
    <cellStyle name="Magic 2 2 2 6 6" xfId="39159" xr:uid="{00000000-0005-0000-0000-0000C3050000}"/>
    <cellStyle name="Magic 2 2 2 7" xfId="4213" xr:uid="{00000000-0005-0000-0000-0000C3050000}"/>
    <cellStyle name="Magic 2 2 2 7 2" xfId="10859" xr:uid="{00000000-0005-0000-0000-0000C3050000}"/>
    <cellStyle name="Magic 2 2 2 7 2 2" xfId="29530" xr:uid="{00000000-0005-0000-0000-0000C3050000}"/>
    <cellStyle name="Magic 2 2 2 7 2 3" xfId="47893" xr:uid="{00000000-0005-0000-0000-0000C3050000}"/>
    <cellStyle name="Magic 2 2 2 7 3" xfId="14958" xr:uid="{00000000-0005-0000-0000-0000C3050000}"/>
    <cellStyle name="Magic 2 2 2 7 3 2" xfId="33362" xr:uid="{00000000-0005-0000-0000-0000C3050000}"/>
    <cellStyle name="Magic 2 2 2 7 3 3" xfId="51725" xr:uid="{00000000-0005-0000-0000-0000C3050000}"/>
    <cellStyle name="Magic 2 2 2 7 4" xfId="24091" xr:uid="{00000000-0005-0000-0000-0000C3050000}"/>
    <cellStyle name="Magic 2 2 2 7 4 2" xfId="42460" xr:uid="{00000000-0005-0000-0000-0000C3050000}"/>
    <cellStyle name="Magic 2 2 2 7 5" xfId="20411" xr:uid="{00000000-0005-0000-0000-0000C3050000}"/>
    <cellStyle name="Magic 2 2 2 7 6" xfId="38809" xr:uid="{00000000-0005-0000-0000-0000C3050000}"/>
    <cellStyle name="Magic 2 2 2 8" xfId="7888" xr:uid="{00000000-0005-0000-0000-0000C3050000}"/>
    <cellStyle name="Magic 2 2 2 8 2" xfId="27125" xr:uid="{00000000-0005-0000-0000-0000C3050000}"/>
    <cellStyle name="Magic 2 2 2 8 3" xfId="45490" xr:uid="{00000000-0005-0000-0000-0000C3050000}"/>
    <cellStyle name="Magic 2 2 2 9" xfId="8871" xr:uid="{00000000-0005-0000-0000-0000C3050000}"/>
    <cellStyle name="Magic 2 2 2 9 2" xfId="27662" xr:uid="{00000000-0005-0000-0000-0000C3050000}"/>
    <cellStyle name="Magic 2 2 2 9 3" xfId="46025" xr:uid="{00000000-0005-0000-0000-0000C3050000}"/>
    <cellStyle name="Magic 2 2 3" xfId="1509" xr:uid="{00000000-0005-0000-0000-0000C7050000}"/>
    <cellStyle name="Magic 2 2 3 10" xfId="7203" xr:uid="{00000000-0005-0000-0000-0000C7050000}"/>
    <cellStyle name="Magic 2 2 3 10 2" xfId="26747" xr:uid="{00000000-0005-0000-0000-0000C7050000}"/>
    <cellStyle name="Magic 2 2 3 10 3" xfId="45115" xr:uid="{00000000-0005-0000-0000-0000C7050000}"/>
    <cellStyle name="Magic 2 2 3 11" xfId="7422" xr:uid="{00000000-0005-0000-0000-0000C7050000}"/>
    <cellStyle name="Magic 2 2 3 12" xfId="5393" xr:uid="{00000000-0005-0000-0000-0000C7050000}"/>
    <cellStyle name="Magic 2 2 3 2" xfId="1678" xr:uid="{00000000-0005-0000-0000-0000C8050000}"/>
    <cellStyle name="Magic 2 2 3 2 10" xfId="7289" xr:uid="{00000000-0005-0000-0000-0000C8050000}"/>
    <cellStyle name="Magic 2 2 3 2 2" xfId="3576" xr:uid="{00000000-0005-0000-0000-0000C8050000}"/>
    <cellStyle name="Magic 2 2 3 2 2 2" xfId="5749" xr:uid="{00000000-0005-0000-0000-0000C8050000}"/>
    <cellStyle name="Magic 2 2 3 2 2 2 2" xfId="12113" xr:uid="{00000000-0005-0000-0000-0000C8050000}"/>
    <cellStyle name="Magic 2 2 3 2 2 2 2 2" xfId="30560" xr:uid="{00000000-0005-0000-0000-0000C8050000}"/>
    <cellStyle name="Magic 2 2 3 2 2 2 2 3" xfId="48923" xr:uid="{00000000-0005-0000-0000-0000C8050000}"/>
    <cellStyle name="Magic 2 2 3 2 2 2 3" xfId="16439" xr:uid="{00000000-0005-0000-0000-0000C8050000}"/>
    <cellStyle name="Magic 2 2 3 2 2 2 3 2" xfId="34811" xr:uid="{00000000-0005-0000-0000-0000C8050000}"/>
    <cellStyle name="Magic 2 2 3 2 2 2 3 3" xfId="53174" xr:uid="{00000000-0005-0000-0000-0000C8050000}"/>
    <cellStyle name="Magic 2 2 3 2 2 2 4" xfId="25558" xr:uid="{00000000-0005-0000-0000-0000C8050000}"/>
    <cellStyle name="Magic 2 2 3 2 2 2 4 2" xfId="43927" xr:uid="{00000000-0005-0000-0000-0000C8050000}"/>
    <cellStyle name="Magic 2 2 3 2 2 2 5" xfId="21879" xr:uid="{00000000-0005-0000-0000-0000C8050000}"/>
    <cellStyle name="Magic 2 2 3 2 2 2 6" xfId="40258" xr:uid="{00000000-0005-0000-0000-0000C8050000}"/>
    <cellStyle name="Magic 2 2 3 2 2 3" xfId="6575" xr:uid="{00000000-0005-0000-0000-0000C8050000}"/>
    <cellStyle name="Magic 2 2 3 2 2 3 2" xfId="12866" xr:uid="{00000000-0005-0000-0000-0000C8050000}"/>
    <cellStyle name="Magic 2 2 3 2 2 3 2 2" xfId="31292" xr:uid="{00000000-0005-0000-0000-0000C8050000}"/>
    <cellStyle name="Magic 2 2 3 2 2 3 2 3" xfId="49655" xr:uid="{00000000-0005-0000-0000-0000C8050000}"/>
    <cellStyle name="Magic 2 2 3 2 2 3 3" xfId="17177" xr:uid="{00000000-0005-0000-0000-0000C8050000}"/>
    <cellStyle name="Magic 2 2 3 2 2 3 3 2" xfId="35525" xr:uid="{00000000-0005-0000-0000-0000C8050000}"/>
    <cellStyle name="Magic 2 2 3 2 2 3 3 3" xfId="53888" xr:uid="{00000000-0005-0000-0000-0000C8050000}"/>
    <cellStyle name="Magic 2 2 3 2 2 3 4" xfId="26310" xr:uid="{00000000-0005-0000-0000-0000C8050000}"/>
    <cellStyle name="Magic 2 2 3 2 2 3 4 2" xfId="44679" xr:uid="{00000000-0005-0000-0000-0000C8050000}"/>
    <cellStyle name="Magic 2 2 3 2 2 3 5" xfId="22603" xr:uid="{00000000-0005-0000-0000-0000C8050000}"/>
    <cellStyle name="Magic 2 2 3 2 2 3 6" xfId="40972" xr:uid="{00000000-0005-0000-0000-0000C8050000}"/>
    <cellStyle name="Magic 2 2 3 2 2 4" xfId="10289" xr:uid="{00000000-0005-0000-0000-0000C8050000}"/>
    <cellStyle name="Magic 2 2 3 2 2 4 2" xfId="14346" xr:uid="{00000000-0005-0000-0000-0000C8050000}"/>
    <cellStyle name="Magic 2 2 3 2 2 4 2 2" xfId="32762" xr:uid="{00000000-0005-0000-0000-0000C8050000}"/>
    <cellStyle name="Magic 2 2 3 2 2 4 2 3" xfId="51125" xr:uid="{00000000-0005-0000-0000-0000C8050000}"/>
    <cellStyle name="Magic 2 2 3 2 2 4 3" xfId="29000" xr:uid="{00000000-0005-0000-0000-0000C8050000}"/>
    <cellStyle name="Magic 2 2 3 2 2 4 3 2" xfId="47363" xr:uid="{00000000-0005-0000-0000-0000C8050000}"/>
    <cellStyle name="Magic 2 2 3 2 2 4 4" xfId="19803" xr:uid="{00000000-0005-0000-0000-0000C8050000}"/>
    <cellStyle name="Magic 2 2 3 2 2 4 5" xfId="38209" xr:uid="{00000000-0005-0000-0000-0000C8050000}"/>
    <cellStyle name="Magic 2 2 3 2 2 5" xfId="9497" xr:uid="{00000000-0005-0000-0000-0000C8050000}"/>
    <cellStyle name="Magic 2 2 3 2 2 5 2" xfId="28214" xr:uid="{00000000-0005-0000-0000-0000C8050000}"/>
    <cellStyle name="Magic 2 2 3 2 2 5 3" xfId="46577" xr:uid="{00000000-0005-0000-0000-0000C8050000}"/>
    <cellStyle name="Magic 2 2 3 2 2 6" xfId="13555" xr:uid="{00000000-0005-0000-0000-0000C8050000}"/>
    <cellStyle name="Magic 2 2 3 2 2 6 2" xfId="31976" xr:uid="{00000000-0005-0000-0000-0000C8050000}"/>
    <cellStyle name="Magic 2 2 3 2 2 6 3" xfId="50339" xr:uid="{00000000-0005-0000-0000-0000C8050000}"/>
    <cellStyle name="Magic 2 2 3 2 2 7" xfId="23484" xr:uid="{00000000-0005-0000-0000-0000C8050000}"/>
    <cellStyle name="Magic 2 2 3 2 2 7 2" xfId="41853" xr:uid="{00000000-0005-0000-0000-0000C8050000}"/>
    <cellStyle name="Magic 2 2 3 2 2 8" xfId="18595" xr:uid="{00000000-0005-0000-0000-0000C8050000}"/>
    <cellStyle name="Magic 2 2 3 2 2 9" xfId="37005" xr:uid="{00000000-0005-0000-0000-0000C8050000}"/>
    <cellStyle name="Magic 2 2 3 2 3" xfId="4617" xr:uid="{00000000-0005-0000-0000-0000C8050000}"/>
    <cellStyle name="Magic 2 2 3 2 3 2" xfId="11201" xr:uid="{00000000-0005-0000-0000-0000C8050000}"/>
    <cellStyle name="Magic 2 2 3 2 3 2 2" xfId="29813" xr:uid="{00000000-0005-0000-0000-0000C8050000}"/>
    <cellStyle name="Magic 2 2 3 2 3 2 3" xfId="48176" xr:uid="{00000000-0005-0000-0000-0000C8050000}"/>
    <cellStyle name="Magic 2 2 3 2 3 3" xfId="15343" xr:uid="{00000000-0005-0000-0000-0000C8050000}"/>
    <cellStyle name="Magic 2 2 3 2 3 3 2" xfId="33736" xr:uid="{00000000-0005-0000-0000-0000C8050000}"/>
    <cellStyle name="Magic 2 2 3 2 3 3 3" xfId="52099" xr:uid="{00000000-0005-0000-0000-0000C8050000}"/>
    <cellStyle name="Magic 2 2 3 2 3 4" xfId="24467" xr:uid="{00000000-0005-0000-0000-0000C8050000}"/>
    <cellStyle name="Magic 2 2 3 2 3 4 2" xfId="42836" xr:uid="{00000000-0005-0000-0000-0000C8050000}"/>
    <cellStyle name="Magic 2 2 3 2 3 5" xfId="20794" xr:uid="{00000000-0005-0000-0000-0000C8050000}"/>
    <cellStyle name="Magic 2 2 3 2 3 6" xfId="39183" xr:uid="{00000000-0005-0000-0000-0000C8050000}"/>
    <cellStyle name="Magic 2 2 3 2 4" xfId="4991" xr:uid="{00000000-0005-0000-0000-0000C8050000}"/>
    <cellStyle name="Magic 2 2 3 2 4 2" xfId="11521" xr:uid="{00000000-0005-0000-0000-0000C8050000}"/>
    <cellStyle name="Magic 2 2 3 2 4 2 2" xfId="30094" xr:uid="{00000000-0005-0000-0000-0000C8050000}"/>
    <cellStyle name="Magic 2 2 3 2 4 2 3" xfId="48457" xr:uid="{00000000-0005-0000-0000-0000C8050000}"/>
    <cellStyle name="Magic 2 2 3 2 4 3" xfId="15707" xr:uid="{00000000-0005-0000-0000-0000C8050000}"/>
    <cellStyle name="Magic 2 2 3 2 4 3 2" xfId="34096" xr:uid="{00000000-0005-0000-0000-0000C8050000}"/>
    <cellStyle name="Magic 2 2 3 2 4 3 3" xfId="52459" xr:uid="{00000000-0005-0000-0000-0000C8050000}"/>
    <cellStyle name="Magic 2 2 3 2 4 4" xfId="24831" xr:uid="{00000000-0005-0000-0000-0000C8050000}"/>
    <cellStyle name="Magic 2 2 3 2 4 4 2" xfId="43200" xr:uid="{00000000-0005-0000-0000-0000C8050000}"/>
    <cellStyle name="Magic 2 2 3 2 4 5" xfId="21156" xr:uid="{00000000-0005-0000-0000-0000C8050000}"/>
    <cellStyle name="Magic 2 2 3 2 4 6" xfId="39543" xr:uid="{00000000-0005-0000-0000-0000C8050000}"/>
    <cellStyle name="Magic 2 2 3 2 5" xfId="9099" xr:uid="{00000000-0005-0000-0000-0000C8050000}"/>
    <cellStyle name="Magic 2 2 3 2 5 2" xfId="4957" xr:uid="{00000000-0005-0000-0000-0000C8050000}"/>
    <cellStyle name="Magic 2 2 3 2 5 2 2" xfId="24797" xr:uid="{00000000-0005-0000-0000-0000C8050000}"/>
    <cellStyle name="Magic 2 2 3 2 5 2 3" xfId="43166" xr:uid="{00000000-0005-0000-0000-0000C8050000}"/>
    <cellStyle name="Magic 2 2 3 2 5 3" xfId="27825" xr:uid="{00000000-0005-0000-0000-0000C8050000}"/>
    <cellStyle name="Magic 2 2 3 2 5 3 2" xfId="46188" xr:uid="{00000000-0005-0000-0000-0000C8050000}"/>
    <cellStyle name="Magic 2 2 3 2 5 4" xfId="17999" xr:uid="{00000000-0005-0000-0000-0000C8050000}"/>
    <cellStyle name="Magic 2 2 3 2 5 5" xfId="36407" xr:uid="{00000000-0005-0000-0000-0000C8050000}"/>
    <cellStyle name="Magic 2 2 3 2 6" xfId="7911" xr:uid="{00000000-0005-0000-0000-0000C8050000}"/>
    <cellStyle name="Magic 2 2 3 2 6 2" xfId="27143" xr:uid="{00000000-0005-0000-0000-0000C8050000}"/>
    <cellStyle name="Magic 2 2 3 2 6 3" xfId="45508" xr:uid="{00000000-0005-0000-0000-0000C8050000}"/>
    <cellStyle name="Magic 2 2 3 2 7" xfId="8747" xr:uid="{00000000-0005-0000-0000-0000C8050000}"/>
    <cellStyle name="Magic 2 2 3 2 7 2" xfId="27619" xr:uid="{00000000-0005-0000-0000-0000C8050000}"/>
    <cellStyle name="Magic 2 2 3 2 7 3" xfId="45982" xr:uid="{00000000-0005-0000-0000-0000C8050000}"/>
    <cellStyle name="Magic 2 2 3 2 8" xfId="18097" xr:uid="{00000000-0005-0000-0000-0000C8050000}"/>
    <cellStyle name="Magic 2 2 3 2 8 2" xfId="36504" xr:uid="{00000000-0005-0000-0000-0000C8050000}"/>
    <cellStyle name="Magic 2 2 3 2 9" xfId="7320" xr:uid="{00000000-0005-0000-0000-0000C8050000}"/>
    <cellStyle name="Magic 2 2 3 3" xfId="1405" xr:uid="{00000000-0005-0000-0000-0000C9050000}"/>
    <cellStyle name="Magic 2 2 3 3 10" xfId="8835" xr:uid="{00000000-0005-0000-0000-0000C9050000}"/>
    <cellStyle name="Magic 2 2 3 3 2" xfId="3438" xr:uid="{00000000-0005-0000-0000-0000C9050000}"/>
    <cellStyle name="Magic 2 2 3 3 2 2" xfId="5613" xr:uid="{00000000-0005-0000-0000-0000C9050000}"/>
    <cellStyle name="Magic 2 2 3 3 2 2 2" xfId="11977" xr:uid="{00000000-0005-0000-0000-0000C9050000}"/>
    <cellStyle name="Magic 2 2 3 3 2 2 2 2" xfId="30424" xr:uid="{00000000-0005-0000-0000-0000C9050000}"/>
    <cellStyle name="Magic 2 2 3 3 2 2 2 3" xfId="48787" xr:uid="{00000000-0005-0000-0000-0000C9050000}"/>
    <cellStyle name="Magic 2 2 3 3 2 2 3" xfId="16303" xr:uid="{00000000-0005-0000-0000-0000C9050000}"/>
    <cellStyle name="Magic 2 2 3 3 2 2 3 2" xfId="34675" xr:uid="{00000000-0005-0000-0000-0000C9050000}"/>
    <cellStyle name="Magic 2 2 3 3 2 2 3 3" xfId="53038" xr:uid="{00000000-0005-0000-0000-0000C9050000}"/>
    <cellStyle name="Magic 2 2 3 3 2 2 4" xfId="25422" xr:uid="{00000000-0005-0000-0000-0000C9050000}"/>
    <cellStyle name="Magic 2 2 3 3 2 2 4 2" xfId="43791" xr:uid="{00000000-0005-0000-0000-0000C9050000}"/>
    <cellStyle name="Magic 2 2 3 3 2 2 5" xfId="21743" xr:uid="{00000000-0005-0000-0000-0000C9050000}"/>
    <cellStyle name="Magic 2 2 3 3 2 2 6" xfId="40122" xr:uid="{00000000-0005-0000-0000-0000C9050000}"/>
    <cellStyle name="Magic 2 2 3 3 2 3" xfId="6437" xr:uid="{00000000-0005-0000-0000-0000C9050000}"/>
    <cellStyle name="Magic 2 2 3 3 2 3 2" xfId="12728" xr:uid="{00000000-0005-0000-0000-0000C9050000}"/>
    <cellStyle name="Magic 2 2 3 3 2 3 2 2" xfId="31154" xr:uid="{00000000-0005-0000-0000-0000C9050000}"/>
    <cellStyle name="Magic 2 2 3 3 2 3 2 3" xfId="49517" xr:uid="{00000000-0005-0000-0000-0000C9050000}"/>
    <cellStyle name="Magic 2 2 3 3 2 3 3" xfId="17039" xr:uid="{00000000-0005-0000-0000-0000C9050000}"/>
    <cellStyle name="Magic 2 2 3 3 2 3 3 2" xfId="35387" xr:uid="{00000000-0005-0000-0000-0000C9050000}"/>
    <cellStyle name="Magic 2 2 3 3 2 3 3 3" xfId="53750" xr:uid="{00000000-0005-0000-0000-0000C9050000}"/>
    <cellStyle name="Magic 2 2 3 3 2 3 4" xfId="26172" xr:uid="{00000000-0005-0000-0000-0000C9050000}"/>
    <cellStyle name="Magic 2 2 3 3 2 3 4 2" xfId="44541" xr:uid="{00000000-0005-0000-0000-0000C9050000}"/>
    <cellStyle name="Magic 2 2 3 3 2 3 5" xfId="22465" xr:uid="{00000000-0005-0000-0000-0000C9050000}"/>
    <cellStyle name="Magic 2 2 3 3 2 3 6" xfId="40834" xr:uid="{00000000-0005-0000-0000-0000C9050000}"/>
    <cellStyle name="Magic 2 2 3 3 2 4" xfId="10151" xr:uid="{00000000-0005-0000-0000-0000C9050000}"/>
    <cellStyle name="Magic 2 2 3 3 2 4 2" xfId="14208" xr:uid="{00000000-0005-0000-0000-0000C9050000}"/>
    <cellStyle name="Magic 2 2 3 3 2 4 2 2" xfId="32624" xr:uid="{00000000-0005-0000-0000-0000C9050000}"/>
    <cellStyle name="Magic 2 2 3 3 2 4 2 3" xfId="50987" xr:uid="{00000000-0005-0000-0000-0000C9050000}"/>
    <cellStyle name="Magic 2 2 3 3 2 4 3" xfId="28862" xr:uid="{00000000-0005-0000-0000-0000C9050000}"/>
    <cellStyle name="Magic 2 2 3 3 2 4 3 2" xfId="47225" xr:uid="{00000000-0005-0000-0000-0000C9050000}"/>
    <cellStyle name="Magic 2 2 3 3 2 4 4" xfId="19665" xr:uid="{00000000-0005-0000-0000-0000C9050000}"/>
    <cellStyle name="Magic 2 2 3 3 2 4 5" xfId="38071" xr:uid="{00000000-0005-0000-0000-0000C9050000}"/>
    <cellStyle name="Magic 2 2 3 3 2 5" xfId="9338" xr:uid="{00000000-0005-0000-0000-0000C9050000}"/>
    <cellStyle name="Magic 2 2 3 3 2 5 2" xfId="28057" xr:uid="{00000000-0005-0000-0000-0000C9050000}"/>
    <cellStyle name="Magic 2 2 3 3 2 5 3" xfId="46420" xr:uid="{00000000-0005-0000-0000-0000C9050000}"/>
    <cellStyle name="Magic 2 2 3 3 2 6" xfId="13394" xr:uid="{00000000-0005-0000-0000-0000C9050000}"/>
    <cellStyle name="Magic 2 2 3 3 2 6 2" xfId="31815" xr:uid="{00000000-0005-0000-0000-0000C9050000}"/>
    <cellStyle name="Magic 2 2 3 3 2 6 3" xfId="50178" xr:uid="{00000000-0005-0000-0000-0000C9050000}"/>
    <cellStyle name="Magic 2 2 3 3 2 7" xfId="23346" xr:uid="{00000000-0005-0000-0000-0000C9050000}"/>
    <cellStyle name="Magic 2 2 3 3 2 7 2" xfId="41715" xr:uid="{00000000-0005-0000-0000-0000C9050000}"/>
    <cellStyle name="Magic 2 2 3 3 2 8" xfId="18417" xr:uid="{00000000-0005-0000-0000-0000C9050000}"/>
    <cellStyle name="Magic 2 2 3 3 2 9" xfId="36823" xr:uid="{00000000-0005-0000-0000-0000C9050000}"/>
    <cellStyle name="Magic 2 2 3 3 3" xfId="4431" xr:uid="{00000000-0005-0000-0000-0000C9050000}"/>
    <cellStyle name="Magic 2 2 3 3 3 2" xfId="11030" xr:uid="{00000000-0005-0000-0000-0000C9050000}"/>
    <cellStyle name="Magic 2 2 3 3 3 2 2" xfId="29650" xr:uid="{00000000-0005-0000-0000-0000C9050000}"/>
    <cellStyle name="Magic 2 2 3 3 3 2 3" xfId="48013" xr:uid="{00000000-0005-0000-0000-0000C9050000}"/>
    <cellStyle name="Magic 2 2 3 3 3 3" xfId="15165" xr:uid="{00000000-0005-0000-0000-0000C9050000}"/>
    <cellStyle name="Magic 2 2 3 3 3 3 2" xfId="33562" xr:uid="{00000000-0005-0000-0000-0000C9050000}"/>
    <cellStyle name="Magic 2 2 3 3 3 3 3" xfId="51925" xr:uid="{00000000-0005-0000-0000-0000C9050000}"/>
    <cellStyle name="Magic 2 2 3 3 3 4" xfId="24293" xr:uid="{00000000-0005-0000-0000-0000C9050000}"/>
    <cellStyle name="Magic 2 2 3 3 3 4 2" xfId="42662" xr:uid="{00000000-0005-0000-0000-0000C9050000}"/>
    <cellStyle name="Magic 2 2 3 3 3 5" xfId="20616" xr:uid="{00000000-0005-0000-0000-0000C9050000}"/>
    <cellStyle name="Magic 2 2 3 3 3 6" xfId="39009" xr:uid="{00000000-0005-0000-0000-0000C9050000}"/>
    <cellStyle name="Magic 2 2 3 3 4" xfId="5055" xr:uid="{00000000-0005-0000-0000-0000C9050000}"/>
    <cellStyle name="Magic 2 2 3 3 4 2" xfId="11577" xr:uid="{00000000-0005-0000-0000-0000C9050000}"/>
    <cellStyle name="Magic 2 2 3 3 4 2 2" xfId="30145" xr:uid="{00000000-0005-0000-0000-0000C9050000}"/>
    <cellStyle name="Magic 2 2 3 3 4 2 3" xfId="48508" xr:uid="{00000000-0005-0000-0000-0000C9050000}"/>
    <cellStyle name="Magic 2 2 3 3 4 3" xfId="15768" xr:uid="{00000000-0005-0000-0000-0000C9050000}"/>
    <cellStyle name="Magic 2 2 3 3 4 3 2" xfId="34155" xr:uid="{00000000-0005-0000-0000-0000C9050000}"/>
    <cellStyle name="Magic 2 2 3 3 4 3 3" xfId="52518" xr:uid="{00000000-0005-0000-0000-0000C9050000}"/>
    <cellStyle name="Magic 2 2 3 3 4 4" xfId="24891" xr:uid="{00000000-0005-0000-0000-0000C9050000}"/>
    <cellStyle name="Magic 2 2 3 3 4 4 2" xfId="43260" xr:uid="{00000000-0005-0000-0000-0000C9050000}"/>
    <cellStyle name="Magic 2 2 3 3 4 5" xfId="21216" xr:uid="{00000000-0005-0000-0000-0000C9050000}"/>
    <cellStyle name="Magic 2 2 3 3 4 6" xfId="39602" xr:uid="{00000000-0005-0000-0000-0000C9050000}"/>
    <cellStyle name="Magic 2 2 3 3 5" xfId="9949" xr:uid="{00000000-0005-0000-0000-0000C9050000}"/>
    <cellStyle name="Magic 2 2 3 3 5 2" xfId="14006" xr:uid="{00000000-0005-0000-0000-0000C9050000}"/>
    <cellStyle name="Magic 2 2 3 3 5 2 2" xfId="32423" xr:uid="{00000000-0005-0000-0000-0000C9050000}"/>
    <cellStyle name="Magic 2 2 3 3 5 2 3" xfId="50786" xr:uid="{00000000-0005-0000-0000-0000C9050000}"/>
    <cellStyle name="Magic 2 2 3 3 5 3" xfId="28661" xr:uid="{00000000-0005-0000-0000-0000C9050000}"/>
    <cellStyle name="Magic 2 2 3 3 5 3 2" xfId="47024" xr:uid="{00000000-0005-0000-0000-0000C9050000}"/>
    <cellStyle name="Magic 2 2 3 3 5 4" xfId="19279" xr:uid="{00000000-0005-0000-0000-0000C9050000}"/>
    <cellStyle name="Magic 2 2 3 3 5 5" xfId="37686" xr:uid="{00000000-0005-0000-0000-0000C9050000}"/>
    <cellStyle name="Magic 2 2 3 3 6" xfId="7697" xr:uid="{00000000-0005-0000-0000-0000C9050000}"/>
    <cellStyle name="Magic 2 2 3 3 6 2" xfId="26979" xr:uid="{00000000-0005-0000-0000-0000C9050000}"/>
    <cellStyle name="Magic 2 2 3 3 6 3" xfId="45344" xr:uid="{00000000-0005-0000-0000-0000C9050000}"/>
    <cellStyle name="Magic 2 2 3 3 7" xfId="8887" xr:uid="{00000000-0005-0000-0000-0000C9050000}"/>
    <cellStyle name="Magic 2 2 3 3 7 2" xfId="27671" xr:uid="{00000000-0005-0000-0000-0000C9050000}"/>
    <cellStyle name="Magic 2 2 3 3 7 3" xfId="46034" xr:uid="{00000000-0005-0000-0000-0000C9050000}"/>
    <cellStyle name="Magic 2 2 3 3 8" xfId="19455" xr:uid="{00000000-0005-0000-0000-0000C9050000}"/>
    <cellStyle name="Magic 2 2 3 3 8 2" xfId="37861" xr:uid="{00000000-0005-0000-0000-0000C9050000}"/>
    <cellStyle name="Magic 2 2 3 3 9" xfId="8731" xr:uid="{00000000-0005-0000-0000-0000C9050000}"/>
    <cellStyle name="Magic 2 2 3 4" xfId="1338" xr:uid="{00000000-0005-0000-0000-0000CA050000}"/>
    <cellStyle name="Magic 2 2 3 4 10" xfId="8833" xr:uid="{00000000-0005-0000-0000-0000CA050000}"/>
    <cellStyle name="Magic 2 2 3 4 2" xfId="3385" xr:uid="{00000000-0005-0000-0000-0000CA050000}"/>
    <cellStyle name="Magic 2 2 3 4 2 2" xfId="5560" xr:uid="{00000000-0005-0000-0000-0000CA050000}"/>
    <cellStyle name="Magic 2 2 3 4 2 2 2" xfId="11924" xr:uid="{00000000-0005-0000-0000-0000CA050000}"/>
    <cellStyle name="Magic 2 2 3 4 2 2 2 2" xfId="30371" xr:uid="{00000000-0005-0000-0000-0000CA050000}"/>
    <cellStyle name="Magic 2 2 3 4 2 2 2 3" xfId="48734" xr:uid="{00000000-0005-0000-0000-0000CA050000}"/>
    <cellStyle name="Magic 2 2 3 4 2 2 3" xfId="16250" xr:uid="{00000000-0005-0000-0000-0000CA050000}"/>
    <cellStyle name="Magic 2 2 3 4 2 2 3 2" xfId="34622" xr:uid="{00000000-0005-0000-0000-0000CA050000}"/>
    <cellStyle name="Magic 2 2 3 4 2 2 3 3" xfId="52985" xr:uid="{00000000-0005-0000-0000-0000CA050000}"/>
    <cellStyle name="Magic 2 2 3 4 2 2 4" xfId="25369" xr:uid="{00000000-0005-0000-0000-0000CA050000}"/>
    <cellStyle name="Magic 2 2 3 4 2 2 4 2" xfId="43738" xr:uid="{00000000-0005-0000-0000-0000CA050000}"/>
    <cellStyle name="Magic 2 2 3 4 2 2 5" xfId="21690" xr:uid="{00000000-0005-0000-0000-0000CA050000}"/>
    <cellStyle name="Magic 2 2 3 4 2 2 6" xfId="40069" xr:uid="{00000000-0005-0000-0000-0000CA050000}"/>
    <cellStyle name="Magic 2 2 3 4 2 3" xfId="6384" xr:uid="{00000000-0005-0000-0000-0000CA050000}"/>
    <cellStyle name="Magic 2 2 3 4 2 3 2" xfId="12675" xr:uid="{00000000-0005-0000-0000-0000CA050000}"/>
    <cellStyle name="Magic 2 2 3 4 2 3 2 2" xfId="31101" xr:uid="{00000000-0005-0000-0000-0000CA050000}"/>
    <cellStyle name="Magic 2 2 3 4 2 3 2 3" xfId="49464" xr:uid="{00000000-0005-0000-0000-0000CA050000}"/>
    <cellStyle name="Magic 2 2 3 4 2 3 3" xfId="16986" xr:uid="{00000000-0005-0000-0000-0000CA050000}"/>
    <cellStyle name="Magic 2 2 3 4 2 3 3 2" xfId="35334" xr:uid="{00000000-0005-0000-0000-0000CA050000}"/>
    <cellStyle name="Magic 2 2 3 4 2 3 3 3" xfId="53697" xr:uid="{00000000-0005-0000-0000-0000CA050000}"/>
    <cellStyle name="Magic 2 2 3 4 2 3 4" xfId="26119" xr:uid="{00000000-0005-0000-0000-0000CA050000}"/>
    <cellStyle name="Magic 2 2 3 4 2 3 4 2" xfId="44488" xr:uid="{00000000-0005-0000-0000-0000CA050000}"/>
    <cellStyle name="Magic 2 2 3 4 2 3 5" xfId="22412" xr:uid="{00000000-0005-0000-0000-0000CA050000}"/>
    <cellStyle name="Magic 2 2 3 4 2 3 6" xfId="40781" xr:uid="{00000000-0005-0000-0000-0000CA050000}"/>
    <cellStyle name="Magic 2 2 3 4 2 4" xfId="10098" xr:uid="{00000000-0005-0000-0000-0000CA050000}"/>
    <cellStyle name="Magic 2 2 3 4 2 4 2" xfId="14155" xr:uid="{00000000-0005-0000-0000-0000CA050000}"/>
    <cellStyle name="Magic 2 2 3 4 2 4 2 2" xfId="32571" xr:uid="{00000000-0005-0000-0000-0000CA050000}"/>
    <cellStyle name="Magic 2 2 3 4 2 4 2 3" xfId="50934" xr:uid="{00000000-0005-0000-0000-0000CA050000}"/>
    <cellStyle name="Magic 2 2 3 4 2 4 3" xfId="28809" xr:uid="{00000000-0005-0000-0000-0000CA050000}"/>
    <cellStyle name="Magic 2 2 3 4 2 4 3 2" xfId="47172" xr:uid="{00000000-0005-0000-0000-0000CA050000}"/>
    <cellStyle name="Magic 2 2 3 4 2 4 4" xfId="19612" xr:uid="{00000000-0005-0000-0000-0000CA050000}"/>
    <cellStyle name="Magic 2 2 3 4 2 4 5" xfId="38018" xr:uid="{00000000-0005-0000-0000-0000CA050000}"/>
    <cellStyle name="Magic 2 2 3 4 2 5" xfId="9285" xr:uid="{00000000-0005-0000-0000-0000CA050000}"/>
    <cellStyle name="Magic 2 2 3 4 2 5 2" xfId="28004" xr:uid="{00000000-0005-0000-0000-0000CA050000}"/>
    <cellStyle name="Magic 2 2 3 4 2 5 3" xfId="46367" xr:uid="{00000000-0005-0000-0000-0000CA050000}"/>
    <cellStyle name="Magic 2 2 3 4 2 6" xfId="13341" xr:uid="{00000000-0005-0000-0000-0000CA050000}"/>
    <cellStyle name="Magic 2 2 3 4 2 6 2" xfId="31762" xr:uid="{00000000-0005-0000-0000-0000CA050000}"/>
    <cellStyle name="Magic 2 2 3 4 2 6 3" xfId="50125" xr:uid="{00000000-0005-0000-0000-0000CA050000}"/>
    <cellStyle name="Magic 2 2 3 4 2 7" xfId="23293" xr:uid="{00000000-0005-0000-0000-0000CA050000}"/>
    <cellStyle name="Magic 2 2 3 4 2 7 2" xfId="41662" xr:uid="{00000000-0005-0000-0000-0000CA050000}"/>
    <cellStyle name="Magic 2 2 3 4 2 8" xfId="18359" xr:uid="{00000000-0005-0000-0000-0000CA050000}"/>
    <cellStyle name="Magic 2 2 3 4 2 9" xfId="36765" xr:uid="{00000000-0005-0000-0000-0000CA050000}"/>
    <cellStyle name="Magic 2 2 3 4 3" xfId="4374" xr:uid="{00000000-0005-0000-0000-0000CA050000}"/>
    <cellStyle name="Magic 2 2 3 4 3 2" xfId="10974" xr:uid="{00000000-0005-0000-0000-0000CA050000}"/>
    <cellStyle name="Magic 2 2 3 4 3 2 2" xfId="29596" xr:uid="{00000000-0005-0000-0000-0000CA050000}"/>
    <cellStyle name="Magic 2 2 3 4 3 2 3" xfId="47959" xr:uid="{00000000-0005-0000-0000-0000CA050000}"/>
    <cellStyle name="Magic 2 2 3 4 3 3" xfId="15110" xr:uid="{00000000-0005-0000-0000-0000CA050000}"/>
    <cellStyle name="Magic 2 2 3 4 3 3 2" xfId="33507" xr:uid="{00000000-0005-0000-0000-0000CA050000}"/>
    <cellStyle name="Magic 2 2 3 4 3 3 3" xfId="51870" xr:uid="{00000000-0005-0000-0000-0000CA050000}"/>
    <cellStyle name="Magic 2 2 3 4 3 4" xfId="24238" xr:uid="{00000000-0005-0000-0000-0000CA050000}"/>
    <cellStyle name="Magic 2 2 3 4 3 4 2" xfId="42607" xr:uid="{00000000-0005-0000-0000-0000CA050000}"/>
    <cellStyle name="Magic 2 2 3 4 3 5" xfId="20561" xr:uid="{00000000-0005-0000-0000-0000CA050000}"/>
    <cellStyle name="Magic 2 2 3 4 3 6" xfId="38954" xr:uid="{00000000-0005-0000-0000-0000CA050000}"/>
    <cellStyle name="Magic 2 2 3 4 4" xfId="5066" xr:uid="{00000000-0005-0000-0000-0000CA050000}"/>
    <cellStyle name="Magic 2 2 3 4 4 2" xfId="11588" xr:uid="{00000000-0005-0000-0000-0000CA050000}"/>
    <cellStyle name="Magic 2 2 3 4 4 2 2" xfId="30156" xr:uid="{00000000-0005-0000-0000-0000CA050000}"/>
    <cellStyle name="Magic 2 2 3 4 4 2 3" xfId="48519" xr:uid="{00000000-0005-0000-0000-0000CA050000}"/>
    <cellStyle name="Magic 2 2 3 4 4 3" xfId="15779" xr:uid="{00000000-0005-0000-0000-0000CA050000}"/>
    <cellStyle name="Magic 2 2 3 4 4 3 2" xfId="34166" xr:uid="{00000000-0005-0000-0000-0000CA050000}"/>
    <cellStyle name="Magic 2 2 3 4 4 3 3" xfId="52529" xr:uid="{00000000-0005-0000-0000-0000CA050000}"/>
    <cellStyle name="Magic 2 2 3 4 4 4" xfId="24902" xr:uid="{00000000-0005-0000-0000-0000CA050000}"/>
    <cellStyle name="Magic 2 2 3 4 4 4 2" xfId="43271" xr:uid="{00000000-0005-0000-0000-0000CA050000}"/>
    <cellStyle name="Magic 2 2 3 4 4 5" xfId="21227" xr:uid="{00000000-0005-0000-0000-0000CA050000}"/>
    <cellStyle name="Magic 2 2 3 4 4 6" xfId="39613" xr:uid="{00000000-0005-0000-0000-0000CA050000}"/>
    <cellStyle name="Magic 2 2 3 4 5" xfId="9878" xr:uid="{00000000-0005-0000-0000-0000CA050000}"/>
    <cellStyle name="Magic 2 2 3 4 5 2" xfId="13936" xr:uid="{00000000-0005-0000-0000-0000CA050000}"/>
    <cellStyle name="Magic 2 2 3 4 5 2 2" xfId="32354" xr:uid="{00000000-0005-0000-0000-0000CA050000}"/>
    <cellStyle name="Magic 2 2 3 4 5 2 3" xfId="50717" xr:uid="{00000000-0005-0000-0000-0000CA050000}"/>
    <cellStyle name="Magic 2 2 3 4 5 3" xfId="28592" xr:uid="{00000000-0005-0000-0000-0000CA050000}"/>
    <cellStyle name="Magic 2 2 3 4 5 3 2" xfId="46955" xr:uid="{00000000-0005-0000-0000-0000CA050000}"/>
    <cellStyle name="Magic 2 2 3 4 5 4" xfId="19139" xr:uid="{00000000-0005-0000-0000-0000CA050000}"/>
    <cellStyle name="Magic 2 2 3 4 5 5" xfId="37547" xr:uid="{00000000-0005-0000-0000-0000CA050000}"/>
    <cellStyle name="Magic 2 2 3 4 6" xfId="7635" xr:uid="{00000000-0005-0000-0000-0000CA050000}"/>
    <cellStyle name="Magic 2 2 3 4 6 2" xfId="26922" xr:uid="{00000000-0005-0000-0000-0000CA050000}"/>
    <cellStyle name="Magic 2 2 3 4 6 3" xfId="45287" xr:uid="{00000000-0005-0000-0000-0000CA050000}"/>
    <cellStyle name="Magic 2 2 3 4 7" xfId="8273" xr:uid="{00000000-0005-0000-0000-0000CA050000}"/>
    <cellStyle name="Magic 2 2 3 4 7 2" xfId="27402" xr:uid="{00000000-0005-0000-0000-0000CA050000}"/>
    <cellStyle name="Magic 2 2 3 4 7 3" xfId="45767" xr:uid="{00000000-0005-0000-0000-0000CA050000}"/>
    <cellStyle name="Magic 2 2 3 4 8" xfId="19271" xr:uid="{00000000-0005-0000-0000-0000CA050000}"/>
    <cellStyle name="Magic 2 2 3 4 8 2" xfId="37678" xr:uid="{00000000-0005-0000-0000-0000CA050000}"/>
    <cellStyle name="Magic 2 2 3 4 9" xfId="7239" xr:uid="{00000000-0005-0000-0000-0000CA050000}"/>
    <cellStyle name="Magic 2 2 3 5" xfId="3515" xr:uid="{00000000-0005-0000-0000-0000C7050000}"/>
    <cellStyle name="Magic 2 2 3 5 2" xfId="5689" xr:uid="{00000000-0005-0000-0000-0000C7050000}"/>
    <cellStyle name="Magic 2 2 3 5 2 2" xfId="12053" xr:uid="{00000000-0005-0000-0000-0000C7050000}"/>
    <cellStyle name="Magic 2 2 3 5 2 2 2" xfId="30500" xr:uid="{00000000-0005-0000-0000-0000C7050000}"/>
    <cellStyle name="Magic 2 2 3 5 2 2 3" xfId="48863" xr:uid="{00000000-0005-0000-0000-0000C7050000}"/>
    <cellStyle name="Magic 2 2 3 5 2 3" xfId="16379" xr:uid="{00000000-0005-0000-0000-0000C7050000}"/>
    <cellStyle name="Magic 2 2 3 5 2 3 2" xfId="34751" xr:uid="{00000000-0005-0000-0000-0000C7050000}"/>
    <cellStyle name="Magic 2 2 3 5 2 3 3" xfId="53114" xr:uid="{00000000-0005-0000-0000-0000C7050000}"/>
    <cellStyle name="Magic 2 2 3 5 2 4" xfId="25498" xr:uid="{00000000-0005-0000-0000-0000C7050000}"/>
    <cellStyle name="Magic 2 2 3 5 2 4 2" xfId="43867" xr:uid="{00000000-0005-0000-0000-0000C7050000}"/>
    <cellStyle name="Magic 2 2 3 5 2 5" xfId="21819" xr:uid="{00000000-0005-0000-0000-0000C7050000}"/>
    <cellStyle name="Magic 2 2 3 5 2 6" xfId="40198" xr:uid="{00000000-0005-0000-0000-0000C7050000}"/>
    <cellStyle name="Magic 2 2 3 5 3" xfId="6514" xr:uid="{00000000-0005-0000-0000-0000C7050000}"/>
    <cellStyle name="Magic 2 2 3 5 3 2" xfId="12805" xr:uid="{00000000-0005-0000-0000-0000C7050000}"/>
    <cellStyle name="Magic 2 2 3 5 3 2 2" xfId="31231" xr:uid="{00000000-0005-0000-0000-0000C7050000}"/>
    <cellStyle name="Magic 2 2 3 5 3 2 3" xfId="49594" xr:uid="{00000000-0005-0000-0000-0000C7050000}"/>
    <cellStyle name="Magic 2 2 3 5 3 3" xfId="17116" xr:uid="{00000000-0005-0000-0000-0000C7050000}"/>
    <cellStyle name="Magic 2 2 3 5 3 3 2" xfId="35464" xr:uid="{00000000-0005-0000-0000-0000C7050000}"/>
    <cellStyle name="Magic 2 2 3 5 3 3 3" xfId="53827" xr:uid="{00000000-0005-0000-0000-0000C7050000}"/>
    <cellStyle name="Magic 2 2 3 5 3 4" xfId="26249" xr:uid="{00000000-0005-0000-0000-0000C7050000}"/>
    <cellStyle name="Magic 2 2 3 5 3 4 2" xfId="44618" xr:uid="{00000000-0005-0000-0000-0000C7050000}"/>
    <cellStyle name="Magic 2 2 3 5 3 5" xfId="22542" xr:uid="{00000000-0005-0000-0000-0000C7050000}"/>
    <cellStyle name="Magic 2 2 3 5 3 6" xfId="40911" xr:uid="{00000000-0005-0000-0000-0000C7050000}"/>
    <cellStyle name="Magic 2 2 3 5 4" xfId="10228" xr:uid="{00000000-0005-0000-0000-0000C7050000}"/>
    <cellStyle name="Magic 2 2 3 5 4 2" xfId="14285" xr:uid="{00000000-0005-0000-0000-0000C7050000}"/>
    <cellStyle name="Magic 2 2 3 5 4 2 2" xfId="32701" xr:uid="{00000000-0005-0000-0000-0000C7050000}"/>
    <cellStyle name="Magic 2 2 3 5 4 2 3" xfId="51064" xr:uid="{00000000-0005-0000-0000-0000C7050000}"/>
    <cellStyle name="Magic 2 2 3 5 4 3" xfId="28939" xr:uid="{00000000-0005-0000-0000-0000C7050000}"/>
    <cellStyle name="Magic 2 2 3 5 4 3 2" xfId="47302" xr:uid="{00000000-0005-0000-0000-0000C7050000}"/>
    <cellStyle name="Magic 2 2 3 5 4 4" xfId="19742" xr:uid="{00000000-0005-0000-0000-0000C7050000}"/>
    <cellStyle name="Magic 2 2 3 5 4 5" xfId="38148" xr:uid="{00000000-0005-0000-0000-0000C7050000}"/>
    <cellStyle name="Magic 2 2 3 5 5" xfId="9423" xr:uid="{00000000-0005-0000-0000-0000C7050000}"/>
    <cellStyle name="Magic 2 2 3 5 5 2" xfId="28140" xr:uid="{00000000-0005-0000-0000-0000C7050000}"/>
    <cellStyle name="Magic 2 2 3 5 5 3" xfId="46503" xr:uid="{00000000-0005-0000-0000-0000C7050000}"/>
    <cellStyle name="Magic 2 2 3 5 6" xfId="13480" xr:uid="{00000000-0005-0000-0000-0000C7050000}"/>
    <cellStyle name="Magic 2 2 3 5 6 2" xfId="31901" xr:uid="{00000000-0005-0000-0000-0000C7050000}"/>
    <cellStyle name="Magic 2 2 3 5 6 3" xfId="50264" xr:uid="{00000000-0005-0000-0000-0000C7050000}"/>
    <cellStyle name="Magic 2 2 3 5 7" xfId="23423" xr:uid="{00000000-0005-0000-0000-0000C7050000}"/>
    <cellStyle name="Magic 2 2 3 5 7 2" xfId="41792" xr:uid="{00000000-0005-0000-0000-0000C7050000}"/>
    <cellStyle name="Magic 2 2 3 5 8" xfId="18508" xr:uid="{00000000-0005-0000-0000-0000C7050000}"/>
    <cellStyle name="Magic 2 2 3 5 9" xfId="36917" xr:uid="{00000000-0005-0000-0000-0000C7050000}"/>
    <cellStyle name="Magic 2 2 3 6" xfId="4519" xr:uid="{00000000-0005-0000-0000-0000C7050000}"/>
    <cellStyle name="Magic 2 2 3 6 2" xfId="11110" xr:uid="{00000000-0005-0000-0000-0000C7050000}"/>
    <cellStyle name="Magic 2 2 3 6 2 2" xfId="29728" xr:uid="{00000000-0005-0000-0000-0000C7050000}"/>
    <cellStyle name="Magic 2 2 3 6 2 3" xfId="48091" xr:uid="{00000000-0005-0000-0000-0000C7050000}"/>
    <cellStyle name="Magic 2 2 3 6 3" xfId="15248" xr:uid="{00000000-0005-0000-0000-0000C7050000}"/>
    <cellStyle name="Magic 2 2 3 6 3 2" xfId="33642" xr:uid="{00000000-0005-0000-0000-0000C7050000}"/>
    <cellStyle name="Magic 2 2 3 6 3 3" xfId="52005" xr:uid="{00000000-0005-0000-0000-0000C7050000}"/>
    <cellStyle name="Magic 2 2 3 6 4" xfId="24373" xr:uid="{00000000-0005-0000-0000-0000C7050000}"/>
    <cellStyle name="Magic 2 2 3 6 4 2" xfId="42742" xr:uid="{00000000-0005-0000-0000-0000C7050000}"/>
    <cellStyle name="Magic 2 2 3 6 5" xfId="20697" xr:uid="{00000000-0005-0000-0000-0000C7050000}"/>
    <cellStyle name="Magic 2 2 3 6 6" xfId="39089" xr:uid="{00000000-0005-0000-0000-0000C7050000}"/>
    <cellStyle name="Magic 2 2 3 7" xfId="3992" xr:uid="{00000000-0005-0000-0000-0000C7050000}"/>
    <cellStyle name="Magic 2 2 3 7 2" xfId="10697" xr:uid="{00000000-0005-0000-0000-0000C7050000}"/>
    <cellStyle name="Magic 2 2 3 7 2 2" xfId="29402" xr:uid="{00000000-0005-0000-0000-0000C7050000}"/>
    <cellStyle name="Magic 2 2 3 7 2 3" xfId="47765" xr:uid="{00000000-0005-0000-0000-0000C7050000}"/>
    <cellStyle name="Magic 2 2 3 7 3" xfId="14753" xr:uid="{00000000-0005-0000-0000-0000C7050000}"/>
    <cellStyle name="Magic 2 2 3 7 3 2" xfId="33165" xr:uid="{00000000-0005-0000-0000-0000C7050000}"/>
    <cellStyle name="Magic 2 2 3 7 3 3" xfId="51528" xr:uid="{00000000-0005-0000-0000-0000C7050000}"/>
    <cellStyle name="Magic 2 2 3 7 4" xfId="23889" xr:uid="{00000000-0005-0000-0000-0000C7050000}"/>
    <cellStyle name="Magic 2 2 3 7 4 2" xfId="42258" xr:uid="{00000000-0005-0000-0000-0000C7050000}"/>
    <cellStyle name="Magic 2 2 3 7 5" xfId="20209" xr:uid="{00000000-0005-0000-0000-0000C7050000}"/>
    <cellStyle name="Magic 2 2 3 7 6" xfId="38612" xr:uid="{00000000-0005-0000-0000-0000C7050000}"/>
    <cellStyle name="Magic 2 2 3 8" xfId="9110" xr:uid="{00000000-0005-0000-0000-0000C7050000}"/>
    <cellStyle name="Magic 2 2 3 8 2" xfId="8410" xr:uid="{00000000-0005-0000-0000-0000C7050000}"/>
    <cellStyle name="Magic 2 2 3 8 2 2" xfId="27471" xr:uid="{00000000-0005-0000-0000-0000C7050000}"/>
    <cellStyle name="Magic 2 2 3 8 2 3" xfId="45835" xr:uid="{00000000-0005-0000-0000-0000C7050000}"/>
    <cellStyle name="Magic 2 2 3 8 3" xfId="27836" xr:uid="{00000000-0005-0000-0000-0000C7050000}"/>
    <cellStyle name="Magic 2 2 3 8 3 2" xfId="46199" xr:uid="{00000000-0005-0000-0000-0000C7050000}"/>
    <cellStyle name="Magic 2 2 3 8 4" xfId="18022" xr:uid="{00000000-0005-0000-0000-0000C7050000}"/>
    <cellStyle name="Magic 2 2 3 8 5" xfId="36430" xr:uid="{00000000-0005-0000-0000-0000C7050000}"/>
    <cellStyle name="Magic 2 2 3 9" xfId="7788" xr:uid="{00000000-0005-0000-0000-0000C7050000}"/>
    <cellStyle name="Magic 2 2 3 9 2" xfId="27059" xr:uid="{00000000-0005-0000-0000-0000C7050000}"/>
    <cellStyle name="Magic 2 2 3 9 3" xfId="45424" xr:uid="{00000000-0005-0000-0000-0000C7050000}"/>
    <cellStyle name="Magic 2 2 4" xfId="1399" xr:uid="{00000000-0005-0000-0000-0000CB050000}"/>
    <cellStyle name="Magic 2 2 4 10" xfId="17789" xr:uid="{00000000-0005-0000-0000-0000CB050000}"/>
    <cellStyle name="Magic 2 2 4 2" xfId="3432" xr:uid="{00000000-0005-0000-0000-0000CB050000}"/>
    <cellStyle name="Magic 2 2 4 2 2" xfId="5607" xr:uid="{00000000-0005-0000-0000-0000CB050000}"/>
    <cellStyle name="Magic 2 2 4 2 2 2" xfId="11971" xr:uid="{00000000-0005-0000-0000-0000CB050000}"/>
    <cellStyle name="Magic 2 2 4 2 2 2 2" xfId="30418" xr:uid="{00000000-0005-0000-0000-0000CB050000}"/>
    <cellStyle name="Magic 2 2 4 2 2 2 3" xfId="48781" xr:uid="{00000000-0005-0000-0000-0000CB050000}"/>
    <cellStyle name="Magic 2 2 4 2 2 3" xfId="16297" xr:uid="{00000000-0005-0000-0000-0000CB050000}"/>
    <cellStyle name="Magic 2 2 4 2 2 3 2" xfId="34669" xr:uid="{00000000-0005-0000-0000-0000CB050000}"/>
    <cellStyle name="Magic 2 2 4 2 2 3 3" xfId="53032" xr:uid="{00000000-0005-0000-0000-0000CB050000}"/>
    <cellStyle name="Magic 2 2 4 2 2 4" xfId="25416" xr:uid="{00000000-0005-0000-0000-0000CB050000}"/>
    <cellStyle name="Magic 2 2 4 2 2 4 2" xfId="43785" xr:uid="{00000000-0005-0000-0000-0000CB050000}"/>
    <cellStyle name="Magic 2 2 4 2 2 5" xfId="21737" xr:uid="{00000000-0005-0000-0000-0000CB050000}"/>
    <cellStyle name="Magic 2 2 4 2 2 6" xfId="40116" xr:uid="{00000000-0005-0000-0000-0000CB050000}"/>
    <cellStyle name="Magic 2 2 4 2 3" xfId="6431" xr:uid="{00000000-0005-0000-0000-0000CB050000}"/>
    <cellStyle name="Magic 2 2 4 2 3 2" xfId="12722" xr:uid="{00000000-0005-0000-0000-0000CB050000}"/>
    <cellStyle name="Magic 2 2 4 2 3 2 2" xfId="31148" xr:uid="{00000000-0005-0000-0000-0000CB050000}"/>
    <cellStyle name="Magic 2 2 4 2 3 2 3" xfId="49511" xr:uid="{00000000-0005-0000-0000-0000CB050000}"/>
    <cellStyle name="Magic 2 2 4 2 3 3" xfId="17033" xr:uid="{00000000-0005-0000-0000-0000CB050000}"/>
    <cellStyle name="Magic 2 2 4 2 3 3 2" xfId="35381" xr:uid="{00000000-0005-0000-0000-0000CB050000}"/>
    <cellStyle name="Magic 2 2 4 2 3 3 3" xfId="53744" xr:uid="{00000000-0005-0000-0000-0000CB050000}"/>
    <cellStyle name="Magic 2 2 4 2 3 4" xfId="26166" xr:uid="{00000000-0005-0000-0000-0000CB050000}"/>
    <cellStyle name="Magic 2 2 4 2 3 4 2" xfId="44535" xr:uid="{00000000-0005-0000-0000-0000CB050000}"/>
    <cellStyle name="Magic 2 2 4 2 3 5" xfId="22459" xr:uid="{00000000-0005-0000-0000-0000CB050000}"/>
    <cellStyle name="Magic 2 2 4 2 3 6" xfId="40828" xr:uid="{00000000-0005-0000-0000-0000CB050000}"/>
    <cellStyle name="Magic 2 2 4 2 4" xfId="10145" xr:uid="{00000000-0005-0000-0000-0000CB050000}"/>
    <cellStyle name="Magic 2 2 4 2 4 2" xfId="14202" xr:uid="{00000000-0005-0000-0000-0000CB050000}"/>
    <cellStyle name="Magic 2 2 4 2 4 2 2" xfId="32618" xr:uid="{00000000-0005-0000-0000-0000CB050000}"/>
    <cellStyle name="Magic 2 2 4 2 4 2 3" xfId="50981" xr:uid="{00000000-0005-0000-0000-0000CB050000}"/>
    <cellStyle name="Magic 2 2 4 2 4 3" xfId="28856" xr:uid="{00000000-0005-0000-0000-0000CB050000}"/>
    <cellStyle name="Magic 2 2 4 2 4 3 2" xfId="47219" xr:uid="{00000000-0005-0000-0000-0000CB050000}"/>
    <cellStyle name="Magic 2 2 4 2 4 4" xfId="19659" xr:uid="{00000000-0005-0000-0000-0000CB050000}"/>
    <cellStyle name="Magic 2 2 4 2 4 5" xfId="38065" xr:uid="{00000000-0005-0000-0000-0000CB050000}"/>
    <cellStyle name="Magic 2 2 4 2 5" xfId="9332" xr:uid="{00000000-0005-0000-0000-0000CB050000}"/>
    <cellStyle name="Magic 2 2 4 2 5 2" xfId="28051" xr:uid="{00000000-0005-0000-0000-0000CB050000}"/>
    <cellStyle name="Magic 2 2 4 2 5 3" xfId="46414" xr:uid="{00000000-0005-0000-0000-0000CB050000}"/>
    <cellStyle name="Magic 2 2 4 2 6" xfId="13388" xr:uid="{00000000-0005-0000-0000-0000CB050000}"/>
    <cellStyle name="Magic 2 2 4 2 6 2" xfId="31809" xr:uid="{00000000-0005-0000-0000-0000CB050000}"/>
    <cellStyle name="Magic 2 2 4 2 6 3" xfId="50172" xr:uid="{00000000-0005-0000-0000-0000CB050000}"/>
    <cellStyle name="Magic 2 2 4 2 7" xfId="23340" xr:uid="{00000000-0005-0000-0000-0000CB050000}"/>
    <cellStyle name="Magic 2 2 4 2 7 2" xfId="41709" xr:uid="{00000000-0005-0000-0000-0000CB050000}"/>
    <cellStyle name="Magic 2 2 4 2 8" xfId="18411" xr:uid="{00000000-0005-0000-0000-0000CB050000}"/>
    <cellStyle name="Magic 2 2 4 2 9" xfId="36817" xr:uid="{00000000-0005-0000-0000-0000CB050000}"/>
    <cellStyle name="Magic 2 2 4 3" xfId="4425" xr:uid="{00000000-0005-0000-0000-0000CB050000}"/>
    <cellStyle name="Magic 2 2 4 3 2" xfId="11024" xr:uid="{00000000-0005-0000-0000-0000CB050000}"/>
    <cellStyle name="Magic 2 2 4 3 2 2" xfId="29644" xr:uid="{00000000-0005-0000-0000-0000CB050000}"/>
    <cellStyle name="Magic 2 2 4 3 2 3" xfId="48007" xr:uid="{00000000-0005-0000-0000-0000CB050000}"/>
    <cellStyle name="Magic 2 2 4 3 3" xfId="15159" xr:uid="{00000000-0005-0000-0000-0000CB050000}"/>
    <cellStyle name="Magic 2 2 4 3 3 2" xfId="33556" xr:uid="{00000000-0005-0000-0000-0000CB050000}"/>
    <cellStyle name="Magic 2 2 4 3 3 3" xfId="51919" xr:uid="{00000000-0005-0000-0000-0000CB050000}"/>
    <cellStyle name="Magic 2 2 4 3 4" xfId="24287" xr:uid="{00000000-0005-0000-0000-0000CB050000}"/>
    <cellStyle name="Magic 2 2 4 3 4 2" xfId="42656" xr:uid="{00000000-0005-0000-0000-0000CB050000}"/>
    <cellStyle name="Magic 2 2 4 3 5" xfId="20610" xr:uid="{00000000-0005-0000-0000-0000CB050000}"/>
    <cellStyle name="Magic 2 2 4 3 6" xfId="39003" xr:uid="{00000000-0005-0000-0000-0000CB050000}"/>
    <cellStyle name="Magic 2 2 4 4" xfId="4043" xr:uid="{00000000-0005-0000-0000-0000CB050000}"/>
    <cellStyle name="Magic 2 2 4 4 2" xfId="10744" xr:uid="{00000000-0005-0000-0000-0000CB050000}"/>
    <cellStyle name="Magic 2 2 4 4 2 2" xfId="29447" xr:uid="{00000000-0005-0000-0000-0000CB050000}"/>
    <cellStyle name="Magic 2 2 4 4 2 3" xfId="47810" xr:uid="{00000000-0005-0000-0000-0000CB050000}"/>
    <cellStyle name="Magic 2 2 4 4 3" xfId="14804" xr:uid="{00000000-0005-0000-0000-0000CB050000}"/>
    <cellStyle name="Magic 2 2 4 4 3 2" xfId="33216" xr:uid="{00000000-0005-0000-0000-0000CB050000}"/>
    <cellStyle name="Magic 2 2 4 4 3 3" xfId="51579" xr:uid="{00000000-0005-0000-0000-0000CB050000}"/>
    <cellStyle name="Magic 2 2 4 4 4" xfId="23940" xr:uid="{00000000-0005-0000-0000-0000CB050000}"/>
    <cellStyle name="Magic 2 2 4 4 4 2" xfId="42309" xr:uid="{00000000-0005-0000-0000-0000CB050000}"/>
    <cellStyle name="Magic 2 2 4 4 5" xfId="20260" xr:uid="{00000000-0005-0000-0000-0000CB050000}"/>
    <cellStyle name="Magic 2 2 4 4 6" xfId="38663" xr:uid="{00000000-0005-0000-0000-0000CB050000}"/>
    <cellStyle name="Magic 2 2 4 5" xfId="9214" xr:uid="{00000000-0005-0000-0000-0000CB050000}"/>
    <cellStyle name="Magic 2 2 4 5 2" xfId="13271" xr:uid="{00000000-0005-0000-0000-0000CB050000}"/>
    <cellStyle name="Magic 2 2 4 5 2 2" xfId="31692" xr:uid="{00000000-0005-0000-0000-0000CB050000}"/>
    <cellStyle name="Magic 2 2 4 5 2 3" xfId="50055" xr:uid="{00000000-0005-0000-0000-0000CB050000}"/>
    <cellStyle name="Magic 2 2 4 5 3" xfId="27934" xr:uid="{00000000-0005-0000-0000-0000CB050000}"/>
    <cellStyle name="Magic 2 2 4 5 3 2" xfId="46297" xr:uid="{00000000-0005-0000-0000-0000CB050000}"/>
    <cellStyle name="Magic 2 2 4 5 4" xfId="18261" xr:uid="{00000000-0005-0000-0000-0000CB050000}"/>
    <cellStyle name="Magic 2 2 4 5 5" xfId="36667" xr:uid="{00000000-0005-0000-0000-0000CB050000}"/>
    <cellStyle name="Magic 2 2 4 6" xfId="7691" xr:uid="{00000000-0005-0000-0000-0000CB050000}"/>
    <cellStyle name="Magic 2 2 4 6 2" xfId="26973" xr:uid="{00000000-0005-0000-0000-0000CB050000}"/>
    <cellStyle name="Magic 2 2 4 6 3" xfId="45338" xr:uid="{00000000-0005-0000-0000-0000CB050000}"/>
    <cellStyle name="Magic 2 2 4 7" xfId="8027" xr:uid="{00000000-0005-0000-0000-0000CB050000}"/>
    <cellStyle name="Magic 2 2 4 7 2" xfId="27256" xr:uid="{00000000-0005-0000-0000-0000CB050000}"/>
    <cellStyle name="Magic 2 2 4 7 3" xfId="45621" xr:uid="{00000000-0005-0000-0000-0000CB050000}"/>
    <cellStyle name="Magic 2 2 4 8" xfId="18356" xr:uid="{00000000-0005-0000-0000-0000CB050000}"/>
    <cellStyle name="Magic 2 2 4 8 2" xfId="36762" xr:uid="{00000000-0005-0000-0000-0000CB050000}"/>
    <cellStyle name="Magic 2 2 4 9" xfId="7853" xr:uid="{00000000-0005-0000-0000-0000CB050000}"/>
    <cellStyle name="Magic 2 2 5" xfId="3376" xr:uid="{00000000-0005-0000-0000-0000C2050000}"/>
    <cellStyle name="Magic 2 2 5 2" xfId="5551" xr:uid="{00000000-0005-0000-0000-0000C2050000}"/>
    <cellStyle name="Magic 2 2 5 2 2" xfId="11915" xr:uid="{00000000-0005-0000-0000-0000C2050000}"/>
    <cellStyle name="Magic 2 2 5 2 2 2" xfId="30362" xr:uid="{00000000-0005-0000-0000-0000C2050000}"/>
    <cellStyle name="Magic 2 2 5 2 2 3" xfId="48725" xr:uid="{00000000-0005-0000-0000-0000C2050000}"/>
    <cellStyle name="Magic 2 2 5 2 3" xfId="16241" xr:uid="{00000000-0005-0000-0000-0000C2050000}"/>
    <cellStyle name="Magic 2 2 5 2 3 2" xfId="34613" xr:uid="{00000000-0005-0000-0000-0000C2050000}"/>
    <cellStyle name="Magic 2 2 5 2 3 3" xfId="52976" xr:uid="{00000000-0005-0000-0000-0000C2050000}"/>
    <cellStyle name="Magic 2 2 5 2 4" xfId="25360" xr:uid="{00000000-0005-0000-0000-0000C2050000}"/>
    <cellStyle name="Magic 2 2 5 2 4 2" xfId="43729" xr:uid="{00000000-0005-0000-0000-0000C2050000}"/>
    <cellStyle name="Magic 2 2 5 2 5" xfId="21681" xr:uid="{00000000-0005-0000-0000-0000C2050000}"/>
    <cellStyle name="Magic 2 2 5 2 6" xfId="40060" xr:uid="{00000000-0005-0000-0000-0000C2050000}"/>
    <cellStyle name="Magic 2 2 5 3" xfId="6375" xr:uid="{00000000-0005-0000-0000-0000C2050000}"/>
    <cellStyle name="Magic 2 2 5 3 2" xfId="12666" xr:uid="{00000000-0005-0000-0000-0000C2050000}"/>
    <cellStyle name="Magic 2 2 5 3 2 2" xfId="31092" xr:uid="{00000000-0005-0000-0000-0000C2050000}"/>
    <cellStyle name="Magic 2 2 5 3 2 3" xfId="49455" xr:uid="{00000000-0005-0000-0000-0000C2050000}"/>
    <cellStyle name="Magic 2 2 5 3 3" xfId="16977" xr:uid="{00000000-0005-0000-0000-0000C2050000}"/>
    <cellStyle name="Magic 2 2 5 3 3 2" xfId="35325" xr:uid="{00000000-0005-0000-0000-0000C2050000}"/>
    <cellStyle name="Magic 2 2 5 3 3 3" xfId="53688" xr:uid="{00000000-0005-0000-0000-0000C2050000}"/>
    <cellStyle name="Magic 2 2 5 3 4" xfId="26110" xr:uid="{00000000-0005-0000-0000-0000C2050000}"/>
    <cellStyle name="Magic 2 2 5 3 4 2" xfId="44479" xr:uid="{00000000-0005-0000-0000-0000C2050000}"/>
    <cellStyle name="Magic 2 2 5 3 5" xfId="22403" xr:uid="{00000000-0005-0000-0000-0000C2050000}"/>
    <cellStyle name="Magic 2 2 5 3 6" xfId="40772" xr:uid="{00000000-0005-0000-0000-0000C2050000}"/>
    <cellStyle name="Magic 2 2 5 4" xfId="10089" xr:uid="{00000000-0005-0000-0000-0000C2050000}"/>
    <cellStyle name="Magic 2 2 5 4 2" xfId="14146" xr:uid="{00000000-0005-0000-0000-0000C2050000}"/>
    <cellStyle name="Magic 2 2 5 4 2 2" xfId="32562" xr:uid="{00000000-0005-0000-0000-0000C2050000}"/>
    <cellStyle name="Magic 2 2 5 4 2 3" xfId="50925" xr:uid="{00000000-0005-0000-0000-0000C2050000}"/>
    <cellStyle name="Magic 2 2 5 4 3" xfId="28800" xr:uid="{00000000-0005-0000-0000-0000C2050000}"/>
    <cellStyle name="Magic 2 2 5 4 3 2" xfId="47163" xr:uid="{00000000-0005-0000-0000-0000C2050000}"/>
    <cellStyle name="Magic 2 2 5 4 4" xfId="19603" xr:uid="{00000000-0005-0000-0000-0000C2050000}"/>
    <cellStyle name="Magic 2 2 5 4 5" xfId="38009" xr:uid="{00000000-0005-0000-0000-0000C2050000}"/>
    <cellStyle name="Magic 2 2 5 5" xfId="9241" xr:uid="{00000000-0005-0000-0000-0000C2050000}"/>
    <cellStyle name="Magic 2 2 5 5 2" xfId="27961" xr:uid="{00000000-0005-0000-0000-0000C2050000}"/>
    <cellStyle name="Magic 2 2 5 5 3" xfId="46324" xr:uid="{00000000-0005-0000-0000-0000C2050000}"/>
    <cellStyle name="Magic 2 2 5 6" xfId="13298" xr:uid="{00000000-0005-0000-0000-0000C2050000}"/>
    <cellStyle name="Magic 2 2 5 6 2" xfId="31719" xr:uid="{00000000-0005-0000-0000-0000C2050000}"/>
    <cellStyle name="Magic 2 2 5 6 3" xfId="50082" xr:uid="{00000000-0005-0000-0000-0000C2050000}"/>
    <cellStyle name="Magic 2 2 5 7" xfId="23284" xr:uid="{00000000-0005-0000-0000-0000C2050000}"/>
    <cellStyle name="Magic 2 2 5 7 2" xfId="41653" xr:uid="{00000000-0005-0000-0000-0000C2050000}"/>
    <cellStyle name="Magic 2 2 5 8" xfId="18293" xr:uid="{00000000-0005-0000-0000-0000C2050000}"/>
    <cellStyle name="Magic 2 2 5 9" xfId="36699" xr:uid="{00000000-0005-0000-0000-0000C2050000}"/>
    <cellStyle name="Magic 2 2 6" xfId="4326" xr:uid="{00000000-0005-0000-0000-0000C2050000}"/>
    <cellStyle name="Magic 2 2 6 2" xfId="10934" xr:uid="{00000000-0005-0000-0000-0000C2050000}"/>
    <cellStyle name="Magic 2 2 6 2 2" xfId="29564" xr:uid="{00000000-0005-0000-0000-0000C2050000}"/>
    <cellStyle name="Magic 2 2 6 2 3" xfId="47927" xr:uid="{00000000-0005-0000-0000-0000C2050000}"/>
    <cellStyle name="Magic 2 2 6 3" xfId="15070" xr:uid="{00000000-0005-0000-0000-0000C2050000}"/>
    <cellStyle name="Magic 2 2 6 3 2" xfId="33472" xr:uid="{00000000-0005-0000-0000-0000C2050000}"/>
    <cellStyle name="Magic 2 2 6 3 3" xfId="51835" xr:uid="{00000000-0005-0000-0000-0000C2050000}"/>
    <cellStyle name="Magic 2 2 6 4" xfId="24201" xr:uid="{00000000-0005-0000-0000-0000C2050000}"/>
    <cellStyle name="Magic 2 2 6 4 2" xfId="42570" xr:uid="{00000000-0005-0000-0000-0000C2050000}"/>
    <cellStyle name="Magic 2 2 6 5" xfId="20522" xr:uid="{00000000-0005-0000-0000-0000C2050000}"/>
    <cellStyle name="Magic 2 2 6 6" xfId="38919" xr:uid="{00000000-0005-0000-0000-0000C2050000}"/>
    <cellStyle name="Magic 2 2 7" xfId="4069" xr:uid="{00000000-0005-0000-0000-0000C2050000}"/>
    <cellStyle name="Magic 2 2 7 2" xfId="10769" xr:uid="{00000000-0005-0000-0000-0000C2050000}"/>
    <cellStyle name="Magic 2 2 7 2 2" xfId="29472" xr:uid="{00000000-0005-0000-0000-0000C2050000}"/>
    <cellStyle name="Magic 2 2 7 2 3" xfId="47835" xr:uid="{00000000-0005-0000-0000-0000C2050000}"/>
    <cellStyle name="Magic 2 2 7 3" xfId="14829" xr:uid="{00000000-0005-0000-0000-0000C2050000}"/>
    <cellStyle name="Magic 2 2 7 3 2" xfId="33241" xr:uid="{00000000-0005-0000-0000-0000C2050000}"/>
    <cellStyle name="Magic 2 2 7 3 3" xfId="51604" xr:uid="{00000000-0005-0000-0000-0000C2050000}"/>
    <cellStyle name="Magic 2 2 7 4" xfId="23965" xr:uid="{00000000-0005-0000-0000-0000C2050000}"/>
    <cellStyle name="Magic 2 2 7 4 2" xfId="42334" xr:uid="{00000000-0005-0000-0000-0000C2050000}"/>
    <cellStyle name="Magic 2 2 7 5" xfId="20285" xr:uid="{00000000-0005-0000-0000-0000C2050000}"/>
    <cellStyle name="Magic 2 2 7 6" xfId="38688" xr:uid="{00000000-0005-0000-0000-0000C2050000}"/>
    <cellStyle name="Magic 2 2 8" xfId="7578" xr:uid="{00000000-0005-0000-0000-0000C2050000}"/>
    <cellStyle name="Magic 2 2 8 2" xfId="26886" xr:uid="{00000000-0005-0000-0000-0000C2050000}"/>
    <cellStyle name="Magic 2 2 8 3" xfId="45251" xr:uid="{00000000-0005-0000-0000-0000C2050000}"/>
    <cellStyle name="Magic 2 2 9" xfId="8786" xr:uid="{00000000-0005-0000-0000-0000C2050000}"/>
    <cellStyle name="Magic 2 2 9 2" xfId="27631" xr:uid="{00000000-0005-0000-0000-0000C2050000}"/>
    <cellStyle name="Magic 2 2 9 3" xfId="45994" xr:uid="{00000000-0005-0000-0000-0000C2050000}"/>
    <cellStyle name="Magic 2 3" xfId="1443" xr:uid="{00000000-0005-0000-0000-0000CC050000}"/>
    <cellStyle name="Magic 2 3 10" xfId="4209" xr:uid="{00000000-0005-0000-0000-0000CC050000}"/>
    <cellStyle name="Magic 2 3 2" xfId="3463" xr:uid="{00000000-0005-0000-0000-0000CC050000}"/>
    <cellStyle name="Magic 2 3 2 2" xfId="5638" xr:uid="{00000000-0005-0000-0000-0000CC050000}"/>
    <cellStyle name="Magic 2 3 2 2 2" xfId="12002" xr:uid="{00000000-0005-0000-0000-0000CC050000}"/>
    <cellStyle name="Magic 2 3 2 2 2 2" xfId="30449" xr:uid="{00000000-0005-0000-0000-0000CC050000}"/>
    <cellStyle name="Magic 2 3 2 2 2 3" xfId="48812" xr:uid="{00000000-0005-0000-0000-0000CC050000}"/>
    <cellStyle name="Magic 2 3 2 2 3" xfId="16328" xr:uid="{00000000-0005-0000-0000-0000CC050000}"/>
    <cellStyle name="Magic 2 3 2 2 3 2" xfId="34700" xr:uid="{00000000-0005-0000-0000-0000CC050000}"/>
    <cellStyle name="Magic 2 3 2 2 3 3" xfId="53063" xr:uid="{00000000-0005-0000-0000-0000CC050000}"/>
    <cellStyle name="Magic 2 3 2 2 4" xfId="25447" xr:uid="{00000000-0005-0000-0000-0000CC050000}"/>
    <cellStyle name="Magic 2 3 2 2 4 2" xfId="43816" xr:uid="{00000000-0005-0000-0000-0000CC050000}"/>
    <cellStyle name="Magic 2 3 2 2 5" xfId="21768" xr:uid="{00000000-0005-0000-0000-0000CC050000}"/>
    <cellStyle name="Magic 2 3 2 2 6" xfId="40147" xr:uid="{00000000-0005-0000-0000-0000CC050000}"/>
    <cellStyle name="Magic 2 3 2 3" xfId="6462" xr:uid="{00000000-0005-0000-0000-0000CC050000}"/>
    <cellStyle name="Magic 2 3 2 3 2" xfId="12753" xr:uid="{00000000-0005-0000-0000-0000CC050000}"/>
    <cellStyle name="Magic 2 3 2 3 2 2" xfId="31179" xr:uid="{00000000-0005-0000-0000-0000CC050000}"/>
    <cellStyle name="Magic 2 3 2 3 2 3" xfId="49542" xr:uid="{00000000-0005-0000-0000-0000CC050000}"/>
    <cellStyle name="Magic 2 3 2 3 3" xfId="17064" xr:uid="{00000000-0005-0000-0000-0000CC050000}"/>
    <cellStyle name="Magic 2 3 2 3 3 2" xfId="35412" xr:uid="{00000000-0005-0000-0000-0000CC050000}"/>
    <cellStyle name="Magic 2 3 2 3 3 3" xfId="53775" xr:uid="{00000000-0005-0000-0000-0000CC050000}"/>
    <cellStyle name="Magic 2 3 2 3 4" xfId="26197" xr:uid="{00000000-0005-0000-0000-0000CC050000}"/>
    <cellStyle name="Magic 2 3 2 3 4 2" xfId="44566" xr:uid="{00000000-0005-0000-0000-0000CC050000}"/>
    <cellStyle name="Magic 2 3 2 3 5" xfId="22490" xr:uid="{00000000-0005-0000-0000-0000CC050000}"/>
    <cellStyle name="Magic 2 3 2 3 6" xfId="40859" xr:uid="{00000000-0005-0000-0000-0000CC050000}"/>
    <cellStyle name="Magic 2 3 2 4" xfId="10176" xr:uid="{00000000-0005-0000-0000-0000CC050000}"/>
    <cellStyle name="Magic 2 3 2 4 2" xfId="14233" xr:uid="{00000000-0005-0000-0000-0000CC050000}"/>
    <cellStyle name="Magic 2 3 2 4 2 2" xfId="32649" xr:uid="{00000000-0005-0000-0000-0000CC050000}"/>
    <cellStyle name="Magic 2 3 2 4 2 3" xfId="51012" xr:uid="{00000000-0005-0000-0000-0000CC050000}"/>
    <cellStyle name="Magic 2 3 2 4 3" xfId="28887" xr:uid="{00000000-0005-0000-0000-0000CC050000}"/>
    <cellStyle name="Magic 2 3 2 4 3 2" xfId="47250" xr:uid="{00000000-0005-0000-0000-0000CC050000}"/>
    <cellStyle name="Magic 2 3 2 4 4" xfId="19690" xr:uid="{00000000-0005-0000-0000-0000CC050000}"/>
    <cellStyle name="Magic 2 3 2 4 5" xfId="38096" xr:uid="{00000000-0005-0000-0000-0000CC050000}"/>
    <cellStyle name="Magic 2 3 2 5" xfId="9366" xr:uid="{00000000-0005-0000-0000-0000CC050000}"/>
    <cellStyle name="Magic 2 3 2 5 2" xfId="28085" xr:uid="{00000000-0005-0000-0000-0000CC050000}"/>
    <cellStyle name="Magic 2 3 2 5 3" xfId="46448" xr:uid="{00000000-0005-0000-0000-0000CC050000}"/>
    <cellStyle name="Magic 2 3 2 6" xfId="13422" xr:uid="{00000000-0005-0000-0000-0000CC050000}"/>
    <cellStyle name="Magic 2 3 2 6 2" xfId="31843" xr:uid="{00000000-0005-0000-0000-0000CC050000}"/>
    <cellStyle name="Magic 2 3 2 6 3" xfId="50206" xr:uid="{00000000-0005-0000-0000-0000CC050000}"/>
    <cellStyle name="Magic 2 3 2 7" xfId="23371" xr:uid="{00000000-0005-0000-0000-0000CC050000}"/>
    <cellStyle name="Magic 2 3 2 7 2" xfId="41740" xr:uid="{00000000-0005-0000-0000-0000CC050000}"/>
    <cellStyle name="Magic 2 3 2 8" xfId="18448" xr:uid="{00000000-0005-0000-0000-0000CC050000}"/>
    <cellStyle name="Magic 2 3 2 9" xfId="36854" xr:uid="{00000000-0005-0000-0000-0000CC050000}"/>
    <cellStyle name="Magic 2 3 3" xfId="4460" xr:uid="{00000000-0005-0000-0000-0000CC050000}"/>
    <cellStyle name="Magic 2 3 3 2" xfId="11057" xr:uid="{00000000-0005-0000-0000-0000CC050000}"/>
    <cellStyle name="Magic 2 3 3 2 2" xfId="29677" xr:uid="{00000000-0005-0000-0000-0000CC050000}"/>
    <cellStyle name="Magic 2 3 3 2 3" xfId="48040" xr:uid="{00000000-0005-0000-0000-0000CC050000}"/>
    <cellStyle name="Magic 2 3 3 3" xfId="15194" xr:uid="{00000000-0005-0000-0000-0000CC050000}"/>
    <cellStyle name="Magic 2 3 3 3 2" xfId="33590" xr:uid="{00000000-0005-0000-0000-0000CC050000}"/>
    <cellStyle name="Magic 2 3 3 3 3" xfId="51953" xr:uid="{00000000-0005-0000-0000-0000CC050000}"/>
    <cellStyle name="Magic 2 3 3 4" xfId="24321" xr:uid="{00000000-0005-0000-0000-0000CC050000}"/>
    <cellStyle name="Magic 2 3 3 4 2" xfId="42690" xr:uid="{00000000-0005-0000-0000-0000CC050000}"/>
    <cellStyle name="Magic 2 3 3 5" xfId="20645" xr:uid="{00000000-0005-0000-0000-0000CC050000}"/>
    <cellStyle name="Magic 2 3 3 6" xfId="39037" xr:uid="{00000000-0005-0000-0000-0000CC050000}"/>
    <cellStyle name="Magic 2 3 4" xfId="4022" xr:uid="{00000000-0005-0000-0000-0000CC050000}"/>
    <cellStyle name="Magic 2 3 4 2" xfId="10726" xr:uid="{00000000-0005-0000-0000-0000CC050000}"/>
    <cellStyle name="Magic 2 3 4 2 2" xfId="29430" xr:uid="{00000000-0005-0000-0000-0000CC050000}"/>
    <cellStyle name="Magic 2 3 4 2 3" xfId="47793" xr:uid="{00000000-0005-0000-0000-0000CC050000}"/>
    <cellStyle name="Magic 2 3 4 3" xfId="14783" xr:uid="{00000000-0005-0000-0000-0000CC050000}"/>
    <cellStyle name="Magic 2 3 4 3 2" xfId="33195" xr:uid="{00000000-0005-0000-0000-0000CC050000}"/>
    <cellStyle name="Magic 2 3 4 3 3" xfId="51558" xr:uid="{00000000-0005-0000-0000-0000CC050000}"/>
    <cellStyle name="Magic 2 3 4 4" xfId="23919" xr:uid="{00000000-0005-0000-0000-0000CC050000}"/>
    <cellStyle name="Magic 2 3 4 4 2" xfId="42288" xr:uid="{00000000-0005-0000-0000-0000CC050000}"/>
    <cellStyle name="Magic 2 3 4 5" xfId="20239" xr:uid="{00000000-0005-0000-0000-0000CC050000}"/>
    <cellStyle name="Magic 2 3 4 6" xfId="38642" xr:uid="{00000000-0005-0000-0000-0000CC050000}"/>
    <cellStyle name="Magic 2 3 5" xfId="9138" xr:uid="{00000000-0005-0000-0000-0000CC050000}"/>
    <cellStyle name="Magic 2 3 5 2" xfId="13197" xr:uid="{00000000-0005-0000-0000-0000CC050000}"/>
    <cellStyle name="Magic 2 3 5 2 2" xfId="31623" xr:uid="{00000000-0005-0000-0000-0000CC050000}"/>
    <cellStyle name="Magic 2 3 5 2 3" xfId="49986" xr:uid="{00000000-0005-0000-0000-0000CC050000}"/>
    <cellStyle name="Magic 2 3 5 3" xfId="27864" xr:uid="{00000000-0005-0000-0000-0000CC050000}"/>
    <cellStyle name="Magic 2 3 5 3 2" xfId="46227" xr:uid="{00000000-0005-0000-0000-0000CC050000}"/>
    <cellStyle name="Magic 2 3 5 4" xfId="18051" xr:uid="{00000000-0005-0000-0000-0000CC050000}"/>
    <cellStyle name="Magic 2 3 5 5" xfId="36459" xr:uid="{00000000-0005-0000-0000-0000CC050000}"/>
    <cellStyle name="Magic 2 3 6" xfId="7731" xr:uid="{00000000-0005-0000-0000-0000CC050000}"/>
    <cellStyle name="Magic 2 3 6 2" xfId="27008" xr:uid="{00000000-0005-0000-0000-0000CC050000}"/>
    <cellStyle name="Magic 2 3 6 3" xfId="45373" xr:uid="{00000000-0005-0000-0000-0000CC050000}"/>
    <cellStyle name="Magic 2 3 7" xfId="7555" xr:uid="{00000000-0005-0000-0000-0000CC050000}"/>
    <cellStyle name="Magic 2 3 7 2" xfId="26871" xr:uid="{00000000-0005-0000-0000-0000CC050000}"/>
    <cellStyle name="Magic 2 3 7 3" xfId="45236" xr:uid="{00000000-0005-0000-0000-0000CC050000}"/>
    <cellStyle name="Magic 2 3 8" xfId="19144" xr:uid="{00000000-0005-0000-0000-0000CC050000}"/>
    <cellStyle name="Magic 2 3 8 2" xfId="37552" xr:uid="{00000000-0005-0000-0000-0000CC050000}"/>
    <cellStyle name="Magic 2 3 9" xfId="8823" xr:uid="{00000000-0005-0000-0000-0000CC050000}"/>
    <cellStyle name="Magic 2 4" xfId="1912" xr:uid="{00000000-0005-0000-0000-0000CD050000}"/>
    <cellStyle name="Magic 2 4 10" xfId="8213" xr:uid="{00000000-0005-0000-0000-0000CD050000}"/>
    <cellStyle name="Magic 2 4 2" xfId="3730" xr:uid="{00000000-0005-0000-0000-0000CD050000}"/>
    <cellStyle name="Magic 2 4 2 2" xfId="5903" xr:uid="{00000000-0005-0000-0000-0000CD050000}"/>
    <cellStyle name="Magic 2 4 2 2 2" xfId="12267" xr:uid="{00000000-0005-0000-0000-0000CD050000}"/>
    <cellStyle name="Magic 2 4 2 2 2 2" xfId="30714" xr:uid="{00000000-0005-0000-0000-0000CD050000}"/>
    <cellStyle name="Magic 2 4 2 2 2 3" xfId="49077" xr:uid="{00000000-0005-0000-0000-0000CD050000}"/>
    <cellStyle name="Magic 2 4 2 2 3" xfId="16593" xr:uid="{00000000-0005-0000-0000-0000CD050000}"/>
    <cellStyle name="Magic 2 4 2 2 3 2" xfId="34965" xr:uid="{00000000-0005-0000-0000-0000CD050000}"/>
    <cellStyle name="Magic 2 4 2 2 3 3" xfId="53328" xr:uid="{00000000-0005-0000-0000-0000CD050000}"/>
    <cellStyle name="Magic 2 4 2 2 4" xfId="25712" xr:uid="{00000000-0005-0000-0000-0000CD050000}"/>
    <cellStyle name="Magic 2 4 2 2 4 2" xfId="44081" xr:uid="{00000000-0005-0000-0000-0000CD050000}"/>
    <cellStyle name="Magic 2 4 2 2 5" xfId="22033" xr:uid="{00000000-0005-0000-0000-0000CD050000}"/>
    <cellStyle name="Magic 2 4 2 2 6" xfId="40412" xr:uid="{00000000-0005-0000-0000-0000CD050000}"/>
    <cellStyle name="Magic 2 4 2 3" xfId="6729" xr:uid="{00000000-0005-0000-0000-0000CD050000}"/>
    <cellStyle name="Magic 2 4 2 3 2" xfId="13020" xr:uid="{00000000-0005-0000-0000-0000CD050000}"/>
    <cellStyle name="Magic 2 4 2 3 2 2" xfId="31446" xr:uid="{00000000-0005-0000-0000-0000CD050000}"/>
    <cellStyle name="Magic 2 4 2 3 2 3" xfId="49809" xr:uid="{00000000-0005-0000-0000-0000CD050000}"/>
    <cellStyle name="Magic 2 4 2 3 3" xfId="17331" xr:uid="{00000000-0005-0000-0000-0000CD050000}"/>
    <cellStyle name="Magic 2 4 2 3 3 2" xfId="35679" xr:uid="{00000000-0005-0000-0000-0000CD050000}"/>
    <cellStyle name="Magic 2 4 2 3 3 3" xfId="54042" xr:uid="{00000000-0005-0000-0000-0000CD050000}"/>
    <cellStyle name="Magic 2 4 2 3 4" xfId="26464" xr:uid="{00000000-0005-0000-0000-0000CD050000}"/>
    <cellStyle name="Magic 2 4 2 3 4 2" xfId="44833" xr:uid="{00000000-0005-0000-0000-0000CD050000}"/>
    <cellStyle name="Magic 2 4 2 3 5" xfId="22757" xr:uid="{00000000-0005-0000-0000-0000CD050000}"/>
    <cellStyle name="Magic 2 4 2 3 6" xfId="41126" xr:uid="{00000000-0005-0000-0000-0000CD050000}"/>
    <cellStyle name="Magic 2 4 2 4" xfId="10443" xr:uid="{00000000-0005-0000-0000-0000CD050000}"/>
    <cellStyle name="Magic 2 4 2 4 2" xfId="14500" xr:uid="{00000000-0005-0000-0000-0000CD050000}"/>
    <cellStyle name="Magic 2 4 2 4 2 2" xfId="32916" xr:uid="{00000000-0005-0000-0000-0000CD050000}"/>
    <cellStyle name="Magic 2 4 2 4 2 3" xfId="51279" xr:uid="{00000000-0005-0000-0000-0000CD050000}"/>
    <cellStyle name="Magic 2 4 2 4 3" xfId="29154" xr:uid="{00000000-0005-0000-0000-0000CD050000}"/>
    <cellStyle name="Magic 2 4 2 4 3 2" xfId="47517" xr:uid="{00000000-0005-0000-0000-0000CD050000}"/>
    <cellStyle name="Magic 2 4 2 4 4" xfId="19957" xr:uid="{00000000-0005-0000-0000-0000CD050000}"/>
    <cellStyle name="Magic 2 4 2 4 5" xfId="38363" xr:uid="{00000000-0005-0000-0000-0000CD050000}"/>
    <cellStyle name="Magic 2 4 2 5" xfId="9659" xr:uid="{00000000-0005-0000-0000-0000CD050000}"/>
    <cellStyle name="Magic 2 4 2 5 2" xfId="28375" xr:uid="{00000000-0005-0000-0000-0000CD050000}"/>
    <cellStyle name="Magic 2 4 2 5 3" xfId="46738" xr:uid="{00000000-0005-0000-0000-0000CD050000}"/>
    <cellStyle name="Magic 2 4 2 6" xfId="13716" xr:uid="{00000000-0005-0000-0000-0000CD050000}"/>
    <cellStyle name="Magic 2 4 2 6 2" xfId="32137" xr:uid="{00000000-0005-0000-0000-0000CD050000}"/>
    <cellStyle name="Magic 2 4 2 6 3" xfId="50500" xr:uid="{00000000-0005-0000-0000-0000CD050000}"/>
    <cellStyle name="Magic 2 4 2 7" xfId="23638" xr:uid="{00000000-0005-0000-0000-0000CD050000}"/>
    <cellStyle name="Magic 2 4 2 7 2" xfId="42007" xr:uid="{00000000-0005-0000-0000-0000CD050000}"/>
    <cellStyle name="Magic 2 4 2 8" xfId="18784" xr:uid="{00000000-0005-0000-0000-0000CD050000}"/>
    <cellStyle name="Magic 2 4 2 9" xfId="37193" xr:uid="{00000000-0005-0000-0000-0000CD050000}"/>
    <cellStyle name="Magic 2 4 3" xfId="4823" xr:uid="{00000000-0005-0000-0000-0000CD050000}"/>
    <cellStyle name="Magic 2 4 3 2" xfId="11384" xr:uid="{00000000-0005-0000-0000-0000CD050000}"/>
    <cellStyle name="Magic 2 4 3 2 2" xfId="29976" xr:uid="{00000000-0005-0000-0000-0000CD050000}"/>
    <cellStyle name="Magic 2 4 3 2 3" xfId="48339" xr:uid="{00000000-0005-0000-0000-0000CD050000}"/>
    <cellStyle name="Magic 2 4 3 3" xfId="15549" xr:uid="{00000000-0005-0000-0000-0000CD050000}"/>
    <cellStyle name="Magic 2 4 3 3 2" xfId="33942" xr:uid="{00000000-0005-0000-0000-0000CD050000}"/>
    <cellStyle name="Magic 2 4 3 3 3" xfId="52305" xr:uid="{00000000-0005-0000-0000-0000CD050000}"/>
    <cellStyle name="Magic 2 4 3 4" xfId="24673" xr:uid="{00000000-0005-0000-0000-0000CD050000}"/>
    <cellStyle name="Magic 2 4 3 4 2" xfId="43042" xr:uid="{00000000-0005-0000-0000-0000CD050000}"/>
    <cellStyle name="Magic 2 4 3 5" xfId="21000" xr:uid="{00000000-0005-0000-0000-0000CD050000}"/>
    <cellStyle name="Magic 2 4 3 6" xfId="39389" xr:uid="{00000000-0005-0000-0000-0000CD050000}"/>
    <cellStyle name="Magic 2 4 4" xfId="65" xr:uid="{00000000-0005-0000-0000-0000CD050000}"/>
    <cellStyle name="Magic 2 4 4 2" xfId="9741" xr:uid="{00000000-0005-0000-0000-0000CD050000}"/>
    <cellStyle name="Magic 2 4 4 2 2" xfId="28456" xr:uid="{00000000-0005-0000-0000-0000CD050000}"/>
    <cellStyle name="Magic 2 4 4 2 3" xfId="46819" xr:uid="{00000000-0005-0000-0000-0000CD050000}"/>
    <cellStyle name="Magic 2 4 4 3" xfId="13798" xr:uid="{00000000-0005-0000-0000-0000CD050000}"/>
    <cellStyle name="Magic 2 4 4 3 2" xfId="32218" xr:uid="{00000000-0005-0000-0000-0000CD050000}"/>
    <cellStyle name="Magic 2 4 4 3 3" xfId="50581" xr:uid="{00000000-0005-0000-0000-0000CD050000}"/>
    <cellStyle name="Magic 2 4 4 4" xfId="18190" xr:uid="{00000000-0005-0000-0000-0000CD050000}"/>
    <cellStyle name="Magic 2 4 4 4 2" xfId="36596" xr:uid="{00000000-0005-0000-0000-0000CD050000}"/>
    <cellStyle name="Magic 2 4 4 5" xfId="18921" xr:uid="{00000000-0005-0000-0000-0000CD050000}"/>
    <cellStyle name="Magic 2 4 4 6" xfId="37330" xr:uid="{00000000-0005-0000-0000-0000CD050000}"/>
    <cellStyle name="Magic 2 4 5" xfId="9041" xr:uid="{00000000-0005-0000-0000-0000CD050000}"/>
    <cellStyle name="Magic 2 4 5 2" xfId="12453" xr:uid="{00000000-0005-0000-0000-0000CD050000}"/>
    <cellStyle name="Magic 2 4 5 2 2" xfId="30894" xr:uid="{00000000-0005-0000-0000-0000CD050000}"/>
    <cellStyle name="Magic 2 4 5 2 3" xfId="49257" xr:uid="{00000000-0005-0000-0000-0000CD050000}"/>
    <cellStyle name="Magic 2 4 5 3" xfId="27767" xr:uid="{00000000-0005-0000-0000-0000CD050000}"/>
    <cellStyle name="Magic 2 4 5 3 2" xfId="46130" xr:uid="{00000000-0005-0000-0000-0000CD050000}"/>
    <cellStyle name="Magic 2 4 5 4" xfId="17936" xr:uid="{00000000-0005-0000-0000-0000CD050000}"/>
    <cellStyle name="Magic 2 4 5 5" xfId="36344" xr:uid="{00000000-0005-0000-0000-0000CD050000}"/>
    <cellStyle name="Magic 2 4 6" xfId="8111" xr:uid="{00000000-0005-0000-0000-0000CD050000}"/>
    <cellStyle name="Magic 2 4 6 2" xfId="27316" xr:uid="{00000000-0005-0000-0000-0000CD050000}"/>
    <cellStyle name="Magic 2 4 6 3" xfId="45681" xr:uid="{00000000-0005-0000-0000-0000CD050000}"/>
    <cellStyle name="Magic 2 4 7" xfId="8867" xr:uid="{00000000-0005-0000-0000-0000CD050000}"/>
    <cellStyle name="Magic 2 4 7 2" xfId="27659" xr:uid="{00000000-0005-0000-0000-0000CD050000}"/>
    <cellStyle name="Magic 2 4 7 3" xfId="46022" xr:uid="{00000000-0005-0000-0000-0000CD050000}"/>
    <cellStyle name="Magic 2 4 8" xfId="19193" xr:uid="{00000000-0005-0000-0000-0000CD050000}"/>
    <cellStyle name="Magic 2 4 8 2" xfId="37600" xr:uid="{00000000-0005-0000-0000-0000CD050000}"/>
    <cellStyle name="Magic 2 4 9" xfId="7463" xr:uid="{00000000-0005-0000-0000-0000CD050000}"/>
    <cellStyle name="Magic 2 5" xfId="2327" xr:uid="{00000000-0005-0000-0000-0000CE050000}"/>
    <cellStyle name="Magic 2 5 10" xfId="7521" xr:uid="{00000000-0005-0000-0000-0000CE050000}"/>
    <cellStyle name="Magic 2 5 2" xfId="3775" xr:uid="{00000000-0005-0000-0000-0000CE050000}"/>
    <cellStyle name="Magic 2 5 2 2" xfId="5948" xr:uid="{00000000-0005-0000-0000-0000CE050000}"/>
    <cellStyle name="Magic 2 5 2 2 2" xfId="12312" xr:uid="{00000000-0005-0000-0000-0000CE050000}"/>
    <cellStyle name="Magic 2 5 2 2 2 2" xfId="30759" xr:uid="{00000000-0005-0000-0000-0000CE050000}"/>
    <cellStyle name="Magic 2 5 2 2 2 3" xfId="49122" xr:uid="{00000000-0005-0000-0000-0000CE050000}"/>
    <cellStyle name="Magic 2 5 2 2 3" xfId="16638" xr:uid="{00000000-0005-0000-0000-0000CE050000}"/>
    <cellStyle name="Magic 2 5 2 2 3 2" xfId="35010" xr:uid="{00000000-0005-0000-0000-0000CE050000}"/>
    <cellStyle name="Magic 2 5 2 2 3 3" xfId="53373" xr:uid="{00000000-0005-0000-0000-0000CE050000}"/>
    <cellStyle name="Magic 2 5 2 2 4" xfId="25757" xr:uid="{00000000-0005-0000-0000-0000CE050000}"/>
    <cellStyle name="Magic 2 5 2 2 4 2" xfId="44126" xr:uid="{00000000-0005-0000-0000-0000CE050000}"/>
    <cellStyle name="Magic 2 5 2 2 5" xfId="22078" xr:uid="{00000000-0005-0000-0000-0000CE050000}"/>
    <cellStyle name="Magic 2 5 2 2 6" xfId="40457" xr:uid="{00000000-0005-0000-0000-0000CE050000}"/>
    <cellStyle name="Magic 2 5 2 3" xfId="6774" xr:uid="{00000000-0005-0000-0000-0000CE050000}"/>
    <cellStyle name="Magic 2 5 2 3 2" xfId="13065" xr:uid="{00000000-0005-0000-0000-0000CE050000}"/>
    <cellStyle name="Magic 2 5 2 3 2 2" xfId="31491" xr:uid="{00000000-0005-0000-0000-0000CE050000}"/>
    <cellStyle name="Magic 2 5 2 3 2 3" xfId="49854" xr:uid="{00000000-0005-0000-0000-0000CE050000}"/>
    <cellStyle name="Magic 2 5 2 3 3" xfId="17376" xr:uid="{00000000-0005-0000-0000-0000CE050000}"/>
    <cellStyle name="Magic 2 5 2 3 3 2" xfId="35724" xr:uid="{00000000-0005-0000-0000-0000CE050000}"/>
    <cellStyle name="Magic 2 5 2 3 3 3" xfId="54087" xr:uid="{00000000-0005-0000-0000-0000CE050000}"/>
    <cellStyle name="Magic 2 5 2 3 4" xfId="26509" xr:uid="{00000000-0005-0000-0000-0000CE050000}"/>
    <cellStyle name="Magic 2 5 2 3 4 2" xfId="44878" xr:uid="{00000000-0005-0000-0000-0000CE050000}"/>
    <cellStyle name="Magic 2 5 2 3 5" xfId="22802" xr:uid="{00000000-0005-0000-0000-0000CE050000}"/>
    <cellStyle name="Magic 2 5 2 3 6" xfId="41171" xr:uid="{00000000-0005-0000-0000-0000CE050000}"/>
    <cellStyle name="Magic 2 5 2 4" xfId="10488" xr:uid="{00000000-0005-0000-0000-0000CE050000}"/>
    <cellStyle name="Magic 2 5 2 4 2" xfId="14545" xr:uid="{00000000-0005-0000-0000-0000CE050000}"/>
    <cellStyle name="Magic 2 5 2 4 2 2" xfId="32961" xr:uid="{00000000-0005-0000-0000-0000CE050000}"/>
    <cellStyle name="Magic 2 5 2 4 2 3" xfId="51324" xr:uid="{00000000-0005-0000-0000-0000CE050000}"/>
    <cellStyle name="Magic 2 5 2 4 3" xfId="29199" xr:uid="{00000000-0005-0000-0000-0000CE050000}"/>
    <cellStyle name="Magic 2 5 2 4 3 2" xfId="47562" xr:uid="{00000000-0005-0000-0000-0000CE050000}"/>
    <cellStyle name="Magic 2 5 2 4 4" xfId="20002" xr:uid="{00000000-0005-0000-0000-0000CE050000}"/>
    <cellStyle name="Magic 2 5 2 4 5" xfId="38408" xr:uid="{00000000-0005-0000-0000-0000CE050000}"/>
    <cellStyle name="Magic 2 5 2 5" xfId="9759" xr:uid="{00000000-0005-0000-0000-0000CE050000}"/>
    <cellStyle name="Magic 2 5 2 5 2" xfId="28474" xr:uid="{00000000-0005-0000-0000-0000CE050000}"/>
    <cellStyle name="Magic 2 5 2 5 3" xfId="46837" xr:uid="{00000000-0005-0000-0000-0000CE050000}"/>
    <cellStyle name="Magic 2 5 2 6" xfId="13816" xr:uid="{00000000-0005-0000-0000-0000CE050000}"/>
    <cellStyle name="Magic 2 5 2 6 2" xfId="32236" xr:uid="{00000000-0005-0000-0000-0000CE050000}"/>
    <cellStyle name="Magic 2 5 2 6 3" xfId="50599" xr:uid="{00000000-0005-0000-0000-0000CE050000}"/>
    <cellStyle name="Magic 2 5 2 7" xfId="23683" xr:uid="{00000000-0005-0000-0000-0000CE050000}"/>
    <cellStyle name="Magic 2 5 2 7 2" xfId="42052" xr:uid="{00000000-0005-0000-0000-0000CE050000}"/>
    <cellStyle name="Magic 2 5 2 8" xfId="18941" xr:uid="{00000000-0005-0000-0000-0000CE050000}"/>
    <cellStyle name="Magic 2 5 2 9" xfId="37350" xr:uid="{00000000-0005-0000-0000-0000CE050000}"/>
    <cellStyle name="Magic 2 5 3" xfId="4975" xr:uid="{00000000-0005-0000-0000-0000CE050000}"/>
    <cellStyle name="Magic 2 5 3 2" xfId="11505" xr:uid="{00000000-0005-0000-0000-0000CE050000}"/>
    <cellStyle name="Magic 2 5 3 2 2" xfId="30078" xr:uid="{00000000-0005-0000-0000-0000CE050000}"/>
    <cellStyle name="Magic 2 5 3 2 3" xfId="48441" xr:uid="{00000000-0005-0000-0000-0000CE050000}"/>
    <cellStyle name="Magic 2 5 3 3" xfId="15691" xr:uid="{00000000-0005-0000-0000-0000CE050000}"/>
    <cellStyle name="Magic 2 5 3 3 2" xfId="34080" xr:uid="{00000000-0005-0000-0000-0000CE050000}"/>
    <cellStyle name="Magic 2 5 3 3 3" xfId="52443" xr:uid="{00000000-0005-0000-0000-0000CE050000}"/>
    <cellStyle name="Magic 2 5 3 4" xfId="24815" xr:uid="{00000000-0005-0000-0000-0000CE050000}"/>
    <cellStyle name="Magic 2 5 3 4 2" xfId="43184" xr:uid="{00000000-0005-0000-0000-0000CE050000}"/>
    <cellStyle name="Magic 2 5 3 5" xfId="21140" xr:uid="{00000000-0005-0000-0000-0000CE050000}"/>
    <cellStyle name="Magic 2 5 3 6" xfId="39527" xr:uid="{00000000-0005-0000-0000-0000CE050000}"/>
    <cellStyle name="Magic 2 5 4" xfId="6115" xr:uid="{00000000-0005-0000-0000-0000CE050000}"/>
    <cellStyle name="Magic 2 5 4 2" xfId="12469" xr:uid="{00000000-0005-0000-0000-0000CE050000}"/>
    <cellStyle name="Magic 2 5 4 2 2" xfId="30909" xr:uid="{00000000-0005-0000-0000-0000CE050000}"/>
    <cellStyle name="Magic 2 5 4 2 3" xfId="49272" xr:uid="{00000000-0005-0000-0000-0000CE050000}"/>
    <cellStyle name="Magic 2 5 4 3" xfId="16788" xr:uid="{00000000-0005-0000-0000-0000CE050000}"/>
    <cellStyle name="Magic 2 5 4 3 2" xfId="35157" xr:uid="{00000000-0005-0000-0000-0000CE050000}"/>
    <cellStyle name="Magic 2 5 4 3 3" xfId="53520" xr:uid="{00000000-0005-0000-0000-0000CE050000}"/>
    <cellStyle name="Magic 2 5 4 4" xfId="25911" xr:uid="{00000000-0005-0000-0000-0000CE050000}"/>
    <cellStyle name="Magic 2 5 4 4 2" xfId="44280" xr:uid="{00000000-0005-0000-0000-0000CE050000}"/>
    <cellStyle name="Magic 2 5 4 5" xfId="22227" xr:uid="{00000000-0005-0000-0000-0000CE050000}"/>
    <cellStyle name="Magic 2 5 4 6" xfId="40604" xr:uid="{00000000-0005-0000-0000-0000CE050000}"/>
    <cellStyle name="Magic 2 5 5" xfId="9447" xr:uid="{00000000-0005-0000-0000-0000CE050000}"/>
    <cellStyle name="Magic 2 5 5 2" xfId="13504" xr:uid="{00000000-0005-0000-0000-0000CE050000}"/>
    <cellStyle name="Magic 2 5 5 2 2" xfId="31925" xr:uid="{00000000-0005-0000-0000-0000CE050000}"/>
    <cellStyle name="Magic 2 5 5 2 3" xfId="50288" xr:uid="{00000000-0005-0000-0000-0000CE050000}"/>
    <cellStyle name="Magic 2 5 5 3" xfId="28164" xr:uid="{00000000-0005-0000-0000-0000CE050000}"/>
    <cellStyle name="Magic 2 5 5 3 2" xfId="46527" xr:uid="{00000000-0005-0000-0000-0000CE050000}"/>
    <cellStyle name="Magic 2 5 5 4" xfId="18532" xr:uid="{00000000-0005-0000-0000-0000CE050000}"/>
    <cellStyle name="Magic 2 5 5 5" xfId="36941" xr:uid="{00000000-0005-0000-0000-0000CE050000}"/>
    <cellStyle name="Magic 2 5 6" xfId="8368" xr:uid="{00000000-0005-0000-0000-0000CE050000}"/>
    <cellStyle name="Magic 2 5 6 2" xfId="27435" xr:uid="{00000000-0005-0000-0000-0000CE050000}"/>
    <cellStyle name="Magic 2 5 6 3" xfId="45799" xr:uid="{00000000-0005-0000-0000-0000CE050000}"/>
    <cellStyle name="Magic 2 5 7" xfId="8479" xr:uid="{00000000-0005-0000-0000-0000CE050000}"/>
    <cellStyle name="Magic 2 5 7 2" xfId="27501" xr:uid="{00000000-0005-0000-0000-0000CE050000}"/>
    <cellStyle name="Magic 2 5 7 3" xfId="45865" xr:uid="{00000000-0005-0000-0000-0000CE050000}"/>
    <cellStyle name="Magic 2 5 8" xfId="18015" xr:uid="{00000000-0005-0000-0000-0000CE050000}"/>
    <cellStyle name="Magic 2 5 8 2" xfId="36423" xr:uid="{00000000-0005-0000-0000-0000CE050000}"/>
    <cellStyle name="Magic 2 5 9" xfId="7251" xr:uid="{00000000-0005-0000-0000-0000CE050000}"/>
    <cellStyle name="Magic 2 6" xfId="3349" xr:uid="{00000000-0005-0000-0000-0000C1050000}"/>
    <cellStyle name="Magic 2 6 2" xfId="5524" xr:uid="{00000000-0005-0000-0000-0000C1050000}"/>
    <cellStyle name="Magic 2 6 2 2" xfId="11888" xr:uid="{00000000-0005-0000-0000-0000C1050000}"/>
    <cellStyle name="Magic 2 6 2 2 2" xfId="30335" xr:uid="{00000000-0005-0000-0000-0000C1050000}"/>
    <cellStyle name="Magic 2 6 2 2 3" xfId="48698" xr:uid="{00000000-0005-0000-0000-0000C1050000}"/>
    <cellStyle name="Magic 2 6 2 3" xfId="16214" xr:uid="{00000000-0005-0000-0000-0000C1050000}"/>
    <cellStyle name="Magic 2 6 2 3 2" xfId="34586" xr:uid="{00000000-0005-0000-0000-0000C1050000}"/>
    <cellStyle name="Magic 2 6 2 3 3" xfId="52949" xr:uid="{00000000-0005-0000-0000-0000C1050000}"/>
    <cellStyle name="Magic 2 6 2 4" xfId="25333" xr:uid="{00000000-0005-0000-0000-0000C1050000}"/>
    <cellStyle name="Magic 2 6 2 4 2" xfId="43702" xr:uid="{00000000-0005-0000-0000-0000C1050000}"/>
    <cellStyle name="Magic 2 6 2 5" xfId="21654" xr:uid="{00000000-0005-0000-0000-0000C1050000}"/>
    <cellStyle name="Magic 2 6 2 6" xfId="40033" xr:uid="{00000000-0005-0000-0000-0000C1050000}"/>
    <cellStyle name="Magic 2 6 3" xfId="6348" xr:uid="{00000000-0005-0000-0000-0000C1050000}"/>
    <cellStyle name="Magic 2 6 3 2" xfId="12639" xr:uid="{00000000-0005-0000-0000-0000C1050000}"/>
    <cellStyle name="Magic 2 6 3 2 2" xfId="31065" xr:uid="{00000000-0005-0000-0000-0000C1050000}"/>
    <cellStyle name="Magic 2 6 3 2 3" xfId="49428" xr:uid="{00000000-0005-0000-0000-0000C1050000}"/>
    <cellStyle name="Magic 2 6 3 3" xfId="16950" xr:uid="{00000000-0005-0000-0000-0000C1050000}"/>
    <cellStyle name="Magic 2 6 3 3 2" xfId="35298" xr:uid="{00000000-0005-0000-0000-0000C1050000}"/>
    <cellStyle name="Magic 2 6 3 3 3" xfId="53661" xr:uid="{00000000-0005-0000-0000-0000C1050000}"/>
    <cellStyle name="Magic 2 6 3 4" xfId="26083" xr:uid="{00000000-0005-0000-0000-0000C1050000}"/>
    <cellStyle name="Magic 2 6 3 4 2" xfId="44452" xr:uid="{00000000-0005-0000-0000-0000C1050000}"/>
    <cellStyle name="Magic 2 6 3 5" xfId="22376" xr:uid="{00000000-0005-0000-0000-0000C1050000}"/>
    <cellStyle name="Magic 2 6 3 6" xfId="40745" xr:uid="{00000000-0005-0000-0000-0000C1050000}"/>
    <cellStyle name="Magic 2 6 4" xfId="10062" xr:uid="{00000000-0005-0000-0000-0000C1050000}"/>
    <cellStyle name="Magic 2 6 4 2" xfId="14119" xr:uid="{00000000-0005-0000-0000-0000C1050000}"/>
    <cellStyle name="Magic 2 6 4 2 2" xfId="32535" xr:uid="{00000000-0005-0000-0000-0000C1050000}"/>
    <cellStyle name="Magic 2 6 4 2 3" xfId="50898" xr:uid="{00000000-0005-0000-0000-0000C1050000}"/>
    <cellStyle name="Magic 2 6 4 3" xfId="28773" xr:uid="{00000000-0005-0000-0000-0000C1050000}"/>
    <cellStyle name="Magic 2 6 4 3 2" xfId="47136" xr:uid="{00000000-0005-0000-0000-0000C1050000}"/>
    <cellStyle name="Magic 2 6 4 4" xfId="19576" xr:uid="{00000000-0005-0000-0000-0000C1050000}"/>
    <cellStyle name="Magic 2 6 4 5" xfId="37982" xr:uid="{00000000-0005-0000-0000-0000C1050000}"/>
    <cellStyle name="Magic 2 6 5" xfId="9193" xr:uid="{00000000-0005-0000-0000-0000C1050000}"/>
    <cellStyle name="Magic 2 6 5 2" xfId="27914" xr:uid="{00000000-0005-0000-0000-0000C1050000}"/>
    <cellStyle name="Magic 2 6 5 3" xfId="46277" xr:uid="{00000000-0005-0000-0000-0000C1050000}"/>
    <cellStyle name="Magic 2 6 6" xfId="13251" xr:uid="{00000000-0005-0000-0000-0000C1050000}"/>
    <cellStyle name="Magic 2 6 6 2" xfId="31672" xr:uid="{00000000-0005-0000-0000-0000C1050000}"/>
    <cellStyle name="Magic 2 6 6 3" xfId="50035" xr:uid="{00000000-0005-0000-0000-0000C1050000}"/>
    <cellStyle name="Magic 2 6 7" xfId="23257" xr:uid="{00000000-0005-0000-0000-0000C1050000}"/>
    <cellStyle name="Magic 2 6 7 2" xfId="41626" xr:uid="{00000000-0005-0000-0000-0000C1050000}"/>
    <cellStyle name="Magic 2 6 8" xfId="18208" xr:uid="{00000000-0005-0000-0000-0000C1050000}"/>
    <cellStyle name="Magic 2 6 9" xfId="36614" xr:uid="{00000000-0005-0000-0000-0000C1050000}"/>
    <cellStyle name="Magic 2 7" xfId="4190" xr:uid="{00000000-0005-0000-0000-0000C1050000}"/>
    <cellStyle name="Magic 2 7 2" xfId="10840" xr:uid="{00000000-0005-0000-0000-0000C1050000}"/>
    <cellStyle name="Magic 2 7 2 2" xfId="29511" xr:uid="{00000000-0005-0000-0000-0000C1050000}"/>
    <cellStyle name="Magic 2 7 2 3" xfId="47874" xr:uid="{00000000-0005-0000-0000-0000C1050000}"/>
    <cellStyle name="Magic 2 7 3" xfId="14936" xr:uid="{00000000-0005-0000-0000-0000C1050000}"/>
    <cellStyle name="Magic 2 7 3 2" xfId="33340" xr:uid="{00000000-0005-0000-0000-0000C1050000}"/>
    <cellStyle name="Magic 2 7 3 3" xfId="51703" xr:uid="{00000000-0005-0000-0000-0000C1050000}"/>
    <cellStyle name="Magic 2 7 4" xfId="24069" xr:uid="{00000000-0005-0000-0000-0000C1050000}"/>
    <cellStyle name="Magic 2 7 4 2" xfId="42438" xr:uid="{00000000-0005-0000-0000-0000C1050000}"/>
    <cellStyle name="Magic 2 7 5" xfId="20389" xr:uid="{00000000-0005-0000-0000-0000C1050000}"/>
    <cellStyle name="Magic 2 7 6" xfId="38787" xr:uid="{00000000-0005-0000-0000-0000C1050000}"/>
    <cellStyle name="Magic 2 8" xfId="4210" xr:uid="{00000000-0005-0000-0000-0000C1050000}"/>
    <cellStyle name="Magic 2 8 2" xfId="10857" xr:uid="{00000000-0005-0000-0000-0000C1050000}"/>
    <cellStyle name="Magic 2 8 2 2" xfId="29528" xr:uid="{00000000-0005-0000-0000-0000C1050000}"/>
    <cellStyle name="Magic 2 8 2 3" xfId="47891" xr:uid="{00000000-0005-0000-0000-0000C1050000}"/>
    <cellStyle name="Magic 2 8 3" xfId="14955" xr:uid="{00000000-0005-0000-0000-0000C1050000}"/>
    <cellStyle name="Magic 2 8 3 2" xfId="33359" xr:uid="{00000000-0005-0000-0000-0000C1050000}"/>
    <cellStyle name="Magic 2 8 3 3" xfId="51722" xr:uid="{00000000-0005-0000-0000-0000C1050000}"/>
    <cellStyle name="Magic 2 8 4" xfId="24088" xr:uid="{00000000-0005-0000-0000-0000C1050000}"/>
    <cellStyle name="Magic 2 8 4 2" xfId="42457" xr:uid="{00000000-0005-0000-0000-0000C1050000}"/>
    <cellStyle name="Magic 2 8 5" xfId="20408" xr:uid="{00000000-0005-0000-0000-0000C1050000}"/>
    <cellStyle name="Magic 2 8 6" xfId="38806" xr:uid="{00000000-0005-0000-0000-0000C1050000}"/>
    <cellStyle name="Magic 2 9" xfId="7451" xr:uid="{00000000-0005-0000-0000-0000C1050000}"/>
    <cellStyle name="Magic 2 9 2" xfId="26830" xr:uid="{00000000-0005-0000-0000-0000C1050000}"/>
    <cellStyle name="Magic 2 9 3" xfId="45198" xr:uid="{00000000-0005-0000-0000-0000C1050000}"/>
    <cellStyle name="Magic 3" xfId="1851" xr:uid="{00000000-0005-0000-0000-0000CF050000}"/>
    <cellStyle name="Magic 3 10" xfId="19187" xr:uid="{00000000-0005-0000-0000-0000CF050000}"/>
    <cellStyle name="Magic 3 2" xfId="3706" xr:uid="{00000000-0005-0000-0000-0000CF050000}"/>
    <cellStyle name="Magic 3 2 2" xfId="5879" xr:uid="{00000000-0005-0000-0000-0000CF050000}"/>
    <cellStyle name="Magic 3 2 2 2" xfId="12243" xr:uid="{00000000-0005-0000-0000-0000CF050000}"/>
    <cellStyle name="Magic 3 2 2 2 2" xfId="30690" xr:uid="{00000000-0005-0000-0000-0000CF050000}"/>
    <cellStyle name="Magic 3 2 2 2 3" xfId="49053" xr:uid="{00000000-0005-0000-0000-0000CF050000}"/>
    <cellStyle name="Magic 3 2 2 3" xfId="16569" xr:uid="{00000000-0005-0000-0000-0000CF050000}"/>
    <cellStyle name="Magic 3 2 2 3 2" xfId="34941" xr:uid="{00000000-0005-0000-0000-0000CF050000}"/>
    <cellStyle name="Magic 3 2 2 3 3" xfId="53304" xr:uid="{00000000-0005-0000-0000-0000CF050000}"/>
    <cellStyle name="Magic 3 2 2 4" xfId="25688" xr:uid="{00000000-0005-0000-0000-0000CF050000}"/>
    <cellStyle name="Magic 3 2 2 4 2" xfId="44057" xr:uid="{00000000-0005-0000-0000-0000CF050000}"/>
    <cellStyle name="Magic 3 2 2 5" xfId="22009" xr:uid="{00000000-0005-0000-0000-0000CF050000}"/>
    <cellStyle name="Magic 3 2 2 6" xfId="40388" xr:uid="{00000000-0005-0000-0000-0000CF050000}"/>
    <cellStyle name="Magic 3 2 3" xfId="6705" xr:uid="{00000000-0005-0000-0000-0000CF050000}"/>
    <cellStyle name="Magic 3 2 3 2" xfId="12996" xr:uid="{00000000-0005-0000-0000-0000CF050000}"/>
    <cellStyle name="Magic 3 2 3 2 2" xfId="31422" xr:uid="{00000000-0005-0000-0000-0000CF050000}"/>
    <cellStyle name="Magic 3 2 3 2 3" xfId="49785" xr:uid="{00000000-0005-0000-0000-0000CF050000}"/>
    <cellStyle name="Magic 3 2 3 3" xfId="17307" xr:uid="{00000000-0005-0000-0000-0000CF050000}"/>
    <cellStyle name="Magic 3 2 3 3 2" xfId="35655" xr:uid="{00000000-0005-0000-0000-0000CF050000}"/>
    <cellStyle name="Magic 3 2 3 3 3" xfId="54018" xr:uid="{00000000-0005-0000-0000-0000CF050000}"/>
    <cellStyle name="Magic 3 2 3 4" xfId="26440" xr:uid="{00000000-0005-0000-0000-0000CF050000}"/>
    <cellStyle name="Magic 3 2 3 4 2" xfId="44809" xr:uid="{00000000-0005-0000-0000-0000CF050000}"/>
    <cellStyle name="Magic 3 2 3 5" xfId="22733" xr:uid="{00000000-0005-0000-0000-0000CF050000}"/>
    <cellStyle name="Magic 3 2 3 6" xfId="41102" xr:uid="{00000000-0005-0000-0000-0000CF050000}"/>
    <cellStyle name="Magic 3 2 4" xfId="10419" xr:uid="{00000000-0005-0000-0000-0000CF050000}"/>
    <cellStyle name="Magic 3 2 4 2" xfId="14476" xr:uid="{00000000-0005-0000-0000-0000CF050000}"/>
    <cellStyle name="Magic 3 2 4 2 2" xfId="32892" xr:uid="{00000000-0005-0000-0000-0000CF050000}"/>
    <cellStyle name="Magic 3 2 4 2 3" xfId="51255" xr:uid="{00000000-0005-0000-0000-0000CF050000}"/>
    <cellStyle name="Magic 3 2 4 3" xfId="29130" xr:uid="{00000000-0005-0000-0000-0000CF050000}"/>
    <cellStyle name="Magic 3 2 4 3 2" xfId="47493" xr:uid="{00000000-0005-0000-0000-0000CF050000}"/>
    <cellStyle name="Magic 3 2 4 4" xfId="19933" xr:uid="{00000000-0005-0000-0000-0000CF050000}"/>
    <cellStyle name="Magic 3 2 4 5" xfId="38339" xr:uid="{00000000-0005-0000-0000-0000CF050000}"/>
    <cellStyle name="Magic 3 2 5" xfId="9631" xr:uid="{00000000-0005-0000-0000-0000CF050000}"/>
    <cellStyle name="Magic 3 2 5 2" xfId="28347" xr:uid="{00000000-0005-0000-0000-0000CF050000}"/>
    <cellStyle name="Magic 3 2 5 3" xfId="46710" xr:uid="{00000000-0005-0000-0000-0000CF050000}"/>
    <cellStyle name="Magic 3 2 6" xfId="13688" xr:uid="{00000000-0005-0000-0000-0000CF050000}"/>
    <cellStyle name="Magic 3 2 6 2" xfId="32109" xr:uid="{00000000-0005-0000-0000-0000CF050000}"/>
    <cellStyle name="Magic 3 2 6 3" xfId="50472" xr:uid="{00000000-0005-0000-0000-0000CF050000}"/>
    <cellStyle name="Magic 3 2 7" xfId="23614" xr:uid="{00000000-0005-0000-0000-0000CF050000}"/>
    <cellStyle name="Magic 3 2 7 2" xfId="41983" xr:uid="{00000000-0005-0000-0000-0000CF050000}"/>
    <cellStyle name="Magic 3 2 8" xfId="18744" xr:uid="{00000000-0005-0000-0000-0000CF050000}"/>
    <cellStyle name="Magic 3 2 9" xfId="37153" xr:uid="{00000000-0005-0000-0000-0000CF050000}"/>
    <cellStyle name="Magic 3 3" xfId="4776" xr:uid="{00000000-0005-0000-0000-0000CF050000}"/>
    <cellStyle name="Magic 3 3 2" xfId="11349" xr:uid="{00000000-0005-0000-0000-0000CF050000}"/>
    <cellStyle name="Magic 3 3 2 2" xfId="29946" xr:uid="{00000000-0005-0000-0000-0000CF050000}"/>
    <cellStyle name="Magic 3 3 2 3" xfId="48309" xr:uid="{00000000-0005-0000-0000-0000CF050000}"/>
    <cellStyle name="Magic 3 3 3" xfId="15502" xr:uid="{00000000-0005-0000-0000-0000CF050000}"/>
    <cellStyle name="Magic 3 3 3 2" xfId="33895" xr:uid="{00000000-0005-0000-0000-0000CF050000}"/>
    <cellStyle name="Magic 3 3 3 3" xfId="52258" xr:uid="{00000000-0005-0000-0000-0000CF050000}"/>
    <cellStyle name="Magic 3 3 4" xfId="24626" xr:uid="{00000000-0005-0000-0000-0000CF050000}"/>
    <cellStyle name="Magic 3 3 4 2" xfId="42995" xr:uid="{00000000-0005-0000-0000-0000CF050000}"/>
    <cellStyle name="Magic 3 3 5" xfId="20953" xr:uid="{00000000-0005-0000-0000-0000CF050000}"/>
    <cellStyle name="Magic 3 3 6" xfId="39342" xr:uid="{00000000-0005-0000-0000-0000CF050000}"/>
    <cellStyle name="Magic 3 4" xfId="4153" xr:uid="{00000000-0005-0000-0000-0000CF050000}"/>
    <cellStyle name="Magic 3 4 2" xfId="10812" xr:uid="{00000000-0005-0000-0000-0000CF050000}"/>
    <cellStyle name="Magic 3 4 2 2" xfId="29484" xr:uid="{00000000-0005-0000-0000-0000CF050000}"/>
    <cellStyle name="Magic 3 4 2 3" xfId="47847" xr:uid="{00000000-0005-0000-0000-0000CF050000}"/>
    <cellStyle name="Magic 3 4 3" xfId="14906" xr:uid="{00000000-0005-0000-0000-0000CF050000}"/>
    <cellStyle name="Magic 3 4 3 2" xfId="33311" xr:uid="{00000000-0005-0000-0000-0000CF050000}"/>
    <cellStyle name="Magic 3 4 3 3" xfId="51674" xr:uid="{00000000-0005-0000-0000-0000CF050000}"/>
    <cellStyle name="Magic 3 4 4" xfId="24036" xr:uid="{00000000-0005-0000-0000-0000CF050000}"/>
    <cellStyle name="Magic 3 4 4 2" xfId="42405" xr:uid="{00000000-0005-0000-0000-0000CF050000}"/>
    <cellStyle name="Magic 3 4 5" xfId="20360" xr:uid="{00000000-0005-0000-0000-0000CF050000}"/>
    <cellStyle name="Magic 3 4 6" xfId="38758" xr:uid="{00000000-0005-0000-0000-0000CF050000}"/>
    <cellStyle name="Magic 3 5" xfId="9052" xr:uid="{00000000-0005-0000-0000-0000CF050000}"/>
    <cellStyle name="Magic 3 5 2" xfId="6907" xr:uid="{00000000-0005-0000-0000-0000CF050000}"/>
    <cellStyle name="Magic 3 5 2 2" xfId="26642" xr:uid="{00000000-0005-0000-0000-0000CF050000}"/>
    <cellStyle name="Magic 3 5 2 3" xfId="45011" xr:uid="{00000000-0005-0000-0000-0000CF050000}"/>
    <cellStyle name="Magic 3 5 3" xfId="27778" xr:uid="{00000000-0005-0000-0000-0000CF050000}"/>
    <cellStyle name="Magic 3 5 3 2" xfId="46141" xr:uid="{00000000-0005-0000-0000-0000CF050000}"/>
    <cellStyle name="Magic 3 5 4" xfId="17949" xr:uid="{00000000-0005-0000-0000-0000CF050000}"/>
    <cellStyle name="Magic 3 5 5" xfId="36357" xr:uid="{00000000-0005-0000-0000-0000CF050000}"/>
    <cellStyle name="Magic 3 6" xfId="8065" xr:uid="{00000000-0005-0000-0000-0000CF050000}"/>
    <cellStyle name="Magic 3 6 2" xfId="27278" xr:uid="{00000000-0005-0000-0000-0000CF050000}"/>
    <cellStyle name="Magic 3 6 3" xfId="45643" xr:uid="{00000000-0005-0000-0000-0000CF050000}"/>
    <cellStyle name="Magic 3 7" xfId="8702" xr:uid="{00000000-0005-0000-0000-0000CF050000}"/>
    <cellStyle name="Magic 3 7 2" xfId="27592" xr:uid="{00000000-0005-0000-0000-0000CF050000}"/>
    <cellStyle name="Magic 3 7 3" xfId="45955" xr:uid="{00000000-0005-0000-0000-0000CF050000}"/>
    <cellStyle name="Magic 3 8" xfId="19362" xr:uid="{00000000-0005-0000-0000-0000CF050000}"/>
    <cellStyle name="Magic 3 8 2" xfId="37769" xr:uid="{00000000-0005-0000-0000-0000CF050000}"/>
    <cellStyle name="Magic 3 9" xfId="11534" xr:uid="{00000000-0005-0000-0000-0000CF050000}"/>
    <cellStyle name="Magic 4" xfId="3000" xr:uid="{00000000-0005-0000-0000-0000D0050000}"/>
    <cellStyle name="Magic 4 10" xfId="36015" xr:uid="{00000000-0005-0000-0000-0000D0050000}"/>
    <cellStyle name="Magic 4 2" xfId="3836" xr:uid="{00000000-0005-0000-0000-0000D0050000}"/>
    <cellStyle name="Magic 4 2 2" xfId="6009" xr:uid="{00000000-0005-0000-0000-0000D0050000}"/>
    <cellStyle name="Magic 4 2 2 2" xfId="12373" xr:uid="{00000000-0005-0000-0000-0000D0050000}"/>
    <cellStyle name="Magic 4 2 2 2 2" xfId="30820" xr:uid="{00000000-0005-0000-0000-0000D0050000}"/>
    <cellStyle name="Magic 4 2 2 2 3" xfId="49183" xr:uid="{00000000-0005-0000-0000-0000D0050000}"/>
    <cellStyle name="Magic 4 2 2 3" xfId="16699" xr:uid="{00000000-0005-0000-0000-0000D0050000}"/>
    <cellStyle name="Magic 4 2 2 3 2" xfId="35071" xr:uid="{00000000-0005-0000-0000-0000D0050000}"/>
    <cellStyle name="Magic 4 2 2 3 3" xfId="53434" xr:uid="{00000000-0005-0000-0000-0000D0050000}"/>
    <cellStyle name="Magic 4 2 2 4" xfId="25818" xr:uid="{00000000-0005-0000-0000-0000D0050000}"/>
    <cellStyle name="Magic 4 2 2 4 2" xfId="44187" xr:uid="{00000000-0005-0000-0000-0000D0050000}"/>
    <cellStyle name="Magic 4 2 2 5" xfId="22139" xr:uid="{00000000-0005-0000-0000-0000D0050000}"/>
    <cellStyle name="Magic 4 2 2 6" xfId="40518" xr:uid="{00000000-0005-0000-0000-0000D0050000}"/>
    <cellStyle name="Magic 4 2 3" xfId="6835" xr:uid="{00000000-0005-0000-0000-0000D0050000}"/>
    <cellStyle name="Magic 4 2 3 2" xfId="13126" xr:uid="{00000000-0005-0000-0000-0000D0050000}"/>
    <cellStyle name="Magic 4 2 3 2 2" xfId="31552" xr:uid="{00000000-0005-0000-0000-0000D0050000}"/>
    <cellStyle name="Magic 4 2 3 2 3" xfId="49915" xr:uid="{00000000-0005-0000-0000-0000D0050000}"/>
    <cellStyle name="Magic 4 2 3 3" xfId="17437" xr:uid="{00000000-0005-0000-0000-0000D0050000}"/>
    <cellStyle name="Magic 4 2 3 3 2" xfId="35785" xr:uid="{00000000-0005-0000-0000-0000D0050000}"/>
    <cellStyle name="Magic 4 2 3 3 3" xfId="54148" xr:uid="{00000000-0005-0000-0000-0000D0050000}"/>
    <cellStyle name="Magic 4 2 3 4" xfId="26570" xr:uid="{00000000-0005-0000-0000-0000D0050000}"/>
    <cellStyle name="Magic 4 2 3 4 2" xfId="44939" xr:uid="{00000000-0005-0000-0000-0000D0050000}"/>
    <cellStyle name="Magic 4 2 3 5" xfId="22863" xr:uid="{00000000-0005-0000-0000-0000D0050000}"/>
    <cellStyle name="Magic 4 2 3 6" xfId="41232" xr:uid="{00000000-0005-0000-0000-0000D0050000}"/>
    <cellStyle name="Magic 4 2 4" xfId="10549" xr:uid="{00000000-0005-0000-0000-0000D0050000}"/>
    <cellStyle name="Magic 4 2 4 2" xfId="14606" xr:uid="{00000000-0005-0000-0000-0000D0050000}"/>
    <cellStyle name="Magic 4 2 4 2 2" xfId="33022" xr:uid="{00000000-0005-0000-0000-0000D0050000}"/>
    <cellStyle name="Magic 4 2 4 2 3" xfId="51385" xr:uid="{00000000-0005-0000-0000-0000D0050000}"/>
    <cellStyle name="Magic 4 2 4 3" xfId="29260" xr:uid="{00000000-0005-0000-0000-0000D0050000}"/>
    <cellStyle name="Magic 4 2 4 3 2" xfId="47623" xr:uid="{00000000-0005-0000-0000-0000D0050000}"/>
    <cellStyle name="Magic 4 2 4 4" xfId="20063" xr:uid="{00000000-0005-0000-0000-0000D0050000}"/>
    <cellStyle name="Magic 4 2 4 5" xfId="38469" xr:uid="{00000000-0005-0000-0000-0000D0050000}"/>
    <cellStyle name="Magic 4 2 5" xfId="9913" xr:uid="{00000000-0005-0000-0000-0000D0050000}"/>
    <cellStyle name="Magic 4 2 5 2" xfId="28625" xr:uid="{00000000-0005-0000-0000-0000D0050000}"/>
    <cellStyle name="Magic 4 2 5 3" xfId="46988" xr:uid="{00000000-0005-0000-0000-0000D0050000}"/>
    <cellStyle name="Magic 4 2 6" xfId="13970" xr:uid="{00000000-0005-0000-0000-0000D0050000}"/>
    <cellStyle name="Magic 4 2 6 2" xfId="32387" xr:uid="{00000000-0005-0000-0000-0000D0050000}"/>
    <cellStyle name="Magic 4 2 6 3" xfId="50750" xr:uid="{00000000-0005-0000-0000-0000D0050000}"/>
    <cellStyle name="Magic 4 2 7" xfId="23744" xr:uid="{00000000-0005-0000-0000-0000D0050000}"/>
    <cellStyle name="Magic 4 2 7 2" xfId="42113" xr:uid="{00000000-0005-0000-0000-0000D0050000}"/>
    <cellStyle name="Magic 4 2 8" xfId="19216" xr:uid="{00000000-0005-0000-0000-0000D0050000}"/>
    <cellStyle name="Magic 4 2 9" xfId="37623" xr:uid="{00000000-0005-0000-0000-0000D0050000}"/>
    <cellStyle name="Magic 4 3" xfId="5258" xr:uid="{00000000-0005-0000-0000-0000D0050000}"/>
    <cellStyle name="Magic 4 3 2" xfId="11718" xr:uid="{00000000-0005-0000-0000-0000D0050000}"/>
    <cellStyle name="Magic 4 3 2 2" xfId="30228" xr:uid="{00000000-0005-0000-0000-0000D0050000}"/>
    <cellStyle name="Magic 4 3 2 3" xfId="48591" xr:uid="{00000000-0005-0000-0000-0000D0050000}"/>
    <cellStyle name="Magic 4 3 3" xfId="15950" xr:uid="{00000000-0005-0000-0000-0000D0050000}"/>
    <cellStyle name="Magic 4 3 3 2" xfId="34324" xr:uid="{00000000-0005-0000-0000-0000D0050000}"/>
    <cellStyle name="Magic 4 3 3 3" xfId="52687" xr:uid="{00000000-0005-0000-0000-0000D0050000}"/>
    <cellStyle name="Magic 4 3 4" xfId="25071" xr:uid="{00000000-0005-0000-0000-0000D0050000}"/>
    <cellStyle name="Magic 4 3 4 2" xfId="43440" xr:uid="{00000000-0005-0000-0000-0000D0050000}"/>
    <cellStyle name="Magic 4 3 5" xfId="21392" xr:uid="{00000000-0005-0000-0000-0000D0050000}"/>
    <cellStyle name="Magic 4 3 6" xfId="39771" xr:uid="{00000000-0005-0000-0000-0000D0050000}"/>
    <cellStyle name="Magic 4 4" xfId="6230" xr:uid="{00000000-0005-0000-0000-0000D0050000}"/>
    <cellStyle name="Magic 4 4 2" xfId="12545" xr:uid="{00000000-0005-0000-0000-0000D0050000}"/>
    <cellStyle name="Magic 4 4 2 2" xfId="30977" xr:uid="{00000000-0005-0000-0000-0000D0050000}"/>
    <cellStyle name="Magic 4 4 2 3" xfId="49340" xr:uid="{00000000-0005-0000-0000-0000D0050000}"/>
    <cellStyle name="Magic 4 4 3" xfId="16863" xr:uid="{00000000-0005-0000-0000-0000D0050000}"/>
    <cellStyle name="Magic 4 4 3 2" xfId="35220" xr:uid="{00000000-0005-0000-0000-0000D0050000}"/>
    <cellStyle name="Magic 4 4 3 3" xfId="53583" xr:uid="{00000000-0005-0000-0000-0000D0050000}"/>
    <cellStyle name="Magic 4 4 4" xfId="25995" xr:uid="{00000000-0005-0000-0000-0000D0050000}"/>
    <cellStyle name="Magic 4 4 4 2" xfId="44364" xr:uid="{00000000-0005-0000-0000-0000D0050000}"/>
    <cellStyle name="Magic 4 4 5" xfId="22294" xr:uid="{00000000-0005-0000-0000-0000D0050000}"/>
    <cellStyle name="Magic 4 4 6" xfId="40667" xr:uid="{00000000-0005-0000-0000-0000D0050000}"/>
    <cellStyle name="Magic 4 5" xfId="10036" xr:uid="{00000000-0005-0000-0000-0000D0050000}"/>
    <cellStyle name="Magic 4 5 2" xfId="14093" xr:uid="{00000000-0005-0000-0000-0000D0050000}"/>
    <cellStyle name="Magic 4 5 2 2" xfId="32509" xr:uid="{00000000-0005-0000-0000-0000D0050000}"/>
    <cellStyle name="Magic 4 5 2 3" xfId="50872" xr:uid="{00000000-0005-0000-0000-0000D0050000}"/>
    <cellStyle name="Magic 4 5 3" xfId="28747" xr:uid="{00000000-0005-0000-0000-0000D0050000}"/>
    <cellStyle name="Magic 4 5 3 2" xfId="47110" xr:uid="{00000000-0005-0000-0000-0000D0050000}"/>
    <cellStyle name="Magic 4 5 4" xfId="19480" xr:uid="{00000000-0005-0000-0000-0000D0050000}"/>
    <cellStyle name="Magic 4 5 5" xfId="37886" xr:uid="{00000000-0005-0000-0000-0000D0050000}"/>
    <cellStyle name="Magic 4 6" xfId="8795" xr:uid="{00000000-0005-0000-0000-0000D0050000}"/>
    <cellStyle name="Magic 4 6 2" xfId="27635" xr:uid="{00000000-0005-0000-0000-0000D0050000}"/>
    <cellStyle name="Magic 4 6 3" xfId="45998" xr:uid="{00000000-0005-0000-0000-0000D0050000}"/>
    <cellStyle name="Magic 4 7" xfId="11850" xr:uid="{00000000-0005-0000-0000-0000D0050000}"/>
    <cellStyle name="Magic 4 7 2" xfId="30299" xr:uid="{00000000-0005-0000-0000-0000D0050000}"/>
    <cellStyle name="Magic 4 7 3" xfId="48662" xr:uid="{00000000-0005-0000-0000-0000D0050000}"/>
    <cellStyle name="Magic 4 8" xfId="23013" xr:uid="{00000000-0005-0000-0000-0000D0050000}"/>
    <cellStyle name="Magic 4 8 2" xfId="41382" xr:uid="{00000000-0005-0000-0000-0000D0050000}"/>
    <cellStyle name="Magic 4 9" xfId="17572" xr:uid="{00000000-0005-0000-0000-0000D0050000}"/>
    <cellStyle name="Magic 5" xfId="3166" xr:uid="{00000000-0005-0000-0000-0000D1050000}"/>
    <cellStyle name="Magic 5 2" xfId="3860" xr:uid="{00000000-0005-0000-0000-0000D1050000}"/>
    <cellStyle name="Magic 5 2 2" xfId="6033" xr:uid="{00000000-0005-0000-0000-0000D1050000}"/>
    <cellStyle name="Magic 5 2 2 2" xfId="12397" xr:uid="{00000000-0005-0000-0000-0000D1050000}"/>
    <cellStyle name="Magic 5 2 2 2 2" xfId="30844" xr:uid="{00000000-0005-0000-0000-0000D1050000}"/>
    <cellStyle name="Magic 5 2 2 2 3" xfId="49207" xr:uid="{00000000-0005-0000-0000-0000D1050000}"/>
    <cellStyle name="Magic 5 2 2 3" xfId="16723" xr:uid="{00000000-0005-0000-0000-0000D1050000}"/>
    <cellStyle name="Magic 5 2 2 3 2" xfId="35095" xr:uid="{00000000-0005-0000-0000-0000D1050000}"/>
    <cellStyle name="Magic 5 2 2 3 3" xfId="53458" xr:uid="{00000000-0005-0000-0000-0000D1050000}"/>
    <cellStyle name="Magic 5 2 2 4" xfId="25842" xr:uid="{00000000-0005-0000-0000-0000D1050000}"/>
    <cellStyle name="Magic 5 2 2 4 2" xfId="44211" xr:uid="{00000000-0005-0000-0000-0000D1050000}"/>
    <cellStyle name="Magic 5 2 2 5" xfId="22163" xr:uid="{00000000-0005-0000-0000-0000D1050000}"/>
    <cellStyle name="Magic 5 2 2 6" xfId="40542" xr:uid="{00000000-0005-0000-0000-0000D1050000}"/>
    <cellStyle name="Magic 5 2 3" xfId="6859" xr:uid="{00000000-0005-0000-0000-0000D1050000}"/>
    <cellStyle name="Magic 5 2 3 2" xfId="13150" xr:uid="{00000000-0005-0000-0000-0000D1050000}"/>
    <cellStyle name="Magic 5 2 3 2 2" xfId="31576" xr:uid="{00000000-0005-0000-0000-0000D1050000}"/>
    <cellStyle name="Magic 5 2 3 2 3" xfId="49939" xr:uid="{00000000-0005-0000-0000-0000D1050000}"/>
    <cellStyle name="Magic 5 2 3 3" xfId="17461" xr:uid="{00000000-0005-0000-0000-0000D1050000}"/>
    <cellStyle name="Magic 5 2 3 3 2" xfId="35809" xr:uid="{00000000-0005-0000-0000-0000D1050000}"/>
    <cellStyle name="Magic 5 2 3 3 3" xfId="54172" xr:uid="{00000000-0005-0000-0000-0000D1050000}"/>
    <cellStyle name="Magic 5 2 3 4" xfId="26594" xr:uid="{00000000-0005-0000-0000-0000D1050000}"/>
    <cellStyle name="Magic 5 2 3 4 2" xfId="44963" xr:uid="{00000000-0005-0000-0000-0000D1050000}"/>
    <cellStyle name="Magic 5 2 3 5" xfId="22887" xr:uid="{00000000-0005-0000-0000-0000D1050000}"/>
    <cellStyle name="Magic 5 2 3 6" xfId="41256" xr:uid="{00000000-0005-0000-0000-0000D1050000}"/>
    <cellStyle name="Magic 5 2 4" xfId="10573" xr:uid="{00000000-0005-0000-0000-0000D1050000}"/>
    <cellStyle name="Magic 5 2 4 2" xfId="14630" xr:uid="{00000000-0005-0000-0000-0000D1050000}"/>
    <cellStyle name="Magic 5 2 4 2 2" xfId="33046" xr:uid="{00000000-0005-0000-0000-0000D1050000}"/>
    <cellStyle name="Magic 5 2 4 2 3" xfId="51409" xr:uid="{00000000-0005-0000-0000-0000D1050000}"/>
    <cellStyle name="Magic 5 2 4 3" xfId="29284" xr:uid="{00000000-0005-0000-0000-0000D1050000}"/>
    <cellStyle name="Magic 5 2 4 3 2" xfId="47647" xr:uid="{00000000-0005-0000-0000-0000D1050000}"/>
    <cellStyle name="Magic 5 2 4 4" xfId="20087" xr:uid="{00000000-0005-0000-0000-0000D1050000}"/>
    <cellStyle name="Magic 5 2 4 5" xfId="38493" xr:uid="{00000000-0005-0000-0000-0000D1050000}"/>
    <cellStyle name="Magic 5 2 5" xfId="9960" xr:uid="{00000000-0005-0000-0000-0000D1050000}"/>
    <cellStyle name="Magic 5 2 5 2" xfId="28672" xr:uid="{00000000-0005-0000-0000-0000D1050000}"/>
    <cellStyle name="Magic 5 2 5 3" xfId="47035" xr:uid="{00000000-0005-0000-0000-0000D1050000}"/>
    <cellStyle name="Magic 5 2 6" xfId="14017" xr:uid="{00000000-0005-0000-0000-0000D1050000}"/>
    <cellStyle name="Magic 5 2 6 2" xfId="32434" xr:uid="{00000000-0005-0000-0000-0000D1050000}"/>
    <cellStyle name="Magic 5 2 6 3" xfId="50797" xr:uid="{00000000-0005-0000-0000-0000D1050000}"/>
    <cellStyle name="Magic 5 2 7" xfId="23768" xr:uid="{00000000-0005-0000-0000-0000D1050000}"/>
    <cellStyle name="Magic 5 2 7 2" xfId="42137" xr:uid="{00000000-0005-0000-0000-0000D1050000}"/>
    <cellStyle name="Magic 5 2 8" xfId="19297" xr:uid="{00000000-0005-0000-0000-0000D1050000}"/>
    <cellStyle name="Magic 5 2 9" xfId="37704" xr:uid="{00000000-0005-0000-0000-0000D1050000}"/>
    <cellStyle name="Magic 5 3" xfId="5381" xr:uid="{00000000-0005-0000-0000-0000D1050000}"/>
    <cellStyle name="Magic 5 3 2" xfId="11798" xr:uid="{00000000-0005-0000-0000-0000D1050000}"/>
    <cellStyle name="Magic 5 3 2 2" xfId="30271" xr:uid="{00000000-0005-0000-0000-0000D1050000}"/>
    <cellStyle name="Magic 5 3 2 3" xfId="48634" xr:uid="{00000000-0005-0000-0000-0000D1050000}"/>
    <cellStyle name="Magic 5 3 3" xfId="16073" xr:uid="{00000000-0005-0000-0000-0000D1050000}"/>
    <cellStyle name="Magic 5 3 3 2" xfId="34445" xr:uid="{00000000-0005-0000-0000-0000D1050000}"/>
    <cellStyle name="Magic 5 3 3 3" xfId="52808" xr:uid="{00000000-0005-0000-0000-0000D1050000}"/>
    <cellStyle name="Magic 5 3 4" xfId="25192" xr:uid="{00000000-0005-0000-0000-0000D1050000}"/>
    <cellStyle name="Magic 5 3 4 2" xfId="43561" xr:uid="{00000000-0005-0000-0000-0000D1050000}"/>
    <cellStyle name="Magic 5 3 5" xfId="21513" xr:uid="{00000000-0005-0000-0000-0000D1050000}"/>
    <cellStyle name="Magic 5 3 6" xfId="39892" xr:uid="{00000000-0005-0000-0000-0000D1050000}"/>
    <cellStyle name="Magic 5 4" xfId="6274" xr:uid="{00000000-0005-0000-0000-0000D1050000}"/>
    <cellStyle name="Magic 5 4 2" xfId="12576" xr:uid="{00000000-0005-0000-0000-0000D1050000}"/>
    <cellStyle name="Magic 5 4 2 2" xfId="31005" xr:uid="{00000000-0005-0000-0000-0000D1050000}"/>
    <cellStyle name="Magic 5 4 2 3" xfId="49368" xr:uid="{00000000-0005-0000-0000-0000D1050000}"/>
    <cellStyle name="Magic 5 4 3" xfId="16889" xr:uid="{00000000-0005-0000-0000-0000D1050000}"/>
    <cellStyle name="Magic 5 4 3 2" xfId="35244" xr:uid="{00000000-0005-0000-0000-0000D1050000}"/>
    <cellStyle name="Magic 5 4 3 3" xfId="53607" xr:uid="{00000000-0005-0000-0000-0000D1050000}"/>
    <cellStyle name="Magic 5 4 4" xfId="26024" xr:uid="{00000000-0005-0000-0000-0000D1050000}"/>
    <cellStyle name="Magic 5 4 4 2" xfId="44393" xr:uid="{00000000-0005-0000-0000-0000D1050000}"/>
    <cellStyle name="Magic 5 4 5" xfId="22321" xr:uid="{00000000-0005-0000-0000-0000D1050000}"/>
    <cellStyle name="Magic 5 4 6" xfId="40691" xr:uid="{00000000-0005-0000-0000-0000D1050000}"/>
    <cellStyle name="Magic 5 5" xfId="8907" xr:uid="{00000000-0005-0000-0000-0000D1050000}"/>
    <cellStyle name="Magic 5 5 2" xfId="27683" xr:uid="{00000000-0005-0000-0000-0000D1050000}"/>
    <cellStyle name="Magic 5 5 3" xfId="46046" xr:uid="{00000000-0005-0000-0000-0000D1050000}"/>
    <cellStyle name="Magic 5 6" xfId="4917" xr:uid="{00000000-0005-0000-0000-0000D1050000}"/>
    <cellStyle name="Magic 5 6 2" xfId="24760" xr:uid="{00000000-0005-0000-0000-0000D1050000}"/>
    <cellStyle name="Magic 5 6 3" xfId="43129" xr:uid="{00000000-0005-0000-0000-0000D1050000}"/>
    <cellStyle name="Magic 5 7" xfId="23121" xr:uid="{00000000-0005-0000-0000-0000D1050000}"/>
    <cellStyle name="Magic 5 7 2" xfId="41490" xr:uid="{00000000-0005-0000-0000-0000D1050000}"/>
    <cellStyle name="Magic 5 8" xfId="17700" xr:uid="{00000000-0005-0000-0000-0000D1050000}"/>
    <cellStyle name="Magic 5 9" xfId="36123" xr:uid="{00000000-0005-0000-0000-0000D1050000}"/>
    <cellStyle name="Magic 6" xfId="3263" xr:uid="{00000000-0005-0000-0000-0000D2050000}"/>
    <cellStyle name="Magic 6 2" xfId="3876" xr:uid="{00000000-0005-0000-0000-0000D2050000}"/>
    <cellStyle name="Magic 6 2 2" xfId="6049" xr:uid="{00000000-0005-0000-0000-0000D2050000}"/>
    <cellStyle name="Magic 6 2 2 2" xfId="12413" xr:uid="{00000000-0005-0000-0000-0000D2050000}"/>
    <cellStyle name="Magic 6 2 2 2 2" xfId="30860" xr:uid="{00000000-0005-0000-0000-0000D2050000}"/>
    <cellStyle name="Magic 6 2 2 2 3" xfId="49223" xr:uid="{00000000-0005-0000-0000-0000D2050000}"/>
    <cellStyle name="Magic 6 2 2 3" xfId="16739" xr:uid="{00000000-0005-0000-0000-0000D2050000}"/>
    <cellStyle name="Magic 6 2 2 3 2" xfId="35111" xr:uid="{00000000-0005-0000-0000-0000D2050000}"/>
    <cellStyle name="Magic 6 2 2 3 3" xfId="53474" xr:uid="{00000000-0005-0000-0000-0000D2050000}"/>
    <cellStyle name="Magic 6 2 2 4" xfId="25858" xr:uid="{00000000-0005-0000-0000-0000D2050000}"/>
    <cellStyle name="Magic 6 2 2 4 2" xfId="44227" xr:uid="{00000000-0005-0000-0000-0000D2050000}"/>
    <cellStyle name="Magic 6 2 2 5" xfId="22179" xr:uid="{00000000-0005-0000-0000-0000D2050000}"/>
    <cellStyle name="Magic 6 2 2 6" xfId="40558" xr:uid="{00000000-0005-0000-0000-0000D2050000}"/>
    <cellStyle name="Magic 6 2 3" xfId="6875" xr:uid="{00000000-0005-0000-0000-0000D2050000}"/>
    <cellStyle name="Magic 6 2 3 2" xfId="13166" xr:uid="{00000000-0005-0000-0000-0000D2050000}"/>
    <cellStyle name="Magic 6 2 3 2 2" xfId="31592" xr:uid="{00000000-0005-0000-0000-0000D2050000}"/>
    <cellStyle name="Magic 6 2 3 2 3" xfId="49955" xr:uid="{00000000-0005-0000-0000-0000D2050000}"/>
    <cellStyle name="Magic 6 2 3 3" xfId="17477" xr:uid="{00000000-0005-0000-0000-0000D2050000}"/>
    <cellStyle name="Magic 6 2 3 3 2" xfId="35825" xr:uid="{00000000-0005-0000-0000-0000D2050000}"/>
    <cellStyle name="Magic 6 2 3 3 3" xfId="54188" xr:uid="{00000000-0005-0000-0000-0000D2050000}"/>
    <cellStyle name="Magic 6 2 3 4" xfId="26610" xr:uid="{00000000-0005-0000-0000-0000D2050000}"/>
    <cellStyle name="Magic 6 2 3 4 2" xfId="44979" xr:uid="{00000000-0005-0000-0000-0000D2050000}"/>
    <cellStyle name="Magic 6 2 3 5" xfId="22903" xr:uid="{00000000-0005-0000-0000-0000D2050000}"/>
    <cellStyle name="Magic 6 2 3 6" xfId="41272" xr:uid="{00000000-0005-0000-0000-0000D2050000}"/>
    <cellStyle name="Magic 6 2 4" xfId="10589" xr:uid="{00000000-0005-0000-0000-0000D2050000}"/>
    <cellStyle name="Magic 6 2 4 2" xfId="14646" xr:uid="{00000000-0005-0000-0000-0000D2050000}"/>
    <cellStyle name="Magic 6 2 4 2 2" xfId="33062" xr:uid="{00000000-0005-0000-0000-0000D2050000}"/>
    <cellStyle name="Magic 6 2 4 2 3" xfId="51425" xr:uid="{00000000-0005-0000-0000-0000D2050000}"/>
    <cellStyle name="Magic 6 2 4 3" xfId="29300" xr:uid="{00000000-0005-0000-0000-0000D2050000}"/>
    <cellStyle name="Magic 6 2 4 3 2" xfId="47663" xr:uid="{00000000-0005-0000-0000-0000D2050000}"/>
    <cellStyle name="Magic 6 2 4 4" xfId="20103" xr:uid="{00000000-0005-0000-0000-0000D2050000}"/>
    <cellStyle name="Magic 6 2 4 5" xfId="38509" xr:uid="{00000000-0005-0000-0000-0000D2050000}"/>
    <cellStyle name="Magic 6 2 5" xfId="9977" xr:uid="{00000000-0005-0000-0000-0000D2050000}"/>
    <cellStyle name="Magic 6 2 5 2" xfId="28689" xr:uid="{00000000-0005-0000-0000-0000D2050000}"/>
    <cellStyle name="Magic 6 2 5 3" xfId="47052" xr:uid="{00000000-0005-0000-0000-0000D2050000}"/>
    <cellStyle name="Magic 6 2 6" xfId="14034" xr:uid="{00000000-0005-0000-0000-0000D2050000}"/>
    <cellStyle name="Magic 6 2 6 2" xfId="32451" xr:uid="{00000000-0005-0000-0000-0000D2050000}"/>
    <cellStyle name="Magic 6 2 6 3" xfId="50814" xr:uid="{00000000-0005-0000-0000-0000D2050000}"/>
    <cellStyle name="Magic 6 2 7" xfId="23784" xr:uid="{00000000-0005-0000-0000-0000D2050000}"/>
    <cellStyle name="Magic 6 2 7 2" xfId="42153" xr:uid="{00000000-0005-0000-0000-0000D2050000}"/>
    <cellStyle name="Magic 6 2 8" xfId="19342" xr:uid="{00000000-0005-0000-0000-0000D2050000}"/>
    <cellStyle name="Magic 6 2 9" xfId="37749" xr:uid="{00000000-0005-0000-0000-0000D2050000}"/>
    <cellStyle name="Magic 6 3" xfId="5462" xr:uid="{00000000-0005-0000-0000-0000D2050000}"/>
    <cellStyle name="Magic 6 3 2" xfId="11839" xr:uid="{00000000-0005-0000-0000-0000D2050000}"/>
    <cellStyle name="Magic 6 3 2 2" xfId="30290" xr:uid="{00000000-0005-0000-0000-0000D2050000}"/>
    <cellStyle name="Magic 6 3 2 3" xfId="48653" xr:uid="{00000000-0005-0000-0000-0000D2050000}"/>
    <cellStyle name="Magic 6 3 3" xfId="16153" xr:uid="{00000000-0005-0000-0000-0000D2050000}"/>
    <cellStyle name="Magic 6 3 3 2" xfId="34525" xr:uid="{00000000-0005-0000-0000-0000D2050000}"/>
    <cellStyle name="Magic 6 3 3 3" xfId="52888" xr:uid="{00000000-0005-0000-0000-0000D2050000}"/>
    <cellStyle name="Magic 6 3 4" xfId="25272" xr:uid="{00000000-0005-0000-0000-0000D2050000}"/>
    <cellStyle name="Magic 6 3 4 2" xfId="43641" xr:uid="{00000000-0005-0000-0000-0000D2050000}"/>
    <cellStyle name="Magic 6 3 5" xfId="21593" xr:uid="{00000000-0005-0000-0000-0000D2050000}"/>
    <cellStyle name="Magic 6 3 6" xfId="39972" xr:uid="{00000000-0005-0000-0000-0000D2050000}"/>
    <cellStyle name="Magic 6 4" xfId="6307" xr:uid="{00000000-0005-0000-0000-0000D2050000}"/>
    <cellStyle name="Magic 6 4 2" xfId="12598" xr:uid="{00000000-0005-0000-0000-0000D2050000}"/>
    <cellStyle name="Magic 6 4 2 2" xfId="31024" xr:uid="{00000000-0005-0000-0000-0000D2050000}"/>
    <cellStyle name="Magic 6 4 2 3" xfId="49387" xr:uid="{00000000-0005-0000-0000-0000D2050000}"/>
    <cellStyle name="Magic 6 4 3" xfId="16910" xr:uid="{00000000-0005-0000-0000-0000D2050000}"/>
    <cellStyle name="Magic 6 4 3 2" xfId="35260" xr:uid="{00000000-0005-0000-0000-0000D2050000}"/>
    <cellStyle name="Magic 6 4 3 3" xfId="53623" xr:uid="{00000000-0005-0000-0000-0000D2050000}"/>
    <cellStyle name="Magic 6 4 4" xfId="26045" xr:uid="{00000000-0005-0000-0000-0000D2050000}"/>
    <cellStyle name="Magic 6 4 4 2" xfId="44414" xr:uid="{00000000-0005-0000-0000-0000D2050000}"/>
    <cellStyle name="Magic 6 4 5" xfId="22338" xr:uid="{00000000-0005-0000-0000-0000D2050000}"/>
    <cellStyle name="Magic 6 4 6" xfId="40707" xr:uid="{00000000-0005-0000-0000-0000D2050000}"/>
    <cellStyle name="Magic 6 5" xfId="8962" xr:uid="{00000000-0005-0000-0000-0000D2050000}"/>
    <cellStyle name="Magic 6 5 2" xfId="27706" xr:uid="{00000000-0005-0000-0000-0000D2050000}"/>
    <cellStyle name="Magic 6 5 3" xfId="46069" xr:uid="{00000000-0005-0000-0000-0000D2050000}"/>
    <cellStyle name="Magic 6 6" xfId="11659" xr:uid="{00000000-0005-0000-0000-0000D2050000}"/>
    <cellStyle name="Magic 6 6 2" xfId="30206" xr:uid="{00000000-0005-0000-0000-0000D2050000}"/>
    <cellStyle name="Magic 6 6 3" xfId="48569" xr:uid="{00000000-0005-0000-0000-0000D2050000}"/>
    <cellStyle name="Magic 6 7" xfId="23201" xr:uid="{00000000-0005-0000-0000-0000D2050000}"/>
    <cellStyle name="Magic 6 7 2" xfId="41570" xr:uid="{00000000-0005-0000-0000-0000D2050000}"/>
    <cellStyle name="Magic 6 8" xfId="17785" xr:uid="{00000000-0005-0000-0000-0000D2050000}"/>
    <cellStyle name="Magic 6 9" xfId="36203" xr:uid="{00000000-0005-0000-0000-0000D2050000}"/>
    <cellStyle name="Magic 7" xfId="3312" xr:uid="{00000000-0005-0000-0000-0000D3050000}"/>
    <cellStyle name="Magic 7 2" xfId="3892" xr:uid="{00000000-0005-0000-0000-0000D3050000}"/>
    <cellStyle name="Magic 7 2 2" xfId="6065" xr:uid="{00000000-0005-0000-0000-0000D3050000}"/>
    <cellStyle name="Magic 7 2 2 2" xfId="12429" xr:uid="{00000000-0005-0000-0000-0000D3050000}"/>
    <cellStyle name="Magic 7 2 2 2 2" xfId="30876" xr:uid="{00000000-0005-0000-0000-0000D3050000}"/>
    <cellStyle name="Magic 7 2 2 2 3" xfId="49239" xr:uid="{00000000-0005-0000-0000-0000D3050000}"/>
    <cellStyle name="Magic 7 2 2 3" xfId="16755" xr:uid="{00000000-0005-0000-0000-0000D3050000}"/>
    <cellStyle name="Magic 7 2 2 3 2" xfId="35127" xr:uid="{00000000-0005-0000-0000-0000D3050000}"/>
    <cellStyle name="Magic 7 2 2 3 3" xfId="53490" xr:uid="{00000000-0005-0000-0000-0000D3050000}"/>
    <cellStyle name="Magic 7 2 2 4" xfId="25874" xr:uid="{00000000-0005-0000-0000-0000D3050000}"/>
    <cellStyle name="Magic 7 2 2 4 2" xfId="44243" xr:uid="{00000000-0005-0000-0000-0000D3050000}"/>
    <cellStyle name="Magic 7 2 2 5" xfId="22195" xr:uid="{00000000-0005-0000-0000-0000D3050000}"/>
    <cellStyle name="Magic 7 2 2 6" xfId="40574" xr:uid="{00000000-0005-0000-0000-0000D3050000}"/>
    <cellStyle name="Magic 7 2 3" xfId="6891" xr:uid="{00000000-0005-0000-0000-0000D3050000}"/>
    <cellStyle name="Magic 7 2 3 2" xfId="13182" xr:uid="{00000000-0005-0000-0000-0000D3050000}"/>
    <cellStyle name="Magic 7 2 3 2 2" xfId="31608" xr:uid="{00000000-0005-0000-0000-0000D3050000}"/>
    <cellStyle name="Magic 7 2 3 2 3" xfId="49971" xr:uid="{00000000-0005-0000-0000-0000D3050000}"/>
    <cellStyle name="Magic 7 2 3 3" xfId="17493" xr:uid="{00000000-0005-0000-0000-0000D3050000}"/>
    <cellStyle name="Magic 7 2 3 3 2" xfId="35841" xr:uid="{00000000-0005-0000-0000-0000D3050000}"/>
    <cellStyle name="Magic 7 2 3 3 3" xfId="54204" xr:uid="{00000000-0005-0000-0000-0000D3050000}"/>
    <cellStyle name="Magic 7 2 3 4" xfId="26626" xr:uid="{00000000-0005-0000-0000-0000D3050000}"/>
    <cellStyle name="Magic 7 2 3 4 2" xfId="44995" xr:uid="{00000000-0005-0000-0000-0000D3050000}"/>
    <cellStyle name="Magic 7 2 3 5" xfId="22919" xr:uid="{00000000-0005-0000-0000-0000D3050000}"/>
    <cellStyle name="Magic 7 2 3 6" xfId="41288" xr:uid="{00000000-0005-0000-0000-0000D3050000}"/>
    <cellStyle name="Magic 7 2 4" xfId="10605" xr:uid="{00000000-0005-0000-0000-0000D3050000}"/>
    <cellStyle name="Magic 7 2 4 2" xfId="14662" xr:uid="{00000000-0005-0000-0000-0000D3050000}"/>
    <cellStyle name="Magic 7 2 4 2 2" xfId="33078" xr:uid="{00000000-0005-0000-0000-0000D3050000}"/>
    <cellStyle name="Magic 7 2 4 2 3" xfId="51441" xr:uid="{00000000-0005-0000-0000-0000D3050000}"/>
    <cellStyle name="Magic 7 2 4 3" xfId="29316" xr:uid="{00000000-0005-0000-0000-0000D3050000}"/>
    <cellStyle name="Magic 7 2 4 3 2" xfId="47679" xr:uid="{00000000-0005-0000-0000-0000D3050000}"/>
    <cellStyle name="Magic 7 2 4 4" xfId="20119" xr:uid="{00000000-0005-0000-0000-0000D3050000}"/>
    <cellStyle name="Magic 7 2 4 5" xfId="38525" xr:uid="{00000000-0005-0000-0000-0000D3050000}"/>
    <cellStyle name="Magic 7 2 5" xfId="9999" xr:uid="{00000000-0005-0000-0000-0000D3050000}"/>
    <cellStyle name="Magic 7 2 5 2" xfId="28711" xr:uid="{00000000-0005-0000-0000-0000D3050000}"/>
    <cellStyle name="Magic 7 2 5 3" xfId="47074" xr:uid="{00000000-0005-0000-0000-0000D3050000}"/>
    <cellStyle name="Magic 7 2 6" xfId="14056" xr:uid="{00000000-0005-0000-0000-0000D3050000}"/>
    <cellStyle name="Magic 7 2 6 2" xfId="32473" xr:uid="{00000000-0005-0000-0000-0000D3050000}"/>
    <cellStyle name="Magic 7 2 6 3" xfId="50836" xr:uid="{00000000-0005-0000-0000-0000D3050000}"/>
    <cellStyle name="Magic 7 2 7" xfId="23800" xr:uid="{00000000-0005-0000-0000-0000D3050000}"/>
    <cellStyle name="Magic 7 2 7 2" xfId="42169" xr:uid="{00000000-0005-0000-0000-0000D3050000}"/>
    <cellStyle name="Magic 7 2 8" xfId="19369" xr:uid="{00000000-0005-0000-0000-0000D3050000}"/>
    <cellStyle name="Magic 7 2 9" xfId="37776" xr:uid="{00000000-0005-0000-0000-0000D3050000}"/>
    <cellStyle name="Magic 7 3" xfId="5497" xr:uid="{00000000-0005-0000-0000-0000D3050000}"/>
    <cellStyle name="Magic 7 3 2" xfId="11862" xr:uid="{00000000-0005-0000-0000-0000D3050000}"/>
    <cellStyle name="Magic 7 3 2 2" xfId="30309" xr:uid="{00000000-0005-0000-0000-0000D3050000}"/>
    <cellStyle name="Magic 7 3 2 3" xfId="48672" xr:uid="{00000000-0005-0000-0000-0000D3050000}"/>
    <cellStyle name="Magic 7 3 3" xfId="16188" xr:uid="{00000000-0005-0000-0000-0000D3050000}"/>
    <cellStyle name="Magic 7 3 3 2" xfId="34560" xr:uid="{00000000-0005-0000-0000-0000D3050000}"/>
    <cellStyle name="Magic 7 3 3 3" xfId="52923" xr:uid="{00000000-0005-0000-0000-0000D3050000}"/>
    <cellStyle name="Magic 7 3 4" xfId="25307" xr:uid="{00000000-0005-0000-0000-0000D3050000}"/>
    <cellStyle name="Magic 7 3 4 2" xfId="43676" xr:uid="{00000000-0005-0000-0000-0000D3050000}"/>
    <cellStyle name="Magic 7 3 5" xfId="21628" xr:uid="{00000000-0005-0000-0000-0000D3050000}"/>
    <cellStyle name="Magic 7 3 6" xfId="40007" xr:uid="{00000000-0005-0000-0000-0000D3050000}"/>
    <cellStyle name="Magic 7 4" xfId="6325" xr:uid="{00000000-0005-0000-0000-0000D3050000}"/>
    <cellStyle name="Magic 7 4 2" xfId="12616" xr:uid="{00000000-0005-0000-0000-0000D3050000}"/>
    <cellStyle name="Magic 7 4 2 2" xfId="31042" xr:uid="{00000000-0005-0000-0000-0000D3050000}"/>
    <cellStyle name="Magic 7 4 2 3" xfId="49405" xr:uid="{00000000-0005-0000-0000-0000D3050000}"/>
    <cellStyle name="Magic 7 4 3" xfId="16927" xr:uid="{00000000-0005-0000-0000-0000D3050000}"/>
    <cellStyle name="Magic 7 4 3 2" xfId="35276" xr:uid="{00000000-0005-0000-0000-0000D3050000}"/>
    <cellStyle name="Magic 7 4 3 3" xfId="53639" xr:uid="{00000000-0005-0000-0000-0000D3050000}"/>
    <cellStyle name="Magic 7 4 4" xfId="26061" xr:uid="{00000000-0005-0000-0000-0000D3050000}"/>
    <cellStyle name="Magic 7 4 4 2" xfId="44430" xr:uid="{00000000-0005-0000-0000-0000D3050000}"/>
    <cellStyle name="Magic 7 4 5" xfId="22354" xr:uid="{00000000-0005-0000-0000-0000D3050000}"/>
    <cellStyle name="Magic 7 4 6" xfId="40723" xr:uid="{00000000-0005-0000-0000-0000D3050000}"/>
    <cellStyle name="Magic 7 5" xfId="8997" xr:uid="{00000000-0005-0000-0000-0000D3050000}"/>
    <cellStyle name="Magic 7 5 2" xfId="27725" xr:uid="{00000000-0005-0000-0000-0000D3050000}"/>
    <cellStyle name="Magic 7 5 3" xfId="46088" xr:uid="{00000000-0005-0000-0000-0000D3050000}"/>
    <cellStyle name="Magic 7 6" xfId="8153" xr:uid="{00000000-0005-0000-0000-0000D3050000}"/>
    <cellStyle name="Magic 7 6 2" xfId="27357" xr:uid="{00000000-0005-0000-0000-0000D3050000}"/>
    <cellStyle name="Magic 7 6 3" xfId="45722" xr:uid="{00000000-0005-0000-0000-0000D3050000}"/>
    <cellStyle name="Magic 7 7" xfId="23234" xr:uid="{00000000-0005-0000-0000-0000D3050000}"/>
    <cellStyle name="Magic 7 7 2" xfId="41603" xr:uid="{00000000-0005-0000-0000-0000D3050000}"/>
    <cellStyle name="Magic 7 8" xfId="17823" xr:uid="{00000000-0005-0000-0000-0000D3050000}"/>
    <cellStyle name="Magic 7 9" xfId="36236" xr:uid="{00000000-0005-0000-0000-0000D3050000}"/>
    <cellStyle name="Magic 8" xfId="7140" xr:uid="{00000000-0005-0000-0000-0000C0050000}"/>
    <cellStyle name="Magic 8 2" xfId="26728" xr:uid="{00000000-0005-0000-0000-0000C0050000}"/>
    <cellStyle name="Magic 8 3" xfId="45096" xr:uid="{00000000-0005-0000-0000-0000C0050000}"/>
    <cellStyle name="Main" xfId="555" xr:uid="{00000000-0005-0000-0000-0000D4050000}"/>
    <cellStyle name="Main 10" xfId="7300" xr:uid="{00000000-0005-0000-0000-0000D4050000}"/>
    <cellStyle name="Main 11" xfId="8160" xr:uid="{00000000-0005-0000-0000-0000D4050000}"/>
    <cellStyle name="Main 2" xfId="1133" xr:uid="{00000000-0005-0000-0000-0000D5050000}"/>
    <cellStyle name="Main 2 2" xfId="4232" xr:uid="{00000000-0005-0000-0000-0000D5050000}"/>
    <cellStyle name="Main 2 2 2" xfId="14977" xr:uid="{00000000-0005-0000-0000-0000D5050000}"/>
    <cellStyle name="Main 2 2 2 2" xfId="33381" xr:uid="{00000000-0005-0000-0000-0000D5050000}"/>
    <cellStyle name="Main 2 2 2 3" xfId="51744" xr:uid="{00000000-0005-0000-0000-0000D5050000}"/>
    <cellStyle name="Main 2 2 3" xfId="24110" xr:uid="{00000000-0005-0000-0000-0000D5050000}"/>
    <cellStyle name="Main 2 2 3 2" xfId="42479" xr:uid="{00000000-0005-0000-0000-0000D5050000}"/>
    <cellStyle name="Main 2 2 4" xfId="20430" xr:uid="{00000000-0005-0000-0000-0000D5050000}"/>
    <cellStyle name="Main 2 2 5" xfId="38828" xr:uid="{00000000-0005-0000-0000-0000D5050000}"/>
    <cellStyle name="Main 2 3" xfId="19251" xr:uid="{00000000-0005-0000-0000-0000D5050000}"/>
    <cellStyle name="Main 2 3 2" xfId="37658" xr:uid="{00000000-0005-0000-0000-0000D5050000}"/>
    <cellStyle name="Main 2 4" xfId="7381" xr:uid="{00000000-0005-0000-0000-0000D5050000}"/>
    <cellStyle name="Main 2 5" xfId="7022" xr:uid="{00000000-0005-0000-0000-0000D5050000}"/>
    <cellStyle name="Main 3" xfId="2107" xr:uid="{00000000-0005-0000-0000-0000D6050000}"/>
    <cellStyle name="Main 3 2" xfId="4914" xr:uid="{00000000-0005-0000-0000-0000D6050000}"/>
    <cellStyle name="Main 3 2 2" xfId="15637" xr:uid="{00000000-0005-0000-0000-0000D6050000}"/>
    <cellStyle name="Main 3 2 2 2" xfId="34027" xr:uid="{00000000-0005-0000-0000-0000D6050000}"/>
    <cellStyle name="Main 3 2 2 3" xfId="52390" xr:uid="{00000000-0005-0000-0000-0000D6050000}"/>
    <cellStyle name="Main 3 2 3" xfId="24759" xr:uid="{00000000-0005-0000-0000-0000D6050000}"/>
    <cellStyle name="Main 3 2 3 2" xfId="43128" xr:uid="{00000000-0005-0000-0000-0000D6050000}"/>
    <cellStyle name="Main 3 2 4" xfId="21086" xr:uid="{00000000-0005-0000-0000-0000D6050000}"/>
    <cellStyle name="Main 3 2 5" xfId="39474" xr:uid="{00000000-0005-0000-0000-0000D6050000}"/>
    <cellStyle name="Main 3 3" xfId="19542" xr:uid="{00000000-0005-0000-0000-0000D6050000}"/>
    <cellStyle name="Main 3 3 2" xfId="37948" xr:uid="{00000000-0005-0000-0000-0000D6050000}"/>
    <cellStyle name="Main 3 4" xfId="7340" xr:uid="{00000000-0005-0000-0000-0000D6050000}"/>
    <cellStyle name="Main 3 5" xfId="7823" xr:uid="{00000000-0005-0000-0000-0000D6050000}"/>
    <cellStyle name="Main 4" xfId="2560" xr:uid="{00000000-0005-0000-0000-0000D7050000}"/>
    <cellStyle name="Main 4 2" xfId="5078" xr:uid="{00000000-0005-0000-0000-0000D7050000}"/>
    <cellStyle name="Main 4 2 2" xfId="15789" xr:uid="{00000000-0005-0000-0000-0000D7050000}"/>
    <cellStyle name="Main 4 2 2 2" xfId="34175" xr:uid="{00000000-0005-0000-0000-0000D7050000}"/>
    <cellStyle name="Main 4 2 2 3" xfId="52538" xr:uid="{00000000-0005-0000-0000-0000D7050000}"/>
    <cellStyle name="Main 4 2 3" xfId="24911" xr:uid="{00000000-0005-0000-0000-0000D7050000}"/>
    <cellStyle name="Main 4 2 3 2" xfId="43280" xr:uid="{00000000-0005-0000-0000-0000D7050000}"/>
    <cellStyle name="Main 4 2 4" xfId="21237" xr:uid="{00000000-0005-0000-0000-0000D7050000}"/>
    <cellStyle name="Main 4 2 5" xfId="39622" xr:uid="{00000000-0005-0000-0000-0000D7050000}"/>
    <cellStyle name="Main 4 3" xfId="19087" xr:uid="{00000000-0005-0000-0000-0000D7050000}"/>
    <cellStyle name="Main 4 3 2" xfId="37495" xr:uid="{00000000-0005-0000-0000-0000D7050000}"/>
    <cellStyle name="Main 4 4" xfId="8616" xr:uid="{00000000-0005-0000-0000-0000D7050000}"/>
    <cellStyle name="Main 4 5" xfId="35870" xr:uid="{00000000-0005-0000-0000-0000D7050000}"/>
    <cellStyle name="Main 5" xfId="2999" xr:uid="{00000000-0005-0000-0000-0000D8050000}"/>
    <cellStyle name="Main 5 2" xfId="5257" xr:uid="{00000000-0005-0000-0000-0000D8050000}"/>
    <cellStyle name="Main 5 2 2" xfId="15949" xr:uid="{00000000-0005-0000-0000-0000D8050000}"/>
    <cellStyle name="Main 5 2 2 2" xfId="34323" xr:uid="{00000000-0005-0000-0000-0000D8050000}"/>
    <cellStyle name="Main 5 2 2 3" xfId="52686" xr:uid="{00000000-0005-0000-0000-0000D8050000}"/>
    <cellStyle name="Main 5 2 3" xfId="25070" xr:uid="{00000000-0005-0000-0000-0000D8050000}"/>
    <cellStyle name="Main 5 2 3 2" xfId="43439" xr:uid="{00000000-0005-0000-0000-0000D8050000}"/>
    <cellStyle name="Main 5 2 4" xfId="21391" xr:uid="{00000000-0005-0000-0000-0000D8050000}"/>
    <cellStyle name="Main 5 2 5" xfId="39770" xr:uid="{00000000-0005-0000-0000-0000D8050000}"/>
    <cellStyle name="Main 5 3" xfId="23012" xr:uid="{00000000-0005-0000-0000-0000D8050000}"/>
    <cellStyle name="Main 5 3 2" xfId="41381" xr:uid="{00000000-0005-0000-0000-0000D8050000}"/>
    <cellStyle name="Main 5 4" xfId="17571" xr:uid="{00000000-0005-0000-0000-0000D8050000}"/>
    <cellStyle name="Main 5 5" xfId="36014" xr:uid="{00000000-0005-0000-0000-0000D8050000}"/>
    <cellStyle name="Main 6" xfId="3015" xr:uid="{00000000-0005-0000-0000-0000D9050000}"/>
    <cellStyle name="Main 6 2" xfId="5268" xr:uid="{00000000-0005-0000-0000-0000D9050000}"/>
    <cellStyle name="Main 6 2 2" xfId="15960" xr:uid="{00000000-0005-0000-0000-0000D9050000}"/>
    <cellStyle name="Main 6 2 2 2" xfId="34334" xr:uid="{00000000-0005-0000-0000-0000D9050000}"/>
    <cellStyle name="Main 6 2 2 3" xfId="52697" xr:uid="{00000000-0005-0000-0000-0000D9050000}"/>
    <cellStyle name="Main 6 2 3" xfId="25081" xr:uid="{00000000-0005-0000-0000-0000D9050000}"/>
    <cellStyle name="Main 6 2 3 2" xfId="43450" xr:uid="{00000000-0005-0000-0000-0000D9050000}"/>
    <cellStyle name="Main 6 2 4" xfId="21402" xr:uid="{00000000-0005-0000-0000-0000D9050000}"/>
    <cellStyle name="Main 6 2 5" xfId="39781" xr:uid="{00000000-0005-0000-0000-0000D9050000}"/>
    <cellStyle name="Main 6 3" xfId="23022" xr:uid="{00000000-0005-0000-0000-0000D9050000}"/>
    <cellStyle name="Main 6 3 2" xfId="41391" xr:uid="{00000000-0005-0000-0000-0000D9050000}"/>
    <cellStyle name="Main 6 4" xfId="17583" xr:uid="{00000000-0005-0000-0000-0000D9050000}"/>
    <cellStyle name="Main 6 5" xfId="36024" xr:uid="{00000000-0005-0000-0000-0000D9050000}"/>
    <cellStyle name="Main 7" xfId="3262" xr:uid="{00000000-0005-0000-0000-0000DA050000}"/>
    <cellStyle name="Main 7 2" xfId="5461" xr:uid="{00000000-0005-0000-0000-0000DA050000}"/>
    <cellStyle name="Main 7 2 2" xfId="16152" xr:uid="{00000000-0005-0000-0000-0000DA050000}"/>
    <cellStyle name="Main 7 2 2 2" xfId="34524" xr:uid="{00000000-0005-0000-0000-0000DA050000}"/>
    <cellStyle name="Main 7 2 2 3" xfId="52887" xr:uid="{00000000-0005-0000-0000-0000DA050000}"/>
    <cellStyle name="Main 7 2 3" xfId="25271" xr:uid="{00000000-0005-0000-0000-0000DA050000}"/>
    <cellStyle name="Main 7 2 3 2" xfId="43640" xr:uid="{00000000-0005-0000-0000-0000DA050000}"/>
    <cellStyle name="Main 7 2 4" xfId="21592" xr:uid="{00000000-0005-0000-0000-0000DA050000}"/>
    <cellStyle name="Main 7 2 5" xfId="39971" xr:uid="{00000000-0005-0000-0000-0000DA050000}"/>
    <cellStyle name="Main 7 3" xfId="23200" xr:uid="{00000000-0005-0000-0000-0000DA050000}"/>
    <cellStyle name="Main 7 3 2" xfId="41569" xr:uid="{00000000-0005-0000-0000-0000DA050000}"/>
    <cellStyle name="Main 7 4" xfId="17784" xr:uid="{00000000-0005-0000-0000-0000DA050000}"/>
    <cellStyle name="Main 7 5" xfId="36202" xr:uid="{00000000-0005-0000-0000-0000DA050000}"/>
    <cellStyle name="Main 8" xfId="4080" xr:uid="{00000000-0005-0000-0000-0000D4050000}"/>
    <cellStyle name="Main 8 2" xfId="14837" xr:uid="{00000000-0005-0000-0000-0000D4050000}"/>
    <cellStyle name="Main 8 2 2" xfId="33245" xr:uid="{00000000-0005-0000-0000-0000D4050000}"/>
    <cellStyle name="Main 8 2 3" xfId="51608" xr:uid="{00000000-0005-0000-0000-0000D4050000}"/>
    <cellStyle name="Main 8 3" xfId="23969" xr:uid="{00000000-0005-0000-0000-0000D4050000}"/>
    <cellStyle name="Main 8 3 2" xfId="42338" xr:uid="{00000000-0005-0000-0000-0000D4050000}"/>
    <cellStyle name="Main 8 4" xfId="20292" xr:uid="{00000000-0005-0000-0000-0000D4050000}"/>
    <cellStyle name="Main 8 5" xfId="38692" xr:uid="{00000000-0005-0000-0000-0000D4050000}"/>
    <cellStyle name="Main 9" xfId="19535" xr:uid="{00000000-0005-0000-0000-0000D4050000}"/>
    <cellStyle name="Main 9 2" xfId="37941" xr:uid="{00000000-0005-0000-0000-0000D4050000}"/>
    <cellStyle name="Map Labels" xfId="556" xr:uid="{00000000-0005-0000-0000-0000DB050000}"/>
    <cellStyle name="Map Labels 2" xfId="2108" xr:uid="{00000000-0005-0000-0000-0000DC050000}"/>
    <cellStyle name="Map Labels 3" xfId="2561" xr:uid="{00000000-0005-0000-0000-0000DD050000}"/>
    <cellStyle name="Map Legend" xfId="557" xr:uid="{00000000-0005-0000-0000-0000DE050000}"/>
    <cellStyle name="Map Legend 2" xfId="2109" xr:uid="{00000000-0005-0000-0000-0000DF050000}"/>
    <cellStyle name="Map Legend 3" xfId="2562" xr:uid="{00000000-0005-0000-0000-0000E0050000}"/>
    <cellStyle name="Map Title" xfId="558" xr:uid="{00000000-0005-0000-0000-0000E1050000}"/>
    <cellStyle name="Map Title 2" xfId="2110" xr:uid="{00000000-0005-0000-0000-0000E2050000}"/>
    <cellStyle name="Map Title 3" xfId="2563" xr:uid="{00000000-0005-0000-0000-0000E3050000}"/>
    <cellStyle name="margin" xfId="559" xr:uid="{00000000-0005-0000-0000-0000E4050000}"/>
    <cellStyle name="Margins" xfId="560" xr:uid="{00000000-0005-0000-0000-0000E5050000}"/>
    <cellStyle name="Margins 2" xfId="2111" xr:uid="{00000000-0005-0000-0000-0000E6050000}"/>
    <cellStyle name="Margins 3" xfId="2564" xr:uid="{00000000-0005-0000-0000-0000E7050000}"/>
    <cellStyle name="MetricLabel" xfId="561" xr:uid="{00000000-0005-0000-0000-0000E8050000}"/>
    <cellStyle name="MetricLabel 2" xfId="2112" xr:uid="{00000000-0005-0000-0000-0000E9050000}"/>
    <cellStyle name="MetricLabel 3" xfId="2565" xr:uid="{00000000-0005-0000-0000-0000EA050000}"/>
    <cellStyle name="MetricLabelBlue" xfId="562" xr:uid="{00000000-0005-0000-0000-0000EB050000}"/>
    <cellStyle name="MetricLabelBlue 2" xfId="2113" xr:uid="{00000000-0005-0000-0000-0000EC050000}"/>
    <cellStyle name="MetricLabelBlue 3" xfId="2566" xr:uid="{00000000-0005-0000-0000-0000ED050000}"/>
    <cellStyle name="MetricValue" xfId="563" xr:uid="{00000000-0005-0000-0000-0000EE050000}"/>
    <cellStyle name="MetricValue 2" xfId="2114" xr:uid="{00000000-0005-0000-0000-0000EF050000}"/>
    <cellStyle name="MetricValue 3" xfId="2567" xr:uid="{00000000-0005-0000-0000-0000F0050000}"/>
    <cellStyle name="Migliaia (0)_PLDT" xfId="564" xr:uid="{00000000-0005-0000-0000-0000F1050000}"/>
    <cellStyle name="Migliaia_PLDT" xfId="565" xr:uid="{00000000-0005-0000-0000-0000F2050000}"/>
    <cellStyle name="Mike" xfId="566" xr:uid="{00000000-0005-0000-0000-0000F3050000}"/>
    <cellStyle name="Mike 2" xfId="2115" xr:uid="{00000000-0005-0000-0000-0000F4050000}"/>
    <cellStyle name="Mike 3" xfId="2568" xr:uid="{00000000-0005-0000-0000-0000F5050000}"/>
    <cellStyle name="mil" xfId="567" xr:uid="{00000000-0005-0000-0000-0000F6050000}"/>
    <cellStyle name="Milliers [0]_EDYAN" xfId="568" xr:uid="{00000000-0005-0000-0000-0000F7050000}"/>
    <cellStyle name="Milliers_EDYAN" xfId="569" xr:uid="{00000000-0005-0000-0000-0000F8050000}"/>
    <cellStyle name="Millions" xfId="570" xr:uid="{00000000-0005-0000-0000-0000F9050000}"/>
    <cellStyle name="millions ($)" xfId="571" xr:uid="{00000000-0005-0000-0000-0000FA050000}"/>
    <cellStyle name="millions (no dec.)" xfId="572" xr:uid="{00000000-0005-0000-0000-0000FB050000}"/>
    <cellStyle name="Millions 10" xfId="3026" xr:uid="{00000000-0005-0000-0000-0000FC050000}"/>
    <cellStyle name="Millions 10 2" xfId="5279" xr:uid="{00000000-0005-0000-0000-0000FC050000}"/>
    <cellStyle name="Millions 10 2 2" xfId="15971" xr:uid="{00000000-0005-0000-0000-0000FC050000}"/>
    <cellStyle name="Millions 10 2 2 2" xfId="34345" xr:uid="{00000000-0005-0000-0000-0000FC050000}"/>
    <cellStyle name="Millions 10 2 2 3" xfId="52708" xr:uid="{00000000-0005-0000-0000-0000FC050000}"/>
    <cellStyle name="Millions 10 2 3" xfId="25092" xr:uid="{00000000-0005-0000-0000-0000FC050000}"/>
    <cellStyle name="Millions 10 2 3 2" xfId="43461" xr:uid="{00000000-0005-0000-0000-0000FC050000}"/>
    <cellStyle name="Millions 10 2 4" xfId="21413" xr:uid="{00000000-0005-0000-0000-0000FC050000}"/>
    <cellStyle name="Millions 10 2 5" xfId="39792" xr:uid="{00000000-0005-0000-0000-0000FC050000}"/>
    <cellStyle name="Millions 10 3" xfId="23032" xr:uid="{00000000-0005-0000-0000-0000FC050000}"/>
    <cellStyle name="Millions 10 3 2" xfId="41401" xr:uid="{00000000-0005-0000-0000-0000FC050000}"/>
    <cellStyle name="Millions 10 4" xfId="17592" xr:uid="{00000000-0005-0000-0000-0000FC050000}"/>
    <cellStyle name="Millions 10 5" xfId="36034" xr:uid="{00000000-0005-0000-0000-0000FC050000}"/>
    <cellStyle name="Millions 11" xfId="3165" xr:uid="{00000000-0005-0000-0000-0000FD050000}"/>
    <cellStyle name="Millions 11 2" xfId="5380" xr:uid="{00000000-0005-0000-0000-0000FD050000}"/>
    <cellStyle name="Millions 11 2 2" xfId="16072" xr:uid="{00000000-0005-0000-0000-0000FD050000}"/>
    <cellStyle name="Millions 11 2 2 2" xfId="34444" xr:uid="{00000000-0005-0000-0000-0000FD050000}"/>
    <cellStyle name="Millions 11 2 2 3" xfId="52807" xr:uid="{00000000-0005-0000-0000-0000FD050000}"/>
    <cellStyle name="Millions 11 2 3" xfId="25191" xr:uid="{00000000-0005-0000-0000-0000FD050000}"/>
    <cellStyle name="Millions 11 2 3 2" xfId="43560" xr:uid="{00000000-0005-0000-0000-0000FD050000}"/>
    <cellStyle name="Millions 11 2 4" xfId="21512" xr:uid="{00000000-0005-0000-0000-0000FD050000}"/>
    <cellStyle name="Millions 11 2 5" xfId="39891" xr:uid="{00000000-0005-0000-0000-0000FD050000}"/>
    <cellStyle name="Millions 11 3" xfId="23120" xr:uid="{00000000-0005-0000-0000-0000FD050000}"/>
    <cellStyle name="Millions 11 3 2" xfId="41489" xr:uid="{00000000-0005-0000-0000-0000FD050000}"/>
    <cellStyle name="Millions 11 4" xfId="17699" xr:uid="{00000000-0005-0000-0000-0000FD050000}"/>
    <cellStyle name="Millions 11 5" xfId="36122" xr:uid="{00000000-0005-0000-0000-0000FD050000}"/>
    <cellStyle name="Millions 12" xfId="3261" xr:uid="{00000000-0005-0000-0000-0000FE050000}"/>
    <cellStyle name="Millions 12 2" xfId="5460" xr:uid="{00000000-0005-0000-0000-0000FE050000}"/>
    <cellStyle name="Millions 12 2 2" xfId="16151" xr:uid="{00000000-0005-0000-0000-0000FE050000}"/>
    <cellStyle name="Millions 12 2 2 2" xfId="34523" xr:uid="{00000000-0005-0000-0000-0000FE050000}"/>
    <cellStyle name="Millions 12 2 2 3" xfId="52886" xr:uid="{00000000-0005-0000-0000-0000FE050000}"/>
    <cellStyle name="Millions 12 2 3" xfId="25270" xr:uid="{00000000-0005-0000-0000-0000FE050000}"/>
    <cellStyle name="Millions 12 2 3 2" xfId="43639" xr:uid="{00000000-0005-0000-0000-0000FE050000}"/>
    <cellStyle name="Millions 12 2 4" xfId="21591" xr:uid="{00000000-0005-0000-0000-0000FE050000}"/>
    <cellStyle name="Millions 12 2 5" xfId="39970" xr:uid="{00000000-0005-0000-0000-0000FE050000}"/>
    <cellStyle name="Millions 12 3" xfId="23199" xr:uid="{00000000-0005-0000-0000-0000FE050000}"/>
    <cellStyle name="Millions 12 3 2" xfId="41568" xr:uid="{00000000-0005-0000-0000-0000FE050000}"/>
    <cellStyle name="Millions 12 4" xfId="17783" xr:uid="{00000000-0005-0000-0000-0000FE050000}"/>
    <cellStyle name="Millions 12 5" xfId="36201" xr:uid="{00000000-0005-0000-0000-0000FE050000}"/>
    <cellStyle name="Millions 13" xfId="3311" xr:uid="{00000000-0005-0000-0000-0000FF050000}"/>
    <cellStyle name="Millions 13 2" xfId="5496" xr:uid="{00000000-0005-0000-0000-0000FF050000}"/>
    <cellStyle name="Millions 13 2 2" xfId="16187" xr:uid="{00000000-0005-0000-0000-0000FF050000}"/>
    <cellStyle name="Millions 13 2 2 2" xfId="34559" xr:uid="{00000000-0005-0000-0000-0000FF050000}"/>
    <cellStyle name="Millions 13 2 2 3" xfId="52922" xr:uid="{00000000-0005-0000-0000-0000FF050000}"/>
    <cellStyle name="Millions 13 2 3" xfId="25306" xr:uid="{00000000-0005-0000-0000-0000FF050000}"/>
    <cellStyle name="Millions 13 2 3 2" xfId="43675" xr:uid="{00000000-0005-0000-0000-0000FF050000}"/>
    <cellStyle name="Millions 13 2 4" xfId="21627" xr:uid="{00000000-0005-0000-0000-0000FF050000}"/>
    <cellStyle name="Millions 13 2 5" xfId="40006" xr:uid="{00000000-0005-0000-0000-0000FF050000}"/>
    <cellStyle name="Millions 13 3" xfId="23233" xr:uid="{00000000-0005-0000-0000-0000FF050000}"/>
    <cellStyle name="Millions 13 3 2" xfId="41602" xr:uid="{00000000-0005-0000-0000-0000FF050000}"/>
    <cellStyle name="Millions 13 4" xfId="17822" xr:uid="{00000000-0005-0000-0000-0000FF050000}"/>
    <cellStyle name="Millions 13 5" xfId="36235" xr:uid="{00000000-0005-0000-0000-0000FF050000}"/>
    <cellStyle name="Millions 2" xfId="1061" xr:uid="{00000000-0005-0000-0000-000000060000}"/>
    <cellStyle name="Millions 2 2" xfId="4191" xr:uid="{00000000-0005-0000-0000-000000060000}"/>
    <cellStyle name="Millions 2 2 2" xfId="14937" xr:uid="{00000000-0005-0000-0000-000000060000}"/>
    <cellStyle name="Millions 2 2 2 2" xfId="33341" xr:uid="{00000000-0005-0000-0000-000000060000}"/>
    <cellStyle name="Millions 2 2 2 3" xfId="51704" xr:uid="{00000000-0005-0000-0000-000000060000}"/>
    <cellStyle name="Millions 2 2 3" xfId="24070" xr:uid="{00000000-0005-0000-0000-000000060000}"/>
    <cellStyle name="Millions 2 2 3 2" xfId="42439" xr:uid="{00000000-0005-0000-0000-000000060000}"/>
    <cellStyle name="Millions 2 2 4" xfId="20390" xr:uid="{00000000-0005-0000-0000-000000060000}"/>
    <cellStyle name="Millions 2 2 5" xfId="38788" xr:uid="{00000000-0005-0000-0000-000000060000}"/>
    <cellStyle name="Millions 2 3" xfId="17844" xr:uid="{00000000-0005-0000-0000-000000060000}"/>
    <cellStyle name="Millions 2 3 2" xfId="36254" xr:uid="{00000000-0005-0000-0000-000000060000}"/>
    <cellStyle name="Millions 2 4" xfId="7121" xr:uid="{00000000-0005-0000-0000-000000060000}"/>
    <cellStyle name="Millions 2 5" xfId="11141" xr:uid="{00000000-0005-0000-0000-000000060000}"/>
    <cellStyle name="Millions 3" xfId="1054" xr:uid="{00000000-0005-0000-0000-000001060000}"/>
    <cellStyle name="Millions 3 2" xfId="4184" xr:uid="{00000000-0005-0000-0000-000001060000}"/>
    <cellStyle name="Millions 3 2 2" xfId="14930" xr:uid="{00000000-0005-0000-0000-000001060000}"/>
    <cellStyle name="Millions 3 2 2 2" xfId="33334" xr:uid="{00000000-0005-0000-0000-000001060000}"/>
    <cellStyle name="Millions 3 2 2 3" xfId="51697" xr:uid="{00000000-0005-0000-0000-000001060000}"/>
    <cellStyle name="Millions 3 2 3" xfId="24063" xr:uid="{00000000-0005-0000-0000-000001060000}"/>
    <cellStyle name="Millions 3 2 3 2" xfId="42432" xr:uid="{00000000-0005-0000-0000-000001060000}"/>
    <cellStyle name="Millions 3 2 4" xfId="20383" xr:uid="{00000000-0005-0000-0000-000001060000}"/>
    <cellStyle name="Millions 3 2 5" xfId="38781" xr:uid="{00000000-0005-0000-0000-000001060000}"/>
    <cellStyle name="Millions 3 3" xfId="18725" xr:uid="{00000000-0005-0000-0000-000001060000}"/>
    <cellStyle name="Millions 3 3 2" xfId="37135" xr:uid="{00000000-0005-0000-0000-000001060000}"/>
    <cellStyle name="Millions 3 4" xfId="11759" xr:uid="{00000000-0005-0000-0000-000001060000}"/>
    <cellStyle name="Millions 3 5" xfId="10946" xr:uid="{00000000-0005-0000-0000-000001060000}"/>
    <cellStyle name="Millions 4" xfId="1059" xr:uid="{00000000-0005-0000-0000-000002060000}"/>
    <cellStyle name="Millions 4 2" xfId="4189" xr:uid="{00000000-0005-0000-0000-000002060000}"/>
    <cellStyle name="Millions 4 2 2" xfId="14935" xr:uid="{00000000-0005-0000-0000-000002060000}"/>
    <cellStyle name="Millions 4 2 2 2" xfId="33339" xr:uid="{00000000-0005-0000-0000-000002060000}"/>
    <cellStyle name="Millions 4 2 2 3" xfId="51702" xr:uid="{00000000-0005-0000-0000-000002060000}"/>
    <cellStyle name="Millions 4 2 3" xfId="24068" xr:uid="{00000000-0005-0000-0000-000002060000}"/>
    <cellStyle name="Millions 4 2 3 2" xfId="42437" xr:uid="{00000000-0005-0000-0000-000002060000}"/>
    <cellStyle name="Millions 4 2 4" xfId="20388" xr:uid="{00000000-0005-0000-0000-000002060000}"/>
    <cellStyle name="Millions 4 2 5" xfId="38786" xr:uid="{00000000-0005-0000-0000-000002060000}"/>
    <cellStyle name="Millions 4 3" xfId="17902" xr:uid="{00000000-0005-0000-0000-000002060000}"/>
    <cellStyle name="Millions 4 3 2" xfId="36312" xr:uid="{00000000-0005-0000-0000-000002060000}"/>
    <cellStyle name="Millions 4 4" xfId="10793" xr:uid="{00000000-0005-0000-0000-000002060000}"/>
    <cellStyle name="Millions 4 5" xfId="7373" xr:uid="{00000000-0005-0000-0000-000002060000}"/>
    <cellStyle name="Millions 5" xfId="1106" xr:uid="{00000000-0005-0000-0000-000003060000}"/>
    <cellStyle name="Millions 5 2" xfId="4212" xr:uid="{00000000-0005-0000-0000-000003060000}"/>
    <cellStyle name="Millions 5 2 2" xfId="14957" xr:uid="{00000000-0005-0000-0000-000003060000}"/>
    <cellStyle name="Millions 5 2 2 2" xfId="33361" xr:uid="{00000000-0005-0000-0000-000003060000}"/>
    <cellStyle name="Millions 5 2 2 3" xfId="51724" xr:uid="{00000000-0005-0000-0000-000003060000}"/>
    <cellStyle name="Millions 5 2 3" xfId="24090" xr:uid="{00000000-0005-0000-0000-000003060000}"/>
    <cellStyle name="Millions 5 2 3 2" xfId="42459" xr:uid="{00000000-0005-0000-0000-000003060000}"/>
    <cellStyle name="Millions 5 2 4" xfId="20410" xr:uid="{00000000-0005-0000-0000-000003060000}"/>
    <cellStyle name="Millions 5 2 5" xfId="38808" xr:uid="{00000000-0005-0000-0000-000003060000}"/>
    <cellStyle name="Millions 5 3" xfId="19335" xr:uid="{00000000-0005-0000-0000-000003060000}"/>
    <cellStyle name="Millions 5 3 2" xfId="37742" xr:uid="{00000000-0005-0000-0000-000003060000}"/>
    <cellStyle name="Millions 5 4" xfId="10891" xr:uid="{00000000-0005-0000-0000-000003060000}"/>
    <cellStyle name="Millions 5 5" xfId="17682" xr:uid="{00000000-0005-0000-0000-000003060000}"/>
    <cellStyle name="Millions 6" xfId="1134" xr:uid="{00000000-0005-0000-0000-000004060000}"/>
    <cellStyle name="Millions 6 2" xfId="4233" xr:uid="{00000000-0005-0000-0000-000004060000}"/>
    <cellStyle name="Millions 6 2 2" xfId="14978" xr:uid="{00000000-0005-0000-0000-000004060000}"/>
    <cellStyle name="Millions 6 2 2 2" xfId="33382" xr:uid="{00000000-0005-0000-0000-000004060000}"/>
    <cellStyle name="Millions 6 2 2 3" xfId="51745" xr:uid="{00000000-0005-0000-0000-000004060000}"/>
    <cellStyle name="Millions 6 2 3" xfId="24111" xr:uid="{00000000-0005-0000-0000-000004060000}"/>
    <cellStyle name="Millions 6 2 3 2" xfId="42480" xr:uid="{00000000-0005-0000-0000-000004060000}"/>
    <cellStyle name="Millions 6 2 4" xfId="20431" xr:uid="{00000000-0005-0000-0000-000004060000}"/>
    <cellStyle name="Millions 6 2 5" xfId="38829" xr:uid="{00000000-0005-0000-0000-000004060000}"/>
    <cellStyle name="Millions 6 3" xfId="19334" xr:uid="{00000000-0005-0000-0000-000004060000}"/>
    <cellStyle name="Millions 6 3 2" xfId="37741" xr:uid="{00000000-0005-0000-0000-000004060000}"/>
    <cellStyle name="Millions 6 4" xfId="11567" xr:uid="{00000000-0005-0000-0000-000004060000}"/>
    <cellStyle name="Millions 6 5" xfId="7309" xr:uid="{00000000-0005-0000-0000-000004060000}"/>
    <cellStyle name="Millions 7" xfId="1209" xr:uid="{00000000-0005-0000-0000-000005060000}"/>
    <cellStyle name="Millions 7 2" xfId="4297" xr:uid="{00000000-0005-0000-0000-000005060000}"/>
    <cellStyle name="Millions 7 2 2" xfId="15042" xr:uid="{00000000-0005-0000-0000-000005060000}"/>
    <cellStyle name="Millions 7 2 2 2" xfId="33446" xr:uid="{00000000-0005-0000-0000-000005060000}"/>
    <cellStyle name="Millions 7 2 2 3" xfId="51809" xr:uid="{00000000-0005-0000-0000-000005060000}"/>
    <cellStyle name="Millions 7 2 3" xfId="24175" xr:uid="{00000000-0005-0000-0000-000005060000}"/>
    <cellStyle name="Millions 7 2 3 2" xfId="42544" xr:uid="{00000000-0005-0000-0000-000005060000}"/>
    <cellStyle name="Millions 7 2 4" xfId="20495" xr:uid="{00000000-0005-0000-0000-000005060000}"/>
    <cellStyle name="Millions 7 2 5" xfId="38893" xr:uid="{00000000-0005-0000-0000-000005060000}"/>
    <cellStyle name="Millions 7 3" xfId="19179" xr:uid="{00000000-0005-0000-0000-000005060000}"/>
    <cellStyle name="Millions 7 3 2" xfId="37587" xr:uid="{00000000-0005-0000-0000-000005060000}"/>
    <cellStyle name="Millions 7 4" xfId="8988" xr:uid="{00000000-0005-0000-0000-000005060000}"/>
    <cellStyle name="Millions 7 5" xfId="10809" xr:uid="{00000000-0005-0000-0000-000005060000}"/>
    <cellStyle name="Millions 8" xfId="1850" xr:uid="{00000000-0005-0000-0000-000006060000}"/>
    <cellStyle name="Millions 8 2" xfId="4775" xr:uid="{00000000-0005-0000-0000-000006060000}"/>
    <cellStyle name="Millions 8 2 2" xfId="15501" xr:uid="{00000000-0005-0000-0000-000006060000}"/>
    <cellStyle name="Millions 8 2 2 2" xfId="33894" xr:uid="{00000000-0005-0000-0000-000006060000}"/>
    <cellStyle name="Millions 8 2 2 3" xfId="52257" xr:uid="{00000000-0005-0000-0000-000006060000}"/>
    <cellStyle name="Millions 8 2 3" xfId="24625" xr:uid="{00000000-0005-0000-0000-000006060000}"/>
    <cellStyle name="Millions 8 2 3 2" xfId="42994" xr:uid="{00000000-0005-0000-0000-000006060000}"/>
    <cellStyle name="Millions 8 2 4" xfId="20952" xr:uid="{00000000-0005-0000-0000-000006060000}"/>
    <cellStyle name="Millions 8 2 5" xfId="39341" xr:uid="{00000000-0005-0000-0000-000006060000}"/>
    <cellStyle name="Millions 8 3" xfId="18163" xr:uid="{00000000-0005-0000-0000-000006060000}"/>
    <cellStyle name="Millions 8 3 2" xfId="36569" xr:uid="{00000000-0005-0000-0000-000006060000}"/>
    <cellStyle name="Millions 8 4" xfId="6958" xr:uid="{00000000-0005-0000-0000-000006060000}"/>
    <cellStyle name="Millions 8 5" xfId="22211" xr:uid="{00000000-0005-0000-0000-000006060000}"/>
    <cellStyle name="Millions 9" xfId="2998" xr:uid="{00000000-0005-0000-0000-000007060000}"/>
    <cellStyle name="Millions 9 2" xfId="5256" xr:uid="{00000000-0005-0000-0000-000007060000}"/>
    <cellStyle name="Millions 9 2 2" xfId="15948" xr:uid="{00000000-0005-0000-0000-000007060000}"/>
    <cellStyle name="Millions 9 2 2 2" xfId="34322" xr:uid="{00000000-0005-0000-0000-000007060000}"/>
    <cellStyle name="Millions 9 2 2 3" xfId="52685" xr:uid="{00000000-0005-0000-0000-000007060000}"/>
    <cellStyle name="Millions 9 2 3" xfId="25069" xr:uid="{00000000-0005-0000-0000-000007060000}"/>
    <cellStyle name="Millions 9 2 3 2" xfId="43438" xr:uid="{00000000-0005-0000-0000-000007060000}"/>
    <cellStyle name="Millions 9 2 4" xfId="21390" xr:uid="{00000000-0005-0000-0000-000007060000}"/>
    <cellStyle name="Millions 9 2 5" xfId="39769" xr:uid="{00000000-0005-0000-0000-000007060000}"/>
    <cellStyle name="Millions 9 3" xfId="23011" xr:uid="{00000000-0005-0000-0000-000007060000}"/>
    <cellStyle name="Millions 9 3 2" xfId="41380" xr:uid="{00000000-0005-0000-0000-000007060000}"/>
    <cellStyle name="Millions 9 4" xfId="17570" xr:uid="{00000000-0005-0000-0000-000007060000}"/>
    <cellStyle name="Millions 9 5" xfId="36013" xr:uid="{00000000-0005-0000-0000-000007060000}"/>
    <cellStyle name="Monétaire [0]_EDYAN" xfId="573" xr:uid="{00000000-0005-0000-0000-000008060000}"/>
    <cellStyle name="Monétaire_EDYAN" xfId="574" xr:uid="{00000000-0005-0000-0000-000009060000}"/>
    <cellStyle name="month-year" xfId="575" xr:uid="{00000000-0005-0000-0000-00000A060000}"/>
    <cellStyle name="MonthYears" xfId="576" xr:uid="{00000000-0005-0000-0000-00000B060000}"/>
    <cellStyle name="MSectionHeadings" xfId="577" xr:uid="{00000000-0005-0000-0000-00000C060000}"/>
    <cellStyle name="MSectionHeadings 2" xfId="2116" xr:uid="{00000000-0005-0000-0000-00000D060000}"/>
    <cellStyle name="MSectionHeadings 3" xfId="2569" xr:uid="{00000000-0005-0000-0000-00000E060000}"/>
    <cellStyle name="Multiple" xfId="578" xr:uid="{00000000-0005-0000-0000-00000F060000}"/>
    <cellStyle name="Multiple [0]" xfId="579" xr:uid="{00000000-0005-0000-0000-000010060000}"/>
    <cellStyle name="Multiple [0] 2" xfId="2117" xr:uid="{00000000-0005-0000-0000-000011060000}"/>
    <cellStyle name="Multiple [0] 3" xfId="2570" xr:uid="{00000000-0005-0000-0000-000012060000}"/>
    <cellStyle name="Multiple Without" xfId="580" xr:uid="{00000000-0005-0000-0000-000013060000}"/>
    <cellStyle name="Multiple_Analysis v6" xfId="581" xr:uid="{00000000-0005-0000-0000-000014060000}"/>
    <cellStyle name="Multiples" xfId="582" xr:uid="{00000000-0005-0000-0000-000015060000}"/>
    <cellStyle name="Multiples1decimal" xfId="583" xr:uid="{00000000-0005-0000-0000-000016060000}"/>
    <cellStyle name="n0" xfId="584" xr:uid="{00000000-0005-0000-0000-000017060000}"/>
    <cellStyle name="n2" xfId="585" xr:uid="{00000000-0005-0000-0000-000018060000}"/>
    <cellStyle name="NA is zero" xfId="586" xr:uid="{00000000-0005-0000-0000-000019060000}"/>
    <cellStyle name="Name" xfId="587" xr:uid="{00000000-0005-0000-0000-00001A060000}"/>
    <cellStyle name="Name 2" xfId="2118" xr:uid="{00000000-0005-0000-0000-00001B060000}"/>
    <cellStyle name="Name 3" xfId="2571" xr:uid="{00000000-0005-0000-0000-00001C060000}"/>
    <cellStyle name="NavStyleDefault" xfId="588" xr:uid="{00000000-0005-0000-0000-00001D060000}"/>
    <cellStyle name="NavStyleDefault 2" xfId="2119" xr:uid="{00000000-0005-0000-0000-00001E060000}"/>
    <cellStyle name="NavStyleDefault 3" xfId="2572" xr:uid="{00000000-0005-0000-0000-00001F060000}"/>
    <cellStyle name="Neutral" xfId="19" builtinId="28" customBuiltin="1"/>
    <cellStyle name="Neutral 2" xfId="1319" xr:uid="{00000000-0005-0000-0000-000021060000}"/>
    <cellStyle name="Neutral 2 2" xfId="1616" xr:uid="{00000000-0005-0000-0000-000022060000}"/>
    <cellStyle name="Neutral 3" xfId="57" xr:uid="{00000000-0005-0000-0000-00008A1A0000}"/>
    <cellStyle name="Neutral 3 2" xfId="54242" xr:uid="{00000000-0005-0000-0000-00005C000000}"/>
    <cellStyle name="new" xfId="589" xr:uid="{00000000-0005-0000-0000-000023060000}"/>
    <cellStyle name="NewAcct" xfId="590" xr:uid="{00000000-0005-0000-0000-000024060000}"/>
    <cellStyle name="NewAcct 2" xfId="2120" xr:uid="{00000000-0005-0000-0000-000025060000}"/>
    <cellStyle name="NewAcct 3" xfId="2573" xr:uid="{00000000-0005-0000-0000-000026060000}"/>
    <cellStyle name="NINA" xfId="591" xr:uid="{00000000-0005-0000-0000-000027060000}"/>
    <cellStyle name="NINA 2" xfId="2121" xr:uid="{00000000-0005-0000-0000-000028060000}"/>
    <cellStyle name="NINA 3" xfId="2574" xr:uid="{00000000-0005-0000-0000-000029060000}"/>
    <cellStyle name="No Commas" xfId="592" xr:uid="{00000000-0005-0000-0000-00002A060000}"/>
    <cellStyle name="No Commas 2" xfId="2122" xr:uid="{00000000-0005-0000-0000-00002B060000}"/>
    <cellStyle name="No Commas 3" xfId="2575" xr:uid="{00000000-0005-0000-0000-00002C060000}"/>
    <cellStyle name="no dec" xfId="593" xr:uid="{00000000-0005-0000-0000-00002D060000}"/>
    <cellStyle name="nobuild" xfId="594" xr:uid="{00000000-0005-0000-0000-00002E060000}"/>
    <cellStyle name="nobuild 2" xfId="2123" xr:uid="{00000000-0005-0000-0000-00002F060000}"/>
    <cellStyle name="nobuild 3" xfId="2576" xr:uid="{00000000-0005-0000-0000-000030060000}"/>
    <cellStyle name="Normal" xfId="0" builtinId="0"/>
    <cellStyle name="Normal--" xfId="595" xr:uid="{00000000-0005-0000-0000-000032060000}"/>
    <cellStyle name="Normal - Style1" xfId="596" xr:uid="{00000000-0005-0000-0000-000033060000}"/>
    <cellStyle name="Normal [0]" xfId="597" xr:uid="{00000000-0005-0000-0000-000034060000}"/>
    <cellStyle name="Normal [1]" xfId="598" xr:uid="{00000000-0005-0000-0000-000035060000}"/>
    <cellStyle name="Normal [1] 2" xfId="2124" xr:uid="{00000000-0005-0000-0000-000036060000}"/>
    <cellStyle name="Normal [1] 3" xfId="2577" xr:uid="{00000000-0005-0000-0000-000037060000}"/>
    <cellStyle name="Normal [2]" xfId="599" xr:uid="{00000000-0005-0000-0000-000038060000}"/>
    <cellStyle name="Normal [3]" xfId="600" xr:uid="{00000000-0005-0000-0000-000039060000}"/>
    <cellStyle name="Normal [3] 2" xfId="2125" xr:uid="{00000000-0005-0000-0000-00003A060000}"/>
    <cellStyle name="Normal [3] 3" xfId="2578" xr:uid="{00000000-0005-0000-0000-00003B060000}"/>
    <cellStyle name="Normal 0.0" xfId="601" xr:uid="{00000000-0005-0000-0000-00003C060000}"/>
    <cellStyle name="Normal 0.0 2" xfId="981" xr:uid="{00000000-0005-0000-0000-00003D060000}"/>
    <cellStyle name="Normal 0.0 3" xfId="1582" xr:uid="{00000000-0005-0000-0000-00003E060000}"/>
    <cellStyle name="Normal 0.0 4" xfId="3333" xr:uid="{00000000-0005-0000-0000-00003C060000}"/>
    <cellStyle name="Normal 10" xfId="974" xr:uid="{00000000-0005-0000-0000-00003F060000}"/>
    <cellStyle name="Normal 10 2" xfId="1015" xr:uid="{00000000-0005-0000-0000-000040060000}"/>
    <cellStyle name="Normal 10 3" xfId="2790" xr:uid="{00000000-0005-0000-0000-000041060000}"/>
    <cellStyle name="Normal 10 4" xfId="2877" xr:uid="{00000000-0005-0000-0000-000042060000}"/>
    <cellStyle name="Normal 10 5" xfId="3328" xr:uid="{00000000-0005-0000-0000-000043060000}"/>
    <cellStyle name="Normal 10 6" xfId="4072" xr:uid="{00000000-0005-0000-0000-000059000000}"/>
    <cellStyle name="Normal 11" xfId="79" xr:uid="{00000000-0005-0000-0000-000044060000}"/>
    <cellStyle name="Normal 11 2" xfId="1017" xr:uid="{00000000-0005-0000-0000-000045060000}"/>
    <cellStyle name="Normal 11 3" xfId="2800" xr:uid="{00000000-0005-0000-0000-000046060000}"/>
    <cellStyle name="Normal 11 4" xfId="2888" xr:uid="{00000000-0005-0000-0000-000047060000}"/>
    <cellStyle name="Normal 12" xfId="988" xr:uid="{00000000-0005-0000-0000-000048060000}"/>
    <cellStyle name="Normal 12 2" xfId="1102" xr:uid="{00000000-0005-0000-0000-000049060000}"/>
    <cellStyle name="Normal 12 3" xfId="1428" xr:uid="{00000000-0005-0000-0000-00004A060000}"/>
    <cellStyle name="Normal 12 4" xfId="1887" xr:uid="{00000000-0005-0000-0000-00004B060000}"/>
    <cellStyle name="Normal 12 5" xfId="2306" xr:uid="{00000000-0005-0000-0000-00004C060000}"/>
    <cellStyle name="Normal 12 6" xfId="2897" xr:uid="{00000000-0005-0000-0000-00004D060000}"/>
    <cellStyle name="Normal 13" xfId="1009" xr:uid="{00000000-0005-0000-0000-00004E060000}"/>
    <cellStyle name="Normal 13 2" xfId="1110" xr:uid="{00000000-0005-0000-0000-00004F060000}"/>
    <cellStyle name="Normal 13 2 2" xfId="1294" xr:uid="{00000000-0005-0000-0000-000050060000}"/>
    <cellStyle name="Normal 13 3" xfId="1286" xr:uid="{00000000-0005-0000-0000-000051060000}"/>
    <cellStyle name="Normal 13 4" xfId="1429" xr:uid="{00000000-0005-0000-0000-000052060000}"/>
    <cellStyle name="Normal 13 5" xfId="2898" xr:uid="{00000000-0005-0000-0000-000053060000}"/>
    <cellStyle name="Normal 13 6" xfId="4909" xr:uid="{00000000-0005-0000-0000-00005A000000}"/>
    <cellStyle name="Normal 14" xfId="1018" xr:uid="{00000000-0005-0000-0000-000054060000}"/>
    <cellStyle name="Normal 14 2" xfId="1431" xr:uid="{00000000-0005-0000-0000-000055060000}"/>
    <cellStyle name="Normal 14 3" xfId="1329" xr:uid="{00000000-0005-0000-0000-000056060000}"/>
    <cellStyle name="Normal 14 4" xfId="3129" xr:uid="{00000000-0005-0000-0000-000057060000}"/>
    <cellStyle name="Normal 15" xfId="1103" xr:uid="{00000000-0005-0000-0000-000058060000}"/>
    <cellStyle name="Normal 15 2" xfId="1459" xr:uid="{00000000-0005-0000-0000-000059060000}"/>
    <cellStyle name="Normal 15 3" xfId="2827" xr:uid="{00000000-0005-0000-0000-00005A060000}"/>
    <cellStyle name="Normal 154" xfId="1293" xr:uid="{00000000-0005-0000-0000-00005B060000}"/>
    <cellStyle name="Normal 16" xfId="971" xr:uid="{00000000-0005-0000-0000-00005C060000}"/>
    <cellStyle name="Normal 16 2" xfId="2303" xr:uid="{00000000-0005-0000-0000-00005D060000}"/>
    <cellStyle name="Normal 16 2 2" xfId="3110" xr:uid="{00000000-0005-0000-0000-00005E060000}"/>
    <cellStyle name="Normal 16 3" xfId="3130" xr:uid="{00000000-0005-0000-0000-00005F060000}"/>
    <cellStyle name="Normal 17" xfId="1114" xr:uid="{00000000-0005-0000-0000-000060060000}"/>
    <cellStyle name="Normal 17 2" xfId="1463" xr:uid="{00000000-0005-0000-0000-000061060000}"/>
    <cellStyle name="Normal 17 2 2" xfId="3131" xr:uid="{00000000-0005-0000-0000-000062060000}"/>
    <cellStyle name="Normal 17 3" xfId="2826" xr:uid="{00000000-0005-0000-0000-000063060000}"/>
    <cellStyle name="Normal 17 6" xfId="3141" xr:uid="{00000000-0005-0000-0000-000064060000}"/>
    <cellStyle name="Normal 18" xfId="1195" xr:uid="{00000000-0005-0000-0000-000065060000}"/>
    <cellStyle name="Normal 18 2" xfId="1477" xr:uid="{00000000-0005-0000-0000-000066060000}"/>
    <cellStyle name="Normal 18 3" xfId="54227" xr:uid="{00000000-0005-0000-0000-00005F000000}"/>
    <cellStyle name="Normal 189" xfId="1254" xr:uid="{00000000-0005-0000-0000-000067060000}"/>
    <cellStyle name="Normal 19" xfId="1221" xr:uid="{00000000-0005-0000-0000-000068060000}"/>
    <cellStyle name="Normal 19 2" xfId="1492" xr:uid="{00000000-0005-0000-0000-000069060000}"/>
    <cellStyle name="Normal 191" xfId="1256" xr:uid="{00000000-0005-0000-0000-00006A060000}"/>
    <cellStyle name="Normal 193" xfId="1257" xr:uid="{00000000-0005-0000-0000-00006B060000}"/>
    <cellStyle name="Normal 194" xfId="1258" xr:uid="{00000000-0005-0000-0000-00006C060000}"/>
    <cellStyle name="Normal 195" xfId="1259" xr:uid="{00000000-0005-0000-0000-00006D060000}"/>
    <cellStyle name="Normal 196" xfId="1260" xr:uid="{00000000-0005-0000-0000-00006E060000}"/>
    <cellStyle name="Normal 197" xfId="1261" xr:uid="{00000000-0005-0000-0000-00006F060000}"/>
    <cellStyle name="Normal 2" xfId="74" xr:uid="{00000000-0005-0000-0000-000070060000}"/>
    <cellStyle name="Normal 2 10" xfId="1817" xr:uid="{00000000-0005-0000-0000-000071060000}"/>
    <cellStyle name="Normal 2 11" xfId="1936" xr:uid="{00000000-0005-0000-0000-000072060000}"/>
    <cellStyle name="Normal 2 12" xfId="2389" xr:uid="{00000000-0005-0000-0000-000073060000}"/>
    <cellStyle name="Normal 2 13" xfId="54215" xr:uid="{00000000-0005-0000-0000-000002000000}"/>
    <cellStyle name="Normal 2 2" xfId="11" xr:uid="{DA0AF513-D10B-4F77-9199-FFBB16F3D6BE}"/>
    <cellStyle name="Normal 2 2 10" xfId="2814" xr:uid="{00000000-0005-0000-0000-000075060000}"/>
    <cellStyle name="Normal 2 2 11" xfId="602" xr:uid="{00000000-0005-0000-0000-000074060000}"/>
    <cellStyle name="Normal 2 2 2" xfId="85" xr:uid="{00000000-0005-0000-0000-000076060000}"/>
    <cellStyle name="Normal 2 2 2 2" xfId="1023" xr:uid="{00000000-0005-0000-0000-000077060000}"/>
    <cellStyle name="Normal 2 2 2 2 2" xfId="1267" xr:uid="{00000000-0005-0000-0000-000078060000}"/>
    <cellStyle name="Normal 2 2 2 2 3" xfId="1264" xr:uid="{00000000-0005-0000-0000-000079060000}"/>
    <cellStyle name="Normal 2 2 2 2 4" xfId="2853" xr:uid="{00000000-0005-0000-0000-00007A060000}"/>
    <cellStyle name="Normal 2 2 2 3" xfId="1302" xr:uid="{00000000-0005-0000-0000-00007B060000}"/>
    <cellStyle name="Normal 2 2 2 3 2" xfId="2890" xr:uid="{00000000-0005-0000-0000-00007C060000}"/>
    <cellStyle name="Normal 2 2 2 4" xfId="1334" xr:uid="{00000000-0005-0000-0000-00007D060000}"/>
    <cellStyle name="Normal 2 2 2 4 2" xfId="2845" xr:uid="{00000000-0005-0000-0000-00007E060000}"/>
    <cellStyle name="Normal 2 2 2 5" xfId="1937" xr:uid="{00000000-0005-0000-0000-00007F060000}"/>
    <cellStyle name="Normal 2 2 2 5 2" xfId="2819" xr:uid="{00000000-0005-0000-0000-000080060000}"/>
    <cellStyle name="Normal 2 2 2 6" xfId="2752" xr:uid="{00000000-0005-0000-0000-000081060000}"/>
    <cellStyle name="Normal 2 2 2_DCF" xfId="1305" xr:uid="{00000000-0005-0000-0000-000082060000}"/>
    <cellStyle name="Normal 2 2 3" xfId="1016" xr:uid="{00000000-0005-0000-0000-000083060000}"/>
    <cellStyle name="Normal 2 2 3 2" xfId="2851" xr:uid="{00000000-0005-0000-0000-000084060000}"/>
    <cellStyle name="Normal 2 2 3 2 2" xfId="3132" xr:uid="{00000000-0005-0000-0000-000085060000}"/>
    <cellStyle name="Normal 2 2 4" xfId="1310" xr:uid="{00000000-0005-0000-0000-000086060000}"/>
    <cellStyle name="Normal 2 2 4 2" xfId="2876" xr:uid="{00000000-0005-0000-0000-000087060000}"/>
    <cellStyle name="Normal 2 2 5" xfId="1423" xr:uid="{00000000-0005-0000-0000-000088060000}"/>
    <cellStyle name="Normal 2 2 5 2" xfId="2820" xr:uid="{00000000-0005-0000-0000-000089060000}"/>
    <cellStyle name="Normal 2 2 6" xfId="1308" xr:uid="{00000000-0005-0000-0000-00008A060000}"/>
    <cellStyle name="Normal 2 2 6 2" xfId="2822" xr:uid="{00000000-0005-0000-0000-00008B060000}"/>
    <cellStyle name="Normal 2 2 6 3" xfId="2895" xr:uid="{00000000-0005-0000-0000-00008C060000}"/>
    <cellStyle name="Normal 2 2 6 4" xfId="2891" xr:uid="{00000000-0005-0000-0000-00008D060000}"/>
    <cellStyle name="Normal 2 2 7" xfId="1378" xr:uid="{00000000-0005-0000-0000-00008E060000}"/>
    <cellStyle name="Normal 2 2 7 2" xfId="2893" xr:uid="{00000000-0005-0000-0000-00008F060000}"/>
    <cellStyle name="Normal 2 2 7 3" xfId="2892" xr:uid="{00000000-0005-0000-0000-000090060000}"/>
    <cellStyle name="Normal 2 2 8" xfId="2126" xr:uid="{00000000-0005-0000-0000-000091060000}"/>
    <cellStyle name="Normal 2 2 8 2" xfId="2894" xr:uid="{00000000-0005-0000-0000-000092060000}"/>
    <cellStyle name="Normal 2 2 9" xfId="2744" xr:uid="{00000000-0005-0000-0000-000093060000}"/>
    <cellStyle name="Normal 2 2 9 2" xfId="2896" xr:uid="{00000000-0005-0000-0000-000094060000}"/>
    <cellStyle name="Normal 2 3" xfId="965" xr:uid="{00000000-0005-0000-0000-000095060000}"/>
    <cellStyle name="Normal 2 3 2" xfId="1426" xr:uid="{00000000-0005-0000-0000-000096060000}"/>
    <cellStyle name="Normal 2 3 2 2" xfId="2835" xr:uid="{00000000-0005-0000-0000-000097060000}"/>
    <cellStyle name="Normal 2 3 2 3" xfId="3133" xr:uid="{00000000-0005-0000-0000-000098060000}"/>
    <cellStyle name="Normal 2 3 3" xfId="1316" xr:uid="{00000000-0005-0000-0000-000099060000}"/>
    <cellStyle name="Normal 2 3 3 2" xfId="2837" xr:uid="{00000000-0005-0000-0000-00009A060000}"/>
    <cellStyle name="Normal 2 3 4" xfId="2299" xr:uid="{00000000-0005-0000-0000-00009B060000}"/>
    <cellStyle name="Normal 2 3 4 2" xfId="2839" xr:uid="{00000000-0005-0000-0000-00009C060000}"/>
    <cellStyle name="Normal 2 3 5" xfId="2750" xr:uid="{00000000-0005-0000-0000-00009D060000}"/>
    <cellStyle name="Normal 2 3 5 2" xfId="2870" xr:uid="{00000000-0005-0000-0000-00009E060000}"/>
    <cellStyle name="Normal 2 3 5 3" xfId="2873" xr:uid="{00000000-0005-0000-0000-00009F060000}"/>
    <cellStyle name="Normal 2 3 5 4" xfId="2884" xr:uid="{00000000-0005-0000-0000-0000A0060000}"/>
    <cellStyle name="Normal 2 3 5 5" xfId="2841" xr:uid="{00000000-0005-0000-0000-0000A1060000}"/>
    <cellStyle name="Normal 2 3 6" xfId="2823" xr:uid="{00000000-0005-0000-0000-0000A2060000}"/>
    <cellStyle name="Normal 2 3 7" xfId="2833" xr:uid="{00000000-0005-0000-0000-0000A3060000}"/>
    <cellStyle name="Normal 2 4" xfId="1285" xr:uid="{00000000-0005-0000-0000-0000A4060000}"/>
    <cellStyle name="Normal 2 4 2" xfId="2848" xr:uid="{00000000-0005-0000-0000-0000A5060000}"/>
    <cellStyle name="Normal 2 4 2 2" xfId="2855" xr:uid="{00000000-0005-0000-0000-0000A6060000}"/>
    <cellStyle name="Normal 2 4 3" xfId="2834" xr:uid="{00000000-0005-0000-0000-0000A7060000}"/>
    <cellStyle name="Normal 2 4 3 2" xfId="2866" xr:uid="{00000000-0005-0000-0000-0000A8060000}"/>
    <cellStyle name="Normal 2 4 4" xfId="3113" xr:uid="{00000000-0005-0000-0000-0000A9060000}"/>
    <cellStyle name="Normal 2 5" xfId="1307" xr:uid="{00000000-0005-0000-0000-0000AA060000}"/>
    <cellStyle name="Normal 2 5 2" xfId="2836" xr:uid="{00000000-0005-0000-0000-0000AB060000}"/>
    <cellStyle name="Normal 2 6" xfId="1424" xr:uid="{00000000-0005-0000-0000-0000AC060000}"/>
    <cellStyle name="Normal 2 6 2" xfId="2838" xr:uid="{00000000-0005-0000-0000-0000AD060000}"/>
    <cellStyle name="Normal 2 6 2 2 2 2 2 2" xfId="54224" xr:uid="{00000000-0005-0000-0000-000062000000}"/>
    <cellStyle name="Normal 2 7" xfId="1356" xr:uid="{00000000-0005-0000-0000-0000AE060000}"/>
    <cellStyle name="Normal 2 7 2" xfId="2847" xr:uid="{00000000-0005-0000-0000-0000AF060000}"/>
    <cellStyle name="Normal 2 7 3" xfId="2869" xr:uid="{00000000-0005-0000-0000-0000B0060000}"/>
    <cellStyle name="Normal 2 7 4" xfId="2872" xr:uid="{00000000-0005-0000-0000-0000B1060000}"/>
    <cellStyle name="Normal 2 7 5" xfId="2874" xr:uid="{00000000-0005-0000-0000-0000B2060000}"/>
    <cellStyle name="Normal 2 7 5 2" xfId="2880" xr:uid="{00000000-0005-0000-0000-0000B3060000}"/>
    <cellStyle name="Normal 2 7 6" xfId="2840" xr:uid="{00000000-0005-0000-0000-0000B4060000}"/>
    <cellStyle name="Normal 2 8" xfId="1379" xr:uid="{00000000-0005-0000-0000-0000B5060000}"/>
    <cellStyle name="Normal 2 8 2" xfId="2881" xr:uid="{00000000-0005-0000-0000-0000B6060000}"/>
    <cellStyle name="Normal 2 9" xfId="1815" xr:uid="{00000000-0005-0000-0000-0000B7060000}"/>
    <cellStyle name="Normal 2 9 2" xfId="2813" xr:uid="{00000000-0005-0000-0000-0000B8060000}"/>
    <cellStyle name="Normal 20" xfId="1222" xr:uid="{00000000-0005-0000-0000-0000B9060000}"/>
    <cellStyle name="Normal 20 2" xfId="1493" xr:uid="{00000000-0005-0000-0000-0000BA060000}"/>
    <cellStyle name="Normal 21" xfId="1227" xr:uid="{00000000-0005-0000-0000-0000BB060000}"/>
    <cellStyle name="Normal 21 2" xfId="1495" xr:uid="{00000000-0005-0000-0000-0000BC060000}"/>
    <cellStyle name="Normal 22" xfId="1271" xr:uid="{00000000-0005-0000-0000-0000BD060000}"/>
    <cellStyle name="Normal 22 2" xfId="1500" xr:uid="{00000000-0005-0000-0000-0000BE060000}"/>
    <cellStyle name="Normal 23" xfId="1276" xr:uid="{00000000-0005-0000-0000-0000BF060000}"/>
    <cellStyle name="Normal 23 2" xfId="1501" xr:uid="{00000000-0005-0000-0000-0000C0060000}"/>
    <cellStyle name="Normal 24" xfId="1281" xr:uid="{00000000-0005-0000-0000-0000C1060000}"/>
    <cellStyle name="Normal 25" xfId="1331" xr:uid="{00000000-0005-0000-0000-0000C2060000}"/>
    <cellStyle name="Normal 26" xfId="1332" xr:uid="{00000000-0005-0000-0000-0000C3060000}"/>
    <cellStyle name="Normal 27" xfId="1609" xr:uid="{00000000-0005-0000-0000-0000C4060000}"/>
    <cellStyle name="Normal 28" xfId="1657" xr:uid="{00000000-0005-0000-0000-0000C5060000}"/>
    <cellStyle name="Normal 29" xfId="1567" xr:uid="{00000000-0005-0000-0000-0000C6060000}"/>
    <cellStyle name="Normal 3" xfId="87" xr:uid="{00000000-0005-0000-0000-0000C7060000}"/>
    <cellStyle name="Normal 3 2" xfId="603" xr:uid="{00000000-0005-0000-0000-0000C8060000}"/>
    <cellStyle name="Normal 3 2 2" xfId="973" xr:uid="{00000000-0005-0000-0000-0000C9060000}"/>
    <cellStyle name="Normal 3 2 2 2" xfId="2756" xr:uid="{00000000-0005-0000-0000-0000CA060000}"/>
    <cellStyle name="Normal 3 2 2 2 2" xfId="2886" xr:uid="{00000000-0005-0000-0000-0000CB060000}"/>
    <cellStyle name="Normal 3 2 2 3" xfId="2875" xr:uid="{00000000-0005-0000-0000-0000CC060000}"/>
    <cellStyle name="Normal 3 2 2 3 2" xfId="1266" xr:uid="{00000000-0005-0000-0000-0000CD060000}"/>
    <cellStyle name="Normal 3 2 2 3 3 2 2 2" xfId="1268" xr:uid="{00000000-0005-0000-0000-0000CE060000}"/>
    <cellStyle name="Normal 3 2 2 4" xfId="3134" xr:uid="{00000000-0005-0000-0000-0000CF060000}"/>
    <cellStyle name="Normal 3 2 3" xfId="2127" xr:uid="{00000000-0005-0000-0000-0000D0060000}"/>
    <cellStyle name="Normal 3 2 3 2" xfId="2862" xr:uid="{00000000-0005-0000-0000-0000D1060000}"/>
    <cellStyle name="Normal 3 2 3 3" xfId="3300" xr:uid="{00000000-0005-0000-0000-0000D2060000}"/>
    <cellStyle name="Normal 3 2 4" xfId="2745" xr:uid="{00000000-0005-0000-0000-0000D3060000}"/>
    <cellStyle name="Normal 3 2 4 2" xfId="2818" xr:uid="{00000000-0005-0000-0000-0000D4060000}"/>
    <cellStyle name="Normal 3 2 5" xfId="6319" xr:uid="{00000000-0005-0000-0000-00005C000000}"/>
    <cellStyle name="Normal 3 2 6" xfId="54229" xr:uid="{00000000-0005-0000-0000-000064000000}"/>
    <cellStyle name="Normal 3 3" xfId="966" xr:uid="{00000000-0005-0000-0000-0000D5060000}"/>
    <cellStyle name="Normal 3 3 2" xfId="1816" xr:uid="{00000000-0005-0000-0000-0000D6060000}"/>
    <cellStyle name="Normal 3 3 2 2" xfId="2857" xr:uid="{00000000-0005-0000-0000-0000D7060000}"/>
    <cellStyle name="Normal 3 3 3" xfId="2300" xr:uid="{00000000-0005-0000-0000-0000D8060000}"/>
    <cellStyle name="Normal 3 3 3 2" xfId="2821" xr:uid="{00000000-0005-0000-0000-0000D9060000}"/>
    <cellStyle name="Normal 3 3 4" xfId="2751" xr:uid="{00000000-0005-0000-0000-0000DA060000}"/>
    <cellStyle name="Normal 3 4" xfId="1027" xr:uid="{00000000-0005-0000-0000-0000DB060000}"/>
    <cellStyle name="Normal 3 4 2" xfId="1094" xr:uid="{00000000-0005-0000-0000-0000DC060000}"/>
    <cellStyle name="Normal 3 4 2 2" xfId="2795" xr:uid="{00000000-0005-0000-0000-0000DD060000}"/>
    <cellStyle name="Normal 3 4 3" xfId="2757" xr:uid="{00000000-0005-0000-0000-0000DE060000}"/>
    <cellStyle name="Normal 3 4 4" xfId="2864" xr:uid="{00000000-0005-0000-0000-0000DF060000}"/>
    <cellStyle name="Normal 3 4 5" xfId="3114" xr:uid="{00000000-0005-0000-0000-0000E0060000}"/>
    <cellStyle name="Normal 3 4_Summary" xfId="2358" xr:uid="{00000000-0005-0000-0000-0000E1060000}"/>
    <cellStyle name="Normal 3 5" xfId="1335" xr:uid="{00000000-0005-0000-0000-0000E2060000}"/>
    <cellStyle name="Normal 3 5 2" xfId="2883" xr:uid="{00000000-0005-0000-0000-0000E3060000}"/>
    <cellStyle name="Normal 3 6" xfId="1309" xr:uid="{00000000-0005-0000-0000-0000E4060000}"/>
    <cellStyle name="Normal 3 6 2" xfId="2887" xr:uid="{00000000-0005-0000-0000-0000E5060000}"/>
    <cellStyle name="Normal 3 7" xfId="1938" xr:uid="{00000000-0005-0000-0000-0000E6060000}"/>
    <cellStyle name="Normal 3 7 2" xfId="2817" xr:uid="{00000000-0005-0000-0000-0000E7060000}"/>
    <cellStyle name="Normal 3 8" xfId="2390" xr:uid="{00000000-0005-0000-0000-0000E8060000}"/>
    <cellStyle name="Normal 3 9" xfId="54216" xr:uid="{00000000-0005-0000-0000-000004000000}"/>
    <cellStyle name="Normal 3_Collection" xfId="6336" xr:uid="{00000000-0005-0000-0000-00005D000000}"/>
    <cellStyle name="Normal 30" xfId="1584" xr:uid="{00000000-0005-0000-0000-0000E9060000}"/>
    <cellStyle name="Normal 31" xfId="1571" xr:uid="{00000000-0005-0000-0000-0000EA060000}"/>
    <cellStyle name="Normal 31 2" xfId="54225" xr:uid="{00000000-0005-0000-0000-000066000000}"/>
    <cellStyle name="Normal 32" xfId="1577" xr:uid="{00000000-0005-0000-0000-0000EB060000}"/>
    <cellStyle name="Normal 32 2" xfId="54223" xr:uid="{00000000-0005-0000-0000-000067000000}"/>
    <cellStyle name="Normal 33" xfId="1573" xr:uid="{00000000-0005-0000-0000-0000EC060000}"/>
    <cellStyle name="Normal 33 2" xfId="54221" xr:uid="{00000000-0005-0000-0000-000068000000}"/>
    <cellStyle name="Normal 34" xfId="1581" xr:uid="{00000000-0005-0000-0000-0000ED060000}"/>
    <cellStyle name="Normal 35" xfId="1583" xr:uid="{00000000-0005-0000-0000-0000EE060000}"/>
    <cellStyle name="Normal 35 2" xfId="54222" xr:uid="{00000000-0005-0000-0000-000069000000}"/>
    <cellStyle name="Normal 36" xfId="1586" xr:uid="{00000000-0005-0000-0000-0000EF060000}"/>
    <cellStyle name="Normal 37" xfId="1533" xr:uid="{00000000-0005-0000-0000-0000F0060000}"/>
    <cellStyle name="Normal 38" xfId="1565" xr:uid="{00000000-0005-0000-0000-0000F1060000}"/>
    <cellStyle name="Normal 39" xfId="1578" xr:uid="{00000000-0005-0000-0000-0000F2060000}"/>
    <cellStyle name="Normal 4" xfId="604" xr:uid="{00000000-0005-0000-0000-0000F3060000}"/>
    <cellStyle name="Normal 4 2" xfId="1289" xr:uid="{00000000-0005-0000-0000-0000F4060000}"/>
    <cellStyle name="Normal 4 2 2" xfId="2843" xr:uid="{00000000-0005-0000-0000-0000F5060000}"/>
    <cellStyle name="Normal 4 2 3" xfId="3116" xr:uid="{00000000-0005-0000-0000-0000F6060000}"/>
    <cellStyle name="Normal 4 3" xfId="1374" xr:uid="{00000000-0005-0000-0000-0000F7060000}"/>
    <cellStyle name="Normal 4 3 2" xfId="2858" xr:uid="{00000000-0005-0000-0000-0000F8060000}"/>
    <cellStyle name="Normal 4 4" xfId="1313" xr:uid="{00000000-0005-0000-0000-0000F9060000}"/>
    <cellStyle name="Normal 4 4 2" xfId="2815" xr:uid="{00000000-0005-0000-0000-0000FA060000}"/>
    <cellStyle name="Normal 4 4 3" xfId="54231" xr:uid="{00000000-0005-0000-0000-00006D000000}"/>
    <cellStyle name="Normal 4 5" xfId="2128" xr:uid="{00000000-0005-0000-0000-0000FB060000}"/>
    <cellStyle name="Normal 4 6" xfId="2579" xr:uid="{00000000-0005-0000-0000-0000FC060000}"/>
    <cellStyle name="Normal 40" xfId="1563" xr:uid="{00000000-0005-0000-0000-0000FD060000}"/>
    <cellStyle name="Normal 41" xfId="1306" xr:uid="{00000000-0005-0000-0000-0000FE060000}"/>
    <cellStyle name="Normal 42" xfId="1425" xr:uid="{00000000-0005-0000-0000-0000FF060000}"/>
    <cellStyle name="Normal 43" xfId="1498" xr:uid="{00000000-0005-0000-0000-000000070000}"/>
    <cellStyle name="Normal 44" xfId="1380" xr:uid="{00000000-0005-0000-0000-000001070000}"/>
    <cellStyle name="Normal 44 2" xfId="54235" xr:uid="{00000000-0005-0000-0000-00006E000000}"/>
    <cellStyle name="Normal 45" xfId="1794" xr:uid="{00000000-0005-0000-0000-000002070000}"/>
    <cellStyle name="Normal 46" xfId="1809" xr:uid="{00000000-0005-0000-0000-000003070000}"/>
    <cellStyle name="Normal 47" xfId="1818" xr:uid="{00000000-0005-0000-0000-000004070000}"/>
    <cellStyle name="Normal 48" xfId="1880" xr:uid="{00000000-0005-0000-0000-000005070000}"/>
    <cellStyle name="Normal 49" xfId="1882" xr:uid="{00000000-0005-0000-0000-000006070000}"/>
    <cellStyle name="Normal 49 3" xfId="1108" xr:uid="{00000000-0005-0000-0000-000007070000}"/>
    <cellStyle name="Normal 5" xfId="605" xr:uid="{00000000-0005-0000-0000-000008070000}"/>
    <cellStyle name="Normal 5 2" xfId="1375" xr:uid="{00000000-0005-0000-0000-000009070000}"/>
    <cellStyle name="Normal 5 2 2" xfId="2842" xr:uid="{00000000-0005-0000-0000-00000A070000}"/>
    <cellStyle name="Normal 5 2 3" xfId="3135" xr:uid="{00000000-0005-0000-0000-00000B070000}"/>
    <cellStyle name="Normal 5 2 4" xfId="54238" xr:uid="{00000000-0005-0000-0000-000070000000}"/>
    <cellStyle name="Normal 5 3" xfId="1320" xr:uid="{00000000-0005-0000-0000-00000C070000}"/>
    <cellStyle name="Normal 5 3 2" xfId="2824" xr:uid="{00000000-0005-0000-0000-00000D070000}"/>
    <cellStyle name="Normal 5 4" xfId="2129" xr:uid="{00000000-0005-0000-0000-00000E070000}"/>
    <cellStyle name="Normal 5 5" xfId="2747" xr:uid="{00000000-0005-0000-0000-00000F070000}"/>
    <cellStyle name="Normal 5 6" xfId="6317" xr:uid="{00000000-0005-0000-0000-00005F000000}"/>
    <cellStyle name="Normal 5 7" xfId="54234" xr:uid="{00000000-0005-0000-0000-00006F000000}"/>
    <cellStyle name="Normal 50" xfId="1888" xr:uid="{00000000-0005-0000-0000-000010070000}"/>
    <cellStyle name="Normal 51" xfId="1894" xr:uid="{00000000-0005-0000-0000-000011070000}"/>
    <cellStyle name="Normal 52" xfId="1928" xr:uid="{00000000-0005-0000-0000-000012070000}"/>
    <cellStyle name="Normal 53" xfId="1933" xr:uid="{00000000-0005-0000-0000-000013070000}"/>
    <cellStyle name="Normal 54" xfId="2309" xr:uid="{00000000-0005-0000-0000-000014070000}"/>
    <cellStyle name="Normal 55" xfId="2376" xr:uid="{00000000-0005-0000-0000-000015070000}"/>
    <cellStyle name="Normal 56" xfId="2381" xr:uid="{00000000-0005-0000-0000-000016070000}"/>
    <cellStyle name="Normal 57" xfId="2386" xr:uid="{00000000-0005-0000-0000-000017070000}"/>
    <cellStyle name="Normal 58" xfId="2803" xr:uid="{00000000-0005-0000-0000-000018070000}"/>
    <cellStyle name="Normal 59" xfId="2904" xr:uid="{00000000-0005-0000-0000-000019070000}"/>
    <cellStyle name="Normal 6" xfId="606" xr:uid="{00000000-0005-0000-0000-00001A070000}"/>
    <cellStyle name="Normal 6 10" xfId="6149" xr:uid="{00000000-0005-0000-0000-000060000000}"/>
    <cellStyle name="Normal 6 2" xfId="88" xr:uid="{00000000-0005-0000-0000-00001B070000}"/>
    <cellStyle name="Normal 6 2 2" xfId="968" xr:uid="{00000000-0005-0000-0000-00001C070000}"/>
    <cellStyle name="Normal 6 2 2 2" xfId="1028" xr:uid="{00000000-0005-0000-0000-00001D070000}"/>
    <cellStyle name="Normal 6 2 2 2 2" xfId="1095" xr:uid="{00000000-0005-0000-0000-00001E070000}"/>
    <cellStyle name="Normal 6 2 2 2 2 2" xfId="2796" xr:uid="{00000000-0005-0000-0000-00001F070000}"/>
    <cellStyle name="Normal 6 2 2 2 3" xfId="2758" xr:uid="{00000000-0005-0000-0000-000020070000}"/>
    <cellStyle name="Normal 6 2 2 2_Summary" xfId="2360" xr:uid="{00000000-0005-0000-0000-000021070000}"/>
    <cellStyle name="Normal 6 2 2 3" xfId="1090" xr:uid="{00000000-0005-0000-0000-000022070000}"/>
    <cellStyle name="Normal 6 2 2 3 2" xfId="2793" xr:uid="{00000000-0005-0000-0000-000023070000}"/>
    <cellStyle name="Normal 6 2 2 4" xfId="2301" xr:uid="{00000000-0005-0000-0000-000024070000}"/>
    <cellStyle name="Normal 6 2 2 5" xfId="2753" xr:uid="{00000000-0005-0000-0000-000025070000}"/>
    <cellStyle name="Normal 6 2 2_Summary" xfId="2359" xr:uid="{00000000-0005-0000-0000-000026070000}"/>
    <cellStyle name="Normal 6 2 3" xfId="1024" xr:uid="{00000000-0005-0000-0000-000027070000}"/>
    <cellStyle name="Normal 6 2 3 2" xfId="1029" xr:uid="{00000000-0005-0000-0000-000028070000}"/>
    <cellStyle name="Normal 6 2 3 2 2" xfId="1096" xr:uid="{00000000-0005-0000-0000-000029070000}"/>
    <cellStyle name="Normal 6 2 3 2 2 2" xfId="2797" xr:uid="{00000000-0005-0000-0000-00002A070000}"/>
    <cellStyle name="Normal 6 2 3 2 3" xfId="2759" xr:uid="{00000000-0005-0000-0000-00002B070000}"/>
    <cellStyle name="Normal 6 2 3 2_Summary" xfId="2362" xr:uid="{00000000-0005-0000-0000-00002C070000}"/>
    <cellStyle name="Normal 6 2 3 3" xfId="1092" xr:uid="{00000000-0005-0000-0000-00002D070000}"/>
    <cellStyle name="Normal 6 2 3 3 2" xfId="2794" xr:uid="{00000000-0005-0000-0000-00002E070000}"/>
    <cellStyle name="Normal 6 2 3 4" xfId="2754" xr:uid="{00000000-0005-0000-0000-00002F070000}"/>
    <cellStyle name="Normal 6 2 3_Summary" xfId="2361" xr:uid="{00000000-0005-0000-0000-000030070000}"/>
    <cellStyle name="Normal 6 2 4" xfId="1086" xr:uid="{00000000-0005-0000-0000-000031070000}"/>
    <cellStyle name="Normal 6 2 4 2" xfId="2791" xr:uid="{00000000-0005-0000-0000-000032070000}"/>
    <cellStyle name="Normal 6 2 5" xfId="1939" xr:uid="{00000000-0005-0000-0000-000033070000}"/>
    <cellStyle name="Normal 6 2 6" xfId="2746" xr:uid="{00000000-0005-0000-0000-000034070000}"/>
    <cellStyle name="Normal 6 2 7" xfId="54249" xr:uid="{00000000-0005-0000-0000-000072000000}"/>
    <cellStyle name="Normal 6 2_Comps Output" xfId="2810" xr:uid="{00000000-0005-0000-0000-000035070000}"/>
    <cellStyle name="Normal 6 3" xfId="1030" xr:uid="{00000000-0005-0000-0000-000036070000}"/>
    <cellStyle name="Normal 6 3 2" xfId="1097" xr:uid="{00000000-0005-0000-0000-000037070000}"/>
    <cellStyle name="Normal 6 3 2 2" xfId="2798" xr:uid="{00000000-0005-0000-0000-000038070000}"/>
    <cellStyle name="Normal 6 3 3" xfId="2760" xr:uid="{00000000-0005-0000-0000-000039070000}"/>
    <cellStyle name="Normal 6 3 4" xfId="2832" xr:uid="{00000000-0005-0000-0000-00003A070000}"/>
    <cellStyle name="Normal 6 3 5" xfId="3136" xr:uid="{00000000-0005-0000-0000-00003B070000}"/>
    <cellStyle name="Normal 6 3_Summary" xfId="2363" xr:uid="{00000000-0005-0000-0000-00003C070000}"/>
    <cellStyle name="Normal 6 4" xfId="1088" xr:uid="{00000000-0005-0000-0000-00003D070000}"/>
    <cellStyle name="Normal 6 4 2" xfId="2792" xr:uid="{00000000-0005-0000-0000-00003E070000}"/>
    <cellStyle name="Normal 6 4 3" xfId="2831" xr:uid="{00000000-0005-0000-0000-00003F070000}"/>
    <cellStyle name="Normal 6 5" xfId="2130" xr:uid="{00000000-0005-0000-0000-000040070000}"/>
    <cellStyle name="Normal 6 5 2" xfId="2899" xr:uid="{00000000-0005-0000-0000-000041070000}"/>
    <cellStyle name="Normal 6 6" xfId="2748" xr:uid="{00000000-0005-0000-0000-000042070000}"/>
    <cellStyle name="Normal 6 6 2" xfId="2903" xr:uid="{00000000-0005-0000-0000-000043070000}"/>
    <cellStyle name="Normal 6 7" xfId="6267" xr:uid="{00000000-0005-0000-0000-000060000000}"/>
    <cellStyle name="Normal 6 8" xfId="5081" xr:uid="{00000000-0005-0000-0000-000060000000}"/>
    <cellStyle name="Normal 6 9" xfId="6080" xr:uid="{00000000-0005-0000-0000-000060000000}"/>
    <cellStyle name="Normal 6_Comps Output" xfId="2809" xr:uid="{00000000-0005-0000-0000-000044070000}"/>
    <cellStyle name="Normal 60" xfId="3107" xr:uid="{00000000-0005-0000-0000-000045070000}"/>
    <cellStyle name="Normal 61" xfId="3146" xr:uid="{00000000-0005-0000-0000-000046070000}"/>
    <cellStyle name="Normal 62" xfId="3155" xr:uid="{00000000-0005-0000-0000-000047070000}"/>
    <cellStyle name="Normal 63" xfId="3181" xr:uid="{00000000-0005-0000-0000-000048070000}"/>
    <cellStyle name="Normal 64" xfId="3182" xr:uid="{00000000-0005-0000-0000-000049070000}"/>
    <cellStyle name="Normal 65" xfId="3298" xr:uid="{00000000-0005-0000-0000-00004A070000}"/>
    <cellStyle name="Normal 66" xfId="3301" xr:uid="{00000000-0005-0000-0000-00004B070000}"/>
    <cellStyle name="Normal 67" xfId="3327" xr:uid="{00000000-0005-0000-0000-00004C070000}"/>
    <cellStyle name="Normal 68" xfId="6178" xr:uid="{00000000-0005-0000-0000-00008B1A0000}"/>
    <cellStyle name="Normal 69" xfId="6162" xr:uid="{00000000-0005-0000-0000-0000A91A0000}"/>
    <cellStyle name="Normal 7" xfId="972" xr:uid="{00000000-0005-0000-0000-00004D070000}"/>
    <cellStyle name="Normal 7 2" xfId="1031" xr:uid="{00000000-0005-0000-0000-00004E070000}"/>
    <cellStyle name="Normal 7 2 2" xfId="2885" xr:uid="{00000000-0005-0000-0000-00004F070000}"/>
    <cellStyle name="Normal 7 2 3" xfId="3118" xr:uid="{00000000-0005-0000-0000-000050070000}"/>
    <cellStyle name="Normal 7 3" xfId="1427" xr:uid="{00000000-0005-0000-0000-000051070000}"/>
    <cellStyle name="Normal 7 3 2" xfId="2850" xr:uid="{00000000-0005-0000-0000-000052070000}"/>
    <cellStyle name="Normal 7 4" xfId="1330" xr:uid="{00000000-0005-0000-0000-000053070000}"/>
    <cellStyle name="Normal 7 5" xfId="2304" xr:uid="{00000000-0005-0000-0000-000054070000}"/>
    <cellStyle name="Normal 7 6" xfId="2761" xr:uid="{00000000-0005-0000-0000-000055070000}"/>
    <cellStyle name="Normal 7 7" xfId="6285" xr:uid="{00000000-0005-0000-0000-000061000000}"/>
    <cellStyle name="Normal 70" xfId="3912" xr:uid="{00000000-0005-0000-0000-0000B11A0000}"/>
    <cellStyle name="Normal 71" xfId="4842" xr:uid="{00000000-0005-0000-0000-0000B91A0000}"/>
    <cellStyle name="Normal 72" xfId="6231" xr:uid="{00000000-0005-0000-0000-0000C11A0000}"/>
    <cellStyle name="Normal 73" xfId="4066" xr:uid="{00000000-0005-0000-0000-0000C71A0000}"/>
    <cellStyle name="Normal 78" xfId="3117" xr:uid="{00000000-0005-0000-0000-000056070000}"/>
    <cellStyle name="Normal 8" xfId="76" xr:uid="{00000000-0005-0000-0000-000057070000}"/>
    <cellStyle name="Normal 8 10" xfId="4082" xr:uid="{00000000-0005-0000-0000-000062000000}"/>
    <cellStyle name="Normal 8 2" xfId="1098" xr:uid="{00000000-0005-0000-0000-000058070000}"/>
    <cellStyle name="Normal 8 2 2" xfId="1101" xr:uid="{00000000-0005-0000-0000-000059070000}"/>
    <cellStyle name="Normal 8 2 2 2" xfId="2856" xr:uid="{00000000-0005-0000-0000-00005A070000}"/>
    <cellStyle name="Normal 8 2 3" xfId="2799" xr:uid="{00000000-0005-0000-0000-00005B070000}"/>
    <cellStyle name="Normal 8 2_Summary" xfId="2365" xr:uid="{00000000-0005-0000-0000-00005C070000}"/>
    <cellStyle name="Normal 8 3" xfId="81" xr:uid="{00000000-0005-0000-0000-00005D070000}"/>
    <cellStyle name="Normal 8 4" xfId="1292" xr:uid="{00000000-0005-0000-0000-00005E070000}"/>
    <cellStyle name="Normal 8 4 2" xfId="2863" xr:uid="{00000000-0005-0000-0000-00005F070000}"/>
    <cellStyle name="Normal 8 4 3" xfId="2849" xr:uid="{00000000-0005-0000-0000-000060070000}"/>
    <cellStyle name="Normal 8 5" xfId="2307" xr:uid="{00000000-0005-0000-0000-000061070000}"/>
    <cellStyle name="Normal 8 5 2" xfId="2867" xr:uid="{00000000-0005-0000-0000-000062070000}"/>
    <cellStyle name="Normal 8 6" xfId="2762" xr:uid="{00000000-0005-0000-0000-000063070000}"/>
    <cellStyle name="Normal 8 6 2" xfId="2868" xr:uid="{00000000-0005-0000-0000-000064070000}"/>
    <cellStyle name="Normal 8 6 3" xfId="2865" xr:uid="{00000000-0005-0000-0000-000065070000}"/>
    <cellStyle name="Normal 8 7" xfId="5074" xr:uid="{00000000-0005-0000-0000-000062000000}"/>
    <cellStyle name="Normal 8 8" xfId="6249" xr:uid="{00000000-0005-0000-0000-000062000000}"/>
    <cellStyle name="Normal 8 9" xfId="5165" xr:uid="{00000000-0005-0000-0000-000062000000}"/>
    <cellStyle name="Normal 8_Summary" xfId="2364" xr:uid="{00000000-0005-0000-0000-000066070000}"/>
    <cellStyle name="Normal 9" xfId="83" xr:uid="{00000000-0005-0000-0000-000067070000}"/>
    <cellStyle name="Normal 9 2" xfId="1013" xr:uid="{00000000-0005-0000-0000-000068070000}"/>
    <cellStyle name="Normal 9 2 2" xfId="2305" xr:uid="{00000000-0005-0000-0000-000069070000}"/>
    <cellStyle name="Normal 9 2 2 2" xfId="2871" xr:uid="{00000000-0005-0000-0000-00006A070000}"/>
    <cellStyle name="Normal 9 2 3" xfId="2802" xr:uid="{00000000-0005-0000-0000-00006B070000}"/>
    <cellStyle name="Normal 9 3" xfId="1035" xr:uid="{00000000-0005-0000-0000-00006C070000}"/>
    <cellStyle name="Normal 9 3 2" xfId="2861" xr:uid="{00000000-0005-0000-0000-00006D070000}"/>
    <cellStyle name="Normal 9 4" xfId="1265" xr:uid="{00000000-0005-0000-0000-00006E070000}"/>
    <cellStyle name="Normal 9 5" xfId="1333" xr:uid="{00000000-0005-0000-0000-00006F070000}"/>
    <cellStyle name="Normal 9 6" xfId="1324" xr:uid="{00000000-0005-0000-0000-000070070000}"/>
    <cellStyle name="Normal 9 7" xfId="2763" xr:uid="{00000000-0005-0000-0000-000071070000}"/>
    <cellStyle name="Normal 9 8" xfId="6264" xr:uid="{00000000-0005-0000-0000-000063000000}"/>
    <cellStyle name="Normal 9_Summary" xfId="2811" xr:uid="{00000000-0005-0000-0000-000072070000}"/>
    <cellStyle name="Normal Bold" xfId="607" xr:uid="{00000000-0005-0000-0000-000073070000}"/>
    <cellStyle name="Normal Bold 2" xfId="2131" xr:uid="{00000000-0005-0000-0000-000074070000}"/>
    <cellStyle name="Normal Bold 3" xfId="2580" xr:uid="{00000000-0005-0000-0000-000075070000}"/>
    <cellStyle name="Normal Pct" xfId="608" xr:uid="{00000000-0005-0000-0000-000076070000}"/>
    <cellStyle name="Normal Pct 2" xfId="2132" xr:uid="{00000000-0005-0000-0000-000077070000}"/>
    <cellStyle name="Normal Pct 3" xfId="2581" xr:uid="{00000000-0005-0000-0000-000078070000}"/>
    <cellStyle name="Normal-%-1" xfId="609" xr:uid="{00000000-0005-0000-0000-000079070000}"/>
    <cellStyle name="Normal-%-1 2" xfId="2133" xr:uid="{00000000-0005-0000-0000-00007A070000}"/>
    <cellStyle name="Normal-%-1 3" xfId="2582" xr:uid="{00000000-0005-0000-0000-00007B070000}"/>
    <cellStyle name="Normal_Allied borrbase" xfId="5" xr:uid="{00000000-0005-0000-0000-000004000000}"/>
    <cellStyle name="Normal_Conduit" xfId="7" xr:uid="{00000000-0005-0000-0000-000005000000}"/>
    <cellStyle name="Normal_CS-CLT 2007-1 Monthly Report 8-15-2007" xfId="4" xr:uid="{00000000-0005-0000-0000-000006000000}"/>
    <cellStyle name="Normal--_Kan Loral model" xfId="998" xr:uid="{00000000-0005-0000-0000-00007C070000}"/>
    <cellStyle name="Normal_Sample Borrowing Base Certificate" xfId="6" xr:uid="{00000000-0005-0000-0000-000007000000}"/>
    <cellStyle name="Normal1" xfId="610" xr:uid="{00000000-0005-0000-0000-00007D070000}"/>
    <cellStyle name="Normal1 2" xfId="2134" xr:uid="{00000000-0005-0000-0000-00007E070000}"/>
    <cellStyle name="Normal1 3" xfId="2583" xr:uid="{00000000-0005-0000-0000-00007F070000}"/>
    <cellStyle name="NormalBold" xfId="611" xr:uid="{00000000-0005-0000-0000-000080070000}"/>
    <cellStyle name="Normale_Intro (gotty)" xfId="612" xr:uid="{00000000-0005-0000-0000-000081070000}"/>
    <cellStyle name="NormalEPS" xfId="613" xr:uid="{00000000-0005-0000-0000-000082070000}"/>
    <cellStyle name="NormalGB" xfId="614" xr:uid="{00000000-0005-0000-0000-000083070000}"/>
    <cellStyle name="NormalGB 2" xfId="2135" xr:uid="{00000000-0005-0000-0000-000084070000}"/>
    <cellStyle name="NormalGB 3" xfId="2584" xr:uid="{00000000-0005-0000-0000-000085070000}"/>
    <cellStyle name="Normall" xfId="615" xr:uid="{00000000-0005-0000-0000-000086070000}"/>
    <cellStyle name="Normall 2" xfId="2136" xr:uid="{00000000-0005-0000-0000-000087070000}"/>
    <cellStyle name="Normall 3" xfId="2585" xr:uid="{00000000-0005-0000-0000-000088070000}"/>
    <cellStyle name="NormalMultiple" xfId="616" xr:uid="{00000000-0005-0000-0000-000089070000}"/>
    <cellStyle name="NormalNumber%" xfId="617" xr:uid="{00000000-0005-0000-0000-00008A070000}"/>
    <cellStyle name="NormalPop" xfId="618" xr:uid="{00000000-0005-0000-0000-00008B070000}"/>
    <cellStyle name="Normalx" xfId="619" xr:uid="{00000000-0005-0000-0000-00008C070000}"/>
    <cellStyle name="NormalxShadow" xfId="620" xr:uid="{00000000-0005-0000-0000-00008D070000}"/>
    <cellStyle name="NOT" xfId="621" xr:uid="{00000000-0005-0000-0000-00008E070000}"/>
    <cellStyle name="Note" xfId="26" builtinId="10" customBuiltin="1"/>
    <cellStyle name="Note 2" xfId="1562" xr:uid="{00000000-0005-0000-0000-000090070000}"/>
    <cellStyle name="Note 2 2" xfId="2828" xr:uid="{00000000-0005-0000-0000-000091070000}"/>
    <cellStyle name="Note 2 2 2" xfId="6132" xr:uid="{00000000-0005-0000-0000-000068000000}"/>
    <cellStyle name="Note 2 3" xfId="4550" xr:uid="{00000000-0005-0000-0000-000090070000}"/>
    <cellStyle name="Note 2 3 2" xfId="6131" xr:uid="{00000000-0005-0000-0000-000069000000}"/>
    <cellStyle name="Note 2 3 3" xfId="15278" xr:uid="{00000000-0005-0000-0000-000090070000}"/>
    <cellStyle name="Note 2 3 3 2" xfId="33672" xr:uid="{00000000-0005-0000-0000-000090070000}"/>
    <cellStyle name="Note 2 3 3 3" xfId="52035" xr:uid="{00000000-0005-0000-0000-000090070000}"/>
    <cellStyle name="Note 2 3 4" xfId="24403" xr:uid="{00000000-0005-0000-0000-000090070000}"/>
    <cellStyle name="Note 2 3 4 2" xfId="42772" xr:uid="{00000000-0005-0000-0000-000090070000}"/>
    <cellStyle name="Note 2 3 5" xfId="20727" xr:uid="{00000000-0005-0000-0000-000090070000}"/>
    <cellStyle name="Note 2 3 6" xfId="39119" xr:uid="{00000000-0005-0000-0000-000090070000}"/>
    <cellStyle name="Note 2 4" xfId="6101" xr:uid="{00000000-0005-0000-0000-00006A000000}"/>
    <cellStyle name="Note 2 5" xfId="6169" xr:uid="{00000000-0005-0000-0000-000067000000}"/>
    <cellStyle name="Note 2 6" xfId="17862" xr:uid="{00000000-0005-0000-0000-000090070000}"/>
    <cellStyle name="Note 2 6 2" xfId="36272" xr:uid="{00000000-0005-0000-0000-000090070000}"/>
    <cellStyle name="Note 2 7" xfId="8925" xr:uid="{00000000-0005-0000-0000-000090070000}"/>
    <cellStyle name="Note 2 8" xfId="8402" xr:uid="{00000000-0005-0000-0000-000090070000}"/>
    <cellStyle name="Note 3" xfId="6089" xr:uid="{00000000-0005-0000-0000-00006B000000}"/>
    <cellStyle name="Note 4" xfId="72" xr:uid="{00000000-0005-0000-0000-00006C000000}"/>
    <cellStyle name="NPPESalesPct" xfId="622" xr:uid="{00000000-0005-0000-0000-000092070000}"/>
    <cellStyle name="NPPESalesPct 2" xfId="2137" xr:uid="{00000000-0005-0000-0000-000093070000}"/>
    <cellStyle name="NPPESalesPct 3" xfId="2586" xr:uid="{00000000-0005-0000-0000-000094070000}"/>
    <cellStyle name="Num0Un" xfId="623" xr:uid="{00000000-0005-0000-0000-000095070000}"/>
    <cellStyle name="Num1" xfId="624" xr:uid="{00000000-0005-0000-0000-000096070000}"/>
    <cellStyle name="Num1Blue" xfId="625" xr:uid="{00000000-0005-0000-0000-000097070000}"/>
    <cellStyle name="Num1Blue 2" xfId="2138" xr:uid="{00000000-0005-0000-0000-000098070000}"/>
    <cellStyle name="Num1Blue 3" xfId="2587" xr:uid="{00000000-0005-0000-0000-000099070000}"/>
    <cellStyle name="Num2" xfId="626" xr:uid="{00000000-0005-0000-0000-00009A070000}"/>
    <cellStyle name="Num2Un" xfId="627" xr:uid="{00000000-0005-0000-0000-00009B070000}"/>
    <cellStyle name="number" xfId="628" xr:uid="{00000000-0005-0000-0000-00009C070000}"/>
    <cellStyle name="numbers" xfId="629" xr:uid="{00000000-0005-0000-0000-00009D070000}"/>
    <cellStyle name="Numbers - Bold" xfId="630" xr:uid="{00000000-0005-0000-0000-00009E070000}"/>
    <cellStyle name="Numbers - Bold - Italic" xfId="631" xr:uid="{00000000-0005-0000-0000-00009F070000}"/>
    <cellStyle name="Numbers - Bold 2" xfId="2139" xr:uid="{00000000-0005-0000-0000-0000A0070000}"/>
    <cellStyle name="Numbers - Bold 3" xfId="2588" xr:uid="{00000000-0005-0000-0000-0000A1070000}"/>
    <cellStyle name="Numbers - Bold_Merrill_WACC" xfId="632" xr:uid="{00000000-0005-0000-0000-0000A2070000}"/>
    <cellStyle name="Numbers - Large" xfId="633" xr:uid="{00000000-0005-0000-0000-0000A3070000}"/>
    <cellStyle name="Numbers - Large 2" xfId="2140" xr:uid="{00000000-0005-0000-0000-0000A4070000}"/>
    <cellStyle name="Numbers - Large 3" xfId="2589" xr:uid="{00000000-0005-0000-0000-0000A5070000}"/>
    <cellStyle name="numbers one decimal" xfId="634" xr:uid="{00000000-0005-0000-0000-0000A6070000}"/>
    <cellStyle name="Numbers_Accretion Dilution Model.v2" xfId="635" xr:uid="{00000000-0005-0000-0000-0000A7070000}"/>
    <cellStyle name="Œ…‹æØ‚è [0.00]_GE 3 MINIMUM" xfId="636" xr:uid="{00000000-0005-0000-0000-0000A8070000}"/>
    <cellStyle name="Œ…‹æØ‚è_GE 3 MINIMUM" xfId="637" xr:uid="{00000000-0005-0000-0000-0000A9070000}"/>
    <cellStyle name="ON HOLD" xfId="638" xr:uid="{00000000-0005-0000-0000-0000AA070000}"/>
    <cellStyle name="ON HOLD 2" xfId="2141" xr:uid="{00000000-0005-0000-0000-0000AB070000}"/>
    <cellStyle name="ON HOLD 3" xfId="2590" xr:uid="{00000000-0005-0000-0000-0000AC070000}"/>
    <cellStyle name="ON HOLD 4" xfId="2992" xr:uid="{00000000-0005-0000-0000-0000AD070000}"/>
    <cellStyle name="ON HOLD 5" xfId="3260" xr:uid="{00000000-0005-0000-0000-0000AE070000}"/>
    <cellStyle name="Onedec_FT Valuation " xfId="639" xr:uid="{00000000-0005-0000-0000-0000AF070000}"/>
    <cellStyle name="OneDecimal" xfId="640" xr:uid="{00000000-0005-0000-0000-0000B0070000}"/>
    <cellStyle name="OSW_ColumnLabels" xfId="641" xr:uid="{00000000-0005-0000-0000-0000B1070000}"/>
    <cellStyle name="Other%" xfId="642" xr:uid="{00000000-0005-0000-0000-0000B2070000}"/>
    <cellStyle name="outh America" xfId="643" xr:uid="{00000000-0005-0000-0000-0000B3070000}"/>
    <cellStyle name="outh America 2" xfId="2142" xr:uid="{00000000-0005-0000-0000-0000B4070000}"/>
    <cellStyle name="outh America 3" xfId="2591" xr:uid="{00000000-0005-0000-0000-0000B5070000}"/>
    <cellStyle name="Output" xfId="21" builtinId="21" customBuiltin="1"/>
    <cellStyle name="Output 2" xfId="1656" xr:uid="{00000000-0005-0000-0000-0000B7070000}"/>
    <cellStyle name="Output 2 2" xfId="1574" xr:uid="{00000000-0005-0000-0000-0000B8070000}"/>
    <cellStyle name="Output 2 2 2" xfId="4553" xr:uid="{00000000-0005-0000-0000-0000B8070000}"/>
    <cellStyle name="Output 2 2 2 2" xfId="15280" xr:uid="{00000000-0005-0000-0000-0000B8070000}"/>
    <cellStyle name="Output 2 2 2 2 2" xfId="33674" xr:uid="{00000000-0005-0000-0000-0000B8070000}"/>
    <cellStyle name="Output 2 2 2 2 3" xfId="52037" xr:uid="{00000000-0005-0000-0000-0000B8070000}"/>
    <cellStyle name="Output 2 2 2 3" xfId="24405" xr:uid="{00000000-0005-0000-0000-0000B8070000}"/>
    <cellStyle name="Output 2 2 2 3 2" xfId="42774" xr:uid="{00000000-0005-0000-0000-0000B8070000}"/>
    <cellStyle name="Output 2 2 2 4" xfId="20730" xr:uid="{00000000-0005-0000-0000-0000B8070000}"/>
    <cellStyle name="Output 2 2 2 5" xfId="39121" xr:uid="{00000000-0005-0000-0000-0000B8070000}"/>
    <cellStyle name="Output 2 2 3" xfId="18093" xr:uid="{00000000-0005-0000-0000-0000B8070000}"/>
    <cellStyle name="Output 2 2 3 2" xfId="36500" xr:uid="{00000000-0005-0000-0000-0000B8070000}"/>
    <cellStyle name="Output 2 2 4" xfId="7531" xr:uid="{00000000-0005-0000-0000-0000B8070000}"/>
    <cellStyle name="Output 2 2 5" xfId="19396" xr:uid="{00000000-0005-0000-0000-0000B8070000}"/>
    <cellStyle name="Output 2 3" xfId="4599" xr:uid="{00000000-0005-0000-0000-0000B7070000}"/>
    <cellStyle name="Output 2 3 2" xfId="15325" xr:uid="{00000000-0005-0000-0000-0000B7070000}"/>
    <cellStyle name="Output 2 3 2 2" xfId="33719" xr:uid="{00000000-0005-0000-0000-0000B7070000}"/>
    <cellStyle name="Output 2 3 2 3" xfId="52082" xr:uid="{00000000-0005-0000-0000-0000B7070000}"/>
    <cellStyle name="Output 2 3 3" xfId="24450" xr:uid="{00000000-0005-0000-0000-0000B7070000}"/>
    <cellStyle name="Output 2 3 3 2" xfId="42819" xr:uid="{00000000-0005-0000-0000-0000B7070000}"/>
    <cellStyle name="Output 2 3 4" xfId="20776" xr:uid="{00000000-0005-0000-0000-0000B7070000}"/>
    <cellStyle name="Output 2 3 5" xfId="39166" xr:uid="{00000000-0005-0000-0000-0000B7070000}"/>
    <cellStyle name="Output 2 4" xfId="4368" xr:uid="{00000000-0005-0000-0000-00006E000000}"/>
    <cellStyle name="Output 2 5" xfId="19327" xr:uid="{00000000-0005-0000-0000-0000B7070000}"/>
    <cellStyle name="Output 2 5 2" xfId="37734" xr:uid="{00000000-0005-0000-0000-0000B7070000}"/>
    <cellStyle name="Output 2 6" xfId="15043" xr:uid="{00000000-0005-0000-0000-0000B7070000}"/>
    <cellStyle name="Output 2 7" xfId="10865" xr:uid="{00000000-0005-0000-0000-0000B7070000}"/>
    <cellStyle name="Output 3" xfId="4076" xr:uid="{00000000-0005-0000-0000-00009E1A0000}"/>
    <cellStyle name="Output Amounts" xfId="644" xr:uid="{00000000-0005-0000-0000-0000B9070000}"/>
    <cellStyle name="Output Column Headings" xfId="645" xr:uid="{00000000-0005-0000-0000-0000BA070000}"/>
    <cellStyle name="Output Column Headings 2" xfId="2143" xr:uid="{00000000-0005-0000-0000-0000BB070000}"/>
    <cellStyle name="Output Column Headings 3" xfId="2592" xr:uid="{00000000-0005-0000-0000-0000BC070000}"/>
    <cellStyle name="Output Line Items" xfId="646" xr:uid="{00000000-0005-0000-0000-0000BD070000}"/>
    <cellStyle name="Output Line Items 2" xfId="2144" xr:uid="{00000000-0005-0000-0000-0000BE070000}"/>
    <cellStyle name="Output Line Items 3" xfId="2593" xr:uid="{00000000-0005-0000-0000-0000BF070000}"/>
    <cellStyle name="Output Report Heading" xfId="647" xr:uid="{00000000-0005-0000-0000-0000C0070000}"/>
    <cellStyle name="Output Report Heading 2" xfId="2145" xr:uid="{00000000-0005-0000-0000-0000C1070000}"/>
    <cellStyle name="Output Report Heading 3" xfId="2594" xr:uid="{00000000-0005-0000-0000-0000C2070000}"/>
    <cellStyle name="Output Report Title" xfId="648" xr:uid="{00000000-0005-0000-0000-0000C3070000}"/>
    <cellStyle name="Output Report Title 2" xfId="2146" xr:uid="{00000000-0005-0000-0000-0000C4070000}"/>
    <cellStyle name="Output Report Title 3" xfId="2595" xr:uid="{00000000-0005-0000-0000-0000C5070000}"/>
    <cellStyle name="OutputPlain" xfId="649" xr:uid="{00000000-0005-0000-0000-0000C6070000}"/>
    <cellStyle name="Outputs" xfId="650" xr:uid="{00000000-0005-0000-0000-0000C7070000}"/>
    <cellStyle name="Outputs 10" xfId="7198" xr:uid="{00000000-0005-0000-0000-0000C7070000}"/>
    <cellStyle name="Outputs 10 2" xfId="26742" xr:uid="{00000000-0005-0000-0000-0000C7070000}"/>
    <cellStyle name="Outputs 10 3" xfId="45110" xr:uid="{00000000-0005-0000-0000-0000C7070000}"/>
    <cellStyle name="Outputs 2" xfId="1065" xr:uid="{00000000-0005-0000-0000-0000C8070000}"/>
    <cellStyle name="Outputs 2 10" xfId="7455" xr:uid="{00000000-0005-0000-0000-0000C8070000}"/>
    <cellStyle name="Outputs 2 10 2" xfId="26834" xr:uid="{00000000-0005-0000-0000-0000C8070000}"/>
    <cellStyle name="Outputs 2 10 3" xfId="45199" xr:uid="{00000000-0005-0000-0000-0000C8070000}"/>
    <cellStyle name="Outputs 2 11" xfId="11606" xr:uid="{00000000-0005-0000-0000-0000C8070000}"/>
    <cellStyle name="Outputs 2 11 2" xfId="30169" xr:uid="{00000000-0005-0000-0000-0000C8070000}"/>
    <cellStyle name="Outputs 2 11 3" xfId="48532" xr:uid="{00000000-0005-0000-0000-0000C8070000}"/>
    <cellStyle name="Outputs 2 12" xfId="11185" xr:uid="{00000000-0005-0000-0000-0000C8070000}"/>
    <cellStyle name="Outputs 2 2" xfId="1247" xr:uid="{00000000-0005-0000-0000-0000C9070000}"/>
    <cellStyle name="Outputs 2 2 10" xfId="7338" xr:uid="{00000000-0005-0000-0000-0000C9070000}"/>
    <cellStyle name="Outputs 2 2 2" xfId="1650" xr:uid="{00000000-0005-0000-0000-0000CA070000}"/>
    <cellStyle name="Outputs 2 2 2 10" xfId="18807" xr:uid="{00000000-0005-0000-0000-0000CA070000}"/>
    <cellStyle name="Outputs 2 2 2 10 2" xfId="37216" xr:uid="{00000000-0005-0000-0000-0000CA070000}"/>
    <cellStyle name="Outputs 2 2 2 11" xfId="16878" xr:uid="{00000000-0005-0000-0000-0000CA070000}"/>
    <cellStyle name="Outputs 2 2 2 12" xfId="7504" xr:uid="{00000000-0005-0000-0000-0000CA070000}"/>
    <cellStyle name="Outputs 2 2 2 2" xfId="1731" xr:uid="{00000000-0005-0000-0000-0000CB070000}"/>
    <cellStyle name="Outputs 2 2 2 2 10" xfId="7858" xr:uid="{00000000-0005-0000-0000-0000CB070000}"/>
    <cellStyle name="Outputs 2 2 2 2 2" xfId="3628" xr:uid="{00000000-0005-0000-0000-0000CB070000}"/>
    <cellStyle name="Outputs 2 2 2 2 2 2" xfId="5801" xr:uid="{00000000-0005-0000-0000-0000CB070000}"/>
    <cellStyle name="Outputs 2 2 2 2 2 2 2" xfId="12165" xr:uid="{00000000-0005-0000-0000-0000CB070000}"/>
    <cellStyle name="Outputs 2 2 2 2 2 2 2 2" xfId="30612" xr:uid="{00000000-0005-0000-0000-0000CB070000}"/>
    <cellStyle name="Outputs 2 2 2 2 2 2 2 3" xfId="48975" xr:uid="{00000000-0005-0000-0000-0000CB070000}"/>
    <cellStyle name="Outputs 2 2 2 2 2 2 3" xfId="16491" xr:uid="{00000000-0005-0000-0000-0000CB070000}"/>
    <cellStyle name="Outputs 2 2 2 2 2 2 3 2" xfId="34863" xr:uid="{00000000-0005-0000-0000-0000CB070000}"/>
    <cellStyle name="Outputs 2 2 2 2 2 2 3 3" xfId="53226" xr:uid="{00000000-0005-0000-0000-0000CB070000}"/>
    <cellStyle name="Outputs 2 2 2 2 2 2 4" xfId="25610" xr:uid="{00000000-0005-0000-0000-0000CB070000}"/>
    <cellStyle name="Outputs 2 2 2 2 2 2 4 2" xfId="43979" xr:uid="{00000000-0005-0000-0000-0000CB070000}"/>
    <cellStyle name="Outputs 2 2 2 2 2 2 5" xfId="21931" xr:uid="{00000000-0005-0000-0000-0000CB070000}"/>
    <cellStyle name="Outputs 2 2 2 2 2 2 6" xfId="40310" xr:uid="{00000000-0005-0000-0000-0000CB070000}"/>
    <cellStyle name="Outputs 2 2 2 2 2 3" xfId="6627" xr:uid="{00000000-0005-0000-0000-0000CB070000}"/>
    <cellStyle name="Outputs 2 2 2 2 2 3 2" xfId="12918" xr:uid="{00000000-0005-0000-0000-0000CB070000}"/>
    <cellStyle name="Outputs 2 2 2 2 2 3 2 2" xfId="31344" xr:uid="{00000000-0005-0000-0000-0000CB070000}"/>
    <cellStyle name="Outputs 2 2 2 2 2 3 2 3" xfId="49707" xr:uid="{00000000-0005-0000-0000-0000CB070000}"/>
    <cellStyle name="Outputs 2 2 2 2 2 3 3" xfId="17229" xr:uid="{00000000-0005-0000-0000-0000CB070000}"/>
    <cellStyle name="Outputs 2 2 2 2 2 3 3 2" xfId="35577" xr:uid="{00000000-0005-0000-0000-0000CB070000}"/>
    <cellStyle name="Outputs 2 2 2 2 2 3 3 3" xfId="53940" xr:uid="{00000000-0005-0000-0000-0000CB070000}"/>
    <cellStyle name="Outputs 2 2 2 2 2 3 4" xfId="26362" xr:uid="{00000000-0005-0000-0000-0000CB070000}"/>
    <cellStyle name="Outputs 2 2 2 2 2 3 4 2" xfId="44731" xr:uid="{00000000-0005-0000-0000-0000CB070000}"/>
    <cellStyle name="Outputs 2 2 2 2 2 3 5" xfId="22655" xr:uid="{00000000-0005-0000-0000-0000CB070000}"/>
    <cellStyle name="Outputs 2 2 2 2 2 3 6" xfId="41024" xr:uid="{00000000-0005-0000-0000-0000CB070000}"/>
    <cellStyle name="Outputs 2 2 2 2 2 4" xfId="10341" xr:uid="{00000000-0005-0000-0000-0000CB070000}"/>
    <cellStyle name="Outputs 2 2 2 2 2 4 2" xfId="14398" xr:uid="{00000000-0005-0000-0000-0000CB070000}"/>
    <cellStyle name="Outputs 2 2 2 2 2 4 2 2" xfId="32814" xr:uid="{00000000-0005-0000-0000-0000CB070000}"/>
    <cellStyle name="Outputs 2 2 2 2 2 4 2 3" xfId="51177" xr:uid="{00000000-0005-0000-0000-0000CB070000}"/>
    <cellStyle name="Outputs 2 2 2 2 2 4 3" xfId="29052" xr:uid="{00000000-0005-0000-0000-0000CB070000}"/>
    <cellStyle name="Outputs 2 2 2 2 2 4 3 2" xfId="47415" xr:uid="{00000000-0005-0000-0000-0000CB070000}"/>
    <cellStyle name="Outputs 2 2 2 2 2 4 4" xfId="19855" xr:uid="{00000000-0005-0000-0000-0000CB070000}"/>
    <cellStyle name="Outputs 2 2 2 2 2 4 5" xfId="38261" xr:uid="{00000000-0005-0000-0000-0000CB070000}"/>
    <cellStyle name="Outputs 2 2 2 2 2 5" xfId="9549" xr:uid="{00000000-0005-0000-0000-0000CB070000}"/>
    <cellStyle name="Outputs 2 2 2 2 2 5 2" xfId="28266" xr:uid="{00000000-0005-0000-0000-0000CB070000}"/>
    <cellStyle name="Outputs 2 2 2 2 2 5 3" xfId="46629" xr:uid="{00000000-0005-0000-0000-0000CB070000}"/>
    <cellStyle name="Outputs 2 2 2 2 2 6" xfId="13607" xr:uid="{00000000-0005-0000-0000-0000CB070000}"/>
    <cellStyle name="Outputs 2 2 2 2 2 6 2" xfId="32028" xr:uid="{00000000-0005-0000-0000-0000CB070000}"/>
    <cellStyle name="Outputs 2 2 2 2 2 6 3" xfId="50391" xr:uid="{00000000-0005-0000-0000-0000CB070000}"/>
    <cellStyle name="Outputs 2 2 2 2 2 7" xfId="23536" xr:uid="{00000000-0005-0000-0000-0000CB070000}"/>
    <cellStyle name="Outputs 2 2 2 2 2 7 2" xfId="41905" xr:uid="{00000000-0005-0000-0000-0000CB070000}"/>
    <cellStyle name="Outputs 2 2 2 2 2 8" xfId="18648" xr:uid="{00000000-0005-0000-0000-0000CB070000}"/>
    <cellStyle name="Outputs 2 2 2 2 2 9" xfId="37058" xr:uid="{00000000-0005-0000-0000-0000CB070000}"/>
    <cellStyle name="Outputs 2 2 2 2 3" xfId="4668" xr:uid="{00000000-0005-0000-0000-0000CB070000}"/>
    <cellStyle name="Outputs 2 2 2 2 3 2" xfId="11252" xr:uid="{00000000-0005-0000-0000-0000CB070000}"/>
    <cellStyle name="Outputs 2 2 2 2 3 2 2" xfId="29864" xr:uid="{00000000-0005-0000-0000-0000CB070000}"/>
    <cellStyle name="Outputs 2 2 2 2 3 2 3" xfId="48227" xr:uid="{00000000-0005-0000-0000-0000CB070000}"/>
    <cellStyle name="Outputs 2 2 2 2 3 3" xfId="15394" xr:uid="{00000000-0005-0000-0000-0000CB070000}"/>
    <cellStyle name="Outputs 2 2 2 2 3 3 2" xfId="33787" xr:uid="{00000000-0005-0000-0000-0000CB070000}"/>
    <cellStyle name="Outputs 2 2 2 2 3 3 3" xfId="52150" xr:uid="{00000000-0005-0000-0000-0000CB070000}"/>
    <cellStyle name="Outputs 2 2 2 2 3 4" xfId="24518" xr:uid="{00000000-0005-0000-0000-0000CB070000}"/>
    <cellStyle name="Outputs 2 2 2 2 3 4 2" xfId="42887" xr:uid="{00000000-0005-0000-0000-0000CB070000}"/>
    <cellStyle name="Outputs 2 2 2 2 3 5" xfId="20845" xr:uid="{00000000-0005-0000-0000-0000CB070000}"/>
    <cellStyle name="Outputs 2 2 2 2 3 6" xfId="39234" xr:uid="{00000000-0005-0000-0000-0000CB070000}"/>
    <cellStyle name="Outputs 2 2 2 2 4" xfId="3966" xr:uid="{00000000-0005-0000-0000-0000CB070000}"/>
    <cellStyle name="Outputs 2 2 2 2 4 2" xfId="10671" xr:uid="{00000000-0005-0000-0000-0000CB070000}"/>
    <cellStyle name="Outputs 2 2 2 2 4 2 2" xfId="29377" xr:uid="{00000000-0005-0000-0000-0000CB070000}"/>
    <cellStyle name="Outputs 2 2 2 2 4 2 3" xfId="47740" xr:uid="{00000000-0005-0000-0000-0000CB070000}"/>
    <cellStyle name="Outputs 2 2 2 2 4 3" xfId="14729" xr:uid="{00000000-0005-0000-0000-0000CB070000}"/>
    <cellStyle name="Outputs 2 2 2 2 4 3 2" xfId="33141" xr:uid="{00000000-0005-0000-0000-0000CB070000}"/>
    <cellStyle name="Outputs 2 2 2 2 4 3 3" xfId="51504" xr:uid="{00000000-0005-0000-0000-0000CB070000}"/>
    <cellStyle name="Outputs 2 2 2 2 4 4" xfId="23865" xr:uid="{00000000-0005-0000-0000-0000CB070000}"/>
    <cellStyle name="Outputs 2 2 2 2 4 4 2" xfId="42234" xr:uid="{00000000-0005-0000-0000-0000CB070000}"/>
    <cellStyle name="Outputs 2 2 2 2 4 5" xfId="20183" xr:uid="{00000000-0005-0000-0000-0000CB070000}"/>
    <cellStyle name="Outputs 2 2 2 2 4 6" xfId="38588" xr:uid="{00000000-0005-0000-0000-0000CB070000}"/>
    <cellStyle name="Outputs 2 2 2 2 5" xfId="9915" xr:uid="{00000000-0005-0000-0000-0000CB070000}"/>
    <cellStyle name="Outputs 2 2 2 2 5 2" xfId="13972" xr:uid="{00000000-0005-0000-0000-0000CB070000}"/>
    <cellStyle name="Outputs 2 2 2 2 5 2 2" xfId="32389" xr:uid="{00000000-0005-0000-0000-0000CB070000}"/>
    <cellStyle name="Outputs 2 2 2 2 5 2 3" xfId="50752" xr:uid="{00000000-0005-0000-0000-0000CB070000}"/>
    <cellStyle name="Outputs 2 2 2 2 5 3" xfId="28627" xr:uid="{00000000-0005-0000-0000-0000CB070000}"/>
    <cellStyle name="Outputs 2 2 2 2 5 3 2" xfId="46990" xr:uid="{00000000-0005-0000-0000-0000CB070000}"/>
    <cellStyle name="Outputs 2 2 2 2 5 4" xfId="19218" xr:uid="{00000000-0005-0000-0000-0000CB070000}"/>
    <cellStyle name="Outputs 2 2 2 2 5 5" xfId="37625" xr:uid="{00000000-0005-0000-0000-0000CB070000}"/>
    <cellStyle name="Outputs 2 2 2 2 6" xfId="7962" xr:uid="{00000000-0005-0000-0000-0000CB070000}"/>
    <cellStyle name="Outputs 2 2 2 2 6 2" xfId="27192" xr:uid="{00000000-0005-0000-0000-0000CB070000}"/>
    <cellStyle name="Outputs 2 2 2 2 6 3" xfId="45557" xr:uid="{00000000-0005-0000-0000-0000CB070000}"/>
    <cellStyle name="Outputs 2 2 2 2 7" xfId="12608" xr:uid="{00000000-0005-0000-0000-0000CB070000}"/>
    <cellStyle name="Outputs 2 2 2 2 7 2" xfId="31034" xr:uid="{00000000-0005-0000-0000-0000CB070000}"/>
    <cellStyle name="Outputs 2 2 2 2 7 3" xfId="49397" xr:uid="{00000000-0005-0000-0000-0000CB070000}"/>
    <cellStyle name="Outputs 2 2 2 2 8" xfId="18900" xr:uid="{00000000-0005-0000-0000-0000CB070000}"/>
    <cellStyle name="Outputs 2 2 2 2 8 2" xfId="37309" xr:uid="{00000000-0005-0000-0000-0000CB070000}"/>
    <cellStyle name="Outputs 2 2 2 2 9" xfId="11339" xr:uid="{00000000-0005-0000-0000-0000CB070000}"/>
    <cellStyle name="Outputs 2 2 2 3" xfId="1761" xr:uid="{00000000-0005-0000-0000-0000CC070000}"/>
    <cellStyle name="Outputs 2 2 2 3 10" xfId="11701" xr:uid="{00000000-0005-0000-0000-0000CC070000}"/>
    <cellStyle name="Outputs 2 2 2 3 2" xfId="3658" xr:uid="{00000000-0005-0000-0000-0000CC070000}"/>
    <cellStyle name="Outputs 2 2 2 3 2 2" xfId="5831" xr:uid="{00000000-0005-0000-0000-0000CC070000}"/>
    <cellStyle name="Outputs 2 2 2 3 2 2 2" xfId="12195" xr:uid="{00000000-0005-0000-0000-0000CC070000}"/>
    <cellStyle name="Outputs 2 2 2 3 2 2 2 2" xfId="30642" xr:uid="{00000000-0005-0000-0000-0000CC070000}"/>
    <cellStyle name="Outputs 2 2 2 3 2 2 2 3" xfId="49005" xr:uid="{00000000-0005-0000-0000-0000CC070000}"/>
    <cellStyle name="Outputs 2 2 2 3 2 2 3" xfId="16521" xr:uid="{00000000-0005-0000-0000-0000CC070000}"/>
    <cellStyle name="Outputs 2 2 2 3 2 2 3 2" xfId="34893" xr:uid="{00000000-0005-0000-0000-0000CC070000}"/>
    <cellStyle name="Outputs 2 2 2 3 2 2 3 3" xfId="53256" xr:uid="{00000000-0005-0000-0000-0000CC070000}"/>
    <cellStyle name="Outputs 2 2 2 3 2 2 4" xfId="25640" xr:uid="{00000000-0005-0000-0000-0000CC070000}"/>
    <cellStyle name="Outputs 2 2 2 3 2 2 4 2" xfId="44009" xr:uid="{00000000-0005-0000-0000-0000CC070000}"/>
    <cellStyle name="Outputs 2 2 2 3 2 2 5" xfId="21961" xr:uid="{00000000-0005-0000-0000-0000CC070000}"/>
    <cellStyle name="Outputs 2 2 2 3 2 2 6" xfId="40340" xr:uid="{00000000-0005-0000-0000-0000CC070000}"/>
    <cellStyle name="Outputs 2 2 2 3 2 3" xfId="6657" xr:uid="{00000000-0005-0000-0000-0000CC070000}"/>
    <cellStyle name="Outputs 2 2 2 3 2 3 2" xfId="12948" xr:uid="{00000000-0005-0000-0000-0000CC070000}"/>
    <cellStyle name="Outputs 2 2 2 3 2 3 2 2" xfId="31374" xr:uid="{00000000-0005-0000-0000-0000CC070000}"/>
    <cellStyle name="Outputs 2 2 2 3 2 3 2 3" xfId="49737" xr:uid="{00000000-0005-0000-0000-0000CC070000}"/>
    <cellStyle name="Outputs 2 2 2 3 2 3 3" xfId="17259" xr:uid="{00000000-0005-0000-0000-0000CC070000}"/>
    <cellStyle name="Outputs 2 2 2 3 2 3 3 2" xfId="35607" xr:uid="{00000000-0005-0000-0000-0000CC070000}"/>
    <cellStyle name="Outputs 2 2 2 3 2 3 3 3" xfId="53970" xr:uid="{00000000-0005-0000-0000-0000CC070000}"/>
    <cellStyle name="Outputs 2 2 2 3 2 3 4" xfId="26392" xr:uid="{00000000-0005-0000-0000-0000CC070000}"/>
    <cellStyle name="Outputs 2 2 2 3 2 3 4 2" xfId="44761" xr:uid="{00000000-0005-0000-0000-0000CC070000}"/>
    <cellStyle name="Outputs 2 2 2 3 2 3 5" xfId="22685" xr:uid="{00000000-0005-0000-0000-0000CC070000}"/>
    <cellStyle name="Outputs 2 2 2 3 2 3 6" xfId="41054" xr:uid="{00000000-0005-0000-0000-0000CC070000}"/>
    <cellStyle name="Outputs 2 2 2 3 2 4" xfId="10371" xr:uid="{00000000-0005-0000-0000-0000CC070000}"/>
    <cellStyle name="Outputs 2 2 2 3 2 4 2" xfId="14428" xr:uid="{00000000-0005-0000-0000-0000CC070000}"/>
    <cellStyle name="Outputs 2 2 2 3 2 4 2 2" xfId="32844" xr:uid="{00000000-0005-0000-0000-0000CC070000}"/>
    <cellStyle name="Outputs 2 2 2 3 2 4 2 3" xfId="51207" xr:uid="{00000000-0005-0000-0000-0000CC070000}"/>
    <cellStyle name="Outputs 2 2 2 3 2 4 3" xfId="29082" xr:uid="{00000000-0005-0000-0000-0000CC070000}"/>
    <cellStyle name="Outputs 2 2 2 3 2 4 3 2" xfId="47445" xr:uid="{00000000-0005-0000-0000-0000CC070000}"/>
    <cellStyle name="Outputs 2 2 2 3 2 4 4" xfId="19885" xr:uid="{00000000-0005-0000-0000-0000CC070000}"/>
    <cellStyle name="Outputs 2 2 2 3 2 4 5" xfId="38291" xr:uid="{00000000-0005-0000-0000-0000CC070000}"/>
    <cellStyle name="Outputs 2 2 2 3 2 5" xfId="9579" xr:uid="{00000000-0005-0000-0000-0000CC070000}"/>
    <cellStyle name="Outputs 2 2 2 3 2 5 2" xfId="28296" xr:uid="{00000000-0005-0000-0000-0000CC070000}"/>
    <cellStyle name="Outputs 2 2 2 3 2 5 3" xfId="46659" xr:uid="{00000000-0005-0000-0000-0000CC070000}"/>
    <cellStyle name="Outputs 2 2 2 3 2 6" xfId="13637" xr:uid="{00000000-0005-0000-0000-0000CC070000}"/>
    <cellStyle name="Outputs 2 2 2 3 2 6 2" xfId="32058" xr:uid="{00000000-0005-0000-0000-0000CC070000}"/>
    <cellStyle name="Outputs 2 2 2 3 2 6 3" xfId="50421" xr:uid="{00000000-0005-0000-0000-0000CC070000}"/>
    <cellStyle name="Outputs 2 2 2 3 2 7" xfId="23566" xr:uid="{00000000-0005-0000-0000-0000CC070000}"/>
    <cellStyle name="Outputs 2 2 2 3 2 7 2" xfId="41935" xr:uid="{00000000-0005-0000-0000-0000CC070000}"/>
    <cellStyle name="Outputs 2 2 2 3 2 8" xfId="18678" xr:uid="{00000000-0005-0000-0000-0000CC070000}"/>
    <cellStyle name="Outputs 2 2 2 3 2 9" xfId="37088" xr:uid="{00000000-0005-0000-0000-0000CC070000}"/>
    <cellStyle name="Outputs 2 2 2 3 3" xfId="4698" xr:uid="{00000000-0005-0000-0000-0000CC070000}"/>
    <cellStyle name="Outputs 2 2 2 3 3 2" xfId="11282" xr:uid="{00000000-0005-0000-0000-0000CC070000}"/>
    <cellStyle name="Outputs 2 2 2 3 3 2 2" xfId="29894" xr:uid="{00000000-0005-0000-0000-0000CC070000}"/>
    <cellStyle name="Outputs 2 2 2 3 3 2 3" xfId="48257" xr:uid="{00000000-0005-0000-0000-0000CC070000}"/>
    <cellStyle name="Outputs 2 2 2 3 3 3" xfId="15424" xr:uid="{00000000-0005-0000-0000-0000CC070000}"/>
    <cellStyle name="Outputs 2 2 2 3 3 3 2" xfId="33817" xr:uid="{00000000-0005-0000-0000-0000CC070000}"/>
    <cellStyle name="Outputs 2 2 2 3 3 3 3" xfId="52180" xr:uid="{00000000-0005-0000-0000-0000CC070000}"/>
    <cellStyle name="Outputs 2 2 2 3 3 4" xfId="24548" xr:uid="{00000000-0005-0000-0000-0000CC070000}"/>
    <cellStyle name="Outputs 2 2 2 3 3 4 2" xfId="42917" xr:uid="{00000000-0005-0000-0000-0000CC070000}"/>
    <cellStyle name="Outputs 2 2 2 3 3 5" xfId="20875" xr:uid="{00000000-0005-0000-0000-0000CC070000}"/>
    <cellStyle name="Outputs 2 2 2 3 3 6" xfId="39264" xr:uid="{00000000-0005-0000-0000-0000CC070000}"/>
    <cellStyle name="Outputs 2 2 2 3 4" xfId="3954" xr:uid="{00000000-0005-0000-0000-0000CC070000}"/>
    <cellStyle name="Outputs 2 2 2 3 4 2" xfId="10659" xr:uid="{00000000-0005-0000-0000-0000CC070000}"/>
    <cellStyle name="Outputs 2 2 2 3 4 2 2" xfId="29365" xr:uid="{00000000-0005-0000-0000-0000CC070000}"/>
    <cellStyle name="Outputs 2 2 2 3 4 2 3" xfId="47728" xr:uid="{00000000-0005-0000-0000-0000CC070000}"/>
    <cellStyle name="Outputs 2 2 2 3 4 3" xfId="14717" xr:uid="{00000000-0005-0000-0000-0000CC070000}"/>
    <cellStyle name="Outputs 2 2 2 3 4 3 2" xfId="33129" xr:uid="{00000000-0005-0000-0000-0000CC070000}"/>
    <cellStyle name="Outputs 2 2 2 3 4 3 3" xfId="51492" xr:uid="{00000000-0005-0000-0000-0000CC070000}"/>
    <cellStyle name="Outputs 2 2 2 3 4 4" xfId="23853" xr:uid="{00000000-0005-0000-0000-0000CC070000}"/>
    <cellStyle name="Outputs 2 2 2 3 4 4 2" xfId="42222" xr:uid="{00000000-0005-0000-0000-0000CC070000}"/>
    <cellStyle name="Outputs 2 2 2 3 4 5" xfId="20171" xr:uid="{00000000-0005-0000-0000-0000CC070000}"/>
    <cellStyle name="Outputs 2 2 2 3 4 6" xfId="38576" xr:uid="{00000000-0005-0000-0000-0000CC070000}"/>
    <cellStyle name="Outputs 2 2 2 3 5" xfId="9800" xr:uid="{00000000-0005-0000-0000-0000CC070000}"/>
    <cellStyle name="Outputs 2 2 2 3 5 2" xfId="13857" xr:uid="{00000000-0005-0000-0000-0000CC070000}"/>
    <cellStyle name="Outputs 2 2 2 3 5 2 2" xfId="32277" xr:uid="{00000000-0005-0000-0000-0000CC070000}"/>
    <cellStyle name="Outputs 2 2 2 3 5 2 3" xfId="50640" xr:uid="{00000000-0005-0000-0000-0000CC070000}"/>
    <cellStyle name="Outputs 2 2 2 3 5 3" xfId="28515" xr:uid="{00000000-0005-0000-0000-0000CC070000}"/>
    <cellStyle name="Outputs 2 2 2 3 5 3 2" xfId="46878" xr:uid="{00000000-0005-0000-0000-0000CC070000}"/>
    <cellStyle name="Outputs 2 2 2 3 5 4" xfId="19015" xr:uid="{00000000-0005-0000-0000-0000CC070000}"/>
    <cellStyle name="Outputs 2 2 2 3 5 5" xfId="37424" xr:uid="{00000000-0005-0000-0000-0000CC070000}"/>
    <cellStyle name="Outputs 2 2 2 3 6" xfId="7992" xr:uid="{00000000-0005-0000-0000-0000CC070000}"/>
    <cellStyle name="Outputs 2 2 2 3 6 2" xfId="27222" xr:uid="{00000000-0005-0000-0000-0000CC070000}"/>
    <cellStyle name="Outputs 2 2 2 3 6 3" xfId="45587" xr:uid="{00000000-0005-0000-0000-0000CC070000}"/>
    <cellStyle name="Outputs 2 2 2 3 7" xfId="7837" xr:uid="{00000000-0005-0000-0000-0000CC070000}"/>
    <cellStyle name="Outputs 2 2 2 3 7 2" xfId="27095" xr:uid="{00000000-0005-0000-0000-0000CC070000}"/>
    <cellStyle name="Outputs 2 2 2 3 7 3" xfId="45460" xr:uid="{00000000-0005-0000-0000-0000CC070000}"/>
    <cellStyle name="Outputs 2 2 2 3 8" xfId="17874" xr:uid="{00000000-0005-0000-0000-0000CC070000}"/>
    <cellStyle name="Outputs 2 2 2 3 8 2" xfId="36284" xr:uid="{00000000-0005-0000-0000-0000CC070000}"/>
    <cellStyle name="Outputs 2 2 2 3 9" xfId="12499" xr:uid="{00000000-0005-0000-0000-0000CC070000}"/>
    <cellStyle name="Outputs 2 2 2 4" xfId="1789" xr:uid="{00000000-0005-0000-0000-0000CD070000}"/>
    <cellStyle name="Outputs 2 2 2 4 10" xfId="7503" xr:uid="{00000000-0005-0000-0000-0000CD070000}"/>
    <cellStyle name="Outputs 2 2 2 4 2" xfId="3686" xr:uid="{00000000-0005-0000-0000-0000CD070000}"/>
    <cellStyle name="Outputs 2 2 2 4 2 2" xfId="5859" xr:uid="{00000000-0005-0000-0000-0000CD070000}"/>
    <cellStyle name="Outputs 2 2 2 4 2 2 2" xfId="12223" xr:uid="{00000000-0005-0000-0000-0000CD070000}"/>
    <cellStyle name="Outputs 2 2 2 4 2 2 2 2" xfId="30670" xr:uid="{00000000-0005-0000-0000-0000CD070000}"/>
    <cellStyle name="Outputs 2 2 2 4 2 2 2 3" xfId="49033" xr:uid="{00000000-0005-0000-0000-0000CD070000}"/>
    <cellStyle name="Outputs 2 2 2 4 2 2 3" xfId="16549" xr:uid="{00000000-0005-0000-0000-0000CD070000}"/>
    <cellStyle name="Outputs 2 2 2 4 2 2 3 2" xfId="34921" xr:uid="{00000000-0005-0000-0000-0000CD070000}"/>
    <cellStyle name="Outputs 2 2 2 4 2 2 3 3" xfId="53284" xr:uid="{00000000-0005-0000-0000-0000CD070000}"/>
    <cellStyle name="Outputs 2 2 2 4 2 2 4" xfId="25668" xr:uid="{00000000-0005-0000-0000-0000CD070000}"/>
    <cellStyle name="Outputs 2 2 2 4 2 2 4 2" xfId="44037" xr:uid="{00000000-0005-0000-0000-0000CD070000}"/>
    <cellStyle name="Outputs 2 2 2 4 2 2 5" xfId="21989" xr:uid="{00000000-0005-0000-0000-0000CD070000}"/>
    <cellStyle name="Outputs 2 2 2 4 2 2 6" xfId="40368" xr:uid="{00000000-0005-0000-0000-0000CD070000}"/>
    <cellStyle name="Outputs 2 2 2 4 2 3" xfId="6685" xr:uid="{00000000-0005-0000-0000-0000CD070000}"/>
    <cellStyle name="Outputs 2 2 2 4 2 3 2" xfId="12976" xr:uid="{00000000-0005-0000-0000-0000CD070000}"/>
    <cellStyle name="Outputs 2 2 2 4 2 3 2 2" xfId="31402" xr:uid="{00000000-0005-0000-0000-0000CD070000}"/>
    <cellStyle name="Outputs 2 2 2 4 2 3 2 3" xfId="49765" xr:uid="{00000000-0005-0000-0000-0000CD070000}"/>
    <cellStyle name="Outputs 2 2 2 4 2 3 3" xfId="17287" xr:uid="{00000000-0005-0000-0000-0000CD070000}"/>
    <cellStyle name="Outputs 2 2 2 4 2 3 3 2" xfId="35635" xr:uid="{00000000-0005-0000-0000-0000CD070000}"/>
    <cellStyle name="Outputs 2 2 2 4 2 3 3 3" xfId="53998" xr:uid="{00000000-0005-0000-0000-0000CD070000}"/>
    <cellStyle name="Outputs 2 2 2 4 2 3 4" xfId="26420" xr:uid="{00000000-0005-0000-0000-0000CD070000}"/>
    <cellStyle name="Outputs 2 2 2 4 2 3 4 2" xfId="44789" xr:uid="{00000000-0005-0000-0000-0000CD070000}"/>
    <cellStyle name="Outputs 2 2 2 4 2 3 5" xfId="22713" xr:uid="{00000000-0005-0000-0000-0000CD070000}"/>
    <cellStyle name="Outputs 2 2 2 4 2 3 6" xfId="41082" xr:uid="{00000000-0005-0000-0000-0000CD070000}"/>
    <cellStyle name="Outputs 2 2 2 4 2 4" xfId="10399" xr:uid="{00000000-0005-0000-0000-0000CD070000}"/>
    <cellStyle name="Outputs 2 2 2 4 2 4 2" xfId="14456" xr:uid="{00000000-0005-0000-0000-0000CD070000}"/>
    <cellStyle name="Outputs 2 2 2 4 2 4 2 2" xfId="32872" xr:uid="{00000000-0005-0000-0000-0000CD070000}"/>
    <cellStyle name="Outputs 2 2 2 4 2 4 2 3" xfId="51235" xr:uid="{00000000-0005-0000-0000-0000CD070000}"/>
    <cellStyle name="Outputs 2 2 2 4 2 4 3" xfId="29110" xr:uid="{00000000-0005-0000-0000-0000CD070000}"/>
    <cellStyle name="Outputs 2 2 2 4 2 4 3 2" xfId="47473" xr:uid="{00000000-0005-0000-0000-0000CD070000}"/>
    <cellStyle name="Outputs 2 2 2 4 2 4 4" xfId="19913" xr:uid="{00000000-0005-0000-0000-0000CD070000}"/>
    <cellStyle name="Outputs 2 2 2 4 2 4 5" xfId="38319" xr:uid="{00000000-0005-0000-0000-0000CD070000}"/>
    <cellStyle name="Outputs 2 2 2 4 2 5" xfId="9607" xr:uid="{00000000-0005-0000-0000-0000CD070000}"/>
    <cellStyle name="Outputs 2 2 2 4 2 5 2" xfId="28324" xr:uid="{00000000-0005-0000-0000-0000CD070000}"/>
    <cellStyle name="Outputs 2 2 2 4 2 5 3" xfId="46687" xr:uid="{00000000-0005-0000-0000-0000CD070000}"/>
    <cellStyle name="Outputs 2 2 2 4 2 6" xfId="13665" xr:uid="{00000000-0005-0000-0000-0000CD070000}"/>
    <cellStyle name="Outputs 2 2 2 4 2 6 2" xfId="32086" xr:uid="{00000000-0005-0000-0000-0000CD070000}"/>
    <cellStyle name="Outputs 2 2 2 4 2 6 3" xfId="50449" xr:uid="{00000000-0005-0000-0000-0000CD070000}"/>
    <cellStyle name="Outputs 2 2 2 4 2 7" xfId="23594" xr:uid="{00000000-0005-0000-0000-0000CD070000}"/>
    <cellStyle name="Outputs 2 2 2 4 2 7 2" xfId="41963" xr:uid="{00000000-0005-0000-0000-0000CD070000}"/>
    <cellStyle name="Outputs 2 2 2 4 2 8" xfId="18706" xr:uid="{00000000-0005-0000-0000-0000CD070000}"/>
    <cellStyle name="Outputs 2 2 2 4 2 9" xfId="37116" xr:uid="{00000000-0005-0000-0000-0000CD070000}"/>
    <cellStyle name="Outputs 2 2 2 4 3" xfId="4726" xr:uid="{00000000-0005-0000-0000-0000CD070000}"/>
    <cellStyle name="Outputs 2 2 2 4 3 2" xfId="11310" xr:uid="{00000000-0005-0000-0000-0000CD070000}"/>
    <cellStyle name="Outputs 2 2 2 4 3 2 2" xfId="29922" xr:uid="{00000000-0005-0000-0000-0000CD070000}"/>
    <cellStyle name="Outputs 2 2 2 4 3 2 3" xfId="48285" xr:uid="{00000000-0005-0000-0000-0000CD070000}"/>
    <cellStyle name="Outputs 2 2 2 4 3 3" xfId="15452" xr:uid="{00000000-0005-0000-0000-0000CD070000}"/>
    <cellStyle name="Outputs 2 2 2 4 3 3 2" xfId="33845" xr:uid="{00000000-0005-0000-0000-0000CD070000}"/>
    <cellStyle name="Outputs 2 2 2 4 3 3 3" xfId="52208" xr:uid="{00000000-0005-0000-0000-0000CD070000}"/>
    <cellStyle name="Outputs 2 2 2 4 3 4" xfId="24576" xr:uid="{00000000-0005-0000-0000-0000CD070000}"/>
    <cellStyle name="Outputs 2 2 2 4 3 4 2" xfId="42945" xr:uid="{00000000-0005-0000-0000-0000CD070000}"/>
    <cellStyle name="Outputs 2 2 2 4 3 5" xfId="20903" xr:uid="{00000000-0005-0000-0000-0000CD070000}"/>
    <cellStyle name="Outputs 2 2 2 4 3 6" xfId="39292" xr:uid="{00000000-0005-0000-0000-0000CD070000}"/>
    <cellStyle name="Outputs 2 2 2 4 4" xfId="3941" xr:uid="{00000000-0005-0000-0000-0000CD070000}"/>
    <cellStyle name="Outputs 2 2 2 4 4 2" xfId="10646" xr:uid="{00000000-0005-0000-0000-0000CD070000}"/>
    <cellStyle name="Outputs 2 2 2 4 4 2 2" xfId="29352" xr:uid="{00000000-0005-0000-0000-0000CD070000}"/>
    <cellStyle name="Outputs 2 2 2 4 4 2 3" xfId="47715" xr:uid="{00000000-0005-0000-0000-0000CD070000}"/>
    <cellStyle name="Outputs 2 2 2 4 4 3" xfId="14704" xr:uid="{00000000-0005-0000-0000-0000CD070000}"/>
    <cellStyle name="Outputs 2 2 2 4 4 3 2" xfId="33116" xr:uid="{00000000-0005-0000-0000-0000CD070000}"/>
    <cellStyle name="Outputs 2 2 2 4 4 3 3" xfId="51479" xr:uid="{00000000-0005-0000-0000-0000CD070000}"/>
    <cellStyle name="Outputs 2 2 2 4 4 4" xfId="23840" xr:uid="{00000000-0005-0000-0000-0000CD070000}"/>
    <cellStyle name="Outputs 2 2 2 4 4 4 2" xfId="42209" xr:uid="{00000000-0005-0000-0000-0000CD070000}"/>
    <cellStyle name="Outputs 2 2 2 4 4 5" xfId="20158" xr:uid="{00000000-0005-0000-0000-0000CD070000}"/>
    <cellStyle name="Outputs 2 2 2 4 4 6" xfId="38563" xr:uid="{00000000-0005-0000-0000-0000CD070000}"/>
    <cellStyle name="Outputs 2 2 2 4 5" xfId="9896" xr:uid="{00000000-0005-0000-0000-0000CD070000}"/>
    <cellStyle name="Outputs 2 2 2 4 5 2" xfId="13954" xr:uid="{00000000-0005-0000-0000-0000CD070000}"/>
    <cellStyle name="Outputs 2 2 2 4 5 2 2" xfId="32372" xr:uid="{00000000-0005-0000-0000-0000CD070000}"/>
    <cellStyle name="Outputs 2 2 2 4 5 2 3" xfId="50735" xr:uid="{00000000-0005-0000-0000-0000CD070000}"/>
    <cellStyle name="Outputs 2 2 2 4 5 3" xfId="28610" xr:uid="{00000000-0005-0000-0000-0000CD070000}"/>
    <cellStyle name="Outputs 2 2 2 4 5 3 2" xfId="46973" xr:uid="{00000000-0005-0000-0000-0000CD070000}"/>
    <cellStyle name="Outputs 2 2 2 4 5 4" xfId="19180" xr:uid="{00000000-0005-0000-0000-0000CD070000}"/>
    <cellStyle name="Outputs 2 2 2 4 5 5" xfId="37588" xr:uid="{00000000-0005-0000-0000-0000CD070000}"/>
    <cellStyle name="Outputs 2 2 2 4 6" xfId="8020" xr:uid="{00000000-0005-0000-0000-0000CD070000}"/>
    <cellStyle name="Outputs 2 2 2 4 6 2" xfId="27250" xr:uid="{00000000-0005-0000-0000-0000CD070000}"/>
    <cellStyle name="Outputs 2 2 2 4 6 3" xfId="45615" xr:uid="{00000000-0005-0000-0000-0000CD070000}"/>
    <cellStyle name="Outputs 2 2 2 4 7" xfId="8717" xr:uid="{00000000-0005-0000-0000-0000CD070000}"/>
    <cellStyle name="Outputs 2 2 2 4 7 2" xfId="27601" xr:uid="{00000000-0005-0000-0000-0000CD070000}"/>
    <cellStyle name="Outputs 2 2 2 4 7 3" xfId="45964" xr:uid="{00000000-0005-0000-0000-0000CD070000}"/>
    <cellStyle name="Outputs 2 2 2 4 8" xfId="19489" xr:uid="{00000000-0005-0000-0000-0000CD070000}"/>
    <cellStyle name="Outputs 2 2 2 4 8 2" xfId="37895" xr:uid="{00000000-0005-0000-0000-0000CD070000}"/>
    <cellStyle name="Outputs 2 2 2 4 9" xfId="7192" xr:uid="{00000000-0005-0000-0000-0000CD070000}"/>
    <cellStyle name="Outputs 2 2 2 5" xfId="3562" xr:uid="{00000000-0005-0000-0000-0000CA070000}"/>
    <cellStyle name="Outputs 2 2 2 5 2" xfId="5735" xr:uid="{00000000-0005-0000-0000-0000CA070000}"/>
    <cellStyle name="Outputs 2 2 2 5 2 2" xfId="12099" xr:uid="{00000000-0005-0000-0000-0000CA070000}"/>
    <cellStyle name="Outputs 2 2 2 5 2 2 2" xfId="30546" xr:uid="{00000000-0005-0000-0000-0000CA070000}"/>
    <cellStyle name="Outputs 2 2 2 5 2 2 3" xfId="48909" xr:uid="{00000000-0005-0000-0000-0000CA070000}"/>
    <cellStyle name="Outputs 2 2 2 5 2 3" xfId="16425" xr:uid="{00000000-0005-0000-0000-0000CA070000}"/>
    <cellStyle name="Outputs 2 2 2 5 2 3 2" xfId="34797" xr:uid="{00000000-0005-0000-0000-0000CA070000}"/>
    <cellStyle name="Outputs 2 2 2 5 2 3 3" xfId="53160" xr:uid="{00000000-0005-0000-0000-0000CA070000}"/>
    <cellStyle name="Outputs 2 2 2 5 2 4" xfId="25544" xr:uid="{00000000-0005-0000-0000-0000CA070000}"/>
    <cellStyle name="Outputs 2 2 2 5 2 4 2" xfId="43913" xr:uid="{00000000-0005-0000-0000-0000CA070000}"/>
    <cellStyle name="Outputs 2 2 2 5 2 5" xfId="21865" xr:uid="{00000000-0005-0000-0000-0000CA070000}"/>
    <cellStyle name="Outputs 2 2 2 5 2 6" xfId="40244" xr:uid="{00000000-0005-0000-0000-0000CA070000}"/>
    <cellStyle name="Outputs 2 2 2 5 3" xfId="6561" xr:uid="{00000000-0005-0000-0000-0000CA070000}"/>
    <cellStyle name="Outputs 2 2 2 5 3 2" xfId="12852" xr:uid="{00000000-0005-0000-0000-0000CA070000}"/>
    <cellStyle name="Outputs 2 2 2 5 3 2 2" xfId="31278" xr:uid="{00000000-0005-0000-0000-0000CA070000}"/>
    <cellStyle name="Outputs 2 2 2 5 3 2 3" xfId="49641" xr:uid="{00000000-0005-0000-0000-0000CA070000}"/>
    <cellStyle name="Outputs 2 2 2 5 3 3" xfId="17163" xr:uid="{00000000-0005-0000-0000-0000CA070000}"/>
    <cellStyle name="Outputs 2 2 2 5 3 3 2" xfId="35511" xr:uid="{00000000-0005-0000-0000-0000CA070000}"/>
    <cellStyle name="Outputs 2 2 2 5 3 3 3" xfId="53874" xr:uid="{00000000-0005-0000-0000-0000CA070000}"/>
    <cellStyle name="Outputs 2 2 2 5 3 4" xfId="26296" xr:uid="{00000000-0005-0000-0000-0000CA070000}"/>
    <cellStyle name="Outputs 2 2 2 5 3 4 2" xfId="44665" xr:uid="{00000000-0005-0000-0000-0000CA070000}"/>
    <cellStyle name="Outputs 2 2 2 5 3 5" xfId="22589" xr:uid="{00000000-0005-0000-0000-0000CA070000}"/>
    <cellStyle name="Outputs 2 2 2 5 3 6" xfId="40958" xr:uid="{00000000-0005-0000-0000-0000CA070000}"/>
    <cellStyle name="Outputs 2 2 2 5 4" xfId="10275" xr:uid="{00000000-0005-0000-0000-0000CA070000}"/>
    <cellStyle name="Outputs 2 2 2 5 4 2" xfId="14332" xr:uid="{00000000-0005-0000-0000-0000CA070000}"/>
    <cellStyle name="Outputs 2 2 2 5 4 2 2" xfId="32748" xr:uid="{00000000-0005-0000-0000-0000CA070000}"/>
    <cellStyle name="Outputs 2 2 2 5 4 2 3" xfId="51111" xr:uid="{00000000-0005-0000-0000-0000CA070000}"/>
    <cellStyle name="Outputs 2 2 2 5 4 3" xfId="28986" xr:uid="{00000000-0005-0000-0000-0000CA070000}"/>
    <cellStyle name="Outputs 2 2 2 5 4 3 2" xfId="47349" xr:uid="{00000000-0005-0000-0000-0000CA070000}"/>
    <cellStyle name="Outputs 2 2 2 5 4 4" xfId="19789" xr:uid="{00000000-0005-0000-0000-0000CA070000}"/>
    <cellStyle name="Outputs 2 2 2 5 4 5" xfId="38195" xr:uid="{00000000-0005-0000-0000-0000CA070000}"/>
    <cellStyle name="Outputs 2 2 2 5 5" xfId="9483" xr:uid="{00000000-0005-0000-0000-0000CA070000}"/>
    <cellStyle name="Outputs 2 2 2 5 5 2" xfId="28200" xr:uid="{00000000-0005-0000-0000-0000CA070000}"/>
    <cellStyle name="Outputs 2 2 2 5 5 3" xfId="46563" xr:uid="{00000000-0005-0000-0000-0000CA070000}"/>
    <cellStyle name="Outputs 2 2 2 5 6" xfId="13541" xr:uid="{00000000-0005-0000-0000-0000CA070000}"/>
    <cellStyle name="Outputs 2 2 2 5 6 2" xfId="31962" xr:uid="{00000000-0005-0000-0000-0000CA070000}"/>
    <cellStyle name="Outputs 2 2 2 5 6 3" xfId="50325" xr:uid="{00000000-0005-0000-0000-0000CA070000}"/>
    <cellStyle name="Outputs 2 2 2 5 7" xfId="23470" xr:uid="{00000000-0005-0000-0000-0000CA070000}"/>
    <cellStyle name="Outputs 2 2 2 5 7 2" xfId="41839" xr:uid="{00000000-0005-0000-0000-0000CA070000}"/>
    <cellStyle name="Outputs 2 2 2 5 8" xfId="18580" xr:uid="{00000000-0005-0000-0000-0000CA070000}"/>
    <cellStyle name="Outputs 2 2 2 5 9" xfId="36990" xr:uid="{00000000-0005-0000-0000-0000CA070000}"/>
    <cellStyle name="Outputs 2 2 2 6" xfId="4593" xr:uid="{00000000-0005-0000-0000-0000CA070000}"/>
    <cellStyle name="Outputs 2 2 2 6 2" xfId="11178" xr:uid="{00000000-0005-0000-0000-0000CA070000}"/>
    <cellStyle name="Outputs 2 2 2 6 2 2" xfId="29792" xr:uid="{00000000-0005-0000-0000-0000CA070000}"/>
    <cellStyle name="Outputs 2 2 2 6 2 3" xfId="48155" xr:uid="{00000000-0005-0000-0000-0000CA070000}"/>
    <cellStyle name="Outputs 2 2 2 6 3" xfId="15319" xr:uid="{00000000-0005-0000-0000-0000CA070000}"/>
    <cellStyle name="Outputs 2 2 2 6 3 2" xfId="33713" xr:uid="{00000000-0005-0000-0000-0000CA070000}"/>
    <cellStyle name="Outputs 2 2 2 6 3 3" xfId="52076" xr:uid="{00000000-0005-0000-0000-0000CA070000}"/>
    <cellStyle name="Outputs 2 2 2 6 4" xfId="24444" xr:uid="{00000000-0005-0000-0000-0000CA070000}"/>
    <cellStyle name="Outputs 2 2 2 6 4 2" xfId="42813" xr:uid="{00000000-0005-0000-0000-0000CA070000}"/>
    <cellStyle name="Outputs 2 2 2 6 5" xfId="20770" xr:uid="{00000000-0005-0000-0000-0000CA070000}"/>
    <cellStyle name="Outputs 2 2 2 6 6" xfId="39160" xr:uid="{00000000-0005-0000-0000-0000CA070000}"/>
    <cellStyle name="Outputs 2 2 2 7" xfId="5154" xr:uid="{00000000-0005-0000-0000-0000CA070000}"/>
    <cellStyle name="Outputs 2 2 2 7 2" xfId="11657" xr:uid="{00000000-0005-0000-0000-0000CA070000}"/>
    <cellStyle name="Outputs 2 2 2 7 2 2" xfId="30204" xr:uid="{00000000-0005-0000-0000-0000CA070000}"/>
    <cellStyle name="Outputs 2 2 2 7 2 3" xfId="48567" xr:uid="{00000000-0005-0000-0000-0000CA070000}"/>
    <cellStyle name="Outputs 2 2 2 7 3" xfId="15857" xr:uid="{00000000-0005-0000-0000-0000CA070000}"/>
    <cellStyle name="Outputs 2 2 2 7 3 2" xfId="34240" xr:uid="{00000000-0005-0000-0000-0000CA070000}"/>
    <cellStyle name="Outputs 2 2 2 7 3 3" xfId="52603" xr:uid="{00000000-0005-0000-0000-0000CA070000}"/>
    <cellStyle name="Outputs 2 2 2 7 4" xfId="24980" xr:uid="{00000000-0005-0000-0000-0000CA070000}"/>
    <cellStyle name="Outputs 2 2 2 7 4 2" xfId="43349" xr:uid="{00000000-0005-0000-0000-0000CA070000}"/>
    <cellStyle name="Outputs 2 2 2 7 5" xfId="21303" xr:uid="{00000000-0005-0000-0000-0000CA070000}"/>
    <cellStyle name="Outputs 2 2 2 7 6" xfId="39687" xr:uid="{00000000-0005-0000-0000-0000CA070000}"/>
    <cellStyle name="Outputs 2 2 2 8" xfId="7889" xr:uid="{00000000-0005-0000-0000-0000CA070000}"/>
    <cellStyle name="Outputs 2 2 2 8 2" xfId="27126" xr:uid="{00000000-0005-0000-0000-0000CA070000}"/>
    <cellStyle name="Outputs 2 2 2 8 3" xfId="45491" xr:uid="{00000000-0005-0000-0000-0000CA070000}"/>
    <cellStyle name="Outputs 2 2 2 9" xfId="10766" xr:uid="{00000000-0005-0000-0000-0000CA070000}"/>
    <cellStyle name="Outputs 2 2 2 9 2" xfId="29469" xr:uid="{00000000-0005-0000-0000-0000CA070000}"/>
    <cellStyle name="Outputs 2 2 2 9 3" xfId="47832" xr:uid="{00000000-0005-0000-0000-0000CA070000}"/>
    <cellStyle name="Outputs 2 2 3" xfId="1508" xr:uid="{00000000-0005-0000-0000-0000CE070000}"/>
    <cellStyle name="Outputs 2 2 3 10" xfId="7204" xr:uid="{00000000-0005-0000-0000-0000CE070000}"/>
    <cellStyle name="Outputs 2 2 3 10 2" xfId="26748" xr:uid="{00000000-0005-0000-0000-0000CE070000}"/>
    <cellStyle name="Outputs 2 2 3 10 3" xfId="45116" xr:uid="{00000000-0005-0000-0000-0000CE070000}"/>
    <cellStyle name="Outputs 2 2 3 11" xfId="7007" xr:uid="{00000000-0005-0000-0000-0000CE070000}"/>
    <cellStyle name="Outputs 2 2 3 12" xfId="8592" xr:uid="{00000000-0005-0000-0000-0000CE070000}"/>
    <cellStyle name="Outputs 2 2 3 2" xfId="1677" xr:uid="{00000000-0005-0000-0000-0000CF070000}"/>
    <cellStyle name="Outputs 2 2 3 2 10" xfId="8920" xr:uid="{00000000-0005-0000-0000-0000CF070000}"/>
    <cellStyle name="Outputs 2 2 3 2 2" xfId="3575" xr:uid="{00000000-0005-0000-0000-0000CF070000}"/>
    <cellStyle name="Outputs 2 2 3 2 2 2" xfId="5748" xr:uid="{00000000-0005-0000-0000-0000CF070000}"/>
    <cellStyle name="Outputs 2 2 3 2 2 2 2" xfId="12112" xr:uid="{00000000-0005-0000-0000-0000CF070000}"/>
    <cellStyle name="Outputs 2 2 3 2 2 2 2 2" xfId="30559" xr:uid="{00000000-0005-0000-0000-0000CF070000}"/>
    <cellStyle name="Outputs 2 2 3 2 2 2 2 3" xfId="48922" xr:uid="{00000000-0005-0000-0000-0000CF070000}"/>
    <cellStyle name="Outputs 2 2 3 2 2 2 3" xfId="16438" xr:uid="{00000000-0005-0000-0000-0000CF070000}"/>
    <cellStyle name="Outputs 2 2 3 2 2 2 3 2" xfId="34810" xr:uid="{00000000-0005-0000-0000-0000CF070000}"/>
    <cellStyle name="Outputs 2 2 3 2 2 2 3 3" xfId="53173" xr:uid="{00000000-0005-0000-0000-0000CF070000}"/>
    <cellStyle name="Outputs 2 2 3 2 2 2 4" xfId="25557" xr:uid="{00000000-0005-0000-0000-0000CF070000}"/>
    <cellStyle name="Outputs 2 2 3 2 2 2 4 2" xfId="43926" xr:uid="{00000000-0005-0000-0000-0000CF070000}"/>
    <cellStyle name="Outputs 2 2 3 2 2 2 5" xfId="21878" xr:uid="{00000000-0005-0000-0000-0000CF070000}"/>
    <cellStyle name="Outputs 2 2 3 2 2 2 6" xfId="40257" xr:uid="{00000000-0005-0000-0000-0000CF070000}"/>
    <cellStyle name="Outputs 2 2 3 2 2 3" xfId="6574" xr:uid="{00000000-0005-0000-0000-0000CF070000}"/>
    <cellStyle name="Outputs 2 2 3 2 2 3 2" xfId="12865" xr:uid="{00000000-0005-0000-0000-0000CF070000}"/>
    <cellStyle name="Outputs 2 2 3 2 2 3 2 2" xfId="31291" xr:uid="{00000000-0005-0000-0000-0000CF070000}"/>
    <cellStyle name="Outputs 2 2 3 2 2 3 2 3" xfId="49654" xr:uid="{00000000-0005-0000-0000-0000CF070000}"/>
    <cellStyle name="Outputs 2 2 3 2 2 3 3" xfId="17176" xr:uid="{00000000-0005-0000-0000-0000CF070000}"/>
    <cellStyle name="Outputs 2 2 3 2 2 3 3 2" xfId="35524" xr:uid="{00000000-0005-0000-0000-0000CF070000}"/>
    <cellStyle name="Outputs 2 2 3 2 2 3 3 3" xfId="53887" xr:uid="{00000000-0005-0000-0000-0000CF070000}"/>
    <cellStyle name="Outputs 2 2 3 2 2 3 4" xfId="26309" xr:uid="{00000000-0005-0000-0000-0000CF070000}"/>
    <cellStyle name="Outputs 2 2 3 2 2 3 4 2" xfId="44678" xr:uid="{00000000-0005-0000-0000-0000CF070000}"/>
    <cellStyle name="Outputs 2 2 3 2 2 3 5" xfId="22602" xr:uid="{00000000-0005-0000-0000-0000CF070000}"/>
    <cellStyle name="Outputs 2 2 3 2 2 3 6" xfId="40971" xr:uid="{00000000-0005-0000-0000-0000CF070000}"/>
    <cellStyle name="Outputs 2 2 3 2 2 4" xfId="10288" xr:uid="{00000000-0005-0000-0000-0000CF070000}"/>
    <cellStyle name="Outputs 2 2 3 2 2 4 2" xfId="14345" xr:uid="{00000000-0005-0000-0000-0000CF070000}"/>
    <cellStyle name="Outputs 2 2 3 2 2 4 2 2" xfId="32761" xr:uid="{00000000-0005-0000-0000-0000CF070000}"/>
    <cellStyle name="Outputs 2 2 3 2 2 4 2 3" xfId="51124" xr:uid="{00000000-0005-0000-0000-0000CF070000}"/>
    <cellStyle name="Outputs 2 2 3 2 2 4 3" xfId="28999" xr:uid="{00000000-0005-0000-0000-0000CF070000}"/>
    <cellStyle name="Outputs 2 2 3 2 2 4 3 2" xfId="47362" xr:uid="{00000000-0005-0000-0000-0000CF070000}"/>
    <cellStyle name="Outputs 2 2 3 2 2 4 4" xfId="19802" xr:uid="{00000000-0005-0000-0000-0000CF070000}"/>
    <cellStyle name="Outputs 2 2 3 2 2 4 5" xfId="38208" xr:uid="{00000000-0005-0000-0000-0000CF070000}"/>
    <cellStyle name="Outputs 2 2 3 2 2 5" xfId="9496" xr:uid="{00000000-0005-0000-0000-0000CF070000}"/>
    <cellStyle name="Outputs 2 2 3 2 2 5 2" xfId="28213" xr:uid="{00000000-0005-0000-0000-0000CF070000}"/>
    <cellStyle name="Outputs 2 2 3 2 2 5 3" xfId="46576" xr:uid="{00000000-0005-0000-0000-0000CF070000}"/>
    <cellStyle name="Outputs 2 2 3 2 2 6" xfId="13554" xr:uid="{00000000-0005-0000-0000-0000CF070000}"/>
    <cellStyle name="Outputs 2 2 3 2 2 6 2" xfId="31975" xr:uid="{00000000-0005-0000-0000-0000CF070000}"/>
    <cellStyle name="Outputs 2 2 3 2 2 6 3" xfId="50338" xr:uid="{00000000-0005-0000-0000-0000CF070000}"/>
    <cellStyle name="Outputs 2 2 3 2 2 7" xfId="23483" xr:uid="{00000000-0005-0000-0000-0000CF070000}"/>
    <cellStyle name="Outputs 2 2 3 2 2 7 2" xfId="41852" xr:uid="{00000000-0005-0000-0000-0000CF070000}"/>
    <cellStyle name="Outputs 2 2 3 2 2 8" xfId="18594" xr:uid="{00000000-0005-0000-0000-0000CF070000}"/>
    <cellStyle name="Outputs 2 2 3 2 2 9" xfId="37004" xr:uid="{00000000-0005-0000-0000-0000CF070000}"/>
    <cellStyle name="Outputs 2 2 3 2 3" xfId="4616" xr:uid="{00000000-0005-0000-0000-0000CF070000}"/>
    <cellStyle name="Outputs 2 2 3 2 3 2" xfId="11200" xr:uid="{00000000-0005-0000-0000-0000CF070000}"/>
    <cellStyle name="Outputs 2 2 3 2 3 2 2" xfId="29812" xr:uid="{00000000-0005-0000-0000-0000CF070000}"/>
    <cellStyle name="Outputs 2 2 3 2 3 2 3" xfId="48175" xr:uid="{00000000-0005-0000-0000-0000CF070000}"/>
    <cellStyle name="Outputs 2 2 3 2 3 3" xfId="15342" xr:uid="{00000000-0005-0000-0000-0000CF070000}"/>
    <cellStyle name="Outputs 2 2 3 2 3 3 2" xfId="33735" xr:uid="{00000000-0005-0000-0000-0000CF070000}"/>
    <cellStyle name="Outputs 2 2 3 2 3 3 3" xfId="52098" xr:uid="{00000000-0005-0000-0000-0000CF070000}"/>
    <cellStyle name="Outputs 2 2 3 2 3 4" xfId="24466" xr:uid="{00000000-0005-0000-0000-0000CF070000}"/>
    <cellStyle name="Outputs 2 2 3 2 3 4 2" xfId="42835" xr:uid="{00000000-0005-0000-0000-0000CF070000}"/>
    <cellStyle name="Outputs 2 2 3 2 3 5" xfId="20793" xr:uid="{00000000-0005-0000-0000-0000CF070000}"/>
    <cellStyle name="Outputs 2 2 3 2 3 6" xfId="39182" xr:uid="{00000000-0005-0000-0000-0000CF070000}"/>
    <cellStyle name="Outputs 2 2 3 2 4" xfId="4994" xr:uid="{00000000-0005-0000-0000-0000CF070000}"/>
    <cellStyle name="Outputs 2 2 3 2 4 2" xfId="11523" xr:uid="{00000000-0005-0000-0000-0000CF070000}"/>
    <cellStyle name="Outputs 2 2 3 2 4 2 2" xfId="30096" xr:uid="{00000000-0005-0000-0000-0000CF070000}"/>
    <cellStyle name="Outputs 2 2 3 2 4 2 3" xfId="48459" xr:uid="{00000000-0005-0000-0000-0000CF070000}"/>
    <cellStyle name="Outputs 2 2 3 2 4 3" xfId="15710" xr:uid="{00000000-0005-0000-0000-0000CF070000}"/>
    <cellStyle name="Outputs 2 2 3 2 4 3 2" xfId="34098" xr:uid="{00000000-0005-0000-0000-0000CF070000}"/>
    <cellStyle name="Outputs 2 2 3 2 4 3 3" xfId="52461" xr:uid="{00000000-0005-0000-0000-0000CF070000}"/>
    <cellStyle name="Outputs 2 2 3 2 4 4" xfId="24833" xr:uid="{00000000-0005-0000-0000-0000CF070000}"/>
    <cellStyle name="Outputs 2 2 3 2 4 4 2" xfId="43202" xr:uid="{00000000-0005-0000-0000-0000CF070000}"/>
    <cellStyle name="Outputs 2 2 3 2 4 5" xfId="21158" xr:uid="{00000000-0005-0000-0000-0000CF070000}"/>
    <cellStyle name="Outputs 2 2 3 2 4 6" xfId="39545" xr:uid="{00000000-0005-0000-0000-0000CF070000}"/>
    <cellStyle name="Outputs 2 2 3 2 5" xfId="9100" xr:uid="{00000000-0005-0000-0000-0000CF070000}"/>
    <cellStyle name="Outputs 2 2 3 2 5 2" xfId="5168" xr:uid="{00000000-0005-0000-0000-0000CF070000}"/>
    <cellStyle name="Outputs 2 2 3 2 5 2 2" xfId="24987" xr:uid="{00000000-0005-0000-0000-0000CF070000}"/>
    <cellStyle name="Outputs 2 2 3 2 5 2 3" xfId="43356" xr:uid="{00000000-0005-0000-0000-0000CF070000}"/>
    <cellStyle name="Outputs 2 2 3 2 5 3" xfId="27826" xr:uid="{00000000-0005-0000-0000-0000CF070000}"/>
    <cellStyle name="Outputs 2 2 3 2 5 3 2" xfId="46189" xr:uid="{00000000-0005-0000-0000-0000CF070000}"/>
    <cellStyle name="Outputs 2 2 3 2 5 4" xfId="18000" xr:uid="{00000000-0005-0000-0000-0000CF070000}"/>
    <cellStyle name="Outputs 2 2 3 2 5 5" xfId="36408" xr:uid="{00000000-0005-0000-0000-0000CF070000}"/>
    <cellStyle name="Outputs 2 2 3 2 6" xfId="7910" xr:uid="{00000000-0005-0000-0000-0000CF070000}"/>
    <cellStyle name="Outputs 2 2 3 2 6 2" xfId="27142" xr:uid="{00000000-0005-0000-0000-0000CF070000}"/>
    <cellStyle name="Outputs 2 2 3 2 6 3" xfId="45507" xr:uid="{00000000-0005-0000-0000-0000CF070000}"/>
    <cellStyle name="Outputs 2 2 3 2 7" xfId="12570" xr:uid="{00000000-0005-0000-0000-0000CF070000}"/>
    <cellStyle name="Outputs 2 2 3 2 7 2" xfId="30999" xr:uid="{00000000-0005-0000-0000-0000CF070000}"/>
    <cellStyle name="Outputs 2 2 3 2 7 3" xfId="49362" xr:uid="{00000000-0005-0000-0000-0000CF070000}"/>
    <cellStyle name="Outputs 2 2 3 2 8" xfId="18096" xr:uid="{00000000-0005-0000-0000-0000CF070000}"/>
    <cellStyle name="Outputs 2 2 3 2 8 2" xfId="36503" xr:uid="{00000000-0005-0000-0000-0000CF070000}"/>
    <cellStyle name="Outputs 2 2 3 2 9" xfId="8394" xr:uid="{00000000-0005-0000-0000-0000CF070000}"/>
    <cellStyle name="Outputs 2 2 3 3" xfId="1450" xr:uid="{00000000-0005-0000-0000-0000D0070000}"/>
    <cellStyle name="Outputs 2 2 3 3 10" xfId="11360" xr:uid="{00000000-0005-0000-0000-0000D0070000}"/>
    <cellStyle name="Outputs 2 2 3 3 2" xfId="3469" xr:uid="{00000000-0005-0000-0000-0000D0070000}"/>
    <cellStyle name="Outputs 2 2 3 3 2 2" xfId="5644" xr:uid="{00000000-0005-0000-0000-0000D0070000}"/>
    <cellStyle name="Outputs 2 2 3 3 2 2 2" xfId="12008" xr:uid="{00000000-0005-0000-0000-0000D0070000}"/>
    <cellStyle name="Outputs 2 2 3 3 2 2 2 2" xfId="30455" xr:uid="{00000000-0005-0000-0000-0000D0070000}"/>
    <cellStyle name="Outputs 2 2 3 3 2 2 2 3" xfId="48818" xr:uid="{00000000-0005-0000-0000-0000D0070000}"/>
    <cellStyle name="Outputs 2 2 3 3 2 2 3" xfId="16334" xr:uid="{00000000-0005-0000-0000-0000D0070000}"/>
    <cellStyle name="Outputs 2 2 3 3 2 2 3 2" xfId="34706" xr:uid="{00000000-0005-0000-0000-0000D0070000}"/>
    <cellStyle name="Outputs 2 2 3 3 2 2 3 3" xfId="53069" xr:uid="{00000000-0005-0000-0000-0000D0070000}"/>
    <cellStyle name="Outputs 2 2 3 3 2 2 4" xfId="25453" xr:uid="{00000000-0005-0000-0000-0000D0070000}"/>
    <cellStyle name="Outputs 2 2 3 3 2 2 4 2" xfId="43822" xr:uid="{00000000-0005-0000-0000-0000D0070000}"/>
    <cellStyle name="Outputs 2 2 3 3 2 2 5" xfId="21774" xr:uid="{00000000-0005-0000-0000-0000D0070000}"/>
    <cellStyle name="Outputs 2 2 3 3 2 2 6" xfId="40153" xr:uid="{00000000-0005-0000-0000-0000D0070000}"/>
    <cellStyle name="Outputs 2 2 3 3 2 3" xfId="6468" xr:uid="{00000000-0005-0000-0000-0000D0070000}"/>
    <cellStyle name="Outputs 2 2 3 3 2 3 2" xfId="12759" xr:uid="{00000000-0005-0000-0000-0000D0070000}"/>
    <cellStyle name="Outputs 2 2 3 3 2 3 2 2" xfId="31185" xr:uid="{00000000-0005-0000-0000-0000D0070000}"/>
    <cellStyle name="Outputs 2 2 3 3 2 3 2 3" xfId="49548" xr:uid="{00000000-0005-0000-0000-0000D0070000}"/>
    <cellStyle name="Outputs 2 2 3 3 2 3 3" xfId="17070" xr:uid="{00000000-0005-0000-0000-0000D0070000}"/>
    <cellStyle name="Outputs 2 2 3 3 2 3 3 2" xfId="35418" xr:uid="{00000000-0005-0000-0000-0000D0070000}"/>
    <cellStyle name="Outputs 2 2 3 3 2 3 3 3" xfId="53781" xr:uid="{00000000-0005-0000-0000-0000D0070000}"/>
    <cellStyle name="Outputs 2 2 3 3 2 3 4" xfId="26203" xr:uid="{00000000-0005-0000-0000-0000D0070000}"/>
    <cellStyle name="Outputs 2 2 3 3 2 3 4 2" xfId="44572" xr:uid="{00000000-0005-0000-0000-0000D0070000}"/>
    <cellStyle name="Outputs 2 2 3 3 2 3 5" xfId="22496" xr:uid="{00000000-0005-0000-0000-0000D0070000}"/>
    <cellStyle name="Outputs 2 2 3 3 2 3 6" xfId="40865" xr:uid="{00000000-0005-0000-0000-0000D0070000}"/>
    <cellStyle name="Outputs 2 2 3 3 2 4" xfId="10182" xr:uid="{00000000-0005-0000-0000-0000D0070000}"/>
    <cellStyle name="Outputs 2 2 3 3 2 4 2" xfId="14239" xr:uid="{00000000-0005-0000-0000-0000D0070000}"/>
    <cellStyle name="Outputs 2 2 3 3 2 4 2 2" xfId="32655" xr:uid="{00000000-0005-0000-0000-0000D0070000}"/>
    <cellStyle name="Outputs 2 2 3 3 2 4 2 3" xfId="51018" xr:uid="{00000000-0005-0000-0000-0000D0070000}"/>
    <cellStyle name="Outputs 2 2 3 3 2 4 3" xfId="28893" xr:uid="{00000000-0005-0000-0000-0000D0070000}"/>
    <cellStyle name="Outputs 2 2 3 3 2 4 3 2" xfId="47256" xr:uid="{00000000-0005-0000-0000-0000D0070000}"/>
    <cellStyle name="Outputs 2 2 3 3 2 4 4" xfId="19696" xr:uid="{00000000-0005-0000-0000-0000D0070000}"/>
    <cellStyle name="Outputs 2 2 3 3 2 4 5" xfId="38102" xr:uid="{00000000-0005-0000-0000-0000D0070000}"/>
    <cellStyle name="Outputs 2 2 3 3 2 5" xfId="9373" xr:uid="{00000000-0005-0000-0000-0000D0070000}"/>
    <cellStyle name="Outputs 2 2 3 3 2 5 2" xfId="28092" xr:uid="{00000000-0005-0000-0000-0000D0070000}"/>
    <cellStyle name="Outputs 2 2 3 3 2 5 3" xfId="46455" xr:uid="{00000000-0005-0000-0000-0000D0070000}"/>
    <cellStyle name="Outputs 2 2 3 3 2 6" xfId="13429" xr:uid="{00000000-0005-0000-0000-0000D0070000}"/>
    <cellStyle name="Outputs 2 2 3 3 2 6 2" xfId="31850" xr:uid="{00000000-0005-0000-0000-0000D0070000}"/>
    <cellStyle name="Outputs 2 2 3 3 2 6 3" xfId="50213" xr:uid="{00000000-0005-0000-0000-0000D0070000}"/>
    <cellStyle name="Outputs 2 2 3 3 2 7" xfId="23377" xr:uid="{00000000-0005-0000-0000-0000D0070000}"/>
    <cellStyle name="Outputs 2 2 3 3 2 7 2" xfId="41746" xr:uid="{00000000-0005-0000-0000-0000D0070000}"/>
    <cellStyle name="Outputs 2 2 3 3 2 8" xfId="18455" xr:uid="{00000000-0005-0000-0000-0000D0070000}"/>
    <cellStyle name="Outputs 2 2 3 3 2 9" xfId="36861" xr:uid="{00000000-0005-0000-0000-0000D0070000}"/>
    <cellStyle name="Outputs 2 2 3 3 3" xfId="4467" xr:uid="{00000000-0005-0000-0000-0000D0070000}"/>
    <cellStyle name="Outputs 2 2 3 3 3 2" xfId="11063" xr:uid="{00000000-0005-0000-0000-0000D0070000}"/>
    <cellStyle name="Outputs 2 2 3 3 3 2 2" xfId="29683" xr:uid="{00000000-0005-0000-0000-0000D0070000}"/>
    <cellStyle name="Outputs 2 2 3 3 3 2 3" xfId="48046" xr:uid="{00000000-0005-0000-0000-0000D0070000}"/>
    <cellStyle name="Outputs 2 2 3 3 3 3" xfId="15201" xr:uid="{00000000-0005-0000-0000-0000D0070000}"/>
    <cellStyle name="Outputs 2 2 3 3 3 3 2" xfId="33596" xr:uid="{00000000-0005-0000-0000-0000D0070000}"/>
    <cellStyle name="Outputs 2 2 3 3 3 3 3" xfId="51959" xr:uid="{00000000-0005-0000-0000-0000D0070000}"/>
    <cellStyle name="Outputs 2 2 3 3 3 4" xfId="24327" xr:uid="{00000000-0005-0000-0000-0000D0070000}"/>
    <cellStyle name="Outputs 2 2 3 3 3 4 2" xfId="42696" xr:uid="{00000000-0005-0000-0000-0000D0070000}"/>
    <cellStyle name="Outputs 2 2 3 3 3 5" xfId="20651" xr:uid="{00000000-0005-0000-0000-0000D0070000}"/>
    <cellStyle name="Outputs 2 2 3 3 3 6" xfId="39043" xr:uid="{00000000-0005-0000-0000-0000D0070000}"/>
    <cellStyle name="Outputs 2 2 3 3 4" xfId="5135" xr:uid="{00000000-0005-0000-0000-0000D0070000}"/>
    <cellStyle name="Outputs 2 2 3 3 4 2" xfId="11640" xr:uid="{00000000-0005-0000-0000-0000D0070000}"/>
    <cellStyle name="Outputs 2 2 3 3 4 2 2" xfId="30188" xr:uid="{00000000-0005-0000-0000-0000D0070000}"/>
    <cellStyle name="Outputs 2 2 3 3 4 2 3" xfId="48551" xr:uid="{00000000-0005-0000-0000-0000D0070000}"/>
    <cellStyle name="Outputs 2 2 3 3 4 3" xfId="15839" xr:uid="{00000000-0005-0000-0000-0000D0070000}"/>
    <cellStyle name="Outputs 2 2 3 3 4 3 2" xfId="34223" xr:uid="{00000000-0005-0000-0000-0000D0070000}"/>
    <cellStyle name="Outputs 2 2 3 3 4 3 3" xfId="52586" xr:uid="{00000000-0005-0000-0000-0000D0070000}"/>
    <cellStyle name="Outputs 2 2 3 3 4 4" xfId="24962" xr:uid="{00000000-0005-0000-0000-0000D0070000}"/>
    <cellStyle name="Outputs 2 2 3 3 4 4 2" xfId="43331" xr:uid="{00000000-0005-0000-0000-0000D0070000}"/>
    <cellStyle name="Outputs 2 2 3 3 4 5" xfId="21285" xr:uid="{00000000-0005-0000-0000-0000D0070000}"/>
    <cellStyle name="Outputs 2 2 3 3 4 6" xfId="39670" xr:uid="{00000000-0005-0000-0000-0000D0070000}"/>
    <cellStyle name="Outputs 2 2 3 3 5" xfId="7611" xr:uid="{00000000-0005-0000-0000-0000D0070000}"/>
    <cellStyle name="Outputs 2 2 3 3 5 2" xfId="7243" xr:uid="{00000000-0005-0000-0000-0000D0070000}"/>
    <cellStyle name="Outputs 2 2 3 3 5 2 2" xfId="26776" xr:uid="{00000000-0005-0000-0000-0000D0070000}"/>
    <cellStyle name="Outputs 2 2 3 3 5 2 3" xfId="45144" xr:uid="{00000000-0005-0000-0000-0000D0070000}"/>
    <cellStyle name="Outputs 2 2 3 3 5 3" xfId="26907" xr:uid="{00000000-0005-0000-0000-0000D0070000}"/>
    <cellStyle name="Outputs 2 2 3 3 5 3 2" xfId="45272" xr:uid="{00000000-0005-0000-0000-0000D0070000}"/>
    <cellStyle name="Outputs 2 2 3 3 5 4" xfId="10796" xr:uid="{00000000-0005-0000-0000-0000D0070000}"/>
    <cellStyle name="Outputs 2 2 3 3 5 5" xfId="8436" xr:uid="{00000000-0005-0000-0000-0000D0070000}"/>
    <cellStyle name="Outputs 2 2 3 3 6" xfId="7737" xr:uid="{00000000-0005-0000-0000-0000D0070000}"/>
    <cellStyle name="Outputs 2 2 3 3 6 2" xfId="27014" xr:uid="{00000000-0005-0000-0000-0000D0070000}"/>
    <cellStyle name="Outputs 2 2 3 3 6 3" xfId="45379" xr:uid="{00000000-0005-0000-0000-0000D0070000}"/>
    <cellStyle name="Outputs 2 2 3 3 7" xfId="8536" xr:uid="{00000000-0005-0000-0000-0000D0070000}"/>
    <cellStyle name="Outputs 2 2 3 3 7 2" xfId="27521" xr:uid="{00000000-0005-0000-0000-0000D0070000}"/>
    <cellStyle name="Outputs 2 2 3 3 7 3" xfId="45885" xr:uid="{00000000-0005-0000-0000-0000D0070000}"/>
    <cellStyle name="Outputs 2 2 3 3 8" xfId="18061" xr:uid="{00000000-0005-0000-0000-0000D0070000}"/>
    <cellStyle name="Outputs 2 2 3 3 8 2" xfId="36468" xr:uid="{00000000-0005-0000-0000-0000D0070000}"/>
    <cellStyle name="Outputs 2 2 3 3 9" xfId="7026" xr:uid="{00000000-0005-0000-0000-0000D0070000}"/>
    <cellStyle name="Outputs 2 2 3 4" xfId="1370" xr:uid="{00000000-0005-0000-0000-0000D1070000}"/>
    <cellStyle name="Outputs 2 2 3 4 10" xfId="21307" xr:uid="{00000000-0005-0000-0000-0000D1070000}"/>
    <cellStyle name="Outputs 2 2 3 4 2" xfId="3412" xr:uid="{00000000-0005-0000-0000-0000D1070000}"/>
    <cellStyle name="Outputs 2 2 3 4 2 2" xfId="5587" xr:uid="{00000000-0005-0000-0000-0000D1070000}"/>
    <cellStyle name="Outputs 2 2 3 4 2 2 2" xfId="11951" xr:uid="{00000000-0005-0000-0000-0000D1070000}"/>
    <cellStyle name="Outputs 2 2 3 4 2 2 2 2" xfId="30398" xr:uid="{00000000-0005-0000-0000-0000D1070000}"/>
    <cellStyle name="Outputs 2 2 3 4 2 2 2 3" xfId="48761" xr:uid="{00000000-0005-0000-0000-0000D1070000}"/>
    <cellStyle name="Outputs 2 2 3 4 2 2 3" xfId="16277" xr:uid="{00000000-0005-0000-0000-0000D1070000}"/>
    <cellStyle name="Outputs 2 2 3 4 2 2 3 2" xfId="34649" xr:uid="{00000000-0005-0000-0000-0000D1070000}"/>
    <cellStyle name="Outputs 2 2 3 4 2 2 3 3" xfId="53012" xr:uid="{00000000-0005-0000-0000-0000D1070000}"/>
    <cellStyle name="Outputs 2 2 3 4 2 2 4" xfId="25396" xr:uid="{00000000-0005-0000-0000-0000D1070000}"/>
    <cellStyle name="Outputs 2 2 3 4 2 2 4 2" xfId="43765" xr:uid="{00000000-0005-0000-0000-0000D1070000}"/>
    <cellStyle name="Outputs 2 2 3 4 2 2 5" xfId="21717" xr:uid="{00000000-0005-0000-0000-0000D1070000}"/>
    <cellStyle name="Outputs 2 2 3 4 2 2 6" xfId="40096" xr:uid="{00000000-0005-0000-0000-0000D1070000}"/>
    <cellStyle name="Outputs 2 2 3 4 2 3" xfId="6411" xr:uid="{00000000-0005-0000-0000-0000D1070000}"/>
    <cellStyle name="Outputs 2 2 3 4 2 3 2" xfId="12702" xr:uid="{00000000-0005-0000-0000-0000D1070000}"/>
    <cellStyle name="Outputs 2 2 3 4 2 3 2 2" xfId="31128" xr:uid="{00000000-0005-0000-0000-0000D1070000}"/>
    <cellStyle name="Outputs 2 2 3 4 2 3 2 3" xfId="49491" xr:uid="{00000000-0005-0000-0000-0000D1070000}"/>
    <cellStyle name="Outputs 2 2 3 4 2 3 3" xfId="17013" xr:uid="{00000000-0005-0000-0000-0000D1070000}"/>
    <cellStyle name="Outputs 2 2 3 4 2 3 3 2" xfId="35361" xr:uid="{00000000-0005-0000-0000-0000D1070000}"/>
    <cellStyle name="Outputs 2 2 3 4 2 3 3 3" xfId="53724" xr:uid="{00000000-0005-0000-0000-0000D1070000}"/>
    <cellStyle name="Outputs 2 2 3 4 2 3 4" xfId="26146" xr:uid="{00000000-0005-0000-0000-0000D1070000}"/>
    <cellStyle name="Outputs 2 2 3 4 2 3 4 2" xfId="44515" xr:uid="{00000000-0005-0000-0000-0000D1070000}"/>
    <cellStyle name="Outputs 2 2 3 4 2 3 5" xfId="22439" xr:uid="{00000000-0005-0000-0000-0000D1070000}"/>
    <cellStyle name="Outputs 2 2 3 4 2 3 6" xfId="40808" xr:uid="{00000000-0005-0000-0000-0000D1070000}"/>
    <cellStyle name="Outputs 2 2 3 4 2 4" xfId="10125" xr:uid="{00000000-0005-0000-0000-0000D1070000}"/>
    <cellStyle name="Outputs 2 2 3 4 2 4 2" xfId="14182" xr:uid="{00000000-0005-0000-0000-0000D1070000}"/>
    <cellStyle name="Outputs 2 2 3 4 2 4 2 2" xfId="32598" xr:uid="{00000000-0005-0000-0000-0000D1070000}"/>
    <cellStyle name="Outputs 2 2 3 4 2 4 2 3" xfId="50961" xr:uid="{00000000-0005-0000-0000-0000D1070000}"/>
    <cellStyle name="Outputs 2 2 3 4 2 4 3" xfId="28836" xr:uid="{00000000-0005-0000-0000-0000D1070000}"/>
    <cellStyle name="Outputs 2 2 3 4 2 4 3 2" xfId="47199" xr:uid="{00000000-0005-0000-0000-0000D1070000}"/>
    <cellStyle name="Outputs 2 2 3 4 2 4 4" xfId="19639" xr:uid="{00000000-0005-0000-0000-0000D1070000}"/>
    <cellStyle name="Outputs 2 2 3 4 2 4 5" xfId="38045" xr:uid="{00000000-0005-0000-0000-0000D1070000}"/>
    <cellStyle name="Outputs 2 2 3 4 2 5" xfId="9312" xr:uid="{00000000-0005-0000-0000-0000D1070000}"/>
    <cellStyle name="Outputs 2 2 3 4 2 5 2" xfId="28031" xr:uid="{00000000-0005-0000-0000-0000D1070000}"/>
    <cellStyle name="Outputs 2 2 3 4 2 5 3" xfId="46394" xr:uid="{00000000-0005-0000-0000-0000D1070000}"/>
    <cellStyle name="Outputs 2 2 3 4 2 6" xfId="13368" xr:uid="{00000000-0005-0000-0000-0000D1070000}"/>
    <cellStyle name="Outputs 2 2 3 4 2 6 2" xfId="31789" xr:uid="{00000000-0005-0000-0000-0000D1070000}"/>
    <cellStyle name="Outputs 2 2 3 4 2 6 3" xfId="50152" xr:uid="{00000000-0005-0000-0000-0000D1070000}"/>
    <cellStyle name="Outputs 2 2 3 4 2 7" xfId="23320" xr:uid="{00000000-0005-0000-0000-0000D1070000}"/>
    <cellStyle name="Outputs 2 2 3 4 2 7 2" xfId="41689" xr:uid="{00000000-0005-0000-0000-0000D1070000}"/>
    <cellStyle name="Outputs 2 2 3 4 2 8" xfId="18388" xr:uid="{00000000-0005-0000-0000-0000D1070000}"/>
    <cellStyle name="Outputs 2 2 3 4 2 9" xfId="36794" xr:uid="{00000000-0005-0000-0000-0000D1070000}"/>
    <cellStyle name="Outputs 2 2 3 4 3" xfId="4403" xr:uid="{00000000-0005-0000-0000-0000D1070000}"/>
    <cellStyle name="Outputs 2 2 3 4 3 2" xfId="11002" xr:uid="{00000000-0005-0000-0000-0000D1070000}"/>
    <cellStyle name="Outputs 2 2 3 4 3 2 2" xfId="29624" xr:uid="{00000000-0005-0000-0000-0000D1070000}"/>
    <cellStyle name="Outputs 2 2 3 4 3 2 3" xfId="47987" xr:uid="{00000000-0005-0000-0000-0000D1070000}"/>
    <cellStyle name="Outputs 2 2 3 4 3 3" xfId="15138" xr:uid="{00000000-0005-0000-0000-0000D1070000}"/>
    <cellStyle name="Outputs 2 2 3 4 3 3 2" xfId="33535" xr:uid="{00000000-0005-0000-0000-0000D1070000}"/>
    <cellStyle name="Outputs 2 2 3 4 3 3 3" xfId="51898" xr:uid="{00000000-0005-0000-0000-0000D1070000}"/>
    <cellStyle name="Outputs 2 2 3 4 3 4" xfId="24266" xr:uid="{00000000-0005-0000-0000-0000D1070000}"/>
    <cellStyle name="Outputs 2 2 3 4 3 4 2" xfId="42635" xr:uid="{00000000-0005-0000-0000-0000D1070000}"/>
    <cellStyle name="Outputs 2 2 3 4 3 5" xfId="20589" xr:uid="{00000000-0005-0000-0000-0000D1070000}"/>
    <cellStyle name="Outputs 2 2 3 4 3 6" xfId="38982" xr:uid="{00000000-0005-0000-0000-0000D1070000}"/>
    <cellStyle name="Outputs 2 2 3 4 4" xfId="4050" xr:uid="{00000000-0005-0000-0000-0000D1070000}"/>
    <cellStyle name="Outputs 2 2 3 4 4 2" xfId="10751" xr:uid="{00000000-0005-0000-0000-0000D1070000}"/>
    <cellStyle name="Outputs 2 2 3 4 4 2 2" xfId="29454" xr:uid="{00000000-0005-0000-0000-0000D1070000}"/>
    <cellStyle name="Outputs 2 2 3 4 4 2 3" xfId="47817" xr:uid="{00000000-0005-0000-0000-0000D1070000}"/>
    <cellStyle name="Outputs 2 2 3 4 4 3" xfId="14811" xr:uid="{00000000-0005-0000-0000-0000D1070000}"/>
    <cellStyle name="Outputs 2 2 3 4 4 3 2" xfId="33223" xr:uid="{00000000-0005-0000-0000-0000D1070000}"/>
    <cellStyle name="Outputs 2 2 3 4 4 3 3" xfId="51586" xr:uid="{00000000-0005-0000-0000-0000D1070000}"/>
    <cellStyle name="Outputs 2 2 3 4 4 4" xfId="23947" xr:uid="{00000000-0005-0000-0000-0000D1070000}"/>
    <cellStyle name="Outputs 2 2 3 4 4 4 2" xfId="42316" xr:uid="{00000000-0005-0000-0000-0000D1070000}"/>
    <cellStyle name="Outputs 2 2 3 4 4 5" xfId="20267" xr:uid="{00000000-0005-0000-0000-0000D1070000}"/>
    <cellStyle name="Outputs 2 2 3 4 4 6" xfId="38670" xr:uid="{00000000-0005-0000-0000-0000D1070000}"/>
    <cellStyle name="Outputs 2 2 3 4 5" xfId="9267" xr:uid="{00000000-0005-0000-0000-0000D1070000}"/>
    <cellStyle name="Outputs 2 2 3 4 5 2" xfId="13324" xr:uid="{00000000-0005-0000-0000-0000D1070000}"/>
    <cellStyle name="Outputs 2 2 3 4 5 2 2" xfId="31745" xr:uid="{00000000-0005-0000-0000-0000D1070000}"/>
    <cellStyle name="Outputs 2 2 3 4 5 2 3" xfId="50108" xr:uid="{00000000-0005-0000-0000-0000D1070000}"/>
    <cellStyle name="Outputs 2 2 3 4 5 3" xfId="27987" xr:uid="{00000000-0005-0000-0000-0000D1070000}"/>
    <cellStyle name="Outputs 2 2 3 4 5 3 2" xfId="46350" xr:uid="{00000000-0005-0000-0000-0000D1070000}"/>
    <cellStyle name="Outputs 2 2 3 4 5 4" xfId="18327" xr:uid="{00000000-0005-0000-0000-0000D1070000}"/>
    <cellStyle name="Outputs 2 2 3 4 5 5" xfId="36733" xr:uid="{00000000-0005-0000-0000-0000D1070000}"/>
    <cellStyle name="Outputs 2 2 3 4 6" xfId="7665" xr:uid="{00000000-0005-0000-0000-0000D1070000}"/>
    <cellStyle name="Outputs 2 2 3 4 6 2" xfId="26949" xr:uid="{00000000-0005-0000-0000-0000D1070000}"/>
    <cellStyle name="Outputs 2 2 3 4 6 3" xfId="45314" xr:uid="{00000000-0005-0000-0000-0000D1070000}"/>
    <cellStyle name="Outputs 2 2 3 4 7" xfId="8991" xr:uid="{00000000-0005-0000-0000-0000D1070000}"/>
    <cellStyle name="Outputs 2 2 3 4 7 2" xfId="27719" xr:uid="{00000000-0005-0000-0000-0000D1070000}"/>
    <cellStyle name="Outputs 2 2 3 4 7 3" xfId="46082" xr:uid="{00000000-0005-0000-0000-0000D1070000}"/>
    <cellStyle name="Outputs 2 2 3 4 8" xfId="19449" xr:uid="{00000000-0005-0000-0000-0000D1070000}"/>
    <cellStyle name="Outputs 2 2 3 4 8 2" xfId="37855" xr:uid="{00000000-0005-0000-0000-0000D1070000}"/>
    <cellStyle name="Outputs 2 2 3 4 9" xfId="8696" xr:uid="{00000000-0005-0000-0000-0000D1070000}"/>
    <cellStyle name="Outputs 2 2 3 5" xfId="3514" xr:uid="{00000000-0005-0000-0000-0000CE070000}"/>
    <cellStyle name="Outputs 2 2 3 5 2" xfId="5688" xr:uid="{00000000-0005-0000-0000-0000CE070000}"/>
    <cellStyle name="Outputs 2 2 3 5 2 2" xfId="12052" xr:uid="{00000000-0005-0000-0000-0000CE070000}"/>
    <cellStyle name="Outputs 2 2 3 5 2 2 2" xfId="30499" xr:uid="{00000000-0005-0000-0000-0000CE070000}"/>
    <cellStyle name="Outputs 2 2 3 5 2 2 3" xfId="48862" xr:uid="{00000000-0005-0000-0000-0000CE070000}"/>
    <cellStyle name="Outputs 2 2 3 5 2 3" xfId="16378" xr:uid="{00000000-0005-0000-0000-0000CE070000}"/>
    <cellStyle name="Outputs 2 2 3 5 2 3 2" xfId="34750" xr:uid="{00000000-0005-0000-0000-0000CE070000}"/>
    <cellStyle name="Outputs 2 2 3 5 2 3 3" xfId="53113" xr:uid="{00000000-0005-0000-0000-0000CE070000}"/>
    <cellStyle name="Outputs 2 2 3 5 2 4" xfId="25497" xr:uid="{00000000-0005-0000-0000-0000CE070000}"/>
    <cellStyle name="Outputs 2 2 3 5 2 4 2" xfId="43866" xr:uid="{00000000-0005-0000-0000-0000CE070000}"/>
    <cellStyle name="Outputs 2 2 3 5 2 5" xfId="21818" xr:uid="{00000000-0005-0000-0000-0000CE070000}"/>
    <cellStyle name="Outputs 2 2 3 5 2 6" xfId="40197" xr:uid="{00000000-0005-0000-0000-0000CE070000}"/>
    <cellStyle name="Outputs 2 2 3 5 3" xfId="6513" xr:uid="{00000000-0005-0000-0000-0000CE070000}"/>
    <cellStyle name="Outputs 2 2 3 5 3 2" xfId="12804" xr:uid="{00000000-0005-0000-0000-0000CE070000}"/>
    <cellStyle name="Outputs 2 2 3 5 3 2 2" xfId="31230" xr:uid="{00000000-0005-0000-0000-0000CE070000}"/>
    <cellStyle name="Outputs 2 2 3 5 3 2 3" xfId="49593" xr:uid="{00000000-0005-0000-0000-0000CE070000}"/>
    <cellStyle name="Outputs 2 2 3 5 3 3" xfId="17115" xr:uid="{00000000-0005-0000-0000-0000CE070000}"/>
    <cellStyle name="Outputs 2 2 3 5 3 3 2" xfId="35463" xr:uid="{00000000-0005-0000-0000-0000CE070000}"/>
    <cellStyle name="Outputs 2 2 3 5 3 3 3" xfId="53826" xr:uid="{00000000-0005-0000-0000-0000CE070000}"/>
    <cellStyle name="Outputs 2 2 3 5 3 4" xfId="26248" xr:uid="{00000000-0005-0000-0000-0000CE070000}"/>
    <cellStyle name="Outputs 2 2 3 5 3 4 2" xfId="44617" xr:uid="{00000000-0005-0000-0000-0000CE070000}"/>
    <cellStyle name="Outputs 2 2 3 5 3 5" xfId="22541" xr:uid="{00000000-0005-0000-0000-0000CE070000}"/>
    <cellStyle name="Outputs 2 2 3 5 3 6" xfId="40910" xr:uid="{00000000-0005-0000-0000-0000CE070000}"/>
    <cellStyle name="Outputs 2 2 3 5 4" xfId="10227" xr:uid="{00000000-0005-0000-0000-0000CE070000}"/>
    <cellStyle name="Outputs 2 2 3 5 4 2" xfId="14284" xr:uid="{00000000-0005-0000-0000-0000CE070000}"/>
    <cellStyle name="Outputs 2 2 3 5 4 2 2" xfId="32700" xr:uid="{00000000-0005-0000-0000-0000CE070000}"/>
    <cellStyle name="Outputs 2 2 3 5 4 2 3" xfId="51063" xr:uid="{00000000-0005-0000-0000-0000CE070000}"/>
    <cellStyle name="Outputs 2 2 3 5 4 3" xfId="28938" xr:uid="{00000000-0005-0000-0000-0000CE070000}"/>
    <cellStyle name="Outputs 2 2 3 5 4 3 2" xfId="47301" xr:uid="{00000000-0005-0000-0000-0000CE070000}"/>
    <cellStyle name="Outputs 2 2 3 5 4 4" xfId="19741" xr:uid="{00000000-0005-0000-0000-0000CE070000}"/>
    <cellStyle name="Outputs 2 2 3 5 4 5" xfId="38147" xr:uid="{00000000-0005-0000-0000-0000CE070000}"/>
    <cellStyle name="Outputs 2 2 3 5 5" xfId="9422" xr:uid="{00000000-0005-0000-0000-0000CE070000}"/>
    <cellStyle name="Outputs 2 2 3 5 5 2" xfId="28139" xr:uid="{00000000-0005-0000-0000-0000CE070000}"/>
    <cellStyle name="Outputs 2 2 3 5 5 3" xfId="46502" xr:uid="{00000000-0005-0000-0000-0000CE070000}"/>
    <cellStyle name="Outputs 2 2 3 5 6" xfId="13479" xr:uid="{00000000-0005-0000-0000-0000CE070000}"/>
    <cellStyle name="Outputs 2 2 3 5 6 2" xfId="31900" xr:uid="{00000000-0005-0000-0000-0000CE070000}"/>
    <cellStyle name="Outputs 2 2 3 5 6 3" xfId="50263" xr:uid="{00000000-0005-0000-0000-0000CE070000}"/>
    <cellStyle name="Outputs 2 2 3 5 7" xfId="23422" xr:uid="{00000000-0005-0000-0000-0000CE070000}"/>
    <cellStyle name="Outputs 2 2 3 5 7 2" xfId="41791" xr:uid="{00000000-0005-0000-0000-0000CE070000}"/>
    <cellStyle name="Outputs 2 2 3 5 8" xfId="18507" xr:uid="{00000000-0005-0000-0000-0000CE070000}"/>
    <cellStyle name="Outputs 2 2 3 5 9" xfId="36916" xr:uid="{00000000-0005-0000-0000-0000CE070000}"/>
    <cellStyle name="Outputs 2 2 3 6" xfId="4518" xr:uid="{00000000-0005-0000-0000-0000CE070000}"/>
    <cellStyle name="Outputs 2 2 3 6 2" xfId="11109" xr:uid="{00000000-0005-0000-0000-0000CE070000}"/>
    <cellStyle name="Outputs 2 2 3 6 2 2" xfId="29727" xr:uid="{00000000-0005-0000-0000-0000CE070000}"/>
    <cellStyle name="Outputs 2 2 3 6 2 3" xfId="48090" xr:uid="{00000000-0005-0000-0000-0000CE070000}"/>
    <cellStyle name="Outputs 2 2 3 6 3" xfId="15247" xr:uid="{00000000-0005-0000-0000-0000CE070000}"/>
    <cellStyle name="Outputs 2 2 3 6 3 2" xfId="33641" xr:uid="{00000000-0005-0000-0000-0000CE070000}"/>
    <cellStyle name="Outputs 2 2 3 6 3 3" xfId="52004" xr:uid="{00000000-0005-0000-0000-0000CE070000}"/>
    <cellStyle name="Outputs 2 2 3 6 4" xfId="24372" xr:uid="{00000000-0005-0000-0000-0000CE070000}"/>
    <cellStyle name="Outputs 2 2 3 6 4 2" xfId="42741" xr:uid="{00000000-0005-0000-0000-0000CE070000}"/>
    <cellStyle name="Outputs 2 2 3 6 5" xfId="20696" xr:uid="{00000000-0005-0000-0000-0000CE070000}"/>
    <cellStyle name="Outputs 2 2 3 6 6" xfId="39088" xr:uid="{00000000-0005-0000-0000-0000CE070000}"/>
    <cellStyle name="Outputs 2 2 3 7" xfId="3993" xr:uid="{00000000-0005-0000-0000-0000CE070000}"/>
    <cellStyle name="Outputs 2 2 3 7 2" xfId="10698" xr:uid="{00000000-0005-0000-0000-0000CE070000}"/>
    <cellStyle name="Outputs 2 2 3 7 2 2" xfId="29403" xr:uid="{00000000-0005-0000-0000-0000CE070000}"/>
    <cellStyle name="Outputs 2 2 3 7 2 3" xfId="47766" xr:uid="{00000000-0005-0000-0000-0000CE070000}"/>
    <cellStyle name="Outputs 2 2 3 7 3" xfId="14754" xr:uid="{00000000-0005-0000-0000-0000CE070000}"/>
    <cellStyle name="Outputs 2 2 3 7 3 2" xfId="33166" xr:uid="{00000000-0005-0000-0000-0000CE070000}"/>
    <cellStyle name="Outputs 2 2 3 7 3 3" xfId="51529" xr:uid="{00000000-0005-0000-0000-0000CE070000}"/>
    <cellStyle name="Outputs 2 2 3 7 4" xfId="23890" xr:uid="{00000000-0005-0000-0000-0000CE070000}"/>
    <cellStyle name="Outputs 2 2 3 7 4 2" xfId="42259" xr:uid="{00000000-0005-0000-0000-0000CE070000}"/>
    <cellStyle name="Outputs 2 2 3 7 5" xfId="20210" xr:uid="{00000000-0005-0000-0000-0000CE070000}"/>
    <cellStyle name="Outputs 2 2 3 7 6" xfId="38613" xr:uid="{00000000-0005-0000-0000-0000CE070000}"/>
    <cellStyle name="Outputs 2 2 3 8" xfId="9111" xr:uid="{00000000-0005-0000-0000-0000CE070000}"/>
    <cellStyle name="Outputs 2 2 3 8 2" xfId="8139" xr:uid="{00000000-0005-0000-0000-0000CE070000}"/>
    <cellStyle name="Outputs 2 2 3 8 2 2" xfId="27343" xr:uid="{00000000-0005-0000-0000-0000CE070000}"/>
    <cellStyle name="Outputs 2 2 3 8 2 3" xfId="45708" xr:uid="{00000000-0005-0000-0000-0000CE070000}"/>
    <cellStyle name="Outputs 2 2 3 8 3" xfId="27837" xr:uid="{00000000-0005-0000-0000-0000CE070000}"/>
    <cellStyle name="Outputs 2 2 3 8 3 2" xfId="46200" xr:uid="{00000000-0005-0000-0000-0000CE070000}"/>
    <cellStyle name="Outputs 2 2 3 8 4" xfId="18023" xr:uid="{00000000-0005-0000-0000-0000CE070000}"/>
    <cellStyle name="Outputs 2 2 3 8 5" xfId="36431" xr:uid="{00000000-0005-0000-0000-0000CE070000}"/>
    <cellStyle name="Outputs 2 2 3 9" xfId="7787" xr:uid="{00000000-0005-0000-0000-0000CE070000}"/>
    <cellStyle name="Outputs 2 2 3 9 2" xfId="27058" xr:uid="{00000000-0005-0000-0000-0000CE070000}"/>
    <cellStyle name="Outputs 2 2 3 9 3" xfId="45423" xr:uid="{00000000-0005-0000-0000-0000CE070000}"/>
    <cellStyle name="Outputs 2 2 4" xfId="1398" xr:uid="{00000000-0005-0000-0000-0000D2070000}"/>
    <cellStyle name="Outputs 2 2 4 10" xfId="12509" xr:uid="{00000000-0005-0000-0000-0000D2070000}"/>
    <cellStyle name="Outputs 2 2 4 2" xfId="3431" xr:uid="{00000000-0005-0000-0000-0000D2070000}"/>
    <cellStyle name="Outputs 2 2 4 2 2" xfId="5606" xr:uid="{00000000-0005-0000-0000-0000D2070000}"/>
    <cellStyle name="Outputs 2 2 4 2 2 2" xfId="11970" xr:uid="{00000000-0005-0000-0000-0000D2070000}"/>
    <cellStyle name="Outputs 2 2 4 2 2 2 2" xfId="30417" xr:uid="{00000000-0005-0000-0000-0000D2070000}"/>
    <cellStyle name="Outputs 2 2 4 2 2 2 3" xfId="48780" xr:uid="{00000000-0005-0000-0000-0000D2070000}"/>
    <cellStyle name="Outputs 2 2 4 2 2 3" xfId="16296" xr:uid="{00000000-0005-0000-0000-0000D2070000}"/>
    <cellStyle name="Outputs 2 2 4 2 2 3 2" xfId="34668" xr:uid="{00000000-0005-0000-0000-0000D2070000}"/>
    <cellStyle name="Outputs 2 2 4 2 2 3 3" xfId="53031" xr:uid="{00000000-0005-0000-0000-0000D2070000}"/>
    <cellStyle name="Outputs 2 2 4 2 2 4" xfId="25415" xr:uid="{00000000-0005-0000-0000-0000D2070000}"/>
    <cellStyle name="Outputs 2 2 4 2 2 4 2" xfId="43784" xr:uid="{00000000-0005-0000-0000-0000D2070000}"/>
    <cellStyle name="Outputs 2 2 4 2 2 5" xfId="21736" xr:uid="{00000000-0005-0000-0000-0000D2070000}"/>
    <cellStyle name="Outputs 2 2 4 2 2 6" xfId="40115" xr:uid="{00000000-0005-0000-0000-0000D2070000}"/>
    <cellStyle name="Outputs 2 2 4 2 3" xfId="6430" xr:uid="{00000000-0005-0000-0000-0000D2070000}"/>
    <cellStyle name="Outputs 2 2 4 2 3 2" xfId="12721" xr:uid="{00000000-0005-0000-0000-0000D2070000}"/>
    <cellStyle name="Outputs 2 2 4 2 3 2 2" xfId="31147" xr:uid="{00000000-0005-0000-0000-0000D2070000}"/>
    <cellStyle name="Outputs 2 2 4 2 3 2 3" xfId="49510" xr:uid="{00000000-0005-0000-0000-0000D2070000}"/>
    <cellStyle name="Outputs 2 2 4 2 3 3" xfId="17032" xr:uid="{00000000-0005-0000-0000-0000D2070000}"/>
    <cellStyle name="Outputs 2 2 4 2 3 3 2" xfId="35380" xr:uid="{00000000-0005-0000-0000-0000D2070000}"/>
    <cellStyle name="Outputs 2 2 4 2 3 3 3" xfId="53743" xr:uid="{00000000-0005-0000-0000-0000D2070000}"/>
    <cellStyle name="Outputs 2 2 4 2 3 4" xfId="26165" xr:uid="{00000000-0005-0000-0000-0000D2070000}"/>
    <cellStyle name="Outputs 2 2 4 2 3 4 2" xfId="44534" xr:uid="{00000000-0005-0000-0000-0000D2070000}"/>
    <cellStyle name="Outputs 2 2 4 2 3 5" xfId="22458" xr:uid="{00000000-0005-0000-0000-0000D2070000}"/>
    <cellStyle name="Outputs 2 2 4 2 3 6" xfId="40827" xr:uid="{00000000-0005-0000-0000-0000D2070000}"/>
    <cellStyle name="Outputs 2 2 4 2 4" xfId="10144" xr:uid="{00000000-0005-0000-0000-0000D2070000}"/>
    <cellStyle name="Outputs 2 2 4 2 4 2" xfId="14201" xr:uid="{00000000-0005-0000-0000-0000D2070000}"/>
    <cellStyle name="Outputs 2 2 4 2 4 2 2" xfId="32617" xr:uid="{00000000-0005-0000-0000-0000D2070000}"/>
    <cellStyle name="Outputs 2 2 4 2 4 2 3" xfId="50980" xr:uid="{00000000-0005-0000-0000-0000D2070000}"/>
    <cellStyle name="Outputs 2 2 4 2 4 3" xfId="28855" xr:uid="{00000000-0005-0000-0000-0000D2070000}"/>
    <cellStyle name="Outputs 2 2 4 2 4 3 2" xfId="47218" xr:uid="{00000000-0005-0000-0000-0000D2070000}"/>
    <cellStyle name="Outputs 2 2 4 2 4 4" xfId="19658" xr:uid="{00000000-0005-0000-0000-0000D2070000}"/>
    <cellStyle name="Outputs 2 2 4 2 4 5" xfId="38064" xr:uid="{00000000-0005-0000-0000-0000D2070000}"/>
    <cellStyle name="Outputs 2 2 4 2 5" xfId="9331" xr:uid="{00000000-0005-0000-0000-0000D2070000}"/>
    <cellStyle name="Outputs 2 2 4 2 5 2" xfId="28050" xr:uid="{00000000-0005-0000-0000-0000D2070000}"/>
    <cellStyle name="Outputs 2 2 4 2 5 3" xfId="46413" xr:uid="{00000000-0005-0000-0000-0000D2070000}"/>
    <cellStyle name="Outputs 2 2 4 2 6" xfId="13387" xr:uid="{00000000-0005-0000-0000-0000D2070000}"/>
    <cellStyle name="Outputs 2 2 4 2 6 2" xfId="31808" xr:uid="{00000000-0005-0000-0000-0000D2070000}"/>
    <cellStyle name="Outputs 2 2 4 2 6 3" xfId="50171" xr:uid="{00000000-0005-0000-0000-0000D2070000}"/>
    <cellStyle name="Outputs 2 2 4 2 7" xfId="23339" xr:uid="{00000000-0005-0000-0000-0000D2070000}"/>
    <cellStyle name="Outputs 2 2 4 2 7 2" xfId="41708" xr:uid="{00000000-0005-0000-0000-0000D2070000}"/>
    <cellStyle name="Outputs 2 2 4 2 8" xfId="18410" xr:uid="{00000000-0005-0000-0000-0000D2070000}"/>
    <cellStyle name="Outputs 2 2 4 2 9" xfId="36816" xr:uid="{00000000-0005-0000-0000-0000D2070000}"/>
    <cellStyle name="Outputs 2 2 4 3" xfId="4424" xr:uid="{00000000-0005-0000-0000-0000D2070000}"/>
    <cellStyle name="Outputs 2 2 4 3 2" xfId="11023" xr:uid="{00000000-0005-0000-0000-0000D2070000}"/>
    <cellStyle name="Outputs 2 2 4 3 2 2" xfId="29643" xr:uid="{00000000-0005-0000-0000-0000D2070000}"/>
    <cellStyle name="Outputs 2 2 4 3 2 3" xfId="48006" xr:uid="{00000000-0005-0000-0000-0000D2070000}"/>
    <cellStyle name="Outputs 2 2 4 3 3" xfId="15158" xr:uid="{00000000-0005-0000-0000-0000D2070000}"/>
    <cellStyle name="Outputs 2 2 4 3 3 2" xfId="33555" xr:uid="{00000000-0005-0000-0000-0000D2070000}"/>
    <cellStyle name="Outputs 2 2 4 3 3 3" xfId="51918" xr:uid="{00000000-0005-0000-0000-0000D2070000}"/>
    <cellStyle name="Outputs 2 2 4 3 4" xfId="24286" xr:uid="{00000000-0005-0000-0000-0000D2070000}"/>
    <cellStyle name="Outputs 2 2 4 3 4 2" xfId="42655" xr:uid="{00000000-0005-0000-0000-0000D2070000}"/>
    <cellStyle name="Outputs 2 2 4 3 5" xfId="20609" xr:uid="{00000000-0005-0000-0000-0000D2070000}"/>
    <cellStyle name="Outputs 2 2 4 3 6" xfId="39002" xr:uid="{00000000-0005-0000-0000-0000D2070000}"/>
    <cellStyle name="Outputs 2 2 4 4" xfId="4890" xr:uid="{00000000-0005-0000-0000-0000D2070000}"/>
    <cellStyle name="Outputs 2 2 4 4 2" xfId="11446" xr:uid="{00000000-0005-0000-0000-0000D2070000}"/>
    <cellStyle name="Outputs 2 2 4 4 2 2" xfId="30034" xr:uid="{00000000-0005-0000-0000-0000D2070000}"/>
    <cellStyle name="Outputs 2 2 4 4 2 3" xfId="48397" xr:uid="{00000000-0005-0000-0000-0000D2070000}"/>
    <cellStyle name="Outputs 2 2 4 4 3" xfId="15616" xr:uid="{00000000-0005-0000-0000-0000D2070000}"/>
    <cellStyle name="Outputs 2 2 4 4 3 2" xfId="34007" xr:uid="{00000000-0005-0000-0000-0000D2070000}"/>
    <cellStyle name="Outputs 2 2 4 4 3 3" xfId="52370" xr:uid="{00000000-0005-0000-0000-0000D2070000}"/>
    <cellStyle name="Outputs 2 2 4 4 4" xfId="24738" xr:uid="{00000000-0005-0000-0000-0000D2070000}"/>
    <cellStyle name="Outputs 2 2 4 4 4 2" xfId="43107" xr:uid="{00000000-0005-0000-0000-0000D2070000}"/>
    <cellStyle name="Outputs 2 2 4 4 5" xfId="21065" xr:uid="{00000000-0005-0000-0000-0000D2070000}"/>
    <cellStyle name="Outputs 2 2 4 4 6" xfId="39454" xr:uid="{00000000-0005-0000-0000-0000D2070000}"/>
    <cellStyle name="Outputs 2 2 4 5" xfId="9399" xr:uid="{00000000-0005-0000-0000-0000D2070000}"/>
    <cellStyle name="Outputs 2 2 4 5 2" xfId="13455" xr:uid="{00000000-0005-0000-0000-0000D2070000}"/>
    <cellStyle name="Outputs 2 2 4 5 2 2" xfId="31876" xr:uid="{00000000-0005-0000-0000-0000D2070000}"/>
    <cellStyle name="Outputs 2 2 4 5 2 3" xfId="50239" xr:uid="{00000000-0005-0000-0000-0000D2070000}"/>
    <cellStyle name="Outputs 2 2 4 5 3" xfId="28118" xr:uid="{00000000-0005-0000-0000-0000D2070000}"/>
    <cellStyle name="Outputs 2 2 4 5 3 2" xfId="46481" xr:uid="{00000000-0005-0000-0000-0000D2070000}"/>
    <cellStyle name="Outputs 2 2 4 5 4" xfId="18482" xr:uid="{00000000-0005-0000-0000-0000D2070000}"/>
    <cellStyle name="Outputs 2 2 4 5 5" xfId="36888" xr:uid="{00000000-0005-0000-0000-0000D2070000}"/>
    <cellStyle name="Outputs 2 2 4 6" xfId="7690" xr:uid="{00000000-0005-0000-0000-0000D2070000}"/>
    <cellStyle name="Outputs 2 2 4 6 2" xfId="26972" xr:uid="{00000000-0005-0000-0000-0000D2070000}"/>
    <cellStyle name="Outputs 2 2 4 6 3" xfId="45337" xr:uid="{00000000-0005-0000-0000-0000D2070000}"/>
    <cellStyle name="Outputs 2 2 4 7" xfId="8040" xr:uid="{00000000-0005-0000-0000-0000D2070000}"/>
    <cellStyle name="Outputs 2 2 4 7 2" xfId="27268" xr:uid="{00000000-0005-0000-0000-0000D2070000}"/>
    <cellStyle name="Outputs 2 2 4 7 3" xfId="45633" xr:uid="{00000000-0005-0000-0000-0000D2070000}"/>
    <cellStyle name="Outputs 2 2 4 8" xfId="18891" xr:uid="{00000000-0005-0000-0000-0000D2070000}"/>
    <cellStyle name="Outputs 2 2 4 8 2" xfId="37300" xr:uid="{00000000-0005-0000-0000-0000D2070000}"/>
    <cellStyle name="Outputs 2 2 4 9" xfId="7400" xr:uid="{00000000-0005-0000-0000-0000D2070000}"/>
    <cellStyle name="Outputs 2 2 5" xfId="3377" xr:uid="{00000000-0005-0000-0000-0000C9070000}"/>
    <cellStyle name="Outputs 2 2 5 2" xfId="5552" xr:uid="{00000000-0005-0000-0000-0000C9070000}"/>
    <cellStyle name="Outputs 2 2 5 2 2" xfId="11916" xr:uid="{00000000-0005-0000-0000-0000C9070000}"/>
    <cellStyle name="Outputs 2 2 5 2 2 2" xfId="30363" xr:uid="{00000000-0005-0000-0000-0000C9070000}"/>
    <cellStyle name="Outputs 2 2 5 2 2 3" xfId="48726" xr:uid="{00000000-0005-0000-0000-0000C9070000}"/>
    <cellStyle name="Outputs 2 2 5 2 3" xfId="16242" xr:uid="{00000000-0005-0000-0000-0000C9070000}"/>
    <cellStyle name="Outputs 2 2 5 2 3 2" xfId="34614" xr:uid="{00000000-0005-0000-0000-0000C9070000}"/>
    <cellStyle name="Outputs 2 2 5 2 3 3" xfId="52977" xr:uid="{00000000-0005-0000-0000-0000C9070000}"/>
    <cellStyle name="Outputs 2 2 5 2 4" xfId="25361" xr:uid="{00000000-0005-0000-0000-0000C9070000}"/>
    <cellStyle name="Outputs 2 2 5 2 4 2" xfId="43730" xr:uid="{00000000-0005-0000-0000-0000C9070000}"/>
    <cellStyle name="Outputs 2 2 5 2 5" xfId="21682" xr:uid="{00000000-0005-0000-0000-0000C9070000}"/>
    <cellStyle name="Outputs 2 2 5 2 6" xfId="40061" xr:uid="{00000000-0005-0000-0000-0000C9070000}"/>
    <cellStyle name="Outputs 2 2 5 3" xfId="6376" xr:uid="{00000000-0005-0000-0000-0000C9070000}"/>
    <cellStyle name="Outputs 2 2 5 3 2" xfId="12667" xr:uid="{00000000-0005-0000-0000-0000C9070000}"/>
    <cellStyle name="Outputs 2 2 5 3 2 2" xfId="31093" xr:uid="{00000000-0005-0000-0000-0000C9070000}"/>
    <cellStyle name="Outputs 2 2 5 3 2 3" xfId="49456" xr:uid="{00000000-0005-0000-0000-0000C9070000}"/>
    <cellStyle name="Outputs 2 2 5 3 3" xfId="16978" xr:uid="{00000000-0005-0000-0000-0000C9070000}"/>
    <cellStyle name="Outputs 2 2 5 3 3 2" xfId="35326" xr:uid="{00000000-0005-0000-0000-0000C9070000}"/>
    <cellStyle name="Outputs 2 2 5 3 3 3" xfId="53689" xr:uid="{00000000-0005-0000-0000-0000C9070000}"/>
    <cellStyle name="Outputs 2 2 5 3 4" xfId="26111" xr:uid="{00000000-0005-0000-0000-0000C9070000}"/>
    <cellStyle name="Outputs 2 2 5 3 4 2" xfId="44480" xr:uid="{00000000-0005-0000-0000-0000C9070000}"/>
    <cellStyle name="Outputs 2 2 5 3 5" xfId="22404" xr:uid="{00000000-0005-0000-0000-0000C9070000}"/>
    <cellStyle name="Outputs 2 2 5 3 6" xfId="40773" xr:uid="{00000000-0005-0000-0000-0000C9070000}"/>
    <cellStyle name="Outputs 2 2 5 4" xfId="10090" xr:uid="{00000000-0005-0000-0000-0000C9070000}"/>
    <cellStyle name="Outputs 2 2 5 4 2" xfId="14147" xr:uid="{00000000-0005-0000-0000-0000C9070000}"/>
    <cellStyle name="Outputs 2 2 5 4 2 2" xfId="32563" xr:uid="{00000000-0005-0000-0000-0000C9070000}"/>
    <cellStyle name="Outputs 2 2 5 4 2 3" xfId="50926" xr:uid="{00000000-0005-0000-0000-0000C9070000}"/>
    <cellStyle name="Outputs 2 2 5 4 3" xfId="28801" xr:uid="{00000000-0005-0000-0000-0000C9070000}"/>
    <cellStyle name="Outputs 2 2 5 4 3 2" xfId="47164" xr:uid="{00000000-0005-0000-0000-0000C9070000}"/>
    <cellStyle name="Outputs 2 2 5 4 4" xfId="19604" xr:uid="{00000000-0005-0000-0000-0000C9070000}"/>
    <cellStyle name="Outputs 2 2 5 4 5" xfId="38010" xr:uid="{00000000-0005-0000-0000-0000C9070000}"/>
    <cellStyle name="Outputs 2 2 5 5" xfId="9242" xr:uid="{00000000-0005-0000-0000-0000C9070000}"/>
    <cellStyle name="Outputs 2 2 5 5 2" xfId="27962" xr:uid="{00000000-0005-0000-0000-0000C9070000}"/>
    <cellStyle name="Outputs 2 2 5 5 3" xfId="46325" xr:uid="{00000000-0005-0000-0000-0000C9070000}"/>
    <cellStyle name="Outputs 2 2 5 6" xfId="13299" xr:uid="{00000000-0005-0000-0000-0000C9070000}"/>
    <cellStyle name="Outputs 2 2 5 6 2" xfId="31720" xr:uid="{00000000-0005-0000-0000-0000C9070000}"/>
    <cellStyle name="Outputs 2 2 5 6 3" xfId="50083" xr:uid="{00000000-0005-0000-0000-0000C9070000}"/>
    <cellStyle name="Outputs 2 2 5 7" xfId="23285" xr:uid="{00000000-0005-0000-0000-0000C9070000}"/>
    <cellStyle name="Outputs 2 2 5 7 2" xfId="41654" xr:uid="{00000000-0005-0000-0000-0000C9070000}"/>
    <cellStyle name="Outputs 2 2 5 8" xfId="18294" xr:uid="{00000000-0005-0000-0000-0000C9070000}"/>
    <cellStyle name="Outputs 2 2 5 9" xfId="36700" xr:uid="{00000000-0005-0000-0000-0000C9070000}"/>
    <cellStyle name="Outputs 2 2 6" xfId="4327" xr:uid="{00000000-0005-0000-0000-0000C9070000}"/>
    <cellStyle name="Outputs 2 2 6 2" xfId="10935" xr:uid="{00000000-0005-0000-0000-0000C9070000}"/>
    <cellStyle name="Outputs 2 2 6 2 2" xfId="29565" xr:uid="{00000000-0005-0000-0000-0000C9070000}"/>
    <cellStyle name="Outputs 2 2 6 2 3" xfId="47928" xr:uid="{00000000-0005-0000-0000-0000C9070000}"/>
    <cellStyle name="Outputs 2 2 6 3" xfId="15071" xr:uid="{00000000-0005-0000-0000-0000C9070000}"/>
    <cellStyle name="Outputs 2 2 6 3 2" xfId="33473" xr:uid="{00000000-0005-0000-0000-0000C9070000}"/>
    <cellStyle name="Outputs 2 2 6 3 3" xfId="51836" xr:uid="{00000000-0005-0000-0000-0000C9070000}"/>
    <cellStyle name="Outputs 2 2 6 4" xfId="24202" xr:uid="{00000000-0005-0000-0000-0000C9070000}"/>
    <cellStyle name="Outputs 2 2 6 4 2" xfId="42571" xr:uid="{00000000-0005-0000-0000-0000C9070000}"/>
    <cellStyle name="Outputs 2 2 6 5" xfId="20523" xr:uid="{00000000-0005-0000-0000-0000C9070000}"/>
    <cellStyle name="Outputs 2 2 6 6" xfId="38920" xr:uid="{00000000-0005-0000-0000-0000C9070000}"/>
    <cellStyle name="Outputs 2 2 7" xfId="4068" xr:uid="{00000000-0005-0000-0000-0000C9070000}"/>
    <cellStyle name="Outputs 2 2 7 2" xfId="10768" xr:uid="{00000000-0005-0000-0000-0000C9070000}"/>
    <cellStyle name="Outputs 2 2 7 2 2" xfId="29471" xr:uid="{00000000-0005-0000-0000-0000C9070000}"/>
    <cellStyle name="Outputs 2 2 7 2 3" xfId="47834" xr:uid="{00000000-0005-0000-0000-0000C9070000}"/>
    <cellStyle name="Outputs 2 2 7 3" xfId="14828" xr:uid="{00000000-0005-0000-0000-0000C9070000}"/>
    <cellStyle name="Outputs 2 2 7 3 2" xfId="33240" xr:uid="{00000000-0005-0000-0000-0000C9070000}"/>
    <cellStyle name="Outputs 2 2 7 3 3" xfId="51603" xr:uid="{00000000-0005-0000-0000-0000C9070000}"/>
    <cellStyle name="Outputs 2 2 7 4" xfId="23964" xr:uid="{00000000-0005-0000-0000-0000C9070000}"/>
    <cellStyle name="Outputs 2 2 7 4 2" xfId="42333" xr:uid="{00000000-0005-0000-0000-0000C9070000}"/>
    <cellStyle name="Outputs 2 2 7 5" xfId="20284" xr:uid="{00000000-0005-0000-0000-0000C9070000}"/>
    <cellStyle name="Outputs 2 2 7 6" xfId="38687" xr:uid="{00000000-0005-0000-0000-0000C9070000}"/>
    <cellStyle name="Outputs 2 2 8" xfId="7579" xr:uid="{00000000-0005-0000-0000-0000C9070000}"/>
    <cellStyle name="Outputs 2 2 8 2" xfId="26887" xr:uid="{00000000-0005-0000-0000-0000C9070000}"/>
    <cellStyle name="Outputs 2 2 8 3" xfId="45252" xr:uid="{00000000-0005-0000-0000-0000C9070000}"/>
    <cellStyle name="Outputs 2 2 9" xfId="10874" xr:uid="{00000000-0005-0000-0000-0000C9070000}"/>
    <cellStyle name="Outputs 2 2 9 2" xfId="29537" xr:uid="{00000000-0005-0000-0000-0000C9070000}"/>
    <cellStyle name="Outputs 2 2 9 3" xfId="47900" xr:uid="{00000000-0005-0000-0000-0000C9070000}"/>
    <cellStyle name="Outputs 2 3" xfId="1444" xr:uid="{00000000-0005-0000-0000-0000D3070000}"/>
    <cellStyle name="Outputs 2 3 10" xfId="7155" xr:uid="{00000000-0005-0000-0000-0000D3070000}"/>
    <cellStyle name="Outputs 2 3 2" xfId="3464" xr:uid="{00000000-0005-0000-0000-0000D3070000}"/>
    <cellStyle name="Outputs 2 3 2 2" xfId="5639" xr:uid="{00000000-0005-0000-0000-0000D3070000}"/>
    <cellStyle name="Outputs 2 3 2 2 2" xfId="12003" xr:uid="{00000000-0005-0000-0000-0000D3070000}"/>
    <cellStyle name="Outputs 2 3 2 2 2 2" xfId="30450" xr:uid="{00000000-0005-0000-0000-0000D3070000}"/>
    <cellStyle name="Outputs 2 3 2 2 2 3" xfId="48813" xr:uid="{00000000-0005-0000-0000-0000D3070000}"/>
    <cellStyle name="Outputs 2 3 2 2 3" xfId="16329" xr:uid="{00000000-0005-0000-0000-0000D3070000}"/>
    <cellStyle name="Outputs 2 3 2 2 3 2" xfId="34701" xr:uid="{00000000-0005-0000-0000-0000D3070000}"/>
    <cellStyle name="Outputs 2 3 2 2 3 3" xfId="53064" xr:uid="{00000000-0005-0000-0000-0000D3070000}"/>
    <cellStyle name="Outputs 2 3 2 2 4" xfId="25448" xr:uid="{00000000-0005-0000-0000-0000D3070000}"/>
    <cellStyle name="Outputs 2 3 2 2 4 2" xfId="43817" xr:uid="{00000000-0005-0000-0000-0000D3070000}"/>
    <cellStyle name="Outputs 2 3 2 2 5" xfId="21769" xr:uid="{00000000-0005-0000-0000-0000D3070000}"/>
    <cellStyle name="Outputs 2 3 2 2 6" xfId="40148" xr:uid="{00000000-0005-0000-0000-0000D3070000}"/>
    <cellStyle name="Outputs 2 3 2 3" xfId="6463" xr:uid="{00000000-0005-0000-0000-0000D3070000}"/>
    <cellStyle name="Outputs 2 3 2 3 2" xfId="12754" xr:uid="{00000000-0005-0000-0000-0000D3070000}"/>
    <cellStyle name="Outputs 2 3 2 3 2 2" xfId="31180" xr:uid="{00000000-0005-0000-0000-0000D3070000}"/>
    <cellStyle name="Outputs 2 3 2 3 2 3" xfId="49543" xr:uid="{00000000-0005-0000-0000-0000D3070000}"/>
    <cellStyle name="Outputs 2 3 2 3 3" xfId="17065" xr:uid="{00000000-0005-0000-0000-0000D3070000}"/>
    <cellStyle name="Outputs 2 3 2 3 3 2" xfId="35413" xr:uid="{00000000-0005-0000-0000-0000D3070000}"/>
    <cellStyle name="Outputs 2 3 2 3 3 3" xfId="53776" xr:uid="{00000000-0005-0000-0000-0000D3070000}"/>
    <cellStyle name="Outputs 2 3 2 3 4" xfId="26198" xr:uid="{00000000-0005-0000-0000-0000D3070000}"/>
    <cellStyle name="Outputs 2 3 2 3 4 2" xfId="44567" xr:uid="{00000000-0005-0000-0000-0000D3070000}"/>
    <cellStyle name="Outputs 2 3 2 3 5" xfId="22491" xr:uid="{00000000-0005-0000-0000-0000D3070000}"/>
    <cellStyle name="Outputs 2 3 2 3 6" xfId="40860" xr:uid="{00000000-0005-0000-0000-0000D3070000}"/>
    <cellStyle name="Outputs 2 3 2 4" xfId="10177" xr:uid="{00000000-0005-0000-0000-0000D3070000}"/>
    <cellStyle name="Outputs 2 3 2 4 2" xfId="14234" xr:uid="{00000000-0005-0000-0000-0000D3070000}"/>
    <cellStyle name="Outputs 2 3 2 4 2 2" xfId="32650" xr:uid="{00000000-0005-0000-0000-0000D3070000}"/>
    <cellStyle name="Outputs 2 3 2 4 2 3" xfId="51013" xr:uid="{00000000-0005-0000-0000-0000D3070000}"/>
    <cellStyle name="Outputs 2 3 2 4 3" xfId="28888" xr:uid="{00000000-0005-0000-0000-0000D3070000}"/>
    <cellStyle name="Outputs 2 3 2 4 3 2" xfId="47251" xr:uid="{00000000-0005-0000-0000-0000D3070000}"/>
    <cellStyle name="Outputs 2 3 2 4 4" xfId="19691" xr:uid="{00000000-0005-0000-0000-0000D3070000}"/>
    <cellStyle name="Outputs 2 3 2 4 5" xfId="38097" xr:uid="{00000000-0005-0000-0000-0000D3070000}"/>
    <cellStyle name="Outputs 2 3 2 5" xfId="9367" xr:uid="{00000000-0005-0000-0000-0000D3070000}"/>
    <cellStyle name="Outputs 2 3 2 5 2" xfId="28086" xr:uid="{00000000-0005-0000-0000-0000D3070000}"/>
    <cellStyle name="Outputs 2 3 2 5 3" xfId="46449" xr:uid="{00000000-0005-0000-0000-0000D3070000}"/>
    <cellStyle name="Outputs 2 3 2 6" xfId="13423" xr:uid="{00000000-0005-0000-0000-0000D3070000}"/>
    <cellStyle name="Outputs 2 3 2 6 2" xfId="31844" xr:uid="{00000000-0005-0000-0000-0000D3070000}"/>
    <cellStyle name="Outputs 2 3 2 6 3" xfId="50207" xr:uid="{00000000-0005-0000-0000-0000D3070000}"/>
    <cellStyle name="Outputs 2 3 2 7" xfId="23372" xr:uid="{00000000-0005-0000-0000-0000D3070000}"/>
    <cellStyle name="Outputs 2 3 2 7 2" xfId="41741" xr:uid="{00000000-0005-0000-0000-0000D3070000}"/>
    <cellStyle name="Outputs 2 3 2 8" xfId="18449" xr:uid="{00000000-0005-0000-0000-0000D3070000}"/>
    <cellStyle name="Outputs 2 3 2 9" xfId="36855" xr:uid="{00000000-0005-0000-0000-0000D3070000}"/>
    <cellStyle name="Outputs 2 3 3" xfId="4461" xr:uid="{00000000-0005-0000-0000-0000D3070000}"/>
    <cellStyle name="Outputs 2 3 3 2" xfId="11058" xr:uid="{00000000-0005-0000-0000-0000D3070000}"/>
    <cellStyle name="Outputs 2 3 3 2 2" xfId="29678" xr:uid="{00000000-0005-0000-0000-0000D3070000}"/>
    <cellStyle name="Outputs 2 3 3 2 3" xfId="48041" xr:uid="{00000000-0005-0000-0000-0000D3070000}"/>
    <cellStyle name="Outputs 2 3 3 3" xfId="15195" xr:uid="{00000000-0005-0000-0000-0000D3070000}"/>
    <cellStyle name="Outputs 2 3 3 3 2" xfId="33591" xr:uid="{00000000-0005-0000-0000-0000D3070000}"/>
    <cellStyle name="Outputs 2 3 3 3 3" xfId="51954" xr:uid="{00000000-0005-0000-0000-0000D3070000}"/>
    <cellStyle name="Outputs 2 3 3 4" xfId="24322" xr:uid="{00000000-0005-0000-0000-0000D3070000}"/>
    <cellStyle name="Outputs 2 3 3 4 2" xfId="42691" xr:uid="{00000000-0005-0000-0000-0000D3070000}"/>
    <cellStyle name="Outputs 2 3 3 5" xfId="20646" xr:uid="{00000000-0005-0000-0000-0000D3070000}"/>
    <cellStyle name="Outputs 2 3 3 6" xfId="39038" xr:uid="{00000000-0005-0000-0000-0000D3070000}"/>
    <cellStyle name="Outputs 2 3 4" xfId="4021" xr:uid="{00000000-0005-0000-0000-0000D3070000}"/>
    <cellStyle name="Outputs 2 3 4 2" xfId="10725" xr:uid="{00000000-0005-0000-0000-0000D3070000}"/>
    <cellStyle name="Outputs 2 3 4 2 2" xfId="29429" xr:uid="{00000000-0005-0000-0000-0000D3070000}"/>
    <cellStyle name="Outputs 2 3 4 2 3" xfId="47792" xr:uid="{00000000-0005-0000-0000-0000D3070000}"/>
    <cellStyle name="Outputs 2 3 4 3" xfId="14782" xr:uid="{00000000-0005-0000-0000-0000D3070000}"/>
    <cellStyle name="Outputs 2 3 4 3 2" xfId="33194" xr:uid="{00000000-0005-0000-0000-0000D3070000}"/>
    <cellStyle name="Outputs 2 3 4 3 3" xfId="51557" xr:uid="{00000000-0005-0000-0000-0000D3070000}"/>
    <cellStyle name="Outputs 2 3 4 4" xfId="23918" xr:uid="{00000000-0005-0000-0000-0000D3070000}"/>
    <cellStyle name="Outputs 2 3 4 4 2" xfId="42287" xr:uid="{00000000-0005-0000-0000-0000D3070000}"/>
    <cellStyle name="Outputs 2 3 4 5" xfId="20238" xr:uid="{00000000-0005-0000-0000-0000D3070000}"/>
    <cellStyle name="Outputs 2 3 4 6" xfId="38641" xr:uid="{00000000-0005-0000-0000-0000D3070000}"/>
    <cellStyle name="Outputs 2 3 5" xfId="9830" xr:uid="{00000000-0005-0000-0000-0000D3070000}"/>
    <cellStyle name="Outputs 2 3 5 2" xfId="13887" xr:uid="{00000000-0005-0000-0000-0000D3070000}"/>
    <cellStyle name="Outputs 2 3 5 2 2" xfId="32307" xr:uid="{00000000-0005-0000-0000-0000D3070000}"/>
    <cellStyle name="Outputs 2 3 5 2 3" xfId="50670" xr:uid="{00000000-0005-0000-0000-0000D3070000}"/>
    <cellStyle name="Outputs 2 3 5 3" xfId="28545" xr:uid="{00000000-0005-0000-0000-0000D3070000}"/>
    <cellStyle name="Outputs 2 3 5 3 2" xfId="46908" xr:uid="{00000000-0005-0000-0000-0000D3070000}"/>
    <cellStyle name="Outputs 2 3 5 4" xfId="19050" xr:uid="{00000000-0005-0000-0000-0000D3070000}"/>
    <cellStyle name="Outputs 2 3 5 5" xfId="37459" xr:uid="{00000000-0005-0000-0000-0000D3070000}"/>
    <cellStyle name="Outputs 2 3 6" xfId="7732" xr:uid="{00000000-0005-0000-0000-0000D3070000}"/>
    <cellStyle name="Outputs 2 3 6 2" xfId="27009" xr:uid="{00000000-0005-0000-0000-0000D3070000}"/>
    <cellStyle name="Outputs 2 3 6 3" xfId="45374" xr:uid="{00000000-0005-0000-0000-0000D3070000}"/>
    <cellStyle name="Outputs 2 3 7" xfId="7540" xr:uid="{00000000-0005-0000-0000-0000D3070000}"/>
    <cellStyle name="Outputs 2 3 7 2" xfId="26866" xr:uid="{00000000-0005-0000-0000-0000D3070000}"/>
    <cellStyle name="Outputs 2 3 7 3" xfId="45231" xr:uid="{00000000-0005-0000-0000-0000D3070000}"/>
    <cellStyle name="Outputs 2 3 8" xfId="18185" xr:uid="{00000000-0005-0000-0000-0000D3070000}"/>
    <cellStyle name="Outputs 2 3 8 2" xfId="36591" xr:uid="{00000000-0005-0000-0000-0000D3070000}"/>
    <cellStyle name="Outputs 2 3 9" xfId="11596" xr:uid="{00000000-0005-0000-0000-0000D3070000}"/>
    <cellStyle name="Outputs 2 4" xfId="1913" xr:uid="{00000000-0005-0000-0000-0000D4070000}"/>
    <cellStyle name="Outputs 2 4 10" xfId="7440" xr:uid="{00000000-0005-0000-0000-0000D4070000}"/>
    <cellStyle name="Outputs 2 4 2" xfId="3731" xr:uid="{00000000-0005-0000-0000-0000D4070000}"/>
    <cellStyle name="Outputs 2 4 2 2" xfId="5904" xr:uid="{00000000-0005-0000-0000-0000D4070000}"/>
    <cellStyle name="Outputs 2 4 2 2 2" xfId="12268" xr:uid="{00000000-0005-0000-0000-0000D4070000}"/>
    <cellStyle name="Outputs 2 4 2 2 2 2" xfId="30715" xr:uid="{00000000-0005-0000-0000-0000D4070000}"/>
    <cellStyle name="Outputs 2 4 2 2 2 3" xfId="49078" xr:uid="{00000000-0005-0000-0000-0000D4070000}"/>
    <cellStyle name="Outputs 2 4 2 2 3" xfId="16594" xr:uid="{00000000-0005-0000-0000-0000D4070000}"/>
    <cellStyle name="Outputs 2 4 2 2 3 2" xfId="34966" xr:uid="{00000000-0005-0000-0000-0000D4070000}"/>
    <cellStyle name="Outputs 2 4 2 2 3 3" xfId="53329" xr:uid="{00000000-0005-0000-0000-0000D4070000}"/>
    <cellStyle name="Outputs 2 4 2 2 4" xfId="25713" xr:uid="{00000000-0005-0000-0000-0000D4070000}"/>
    <cellStyle name="Outputs 2 4 2 2 4 2" xfId="44082" xr:uid="{00000000-0005-0000-0000-0000D4070000}"/>
    <cellStyle name="Outputs 2 4 2 2 5" xfId="22034" xr:uid="{00000000-0005-0000-0000-0000D4070000}"/>
    <cellStyle name="Outputs 2 4 2 2 6" xfId="40413" xr:uid="{00000000-0005-0000-0000-0000D4070000}"/>
    <cellStyle name="Outputs 2 4 2 3" xfId="6730" xr:uid="{00000000-0005-0000-0000-0000D4070000}"/>
    <cellStyle name="Outputs 2 4 2 3 2" xfId="13021" xr:uid="{00000000-0005-0000-0000-0000D4070000}"/>
    <cellStyle name="Outputs 2 4 2 3 2 2" xfId="31447" xr:uid="{00000000-0005-0000-0000-0000D4070000}"/>
    <cellStyle name="Outputs 2 4 2 3 2 3" xfId="49810" xr:uid="{00000000-0005-0000-0000-0000D4070000}"/>
    <cellStyle name="Outputs 2 4 2 3 3" xfId="17332" xr:uid="{00000000-0005-0000-0000-0000D4070000}"/>
    <cellStyle name="Outputs 2 4 2 3 3 2" xfId="35680" xr:uid="{00000000-0005-0000-0000-0000D4070000}"/>
    <cellStyle name="Outputs 2 4 2 3 3 3" xfId="54043" xr:uid="{00000000-0005-0000-0000-0000D4070000}"/>
    <cellStyle name="Outputs 2 4 2 3 4" xfId="26465" xr:uid="{00000000-0005-0000-0000-0000D4070000}"/>
    <cellStyle name="Outputs 2 4 2 3 4 2" xfId="44834" xr:uid="{00000000-0005-0000-0000-0000D4070000}"/>
    <cellStyle name="Outputs 2 4 2 3 5" xfId="22758" xr:uid="{00000000-0005-0000-0000-0000D4070000}"/>
    <cellStyle name="Outputs 2 4 2 3 6" xfId="41127" xr:uid="{00000000-0005-0000-0000-0000D4070000}"/>
    <cellStyle name="Outputs 2 4 2 4" xfId="10444" xr:uid="{00000000-0005-0000-0000-0000D4070000}"/>
    <cellStyle name="Outputs 2 4 2 4 2" xfId="14501" xr:uid="{00000000-0005-0000-0000-0000D4070000}"/>
    <cellStyle name="Outputs 2 4 2 4 2 2" xfId="32917" xr:uid="{00000000-0005-0000-0000-0000D4070000}"/>
    <cellStyle name="Outputs 2 4 2 4 2 3" xfId="51280" xr:uid="{00000000-0005-0000-0000-0000D4070000}"/>
    <cellStyle name="Outputs 2 4 2 4 3" xfId="29155" xr:uid="{00000000-0005-0000-0000-0000D4070000}"/>
    <cellStyle name="Outputs 2 4 2 4 3 2" xfId="47518" xr:uid="{00000000-0005-0000-0000-0000D4070000}"/>
    <cellStyle name="Outputs 2 4 2 4 4" xfId="19958" xr:uid="{00000000-0005-0000-0000-0000D4070000}"/>
    <cellStyle name="Outputs 2 4 2 4 5" xfId="38364" xr:uid="{00000000-0005-0000-0000-0000D4070000}"/>
    <cellStyle name="Outputs 2 4 2 5" xfId="9660" xr:uid="{00000000-0005-0000-0000-0000D4070000}"/>
    <cellStyle name="Outputs 2 4 2 5 2" xfId="28376" xr:uid="{00000000-0005-0000-0000-0000D4070000}"/>
    <cellStyle name="Outputs 2 4 2 5 3" xfId="46739" xr:uid="{00000000-0005-0000-0000-0000D4070000}"/>
    <cellStyle name="Outputs 2 4 2 6" xfId="13717" xr:uid="{00000000-0005-0000-0000-0000D4070000}"/>
    <cellStyle name="Outputs 2 4 2 6 2" xfId="32138" xr:uid="{00000000-0005-0000-0000-0000D4070000}"/>
    <cellStyle name="Outputs 2 4 2 6 3" xfId="50501" xr:uid="{00000000-0005-0000-0000-0000D4070000}"/>
    <cellStyle name="Outputs 2 4 2 7" xfId="23639" xr:uid="{00000000-0005-0000-0000-0000D4070000}"/>
    <cellStyle name="Outputs 2 4 2 7 2" xfId="42008" xr:uid="{00000000-0005-0000-0000-0000D4070000}"/>
    <cellStyle name="Outputs 2 4 2 8" xfId="18785" xr:uid="{00000000-0005-0000-0000-0000D4070000}"/>
    <cellStyle name="Outputs 2 4 2 9" xfId="37194" xr:uid="{00000000-0005-0000-0000-0000D4070000}"/>
    <cellStyle name="Outputs 2 4 3" xfId="4824" xr:uid="{00000000-0005-0000-0000-0000D4070000}"/>
    <cellStyle name="Outputs 2 4 3 2" xfId="11385" xr:uid="{00000000-0005-0000-0000-0000D4070000}"/>
    <cellStyle name="Outputs 2 4 3 2 2" xfId="29977" xr:uid="{00000000-0005-0000-0000-0000D4070000}"/>
    <cellStyle name="Outputs 2 4 3 2 3" xfId="48340" xr:uid="{00000000-0005-0000-0000-0000D4070000}"/>
    <cellStyle name="Outputs 2 4 3 3" xfId="15550" xr:uid="{00000000-0005-0000-0000-0000D4070000}"/>
    <cellStyle name="Outputs 2 4 3 3 2" xfId="33943" xr:uid="{00000000-0005-0000-0000-0000D4070000}"/>
    <cellStyle name="Outputs 2 4 3 3 3" xfId="52306" xr:uid="{00000000-0005-0000-0000-0000D4070000}"/>
    <cellStyle name="Outputs 2 4 3 4" xfId="24674" xr:uid="{00000000-0005-0000-0000-0000D4070000}"/>
    <cellStyle name="Outputs 2 4 3 4 2" xfId="43043" xr:uid="{00000000-0005-0000-0000-0000D4070000}"/>
    <cellStyle name="Outputs 2 4 3 5" xfId="21001" xr:uid="{00000000-0005-0000-0000-0000D4070000}"/>
    <cellStyle name="Outputs 2 4 3 6" xfId="39390" xr:uid="{00000000-0005-0000-0000-0000D4070000}"/>
    <cellStyle name="Outputs 2 4 4" xfId="4602" xr:uid="{00000000-0005-0000-0000-0000D4070000}"/>
    <cellStyle name="Outputs 2 4 4 2" xfId="11187" xr:uid="{00000000-0005-0000-0000-0000D4070000}"/>
    <cellStyle name="Outputs 2 4 4 2 2" xfId="29799" xr:uid="{00000000-0005-0000-0000-0000D4070000}"/>
    <cellStyle name="Outputs 2 4 4 2 3" xfId="48162" xr:uid="{00000000-0005-0000-0000-0000D4070000}"/>
    <cellStyle name="Outputs 2 4 4 3" xfId="15328" xr:uid="{00000000-0005-0000-0000-0000D4070000}"/>
    <cellStyle name="Outputs 2 4 4 3 2" xfId="33721" xr:uid="{00000000-0005-0000-0000-0000D4070000}"/>
    <cellStyle name="Outputs 2 4 4 3 3" xfId="52084" xr:uid="{00000000-0005-0000-0000-0000D4070000}"/>
    <cellStyle name="Outputs 2 4 4 4" xfId="24452" xr:uid="{00000000-0005-0000-0000-0000D4070000}"/>
    <cellStyle name="Outputs 2 4 4 4 2" xfId="42821" xr:uid="{00000000-0005-0000-0000-0000D4070000}"/>
    <cellStyle name="Outputs 2 4 4 5" xfId="20779" xr:uid="{00000000-0005-0000-0000-0000D4070000}"/>
    <cellStyle name="Outputs 2 4 4 6" xfId="39168" xr:uid="{00000000-0005-0000-0000-0000D4070000}"/>
    <cellStyle name="Outputs 2 4 5" xfId="9040" xr:uid="{00000000-0005-0000-0000-0000D4070000}"/>
    <cellStyle name="Outputs 2 4 5 2" xfId="10961" xr:uid="{00000000-0005-0000-0000-0000D4070000}"/>
    <cellStyle name="Outputs 2 4 5 2 2" xfId="29586" xr:uid="{00000000-0005-0000-0000-0000D4070000}"/>
    <cellStyle name="Outputs 2 4 5 2 3" xfId="47949" xr:uid="{00000000-0005-0000-0000-0000D4070000}"/>
    <cellStyle name="Outputs 2 4 5 3" xfId="27766" xr:uid="{00000000-0005-0000-0000-0000D4070000}"/>
    <cellStyle name="Outputs 2 4 5 3 2" xfId="46129" xr:uid="{00000000-0005-0000-0000-0000D4070000}"/>
    <cellStyle name="Outputs 2 4 5 4" xfId="17935" xr:uid="{00000000-0005-0000-0000-0000D4070000}"/>
    <cellStyle name="Outputs 2 4 5 5" xfId="36343" xr:uid="{00000000-0005-0000-0000-0000D4070000}"/>
    <cellStyle name="Outputs 2 4 6" xfId="8112" xr:uid="{00000000-0005-0000-0000-0000D4070000}"/>
    <cellStyle name="Outputs 2 4 6 2" xfId="27317" xr:uid="{00000000-0005-0000-0000-0000D4070000}"/>
    <cellStyle name="Outputs 2 4 6 3" xfId="45682" xr:uid="{00000000-0005-0000-0000-0000D4070000}"/>
    <cellStyle name="Outputs 2 4 7" xfId="8348" xr:uid="{00000000-0005-0000-0000-0000D4070000}"/>
    <cellStyle name="Outputs 2 4 7 2" xfId="27416" xr:uid="{00000000-0005-0000-0000-0000D4070000}"/>
    <cellStyle name="Outputs 2 4 7 3" xfId="45780" xr:uid="{00000000-0005-0000-0000-0000D4070000}"/>
    <cellStyle name="Outputs 2 4 8" xfId="19320" xr:uid="{00000000-0005-0000-0000-0000D4070000}"/>
    <cellStyle name="Outputs 2 4 8 2" xfId="37727" xr:uid="{00000000-0005-0000-0000-0000D4070000}"/>
    <cellStyle name="Outputs 2 4 9" xfId="7328" xr:uid="{00000000-0005-0000-0000-0000D4070000}"/>
    <cellStyle name="Outputs 2 5" xfId="2328" xr:uid="{00000000-0005-0000-0000-0000D5070000}"/>
    <cellStyle name="Outputs 2 5 10" xfId="10797" xr:uid="{00000000-0005-0000-0000-0000D5070000}"/>
    <cellStyle name="Outputs 2 5 2" xfId="3776" xr:uid="{00000000-0005-0000-0000-0000D5070000}"/>
    <cellStyle name="Outputs 2 5 2 2" xfId="5949" xr:uid="{00000000-0005-0000-0000-0000D5070000}"/>
    <cellStyle name="Outputs 2 5 2 2 2" xfId="12313" xr:uid="{00000000-0005-0000-0000-0000D5070000}"/>
    <cellStyle name="Outputs 2 5 2 2 2 2" xfId="30760" xr:uid="{00000000-0005-0000-0000-0000D5070000}"/>
    <cellStyle name="Outputs 2 5 2 2 2 3" xfId="49123" xr:uid="{00000000-0005-0000-0000-0000D5070000}"/>
    <cellStyle name="Outputs 2 5 2 2 3" xfId="16639" xr:uid="{00000000-0005-0000-0000-0000D5070000}"/>
    <cellStyle name="Outputs 2 5 2 2 3 2" xfId="35011" xr:uid="{00000000-0005-0000-0000-0000D5070000}"/>
    <cellStyle name="Outputs 2 5 2 2 3 3" xfId="53374" xr:uid="{00000000-0005-0000-0000-0000D5070000}"/>
    <cellStyle name="Outputs 2 5 2 2 4" xfId="25758" xr:uid="{00000000-0005-0000-0000-0000D5070000}"/>
    <cellStyle name="Outputs 2 5 2 2 4 2" xfId="44127" xr:uid="{00000000-0005-0000-0000-0000D5070000}"/>
    <cellStyle name="Outputs 2 5 2 2 5" xfId="22079" xr:uid="{00000000-0005-0000-0000-0000D5070000}"/>
    <cellStyle name="Outputs 2 5 2 2 6" xfId="40458" xr:uid="{00000000-0005-0000-0000-0000D5070000}"/>
    <cellStyle name="Outputs 2 5 2 3" xfId="6775" xr:uid="{00000000-0005-0000-0000-0000D5070000}"/>
    <cellStyle name="Outputs 2 5 2 3 2" xfId="13066" xr:uid="{00000000-0005-0000-0000-0000D5070000}"/>
    <cellStyle name="Outputs 2 5 2 3 2 2" xfId="31492" xr:uid="{00000000-0005-0000-0000-0000D5070000}"/>
    <cellStyle name="Outputs 2 5 2 3 2 3" xfId="49855" xr:uid="{00000000-0005-0000-0000-0000D5070000}"/>
    <cellStyle name="Outputs 2 5 2 3 3" xfId="17377" xr:uid="{00000000-0005-0000-0000-0000D5070000}"/>
    <cellStyle name="Outputs 2 5 2 3 3 2" xfId="35725" xr:uid="{00000000-0005-0000-0000-0000D5070000}"/>
    <cellStyle name="Outputs 2 5 2 3 3 3" xfId="54088" xr:uid="{00000000-0005-0000-0000-0000D5070000}"/>
    <cellStyle name="Outputs 2 5 2 3 4" xfId="26510" xr:uid="{00000000-0005-0000-0000-0000D5070000}"/>
    <cellStyle name="Outputs 2 5 2 3 4 2" xfId="44879" xr:uid="{00000000-0005-0000-0000-0000D5070000}"/>
    <cellStyle name="Outputs 2 5 2 3 5" xfId="22803" xr:uid="{00000000-0005-0000-0000-0000D5070000}"/>
    <cellStyle name="Outputs 2 5 2 3 6" xfId="41172" xr:uid="{00000000-0005-0000-0000-0000D5070000}"/>
    <cellStyle name="Outputs 2 5 2 4" xfId="10489" xr:uid="{00000000-0005-0000-0000-0000D5070000}"/>
    <cellStyle name="Outputs 2 5 2 4 2" xfId="14546" xr:uid="{00000000-0005-0000-0000-0000D5070000}"/>
    <cellStyle name="Outputs 2 5 2 4 2 2" xfId="32962" xr:uid="{00000000-0005-0000-0000-0000D5070000}"/>
    <cellStyle name="Outputs 2 5 2 4 2 3" xfId="51325" xr:uid="{00000000-0005-0000-0000-0000D5070000}"/>
    <cellStyle name="Outputs 2 5 2 4 3" xfId="29200" xr:uid="{00000000-0005-0000-0000-0000D5070000}"/>
    <cellStyle name="Outputs 2 5 2 4 3 2" xfId="47563" xr:uid="{00000000-0005-0000-0000-0000D5070000}"/>
    <cellStyle name="Outputs 2 5 2 4 4" xfId="20003" xr:uid="{00000000-0005-0000-0000-0000D5070000}"/>
    <cellStyle name="Outputs 2 5 2 4 5" xfId="38409" xr:uid="{00000000-0005-0000-0000-0000D5070000}"/>
    <cellStyle name="Outputs 2 5 2 5" xfId="9760" xr:uid="{00000000-0005-0000-0000-0000D5070000}"/>
    <cellStyle name="Outputs 2 5 2 5 2" xfId="28475" xr:uid="{00000000-0005-0000-0000-0000D5070000}"/>
    <cellStyle name="Outputs 2 5 2 5 3" xfId="46838" xr:uid="{00000000-0005-0000-0000-0000D5070000}"/>
    <cellStyle name="Outputs 2 5 2 6" xfId="13817" xr:uid="{00000000-0005-0000-0000-0000D5070000}"/>
    <cellStyle name="Outputs 2 5 2 6 2" xfId="32237" xr:uid="{00000000-0005-0000-0000-0000D5070000}"/>
    <cellStyle name="Outputs 2 5 2 6 3" xfId="50600" xr:uid="{00000000-0005-0000-0000-0000D5070000}"/>
    <cellStyle name="Outputs 2 5 2 7" xfId="23684" xr:uid="{00000000-0005-0000-0000-0000D5070000}"/>
    <cellStyle name="Outputs 2 5 2 7 2" xfId="42053" xr:uid="{00000000-0005-0000-0000-0000D5070000}"/>
    <cellStyle name="Outputs 2 5 2 8" xfId="18942" xr:uid="{00000000-0005-0000-0000-0000D5070000}"/>
    <cellStyle name="Outputs 2 5 2 9" xfId="37351" xr:uid="{00000000-0005-0000-0000-0000D5070000}"/>
    <cellStyle name="Outputs 2 5 3" xfId="4976" xr:uid="{00000000-0005-0000-0000-0000D5070000}"/>
    <cellStyle name="Outputs 2 5 3 2" xfId="11506" xr:uid="{00000000-0005-0000-0000-0000D5070000}"/>
    <cellStyle name="Outputs 2 5 3 2 2" xfId="30079" xr:uid="{00000000-0005-0000-0000-0000D5070000}"/>
    <cellStyle name="Outputs 2 5 3 2 3" xfId="48442" xr:uid="{00000000-0005-0000-0000-0000D5070000}"/>
    <cellStyle name="Outputs 2 5 3 3" xfId="15692" xr:uid="{00000000-0005-0000-0000-0000D5070000}"/>
    <cellStyle name="Outputs 2 5 3 3 2" xfId="34081" xr:uid="{00000000-0005-0000-0000-0000D5070000}"/>
    <cellStyle name="Outputs 2 5 3 3 3" xfId="52444" xr:uid="{00000000-0005-0000-0000-0000D5070000}"/>
    <cellStyle name="Outputs 2 5 3 4" xfId="24816" xr:uid="{00000000-0005-0000-0000-0000D5070000}"/>
    <cellStyle name="Outputs 2 5 3 4 2" xfId="43185" xr:uid="{00000000-0005-0000-0000-0000D5070000}"/>
    <cellStyle name="Outputs 2 5 3 5" xfId="21141" xr:uid="{00000000-0005-0000-0000-0000D5070000}"/>
    <cellStyle name="Outputs 2 5 3 6" xfId="39528" xr:uid="{00000000-0005-0000-0000-0000D5070000}"/>
    <cellStyle name="Outputs 2 5 4" xfId="6116" xr:uid="{00000000-0005-0000-0000-0000D5070000}"/>
    <cellStyle name="Outputs 2 5 4 2" xfId="12470" xr:uid="{00000000-0005-0000-0000-0000D5070000}"/>
    <cellStyle name="Outputs 2 5 4 2 2" xfId="30910" xr:uid="{00000000-0005-0000-0000-0000D5070000}"/>
    <cellStyle name="Outputs 2 5 4 2 3" xfId="49273" xr:uid="{00000000-0005-0000-0000-0000D5070000}"/>
    <cellStyle name="Outputs 2 5 4 3" xfId="16789" xr:uid="{00000000-0005-0000-0000-0000D5070000}"/>
    <cellStyle name="Outputs 2 5 4 3 2" xfId="35158" xr:uid="{00000000-0005-0000-0000-0000D5070000}"/>
    <cellStyle name="Outputs 2 5 4 3 3" xfId="53521" xr:uid="{00000000-0005-0000-0000-0000D5070000}"/>
    <cellStyle name="Outputs 2 5 4 4" xfId="25912" xr:uid="{00000000-0005-0000-0000-0000D5070000}"/>
    <cellStyle name="Outputs 2 5 4 4 2" xfId="44281" xr:uid="{00000000-0005-0000-0000-0000D5070000}"/>
    <cellStyle name="Outputs 2 5 4 5" xfId="22228" xr:uid="{00000000-0005-0000-0000-0000D5070000}"/>
    <cellStyle name="Outputs 2 5 4 6" xfId="40605" xr:uid="{00000000-0005-0000-0000-0000D5070000}"/>
    <cellStyle name="Outputs 2 5 5" xfId="9169" xr:uid="{00000000-0005-0000-0000-0000D5070000}"/>
    <cellStyle name="Outputs 2 5 5 2" xfId="13227" xr:uid="{00000000-0005-0000-0000-0000D5070000}"/>
    <cellStyle name="Outputs 2 5 5 2 2" xfId="31648" xr:uid="{00000000-0005-0000-0000-0000D5070000}"/>
    <cellStyle name="Outputs 2 5 5 2 3" xfId="50011" xr:uid="{00000000-0005-0000-0000-0000D5070000}"/>
    <cellStyle name="Outputs 2 5 5 3" xfId="27890" xr:uid="{00000000-0005-0000-0000-0000D5070000}"/>
    <cellStyle name="Outputs 2 5 5 3 2" xfId="46253" xr:uid="{00000000-0005-0000-0000-0000D5070000}"/>
    <cellStyle name="Outputs 2 5 5 4" xfId="18169" xr:uid="{00000000-0005-0000-0000-0000D5070000}"/>
    <cellStyle name="Outputs 2 5 5 5" xfId="36575" xr:uid="{00000000-0005-0000-0000-0000D5070000}"/>
    <cellStyle name="Outputs 2 5 6" xfId="8369" xr:uid="{00000000-0005-0000-0000-0000D5070000}"/>
    <cellStyle name="Outputs 2 5 6 2" xfId="27436" xr:uid="{00000000-0005-0000-0000-0000D5070000}"/>
    <cellStyle name="Outputs 2 5 6 3" xfId="45800" xr:uid="{00000000-0005-0000-0000-0000D5070000}"/>
    <cellStyle name="Outputs 2 5 7" xfId="8210" xr:uid="{00000000-0005-0000-0000-0000D5070000}"/>
    <cellStyle name="Outputs 2 5 7 2" xfId="27373" xr:uid="{00000000-0005-0000-0000-0000D5070000}"/>
    <cellStyle name="Outputs 2 5 7 3" xfId="45738" xr:uid="{00000000-0005-0000-0000-0000D5070000}"/>
    <cellStyle name="Outputs 2 5 8" xfId="18731" xr:uid="{00000000-0005-0000-0000-0000D5070000}"/>
    <cellStyle name="Outputs 2 5 8 2" xfId="37141" xr:uid="{00000000-0005-0000-0000-0000D5070000}"/>
    <cellStyle name="Outputs 2 5 9" xfId="7253" xr:uid="{00000000-0005-0000-0000-0000D5070000}"/>
    <cellStyle name="Outputs 2 6" xfId="2775" xr:uid="{00000000-0005-0000-0000-0000D6070000}"/>
    <cellStyle name="Outputs 2 6 10" xfId="35916" xr:uid="{00000000-0005-0000-0000-0000D6070000}"/>
    <cellStyle name="Outputs 2 6 2" xfId="3812" xr:uid="{00000000-0005-0000-0000-0000D6070000}"/>
    <cellStyle name="Outputs 2 6 2 2" xfId="5985" xr:uid="{00000000-0005-0000-0000-0000D6070000}"/>
    <cellStyle name="Outputs 2 6 2 2 2" xfId="12349" xr:uid="{00000000-0005-0000-0000-0000D6070000}"/>
    <cellStyle name="Outputs 2 6 2 2 2 2" xfId="30796" xr:uid="{00000000-0005-0000-0000-0000D6070000}"/>
    <cellStyle name="Outputs 2 6 2 2 2 3" xfId="49159" xr:uid="{00000000-0005-0000-0000-0000D6070000}"/>
    <cellStyle name="Outputs 2 6 2 2 3" xfId="16675" xr:uid="{00000000-0005-0000-0000-0000D6070000}"/>
    <cellStyle name="Outputs 2 6 2 2 3 2" xfId="35047" xr:uid="{00000000-0005-0000-0000-0000D6070000}"/>
    <cellStyle name="Outputs 2 6 2 2 3 3" xfId="53410" xr:uid="{00000000-0005-0000-0000-0000D6070000}"/>
    <cellStyle name="Outputs 2 6 2 2 4" xfId="25794" xr:uid="{00000000-0005-0000-0000-0000D6070000}"/>
    <cellStyle name="Outputs 2 6 2 2 4 2" xfId="44163" xr:uid="{00000000-0005-0000-0000-0000D6070000}"/>
    <cellStyle name="Outputs 2 6 2 2 5" xfId="22115" xr:uid="{00000000-0005-0000-0000-0000D6070000}"/>
    <cellStyle name="Outputs 2 6 2 2 6" xfId="40494" xr:uid="{00000000-0005-0000-0000-0000D6070000}"/>
    <cellStyle name="Outputs 2 6 2 3" xfId="6811" xr:uid="{00000000-0005-0000-0000-0000D6070000}"/>
    <cellStyle name="Outputs 2 6 2 3 2" xfId="13102" xr:uid="{00000000-0005-0000-0000-0000D6070000}"/>
    <cellStyle name="Outputs 2 6 2 3 2 2" xfId="31528" xr:uid="{00000000-0005-0000-0000-0000D6070000}"/>
    <cellStyle name="Outputs 2 6 2 3 2 3" xfId="49891" xr:uid="{00000000-0005-0000-0000-0000D6070000}"/>
    <cellStyle name="Outputs 2 6 2 3 3" xfId="17413" xr:uid="{00000000-0005-0000-0000-0000D6070000}"/>
    <cellStyle name="Outputs 2 6 2 3 3 2" xfId="35761" xr:uid="{00000000-0005-0000-0000-0000D6070000}"/>
    <cellStyle name="Outputs 2 6 2 3 3 3" xfId="54124" xr:uid="{00000000-0005-0000-0000-0000D6070000}"/>
    <cellStyle name="Outputs 2 6 2 3 4" xfId="26546" xr:uid="{00000000-0005-0000-0000-0000D6070000}"/>
    <cellStyle name="Outputs 2 6 2 3 4 2" xfId="44915" xr:uid="{00000000-0005-0000-0000-0000D6070000}"/>
    <cellStyle name="Outputs 2 6 2 3 5" xfId="22839" xr:uid="{00000000-0005-0000-0000-0000D6070000}"/>
    <cellStyle name="Outputs 2 6 2 3 6" xfId="41208" xr:uid="{00000000-0005-0000-0000-0000D6070000}"/>
    <cellStyle name="Outputs 2 6 2 4" xfId="10525" xr:uid="{00000000-0005-0000-0000-0000D6070000}"/>
    <cellStyle name="Outputs 2 6 2 4 2" xfId="14582" xr:uid="{00000000-0005-0000-0000-0000D6070000}"/>
    <cellStyle name="Outputs 2 6 2 4 2 2" xfId="32998" xr:uid="{00000000-0005-0000-0000-0000D6070000}"/>
    <cellStyle name="Outputs 2 6 2 4 2 3" xfId="51361" xr:uid="{00000000-0005-0000-0000-0000D6070000}"/>
    <cellStyle name="Outputs 2 6 2 4 3" xfId="29236" xr:uid="{00000000-0005-0000-0000-0000D6070000}"/>
    <cellStyle name="Outputs 2 6 2 4 3 2" xfId="47599" xr:uid="{00000000-0005-0000-0000-0000D6070000}"/>
    <cellStyle name="Outputs 2 6 2 4 4" xfId="20039" xr:uid="{00000000-0005-0000-0000-0000D6070000}"/>
    <cellStyle name="Outputs 2 6 2 4 5" xfId="38445" xr:uid="{00000000-0005-0000-0000-0000D6070000}"/>
    <cellStyle name="Outputs 2 6 2 5" xfId="9858" xr:uid="{00000000-0005-0000-0000-0000D6070000}"/>
    <cellStyle name="Outputs 2 6 2 5 2" xfId="28572" xr:uid="{00000000-0005-0000-0000-0000D6070000}"/>
    <cellStyle name="Outputs 2 6 2 5 3" xfId="46935" xr:uid="{00000000-0005-0000-0000-0000D6070000}"/>
    <cellStyle name="Outputs 2 6 2 6" xfId="13916" xr:uid="{00000000-0005-0000-0000-0000D6070000}"/>
    <cellStyle name="Outputs 2 6 2 6 2" xfId="32334" xr:uid="{00000000-0005-0000-0000-0000D6070000}"/>
    <cellStyle name="Outputs 2 6 2 6 3" xfId="50697" xr:uid="{00000000-0005-0000-0000-0000D6070000}"/>
    <cellStyle name="Outputs 2 6 2 7" xfId="23720" xr:uid="{00000000-0005-0000-0000-0000D6070000}"/>
    <cellStyle name="Outputs 2 6 2 7 2" xfId="42089" xr:uid="{00000000-0005-0000-0000-0000D6070000}"/>
    <cellStyle name="Outputs 2 6 2 8" xfId="19112" xr:uid="{00000000-0005-0000-0000-0000D6070000}"/>
    <cellStyle name="Outputs 2 6 2 9" xfId="37520" xr:uid="{00000000-0005-0000-0000-0000D6070000}"/>
    <cellStyle name="Outputs 2 6 3" xfId="5136" xr:uid="{00000000-0005-0000-0000-0000D6070000}"/>
    <cellStyle name="Outputs 2 6 3 2" xfId="11641" xr:uid="{00000000-0005-0000-0000-0000D6070000}"/>
    <cellStyle name="Outputs 2 6 3 2 2" xfId="30189" xr:uid="{00000000-0005-0000-0000-0000D6070000}"/>
    <cellStyle name="Outputs 2 6 3 2 3" xfId="48552" xr:uid="{00000000-0005-0000-0000-0000D6070000}"/>
    <cellStyle name="Outputs 2 6 3 3" xfId="15840" xr:uid="{00000000-0005-0000-0000-0000D6070000}"/>
    <cellStyle name="Outputs 2 6 3 3 2" xfId="34224" xr:uid="{00000000-0005-0000-0000-0000D6070000}"/>
    <cellStyle name="Outputs 2 6 3 3 3" xfId="52587" xr:uid="{00000000-0005-0000-0000-0000D6070000}"/>
    <cellStyle name="Outputs 2 6 3 4" xfId="24963" xr:uid="{00000000-0005-0000-0000-0000D6070000}"/>
    <cellStyle name="Outputs 2 6 3 4 2" xfId="43332" xr:uid="{00000000-0005-0000-0000-0000D6070000}"/>
    <cellStyle name="Outputs 2 6 3 5" xfId="21286" xr:uid="{00000000-0005-0000-0000-0000D6070000}"/>
    <cellStyle name="Outputs 2 6 3 6" xfId="39671" xr:uid="{00000000-0005-0000-0000-0000D6070000}"/>
    <cellStyle name="Outputs 2 6 4" xfId="6186" xr:uid="{00000000-0005-0000-0000-0000D6070000}"/>
    <cellStyle name="Outputs 2 6 4 2" xfId="12521" xr:uid="{00000000-0005-0000-0000-0000D6070000}"/>
    <cellStyle name="Outputs 2 6 4 2 2" xfId="30953" xr:uid="{00000000-0005-0000-0000-0000D6070000}"/>
    <cellStyle name="Outputs 2 6 4 2 3" xfId="49316" xr:uid="{00000000-0005-0000-0000-0000D6070000}"/>
    <cellStyle name="Outputs 2 6 4 3" xfId="16836" xr:uid="{00000000-0005-0000-0000-0000D6070000}"/>
    <cellStyle name="Outputs 2 6 4 3 2" xfId="35196" xr:uid="{00000000-0005-0000-0000-0000D6070000}"/>
    <cellStyle name="Outputs 2 6 4 3 3" xfId="53559" xr:uid="{00000000-0005-0000-0000-0000D6070000}"/>
    <cellStyle name="Outputs 2 6 4 4" xfId="25963" xr:uid="{00000000-0005-0000-0000-0000D6070000}"/>
    <cellStyle name="Outputs 2 6 4 4 2" xfId="44332" xr:uid="{00000000-0005-0000-0000-0000D6070000}"/>
    <cellStyle name="Outputs 2 6 4 5" xfId="22270" xr:uid="{00000000-0005-0000-0000-0000D6070000}"/>
    <cellStyle name="Outputs 2 6 4 6" xfId="40643" xr:uid="{00000000-0005-0000-0000-0000D6070000}"/>
    <cellStyle name="Outputs 2 6 5" xfId="10018" xr:uid="{00000000-0005-0000-0000-0000D6070000}"/>
    <cellStyle name="Outputs 2 6 5 2" xfId="14075" xr:uid="{00000000-0005-0000-0000-0000D6070000}"/>
    <cellStyle name="Outputs 2 6 5 2 2" xfId="32491" xr:uid="{00000000-0005-0000-0000-0000D6070000}"/>
    <cellStyle name="Outputs 2 6 5 2 3" xfId="50854" xr:uid="{00000000-0005-0000-0000-0000D6070000}"/>
    <cellStyle name="Outputs 2 6 5 3" xfId="28729" xr:uid="{00000000-0005-0000-0000-0000D6070000}"/>
    <cellStyle name="Outputs 2 6 5 3 2" xfId="47092" xr:uid="{00000000-0005-0000-0000-0000D6070000}"/>
    <cellStyle name="Outputs 2 6 5 4" xfId="19397" xr:uid="{00000000-0005-0000-0000-0000D6070000}"/>
    <cellStyle name="Outputs 2 6 5 5" xfId="37803" xr:uid="{00000000-0005-0000-0000-0000D6070000}"/>
    <cellStyle name="Outputs 2 6 6" xfId="8645" xr:uid="{00000000-0005-0000-0000-0000D6070000}"/>
    <cellStyle name="Outputs 2 6 6 2" xfId="27553" xr:uid="{00000000-0005-0000-0000-0000D6070000}"/>
    <cellStyle name="Outputs 2 6 6 3" xfId="45916" xr:uid="{00000000-0005-0000-0000-0000D6070000}"/>
    <cellStyle name="Outputs 2 6 7" xfId="8674" xr:uid="{00000000-0005-0000-0000-0000D6070000}"/>
    <cellStyle name="Outputs 2 6 7 2" xfId="27579" xr:uid="{00000000-0005-0000-0000-0000D6070000}"/>
    <cellStyle name="Outputs 2 6 7 3" xfId="45942" xr:uid="{00000000-0005-0000-0000-0000D6070000}"/>
    <cellStyle name="Outputs 2 6 8" xfId="18391" xr:uid="{00000000-0005-0000-0000-0000D6070000}"/>
    <cellStyle name="Outputs 2 6 8 2" xfId="36797" xr:uid="{00000000-0005-0000-0000-0000D6070000}"/>
    <cellStyle name="Outputs 2 6 9" xfId="7537" xr:uid="{00000000-0005-0000-0000-0000D6070000}"/>
    <cellStyle name="Outputs 2 7" xfId="3350" xr:uid="{00000000-0005-0000-0000-0000C8070000}"/>
    <cellStyle name="Outputs 2 7 2" xfId="5525" xr:uid="{00000000-0005-0000-0000-0000C8070000}"/>
    <cellStyle name="Outputs 2 7 2 2" xfId="11889" xr:uid="{00000000-0005-0000-0000-0000C8070000}"/>
    <cellStyle name="Outputs 2 7 2 2 2" xfId="30336" xr:uid="{00000000-0005-0000-0000-0000C8070000}"/>
    <cellStyle name="Outputs 2 7 2 2 3" xfId="48699" xr:uid="{00000000-0005-0000-0000-0000C8070000}"/>
    <cellStyle name="Outputs 2 7 2 3" xfId="16215" xr:uid="{00000000-0005-0000-0000-0000C8070000}"/>
    <cellStyle name="Outputs 2 7 2 3 2" xfId="34587" xr:uid="{00000000-0005-0000-0000-0000C8070000}"/>
    <cellStyle name="Outputs 2 7 2 3 3" xfId="52950" xr:uid="{00000000-0005-0000-0000-0000C8070000}"/>
    <cellStyle name="Outputs 2 7 2 4" xfId="25334" xr:uid="{00000000-0005-0000-0000-0000C8070000}"/>
    <cellStyle name="Outputs 2 7 2 4 2" xfId="43703" xr:uid="{00000000-0005-0000-0000-0000C8070000}"/>
    <cellStyle name="Outputs 2 7 2 5" xfId="21655" xr:uid="{00000000-0005-0000-0000-0000C8070000}"/>
    <cellStyle name="Outputs 2 7 2 6" xfId="40034" xr:uid="{00000000-0005-0000-0000-0000C8070000}"/>
    <cellStyle name="Outputs 2 7 3" xfId="6349" xr:uid="{00000000-0005-0000-0000-0000C8070000}"/>
    <cellStyle name="Outputs 2 7 3 2" xfId="12640" xr:uid="{00000000-0005-0000-0000-0000C8070000}"/>
    <cellStyle name="Outputs 2 7 3 2 2" xfId="31066" xr:uid="{00000000-0005-0000-0000-0000C8070000}"/>
    <cellStyle name="Outputs 2 7 3 2 3" xfId="49429" xr:uid="{00000000-0005-0000-0000-0000C8070000}"/>
    <cellStyle name="Outputs 2 7 3 3" xfId="16951" xr:uid="{00000000-0005-0000-0000-0000C8070000}"/>
    <cellStyle name="Outputs 2 7 3 3 2" xfId="35299" xr:uid="{00000000-0005-0000-0000-0000C8070000}"/>
    <cellStyle name="Outputs 2 7 3 3 3" xfId="53662" xr:uid="{00000000-0005-0000-0000-0000C8070000}"/>
    <cellStyle name="Outputs 2 7 3 4" xfId="26084" xr:uid="{00000000-0005-0000-0000-0000C8070000}"/>
    <cellStyle name="Outputs 2 7 3 4 2" xfId="44453" xr:uid="{00000000-0005-0000-0000-0000C8070000}"/>
    <cellStyle name="Outputs 2 7 3 5" xfId="22377" xr:uid="{00000000-0005-0000-0000-0000C8070000}"/>
    <cellStyle name="Outputs 2 7 3 6" xfId="40746" xr:uid="{00000000-0005-0000-0000-0000C8070000}"/>
    <cellStyle name="Outputs 2 7 4" xfId="10063" xr:uid="{00000000-0005-0000-0000-0000C8070000}"/>
    <cellStyle name="Outputs 2 7 4 2" xfId="14120" xr:uid="{00000000-0005-0000-0000-0000C8070000}"/>
    <cellStyle name="Outputs 2 7 4 2 2" xfId="32536" xr:uid="{00000000-0005-0000-0000-0000C8070000}"/>
    <cellStyle name="Outputs 2 7 4 2 3" xfId="50899" xr:uid="{00000000-0005-0000-0000-0000C8070000}"/>
    <cellStyle name="Outputs 2 7 4 3" xfId="28774" xr:uid="{00000000-0005-0000-0000-0000C8070000}"/>
    <cellStyle name="Outputs 2 7 4 3 2" xfId="47137" xr:uid="{00000000-0005-0000-0000-0000C8070000}"/>
    <cellStyle name="Outputs 2 7 4 4" xfId="19577" xr:uid="{00000000-0005-0000-0000-0000C8070000}"/>
    <cellStyle name="Outputs 2 7 4 5" xfId="37983" xr:uid="{00000000-0005-0000-0000-0000C8070000}"/>
    <cellStyle name="Outputs 2 7 5" xfId="9197" xr:uid="{00000000-0005-0000-0000-0000C8070000}"/>
    <cellStyle name="Outputs 2 7 5 2" xfId="27918" xr:uid="{00000000-0005-0000-0000-0000C8070000}"/>
    <cellStyle name="Outputs 2 7 5 3" xfId="46281" xr:uid="{00000000-0005-0000-0000-0000C8070000}"/>
    <cellStyle name="Outputs 2 7 6" xfId="13255" xr:uid="{00000000-0005-0000-0000-0000C8070000}"/>
    <cellStyle name="Outputs 2 7 6 2" xfId="31676" xr:uid="{00000000-0005-0000-0000-0000C8070000}"/>
    <cellStyle name="Outputs 2 7 6 3" xfId="50039" xr:uid="{00000000-0005-0000-0000-0000C8070000}"/>
    <cellStyle name="Outputs 2 7 7" xfId="23258" xr:uid="{00000000-0005-0000-0000-0000C8070000}"/>
    <cellStyle name="Outputs 2 7 7 2" xfId="41627" xr:uid="{00000000-0005-0000-0000-0000C8070000}"/>
    <cellStyle name="Outputs 2 7 8" xfId="18213" xr:uid="{00000000-0005-0000-0000-0000C8070000}"/>
    <cellStyle name="Outputs 2 7 9" xfId="36619" xr:uid="{00000000-0005-0000-0000-0000C8070000}"/>
    <cellStyle name="Outputs 2 8" xfId="4194" xr:uid="{00000000-0005-0000-0000-0000C8070000}"/>
    <cellStyle name="Outputs 2 8 2" xfId="10843" xr:uid="{00000000-0005-0000-0000-0000C8070000}"/>
    <cellStyle name="Outputs 2 8 2 2" xfId="29514" xr:uid="{00000000-0005-0000-0000-0000C8070000}"/>
    <cellStyle name="Outputs 2 8 2 3" xfId="47877" xr:uid="{00000000-0005-0000-0000-0000C8070000}"/>
    <cellStyle name="Outputs 2 8 3" xfId="14940" xr:uid="{00000000-0005-0000-0000-0000C8070000}"/>
    <cellStyle name="Outputs 2 8 3 2" xfId="33344" xr:uid="{00000000-0005-0000-0000-0000C8070000}"/>
    <cellStyle name="Outputs 2 8 3 3" xfId="51707" xr:uid="{00000000-0005-0000-0000-0000C8070000}"/>
    <cellStyle name="Outputs 2 8 4" xfId="24073" xr:uid="{00000000-0005-0000-0000-0000C8070000}"/>
    <cellStyle name="Outputs 2 8 4 2" xfId="42442" xr:uid="{00000000-0005-0000-0000-0000C8070000}"/>
    <cellStyle name="Outputs 2 8 5" xfId="20393" xr:uid="{00000000-0005-0000-0000-0000C8070000}"/>
    <cellStyle name="Outputs 2 8 6" xfId="38791" xr:uid="{00000000-0005-0000-0000-0000C8070000}"/>
    <cellStyle name="Outputs 2 9" xfId="3905" xr:uid="{00000000-0005-0000-0000-0000C8070000}"/>
    <cellStyle name="Outputs 2 9 2" xfId="10618" xr:uid="{00000000-0005-0000-0000-0000C8070000}"/>
    <cellStyle name="Outputs 2 9 2 2" xfId="29329" xr:uid="{00000000-0005-0000-0000-0000C8070000}"/>
    <cellStyle name="Outputs 2 9 2 3" xfId="47692" xr:uid="{00000000-0005-0000-0000-0000C8070000}"/>
    <cellStyle name="Outputs 2 9 3" xfId="14675" xr:uid="{00000000-0005-0000-0000-0000C8070000}"/>
    <cellStyle name="Outputs 2 9 3 2" xfId="33091" xr:uid="{00000000-0005-0000-0000-0000C8070000}"/>
    <cellStyle name="Outputs 2 9 3 3" xfId="51454" xr:uid="{00000000-0005-0000-0000-0000C8070000}"/>
    <cellStyle name="Outputs 2 9 4" xfId="23813" xr:uid="{00000000-0005-0000-0000-0000C8070000}"/>
    <cellStyle name="Outputs 2 9 4 2" xfId="42182" xr:uid="{00000000-0005-0000-0000-0000C8070000}"/>
    <cellStyle name="Outputs 2 9 5" xfId="20132" xr:uid="{00000000-0005-0000-0000-0000C8070000}"/>
    <cellStyle name="Outputs 2 9 6" xfId="38538" xr:uid="{00000000-0005-0000-0000-0000C8070000}"/>
    <cellStyle name="Outputs 3" xfId="1849" xr:uid="{00000000-0005-0000-0000-0000D7070000}"/>
    <cellStyle name="Outputs 3 10" xfId="8773" xr:uid="{00000000-0005-0000-0000-0000D7070000}"/>
    <cellStyle name="Outputs 3 2" xfId="3705" xr:uid="{00000000-0005-0000-0000-0000D7070000}"/>
    <cellStyle name="Outputs 3 2 2" xfId="5878" xr:uid="{00000000-0005-0000-0000-0000D7070000}"/>
    <cellStyle name="Outputs 3 2 2 2" xfId="12242" xr:uid="{00000000-0005-0000-0000-0000D7070000}"/>
    <cellStyle name="Outputs 3 2 2 2 2" xfId="30689" xr:uid="{00000000-0005-0000-0000-0000D7070000}"/>
    <cellStyle name="Outputs 3 2 2 2 3" xfId="49052" xr:uid="{00000000-0005-0000-0000-0000D7070000}"/>
    <cellStyle name="Outputs 3 2 2 3" xfId="16568" xr:uid="{00000000-0005-0000-0000-0000D7070000}"/>
    <cellStyle name="Outputs 3 2 2 3 2" xfId="34940" xr:uid="{00000000-0005-0000-0000-0000D7070000}"/>
    <cellStyle name="Outputs 3 2 2 3 3" xfId="53303" xr:uid="{00000000-0005-0000-0000-0000D7070000}"/>
    <cellStyle name="Outputs 3 2 2 4" xfId="25687" xr:uid="{00000000-0005-0000-0000-0000D7070000}"/>
    <cellStyle name="Outputs 3 2 2 4 2" xfId="44056" xr:uid="{00000000-0005-0000-0000-0000D7070000}"/>
    <cellStyle name="Outputs 3 2 2 5" xfId="22008" xr:uid="{00000000-0005-0000-0000-0000D7070000}"/>
    <cellStyle name="Outputs 3 2 2 6" xfId="40387" xr:uid="{00000000-0005-0000-0000-0000D7070000}"/>
    <cellStyle name="Outputs 3 2 3" xfId="6704" xr:uid="{00000000-0005-0000-0000-0000D7070000}"/>
    <cellStyle name="Outputs 3 2 3 2" xfId="12995" xr:uid="{00000000-0005-0000-0000-0000D7070000}"/>
    <cellStyle name="Outputs 3 2 3 2 2" xfId="31421" xr:uid="{00000000-0005-0000-0000-0000D7070000}"/>
    <cellStyle name="Outputs 3 2 3 2 3" xfId="49784" xr:uid="{00000000-0005-0000-0000-0000D7070000}"/>
    <cellStyle name="Outputs 3 2 3 3" xfId="17306" xr:uid="{00000000-0005-0000-0000-0000D7070000}"/>
    <cellStyle name="Outputs 3 2 3 3 2" xfId="35654" xr:uid="{00000000-0005-0000-0000-0000D7070000}"/>
    <cellStyle name="Outputs 3 2 3 3 3" xfId="54017" xr:uid="{00000000-0005-0000-0000-0000D7070000}"/>
    <cellStyle name="Outputs 3 2 3 4" xfId="26439" xr:uid="{00000000-0005-0000-0000-0000D7070000}"/>
    <cellStyle name="Outputs 3 2 3 4 2" xfId="44808" xr:uid="{00000000-0005-0000-0000-0000D7070000}"/>
    <cellStyle name="Outputs 3 2 3 5" xfId="22732" xr:uid="{00000000-0005-0000-0000-0000D7070000}"/>
    <cellStyle name="Outputs 3 2 3 6" xfId="41101" xr:uid="{00000000-0005-0000-0000-0000D7070000}"/>
    <cellStyle name="Outputs 3 2 4" xfId="10418" xr:uid="{00000000-0005-0000-0000-0000D7070000}"/>
    <cellStyle name="Outputs 3 2 4 2" xfId="14475" xr:uid="{00000000-0005-0000-0000-0000D7070000}"/>
    <cellStyle name="Outputs 3 2 4 2 2" xfId="32891" xr:uid="{00000000-0005-0000-0000-0000D7070000}"/>
    <cellStyle name="Outputs 3 2 4 2 3" xfId="51254" xr:uid="{00000000-0005-0000-0000-0000D7070000}"/>
    <cellStyle name="Outputs 3 2 4 3" xfId="29129" xr:uid="{00000000-0005-0000-0000-0000D7070000}"/>
    <cellStyle name="Outputs 3 2 4 3 2" xfId="47492" xr:uid="{00000000-0005-0000-0000-0000D7070000}"/>
    <cellStyle name="Outputs 3 2 4 4" xfId="19932" xr:uid="{00000000-0005-0000-0000-0000D7070000}"/>
    <cellStyle name="Outputs 3 2 4 5" xfId="38338" xr:uid="{00000000-0005-0000-0000-0000D7070000}"/>
    <cellStyle name="Outputs 3 2 5" xfId="9630" xr:uid="{00000000-0005-0000-0000-0000D7070000}"/>
    <cellStyle name="Outputs 3 2 5 2" xfId="28346" xr:uid="{00000000-0005-0000-0000-0000D7070000}"/>
    <cellStyle name="Outputs 3 2 5 3" xfId="46709" xr:uid="{00000000-0005-0000-0000-0000D7070000}"/>
    <cellStyle name="Outputs 3 2 6" xfId="13687" xr:uid="{00000000-0005-0000-0000-0000D7070000}"/>
    <cellStyle name="Outputs 3 2 6 2" xfId="32108" xr:uid="{00000000-0005-0000-0000-0000D7070000}"/>
    <cellStyle name="Outputs 3 2 6 3" xfId="50471" xr:uid="{00000000-0005-0000-0000-0000D7070000}"/>
    <cellStyle name="Outputs 3 2 7" xfId="23613" xr:uid="{00000000-0005-0000-0000-0000D7070000}"/>
    <cellStyle name="Outputs 3 2 7 2" xfId="41982" xr:uid="{00000000-0005-0000-0000-0000D7070000}"/>
    <cellStyle name="Outputs 3 2 8" xfId="18743" xr:uid="{00000000-0005-0000-0000-0000D7070000}"/>
    <cellStyle name="Outputs 3 2 9" xfId="37152" xr:uid="{00000000-0005-0000-0000-0000D7070000}"/>
    <cellStyle name="Outputs 3 3" xfId="4774" xr:uid="{00000000-0005-0000-0000-0000D7070000}"/>
    <cellStyle name="Outputs 3 3 2" xfId="11347" xr:uid="{00000000-0005-0000-0000-0000D7070000}"/>
    <cellStyle name="Outputs 3 3 2 2" xfId="29945" xr:uid="{00000000-0005-0000-0000-0000D7070000}"/>
    <cellStyle name="Outputs 3 3 2 3" xfId="48308" xr:uid="{00000000-0005-0000-0000-0000D7070000}"/>
    <cellStyle name="Outputs 3 3 3" xfId="15500" xr:uid="{00000000-0005-0000-0000-0000D7070000}"/>
    <cellStyle name="Outputs 3 3 3 2" xfId="33893" xr:uid="{00000000-0005-0000-0000-0000D7070000}"/>
    <cellStyle name="Outputs 3 3 3 3" xfId="52256" xr:uid="{00000000-0005-0000-0000-0000D7070000}"/>
    <cellStyle name="Outputs 3 3 4" xfId="24624" xr:uid="{00000000-0005-0000-0000-0000D7070000}"/>
    <cellStyle name="Outputs 3 3 4 2" xfId="42993" xr:uid="{00000000-0005-0000-0000-0000D7070000}"/>
    <cellStyle name="Outputs 3 3 5" xfId="20951" xr:uid="{00000000-0005-0000-0000-0000D7070000}"/>
    <cellStyle name="Outputs 3 3 6" xfId="39340" xr:uid="{00000000-0005-0000-0000-0000D7070000}"/>
    <cellStyle name="Outputs 3 4" xfId="4851" xr:uid="{00000000-0005-0000-0000-0000D7070000}"/>
    <cellStyle name="Outputs 3 4 2" xfId="11409" xr:uid="{00000000-0005-0000-0000-0000D7070000}"/>
    <cellStyle name="Outputs 3 4 2 2" xfId="30000" xr:uid="{00000000-0005-0000-0000-0000D7070000}"/>
    <cellStyle name="Outputs 3 4 2 3" xfId="48363" xr:uid="{00000000-0005-0000-0000-0000D7070000}"/>
    <cellStyle name="Outputs 3 4 3" xfId="15577" xr:uid="{00000000-0005-0000-0000-0000D7070000}"/>
    <cellStyle name="Outputs 3 4 3 2" xfId="33969" xr:uid="{00000000-0005-0000-0000-0000D7070000}"/>
    <cellStyle name="Outputs 3 4 3 3" xfId="52332" xr:uid="{00000000-0005-0000-0000-0000D7070000}"/>
    <cellStyle name="Outputs 3 4 4" xfId="24700" xr:uid="{00000000-0005-0000-0000-0000D7070000}"/>
    <cellStyle name="Outputs 3 4 4 2" xfId="43069" xr:uid="{00000000-0005-0000-0000-0000D7070000}"/>
    <cellStyle name="Outputs 3 4 5" xfId="21027" xr:uid="{00000000-0005-0000-0000-0000D7070000}"/>
    <cellStyle name="Outputs 3 4 6" xfId="39416" xr:uid="{00000000-0005-0000-0000-0000D7070000}"/>
    <cellStyle name="Outputs 3 5" xfId="9209" xr:uid="{00000000-0005-0000-0000-0000D7070000}"/>
    <cellStyle name="Outputs 3 5 2" xfId="13267" xr:uid="{00000000-0005-0000-0000-0000D7070000}"/>
    <cellStyle name="Outputs 3 5 2 2" xfId="31688" xr:uid="{00000000-0005-0000-0000-0000D7070000}"/>
    <cellStyle name="Outputs 3 5 2 3" xfId="50051" xr:uid="{00000000-0005-0000-0000-0000D7070000}"/>
    <cellStyle name="Outputs 3 5 3" xfId="27930" xr:uid="{00000000-0005-0000-0000-0000D7070000}"/>
    <cellStyle name="Outputs 3 5 3 2" xfId="46293" xr:uid="{00000000-0005-0000-0000-0000D7070000}"/>
    <cellStyle name="Outputs 3 5 4" xfId="18236" xr:uid="{00000000-0005-0000-0000-0000D7070000}"/>
    <cellStyle name="Outputs 3 5 5" xfId="36642" xr:uid="{00000000-0005-0000-0000-0000D7070000}"/>
    <cellStyle name="Outputs 3 6" xfId="8064" xr:uid="{00000000-0005-0000-0000-0000D7070000}"/>
    <cellStyle name="Outputs 3 6 2" xfId="27277" xr:uid="{00000000-0005-0000-0000-0000D7070000}"/>
    <cellStyle name="Outputs 3 6 3" xfId="45642" xr:uid="{00000000-0005-0000-0000-0000D7070000}"/>
    <cellStyle name="Outputs 3 7" xfId="8704" xr:uid="{00000000-0005-0000-0000-0000D7070000}"/>
    <cellStyle name="Outputs 3 7 2" xfId="27593" xr:uid="{00000000-0005-0000-0000-0000D7070000}"/>
    <cellStyle name="Outputs 3 7 3" xfId="45956" xr:uid="{00000000-0005-0000-0000-0000D7070000}"/>
    <cellStyle name="Outputs 3 8" xfId="18306" xr:uid="{00000000-0005-0000-0000-0000D7070000}"/>
    <cellStyle name="Outputs 3 8 2" xfId="36712" xr:uid="{00000000-0005-0000-0000-0000D7070000}"/>
    <cellStyle name="Outputs 3 9" xfId="7462" xr:uid="{00000000-0005-0000-0000-0000D7070000}"/>
    <cellStyle name="Outputs 4" xfId="2147" xr:uid="{00000000-0005-0000-0000-0000D8070000}"/>
    <cellStyle name="Outputs 4 10" xfId="8042" xr:uid="{00000000-0005-0000-0000-0000D8070000}"/>
    <cellStyle name="Outputs 4 2" xfId="3753" xr:uid="{00000000-0005-0000-0000-0000D8070000}"/>
    <cellStyle name="Outputs 4 2 2" xfId="5926" xr:uid="{00000000-0005-0000-0000-0000D8070000}"/>
    <cellStyle name="Outputs 4 2 2 2" xfId="12290" xr:uid="{00000000-0005-0000-0000-0000D8070000}"/>
    <cellStyle name="Outputs 4 2 2 2 2" xfId="30737" xr:uid="{00000000-0005-0000-0000-0000D8070000}"/>
    <cellStyle name="Outputs 4 2 2 2 3" xfId="49100" xr:uid="{00000000-0005-0000-0000-0000D8070000}"/>
    <cellStyle name="Outputs 4 2 2 3" xfId="16616" xr:uid="{00000000-0005-0000-0000-0000D8070000}"/>
    <cellStyle name="Outputs 4 2 2 3 2" xfId="34988" xr:uid="{00000000-0005-0000-0000-0000D8070000}"/>
    <cellStyle name="Outputs 4 2 2 3 3" xfId="53351" xr:uid="{00000000-0005-0000-0000-0000D8070000}"/>
    <cellStyle name="Outputs 4 2 2 4" xfId="25735" xr:uid="{00000000-0005-0000-0000-0000D8070000}"/>
    <cellStyle name="Outputs 4 2 2 4 2" xfId="44104" xr:uid="{00000000-0005-0000-0000-0000D8070000}"/>
    <cellStyle name="Outputs 4 2 2 5" xfId="22056" xr:uid="{00000000-0005-0000-0000-0000D8070000}"/>
    <cellStyle name="Outputs 4 2 2 6" xfId="40435" xr:uid="{00000000-0005-0000-0000-0000D8070000}"/>
    <cellStyle name="Outputs 4 2 3" xfId="6752" xr:uid="{00000000-0005-0000-0000-0000D8070000}"/>
    <cellStyle name="Outputs 4 2 3 2" xfId="13043" xr:uid="{00000000-0005-0000-0000-0000D8070000}"/>
    <cellStyle name="Outputs 4 2 3 2 2" xfId="31469" xr:uid="{00000000-0005-0000-0000-0000D8070000}"/>
    <cellStyle name="Outputs 4 2 3 2 3" xfId="49832" xr:uid="{00000000-0005-0000-0000-0000D8070000}"/>
    <cellStyle name="Outputs 4 2 3 3" xfId="17354" xr:uid="{00000000-0005-0000-0000-0000D8070000}"/>
    <cellStyle name="Outputs 4 2 3 3 2" xfId="35702" xr:uid="{00000000-0005-0000-0000-0000D8070000}"/>
    <cellStyle name="Outputs 4 2 3 3 3" xfId="54065" xr:uid="{00000000-0005-0000-0000-0000D8070000}"/>
    <cellStyle name="Outputs 4 2 3 4" xfId="26487" xr:uid="{00000000-0005-0000-0000-0000D8070000}"/>
    <cellStyle name="Outputs 4 2 3 4 2" xfId="44856" xr:uid="{00000000-0005-0000-0000-0000D8070000}"/>
    <cellStyle name="Outputs 4 2 3 5" xfId="22780" xr:uid="{00000000-0005-0000-0000-0000D8070000}"/>
    <cellStyle name="Outputs 4 2 3 6" xfId="41149" xr:uid="{00000000-0005-0000-0000-0000D8070000}"/>
    <cellStyle name="Outputs 4 2 4" xfId="10466" xr:uid="{00000000-0005-0000-0000-0000D8070000}"/>
    <cellStyle name="Outputs 4 2 4 2" xfId="14523" xr:uid="{00000000-0005-0000-0000-0000D8070000}"/>
    <cellStyle name="Outputs 4 2 4 2 2" xfId="32939" xr:uid="{00000000-0005-0000-0000-0000D8070000}"/>
    <cellStyle name="Outputs 4 2 4 2 3" xfId="51302" xr:uid="{00000000-0005-0000-0000-0000D8070000}"/>
    <cellStyle name="Outputs 4 2 4 3" xfId="29177" xr:uid="{00000000-0005-0000-0000-0000D8070000}"/>
    <cellStyle name="Outputs 4 2 4 3 2" xfId="47540" xr:uid="{00000000-0005-0000-0000-0000D8070000}"/>
    <cellStyle name="Outputs 4 2 4 4" xfId="19980" xr:uid="{00000000-0005-0000-0000-0000D8070000}"/>
    <cellStyle name="Outputs 4 2 4 5" xfId="38386" xr:uid="{00000000-0005-0000-0000-0000D8070000}"/>
    <cellStyle name="Outputs 4 2 5" xfId="9733" xr:uid="{00000000-0005-0000-0000-0000D8070000}"/>
    <cellStyle name="Outputs 4 2 5 2" xfId="28448" xr:uid="{00000000-0005-0000-0000-0000D8070000}"/>
    <cellStyle name="Outputs 4 2 5 3" xfId="46811" xr:uid="{00000000-0005-0000-0000-0000D8070000}"/>
    <cellStyle name="Outputs 4 2 6" xfId="13790" xr:uid="{00000000-0005-0000-0000-0000D8070000}"/>
    <cellStyle name="Outputs 4 2 6 2" xfId="32210" xr:uid="{00000000-0005-0000-0000-0000D8070000}"/>
    <cellStyle name="Outputs 4 2 6 3" xfId="50573" xr:uid="{00000000-0005-0000-0000-0000D8070000}"/>
    <cellStyle name="Outputs 4 2 7" xfId="23661" xr:uid="{00000000-0005-0000-0000-0000D8070000}"/>
    <cellStyle name="Outputs 4 2 7 2" xfId="42030" xr:uid="{00000000-0005-0000-0000-0000D8070000}"/>
    <cellStyle name="Outputs 4 2 8" xfId="18888" xr:uid="{00000000-0005-0000-0000-0000D8070000}"/>
    <cellStyle name="Outputs 4 2 9" xfId="37297" xr:uid="{00000000-0005-0000-0000-0000D8070000}"/>
    <cellStyle name="Outputs 4 3" xfId="4919" xr:uid="{00000000-0005-0000-0000-0000D8070000}"/>
    <cellStyle name="Outputs 4 3 2" xfId="11467" xr:uid="{00000000-0005-0000-0000-0000D8070000}"/>
    <cellStyle name="Outputs 4 3 2 2" xfId="30053" xr:uid="{00000000-0005-0000-0000-0000D8070000}"/>
    <cellStyle name="Outputs 4 3 2 3" xfId="48416" xr:uid="{00000000-0005-0000-0000-0000D8070000}"/>
    <cellStyle name="Outputs 4 3 3" xfId="15639" xr:uid="{00000000-0005-0000-0000-0000D8070000}"/>
    <cellStyle name="Outputs 4 3 3 2" xfId="34028" xr:uid="{00000000-0005-0000-0000-0000D8070000}"/>
    <cellStyle name="Outputs 4 3 3 3" xfId="52391" xr:uid="{00000000-0005-0000-0000-0000D8070000}"/>
    <cellStyle name="Outputs 4 3 4" xfId="24761" xr:uid="{00000000-0005-0000-0000-0000D8070000}"/>
    <cellStyle name="Outputs 4 3 4 2" xfId="43130" xr:uid="{00000000-0005-0000-0000-0000D8070000}"/>
    <cellStyle name="Outputs 4 3 5" xfId="21087" xr:uid="{00000000-0005-0000-0000-0000D8070000}"/>
    <cellStyle name="Outputs 4 3 6" xfId="39475" xr:uid="{00000000-0005-0000-0000-0000D8070000}"/>
    <cellStyle name="Outputs 4 4" xfId="3914" xr:uid="{00000000-0005-0000-0000-0000D8070000}"/>
    <cellStyle name="Outputs 4 4 2" xfId="10623" xr:uid="{00000000-0005-0000-0000-0000D8070000}"/>
    <cellStyle name="Outputs 4 4 2 2" xfId="29333" xr:uid="{00000000-0005-0000-0000-0000D8070000}"/>
    <cellStyle name="Outputs 4 4 2 3" xfId="47696" xr:uid="{00000000-0005-0000-0000-0000D8070000}"/>
    <cellStyle name="Outputs 4 4 3" xfId="14680" xr:uid="{00000000-0005-0000-0000-0000D8070000}"/>
    <cellStyle name="Outputs 4 4 3 2" xfId="33094" xr:uid="{00000000-0005-0000-0000-0000D8070000}"/>
    <cellStyle name="Outputs 4 4 3 3" xfId="51457" xr:uid="{00000000-0005-0000-0000-0000D8070000}"/>
    <cellStyle name="Outputs 4 4 4" xfId="23817" xr:uid="{00000000-0005-0000-0000-0000D8070000}"/>
    <cellStyle name="Outputs 4 4 4 2" xfId="42186" xr:uid="{00000000-0005-0000-0000-0000D8070000}"/>
    <cellStyle name="Outputs 4 4 5" xfId="20136" xr:uid="{00000000-0005-0000-0000-0000D8070000}"/>
    <cellStyle name="Outputs 4 4 6" xfId="38541" xr:uid="{00000000-0005-0000-0000-0000D8070000}"/>
    <cellStyle name="Outputs 4 5" xfId="9623" xr:uid="{00000000-0005-0000-0000-0000D8070000}"/>
    <cellStyle name="Outputs 4 5 2" xfId="13681" xr:uid="{00000000-0005-0000-0000-0000D8070000}"/>
    <cellStyle name="Outputs 4 5 2 2" xfId="32102" xr:uid="{00000000-0005-0000-0000-0000D8070000}"/>
    <cellStyle name="Outputs 4 5 2 3" xfId="50465" xr:uid="{00000000-0005-0000-0000-0000D8070000}"/>
    <cellStyle name="Outputs 4 5 3" xfId="28340" xr:uid="{00000000-0005-0000-0000-0000D8070000}"/>
    <cellStyle name="Outputs 4 5 3 2" xfId="46703" xr:uid="{00000000-0005-0000-0000-0000D8070000}"/>
    <cellStyle name="Outputs 4 5 4" xfId="18728" xr:uid="{00000000-0005-0000-0000-0000D8070000}"/>
    <cellStyle name="Outputs 4 5 5" xfId="37138" xr:uid="{00000000-0005-0000-0000-0000D8070000}"/>
    <cellStyle name="Outputs 4 6" xfId="8256" xr:uid="{00000000-0005-0000-0000-0000D8070000}"/>
    <cellStyle name="Outputs 4 6 2" xfId="27386" xr:uid="{00000000-0005-0000-0000-0000D8070000}"/>
    <cellStyle name="Outputs 4 6 3" xfId="45751" xr:uid="{00000000-0005-0000-0000-0000D8070000}"/>
    <cellStyle name="Outputs 4 7" xfId="7123" xr:uid="{00000000-0005-0000-0000-0000D8070000}"/>
    <cellStyle name="Outputs 4 7 2" xfId="26726" xr:uid="{00000000-0005-0000-0000-0000D8070000}"/>
    <cellStyle name="Outputs 4 7 3" xfId="45094" xr:uid="{00000000-0005-0000-0000-0000D8070000}"/>
    <cellStyle name="Outputs 4 8" xfId="18188" xr:uid="{00000000-0005-0000-0000-0000D8070000}"/>
    <cellStyle name="Outputs 4 8 2" xfId="36594" xr:uid="{00000000-0005-0000-0000-0000D8070000}"/>
    <cellStyle name="Outputs 4 9" xfId="10784" xr:uid="{00000000-0005-0000-0000-0000D8070000}"/>
    <cellStyle name="Outputs 5" xfId="2596" xr:uid="{00000000-0005-0000-0000-0000D9070000}"/>
    <cellStyle name="Outputs 5 10" xfId="35871" xr:uid="{00000000-0005-0000-0000-0000D9070000}"/>
    <cellStyle name="Outputs 5 2" xfId="3797" xr:uid="{00000000-0005-0000-0000-0000D9070000}"/>
    <cellStyle name="Outputs 5 2 2" xfId="5970" xr:uid="{00000000-0005-0000-0000-0000D9070000}"/>
    <cellStyle name="Outputs 5 2 2 2" xfId="12334" xr:uid="{00000000-0005-0000-0000-0000D9070000}"/>
    <cellStyle name="Outputs 5 2 2 2 2" xfId="30781" xr:uid="{00000000-0005-0000-0000-0000D9070000}"/>
    <cellStyle name="Outputs 5 2 2 2 3" xfId="49144" xr:uid="{00000000-0005-0000-0000-0000D9070000}"/>
    <cellStyle name="Outputs 5 2 2 3" xfId="16660" xr:uid="{00000000-0005-0000-0000-0000D9070000}"/>
    <cellStyle name="Outputs 5 2 2 3 2" xfId="35032" xr:uid="{00000000-0005-0000-0000-0000D9070000}"/>
    <cellStyle name="Outputs 5 2 2 3 3" xfId="53395" xr:uid="{00000000-0005-0000-0000-0000D9070000}"/>
    <cellStyle name="Outputs 5 2 2 4" xfId="25779" xr:uid="{00000000-0005-0000-0000-0000D9070000}"/>
    <cellStyle name="Outputs 5 2 2 4 2" xfId="44148" xr:uid="{00000000-0005-0000-0000-0000D9070000}"/>
    <cellStyle name="Outputs 5 2 2 5" xfId="22100" xr:uid="{00000000-0005-0000-0000-0000D9070000}"/>
    <cellStyle name="Outputs 5 2 2 6" xfId="40479" xr:uid="{00000000-0005-0000-0000-0000D9070000}"/>
    <cellStyle name="Outputs 5 2 3" xfId="6796" xr:uid="{00000000-0005-0000-0000-0000D9070000}"/>
    <cellStyle name="Outputs 5 2 3 2" xfId="13087" xr:uid="{00000000-0005-0000-0000-0000D9070000}"/>
    <cellStyle name="Outputs 5 2 3 2 2" xfId="31513" xr:uid="{00000000-0005-0000-0000-0000D9070000}"/>
    <cellStyle name="Outputs 5 2 3 2 3" xfId="49876" xr:uid="{00000000-0005-0000-0000-0000D9070000}"/>
    <cellStyle name="Outputs 5 2 3 3" xfId="17398" xr:uid="{00000000-0005-0000-0000-0000D9070000}"/>
    <cellStyle name="Outputs 5 2 3 3 2" xfId="35746" xr:uid="{00000000-0005-0000-0000-0000D9070000}"/>
    <cellStyle name="Outputs 5 2 3 3 3" xfId="54109" xr:uid="{00000000-0005-0000-0000-0000D9070000}"/>
    <cellStyle name="Outputs 5 2 3 4" xfId="26531" xr:uid="{00000000-0005-0000-0000-0000D9070000}"/>
    <cellStyle name="Outputs 5 2 3 4 2" xfId="44900" xr:uid="{00000000-0005-0000-0000-0000D9070000}"/>
    <cellStyle name="Outputs 5 2 3 5" xfId="22824" xr:uid="{00000000-0005-0000-0000-0000D9070000}"/>
    <cellStyle name="Outputs 5 2 3 6" xfId="41193" xr:uid="{00000000-0005-0000-0000-0000D9070000}"/>
    <cellStyle name="Outputs 5 2 4" xfId="10510" xr:uid="{00000000-0005-0000-0000-0000D9070000}"/>
    <cellStyle name="Outputs 5 2 4 2" xfId="14567" xr:uid="{00000000-0005-0000-0000-0000D9070000}"/>
    <cellStyle name="Outputs 5 2 4 2 2" xfId="32983" xr:uid="{00000000-0005-0000-0000-0000D9070000}"/>
    <cellStyle name="Outputs 5 2 4 2 3" xfId="51346" xr:uid="{00000000-0005-0000-0000-0000D9070000}"/>
    <cellStyle name="Outputs 5 2 4 3" xfId="29221" xr:uid="{00000000-0005-0000-0000-0000D9070000}"/>
    <cellStyle name="Outputs 5 2 4 3 2" xfId="47584" xr:uid="{00000000-0005-0000-0000-0000D9070000}"/>
    <cellStyle name="Outputs 5 2 4 4" xfId="20024" xr:uid="{00000000-0005-0000-0000-0000D9070000}"/>
    <cellStyle name="Outputs 5 2 4 5" xfId="38430" xr:uid="{00000000-0005-0000-0000-0000D9070000}"/>
    <cellStyle name="Outputs 5 2 5" xfId="9836" xr:uid="{00000000-0005-0000-0000-0000D9070000}"/>
    <cellStyle name="Outputs 5 2 5 2" xfId="28550" xr:uid="{00000000-0005-0000-0000-0000D9070000}"/>
    <cellStyle name="Outputs 5 2 5 3" xfId="46913" xr:uid="{00000000-0005-0000-0000-0000D9070000}"/>
    <cellStyle name="Outputs 5 2 6" xfId="13893" xr:uid="{00000000-0005-0000-0000-0000D9070000}"/>
    <cellStyle name="Outputs 5 2 6 2" xfId="32312" xr:uid="{00000000-0005-0000-0000-0000D9070000}"/>
    <cellStyle name="Outputs 5 2 6 3" xfId="50675" xr:uid="{00000000-0005-0000-0000-0000D9070000}"/>
    <cellStyle name="Outputs 5 2 7" xfId="23705" xr:uid="{00000000-0005-0000-0000-0000D9070000}"/>
    <cellStyle name="Outputs 5 2 7 2" xfId="42074" xr:uid="{00000000-0005-0000-0000-0000D9070000}"/>
    <cellStyle name="Outputs 5 2 8" xfId="19055" xr:uid="{00000000-0005-0000-0000-0000D9070000}"/>
    <cellStyle name="Outputs 5 2 9" xfId="37464" xr:uid="{00000000-0005-0000-0000-0000D9070000}"/>
    <cellStyle name="Outputs 5 3" xfId="5082" xr:uid="{00000000-0005-0000-0000-0000D9070000}"/>
    <cellStyle name="Outputs 5 3 2" xfId="11601" xr:uid="{00000000-0005-0000-0000-0000D9070000}"/>
    <cellStyle name="Outputs 5 3 2 2" xfId="30165" xr:uid="{00000000-0005-0000-0000-0000D9070000}"/>
    <cellStyle name="Outputs 5 3 2 3" xfId="48528" xr:uid="{00000000-0005-0000-0000-0000D9070000}"/>
    <cellStyle name="Outputs 5 3 3" xfId="15792" xr:uid="{00000000-0005-0000-0000-0000D9070000}"/>
    <cellStyle name="Outputs 5 3 3 2" xfId="34177" xr:uid="{00000000-0005-0000-0000-0000D9070000}"/>
    <cellStyle name="Outputs 5 3 3 3" xfId="52540" xr:uid="{00000000-0005-0000-0000-0000D9070000}"/>
    <cellStyle name="Outputs 5 3 4" xfId="24913" xr:uid="{00000000-0005-0000-0000-0000D9070000}"/>
    <cellStyle name="Outputs 5 3 4 2" xfId="43282" xr:uid="{00000000-0005-0000-0000-0000D9070000}"/>
    <cellStyle name="Outputs 5 3 5" xfId="21239" xr:uid="{00000000-0005-0000-0000-0000D9070000}"/>
    <cellStyle name="Outputs 5 3 6" xfId="39624" xr:uid="{00000000-0005-0000-0000-0000D9070000}"/>
    <cellStyle name="Outputs 5 4" xfId="6144" xr:uid="{00000000-0005-0000-0000-0000D9070000}"/>
    <cellStyle name="Outputs 5 4 2" xfId="12495" xr:uid="{00000000-0005-0000-0000-0000D9070000}"/>
    <cellStyle name="Outputs 5 4 2 2" xfId="30933" xr:uid="{00000000-0005-0000-0000-0000D9070000}"/>
    <cellStyle name="Outputs 5 4 2 3" xfId="49296" xr:uid="{00000000-0005-0000-0000-0000D9070000}"/>
    <cellStyle name="Outputs 5 4 3" xfId="16813" xr:uid="{00000000-0005-0000-0000-0000D9070000}"/>
    <cellStyle name="Outputs 5 4 3 2" xfId="35180" xr:uid="{00000000-0005-0000-0000-0000D9070000}"/>
    <cellStyle name="Outputs 5 4 3 3" xfId="53543" xr:uid="{00000000-0005-0000-0000-0000D9070000}"/>
    <cellStyle name="Outputs 5 4 4" xfId="25936" xr:uid="{00000000-0005-0000-0000-0000D9070000}"/>
    <cellStyle name="Outputs 5 4 4 2" xfId="44305" xr:uid="{00000000-0005-0000-0000-0000D9070000}"/>
    <cellStyle name="Outputs 5 4 5" xfId="22250" xr:uid="{00000000-0005-0000-0000-0000D9070000}"/>
    <cellStyle name="Outputs 5 4 6" xfId="40627" xr:uid="{00000000-0005-0000-0000-0000D9070000}"/>
    <cellStyle name="Outputs 5 5" xfId="9012" xr:uid="{00000000-0005-0000-0000-0000D9070000}"/>
    <cellStyle name="Outputs 5 5 2" xfId="6938" xr:uid="{00000000-0005-0000-0000-0000D9070000}"/>
    <cellStyle name="Outputs 5 5 2 2" xfId="26671" xr:uid="{00000000-0005-0000-0000-0000D9070000}"/>
    <cellStyle name="Outputs 5 5 2 3" xfId="45040" xr:uid="{00000000-0005-0000-0000-0000D9070000}"/>
    <cellStyle name="Outputs 5 5 3" xfId="27739" xr:uid="{00000000-0005-0000-0000-0000D9070000}"/>
    <cellStyle name="Outputs 5 5 3 2" xfId="46102" xr:uid="{00000000-0005-0000-0000-0000D9070000}"/>
    <cellStyle name="Outputs 5 5 4" xfId="17845" xr:uid="{00000000-0005-0000-0000-0000D9070000}"/>
    <cellStyle name="Outputs 5 5 5" xfId="36255" xr:uid="{00000000-0005-0000-0000-0000D9070000}"/>
    <cellStyle name="Outputs 5 6" xfId="8525" xr:uid="{00000000-0005-0000-0000-0000D9070000}"/>
    <cellStyle name="Outputs 5 6 2" xfId="27512" xr:uid="{00000000-0005-0000-0000-0000D9070000}"/>
    <cellStyle name="Outputs 5 6 3" xfId="45876" xr:uid="{00000000-0005-0000-0000-0000D9070000}"/>
    <cellStyle name="Outputs 5 7" xfId="8074" xr:uid="{00000000-0005-0000-0000-0000D9070000}"/>
    <cellStyle name="Outputs 5 7 2" xfId="27285" xr:uid="{00000000-0005-0000-0000-0000D9070000}"/>
    <cellStyle name="Outputs 5 7 3" xfId="45650" xr:uid="{00000000-0005-0000-0000-0000D9070000}"/>
    <cellStyle name="Outputs 5 8" xfId="17918" xr:uid="{00000000-0005-0000-0000-0000D9070000}"/>
    <cellStyle name="Outputs 5 8 2" xfId="36326" xr:uid="{00000000-0005-0000-0000-0000D9070000}"/>
    <cellStyle name="Outputs 5 9" xfId="8542" xr:uid="{00000000-0005-0000-0000-0000D9070000}"/>
    <cellStyle name="Outputs 6" xfId="2991" xr:uid="{00000000-0005-0000-0000-0000DA070000}"/>
    <cellStyle name="Outputs 6 10" xfId="36008" xr:uid="{00000000-0005-0000-0000-0000DA070000}"/>
    <cellStyle name="Outputs 6 2" xfId="3835" xr:uid="{00000000-0005-0000-0000-0000DA070000}"/>
    <cellStyle name="Outputs 6 2 2" xfId="6008" xr:uid="{00000000-0005-0000-0000-0000DA070000}"/>
    <cellStyle name="Outputs 6 2 2 2" xfId="12372" xr:uid="{00000000-0005-0000-0000-0000DA070000}"/>
    <cellStyle name="Outputs 6 2 2 2 2" xfId="30819" xr:uid="{00000000-0005-0000-0000-0000DA070000}"/>
    <cellStyle name="Outputs 6 2 2 2 3" xfId="49182" xr:uid="{00000000-0005-0000-0000-0000DA070000}"/>
    <cellStyle name="Outputs 6 2 2 3" xfId="16698" xr:uid="{00000000-0005-0000-0000-0000DA070000}"/>
    <cellStyle name="Outputs 6 2 2 3 2" xfId="35070" xr:uid="{00000000-0005-0000-0000-0000DA070000}"/>
    <cellStyle name="Outputs 6 2 2 3 3" xfId="53433" xr:uid="{00000000-0005-0000-0000-0000DA070000}"/>
    <cellStyle name="Outputs 6 2 2 4" xfId="25817" xr:uid="{00000000-0005-0000-0000-0000DA070000}"/>
    <cellStyle name="Outputs 6 2 2 4 2" xfId="44186" xr:uid="{00000000-0005-0000-0000-0000DA070000}"/>
    <cellStyle name="Outputs 6 2 2 5" xfId="22138" xr:uid="{00000000-0005-0000-0000-0000DA070000}"/>
    <cellStyle name="Outputs 6 2 2 6" xfId="40517" xr:uid="{00000000-0005-0000-0000-0000DA070000}"/>
    <cellStyle name="Outputs 6 2 3" xfId="6834" xr:uid="{00000000-0005-0000-0000-0000DA070000}"/>
    <cellStyle name="Outputs 6 2 3 2" xfId="13125" xr:uid="{00000000-0005-0000-0000-0000DA070000}"/>
    <cellStyle name="Outputs 6 2 3 2 2" xfId="31551" xr:uid="{00000000-0005-0000-0000-0000DA070000}"/>
    <cellStyle name="Outputs 6 2 3 2 3" xfId="49914" xr:uid="{00000000-0005-0000-0000-0000DA070000}"/>
    <cellStyle name="Outputs 6 2 3 3" xfId="17436" xr:uid="{00000000-0005-0000-0000-0000DA070000}"/>
    <cellStyle name="Outputs 6 2 3 3 2" xfId="35784" xr:uid="{00000000-0005-0000-0000-0000DA070000}"/>
    <cellStyle name="Outputs 6 2 3 3 3" xfId="54147" xr:uid="{00000000-0005-0000-0000-0000DA070000}"/>
    <cellStyle name="Outputs 6 2 3 4" xfId="26569" xr:uid="{00000000-0005-0000-0000-0000DA070000}"/>
    <cellStyle name="Outputs 6 2 3 4 2" xfId="44938" xr:uid="{00000000-0005-0000-0000-0000DA070000}"/>
    <cellStyle name="Outputs 6 2 3 5" xfId="22862" xr:uid="{00000000-0005-0000-0000-0000DA070000}"/>
    <cellStyle name="Outputs 6 2 3 6" xfId="41231" xr:uid="{00000000-0005-0000-0000-0000DA070000}"/>
    <cellStyle name="Outputs 6 2 4" xfId="10548" xr:uid="{00000000-0005-0000-0000-0000DA070000}"/>
    <cellStyle name="Outputs 6 2 4 2" xfId="14605" xr:uid="{00000000-0005-0000-0000-0000DA070000}"/>
    <cellStyle name="Outputs 6 2 4 2 2" xfId="33021" xr:uid="{00000000-0005-0000-0000-0000DA070000}"/>
    <cellStyle name="Outputs 6 2 4 2 3" xfId="51384" xr:uid="{00000000-0005-0000-0000-0000DA070000}"/>
    <cellStyle name="Outputs 6 2 4 3" xfId="29259" xr:uid="{00000000-0005-0000-0000-0000DA070000}"/>
    <cellStyle name="Outputs 6 2 4 3 2" xfId="47622" xr:uid="{00000000-0005-0000-0000-0000DA070000}"/>
    <cellStyle name="Outputs 6 2 4 4" xfId="20062" xr:uid="{00000000-0005-0000-0000-0000DA070000}"/>
    <cellStyle name="Outputs 6 2 4 5" xfId="38468" xr:uid="{00000000-0005-0000-0000-0000DA070000}"/>
    <cellStyle name="Outputs 6 2 5" xfId="9911" xr:uid="{00000000-0005-0000-0000-0000DA070000}"/>
    <cellStyle name="Outputs 6 2 5 2" xfId="28623" xr:uid="{00000000-0005-0000-0000-0000DA070000}"/>
    <cellStyle name="Outputs 6 2 5 3" xfId="46986" xr:uid="{00000000-0005-0000-0000-0000DA070000}"/>
    <cellStyle name="Outputs 6 2 6" xfId="13968" xr:uid="{00000000-0005-0000-0000-0000DA070000}"/>
    <cellStyle name="Outputs 6 2 6 2" xfId="32385" xr:uid="{00000000-0005-0000-0000-0000DA070000}"/>
    <cellStyle name="Outputs 6 2 6 3" xfId="50748" xr:uid="{00000000-0005-0000-0000-0000DA070000}"/>
    <cellStyle name="Outputs 6 2 7" xfId="23743" xr:uid="{00000000-0005-0000-0000-0000DA070000}"/>
    <cellStyle name="Outputs 6 2 7 2" xfId="42112" xr:uid="{00000000-0005-0000-0000-0000DA070000}"/>
    <cellStyle name="Outputs 6 2 8" xfId="19214" xr:uid="{00000000-0005-0000-0000-0000DA070000}"/>
    <cellStyle name="Outputs 6 2 9" xfId="37621" xr:uid="{00000000-0005-0000-0000-0000DA070000}"/>
    <cellStyle name="Outputs 6 3" xfId="5251" xr:uid="{00000000-0005-0000-0000-0000DA070000}"/>
    <cellStyle name="Outputs 6 3 2" xfId="11715" xr:uid="{00000000-0005-0000-0000-0000DA070000}"/>
    <cellStyle name="Outputs 6 3 2 2" xfId="30227" xr:uid="{00000000-0005-0000-0000-0000DA070000}"/>
    <cellStyle name="Outputs 6 3 2 3" xfId="48590" xr:uid="{00000000-0005-0000-0000-0000DA070000}"/>
    <cellStyle name="Outputs 6 3 3" xfId="15943" xr:uid="{00000000-0005-0000-0000-0000DA070000}"/>
    <cellStyle name="Outputs 6 3 3 2" xfId="34317" xr:uid="{00000000-0005-0000-0000-0000DA070000}"/>
    <cellStyle name="Outputs 6 3 3 3" xfId="52680" xr:uid="{00000000-0005-0000-0000-0000DA070000}"/>
    <cellStyle name="Outputs 6 3 4" xfId="25064" xr:uid="{00000000-0005-0000-0000-0000DA070000}"/>
    <cellStyle name="Outputs 6 3 4 2" xfId="43433" xr:uid="{00000000-0005-0000-0000-0000DA070000}"/>
    <cellStyle name="Outputs 6 3 5" xfId="21385" xr:uid="{00000000-0005-0000-0000-0000DA070000}"/>
    <cellStyle name="Outputs 6 3 6" xfId="39764" xr:uid="{00000000-0005-0000-0000-0000DA070000}"/>
    <cellStyle name="Outputs 6 4" xfId="6228" xr:uid="{00000000-0005-0000-0000-0000DA070000}"/>
    <cellStyle name="Outputs 6 4 2" xfId="12544" xr:uid="{00000000-0005-0000-0000-0000DA070000}"/>
    <cellStyle name="Outputs 6 4 2 2" xfId="30976" xr:uid="{00000000-0005-0000-0000-0000DA070000}"/>
    <cellStyle name="Outputs 6 4 2 3" xfId="49339" xr:uid="{00000000-0005-0000-0000-0000DA070000}"/>
    <cellStyle name="Outputs 6 4 3" xfId="16862" xr:uid="{00000000-0005-0000-0000-0000DA070000}"/>
    <cellStyle name="Outputs 6 4 3 2" xfId="35219" xr:uid="{00000000-0005-0000-0000-0000DA070000}"/>
    <cellStyle name="Outputs 6 4 3 3" xfId="53582" xr:uid="{00000000-0005-0000-0000-0000DA070000}"/>
    <cellStyle name="Outputs 6 4 4" xfId="25993" xr:uid="{00000000-0005-0000-0000-0000DA070000}"/>
    <cellStyle name="Outputs 6 4 4 2" xfId="44362" xr:uid="{00000000-0005-0000-0000-0000DA070000}"/>
    <cellStyle name="Outputs 6 4 5" xfId="22293" xr:uid="{00000000-0005-0000-0000-0000DA070000}"/>
    <cellStyle name="Outputs 6 4 6" xfId="40666" xr:uid="{00000000-0005-0000-0000-0000DA070000}"/>
    <cellStyle name="Outputs 6 5" xfId="10035" xr:uid="{00000000-0005-0000-0000-0000DA070000}"/>
    <cellStyle name="Outputs 6 5 2" xfId="14092" xr:uid="{00000000-0005-0000-0000-0000DA070000}"/>
    <cellStyle name="Outputs 6 5 2 2" xfId="32508" xr:uid="{00000000-0005-0000-0000-0000DA070000}"/>
    <cellStyle name="Outputs 6 5 2 3" xfId="50871" xr:uid="{00000000-0005-0000-0000-0000DA070000}"/>
    <cellStyle name="Outputs 6 5 3" xfId="28746" xr:uid="{00000000-0005-0000-0000-0000DA070000}"/>
    <cellStyle name="Outputs 6 5 3 2" xfId="47109" xr:uid="{00000000-0005-0000-0000-0000DA070000}"/>
    <cellStyle name="Outputs 6 5 4" xfId="19478" xr:uid="{00000000-0005-0000-0000-0000DA070000}"/>
    <cellStyle name="Outputs 6 5 5" xfId="37884" xr:uid="{00000000-0005-0000-0000-0000DA070000}"/>
    <cellStyle name="Outputs 6 6" xfId="8791" xr:uid="{00000000-0005-0000-0000-0000DA070000}"/>
    <cellStyle name="Outputs 6 6 2" xfId="27634" xr:uid="{00000000-0005-0000-0000-0000DA070000}"/>
    <cellStyle name="Outputs 6 6 3" xfId="45997" xr:uid="{00000000-0005-0000-0000-0000DA070000}"/>
    <cellStyle name="Outputs 6 7" xfId="7395" xr:uid="{00000000-0005-0000-0000-0000DA070000}"/>
    <cellStyle name="Outputs 6 7 2" xfId="26794" xr:uid="{00000000-0005-0000-0000-0000DA070000}"/>
    <cellStyle name="Outputs 6 7 3" xfId="45162" xr:uid="{00000000-0005-0000-0000-0000DA070000}"/>
    <cellStyle name="Outputs 6 8" xfId="23006" xr:uid="{00000000-0005-0000-0000-0000DA070000}"/>
    <cellStyle name="Outputs 6 8 2" xfId="41375" xr:uid="{00000000-0005-0000-0000-0000DA070000}"/>
    <cellStyle name="Outputs 6 9" xfId="17563" xr:uid="{00000000-0005-0000-0000-0000DA070000}"/>
    <cellStyle name="Outputs 7" xfId="3164" xr:uid="{00000000-0005-0000-0000-0000DB070000}"/>
    <cellStyle name="Outputs 7 2" xfId="3859" xr:uid="{00000000-0005-0000-0000-0000DB070000}"/>
    <cellStyle name="Outputs 7 2 2" xfId="6032" xr:uid="{00000000-0005-0000-0000-0000DB070000}"/>
    <cellStyle name="Outputs 7 2 2 2" xfId="12396" xr:uid="{00000000-0005-0000-0000-0000DB070000}"/>
    <cellStyle name="Outputs 7 2 2 2 2" xfId="30843" xr:uid="{00000000-0005-0000-0000-0000DB070000}"/>
    <cellStyle name="Outputs 7 2 2 2 3" xfId="49206" xr:uid="{00000000-0005-0000-0000-0000DB070000}"/>
    <cellStyle name="Outputs 7 2 2 3" xfId="16722" xr:uid="{00000000-0005-0000-0000-0000DB070000}"/>
    <cellStyle name="Outputs 7 2 2 3 2" xfId="35094" xr:uid="{00000000-0005-0000-0000-0000DB070000}"/>
    <cellStyle name="Outputs 7 2 2 3 3" xfId="53457" xr:uid="{00000000-0005-0000-0000-0000DB070000}"/>
    <cellStyle name="Outputs 7 2 2 4" xfId="25841" xr:uid="{00000000-0005-0000-0000-0000DB070000}"/>
    <cellStyle name="Outputs 7 2 2 4 2" xfId="44210" xr:uid="{00000000-0005-0000-0000-0000DB070000}"/>
    <cellStyle name="Outputs 7 2 2 5" xfId="22162" xr:uid="{00000000-0005-0000-0000-0000DB070000}"/>
    <cellStyle name="Outputs 7 2 2 6" xfId="40541" xr:uid="{00000000-0005-0000-0000-0000DB070000}"/>
    <cellStyle name="Outputs 7 2 3" xfId="6858" xr:uid="{00000000-0005-0000-0000-0000DB070000}"/>
    <cellStyle name="Outputs 7 2 3 2" xfId="13149" xr:uid="{00000000-0005-0000-0000-0000DB070000}"/>
    <cellStyle name="Outputs 7 2 3 2 2" xfId="31575" xr:uid="{00000000-0005-0000-0000-0000DB070000}"/>
    <cellStyle name="Outputs 7 2 3 2 3" xfId="49938" xr:uid="{00000000-0005-0000-0000-0000DB070000}"/>
    <cellStyle name="Outputs 7 2 3 3" xfId="17460" xr:uid="{00000000-0005-0000-0000-0000DB070000}"/>
    <cellStyle name="Outputs 7 2 3 3 2" xfId="35808" xr:uid="{00000000-0005-0000-0000-0000DB070000}"/>
    <cellStyle name="Outputs 7 2 3 3 3" xfId="54171" xr:uid="{00000000-0005-0000-0000-0000DB070000}"/>
    <cellStyle name="Outputs 7 2 3 4" xfId="26593" xr:uid="{00000000-0005-0000-0000-0000DB070000}"/>
    <cellStyle name="Outputs 7 2 3 4 2" xfId="44962" xr:uid="{00000000-0005-0000-0000-0000DB070000}"/>
    <cellStyle name="Outputs 7 2 3 5" xfId="22886" xr:uid="{00000000-0005-0000-0000-0000DB070000}"/>
    <cellStyle name="Outputs 7 2 3 6" xfId="41255" xr:uid="{00000000-0005-0000-0000-0000DB070000}"/>
    <cellStyle name="Outputs 7 2 4" xfId="10572" xr:uid="{00000000-0005-0000-0000-0000DB070000}"/>
    <cellStyle name="Outputs 7 2 4 2" xfId="14629" xr:uid="{00000000-0005-0000-0000-0000DB070000}"/>
    <cellStyle name="Outputs 7 2 4 2 2" xfId="33045" xr:uid="{00000000-0005-0000-0000-0000DB070000}"/>
    <cellStyle name="Outputs 7 2 4 2 3" xfId="51408" xr:uid="{00000000-0005-0000-0000-0000DB070000}"/>
    <cellStyle name="Outputs 7 2 4 3" xfId="29283" xr:uid="{00000000-0005-0000-0000-0000DB070000}"/>
    <cellStyle name="Outputs 7 2 4 3 2" xfId="47646" xr:uid="{00000000-0005-0000-0000-0000DB070000}"/>
    <cellStyle name="Outputs 7 2 4 4" xfId="20086" xr:uid="{00000000-0005-0000-0000-0000DB070000}"/>
    <cellStyle name="Outputs 7 2 4 5" xfId="38492" xr:uid="{00000000-0005-0000-0000-0000DB070000}"/>
    <cellStyle name="Outputs 7 2 5" xfId="9958" xr:uid="{00000000-0005-0000-0000-0000DB070000}"/>
    <cellStyle name="Outputs 7 2 5 2" xfId="28670" xr:uid="{00000000-0005-0000-0000-0000DB070000}"/>
    <cellStyle name="Outputs 7 2 5 3" xfId="47033" xr:uid="{00000000-0005-0000-0000-0000DB070000}"/>
    <cellStyle name="Outputs 7 2 6" xfId="14015" xr:uid="{00000000-0005-0000-0000-0000DB070000}"/>
    <cellStyle name="Outputs 7 2 6 2" xfId="32432" xr:uid="{00000000-0005-0000-0000-0000DB070000}"/>
    <cellStyle name="Outputs 7 2 6 3" xfId="50795" xr:uid="{00000000-0005-0000-0000-0000DB070000}"/>
    <cellStyle name="Outputs 7 2 7" xfId="23767" xr:uid="{00000000-0005-0000-0000-0000DB070000}"/>
    <cellStyle name="Outputs 7 2 7 2" xfId="42136" xr:uid="{00000000-0005-0000-0000-0000DB070000}"/>
    <cellStyle name="Outputs 7 2 8" xfId="19295" xr:uid="{00000000-0005-0000-0000-0000DB070000}"/>
    <cellStyle name="Outputs 7 2 9" xfId="37702" xr:uid="{00000000-0005-0000-0000-0000DB070000}"/>
    <cellStyle name="Outputs 7 3" xfId="5379" xr:uid="{00000000-0005-0000-0000-0000DB070000}"/>
    <cellStyle name="Outputs 7 3 2" xfId="11797" xr:uid="{00000000-0005-0000-0000-0000DB070000}"/>
    <cellStyle name="Outputs 7 3 2 2" xfId="30270" xr:uid="{00000000-0005-0000-0000-0000DB070000}"/>
    <cellStyle name="Outputs 7 3 2 3" xfId="48633" xr:uid="{00000000-0005-0000-0000-0000DB070000}"/>
    <cellStyle name="Outputs 7 3 3" xfId="16071" xr:uid="{00000000-0005-0000-0000-0000DB070000}"/>
    <cellStyle name="Outputs 7 3 3 2" xfId="34443" xr:uid="{00000000-0005-0000-0000-0000DB070000}"/>
    <cellStyle name="Outputs 7 3 3 3" xfId="52806" xr:uid="{00000000-0005-0000-0000-0000DB070000}"/>
    <cellStyle name="Outputs 7 3 4" xfId="25190" xr:uid="{00000000-0005-0000-0000-0000DB070000}"/>
    <cellStyle name="Outputs 7 3 4 2" xfId="43559" xr:uid="{00000000-0005-0000-0000-0000DB070000}"/>
    <cellStyle name="Outputs 7 3 5" xfId="21511" xr:uid="{00000000-0005-0000-0000-0000DB070000}"/>
    <cellStyle name="Outputs 7 3 6" xfId="39890" xr:uid="{00000000-0005-0000-0000-0000DB070000}"/>
    <cellStyle name="Outputs 7 4" xfId="6273" xr:uid="{00000000-0005-0000-0000-0000DB070000}"/>
    <cellStyle name="Outputs 7 4 2" xfId="12575" xr:uid="{00000000-0005-0000-0000-0000DB070000}"/>
    <cellStyle name="Outputs 7 4 2 2" xfId="31004" xr:uid="{00000000-0005-0000-0000-0000DB070000}"/>
    <cellStyle name="Outputs 7 4 2 3" xfId="49367" xr:uid="{00000000-0005-0000-0000-0000DB070000}"/>
    <cellStyle name="Outputs 7 4 3" xfId="16888" xr:uid="{00000000-0005-0000-0000-0000DB070000}"/>
    <cellStyle name="Outputs 7 4 3 2" xfId="35243" xr:uid="{00000000-0005-0000-0000-0000DB070000}"/>
    <cellStyle name="Outputs 7 4 3 3" xfId="53606" xr:uid="{00000000-0005-0000-0000-0000DB070000}"/>
    <cellStyle name="Outputs 7 4 4" xfId="26023" xr:uid="{00000000-0005-0000-0000-0000DB070000}"/>
    <cellStyle name="Outputs 7 4 4 2" xfId="44392" xr:uid="{00000000-0005-0000-0000-0000DB070000}"/>
    <cellStyle name="Outputs 7 4 5" xfId="22320" xr:uid="{00000000-0005-0000-0000-0000DB070000}"/>
    <cellStyle name="Outputs 7 4 6" xfId="40690" xr:uid="{00000000-0005-0000-0000-0000DB070000}"/>
    <cellStyle name="Outputs 7 5" xfId="8905" xr:uid="{00000000-0005-0000-0000-0000DB070000}"/>
    <cellStyle name="Outputs 7 5 2" xfId="27682" xr:uid="{00000000-0005-0000-0000-0000DB070000}"/>
    <cellStyle name="Outputs 7 5 3" xfId="46045" xr:uid="{00000000-0005-0000-0000-0000DB070000}"/>
    <cellStyle name="Outputs 7 6" xfId="11660" xr:uid="{00000000-0005-0000-0000-0000DB070000}"/>
    <cellStyle name="Outputs 7 6 2" xfId="30207" xr:uid="{00000000-0005-0000-0000-0000DB070000}"/>
    <cellStyle name="Outputs 7 6 3" xfId="48570" xr:uid="{00000000-0005-0000-0000-0000DB070000}"/>
    <cellStyle name="Outputs 7 7" xfId="23119" xr:uid="{00000000-0005-0000-0000-0000DB070000}"/>
    <cellStyle name="Outputs 7 7 2" xfId="41488" xr:uid="{00000000-0005-0000-0000-0000DB070000}"/>
    <cellStyle name="Outputs 7 8" xfId="17698" xr:uid="{00000000-0005-0000-0000-0000DB070000}"/>
    <cellStyle name="Outputs 7 9" xfId="36121" xr:uid="{00000000-0005-0000-0000-0000DB070000}"/>
    <cellStyle name="Outputs 8" xfId="3259" xr:uid="{00000000-0005-0000-0000-0000DC070000}"/>
    <cellStyle name="Outputs 8 2" xfId="3875" xr:uid="{00000000-0005-0000-0000-0000DC070000}"/>
    <cellStyle name="Outputs 8 2 2" xfId="6048" xr:uid="{00000000-0005-0000-0000-0000DC070000}"/>
    <cellStyle name="Outputs 8 2 2 2" xfId="12412" xr:uid="{00000000-0005-0000-0000-0000DC070000}"/>
    <cellStyle name="Outputs 8 2 2 2 2" xfId="30859" xr:uid="{00000000-0005-0000-0000-0000DC070000}"/>
    <cellStyle name="Outputs 8 2 2 2 3" xfId="49222" xr:uid="{00000000-0005-0000-0000-0000DC070000}"/>
    <cellStyle name="Outputs 8 2 2 3" xfId="16738" xr:uid="{00000000-0005-0000-0000-0000DC070000}"/>
    <cellStyle name="Outputs 8 2 2 3 2" xfId="35110" xr:uid="{00000000-0005-0000-0000-0000DC070000}"/>
    <cellStyle name="Outputs 8 2 2 3 3" xfId="53473" xr:uid="{00000000-0005-0000-0000-0000DC070000}"/>
    <cellStyle name="Outputs 8 2 2 4" xfId="25857" xr:uid="{00000000-0005-0000-0000-0000DC070000}"/>
    <cellStyle name="Outputs 8 2 2 4 2" xfId="44226" xr:uid="{00000000-0005-0000-0000-0000DC070000}"/>
    <cellStyle name="Outputs 8 2 2 5" xfId="22178" xr:uid="{00000000-0005-0000-0000-0000DC070000}"/>
    <cellStyle name="Outputs 8 2 2 6" xfId="40557" xr:uid="{00000000-0005-0000-0000-0000DC070000}"/>
    <cellStyle name="Outputs 8 2 3" xfId="6874" xr:uid="{00000000-0005-0000-0000-0000DC070000}"/>
    <cellStyle name="Outputs 8 2 3 2" xfId="13165" xr:uid="{00000000-0005-0000-0000-0000DC070000}"/>
    <cellStyle name="Outputs 8 2 3 2 2" xfId="31591" xr:uid="{00000000-0005-0000-0000-0000DC070000}"/>
    <cellStyle name="Outputs 8 2 3 2 3" xfId="49954" xr:uid="{00000000-0005-0000-0000-0000DC070000}"/>
    <cellStyle name="Outputs 8 2 3 3" xfId="17476" xr:uid="{00000000-0005-0000-0000-0000DC070000}"/>
    <cellStyle name="Outputs 8 2 3 3 2" xfId="35824" xr:uid="{00000000-0005-0000-0000-0000DC070000}"/>
    <cellStyle name="Outputs 8 2 3 3 3" xfId="54187" xr:uid="{00000000-0005-0000-0000-0000DC070000}"/>
    <cellStyle name="Outputs 8 2 3 4" xfId="26609" xr:uid="{00000000-0005-0000-0000-0000DC070000}"/>
    <cellStyle name="Outputs 8 2 3 4 2" xfId="44978" xr:uid="{00000000-0005-0000-0000-0000DC070000}"/>
    <cellStyle name="Outputs 8 2 3 5" xfId="22902" xr:uid="{00000000-0005-0000-0000-0000DC070000}"/>
    <cellStyle name="Outputs 8 2 3 6" xfId="41271" xr:uid="{00000000-0005-0000-0000-0000DC070000}"/>
    <cellStyle name="Outputs 8 2 4" xfId="10588" xr:uid="{00000000-0005-0000-0000-0000DC070000}"/>
    <cellStyle name="Outputs 8 2 4 2" xfId="14645" xr:uid="{00000000-0005-0000-0000-0000DC070000}"/>
    <cellStyle name="Outputs 8 2 4 2 2" xfId="33061" xr:uid="{00000000-0005-0000-0000-0000DC070000}"/>
    <cellStyle name="Outputs 8 2 4 2 3" xfId="51424" xr:uid="{00000000-0005-0000-0000-0000DC070000}"/>
    <cellStyle name="Outputs 8 2 4 3" xfId="29299" xr:uid="{00000000-0005-0000-0000-0000DC070000}"/>
    <cellStyle name="Outputs 8 2 4 3 2" xfId="47662" xr:uid="{00000000-0005-0000-0000-0000DC070000}"/>
    <cellStyle name="Outputs 8 2 4 4" xfId="20102" xr:uid="{00000000-0005-0000-0000-0000DC070000}"/>
    <cellStyle name="Outputs 8 2 4 5" xfId="38508" xr:uid="{00000000-0005-0000-0000-0000DC070000}"/>
    <cellStyle name="Outputs 8 2 5" xfId="9976" xr:uid="{00000000-0005-0000-0000-0000DC070000}"/>
    <cellStyle name="Outputs 8 2 5 2" xfId="28688" xr:uid="{00000000-0005-0000-0000-0000DC070000}"/>
    <cellStyle name="Outputs 8 2 5 3" xfId="47051" xr:uid="{00000000-0005-0000-0000-0000DC070000}"/>
    <cellStyle name="Outputs 8 2 6" xfId="14033" xr:uid="{00000000-0005-0000-0000-0000DC070000}"/>
    <cellStyle name="Outputs 8 2 6 2" xfId="32450" xr:uid="{00000000-0005-0000-0000-0000DC070000}"/>
    <cellStyle name="Outputs 8 2 6 3" xfId="50813" xr:uid="{00000000-0005-0000-0000-0000DC070000}"/>
    <cellStyle name="Outputs 8 2 7" xfId="23783" xr:uid="{00000000-0005-0000-0000-0000DC070000}"/>
    <cellStyle name="Outputs 8 2 7 2" xfId="42152" xr:uid="{00000000-0005-0000-0000-0000DC070000}"/>
    <cellStyle name="Outputs 8 2 8" xfId="19341" xr:uid="{00000000-0005-0000-0000-0000DC070000}"/>
    <cellStyle name="Outputs 8 2 9" xfId="37748" xr:uid="{00000000-0005-0000-0000-0000DC070000}"/>
    <cellStyle name="Outputs 8 3" xfId="5459" xr:uid="{00000000-0005-0000-0000-0000DC070000}"/>
    <cellStyle name="Outputs 8 3 2" xfId="11837" xr:uid="{00000000-0005-0000-0000-0000DC070000}"/>
    <cellStyle name="Outputs 8 3 2 2" xfId="30289" xr:uid="{00000000-0005-0000-0000-0000DC070000}"/>
    <cellStyle name="Outputs 8 3 2 3" xfId="48652" xr:uid="{00000000-0005-0000-0000-0000DC070000}"/>
    <cellStyle name="Outputs 8 3 3" xfId="16150" xr:uid="{00000000-0005-0000-0000-0000DC070000}"/>
    <cellStyle name="Outputs 8 3 3 2" xfId="34522" xr:uid="{00000000-0005-0000-0000-0000DC070000}"/>
    <cellStyle name="Outputs 8 3 3 3" xfId="52885" xr:uid="{00000000-0005-0000-0000-0000DC070000}"/>
    <cellStyle name="Outputs 8 3 4" xfId="25269" xr:uid="{00000000-0005-0000-0000-0000DC070000}"/>
    <cellStyle name="Outputs 8 3 4 2" xfId="43638" xr:uid="{00000000-0005-0000-0000-0000DC070000}"/>
    <cellStyle name="Outputs 8 3 5" xfId="21590" xr:uid="{00000000-0005-0000-0000-0000DC070000}"/>
    <cellStyle name="Outputs 8 3 6" xfId="39969" xr:uid="{00000000-0005-0000-0000-0000DC070000}"/>
    <cellStyle name="Outputs 8 4" xfId="6306" xr:uid="{00000000-0005-0000-0000-0000DC070000}"/>
    <cellStyle name="Outputs 8 4 2" xfId="12597" xr:uid="{00000000-0005-0000-0000-0000DC070000}"/>
    <cellStyle name="Outputs 8 4 2 2" xfId="31023" xr:uid="{00000000-0005-0000-0000-0000DC070000}"/>
    <cellStyle name="Outputs 8 4 2 3" xfId="49386" xr:uid="{00000000-0005-0000-0000-0000DC070000}"/>
    <cellStyle name="Outputs 8 4 3" xfId="16909" xr:uid="{00000000-0005-0000-0000-0000DC070000}"/>
    <cellStyle name="Outputs 8 4 3 2" xfId="35259" xr:uid="{00000000-0005-0000-0000-0000DC070000}"/>
    <cellStyle name="Outputs 8 4 3 3" xfId="53622" xr:uid="{00000000-0005-0000-0000-0000DC070000}"/>
    <cellStyle name="Outputs 8 4 4" xfId="26044" xr:uid="{00000000-0005-0000-0000-0000DC070000}"/>
    <cellStyle name="Outputs 8 4 4 2" xfId="44413" xr:uid="{00000000-0005-0000-0000-0000DC070000}"/>
    <cellStyle name="Outputs 8 4 5" xfId="22337" xr:uid="{00000000-0005-0000-0000-0000DC070000}"/>
    <cellStyle name="Outputs 8 4 6" xfId="40706" xr:uid="{00000000-0005-0000-0000-0000DC070000}"/>
    <cellStyle name="Outputs 8 5" xfId="8961" xr:uid="{00000000-0005-0000-0000-0000DC070000}"/>
    <cellStyle name="Outputs 8 5 2" xfId="27705" xr:uid="{00000000-0005-0000-0000-0000DC070000}"/>
    <cellStyle name="Outputs 8 5 3" xfId="46068" xr:uid="{00000000-0005-0000-0000-0000DC070000}"/>
    <cellStyle name="Outputs 8 6" xfId="7607" xr:uid="{00000000-0005-0000-0000-0000DC070000}"/>
    <cellStyle name="Outputs 8 6 2" xfId="26905" xr:uid="{00000000-0005-0000-0000-0000DC070000}"/>
    <cellStyle name="Outputs 8 6 3" xfId="45270" xr:uid="{00000000-0005-0000-0000-0000DC070000}"/>
    <cellStyle name="Outputs 8 7" xfId="23198" xr:uid="{00000000-0005-0000-0000-0000DC070000}"/>
    <cellStyle name="Outputs 8 7 2" xfId="41567" xr:uid="{00000000-0005-0000-0000-0000DC070000}"/>
    <cellStyle name="Outputs 8 8" xfId="17781" xr:uid="{00000000-0005-0000-0000-0000DC070000}"/>
    <cellStyle name="Outputs 8 9" xfId="36200" xr:uid="{00000000-0005-0000-0000-0000DC070000}"/>
    <cellStyle name="Outputs 9" xfId="3310" xr:uid="{00000000-0005-0000-0000-0000DD070000}"/>
    <cellStyle name="Outputs 9 2" xfId="3891" xr:uid="{00000000-0005-0000-0000-0000DD070000}"/>
    <cellStyle name="Outputs 9 2 2" xfId="6064" xr:uid="{00000000-0005-0000-0000-0000DD070000}"/>
    <cellStyle name="Outputs 9 2 2 2" xfId="12428" xr:uid="{00000000-0005-0000-0000-0000DD070000}"/>
    <cellStyle name="Outputs 9 2 2 2 2" xfId="30875" xr:uid="{00000000-0005-0000-0000-0000DD070000}"/>
    <cellStyle name="Outputs 9 2 2 2 3" xfId="49238" xr:uid="{00000000-0005-0000-0000-0000DD070000}"/>
    <cellStyle name="Outputs 9 2 2 3" xfId="16754" xr:uid="{00000000-0005-0000-0000-0000DD070000}"/>
    <cellStyle name="Outputs 9 2 2 3 2" xfId="35126" xr:uid="{00000000-0005-0000-0000-0000DD070000}"/>
    <cellStyle name="Outputs 9 2 2 3 3" xfId="53489" xr:uid="{00000000-0005-0000-0000-0000DD070000}"/>
    <cellStyle name="Outputs 9 2 2 4" xfId="25873" xr:uid="{00000000-0005-0000-0000-0000DD070000}"/>
    <cellStyle name="Outputs 9 2 2 4 2" xfId="44242" xr:uid="{00000000-0005-0000-0000-0000DD070000}"/>
    <cellStyle name="Outputs 9 2 2 5" xfId="22194" xr:uid="{00000000-0005-0000-0000-0000DD070000}"/>
    <cellStyle name="Outputs 9 2 2 6" xfId="40573" xr:uid="{00000000-0005-0000-0000-0000DD070000}"/>
    <cellStyle name="Outputs 9 2 3" xfId="6890" xr:uid="{00000000-0005-0000-0000-0000DD070000}"/>
    <cellStyle name="Outputs 9 2 3 2" xfId="13181" xr:uid="{00000000-0005-0000-0000-0000DD070000}"/>
    <cellStyle name="Outputs 9 2 3 2 2" xfId="31607" xr:uid="{00000000-0005-0000-0000-0000DD070000}"/>
    <cellStyle name="Outputs 9 2 3 2 3" xfId="49970" xr:uid="{00000000-0005-0000-0000-0000DD070000}"/>
    <cellStyle name="Outputs 9 2 3 3" xfId="17492" xr:uid="{00000000-0005-0000-0000-0000DD070000}"/>
    <cellStyle name="Outputs 9 2 3 3 2" xfId="35840" xr:uid="{00000000-0005-0000-0000-0000DD070000}"/>
    <cellStyle name="Outputs 9 2 3 3 3" xfId="54203" xr:uid="{00000000-0005-0000-0000-0000DD070000}"/>
    <cellStyle name="Outputs 9 2 3 4" xfId="26625" xr:uid="{00000000-0005-0000-0000-0000DD070000}"/>
    <cellStyle name="Outputs 9 2 3 4 2" xfId="44994" xr:uid="{00000000-0005-0000-0000-0000DD070000}"/>
    <cellStyle name="Outputs 9 2 3 5" xfId="22918" xr:uid="{00000000-0005-0000-0000-0000DD070000}"/>
    <cellStyle name="Outputs 9 2 3 6" xfId="41287" xr:uid="{00000000-0005-0000-0000-0000DD070000}"/>
    <cellStyle name="Outputs 9 2 4" xfId="10604" xr:uid="{00000000-0005-0000-0000-0000DD070000}"/>
    <cellStyle name="Outputs 9 2 4 2" xfId="14661" xr:uid="{00000000-0005-0000-0000-0000DD070000}"/>
    <cellStyle name="Outputs 9 2 4 2 2" xfId="33077" xr:uid="{00000000-0005-0000-0000-0000DD070000}"/>
    <cellStyle name="Outputs 9 2 4 2 3" xfId="51440" xr:uid="{00000000-0005-0000-0000-0000DD070000}"/>
    <cellStyle name="Outputs 9 2 4 3" xfId="29315" xr:uid="{00000000-0005-0000-0000-0000DD070000}"/>
    <cellStyle name="Outputs 9 2 4 3 2" xfId="47678" xr:uid="{00000000-0005-0000-0000-0000DD070000}"/>
    <cellStyle name="Outputs 9 2 4 4" xfId="20118" xr:uid="{00000000-0005-0000-0000-0000DD070000}"/>
    <cellStyle name="Outputs 9 2 4 5" xfId="38524" xr:uid="{00000000-0005-0000-0000-0000DD070000}"/>
    <cellStyle name="Outputs 9 2 5" xfId="9998" xr:uid="{00000000-0005-0000-0000-0000DD070000}"/>
    <cellStyle name="Outputs 9 2 5 2" xfId="28710" xr:uid="{00000000-0005-0000-0000-0000DD070000}"/>
    <cellStyle name="Outputs 9 2 5 3" xfId="47073" xr:uid="{00000000-0005-0000-0000-0000DD070000}"/>
    <cellStyle name="Outputs 9 2 6" xfId="14055" xr:uid="{00000000-0005-0000-0000-0000DD070000}"/>
    <cellStyle name="Outputs 9 2 6 2" xfId="32472" xr:uid="{00000000-0005-0000-0000-0000DD070000}"/>
    <cellStyle name="Outputs 9 2 6 3" xfId="50835" xr:uid="{00000000-0005-0000-0000-0000DD070000}"/>
    <cellStyle name="Outputs 9 2 7" xfId="23799" xr:uid="{00000000-0005-0000-0000-0000DD070000}"/>
    <cellStyle name="Outputs 9 2 7 2" xfId="42168" xr:uid="{00000000-0005-0000-0000-0000DD070000}"/>
    <cellStyle name="Outputs 9 2 8" xfId="19367" xr:uid="{00000000-0005-0000-0000-0000DD070000}"/>
    <cellStyle name="Outputs 9 2 9" xfId="37774" xr:uid="{00000000-0005-0000-0000-0000DD070000}"/>
    <cellStyle name="Outputs 9 3" xfId="5495" xr:uid="{00000000-0005-0000-0000-0000DD070000}"/>
    <cellStyle name="Outputs 9 3 2" xfId="11861" xr:uid="{00000000-0005-0000-0000-0000DD070000}"/>
    <cellStyle name="Outputs 9 3 2 2" xfId="30308" xr:uid="{00000000-0005-0000-0000-0000DD070000}"/>
    <cellStyle name="Outputs 9 3 2 3" xfId="48671" xr:uid="{00000000-0005-0000-0000-0000DD070000}"/>
    <cellStyle name="Outputs 9 3 3" xfId="16186" xr:uid="{00000000-0005-0000-0000-0000DD070000}"/>
    <cellStyle name="Outputs 9 3 3 2" xfId="34558" xr:uid="{00000000-0005-0000-0000-0000DD070000}"/>
    <cellStyle name="Outputs 9 3 3 3" xfId="52921" xr:uid="{00000000-0005-0000-0000-0000DD070000}"/>
    <cellStyle name="Outputs 9 3 4" xfId="25305" xr:uid="{00000000-0005-0000-0000-0000DD070000}"/>
    <cellStyle name="Outputs 9 3 4 2" xfId="43674" xr:uid="{00000000-0005-0000-0000-0000DD070000}"/>
    <cellStyle name="Outputs 9 3 5" xfId="21626" xr:uid="{00000000-0005-0000-0000-0000DD070000}"/>
    <cellStyle name="Outputs 9 3 6" xfId="40005" xr:uid="{00000000-0005-0000-0000-0000DD070000}"/>
    <cellStyle name="Outputs 9 4" xfId="6324" xr:uid="{00000000-0005-0000-0000-0000DD070000}"/>
    <cellStyle name="Outputs 9 4 2" xfId="12615" xr:uid="{00000000-0005-0000-0000-0000DD070000}"/>
    <cellStyle name="Outputs 9 4 2 2" xfId="31041" xr:uid="{00000000-0005-0000-0000-0000DD070000}"/>
    <cellStyle name="Outputs 9 4 2 3" xfId="49404" xr:uid="{00000000-0005-0000-0000-0000DD070000}"/>
    <cellStyle name="Outputs 9 4 3" xfId="16926" xr:uid="{00000000-0005-0000-0000-0000DD070000}"/>
    <cellStyle name="Outputs 9 4 3 2" xfId="35275" xr:uid="{00000000-0005-0000-0000-0000DD070000}"/>
    <cellStyle name="Outputs 9 4 3 3" xfId="53638" xr:uid="{00000000-0005-0000-0000-0000DD070000}"/>
    <cellStyle name="Outputs 9 4 4" xfId="26060" xr:uid="{00000000-0005-0000-0000-0000DD070000}"/>
    <cellStyle name="Outputs 9 4 4 2" xfId="44429" xr:uid="{00000000-0005-0000-0000-0000DD070000}"/>
    <cellStyle name="Outputs 9 4 5" xfId="22353" xr:uid="{00000000-0005-0000-0000-0000DD070000}"/>
    <cellStyle name="Outputs 9 4 6" xfId="40722" xr:uid="{00000000-0005-0000-0000-0000DD070000}"/>
    <cellStyle name="Outputs 9 5" xfId="8996" xr:uid="{00000000-0005-0000-0000-0000DD070000}"/>
    <cellStyle name="Outputs 9 5 2" xfId="27724" xr:uid="{00000000-0005-0000-0000-0000DD070000}"/>
    <cellStyle name="Outputs 9 5 3" xfId="46087" xr:uid="{00000000-0005-0000-0000-0000DD070000}"/>
    <cellStyle name="Outputs 9 6" xfId="6947" xr:uid="{00000000-0005-0000-0000-0000DD070000}"/>
    <cellStyle name="Outputs 9 6 2" xfId="26679" xr:uid="{00000000-0005-0000-0000-0000DD070000}"/>
    <cellStyle name="Outputs 9 6 3" xfId="45048" xr:uid="{00000000-0005-0000-0000-0000DD070000}"/>
    <cellStyle name="Outputs 9 7" xfId="23232" xr:uid="{00000000-0005-0000-0000-0000DD070000}"/>
    <cellStyle name="Outputs 9 7 2" xfId="41601" xr:uid="{00000000-0005-0000-0000-0000DD070000}"/>
    <cellStyle name="Outputs 9 8" xfId="17821" xr:uid="{00000000-0005-0000-0000-0000DD070000}"/>
    <cellStyle name="Outputs 9 9" xfId="36234" xr:uid="{00000000-0005-0000-0000-0000DD070000}"/>
    <cellStyle name="P" xfId="651" xr:uid="{00000000-0005-0000-0000-0000DE070000}"/>
    <cellStyle name="Page Heading" xfId="652" xr:uid="{00000000-0005-0000-0000-0000DF070000}"/>
    <cellStyle name="Page Heading 2" xfId="2148" xr:uid="{00000000-0005-0000-0000-0000E0070000}"/>
    <cellStyle name="Page Heading 3" xfId="2597" xr:uid="{00000000-0005-0000-0000-0000E1070000}"/>
    <cellStyle name="Page Heading Large" xfId="653" xr:uid="{00000000-0005-0000-0000-0000E2070000}"/>
    <cellStyle name="Page Heading Large 2" xfId="2149" xr:uid="{00000000-0005-0000-0000-0000E3070000}"/>
    <cellStyle name="Page Heading Large 3" xfId="2598" xr:uid="{00000000-0005-0000-0000-0000E4070000}"/>
    <cellStyle name="Page Heading Small" xfId="654" xr:uid="{00000000-0005-0000-0000-0000E5070000}"/>
    <cellStyle name="Page Heading Small 2" xfId="2150" xr:uid="{00000000-0005-0000-0000-0000E6070000}"/>
    <cellStyle name="Page Heading Small 3" xfId="2599" xr:uid="{00000000-0005-0000-0000-0000E7070000}"/>
    <cellStyle name="Page Heading_Kan Loral model" xfId="655" xr:uid="{00000000-0005-0000-0000-0000E8070000}"/>
    <cellStyle name="Page Number" xfId="656" xr:uid="{00000000-0005-0000-0000-0000E9070000}"/>
    <cellStyle name="Pass" xfId="657" xr:uid="{00000000-0005-0000-0000-0000EA070000}"/>
    <cellStyle name="Pass 2" xfId="2151" xr:uid="{00000000-0005-0000-0000-0000EB070000}"/>
    <cellStyle name="Pass 3" xfId="2600" xr:uid="{00000000-0005-0000-0000-0000EC070000}"/>
    <cellStyle name="PB Table Heading" xfId="658" xr:uid="{00000000-0005-0000-0000-0000ED070000}"/>
    <cellStyle name="PB Table Heading 2" xfId="2152" xr:uid="{00000000-0005-0000-0000-0000EE070000}"/>
    <cellStyle name="PB Table Heading 3" xfId="2601" xr:uid="{00000000-0005-0000-0000-0000EF070000}"/>
    <cellStyle name="PB Table Highlight2" xfId="659" xr:uid="{00000000-0005-0000-0000-0000F0070000}"/>
    <cellStyle name="PB Table Highlight2 2" xfId="982" xr:uid="{00000000-0005-0000-0000-0000F1070000}"/>
    <cellStyle name="PB Table Highlight2 3" xfId="1603" xr:uid="{00000000-0005-0000-0000-0000F2070000}"/>
    <cellStyle name="PB Table Highlight2 4" xfId="2153" xr:uid="{00000000-0005-0000-0000-0000F3070000}"/>
    <cellStyle name="PB Table Highlight2 5" xfId="2602" xr:uid="{00000000-0005-0000-0000-0000F4070000}"/>
    <cellStyle name="PB Table Highlight2 6" xfId="3334" xr:uid="{00000000-0005-0000-0000-0000F0070000}"/>
    <cellStyle name="PB Table Standard Row" xfId="660" xr:uid="{00000000-0005-0000-0000-0000F5070000}"/>
    <cellStyle name="PB Table Standard Row 2" xfId="1066" xr:uid="{00000000-0005-0000-0000-0000F6070000}"/>
    <cellStyle name="PB Table Standard Row 2 2" xfId="1349" xr:uid="{00000000-0005-0000-0000-0000F7070000}"/>
    <cellStyle name="PB Table Standard Row 2 2 2" xfId="3396" xr:uid="{00000000-0005-0000-0000-0000F7070000}"/>
    <cellStyle name="PB Table Standard Row 2 2 2 2" xfId="5571" xr:uid="{00000000-0005-0000-0000-0000F7070000}"/>
    <cellStyle name="PB Table Standard Row 2 2 2 2 2" xfId="11935" xr:uid="{00000000-0005-0000-0000-0000F7070000}"/>
    <cellStyle name="PB Table Standard Row 2 2 2 2 2 2" xfId="30382" xr:uid="{00000000-0005-0000-0000-0000F7070000}"/>
    <cellStyle name="PB Table Standard Row 2 2 2 2 2 3" xfId="48745" xr:uid="{00000000-0005-0000-0000-0000F7070000}"/>
    <cellStyle name="PB Table Standard Row 2 2 2 2 3" xfId="16261" xr:uid="{00000000-0005-0000-0000-0000F7070000}"/>
    <cellStyle name="PB Table Standard Row 2 2 2 2 3 2" xfId="34633" xr:uid="{00000000-0005-0000-0000-0000F7070000}"/>
    <cellStyle name="PB Table Standard Row 2 2 2 2 3 3" xfId="52996" xr:uid="{00000000-0005-0000-0000-0000F7070000}"/>
    <cellStyle name="PB Table Standard Row 2 2 2 2 4" xfId="25380" xr:uid="{00000000-0005-0000-0000-0000F7070000}"/>
    <cellStyle name="PB Table Standard Row 2 2 2 2 4 2" xfId="43749" xr:uid="{00000000-0005-0000-0000-0000F7070000}"/>
    <cellStyle name="PB Table Standard Row 2 2 2 2 5" xfId="21701" xr:uid="{00000000-0005-0000-0000-0000F7070000}"/>
    <cellStyle name="PB Table Standard Row 2 2 2 2 6" xfId="40080" xr:uid="{00000000-0005-0000-0000-0000F7070000}"/>
    <cellStyle name="PB Table Standard Row 2 2 2 3" xfId="6395" xr:uid="{00000000-0005-0000-0000-0000F7070000}"/>
    <cellStyle name="PB Table Standard Row 2 2 2 3 2" xfId="12686" xr:uid="{00000000-0005-0000-0000-0000F7070000}"/>
    <cellStyle name="PB Table Standard Row 2 2 2 3 2 2" xfId="31112" xr:uid="{00000000-0005-0000-0000-0000F7070000}"/>
    <cellStyle name="PB Table Standard Row 2 2 2 3 2 3" xfId="49475" xr:uid="{00000000-0005-0000-0000-0000F7070000}"/>
    <cellStyle name="PB Table Standard Row 2 2 2 3 3" xfId="16997" xr:uid="{00000000-0005-0000-0000-0000F7070000}"/>
    <cellStyle name="PB Table Standard Row 2 2 2 3 3 2" xfId="35345" xr:uid="{00000000-0005-0000-0000-0000F7070000}"/>
    <cellStyle name="PB Table Standard Row 2 2 2 3 3 3" xfId="53708" xr:uid="{00000000-0005-0000-0000-0000F7070000}"/>
    <cellStyle name="PB Table Standard Row 2 2 2 3 4" xfId="26130" xr:uid="{00000000-0005-0000-0000-0000F7070000}"/>
    <cellStyle name="PB Table Standard Row 2 2 2 3 4 2" xfId="44499" xr:uid="{00000000-0005-0000-0000-0000F7070000}"/>
    <cellStyle name="PB Table Standard Row 2 2 2 3 5" xfId="22423" xr:uid="{00000000-0005-0000-0000-0000F7070000}"/>
    <cellStyle name="PB Table Standard Row 2 2 2 3 6" xfId="40792" xr:uid="{00000000-0005-0000-0000-0000F7070000}"/>
    <cellStyle name="PB Table Standard Row 2 2 2 4" xfId="10109" xr:uid="{00000000-0005-0000-0000-0000F7070000}"/>
    <cellStyle name="PB Table Standard Row 2 2 2 4 2" xfId="14166" xr:uid="{00000000-0005-0000-0000-0000F7070000}"/>
    <cellStyle name="PB Table Standard Row 2 2 2 4 2 2" xfId="32582" xr:uid="{00000000-0005-0000-0000-0000F7070000}"/>
    <cellStyle name="PB Table Standard Row 2 2 2 4 2 3" xfId="50945" xr:uid="{00000000-0005-0000-0000-0000F7070000}"/>
    <cellStyle name="PB Table Standard Row 2 2 2 4 3" xfId="28820" xr:uid="{00000000-0005-0000-0000-0000F7070000}"/>
    <cellStyle name="PB Table Standard Row 2 2 2 4 3 2" xfId="47183" xr:uid="{00000000-0005-0000-0000-0000F7070000}"/>
    <cellStyle name="PB Table Standard Row 2 2 2 4 4" xfId="19623" xr:uid="{00000000-0005-0000-0000-0000F7070000}"/>
    <cellStyle name="PB Table Standard Row 2 2 2 4 5" xfId="38029" xr:uid="{00000000-0005-0000-0000-0000F7070000}"/>
    <cellStyle name="PB Table Standard Row 2 2 2 5" xfId="9296" xr:uid="{00000000-0005-0000-0000-0000F7070000}"/>
    <cellStyle name="PB Table Standard Row 2 2 2 5 2" xfId="28015" xr:uid="{00000000-0005-0000-0000-0000F7070000}"/>
    <cellStyle name="PB Table Standard Row 2 2 2 5 3" xfId="46378" xr:uid="{00000000-0005-0000-0000-0000F7070000}"/>
    <cellStyle name="PB Table Standard Row 2 2 2 6" xfId="13352" xr:uid="{00000000-0005-0000-0000-0000F7070000}"/>
    <cellStyle name="PB Table Standard Row 2 2 2 6 2" xfId="31773" xr:uid="{00000000-0005-0000-0000-0000F7070000}"/>
    <cellStyle name="PB Table Standard Row 2 2 2 6 3" xfId="50136" xr:uid="{00000000-0005-0000-0000-0000F7070000}"/>
    <cellStyle name="PB Table Standard Row 2 2 2 7" xfId="23304" xr:uid="{00000000-0005-0000-0000-0000F7070000}"/>
    <cellStyle name="PB Table Standard Row 2 2 2 7 2" xfId="41673" xr:uid="{00000000-0005-0000-0000-0000F7070000}"/>
    <cellStyle name="PB Table Standard Row 2 2 2 8" xfId="18370" xr:uid="{00000000-0005-0000-0000-0000F7070000}"/>
    <cellStyle name="PB Table Standard Row 2 2 2 9" xfId="36776" xr:uid="{00000000-0005-0000-0000-0000F7070000}"/>
    <cellStyle name="PB Table Standard Row 2 2 3" xfId="4385" xr:uid="{00000000-0005-0000-0000-0000F7070000}"/>
    <cellStyle name="PB Table Standard Row 2 2 3 2" xfId="10985" xr:uid="{00000000-0005-0000-0000-0000F7070000}"/>
    <cellStyle name="PB Table Standard Row 2 2 3 2 2" xfId="29607" xr:uid="{00000000-0005-0000-0000-0000F7070000}"/>
    <cellStyle name="PB Table Standard Row 2 2 3 2 3" xfId="47970" xr:uid="{00000000-0005-0000-0000-0000F7070000}"/>
    <cellStyle name="PB Table Standard Row 2 2 3 3" xfId="15121" xr:uid="{00000000-0005-0000-0000-0000F7070000}"/>
    <cellStyle name="PB Table Standard Row 2 2 3 3 2" xfId="33518" xr:uid="{00000000-0005-0000-0000-0000F7070000}"/>
    <cellStyle name="PB Table Standard Row 2 2 3 3 3" xfId="51881" xr:uid="{00000000-0005-0000-0000-0000F7070000}"/>
    <cellStyle name="PB Table Standard Row 2 2 3 4" xfId="24249" xr:uid="{00000000-0005-0000-0000-0000F7070000}"/>
    <cellStyle name="PB Table Standard Row 2 2 3 4 2" xfId="42618" xr:uid="{00000000-0005-0000-0000-0000F7070000}"/>
    <cellStyle name="PB Table Standard Row 2 2 3 5" xfId="20572" xr:uid="{00000000-0005-0000-0000-0000F7070000}"/>
    <cellStyle name="PB Table Standard Row 2 2 3 6" xfId="38965" xr:uid="{00000000-0005-0000-0000-0000F7070000}"/>
    <cellStyle name="PB Table Standard Row 2 2 4" xfId="4058" xr:uid="{00000000-0005-0000-0000-0000F7070000}"/>
    <cellStyle name="PB Table Standard Row 2 2 4 2" xfId="10759" xr:uid="{00000000-0005-0000-0000-0000F7070000}"/>
    <cellStyle name="PB Table Standard Row 2 2 4 2 2" xfId="29462" xr:uid="{00000000-0005-0000-0000-0000F7070000}"/>
    <cellStyle name="PB Table Standard Row 2 2 4 2 3" xfId="47825" xr:uid="{00000000-0005-0000-0000-0000F7070000}"/>
    <cellStyle name="PB Table Standard Row 2 2 4 3" xfId="14819" xr:uid="{00000000-0005-0000-0000-0000F7070000}"/>
    <cellStyle name="PB Table Standard Row 2 2 4 3 2" xfId="33231" xr:uid="{00000000-0005-0000-0000-0000F7070000}"/>
    <cellStyle name="PB Table Standard Row 2 2 4 3 3" xfId="51594" xr:uid="{00000000-0005-0000-0000-0000F7070000}"/>
    <cellStyle name="PB Table Standard Row 2 2 4 4" xfId="23955" xr:uid="{00000000-0005-0000-0000-0000F7070000}"/>
    <cellStyle name="PB Table Standard Row 2 2 4 4 2" xfId="42324" xr:uid="{00000000-0005-0000-0000-0000F7070000}"/>
    <cellStyle name="PB Table Standard Row 2 2 4 5" xfId="20275" xr:uid="{00000000-0005-0000-0000-0000F7070000}"/>
    <cellStyle name="PB Table Standard Row 2 2 4 6" xfId="38678" xr:uid="{00000000-0005-0000-0000-0000F7070000}"/>
    <cellStyle name="PB Table Standard Row 2 2 5" xfId="9881" xr:uid="{00000000-0005-0000-0000-0000F7070000}"/>
    <cellStyle name="PB Table Standard Row 2 2 5 2" xfId="13939" xr:uid="{00000000-0005-0000-0000-0000F7070000}"/>
    <cellStyle name="PB Table Standard Row 2 2 5 2 2" xfId="32357" xr:uid="{00000000-0005-0000-0000-0000F7070000}"/>
    <cellStyle name="PB Table Standard Row 2 2 5 2 3" xfId="50720" xr:uid="{00000000-0005-0000-0000-0000F7070000}"/>
    <cellStyle name="PB Table Standard Row 2 2 5 3" xfId="28595" xr:uid="{00000000-0005-0000-0000-0000F7070000}"/>
    <cellStyle name="PB Table Standard Row 2 2 5 3 2" xfId="46958" xr:uid="{00000000-0005-0000-0000-0000F7070000}"/>
    <cellStyle name="PB Table Standard Row 2 2 5 4" xfId="19143" xr:uid="{00000000-0005-0000-0000-0000F7070000}"/>
    <cellStyle name="PB Table Standard Row 2 2 5 5" xfId="37551" xr:uid="{00000000-0005-0000-0000-0000F7070000}"/>
    <cellStyle name="PB Table Standard Row 2 2 6" xfId="7646" xr:uid="{00000000-0005-0000-0000-0000F7070000}"/>
    <cellStyle name="PB Table Standard Row 2 2 6 2" xfId="26933" xr:uid="{00000000-0005-0000-0000-0000F7070000}"/>
    <cellStyle name="PB Table Standard Row 2 2 6 3" xfId="45298" xr:uid="{00000000-0005-0000-0000-0000F7070000}"/>
    <cellStyle name="PB Table Standard Row 2 2 7" xfId="7224" xr:uid="{00000000-0005-0000-0000-0000F7070000}"/>
    <cellStyle name="PB Table Standard Row 2 2 7 2" xfId="26767" xr:uid="{00000000-0005-0000-0000-0000F7070000}"/>
    <cellStyle name="PB Table Standard Row 2 2 7 3" xfId="45135" xr:uid="{00000000-0005-0000-0000-0000F7070000}"/>
    <cellStyle name="PB Table Standard Row 2 2 8" xfId="11139" xr:uid="{00000000-0005-0000-0000-0000F7070000}"/>
    <cellStyle name="PB Table Standard Row 2 2 9" xfId="7550" xr:uid="{00000000-0005-0000-0000-0000F7070000}"/>
    <cellStyle name="PB Table Standard Row 2 3" xfId="1671" xr:uid="{00000000-0005-0000-0000-0000F8070000}"/>
    <cellStyle name="PB Table Standard Row 2 3 2" xfId="3569" xr:uid="{00000000-0005-0000-0000-0000F8070000}"/>
    <cellStyle name="PB Table Standard Row 2 3 2 2" xfId="5742" xr:uid="{00000000-0005-0000-0000-0000F8070000}"/>
    <cellStyle name="PB Table Standard Row 2 3 2 2 2" xfId="12106" xr:uid="{00000000-0005-0000-0000-0000F8070000}"/>
    <cellStyle name="PB Table Standard Row 2 3 2 2 2 2" xfId="30553" xr:uid="{00000000-0005-0000-0000-0000F8070000}"/>
    <cellStyle name="PB Table Standard Row 2 3 2 2 2 3" xfId="48916" xr:uid="{00000000-0005-0000-0000-0000F8070000}"/>
    <cellStyle name="PB Table Standard Row 2 3 2 2 3" xfId="16432" xr:uid="{00000000-0005-0000-0000-0000F8070000}"/>
    <cellStyle name="PB Table Standard Row 2 3 2 2 3 2" xfId="34804" xr:uid="{00000000-0005-0000-0000-0000F8070000}"/>
    <cellStyle name="PB Table Standard Row 2 3 2 2 3 3" xfId="53167" xr:uid="{00000000-0005-0000-0000-0000F8070000}"/>
    <cellStyle name="PB Table Standard Row 2 3 2 2 4" xfId="25551" xr:uid="{00000000-0005-0000-0000-0000F8070000}"/>
    <cellStyle name="PB Table Standard Row 2 3 2 2 4 2" xfId="43920" xr:uid="{00000000-0005-0000-0000-0000F8070000}"/>
    <cellStyle name="PB Table Standard Row 2 3 2 2 5" xfId="21872" xr:uid="{00000000-0005-0000-0000-0000F8070000}"/>
    <cellStyle name="PB Table Standard Row 2 3 2 2 6" xfId="40251" xr:uid="{00000000-0005-0000-0000-0000F8070000}"/>
    <cellStyle name="PB Table Standard Row 2 3 2 3" xfId="6568" xr:uid="{00000000-0005-0000-0000-0000F8070000}"/>
    <cellStyle name="PB Table Standard Row 2 3 2 3 2" xfId="12859" xr:uid="{00000000-0005-0000-0000-0000F8070000}"/>
    <cellStyle name="PB Table Standard Row 2 3 2 3 2 2" xfId="31285" xr:uid="{00000000-0005-0000-0000-0000F8070000}"/>
    <cellStyle name="PB Table Standard Row 2 3 2 3 2 3" xfId="49648" xr:uid="{00000000-0005-0000-0000-0000F8070000}"/>
    <cellStyle name="PB Table Standard Row 2 3 2 3 3" xfId="17170" xr:uid="{00000000-0005-0000-0000-0000F8070000}"/>
    <cellStyle name="PB Table Standard Row 2 3 2 3 3 2" xfId="35518" xr:uid="{00000000-0005-0000-0000-0000F8070000}"/>
    <cellStyle name="PB Table Standard Row 2 3 2 3 3 3" xfId="53881" xr:uid="{00000000-0005-0000-0000-0000F8070000}"/>
    <cellStyle name="PB Table Standard Row 2 3 2 3 4" xfId="26303" xr:uid="{00000000-0005-0000-0000-0000F8070000}"/>
    <cellStyle name="PB Table Standard Row 2 3 2 3 4 2" xfId="44672" xr:uid="{00000000-0005-0000-0000-0000F8070000}"/>
    <cellStyle name="PB Table Standard Row 2 3 2 3 5" xfId="22596" xr:uid="{00000000-0005-0000-0000-0000F8070000}"/>
    <cellStyle name="PB Table Standard Row 2 3 2 3 6" xfId="40965" xr:uid="{00000000-0005-0000-0000-0000F8070000}"/>
    <cellStyle name="PB Table Standard Row 2 3 2 4" xfId="10282" xr:uid="{00000000-0005-0000-0000-0000F8070000}"/>
    <cellStyle name="PB Table Standard Row 2 3 2 4 2" xfId="14339" xr:uid="{00000000-0005-0000-0000-0000F8070000}"/>
    <cellStyle name="PB Table Standard Row 2 3 2 4 2 2" xfId="32755" xr:uid="{00000000-0005-0000-0000-0000F8070000}"/>
    <cellStyle name="PB Table Standard Row 2 3 2 4 2 3" xfId="51118" xr:uid="{00000000-0005-0000-0000-0000F8070000}"/>
    <cellStyle name="PB Table Standard Row 2 3 2 4 3" xfId="28993" xr:uid="{00000000-0005-0000-0000-0000F8070000}"/>
    <cellStyle name="PB Table Standard Row 2 3 2 4 3 2" xfId="47356" xr:uid="{00000000-0005-0000-0000-0000F8070000}"/>
    <cellStyle name="PB Table Standard Row 2 3 2 4 4" xfId="19796" xr:uid="{00000000-0005-0000-0000-0000F8070000}"/>
    <cellStyle name="PB Table Standard Row 2 3 2 4 5" xfId="38202" xr:uid="{00000000-0005-0000-0000-0000F8070000}"/>
    <cellStyle name="PB Table Standard Row 2 3 2 5" xfId="9490" xr:uid="{00000000-0005-0000-0000-0000F8070000}"/>
    <cellStyle name="PB Table Standard Row 2 3 2 5 2" xfId="28207" xr:uid="{00000000-0005-0000-0000-0000F8070000}"/>
    <cellStyle name="PB Table Standard Row 2 3 2 5 3" xfId="46570" xr:uid="{00000000-0005-0000-0000-0000F8070000}"/>
    <cellStyle name="PB Table Standard Row 2 3 2 6" xfId="13548" xr:uid="{00000000-0005-0000-0000-0000F8070000}"/>
    <cellStyle name="PB Table Standard Row 2 3 2 6 2" xfId="31969" xr:uid="{00000000-0005-0000-0000-0000F8070000}"/>
    <cellStyle name="PB Table Standard Row 2 3 2 6 3" xfId="50332" xr:uid="{00000000-0005-0000-0000-0000F8070000}"/>
    <cellStyle name="PB Table Standard Row 2 3 2 7" xfId="23477" xr:uid="{00000000-0005-0000-0000-0000F8070000}"/>
    <cellStyle name="PB Table Standard Row 2 3 2 7 2" xfId="41846" xr:uid="{00000000-0005-0000-0000-0000F8070000}"/>
    <cellStyle name="PB Table Standard Row 2 3 2 8" xfId="18588" xr:uid="{00000000-0005-0000-0000-0000F8070000}"/>
    <cellStyle name="PB Table Standard Row 2 3 2 9" xfId="36998" xr:uid="{00000000-0005-0000-0000-0000F8070000}"/>
    <cellStyle name="PB Table Standard Row 2 3 3" xfId="5364" xr:uid="{00000000-0005-0000-0000-0000F8070000}"/>
    <cellStyle name="PB Table Standard Row 2 3 3 2" xfId="11787" xr:uid="{00000000-0005-0000-0000-0000F8070000}"/>
    <cellStyle name="PB Table Standard Row 2 3 3 2 2" xfId="30264" xr:uid="{00000000-0005-0000-0000-0000F8070000}"/>
    <cellStyle name="PB Table Standard Row 2 3 3 2 3" xfId="48627" xr:uid="{00000000-0005-0000-0000-0000F8070000}"/>
    <cellStyle name="PB Table Standard Row 2 3 3 3" xfId="16056" xr:uid="{00000000-0005-0000-0000-0000F8070000}"/>
    <cellStyle name="PB Table Standard Row 2 3 3 3 2" xfId="34430" xr:uid="{00000000-0005-0000-0000-0000F8070000}"/>
    <cellStyle name="PB Table Standard Row 2 3 3 3 3" xfId="52793" xr:uid="{00000000-0005-0000-0000-0000F8070000}"/>
    <cellStyle name="PB Table Standard Row 2 3 3 4" xfId="25177" xr:uid="{00000000-0005-0000-0000-0000F8070000}"/>
    <cellStyle name="PB Table Standard Row 2 3 3 4 2" xfId="43546" xr:uid="{00000000-0005-0000-0000-0000F8070000}"/>
    <cellStyle name="PB Table Standard Row 2 3 3 5" xfId="21498" xr:uid="{00000000-0005-0000-0000-0000F8070000}"/>
    <cellStyle name="PB Table Standard Row 2 3 3 6" xfId="39877" xr:uid="{00000000-0005-0000-0000-0000F8070000}"/>
    <cellStyle name="PB Table Standard Row 2 3 4" xfId="9461" xr:uid="{00000000-0005-0000-0000-0000F8070000}"/>
    <cellStyle name="PB Table Standard Row 2 3 4 2" xfId="13518" xr:uid="{00000000-0005-0000-0000-0000F8070000}"/>
    <cellStyle name="PB Table Standard Row 2 3 4 2 2" xfId="31939" xr:uid="{00000000-0005-0000-0000-0000F8070000}"/>
    <cellStyle name="PB Table Standard Row 2 3 4 2 3" xfId="50302" xr:uid="{00000000-0005-0000-0000-0000F8070000}"/>
    <cellStyle name="PB Table Standard Row 2 3 4 3" xfId="28178" xr:uid="{00000000-0005-0000-0000-0000F8070000}"/>
    <cellStyle name="PB Table Standard Row 2 3 4 3 2" xfId="46541" xr:uid="{00000000-0005-0000-0000-0000F8070000}"/>
    <cellStyle name="PB Table Standard Row 2 3 4 4" xfId="18556" xr:uid="{00000000-0005-0000-0000-0000F8070000}"/>
    <cellStyle name="PB Table Standard Row 2 3 4 5" xfId="36965" xr:uid="{00000000-0005-0000-0000-0000F8070000}"/>
    <cellStyle name="PB Table Standard Row 2 3 5" xfId="8898" xr:uid="{00000000-0005-0000-0000-0000F8070000}"/>
    <cellStyle name="PB Table Standard Row 2 3 5 2" xfId="27677" xr:uid="{00000000-0005-0000-0000-0000F8070000}"/>
    <cellStyle name="PB Table Standard Row 2 3 5 3" xfId="46040" xr:uid="{00000000-0005-0000-0000-0000F8070000}"/>
    <cellStyle name="PB Table Standard Row 2 3 6" xfId="19543" xr:uid="{00000000-0005-0000-0000-0000F8070000}"/>
    <cellStyle name="PB Table Standard Row 2 3 6 2" xfId="37949" xr:uid="{00000000-0005-0000-0000-0000F8070000}"/>
    <cellStyle name="PB Table Standard Row 2 3 7" xfId="8215" xr:uid="{00000000-0005-0000-0000-0000F8070000}"/>
    <cellStyle name="PB Table Standard Row 2 4" xfId="1914" xr:uid="{00000000-0005-0000-0000-0000F9070000}"/>
    <cellStyle name="PB Table Standard Row 2 4 10" xfId="7281" xr:uid="{00000000-0005-0000-0000-0000F9070000}"/>
    <cellStyle name="PB Table Standard Row 2 4 2" xfId="3732" xr:uid="{00000000-0005-0000-0000-0000F9070000}"/>
    <cellStyle name="PB Table Standard Row 2 4 2 2" xfId="5905" xr:uid="{00000000-0005-0000-0000-0000F9070000}"/>
    <cellStyle name="PB Table Standard Row 2 4 2 2 2" xfId="12269" xr:uid="{00000000-0005-0000-0000-0000F9070000}"/>
    <cellStyle name="PB Table Standard Row 2 4 2 2 2 2" xfId="30716" xr:uid="{00000000-0005-0000-0000-0000F9070000}"/>
    <cellStyle name="PB Table Standard Row 2 4 2 2 2 3" xfId="49079" xr:uid="{00000000-0005-0000-0000-0000F9070000}"/>
    <cellStyle name="PB Table Standard Row 2 4 2 2 3" xfId="16595" xr:uid="{00000000-0005-0000-0000-0000F9070000}"/>
    <cellStyle name="PB Table Standard Row 2 4 2 2 3 2" xfId="34967" xr:uid="{00000000-0005-0000-0000-0000F9070000}"/>
    <cellStyle name="PB Table Standard Row 2 4 2 2 3 3" xfId="53330" xr:uid="{00000000-0005-0000-0000-0000F9070000}"/>
    <cellStyle name="PB Table Standard Row 2 4 2 2 4" xfId="25714" xr:uid="{00000000-0005-0000-0000-0000F9070000}"/>
    <cellStyle name="PB Table Standard Row 2 4 2 2 4 2" xfId="44083" xr:uid="{00000000-0005-0000-0000-0000F9070000}"/>
    <cellStyle name="PB Table Standard Row 2 4 2 2 5" xfId="22035" xr:uid="{00000000-0005-0000-0000-0000F9070000}"/>
    <cellStyle name="PB Table Standard Row 2 4 2 2 6" xfId="40414" xr:uid="{00000000-0005-0000-0000-0000F9070000}"/>
    <cellStyle name="PB Table Standard Row 2 4 2 3" xfId="6731" xr:uid="{00000000-0005-0000-0000-0000F9070000}"/>
    <cellStyle name="PB Table Standard Row 2 4 2 3 2" xfId="13022" xr:uid="{00000000-0005-0000-0000-0000F9070000}"/>
    <cellStyle name="PB Table Standard Row 2 4 2 3 2 2" xfId="31448" xr:uid="{00000000-0005-0000-0000-0000F9070000}"/>
    <cellStyle name="PB Table Standard Row 2 4 2 3 2 3" xfId="49811" xr:uid="{00000000-0005-0000-0000-0000F9070000}"/>
    <cellStyle name="PB Table Standard Row 2 4 2 3 3" xfId="17333" xr:uid="{00000000-0005-0000-0000-0000F9070000}"/>
    <cellStyle name="PB Table Standard Row 2 4 2 3 3 2" xfId="35681" xr:uid="{00000000-0005-0000-0000-0000F9070000}"/>
    <cellStyle name="PB Table Standard Row 2 4 2 3 3 3" xfId="54044" xr:uid="{00000000-0005-0000-0000-0000F9070000}"/>
    <cellStyle name="PB Table Standard Row 2 4 2 3 4" xfId="26466" xr:uid="{00000000-0005-0000-0000-0000F9070000}"/>
    <cellStyle name="PB Table Standard Row 2 4 2 3 4 2" xfId="44835" xr:uid="{00000000-0005-0000-0000-0000F9070000}"/>
    <cellStyle name="PB Table Standard Row 2 4 2 3 5" xfId="22759" xr:uid="{00000000-0005-0000-0000-0000F9070000}"/>
    <cellStyle name="PB Table Standard Row 2 4 2 3 6" xfId="41128" xr:uid="{00000000-0005-0000-0000-0000F9070000}"/>
    <cellStyle name="PB Table Standard Row 2 4 2 4" xfId="10445" xr:uid="{00000000-0005-0000-0000-0000F9070000}"/>
    <cellStyle name="PB Table Standard Row 2 4 2 4 2" xfId="14502" xr:uid="{00000000-0005-0000-0000-0000F9070000}"/>
    <cellStyle name="PB Table Standard Row 2 4 2 4 2 2" xfId="32918" xr:uid="{00000000-0005-0000-0000-0000F9070000}"/>
    <cellStyle name="PB Table Standard Row 2 4 2 4 2 3" xfId="51281" xr:uid="{00000000-0005-0000-0000-0000F9070000}"/>
    <cellStyle name="PB Table Standard Row 2 4 2 4 3" xfId="29156" xr:uid="{00000000-0005-0000-0000-0000F9070000}"/>
    <cellStyle name="PB Table Standard Row 2 4 2 4 3 2" xfId="47519" xr:uid="{00000000-0005-0000-0000-0000F9070000}"/>
    <cellStyle name="PB Table Standard Row 2 4 2 4 4" xfId="19959" xr:uid="{00000000-0005-0000-0000-0000F9070000}"/>
    <cellStyle name="PB Table Standard Row 2 4 2 4 5" xfId="38365" xr:uid="{00000000-0005-0000-0000-0000F9070000}"/>
    <cellStyle name="PB Table Standard Row 2 4 2 5" xfId="9661" xr:uid="{00000000-0005-0000-0000-0000F9070000}"/>
    <cellStyle name="PB Table Standard Row 2 4 2 5 2" xfId="28377" xr:uid="{00000000-0005-0000-0000-0000F9070000}"/>
    <cellStyle name="PB Table Standard Row 2 4 2 5 3" xfId="46740" xr:uid="{00000000-0005-0000-0000-0000F9070000}"/>
    <cellStyle name="PB Table Standard Row 2 4 2 6" xfId="13718" xr:uid="{00000000-0005-0000-0000-0000F9070000}"/>
    <cellStyle name="PB Table Standard Row 2 4 2 6 2" xfId="32139" xr:uid="{00000000-0005-0000-0000-0000F9070000}"/>
    <cellStyle name="PB Table Standard Row 2 4 2 6 3" xfId="50502" xr:uid="{00000000-0005-0000-0000-0000F9070000}"/>
    <cellStyle name="PB Table Standard Row 2 4 2 7" xfId="23640" xr:uid="{00000000-0005-0000-0000-0000F9070000}"/>
    <cellStyle name="PB Table Standard Row 2 4 2 7 2" xfId="42009" xr:uid="{00000000-0005-0000-0000-0000F9070000}"/>
    <cellStyle name="PB Table Standard Row 2 4 2 8" xfId="18786" xr:uid="{00000000-0005-0000-0000-0000F9070000}"/>
    <cellStyle name="PB Table Standard Row 2 4 2 9" xfId="37195" xr:uid="{00000000-0005-0000-0000-0000F9070000}"/>
    <cellStyle name="PB Table Standard Row 2 4 3" xfId="4825" xr:uid="{00000000-0005-0000-0000-0000F9070000}"/>
    <cellStyle name="PB Table Standard Row 2 4 3 2" xfId="11386" xr:uid="{00000000-0005-0000-0000-0000F9070000}"/>
    <cellStyle name="PB Table Standard Row 2 4 3 2 2" xfId="29978" xr:uid="{00000000-0005-0000-0000-0000F9070000}"/>
    <cellStyle name="PB Table Standard Row 2 4 3 2 3" xfId="48341" xr:uid="{00000000-0005-0000-0000-0000F9070000}"/>
    <cellStyle name="PB Table Standard Row 2 4 3 3" xfId="15551" xr:uid="{00000000-0005-0000-0000-0000F9070000}"/>
    <cellStyle name="PB Table Standard Row 2 4 3 3 2" xfId="33944" xr:uid="{00000000-0005-0000-0000-0000F9070000}"/>
    <cellStyle name="PB Table Standard Row 2 4 3 3 3" xfId="52307" xr:uid="{00000000-0005-0000-0000-0000F9070000}"/>
    <cellStyle name="PB Table Standard Row 2 4 3 4" xfId="24675" xr:uid="{00000000-0005-0000-0000-0000F9070000}"/>
    <cellStyle name="PB Table Standard Row 2 4 3 4 2" xfId="43044" xr:uid="{00000000-0005-0000-0000-0000F9070000}"/>
    <cellStyle name="PB Table Standard Row 2 4 3 5" xfId="21002" xr:uid="{00000000-0005-0000-0000-0000F9070000}"/>
    <cellStyle name="PB Table Standard Row 2 4 3 6" xfId="39391" xr:uid="{00000000-0005-0000-0000-0000F9070000}"/>
    <cellStyle name="PB Table Standard Row 2 4 4" xfId="62" xr:uid="{00000000-0005-0000-0000-0000F9070000}"/>
    <cellStyle name="PB Table Standard Row 2 4 4 2" xfId="9160" xr:uid="{00000000-0005-0000-0000-0000F9070000}"/>
    <cellStyle name="PB Table Standard Row 2 4 4 2 2" xfId="27882" xr:uid="{00000000-0005-0000-0000-0000F9070000}"/>
    <cellStyle name="PB Table Standard Row 2 4 4 2 3" xfId="46245" xr:uid="{00000000-0005-0000-0000-0000F9070000}"/>
    <cellStyle name="PB Table Standard Row 2 4 4 3" xfId="13219" xr:uid="{00000000-0005-0000-0000-0000F9070000}"/>
    <cellStyle name="PB Table Standard Row 2 4 4 3 2" xfId="31640" xr:uid="{00000000-0005-0000-0000-0000F9070000}"/>
    <cellStyle name="PB Table Standard Row 2 4 4 3 3" xfId="50003" xr:uid="{00000000-0005-0000-0000-0000F9070000}"/>
    <cellStyle name="PB Table Standard Row 2 4 4 4" xfId="11471" xr:uid="{00000000-0005-0000-0000-0000F9070000}"/>
    <cellStyle name="PB Table Standard Row 2 4 4 4 2" xfId="7358" xr:uid="{00000000-0005-0000-0000-0000F9070000}"/>
    <cellStyle name="PB Table Standard Row 2 4 4 5" xfId="18152" xr:uid="{00000000-0005-0000-0000-0000F9070000}"/>
    <cellStyle name="PB Table Standard Row 2 4 4 6" xfId="36559" xr:uid="{00000000-0005-0000-0000-0000F9070000}"/>
    <cellStyle name="PB Table Standard Row 2 4 5" xfId="9039" xr:uid="{00000000-0005-0000-0000-0000F9070000}"/>
    <cellStyle name="PB Table Standard Row 2 4 5 2" xfId="11658" xr:uid="{00000000-0005-0000-0000-0000F9070000}"/>
    <cellStyle name="PB Table Standard Row 2 4 5 2 2" xfId="30205" xr:uid="{00000000-0005-0000-0000-0000F9070000}"/>
    <cellStyle name="PB Table Standard Row 2 4 5 2 3" xfId="48568" xr:uid="{00000000-0005-0000-0000-0000F9070000}"/>
    <cellStyle name="PB Table Standard Row 2 4 5 3" xfId="27765" xr:uid="{00000000-0005-0000-0000-0000F9070000}"/>
    <cellStyle name="PB Table Standard Row 2 4 5 3 2" xfId="46128" xr:uid="{00000000-0005-0000-0000-0000F9070000}"/>
    <cellStyle name="PB Table Standard Row 2 4 5 4" xfId="17934" xr:uid="{00000000-0005-0000-0000-0000F9070000}"/>
    <cellStyle name="PB Table Standard Row 2 4 5 5" xfId="36342" xr:uid="{00000000-0005-0000-0000-0000F9070000}"/>
    <cellStyle name="PB Table Standard Row 2 4 6" xfId="8113" xr:uid="{00000000-0005-0000-0000-0000F9070000}"/>
    <cellStyle name="PB Table Standard Row 2 4 6 2" xfId="27318" xr:uid="{00000000-0005-0000-0000-0000F9070000}"/>
    <cellStyle name="PB Table Standard Row 2 4 6 3" xfId="45683" xr:uid="{00000000-0005-0000-0000-0000F9070000}"/>
    <cellStyle name="PB Table Standard Row 2 4 7" xfId="7390" xr:uid="{00000000-0005-0000-0000-0000F9070000}"/>
    <cellStyle name="PB Table Standard Row 2 4 7 2" xfId="26790" xr:uid="{00000000-0005-0000-0000-0000F9070000}"/>
    <cellStyle name="PB Table Standard Row 2 4 7 3" xfId="45158" xr:uid="{00000000-0005-0000-0000-0000F9070000}"/>
    <cellStyle name="PB Table Standard Row 2 4 8" xfId="18117" xr:uid="{00000000-0005-0000-0000-0000F9070000}"/>
    <cellStyle name="PB Table Standard Row 2 4 8 2" xfId="36524" xr:uid="{00000000-0005-0000-0000-0000F9070000}"/>
    <cellStyle name="PB Table Standard Row 2 4 9" xfId="7505" xr:uid="{00000000-0005-0000-0000-0000F9070000}"/>
    <cellStyle name="PB Table Standard Row 2 5" xfId="2329" xr:uid="{00000000-0005-0000-0000-0000FA070000}"/>
    <cellStyle name="PB Table Standard Row 2 5 10" xfId="7408" xr:uid="{00000000-0005-0000-0000-0000FA070000}"/>
    <cellStyle name="PB Table Standard Row 2 5 2" xfId="3777" xr:uid="{00000000-0005-0000-0000-0000FA070000}"/>
    <cellStyle name="PB Table Standard Row 2 5 2 2" xfId="5950" xr:uid="{00000000-0005-0000-0000-0000FA070000}"/>
    <cellStyle name="PB Table Standard Row 2 5 2 2 2" xfId="12314" xr:uid="{00000000-0005-0000-0000-0000FA070000}"/>
    <cellStyle name="PB Table Standard Row 2 5 2 2 2 2" xfId="30761" xr:uid="{00000000-0005-0000-0000-0000FA070000}"/>
    <cellStyle name="PB Table Standard Row 2 5 2 2 2 3" xfId="49124" xr:uid="{00000000-0005-0000-0000-0000FA070000}"/>
    <cellStyle name="PB Table Standard Row 2 5 2 2 3" xfId="16640" xr:uid="{00000000-0005-0000-0000-0000FA070000}"/>
    <cellStyle name="PB Table Standard Row 2 5 2 2 3 2" xfId="35012" xr:uid="{00000000-0005-0000-0000-0000FA070000}"/>
    <cellStyle name="PB Table Standard Row 2 5 2 2 3 3" xfId="53375" xr:uid="{00000000-0005-0000-0000-0000FA070000}"/>
    <cellStyle name="PB Table Standard Row 2 5 2 2 4" xfId="25759" xr:uid="{00000000-0005-0000-0000-0000FA070000}"/>
    <cellStyle name="PB Table Standard Row 2 5 2 2 4 2" xfId="44128" xr:uid="{00000000-0005-0000-0000-0000FA070000}"/>
    <cellStyle name="PB Table Standard Row 2 5 2 2 5" xfId="22080" xr:uid="{00000000-0005-0000-0000-0000FA070000}"/>
    <cellStyle name="PB Table Standard Row 2 5 2 2 6" xfId="40459" xr:uid="{00000000-0005-0000-0000-0000FA070000}"/>
    <cellStyle name="PB Table Standard Row 2 5 2 3" xfId="6776" xr:uid="{00000000-0005-0000-0000-0000FA070000}"/>
    <cellStyle name="PB Table Standard Row 2 5 2 3 2" xfId="13067" xr:uid="{00000000-0005-0000-0000-0000FA070000}"/>
    <cellStyle name="PB Table Standard Row 2 5 2 3 2 2" xfId="31493" xr:uid="{00000000-0005-0000-0000-0000FA070000}"/>
    <cellStyle name="PB Table Standard Row 2 5 2 3 2 3" xfId="49856" xr:uid="{00000000-0005-0000-0000-0000FA070000}"/>
    <cellStyle name="PB Table Standard Row 2 5 2 3 3" xfId="17378" xr:uid="{00000000-0005-0000-0000-0000FA070000}"/>
    <cellStyle name="PB Table Standard Row 2 5 2 3 3 2" xfId="35726" xr:uid="{00000000-0005-0000-0000-0000FA070000}"/>
    <cellStyle name="PB Table Standard Row 2 5 2 3 3 3" xfId="54089" xr:uid="{00000000-0005-0000-0000-0000FA070000}"/>
    <cellStyle name="PB Table Standard Row 2 5 2 3 4" xfId="26511" xr:uid="{00000000-0005-0000-0000-0000FA070000}"/>
    <cellStyle name="PB Table Standard Row 2 5 2 3 4 2" xfId="44880" xr:uid="{00000000-0005-0000-0000-0000FA070000}"/>
    <cellStyle name="PB Table Standard Row 2 5 2 3 5" xfId="22804" xr:uid="{00000000-0005-0000-0000-0000FA070000}"/>
    <cellStyle name="PB Table Standard Row 2 5 2 3 6" xfId="41173" xr:uid="{00000000-0005-0000-0000-0000FA070000}"/>
    <cellStyle name="PB Table Standard Row 2 5 2 4" xfId="10490" xr:uid="{00000000-0005-0000-0000-0000FA070000}"/>
    <cellStyle name="PB Table Standard Row 2 5 2 4 2" xfId="14547" xr:uid="{00000000-0005-0000-0000-0000FA070000}"/>
    <cellStyle name="PB Table Standard Row 2 5 2 4 2 2" xfId="32963" xr:uid="{00000000-0005-0000-0000-0000FA070000}"/>
    <cellStyle name="PB Table Standard Row 2 5 2 4 2 3" xfId="51326" xr:uid="{00000000-0005-0000-0000-0000FA070000}"/>
    <cellStyle name="PB Table Standard Row 2 5 2 4 3" xfId="29201" xr:uid="{00000000-0005-0000-0000-0000FA070000}"/>
    <cellStyle name="PB Table Standard Row 2 5 2 4 3 2" xfId="47564" xr:uid="{00000000-0005-0000-0000-0000FA070000}"/>
    <cellStyle name="PB Table Standard Row 2 5 2 4 4" xfId="20004" xr:uid="{00000000-0005-0000-0000-0000FA070000}"/>
    <cellStyle name="PB Table Standard Row 2 5 2 4 5" xfId="38410" xr:uid="{00000000-0005-0000-0000-0000FA070000}"/>
    <cellStyle name="PB Table Standard Row 2 5 2 5" xfId="9761" xr:uid="{00000000-0005-0000-0000-0000FA070000}"/>
    <cellStyle name="PB Table Standard Row 2 5 2 5 2" xfId="28476" xr:uid="{00000000-0005-0000-0000-0000FA070000}"/>
    <cellStyle name="PB Table Standard Row 2 5 2 5 3" xfId="46839" xr:uid="{00000000-0005-0000-0000-0000FA070000}"/>
    <cellStyle name="PB Table Standard Row 2 5 2 6" xfId="13818" xr:uid="{00000000-0005-0000-0000-0000FA070000}"/>
    <cellStyle name="PB Table Standard Row 2 5 2 6 2" xfId="32238" xr:uid="{00000000-0005-0000-0000-0000FA070000}"/>
    <cellStyle name="PB Table Standard Row 2 5 2 6 3" xfId="50601" xr:uid="{00000000-0005-0000-0000-0000FA070000}"/>
    <cellStyle name="PB Table Standard Row 2 5 2 7" xfId="23685" xr:uid="{00000000-0005-0000-0000-0000FA070000}"/>
    <cellStyle name="PB Table Standard Row 2 5 2 7 2" xfId="42054" xr:uid="{00000000-0005-0000-0000-0000FA070000}"/>
    <cellStyle name="PB Table Standard Row 2 5 2 8" xfId="18943" xr:uid="{00000000-0005-0000-0000-0000FA070000}"/>
    <cellStyle name="PB Table Standard Row 2 5 2 9" xfId="37352" xr:uid="{00000000-0005-0000-0000-0000FA070000}"/>
    <cellStyle name="PB Table Standard Row 2 5 3" xfId="4977" xr:uid="{00000000-0005-0000-0000-0000FA070000}"/>
    <cellStyle name="PB Table Standard Row 2 5 3 2" xfId="11507" xr:uid="{00000000-0005-0000-0000-0000FA070000}"/>
    <cellStyle name="PB Table Standard Row 2 5 3 2 2" xfId="30080" xr:uid="{00000000-0005-0000-0000-0000FA070000}"/>
    <cellStyle name="PB Table Standard Row 2 5 3 2 3" xfId="48443" xr:uid="{00000000-0005-0000-0000-0000FA070000}"/>
    <cellStyle name="PB Table Standard Row 2 5 3 3" xfId="15693" xr:uid="{00000000-0005-0000-0000-0000FA070000}"/>
    <cellStyle name="PB Table Standard Row 2 5 3 3 2" xfId="34082" xr:uid="{00000000-0005-0000-0000-0000FA070000}"/>
    <cellStyle name="PB Table Standard Row 2 5 3 3 3" xfId="52445" xr:uid="{00000000-0005-0000-0000-0000FA070000}"/>
    <cellStyle name="PB Table Standard Row 2 5 3 4" xfId="24817" xr:uid="{00000000-0005-0000-0000-0000FA070000}"/>
    <cellStyle name="PB Table Standard Row 2 5 3 4 2" xfId="43186" xr:uid="{00000000-0005-0000-0000-0000FA070000}"/>
    <cellStyle name="PB Table Standard Row 2 5 3 5" xfId="21142" xr:uid="{00000000-0005-0000-0000-0000FA070000}"/>
    <cellStyle name="PB Table Standard Row 2 5 3 6" xfId="39529" xr:uid="{00000000-0005-0000-0000-0000FA070000}"/>
    <cellStyle name="PB Table Standard Row 2 5 4" xfId="6117" xr:uid="{00000000-0005-0000-0000-0000FA070000}"/>
    <cellStyle name="PB Table Standard Row 2 5 4 2" xfId="12471" xr:uid="{00000000-0005-0000-0000-0000FA070000}"/>
    <cellStyle name="PB Table Standard Row 2 5 4 2 2" xfId="30911" xr:uid="{00000000-0005-0000-0000-0000FA070000}"/>
    <cellStyle name="PB Table Standard Row 2 5 4 2 3" xfId="49274" xr:uid="{00000000-0005-0000-0000-0000FA070000}"/>
    <cellStyle name="PB Table Standard Row 2 5 4 3" xfId="16790" xr:uid="{00000000-0005-0000-0000-0000FA070000}"/>
    <cellStyle name="PB Table Standard Row 2 5 4 3 2" xfId="35159" xr:uid="{00000000-0005-0000-0000-0000FA070000}"/>
    <cellStyle name="PB Table Standard Row 2 5 4 3 3" xfId="53522" xr:uid="{00000000-0005-0000-0000-0000FA070000}"/>
    <cellStyle name="PB Table Standard Row 2 5 4 4" xfId="25913" xr:uid="{00000000-0005-0000-0000-0000FA070000}"/>
    <cellStyle name="PB Table Standard Row 2 5 4 4 2" xfId="44282" xr:uid="{00000000-0005-0000-0000-0000FA070000}"/>
    <cellStyle name="PB Table Standard Row 2 5 4 5" xfId="22229" xr:uid="{00000000-0005-0000-0000-0000FA070000}"/>
    <cellStyle name="PB Table Standard Row 2 5 4 6" xfId="40606" xr:uid="{00000000-0005-0000-0000-0000FA070000}"/>
    <cellStyle name="PB Table Standard Row 2 5 5" xfId="9989" xr:uid="{00000000-0005-0000-0000-0000FA070000}"/>
    <cellStyle name="PB Table Standard Row 2 5 5 2" xfId="14046" xr:uid="{00000000-0005-0000-0000-0000FA070000}"/>
    <cellStyle name="PB Table Standard Row 2 5 5 2 2" xfId="32463" xr:uid="{00000000-0005-0000-0000-0000FA070000}"/>
    <cellStyle name="PB Table Standard Row 2 5 5 2 3" xfId="50826" xr:uid="{00000000-0005-0000-0000-0000FA070000}"/>
    <cellStyle name="PB Table Standard Row 2 5 5 3" xfId="28701" xr:uid="{00000000-0005-0000-0000-0000FA070000}"/>
    <cellStyle name="PB Table Standard Row 2 5 5 3 2" xfId="47064" xr:uid="{00000000-0005-0000-0000-0000FA070000}"/>
    <cellStyle name="PB Table Standard Row 2 5 5 4" xfId="19357" xr:uid="{00000000-0005-0000-0000-0000FA070000}"/>
    <cellStyle name="PB Table Standard Row 2 5 5 5" xfId="37764" xr:uid="{00000000-0005-0000-0000-0000FA070000}"/>
    <cellStyle name="PB Table Standard Row 2 5 6" xfId="8370" xr:uid="{00000000-0005-0000-0000-0000FA070000}"/>
    <cellStyle name="PB Table Standard Row 2 5 6 2" xfId="27437" xr:uid="{00000000-0005-0000-0000-0000FA070000}"/>
    <cellStyle name="PB Table Standard Row 2 5 6 3" xfId="45801" xr:uid="{00000000-0005-0000-0000-0000FA070000}"/>
    <cellStyle name="PB Table Standard Row 2 5 7" xfId="7105" xr:uid="{00000000-0005-0000-0000-0000FA070000}"/>
    <cellStyle name="PB Table Standard Row 2 5 7 2" xfId="26721" xr:uid="{00000000-0005-0000-0000-0000FA070000}"/>
    <cellStyle name="PB Table Standard Row 2 5 7 3" xfId="45089" xr:uid="{00000000-0005-0000-0000-0000FA070000}"/>
    <cellStyle name="PB Table Standard Row 2 5 8" xfId="18914" xr:uid="{00000000-0005-0000-0000-0000FA070000}"/>
    <cellStyle name="PB Table Standard Row 2 5 8 2" xfId="37323" xr:uid="{00000000-0005-0000-0000-0000FA070000}"/>
    <cellStyle name="PB Table Standard Row 2 5 9" xfId="9151" xr:uid="{00000000-0005-0000-0000-0000FA070000}"/>
    <cellStyle name="PB Table Standard Row 2 6" xfId="2776" xr:uid="{00000000-0005-0000-0000-0000FB070000}"/>
    <cellStyle name="PB Table Standard Row 2 6 10" xfId="35917" xr:uid="{00000000-0005-0000-0000-0000FB070000}"/>
    <cellStyle name="PB Table Standard Row 2 6 2" xfId="3813" xr:uid="{00000000-0005-0000-0000-0000FB070000}"/>
    <cellStyle name="PB Table Standard Row 2 6 2 2" xfId="5986" xr:uid="{00000000-0005-0000-0000-0000FB070000}"/>
    <cellStyle name="PB Table Standard Row 2 6 2 2 2" xfId="12350" xr:uid="{00000000-0005-0000-0000-0000FB070000}"/>
    <cellStyle name="PB Table Standard Row 2 6 2 2 2 2" xfId="30797" xr:uid="{00000000-0005-0000-0000-0000FB070000}"/>
    <cellStyle name="PB Table Standard Row 2 6 2 2 2 3" xfId="49160" xr:uid="{00000000-0005-0000-0000-0000FB070000}"/>
    <cellStyle name="PB Table Standard Row 2 6 2 2 3" xfId="16676" xr:uid="{00000000-0005-0000-0000-0000FB070000}"/>
    <cellStyle name="PB Table Standard Row 2 6 2 2 3 2" xfId="35048" xr:uid="{00000000-0005-0000-0000-0000FB070000}"/>
    <cellStyle name="PB Table Standard Row 2 6 2 2 3 3" xfId="53411" xr:uid="{00000000-0005-0000-0000-0000FB070000}"/>
    <cellStyle name="PB Table Standard Row 2 6 2 2 4" xfId="25795" xr:uid="{00000000-0005-0000-0000-0000FB070000}"/>
    <cellStyle name="PB Table Standard Row 2 6 2 2 4 2" xfId="44164" xr:uid="{00000000-0005-0000-0000-0000FB070000}"/>
    <cellStyle name="PB Table Standard Row 2 6 2 2 5" xfId="22116" xr:uid="{00000000-0005-0000-0000-0000FB070000}"/>
    <cellStyle name="PB Table Standard Row 2 6 2 2 6" xfId="40495" xr:uid="{00000000-0005-0000-0000-0000FB070000}"/>
    <cellStyle name="PB Table Standard Row 2 6 2 3" xfId="6812" xr:uid="{00000000-0005-0000-0000-0000FB070000}"/>
    <cellStyle name="PB Table Standard Row 2 6 2 3 2" xfId="13103" xr:uid="{00000000-0005-0000-0000-0000FB070000}"/>
    <cellStyle name="PB Table Standard Row 2 6 2 3 2 2" xfId="31529" xr:uid="{00000000-0005-0000-0000-0000FB070000}"/>
    <cellStyle name="PB Table Standard Row 2 6 2 3 2 3" xfId="49892" xr:uid="{00000000-0005-0000-0000-0000FB070000}"/>
    <cellStyle name="PB Table Standard Row 2 6 2 3 3" xfId="17414" xr:uid="{00000000-0005-0000-0000-0000FB070000}"/>
    <cellStyle name="PB Table Standard Row 2 6 2 3 3 2" xfId="35762" xr:uid="{00000000-0005-0000-0000-0000FB070000}"/>
    <cellStyle name="PB Table Standard Row 2 6 2 3 3 3" xfId="54125" xr:uid="{00000000-0005-0000-0000-0000FB070000}"/>
    <cellStyle name="PB Table Standard Row 2 6 2 3 4" xfId="26547" xr:uid="{00000000-0005-0000-0000-0000FB070000}"/>
    <cellStyle name="PB Table Standard Row 2 6 2 3 4 2" xfId="44916" xr:uid="{00000000-0005-0000-0000-0000FB070000}"/>
    <cellStyle name="PB Table Standard Row 2 6 2 3 5" xfId="22840" xr:uid="{00000000-0005-0000-0000-0000FB070000}"/>
    <cellStyle name="PB Table Standard Row 2 6 2 3 6" xfId="41209" xr:uid="{00000000-0005-0000-0000-0000FB070000}"/>
    <cellStyle name="PB Table Standard Row 2 6 2 4" xfId="10526" xr:uid="{00000000-0005-0000-0000-0000FB070000}"/>
    <cellStyle name="PB Table Standard Row 2 6 2 4 2" xfId="14583" xr:uid="{00000000-0005-0000-0000-0000FB070000}"/>
    <cellStyle name="PB Table Standard Row 2 6 2 4 2 2" xfId="32999" xr:uid="{00000000-0005-0000-0000-0000FB070000}"/>
    <cellStyle name="PB Table Standard Row 2 6 2 4 2 3" xfId="51362" xr:uid="{00000000-0005-0000-0000-0000FB070000}"/>
    <cellStyle name="PB Table Standard Row 2 6 2 4 3" xfId="29237" xr:uid="{00000000-0005-0000-0000-0000FB070000}"/>
    <cellStyle name="PB Table Standard Row 2 6 2 4 3 2" xfId="47600" xr:uid="{00000000-0005-0000-0000-0000FB070000}"/>
    <cellStyle name="PB Table Standard Row 2 6 2 4 4" xfId="20040" xr:uid="{00000000-0005-0000-0000-0000FB070000}"/>
    <cellStyle name="PB Table Standard Row 2 6 2 4 5" xfId="38446" xr:uid="{00000000-0005-0000-0000-0000FB070000}"/>
    <cellStyle name="PB Table Standard Row 2 6 2 5" xfId="9859" xr:uid="{00000000-0005-0000-0000-0000FB070000}"/>
    <cellStyle name="PB Table Standard Row 2 6 2 5 2" xfId="28573" xr:uid="{00000000-0005-0000-0000-0000FB070000}"/>
    <cellStyle name="PB Table Standard Row 2 6 2 5 3" xfId="46936" xr:uid="{00000000-0005-0000-0000-0000FB070000}"/>
    <cellStyle name="PB Table Standard Row 2 6 2 6" xfId="13917" xr:uid="{00000000-0005-0000-0000-0000FB070000}"/>
    <cellStyle name="PB Table Standard Row 2 6 2 6 2" xfId="32335" xr:uid="{00000000-0005-0000-0000-0000FB070000}"/>
    <cellStyle name="PB Table Standard Row 2 6 2 6 3" xfId="50698" xr:uid="{00000000-0005-0000-0000-0000FB070000}"/>
    <cellStyle name="PB Table Standard Row 2 6 2 7" xfId="23721" xr:uid="{00000000-0005-0000-0000-0000FB070000}"/>
    <cellStyle name="PB Table Standard Row 2 6 2 7 2" xfId="42090" xr:uid="{00000000-0005-0000-0000-0000FB070000}"/>
    <cellStyle name="PB Table Standard Row 2 6 2 8" xfId="19113" xr:uid="{00000000-0005-0000-0000-0000FB070000}"/>
    <cellStyle name="PB Table Standard Row 2 6 2 9" xfId="37521" xr:uid="{00000000-0005-0000-0000-0000FB070000}"/>
    <cellStyle name="PB Table Standard Row 2 6 3" xfId="5137" xr:uid="{00000000-0005-0000-0000-0000FB070000}"/>
    <cellStyle name="PB Table Standard Row 2 6 3 2" xfId="11642" xr:uid="{00000000-0005-0000-0000-0000FB070000}"/>
    <cellStyle name="PB Table Standard Row 2 6 3 2 2" xfId="30190" xr:uid="{00000000-0005-0000-0000-0000FB070000}"/>
    <cellStyle name="PB Table Standard Row 2 6 3 2 3" xfId="48553" xr:uid="{00000000-0005-0000-0000-0000FB070000}"/>
    <cellStyle name="PB Table Standard Row 2 6 3 3" xfId="15841" xr:uid="{00000000-0005-0000-0000-0000FB070000}"/>
    <cellStyle name="PB Table Standard Row 2 6 3 3 2" xfId="34225" xr:uid="{00000000-0005-0000-0000-0000FB070000}"/>
    <cellStyle name="PB Table Standard Row 2 6 3 3 3" xfId="52588" xr:uid="{00000000-0005-0000-0000-0000FB070000}"/>
    <cellStyle name="PB Table Standard Row 2 6 3 4" xfId="24964" xr:uid="{00000000-0005-0000-0000-0000FB070000}"/>
    <cellStyle name="PB Table Standard Row 2 6 3 4 2" xfId="43333" xr:uid="{00000000-0005-0000-0000-0000FB070000}"/>
    <cellStyle name="PB Table Standard Row 2 6 3 5" xfId="21287" xr:uid="{00000000-0005-0000-0000-0000FB070000}"/>
    <cellStyle name="PB Table Standard Row 2 6 3 6" xfId="39672" xr:uid="{00000000-0005-0000-0000-0000FB070000}"/>
    <cellStyle name="PB Table Standard Row 2 6 4" xfId="6187" xr:uid="{00000000-0005-0000-0000-0000FB070000}"/>
    <cellStyle name="PB Table Standard Row 2 6 4 2" xfId="12522" xr:uid="{00000000-0005-0000-0000-0000FB070000}"/>
    <cellStyle name="PB Table Standard Row 2 6 4 2 2" xfId="30954" xr:uid="{00000000-0005-0000-0000-0000FB070000}"/>
    <cellStyle name="PB Table Standard Row 2 6 4 2 3" xfId="49317" xr:uid="{00000000-0005-0000-0000-0000FB070000}"/>
    <cellStyle name="PB Table Standard Row 2 6 4 3" xfId="16837" xr:uid="{00000000-0005-0000-0000-0000FB070000}"/>
    <cellStyle name="PB Table Standard Row 2 6 4 3 2" xfId="35197" xr:uid="{00000000-0005-0000-0000-0000FB070000}"/>
    <cellStyle name="PB Table Standard Row 2 6 4 3 3" xfId="53560" xr:uid="{00000000-0005-0000-0000-0000FB070000}"/>
    <cellStyle name="PB Table Standard Row 2 6 4 4" xfId="25964" xr:uid="{00000000-0005-0000-0000-0000FB070000}"/>
    <cellStyle name="PB Table Standard Row 2 6 4 4 2" xfId="44333" xr:uid="{00000000-0005-0000-0000-0000FB070000}"/>
    <cellStyle name="PB Table Standard Row 2 6 4 5" xfId="22271" xr:uid="{00000000-0005-0000-0000-0000FB070000}"/>
    <cellStyle name="PB Table Standard Row 2 6 4 6" xfId="40644" xr:uid="{00000000-0005-0000-0000-0000FB070000}"/>
    <cellStyle name="PB Table Standard Row 2 6 5" xfId="10019" xr:uid="{00000000-0005-0000-0000-0000FB070000}"/>
    <cellStyle name="PB Table Standard Row 2 6 5 2" xfId="14076" xr:uid="{00000000-0005-0000-0000-0000FB070000}"/>
    <cellStyle name="PB Table Standard Row 2 6 5 2 2" xfId="32492" xr:uid="{00000000-0005-0000-0000-0000FB070000}"/>
    <cellStyle name="PB Table Standard Row 2 6 5 2 3" xfId="50855" xr:uid="{00000000-0005-0000-0000-0000FB070000}"/>
    <cellStyle name="PB Table Standard Row 2 6 5 3" xfId="28730" xr:uid="{00000000-0005-0000-0000-0000FB070000}"/>
    <cellStyle name="PB Table Standard Row 2 6 5 3 2" xfId="47093" xr:uid="{00000000-0005-0000-0000-0000FB070000}"/>
    <cellStyle name="PB Table Standard Row 2 6 5 4" xfId="19398" xr:uid="{00000000-0005-0000-0000-0000FB070000}"/>
    <cellStyle name="PB Table Standard Row 2 6 5 5" xfId="37804" xr:uid="{00000000-0005-0000-0000-0000FB070000}"/>
    <cellStyle name="PB Table Standard Row 2 6 6" xfId="8646" xr:uid="{00000000-0005-0000-0000-0000FB070000}"/>
    <cellStyle name="PB Table Standard Row 2 6 6 2" xfId="27554" xr:uid="{00000000-0005-0000-0000-0000FB070000}"/>
    <cellStyle name="PB Table Standard Row 2 6 6 3" xfId="45917" xr:uid="{00000000-0005-0000-0000-0000FB070000}"/>
    <cellStyle name="PB Table Standard Row 2 6 7" xfId="8669" xr:uid="{00000000-0005-0000-0000-0000FB070000}"/>
    <cellStyle name="PB Table Standard Row 2 6 7 2" xfId="27574" xr:uid="{00000000-0005-0000-0000-0000FB070000}"/>
    <cellStyle name="PB Table Standard Row 2 6 7 3" xfId="45937" xr:uid="{00000000-0005-0000-0000-0000FB070000}"/>
    <cellStyle name="PB Table Standard Row 2 6 8" xfId="18722" xr:uid="{00000000-0005-0000-0000-0000FB070000}"/>
    <cellStyle name="PB Table Standard Row 2 6 8 2" xfId="37132" xr:uid="{00000000-0005-0000-0000-0000FB070000}"/>
    <cellStyle name="PB Table Standard Row 2 6 9" xfId="8202" xr:uid="{00000000-0005-0000-0000-0000FB070000}"/>
    <cellStyle name="PB Table Standard Row 2 7" xfId="9145" xr:uid="{00000000-0005-0000-0000-0000F6070000}"/>
    <cellStyle name="PB Table Standard Row 2 7 2" xfId="13205" xr:uid="{00000000-0005-0000-0000-0000F6070000}"/>
    <cellStyle name="PB Table Standard Row 2 7 2 2" xfId="31630" xr:uid="{00000000-0005-0000-0000-0000F6070000}"/>
    <cellStyle name="PB Table Standard Row 2 7 2 3" xfId="49993" xr:uid="{00000000-0005-0000-0000-0000F6070000}"/>
    <cellStyle name="PB Table Standard Row 2 7 3" xfId="27871" xr:uid="{00000000-0005-0000-0000-0000F6070000}"/>
    <cellStyle name="PB Table Standard Row 2 7 3 2" xfId="46234" xr:uid="{00000000-0005-0000-0000-0000F6070000}"/>
    <cellStyle name="PB Table Standard Row 2 7 4" xfId="18070" xr:uid="{00000000-0005-0000-0000-0000F6070000}"/>
    <cellStyle name="PB Table Standard Row 2 7 5" xfId="36477" xr:uid="{00000000-0005-0000-0000-0000F6070000}"/>
    <cellStyle name="PB Table Standard Row 2 8" xfId="7543" xr:uid="{00000000-0005-0000-0000-0000F6070000}"/>
    <cellStyle name="PB Table Standard Row 3" xfId="1208" xr:uid="{00000000-0005-0000-0000-0000FC070000}"/>
    <cellStyle name="PB Table Standard Row 3 2" xfId="1631" xr:uid="{00000000-0005-0000-0000-0000FD070000}"/>
    <cellStyle name="PB Table Standard Row 3 2 2" xfId="1714" xr:uid="{00000000-0005-0000-0000-0000FE070000}"/>
    <cellStyle name="PB Table Standard Row 3 2 2 2" xfId="3611" xr:uid="{00000000-0005-0000-0000-0000FE070000}"/>
    <cellStyle name="PB Table Standard Row 3 2 2 2 2" xfId="5784" xr:uid="{00000000-0005-0000-0000-0000FE070000}"/>
    <cellStyle name="PB Table Standard Row 3 2 2 2 2 2" xfId="12148" xr:uid="{00000000-0005-0000-0000-0000FE070000}"/>
    <cellStyle name="PB Table Standard Row 3 2 2 2 2 2 2" xfId="30595" xr:uid="{00000000-0005-0000-0000-0000FE070000}"/>
    <cellStyle name="PB Table Standard Row 3 2 2 2 2 2 3" xfId="48958" xr:uid="{00000000-0005-0000-0000-0000FE070000}"/>
    <cellStyle name="PB Table Standard Row 3 2 2 2 2 3" xfId="16474" xr:uid="{00000000-0005-0000-0000-0000FE070000}"/>
    <cellStyle name="PB Table Standard Row 3 2 2 2 2 3 2" xfId="34846" xr:uid="{00000000-0005-0000-0000-0000FE070000}"/>
    <cellStyle name="PB Table Standard Row 3 2 2 2 2 3 3" xfId="53209" xr:uid="{00000000-0005-0000-0000-0000FE070000}"/>
    <cellStyle name="PB Table Standard Row 3 2 2 2 2 4" xfId="25593" xr:uid="{00000000-0005-0000-0000-0000FE070000}"/>
    <cellStyle name="PB Table Standard Row 3 2 2 2 2 4 2" xfId="43962" xr:uid="{00000000-0005-0000-0000-0000FE070000}"/>
    <cellStyle name="PB Table Standard Row 3 2 2 2 2 5" xfId="21914" xr:uid="{00000000-0005-0000-0000-0000FE070000}"/>
    <cellStyle name="PB Table Standard Row 3 2 2 2 2 6" xfId="40293" xr:uid="{00000000-0005-0000-0000-0000FE070000}"/>
    <cellStyle name="PB Table Standard Row 3 2 2 2 3" xfId="6610" xr:uid="{00000000-0005-0000-0000-0000FE070000}"/>
    <cellStyle name="PB Table Standard Row 3 2 2 2 3 2" xfId="12901" xr:uid="{00000000-0005-0000-0000-0000FE070000}"/>
    <cellStyle name="PB Table Standard Row 3 2 2 2 3 2 2" xfId="31327" xr:uid="{00000000-0005-0000-0000-0000FE070000}"/>
    <cellStyle name="PB Table Standard Row 3 2 2 2 3 2 3" xfId="49690" xr:uid="{00000000-0005-0000-0000-0000FE070000}"/>
    <cellStyle name="PB Table Standard Row 3 2 2 2 3 3" xfId="17212" xr:uid="{00000000-0005-0000-0000-0000FE070000}"/>
    <cellStyle name="PB Table Standard Row 3 2 2 2 3 3 2" xfId="35560" xr:uid="{00000000-0005-0000-0000-0000FE070000}"/>
    <cellStyle name="PB Table Standard Row 3 2 2 2 3 3 3" xfId="53923" xr:uid="{00000000-0005-0000-0000-0000FE070000}"/>
    <cellStyle name="PB Table Standard Row 3 2 2 2 3 4" xfId="26345" xr:uid="{00000000-0005-0000-0000-0000FE070000}"/>
    <cellStyle name="PB Table Standard Row 3 2 2 2 3 4 2" xfId="44714" xr:uid="{00000000-0005-0000-0000-0000FE070000}"/>
    <cellStyle name="PB Table Standard Row 3 2 2 2 3 5" xfId="22638" xr:uid="{00000000-0005-0000-0000-0000FE070000}"/>
    <cellStyle name="PB Table Standard Row 3 2 2 2 3 6" xfId="41007" xr:uid="{00000000-0005-0000-0000-0000FE070000}"/>
    <cellStyle name="PB Table Standard Row 3 2 2 2 4" xfId="10324" xr:uid="{00000000-0005-0000-0000-0000FE070000}"/>
    <cellStyle name="PB Table Standard Row 3 2 2 2 4 2" xfId="14381" xr:uid="{00000000-0005-0000-0000-0000FE070000}"/>
    <cellStyle name="PB Table Standard Row 3 2 2 2 4 2 2" xfId="32797" xr:uid="{00000000-0005-0000-0000-0000FE070000}"/>
    <cellStyle name="PB Table Standard Row 3 2 2 2 4 2 3" xfId="51160" xr:uid="{00000000-0005-0000-0000-0000FE070000}"/>
    <cellStyle name="PB Table Standard Row 3 2 2 2 4 3" xfId="29035" xr:uid="{00000000-0005-0000-0000-0000FE070000}"/>
    <cellStyle name="PB Table Standard Row 3 2 2 2 4 3 2" xfId="47398" xr:uid="{00000000-0005-0000-0000-0000FE070000}"/>
    <cellStyle name="PB Table Standard Row 3 2 2 2 4 4" xfId="19838" xr:uid="{00000000-0005-0000-0000-0000FE070000}"/>
    <cellStyle name="PB Table Standard Row 3 2 2 2 4 5" xfId="38244" xr:uid="{00000000-0005-0000-0000-0000FE070000}"/>
    <cellStyle name="PB Table Standard Row 3 2 2 2 5" xfId="9532" xr:uid="{00000000-0005-0000-0000-0000FE070000}"/>
    <cellStyle name="PB Table Standard Row 3 2 2 2 5 2" xfId="28249" xr:uid="{00000000-0005-0000-0000-0000FE070000}"/>
    <cellStyle name="PB Table Standard Row 3 2 2 2 5 3" xfId="46612" xr:uid="{00000000-0005-0000-0000-0000FE070000}"/>
    <cellStyle name="PB Table Standard Row 3 2 2 2 6" xfId="13590" xr:uid="{00000000-0005-0000-0000-0000FE070000}"/>
    <cellStyle name="PB Table Standard Row 3 2 2 2 6 2" xfId="32011" xr:uid="{00000000-0005-0000-0000-0000FE070000}"/>
    <cellStyle name="PB Table Standard Row 3 2 2 2 6 3" xfId="50374" xr:uid="{00000000-0005-0000-0000-0000FE070000}"/>
    <cellStyle name="PB Table Standard Row 3 2 2 2 7" xfId="23519" xr:uid="{00000000-0005-0000-0000-0000FE070000}"/>
    <cellStyle name="PB Table Standard Row 3 2 2 2 7 2" xfId="41888" xr:uid="{00000000-0005-0000-0000-0000FE070000}"/>
    <cellStyle name="PB Table Standard Row 3 2 2 2 8" xfId="18631" xr:uid="{00000000-0005-0000-0000-0000FE070000}"/>
    <cellStyle name="PB Table Standard Row 3 2 2 2 9" xfId="37041" xr:uid="{00000000-0005-0000-0000-0000FE070000}"/>
    <cellStyle name="PB Table Standard Row 3 2 2 3" xfId="4651" xr:uid="{00000000-0005-0000-0000-0000FE070000}"/>
    <cellStyle name="PB Table Standard Row 3 2 2 3 2" xfId="11235" xr:uid="{00000000-0005-0000-0000-0000FE070000}"/>
    <cellStyle name="PB Table Standard Row 3 2 2 3 2 2" xfId="29847" xr:uid="{00000000-0005-0000-0000-0000FE070000}"/>
    <cellStyle name="PB Table Standard Row 3 2 2 3 2 3" xfId="48210" xr:uid="{00000000-0005-0000-0000-0000FE070000}"/>
    <cellStyle name="PB Table Standard Row 3 2 2 3 3" xfId="15377" xr:uid="{00000000-0005-0000-0000-0000FE070000}"/>
    <cellStyle name="PB Table Standard Row 3 2 2 3 3 2" xfId="33770" xr:uid="{00000000-0005-0000-0000-0000FE070000}"/>
    <cellStyle name="PB Table Standard Row 3 2 2 3 3 3" xfId="52133" xr:uid="{00000000-0005-0000-0000-0000FE070000}"/>
    <cellStyle name="PB Table Standard Row 3 2 2 3 4" xfId="24501" xr:uid="{00000000-0005-0000-0000-0000FE070000}"/>
    <cellStyle name="PB Table Standard Row 3 2 2 3 4 2" xfId="42870" xr:uid="{00000000-0005-0000-0000-0000FE070000}"/>
    <cellStyle name="PB Table Standard Row 3 2 2 3 5" xfId="20828" xr:uid="{00000000-0005-0000-0000-0000FE070000}"/>
    <cellStyle name="PB Table Standard Row 3 2 2 3 6" xfId="39217" xr:uid="{00000000-0005-0000-0000-0000FE070000}"/>
    <cellStyle name="PB Table Standard Row 3 2 2 4" xfId="4338" xr:uid="{00000000-0005-0000-0000-0000FE070000}"/>
    <cellStyle name="PB Table Standard Row 3 2 2 4 2" xfId="10944" xr:uid="{00000000-0005-0000-0000-0000FE070000}"/>
    <cellStyle name="PB Table Standard Row 3 2 2 4 2 2" xfId="29574" xr:uid="{00000000-0005-0000-0000-0000FE070000}"/>
    <cellStyle name="PB Table Standard Row 3 2 2 4 2 3" xfId="47937" xr:uid="{00000000-0005-0000-0000-0000FE070000}"/>
    <cellStyle name="PB Table Standard Row 3 2 2 4 3" xfId="15082" xr:uid="{00000000-0005-0000-0000-0000FE070000}"/>
    <cellStyle name="PB Table Standard Row 3 2 2 4 3 2" xfId="33482" xr:uid="{00000000-0005-0000-0000-0000FE070000}"/>
    <cellStyle name="PB Table Standard Row 3 2 2 4 3 3" xfId="51845" xr:uid="{00000000-0005-0000-0000-0000FE070000}"/>
    <cellStyle name="PB Table Standard Row 3 2 2 4 4" xfId="24211" xr:uid="{00000000-0005-0000-0000-0000FE070000}"/>
    <cellStyle name="PB Table Standard Row 3 2 2 4 4 2" xfId="42580" xr:uid="{00000000-0005-0000-0000-0000FE070000}"/>
    <cellStyle name="PB Table Standard Row 3 2 2 4 5" xfId="20534" xr:uid="{00000000-0005-0000-0000-0000FE070000}"/>
    <cellStyle name="PB Table Standard Row 3 2 2 4 6" xfId="38929" xr:uid="{00000000-0005-0000-0000-0000FE070000}"/>
    <cellStyle name="PB Table Standard Row 3 2 2 5" xfId="9085" xr:uid="{00000000-0005-0000-0000-0000FE070000}"/>
    <cellStyle name="PB Table Standard Row 3 2 2 5 2" xfId="6160" xr:uid="{00000000-0005-0000-0000-0000FE070000}"/>
    <cellStyle name="PB Table Standard Row 3 2 2 5 2 2" xfId="25948" xr:uid="{00000000-0005-0000-0000-0000FE070000}"/>
    <cellStyle name="PB Table Standard Row 3 2 2 5 2 3" xfId="44317" xr:uid="{00000000-0005-0000-0000-0000FE070000}"/>
    <cellStyle name="PB Table Standard Row 3 2 2 5 3" xfId="27811" xr:uid="{00000000-0005-0000-0000-0000FE070000}"/>
    <cellStyle name="PB Table Standard Row 3 2 2 5 3 2" xfId="46174" xr:uid="{00000000-0005-0000-0000-0000FE070000}"/>
    <cellStyle name="PB Table Standard Row 3 2 2 5 4" xfId="17985" xr:uid="{00000000-0005-0000-0000-0000FE070000}"/>
    <cellStyle name="PB Table Standard Row 3 2 2 5 5" xfId="36393" xr:uid="{00000000-0005-0000-0000-0000FE070000}"/>
    <cellStyle name="PB Table Standard Row 3 2 2 6" xfId="7945" xr:uid="{00000000-0005-0000-0000-0000FE070000}"/>
    <cellStyle name="PB Table Standard Row 3 2 2 6 2" xfId="27175" xr:uid="{00000000-0005-0000-0000-0000FE070000}"/>
    <cellStyle name="PB Table Standard Row 3 2 2 6 3" xfId="45540" xr:uid="{00000000-0005-0000-0000-0000FE070000}"/>
    <cellStyle name="PB Table Standard Row 3 2 2 7" xfId="8664" xr:uid="{00000000-0005-0000-0000-0000FE070000}"/>
    <cellStyle name="PB Table Standard Row 3 2 2 7 2" xfId="27571" xr:uid="{00000000-0005-0000-0000-0000FE070000}"/>
    <cellStyle name="PB Table Standard Row 3 2 2 7 3" xfId="45934" xr:uid="{00000000-0005-0000-0000-0000FE070000}"/>
    <cellStyle name="PB Table Standard Row 3 2 2 8" xfId="8935" xr:uid="{00000000-0005-0000-0000-0000FE070000}"/>
    <cellStyle name="PB Table Standard Row 3 2 2 9" xfId="7045" xr:uid="{00000000-0005-0000-0000-0000FE070000}"/>
    <cellStyle name="PB Table Standard Row 3 2 3" xfId="1745" xr:uid="{00000000-0005-0000-0000-0000FF070000}"/>
    <cellStyle name="PB Table Standard Row 3 2 3 10" xfId="7417" xr:uid="{00000000-0005-0000-0000-0000FF070000}"/>
    <cellStyle name="PB Table Standard Row 3 2 3 2" xfId="3642" xr:uid="{00000000-0005-0000-0000-0000FF070000}"/>
    <cellStyle name="PB Table Standard Row 3 2 3 2 2" xfId="5815" xr:uid="{00000000-0005-0000-0000-0000FF070000}"/>
    <cellStyle name="PB Table Standard Row 3 2 3 2 2 2" xfId="12179" xr:uid="{00000000-0005-0000-0000-0000FF070000}"/>
    <cellStyle name="PB Table Standard Row 3 2 3 2 2 2 2" xfId="30626" xr:uid="{00000000-0005-0000-0000-0000FF070000}"/>
    <cellStyle name="PB Table Standard Row 3 2 3 2 2 2 3" xfId="48989" xr:uid="{00000000-0005-0000-0000-0000FF070000}"/>
    <cellStyle name="PB Table Standard Row 3 2 3 2 2 3" xfId="16505" xr:uid="{00000000-0005-0000-0000-0000FF070000}"/>
    <cellStyle name="PB Table Standard Row 3 2 3 2 2 3 2" xfId="34877" xr:uid="{00000000-0005-0000-0000-0000FF070000}"/>
    <cellStyle name="PB Table Standard Row 3 2 3 2 2 3 3" xfId="53240" xr:uid="{00000000-0005-0000-0000-0000FF070000}"/>
    <cellStyle name="PB Table Standard Row 3 2 3 2 2 4" xfId="25624" xr:uid="{00000000-0005-0000-0000-0000FF070000}"/>
    <cellStyle name="PB Table Standard Row 3 2 3 2 2 4 2" xfId="43993" xr:uid="{00000000-0005-0000-0000-0000FF070000}"/>
    <cellStyle name="PB Table Standard Row 3 2 3 2 2 5" xfId="21945" xr:uid="{00000000-0005-0000-0000-0000FF070000}"/>
    <cellStyle name="PB Table Standard Row 3 2 3 2 2 6" xfId="40324" xr:uid="{00000000-0005-0000-0000-0000FF070000}"/>
    <cellStyle name="PB Table Standard Row 3 2 3 2 3" xfId="6641" xr:uid="{00000000-0005-0000-0000-0000FF070000}"/>
    <cellStyle name="PB Table Standard Row 3 2 3 2 3 2" xfId="12932" xr:uid="{00000000-0005-0000-0000-0000FF070000}"/>
    <cellStyle name="PB Table Standard Row 3 2 3 2 3 2 2" xfId="31358" xr:uid="{00000000-0005-0000-0000-0000FF070000}"/>
    <cellStyle name="PB Table Standard Row 3 2 3 2 3 2 3" xfId="49721" xr:uid="{00000000-0005-0000-0000-0000FF070000}"/>
    <cellStyle name="PB Table Standard Row 3 2 3 2 3 3" xfId="17243" xr:uid="{00000000-0005-0000-0000-0000FF070000}"/>
    <cellStyle name="PB Table Standard Row 3 2 3 2 3 3 2" xfId="35591" xr:uid="{00000000-0005-0000-0000-0000FF070000}"/>
    <cellStyle name="PB Table Standard Row 3 2 3 2 3 3 3" xfId="53954" xr:uid="{00000000-0005-0000-0000-0000FF070000}"/>
    <cellStyle name="PB Table Standard Row 3 2 3 2 3 4" xfId="26376" xr:uid="{00000000-0005-0000-0000-0000FF070000}"/>
    <cellStyle name="PB Table Standard Row 3 2 3 2 3 4 2" xfId="44745" xr:uid="{00000000-0005-0000-0000-0000FF070000}"/>
    <cellStyle name="PB Table Standard Row 3 2 3 2 3 5" xfId="22669" xr:uid="{00000000-0005-0000-0000-0000FF070000}"/>
    <cellStyle name="PB Table Standard Row 3 2 3 2 3 6" xfId="41038" xr:uid="{00000000-0005-0000-0000-0000FF070000}"/>
    <cellStyle name="PB Table Standard Row 3 2 3 2 4" xfId="10355" xr:uid="{00000000-0005-0000-0000-0000FF070000}"/>
    <cellStyle name="PB Table Standard Row 3 2 3 2 4 2" xfId="14412" xr:uid="{00000000-0005-0000-0000-0000FF070000}"/>
    <cellStyle name="PB Table Standard Row 3 2 3 2 4 2 2" xfId="32828" xr:uid="{00000000-0005-0000-0000-0000FF070000}"/>
    <cellStyle name="PB Table Standard Row 3 2 3 2 4 2 3" xfId="51191" xr:uid="{00000000-0005-0000-0000-0000FF070000}"/>
    <cellStyle name="PB Table Standard Row 3 2 3 2 4 3" xfId="29066" xr:uid="{00000000-0005-0000-0000-0000FF070000}"/>
    <cellStyle name="PB Table Standard Row 3 2 3 2 4 3 2" xfId="47429" xr:uid="{00000000-0005-0000-0000-0000FF070000}"/>
    <cellStyle name="PB Table Standard Row 3 2 3 2 4 4" xfId="19869" xr:uid="{00000000-0005-0000-0000-0000FF070000}"/>
    <cellStyle name="PB Table Standard Row 3 2 3 2 4 5" xfId="38275" xr:uid="{00000000-0005-0000-0000-0000FF070000}"/>
    <cellStyle name="PB Table Standard Row 3 2 3 2 5" xfId="9563" xr:uid="{00000000-0005-0000-0000-0000FF070000}"/>
    <cellStyle name="PB Table Standard Row 3 2 3 2 5 2" xfId="28280" xr:uid="{00000000-0005-0000-0000-0000FF070000}"/>
    <cellStyle name="PB Table Standard Row 3 2 3 2 5 3" xfId="46643" xr:uid="{00000000-0005-0000-0000-0000FF070000}"/>
    <cellStyle name="PB Table Standard Row 3 2 3 2 6" xfId="13621" xr:uid="{00000000-0005-0000-0000-0000FF070000}"/>
    <cellStyle name="PB Table Standard Row 3 2 3 2 6 2" xfId="32042" xr:uid="{00000000-0005-0000-0000-0000FF070000}"/>
    <cellStyle name="PB Table Standard Row 3 2 3 2 6 3" xfId="50405" xr:uid="{00000000-0005-0000-0000-0000FF070000}"/>
    <cellStyle name="PB Table Standard Row 3 2 3 2 7" xfId="23550" xr:uid="{00000000-0005-0000-0000-0000FF070000}"/>
    <cellStyle name="PB Table Standard Row 3 2 3 2 7 2" xfId="41919" xr:uid="{00000000-0005-0000-0000-0000FF070000}"/>
    <cellStyle name="PB Table Standard Row 3 2 3 2 8" xfId="18662" xr:uid="{00000000-0005-0000-0000-0000FF070000}"/>
    <cellStyle name="PB Table Standard Row 3 2 3 2 9" xfId="37072" xr:uid="{00000000-0005-0000-0000-0000FF070000}"/>
    <cellStyle name="PB Table Standard Row 3 2 3 3" xfId="4682" xr:uid="{00000000-0005-0000-0000-0000FF070000}"/>
    <cellStyle name="PB Table Standard Row 3 2 3 3 2" xfId="11266" xr:uid="{00000000-0005-0000-0000-0000FF070000}"/>
    <cellStyle name="PB Table Standard Row 3 2 3 3 2 2" xfId="29878" xr:uid="{00000000-0005-0000-0000-0000FF070000}"/>
    <cellStyle name="PB Table Standard Row 3 2 3 3 2 3" xfId="48241" xr:uid="{00000000-0005-0000-0000-0000FF070000}"/>
    <cellStyle name="PB Table Standard Row 3 2 3 3 3" xfId="15408" xr:uid="{00000000-0005-0000-0000-0000FF070000}"/>
    <cellStyle name="PB Table Standard Row 3 2 3 3 3 2" xfId="33801" xr:uid="{00000000-0005-0000-0000-0000FF070000}"/>
    <cellStyle name="PB Table Standard Row 3 2 3 3 3 3" xfId="52164" xr:uid="{00000000-0005-0000-0000-0000FF070000}"/>
    <cellStyle name="PB Table Standard Row 3 2 3 3 4" xfId="24532" xr:uid="{00000000-0005-0000-0000-0000FF070000}"/>
    <cellStyle name="PB Table Standard Row 3 2 3 3 4 2" xfId="42901" xr:uid="{00000000-0005-0000-0000-0000FF070000}"/>
    <cellStyle name="PB Table Standard Row 3 2 3 3 5" xfId="20859" xr:uid="{00000000-0005-0000-0000-0000FF070000}"/>
    <cellStyle name="PB Table Standard Row 3 2 3 3 6" xfId="39248" xr:uid="{00000000-0005-0000-0000-0000FF070000}"/>
    <cellStyle name="PB Table Standard Row 3 2 3 4" xfId="4870" xr:uid="{00000000-0005-0000-0000-0000FF070000}"/>
    <cellStyle name="PB Table Standard Row 3 2 3 4 2" xfId="11428" xr:uid="{00000000-0005-0000-0000-0000FF070000}"/>
    <cellStyle name="PB Table Standard Row 3 2 3 4 2 2" xfId="30018" xr:uid="{00000000-0005-0000-0000-0000FF070000}"/>
    <cellStyle name="PB Table Standard Row 3 2 3 4 2 3" xfId="48381" xr:uid="{00000000-0005-0000-0000-0000FF070000}"/>
    <cellStyle name="PB Table Standard Row 3 2 3 4 3" xfId="15596" xr:uid="{00000000-0005-0000-0000-0000FF070000}"/>
    <cellStyle name="PB Table Standard Row 3 2 3 4 3 2" xfId="33987" xr:uid="{00000000-0005-0000-0000-0000FF070000}"/>
    <cellStyle name="PB Table Standard Row 3 2 3 4 3 3" xfId="52350" xr:uid="{00000000-0005-0000-0000-0000FF070000}"/>
    <cellStyle name="PB Table Standard Row 3 2 3 4 4" xfId="24718" xr:uid="{00000000-0005-0000-0000-0000FF070000}"/>
    <cellStyle name="PB Table Standard Row 3 2 3 4 4 2" xfId="43087" xr:uid="{00000000-0005-0000-0000-0000FF070000}"/>
    <cellStyle name="PB Table Standard Row 3 2 3 4 5" xfId="21045" xr:uid="{00000000-0005-0000-0000-0000FF070000}"/>
    <cellStyle name="PB Table Standard Row 3 2 3 4 6" xfId="39434" xr:uid="{00000000-0005-0000-0000-0000FF070000}"/>
    <cellStyle name="PB Table Standard Row 3 2 3 5" xfId="9073" xr:uid="{00000000-0005-0000-0000-0000FF070000}"/>
    <cellStyle name="PB Table Standard Row 3 2 3 5 2" xfId="8414" xr:uid="{00000000-0005-0000-0000-0000FF070000}"/>
    <cellStyle name="PB Table Standard Row 3 2 3 5 2 2" xfId="27475" xr:uid="{00000000-0005-0000-0000-0000FF070000}"/>
    <cellStyle name="PB Table Standard Row 3 2 3 5 2 3" xfId="45839" xr:uid="{00000000-0005-0000-0000-0000FF070000}"/>
    <cellStyle name="PB Table Standard Row 3 2 3 5 3" xfId="27799" xr:uid="{00000000-0005-0000-0000-0000FF070000}"/>
    <cellStyle name="PB Table Standard Row 3 2 3 5 3 2" xfId="46162" xr:uid="{00000000-0005-0000-0000-0000FF070000}"/>
    <cellStyle name="PB Table Standard Row 3 2 3 5 4" xfId="17973" xr:uid="{00000000-0005-0000-0000-0000FF070000}"/>
    <cellStyle name="PB Table Standard Row 3 2 3 5 5" xfId="36381" xr:uid="{00000000-0005-0000-0000-0000FF070000}"/>
    <cellStyle name="PB Table Standard Row 3 2 3 6" xfId="7976" xr:uid="{00000000-0005-0000-0000-0000FF070000}"/>
    <cellStyle name="PB Table Standard Row 3 2 3 6 2" xfId="27206" xr:uid="{00000000-0005-0000-0000-0000FF070000}"/>
    <cellStyle name="PB Table Standard Row 3 2 3 6 3" xfId="45571" xr:uid="{00000000-0005-0000-0000-0000FF070000}"/>
    <cellStyle name="PB Table Standard Row 3 2 3 7" xfId="8025" xr:uid="{00000000-0005-0000-0000-0000FF070000}"/>
    <cellStyle name="PB Table Standard Row 3 2 3 7 2" xfId="27255" xr:uid="{00000000-0005-0000-0000-0000FF070000}"/>
    <cellStyle name="PB Table Standard Row 3 2 3 7 3" xfId="45620" xr:uid="{00000000-0005-0000-0000-0000FF070000}"/>
    <cellStyle name="PB Table Standard Row 3 2 3 8" xfId="19521" xr:uid="{00000000-0005-0000-0000-0000FF070000}"/>
    <cellStyle name="PB Table Standard Row 3 2 3 8 2" xfId="37927" xr:uid="{00000000-0005-0000-0000-0000FF070000}"/>
    <cellStyle name="PB Table Standard Row 3 2 3 9" xfId="8580" xr:uid="{00000000-0005-0000-0000-0000FF070000}"/>
    <cellStyle name="PB Table Standard Row 3 2 4" xfId="1773" xr:uid="{00000000-0005-0000-0000-000000080000}"/>
    <cellStyle name="PB Table Standard Row 3 2 4 10" xfId="11441" xr:uid="{00000000-0005-0000-0000-000000080000}"/>
    <cellStyle name="PB Table Standard Row 3 2 4 2" xfId="3670" xr:uid="{00000000-0005-0000-0000-000000080000}"/>
    <cellStyle name="PB Table Standard Row 3 2 4 2 2" xfId="5843" xr:uid="{00000000-0005-0000-0000-000000080000}"/>
    <cellStyle name="PB Table Standard Row 3 2 4 2 2 2" xfId="12207" xr:uid="{00000000-0005-0000-0000-000000080000}"/>
    <cellStyle name="PB Table Standard Row 3 2 4 2 2 2 2" xfId="30654" xr:uid="{00000000-0005-0000-0000-000000080000}"/>
    <cellStyle name="PB Table Standard Row 3 2 4 2 2 2 3" xfId="49017" xr:uid="{00000000-0005-0000-0000-000000080000}"/>
    <cellStyle name="PB Table Standard Row 3 2 4 2 2 3" xfId="16533" xr:uid="{00000000-0005-0000-0000-000000080000}"/>
    <cellStyle name="PB Table Standard Row 3 2 4 2 2 3 2" xfId="34905" xr:uid="{00000000-0005-0000-0000-000000080000}"/>
    <cellStyle name="PB Table Standard Row 3 2 4 2 2 3 3" xfId="53268" xr:uid="{00000000-0005-0000-0000-000000080000}"/>
    <cellStyle name="PB Table Standard Row 3 2 4 2 2 4" xfId="25652" xr:uid="{00000000-0005-0000-0000-000000080000}"/>
    <cellStyle name="PB Table Standard Row 3 2 4 2 2 4 2" xfId="44021" xr:uid="{00000000-0005-0000-0000-000000080000}"/>
    <cellStyle name="PB Table Standard Row 3 2 4 2 2 5" xfId="21973" xr:uid="{00000000-0005-0000-0000-000000080000}"/>
    <cellStyle name="PB Table Standard Row 3 2 4 2 2 6" xfId="40352" xr:uid="{00000000-0005-0000-0000-000000080000}"/>
    <cellStyle name="PB Table Standard Row 3 2 4 2 3" xfId="6669" xr:uid="{00000000-0005-0000-0000-000000080000}"/>
    <cellStyle name="PB Table Standard Row 3 2 4 2 3 2" xfId="12960" xr:uid="{00000000-0005-0000-0000-000000080000}"/>
    <cellStyle name="PB Table Standard Row 3 2 4 2 3 2 2" xfId="31386" xr:uid="{00000000-0005-0000-0000-000000080000}"/>
    <cellStyle name="PB Table Standard Row 3 2 4 2 3 2 3" xfId="49749" xr:uid="{00000000-0005-0000-0000-000000080000}"/>
    <cellStyle name="PB Table Standard Row 3 2 4 2 3 3" xfId="17271" xr:uid="{00000000-0005-0000-0000-000000080000}"/>
    <cellStyle name="PB Table Standard Row 3 2 4 2 3 3 2" xfId="35619" xr:uid="{00000000-0005-0000-0000-000000080000}"/>
    <cellStyle name="PB Table Standard Row 3 2 4 2 3 3 3" xfId="53982" xr:uid="{00000000-0005-0000-0000-000000080000}"/>
    <cellStyle name="PB Table Standard Row 3 2 4 2 3 4" xfId="26404" xr:uid="{00000000-0005-0000-0000-000000080000}"/>
    <cellStyle name="PB Table Standard Row 3 2 4 2 3 4 2" xfId="44773" xr:uid="{00000000-0005-0000-0000-000000080000}"/>
    <cellStyle name="PB Table Standard Row 3 2 4 2 3 5" xfId="22697" xr:uid="{00000000-0005-0000-0000-000000080000}"/>
    <cellStyle name="PB Table Standard Row 3 2 4 2 3 6" xfId="41066" xr:uid="{00000000-0005-0000-0000-000000080000}"/>
    <cellStyle name="PB Table Standard Row 3 2 4 2 4" xfId="10383" xr:uid="{00000000-0005-0000-0000-000000080000}"/>
    <cellStyle name="PB Table Standard Row 3 2 4 2 4 2" xfId="14440" xr:uid="{00000000-0005-0000-0000-000000080000}"/>
    <cellStyle name="PB Table Standard Row 3 2 4 2 4 2 2" xfId="32856" xr:uid="{00000000-0005-0000-0000-000000080000}"/>
    <cellStyle name="PB Table Standard Row 3 2 4 2 4 2 3" xfId="51219" xr:uid="{00000000-0005-0000-0000-000000080000}"/>
    <cellStyle name="PB Table Standard Row 3 2 4 2 4 3" xfId="29094" xr:uid="{00000000-0005-0000-0000-000000080000}"/>
    <cellStyle name="PB Table Standard Row 3 2 4 2 4 3 2" xfId="47457" xr:uid="{00000000-0005-0000-0000-000000080000}"/>
    <cellStyle name="PB Table Standard Row 3 2 4 2 4 4" xfId="19897" xr:uid="{00000000-0005-0000-0000-000000080000}"/>
    <cellStyle name="PB Table Standard Row 3 2 4 2 4 5" xfId="38303" xr:uid="{00000000-0005-0000-0000-000000080000}"/>
    <cellStyle name="PB Table Standard Row 3 2 4 2 5" xfId="9591" xr:uid="{00000000-0005-0000-0000-000000080000}"/>
    <cellStyle name="PB Table Standard Row 3 2 4 2 5 2" xfId="28308" xr:uid="{00000000-0005-0000-0000-000000080000}"/>
    <cellStyle name="PB Table Standard Row 3 2 4 2 5 3" xfId="46671" xr:uid="{00000000-0005-0000-0000-000000080000}"/>
    <cellStyle name="PB Table Standard Row 3 2 4 2 6" xfId="13649" xr:uid="{00000000-0005-0000-0000-000000080000}"/>
    <cellStyle name="PB Table Standard Row 3 2 4 2 6 2" xfId="32070" xr:uid="{00000000-0005-0000-0000-000000080000}"/>
    <cellStyle name="PB Table Standard Row 3 2 4 2 6 3" xfId="50433" xr:uid="{00000000-0005-0000-0000-000000080000}"/>
    <cellStyle name="PB Table Standard Row 3 2 4 2 7" xfId="23578" xr:uid="{00000000-0005-0000-0000-000000080000}"/>
    <cellStyle name="PB Table Standard Row 3 2 4 2 7 2" xfId="41947" xr:uid="{00000000-0005-0000-0000-000000080000}"/>
    <cellStyle name="PB Table Standard Row 3 2 4 2 8" xfId="18690" xr:uid="{00000000-0005-0000-0000-000000080000}"/>
    <cellStyle name="PB Table Standard Row 3 2 4 2 9" xfId="37100" xr:uid="{00000000-0005-0000-0000-000000080000}"/>
    <cellStyle name="PB Table Standard Row 3 2 4 3" xfId="4710" xr:uid="{00000000-0005-0000-0000-000000080000}"/>
    <cellStyle name="PB Table Standard Row 3 2 4 3 2" xfId="11294" xr:uid="{00000000-0005-0000-0000-000000080000}"/>
    <cellStyle name="PB Table Standard Row 3 2 4 3 2 2" xfId="29906" xr:uid="{00000000-0005-0000-0000-000000080000}"/>
    <cellStyle name="PB Table Standard Row 3 2 4 3 2 3" xfId="48269" xr:uid="{00000000-0005-0000-0000-000000080000}"/>
    <cellStyle name="PB Table Standard Row 3 2 4 3 3" xfId="15436" xr:uid="{00000000-0005-0000-0000-000000080000}"/>
    <cellStyle name="PB Table Standard Row 3 2 4 3 3 2" xfId="33829" xr:uid="{00000000-0005-0000-0000-000000080000}"/>
    <cellStyle name="PB Table Standard Row 3 2 4 3 3 3" xfId="52192" xr:uid="{00000000-0005-0000-0000-000000080000}"/>
    <cellStyle name="PB Table Standard Row 3 2 4 3 4" xfId="24560" xr:uid="{00000000-0005-0000-0000-000000080000}"/>
    <cellStyle name="PB Table Standard Row 3 2 4 3 4 2" xfId="42929" xr:uid="{00000000-0005-0000-0000-000000080000}"/>
    <cellStyle name="PB Table Standard Row 3 2 4 3 5" xfId="20887" xr:uid="{00000000-0005-0000-0000-000000080000}"/>
    <cellStyle name="PB Table Standard Row 3 2 4 3 6" xfId="39276" xr:uid="{00000000-0005-0000-0000-000000080000}"/>
    <cellStyle name="PB Table Standard Row 3 2 4 4" xfId="5023" xr:uid="{00000000-0005-0000-0000-000000080000}"/>
    <cellStyle name="PB Table Standard Row 3 2 4 4 2" xfId="11546" xr:uid="{00000000-0005-0000-0000-000000080000}"/>
    <cellStyle name="PB Table Standard Row 3 2 4 4 2 2" xfId="30118" xr:uid="{00000000-0005-0000-0000-000000080000}"/>
    <cellStyle name="PB Table Standard Row 3 2 4 4 2 3" xfId="48481" xr:uid="{00000000-0005-0000-0000-000000080000}"/>
    <cellStyle name="PB Table Standard Row 3 2 4 4 3" xfId="15736" xr:uid="{00000000-0005-0000-0000-000000080000}"/>
    <cellStyle name="PB Table Standard Row 3 2 4 4 3 2" xfId="34124" xr:uid="{00000000-0005-0000-0000-000000080000}"/>
    <cellStyle name="PB Table Standard Row 3 2 4 4 3 3" xfId="52487" xr:uid="{00000000-0005-0000-0000-000000080000}"/>
    <cellStyle name="PB Table Standard Row 3 2 4 4 4" xfId="24860" xr:uid="{00000000-0005-0000-0000-000000080000}"/>
    <cellStyle name="PB Table Standard Row 3 2 4 4 4 2" xfId="43229" xr:uid="{00000000-0005-0000-0000-000000080000}"/>
    <cellStyle name="PB Table Standard Row 3 2 4 4 5" xfId="21184" xr:uid="{00000000-0005-0000-0000-000000080000}"/>
    <cellStyle name="PB Table Standard Row 3 2 4 4 6" xfId="39571" xr:uid="{00000000-0005-0000-0000-000000080000}"/>
    <cellStyle name="PB Table Standard Row 3 2 4 5" xfId="9796" xr:uid="{00000000-0005-0000-0000-000000080000}"/>
    <cellStyle name="PB Table Standard Row 3 2 4 5 2" xfId="13853" xr:uid="{00000000-0005-0000-0000-000000080000}"/>
    <cellStyle name="PB Table Standard Row 3 2 4 5 2 2" xfId="32273" xr:uid="{00000000-0005-0000-0000-000000080000}"/>
    <cellStyle name="PB Table Standard Row 3 2 4 5 2 3" xfId="50636" xr:uid="{00000000-0005-0000-0000-000000080000}"/>
    <cellStyle name="PB Table Standard Row 3 2 4 5 3" xfId="28511" xr:uid="{00000000-0005-0000-0000-000000080000}"/>
    <cellStyle name="PB Table Standard Row 3 2 4 5 3 2" xfId="46874" xr:uid="{00000000-0005-0000-0000-000000080000}"/>
    <cellStyle name="PB Table Standard Row 3 2 4 5 4" xfId="19011" xr:uid="{00000000-0005-0000-0000-000000080000}"/>
    <cellStyle name="PB Table Standard Row 3 2 4 5 5" xfId="37420" xr:uid="{00000000-0005-0000-0000-000000080000}"/>
    <cellStyle name="PB Table Standard Row 3 2 4 6" xfId="8004" xr:uid="{00000000-0005-0000-0000-000000080000}"/>
    <cellStyle name="PB Table Standard Row 3 2 4 6 2" xfId="27234" xr:uid="{00000000-0005-0000-0000-000000080000}"/>
    <cellStyle name="PB Table Standard Row 3 2 4 6 3" xfId="45599" xr:uid="{00000000-0005-0000-0000-000000080000}"/>
    <cellStyle name="PB Table Standard Row 3 2 4 7" xfId="8685" xr:uid="{00000000-0005-0000-0000-000000080000}"/>
    <cellStyle name="PB Table Standard Row 3 2 4 7 2" xfId="27583" xr:uid="{00000000-0005-0000-0000-000000080000}"/>
    <cellStyle name="PB Table Standard Row 3 2 4 7 3" xfId="45946" xr:uid="{00000000-0005-0000-0000-000000080000}"/>
    <cellStyle name="PB Table Standard Row 3 2 4 8" xfId="19267" xr:uid="{00000000-0005-0000-0000-000000080000}"/>
    <cellStyle name="PB Table Standard Row 3 2 4 8 2" xfId="37674" xr:uid="{00000000-0005-0000-0000-000000080000}"/>
    <cellStyle name="PB Table Standard Row 3 2 4 9" xfId="7323" xr:uid="{00000000-0005-0000-0000-000000080000}"/>
    <cellStyle name="PB Table Standard Row 3 2 5" xfId="3546" xr:uid="{00000000-0005-0000-0000-0000FD070000}"/>
    <cellStyle name="PB Table Standard Row 3 2 5 2" xfId="6545" xr:uid="{00000000-0005-0000-0000-0000FD070000}"/>
    <cellStyle name="PB Table Standard Row 3 2 5 2 2" xfId="12836" xr:uid="{00000000-0005-0000-0000-0000FD070000}"/>
    <cellStyle name="PB Table Standard Row 3 2 5 2 2 2" xfId="31262" xr:uid="{00000000-0005-0000-0000-0000FD070000}"/>
    <cellStyle name="PB Table Standard Row 3 2 5 2 2 3" xfId="49625" xr:uid="{00000000-0005-0000-0000-0000FD070000}"/>
    <cellStyle name="PB Table Standard Row 3 2 5 2 3" xfId="17147" xr:uid="{00000000-0005-0000-0000-0000FD070000}"/>
    <cellStyle name="PB Table Standard Row 3 2 5 2 3 2" xfId="35495" xr:uid="{00000000-0005-0000-0000-0000FD070000}"/>
    <cellStyle name="PB Table Standard Row 3 2 5 2 3 3" xfId="53858" xr:uid="{00000000-0005-0000-0000-0000FD070000}"/>
    <cellStyle name="PB Table Standard Row 3 2 5 2 4" xfId="26280" xr:uid="{00000000-0005-0000-0000-0000FD070000}"/>
    <cellStyle name="PB Table Standard Row 3 2 5 2 4 2" xfId="44649" xr:uid="{00000000-0005-0000-0000-0000FD070000}"/>
    <cellStyle name="PB Table Standard Row 3 2 5 2 5" xfId="22573" xr:uid="{00000000-0005-0000-0000-0000FD070000}"/>
    <cellStyle name="PB Table Standard Row 3 2 5 2 6" xfId="40942" xr:uid="{00000000-0005-0000-0000-0000FD070000}"/>
    <cellStyle name="PB Table Standard Row 3 2 5 3" xfId="10259" xr:uid="{00000000-0005-0000-0000-0000FD070000}"/>
    <cellStyle name="PB Table Standard Row 3 2 5 3 2" xfId="14316" xr:uid="{00000000-0005-0000-0000-0000FD070000}"/>
    <cellStyle name="PB Table Standard Row 3 2 5 3 2 2" xfId="32732" xr:uid="{00000000-0005-0000-0000-0000FD070000}"/>
    <cellStyle name="PB Table Standard Row 3 2 5 3 2 3" xfId="51095" xr:uid="{00000000-0005-0000-0000-0000FD070000}"/>
    <cellStyle name="PB Table Standard Row 3 2 5 3 3" xfId="28970" xr:uid="{00000000-0005-0000-0000-0000FD070000}"/>
    <cellStyle name="PB Table Standard Row 3 2 5 3 3 2" xfId="47333" xr:uid="{00000000-0005-0000-0000-0000FD070000}"/>
    <cellStyle name="PB Table Standard Row 3 2 5 3 4" xfId="19773" xr:uid="{00000000-0005-0000-0000-0000FD070000}"/>
    <cellStyle name="PB Table Standard Row 3 2 5 3 5" xfId="38179" xr:uid="{00000000-0005-0000-0000-0000FD070000}"/>
    <cellStyle name="PB Table Standard Row 3 2 5 4" xfId="13525" xr:uid="{00000000-0005-0000-0000-0000FD070000}"/>
    <cellStyle name="PB Table Standard Row 3 2 5 4 2" xfId="31946" xr:uid="{00000000-0005-0000-0000-0000FD070000}"/>
    <cellStyle name="PB Table Standard Row 3 2 5 4 3" xfId="50309" xr:uid="{00000000-0005-0000-0000-0000FD070000}"/>
    <cellStyle name="PB Table Standard Row 3 2 5 5" xfId="23454" xr:uid="{00000000-0005-0000-0000-0000FD070000}"/>
    <cellStyle name="PB Table Standard Row 3 2 5 5 2" xfId="41823" xr:uid="{00000000-0005-0000-0000-0000FD070000}"/>
    <cellStyle name="PB Table Standard Row 3 2 5 6" xfId="36973" xr:uid="{00000000-0005-0000-0000-0000FD070000}"/>
    <cellStyle name="PB Table Standard Row 3 2 6" xfId="9102" xr:uid="{00000000-0005-0000-0000-0000FD070000}"/>
    <cellStyle name="PB Table Standard Row 3 2 6 2" xfId="8142" xr:uid="{00000000-0005-0000-0000-0000FD070000}"/>
    <cellStyle name="PB Table Standard Row 3 2 6 2 2" xfId="27346" xr:uid="{00000000-0005-0000-0000-0000FD070000}"/>
    <cellStyle name="PB Table Standard Row 3 2 6 2 3" xfId="45711" xr:uid="{00000000-0005-0000-0000-0000FD070000}"/>
    <cellStyle name="PB Table Standard Row 3 2 6 3" xfId="27828" xr:uid="{00000000-0005-0000-0000-0000FD070000}"/>
    <cellStyle name="PB Table Standard Row 3 2 6 3 2" xfId="46191" xr:uid="{00000000-0005-0000-0000-0000FD070000}"/>
    <cellStyle name="PB Table Standard Row 3 2 6 4" xfId="18005" xr:uid="{00000000-0005-0000-0000-0000FD070000}"/>
    <cellStyle name="PB Table Standard Row 3 2 6 5" xfId="36413" xr:uid="{00000000-0005-0000-0000-0000FD070000}"/>
    <cellStyle name="PB Table Standard Row 3 2 7" xfId="8779" xr:uid="{00000000-0005-0000-0000-0000FD070000}"/>
    <cellStyle name="PB Table Standard Row 3 3" xfId="1527" xr:uid="{00000000-0005-0000-0000-000001080000}"/>
    <cellStyle name="PB Table Standard Row 3 3 10" xfId="8084" xr:uid="{00000000-0005-0000-0000-000001080000}"/>
    <cellStyle name="PB Table Standard Row 3 3 2" xfId="1693" xr:uid="{00000000-0005-0000-0000-000002080000}"/>
    <cellStyle name="PB Table Standard Row 3 3 2 2" xfId="3591" xr:uid="{00000000-0005-0000-0000-000002080000}"/>
    <cellStyle name="PB Table Standard Row 3 3 2 2 2" xfId="5764" xr:uid="{00000000-0005-0000-0000-000002080000}"/>
    <cellStyle name="PB Table Standard Row 3 3 2 2 2 2" xfId="12128" xr:uid="{00000000-0005-0000-0000-000002080000}"/>
    <cellStyle name="PB Table Standard Row 3 3 2 2 2 2 2" xfId="30575" xr:uid="{00000000-0005-0000-0000-000002080000}"/>
    <cellStyle name="PB Table Standard Row 3 3 2 2 2 2 3" xfId="48938" xr:uid="{00000000-0005-0000-0000-000002080000}"/>
    <cellStyle name="PB Table Standard Row 3 3 2 2 2 3" xfId="16454" xr:uid="{00000000-0005-0000-0000-000002080000}"/>
    <cellStyle name="PB Table Standard Row 3 3 2 2 2 3 2" xfId="34826" xr:uid="{00000000-0005-0000-0000-000002080000}"/>
    <cellStyle name="PB Table Standard Row 3 3 2 2 2 3 3" xfId="53189" xr:uid="{00000000-0005-0000-0000-000002080000}"/>
    <cellStyle name="PB Table Standard Row 3 3 2 2 2 4" xfId="25573" xr:uid="{00000000-0005-0000-0000-000002080000}"/>
    <cellStyle name="PB Table Standard Row 3 3 2 2 2 4 2" xfId="43942" xr:uid="{00000000-0005-0000-0000-000002080000}"/>
    <cellStyle name="PB Table Standard Row 3 3 2 2 2 5" xfId="21894" xr:uid="{00000000-0005-0000-0000-000002080000}"/>
    <cellStyle name="PB Table Standard Row 3 3 2 2 2 6" xfId="40273" xr:uid="{00000000-0005-0000-0000-000002080000}"/>
    <cellStyle name="PB Table Standard Row 3 3 2 2 3" xfId="6590" xr:uid="{00000000-0005-0000-0000-000002080000}"/>
    <cellStyle name="PB Table Standard Row 3 3 2 2 3 2" xfId="12881" xr:uid="{00000000-0005-0000-0000-000002080000}"/>
    <cellStyle name="PB Table Standard Row 3 3 2 2 3 2 2" xfId="31307" xr:uid="{00000000-0005-0000-0000-000002080000}"/>
    <cellStyle name="PB Table Standard Row 3 3 2 2 3 2 3" xfId="49670" xr:uid="{00000000-0005-0000-0000-000002080000}"/>
    <cellStyle name="PB Table Standard Row 3 3 2 2 3 3" xfId="17192" xr:uid="{00000000-0005-0000-0000-000002080000}"/>
    <cellStyle name="PB Table Standard Row 3 3 2 2 3 3 2" xfId="35540" xr:uid="{00000000-0005-0000-0000-000002080000}"/>
    <cellStyle name="PB Table Standard Row 3 3 2 2 3 3 3" xfId="53903" xr:uid="{00000000-0005-0000-0000-000002080000}"/>
    <cellStyle name="PB Table Standard Row 3 3 2 2 3 4" xfId="26325" xr:uid="{00000000-0005-0000-0000-000002080000}"/>
    <cellStyle name="PB Table Standard Row 3 3 2 2 3 4 2" xfId="44694" xr:uid="{00000000-0005-0000-0000-000002080000}"/>
    <cellStyle name="PB Table Standard Row 3 3 2 2 3 5" xfId="22618" xr:uid="{00000000-0005-0000-0000-000002080000}"/>
    <cellStyle name="PB Table Standard Row 3 3 2 2 3 6" xfId="40987" xr:uid="{00000000-0005-0000-0000-000002080000}"/>
    <cellStyle name="PB Table Standard Row 3 3 2 2 4" xfId="10304" xr:uid="{00000000-0005-0000-0000-000002080000}"/>
    <cellStyle name="PB Table Standard Row 3 3 2 2 4 2" xfId="14361" xr:uid="{00000000-0005-0000-0000-000002080000}"/>
    <cellStyle name="PB Table Standard Row 3 3 2 2 4 2 2" xfId="32777" xr:uid="{00000000-0005-0000-0000-000002080000}"/>
    <cellStyle name="PB Table Standard Row 3 3 2 2 4 2 3" xfId="51140" xr:uid="{00000000-0005-0000-0000-000002080000}"/>
    <cellStyle name="PB Table Standard Row 3 3 2 2 4 3" xfId="29015" xr:uid="{00000000-0005-0000-0000-000002080000}"/>
    <cellStyle name="PB Table Standard Row 3 3 2 2 4 3 2" xfId="47378" xr:uid="{00000000-0005-0000-0000-000002080000}"/>
    <cellStyle name="PB Table Standard Row 3 3 2 2 4 4" xfId="19818" xr:uid="{00000000-0005-0000-0000-000002080000}"/>
    <cellStyle name="PB Table Standard Row 3 3 2 2 4 5" xfId="38224" xr:uid="{00000000-0005-0000-0000-000002080000}"/>
    <cellStyle name="PB Table Standard Row 3 3 2 2 5" xfId="9512" xr:uid="{00000000-0005-0000-0000-000002080000}"/>
    <cellStyle name="PB Table Standard Row 3 3 2 2 5 2" xfId="28229" xr:uid="{00000000-0005-0000-0000-000002080000}"/>
    <cellStyle name="PB Table Standard Row 3 3 2 2 5 3" xfId="46592" xr:uid="{00000000-0005-0000-0000-000002080000}"/>
    <cellStyle name="PB Table Standard Row 3 3 2 2 6" xfId="13570" xr:uid="{00000000-0005-0000-0000-000002080000}"/>
    <cellStyle name="PB Table Standard Row 3 3 2 2 6 2" xfId="31991" xr:uid="{00000000-0005-0000-0000-000002080000}"/>
    <cellStyle name="PB Table Standard Row 3 3 2 2 6 3" xfId="50354" xr:uid="{00000000-0005-0000-0000-000002080000}"/>
    <cellStyle name="PB Table Standard Row 3 3 2 2 7" xfId="23499" xr:uid="{00000000-0005-0000-0000-000002080000}"/>
    <cellStyle name="PB Table Standard Row 3 3 2 2 7 2" xfId="41868" xr:uid="{00000000-0005-0000-0000-000002080000}"/>
    <cellStyle name="PB Table Standard Row 3 3 2 2 8" xfId="18610" xr:uid="{00000000-0005-0000-0000-000002080000}"/>
    <cellStyle name="PB Table Standard Row 3 3 2 2 9" xfId="37020" xr:uid="{00000000-0005-0000-0000-000002080000}"/>
    <cellStyle name="PB Table Standard Row 3 3 2 3" xfId="4558" xr:uid="{00000000-0005-0000-0000-000002080000}"/>
    <cellStyle name="PB Table Standard Row 3 3 2 3 2" xfId="11143" xr:uid="{00000000-0005-0000-0000-000002080000}"/>
    <cellStyle name="PB Table Standard Row 3 3 2 3 2 2" xfId="29758" xr:uid="{00000000-0005-0000-0000-000002080000}"/>
    <cellStyle name="PB Table Standard Row 3 3 2 3 2 3" xfId="48121" xr:uid="{00000000-0005-0000-0000-000002080000}"/>
    <cellStyle name="PB Table Standard Row 3 3 2 3 3" xfId="15285" xr:uid="{00000000-0005-0000-0000-000002080000}"/>
    <cellStyle name="PB Table Standard Row 3 3 2 3 3 2" xfId="33679" xr:uid="{00000000-0005-0000-0000-000002080000}"/>
    <cellStyle name="PB Table Standard Row 3 3 2 3 3 3" xfId="52042" xr:uid="{00000000-0005-0000-0000-000002080000}"/>
    <cellStyle name="PB Table Standard Row 3 3 2 3 4" xfId="24410" xr:uid="{00000000-0005-0000-0000-000002080000}"/>
    <cellStyle name="PB Table Standard Row 3 3 2 3 4 2" xfId="42779" xr:uid="{00000000-0005-0000-0000-000002080000}"/>
    <cellStyle name="PB Table Standard Row 3 3 2 3 5" xfId="20735" xr:uid="{00000000-0005-0000-0000-000002080000}"/>
    <cellStyle name="PB Table Standard Row 3 3 2 3 6" xfId="39126" xr:uid="{00000000-0005-0000-0000-000002080000}"/>
    <cellStyle name="PB Table Standard Row 3 3 2 4" xfId="9709" xr:uid="{00000000-0005-0000-0000-000002080000}"/>
    <cellStyle name="PB Table Standard Row 3 3 2 4 2" xfId="13766" xr:uid="{00000000-0005-0000-0000-000002080000}"/>
    <cellStyle name="PB Table Standard Row 3 3 2 4 2 2" xfId="32187" xr:uid="{00000000-0005-0000-0000-000002080000}"/>
    <cellStyle name="PB Table Standard Row 3 3 2 4 2 3" xfId="50550" xr:uid="{00000000-0005-0000-0000-000002080000}"/>
    <cellStyle name="PB Table Standard Row 3 3 2 4 3" xfId="28425" xr:uid="{00000000-0005-0000-0000-000002080000}"/>
    <cellStyle name="PB Table Standard Row 3 3 2 4 3 2" xfId="46788" xr:uid="{00000000-0005-0000-0000-000002080000}"/>
    <cellStyle name="PB Table Standard Row 3 3 2 4 4" xfId="18856" xr:uid="{00000000-0005-0000-0000-000002080000}"/>
    <cellStyle name="PB Table Standard Row 3 3 2 4 5" xfId="37265" xr:uid="{00000000-0005-0000-0000-000002080000}"/>
    <cellStyle name="PB Table Standard Row 3 3 2 5" xfId="8621" xr:uid="{00000000-0005-0000-0000-000002080000}"/>
    <cellStyle name="PB Table Standard Row 3 3 2 5 2" xfId="27533" xr:uid="{00000000-0005-0000-0000-000002080000}"/>
    <cellStyle name="PB Table Standard Row 3 3 2 5 3" xfId="45897" xr:uid="{00000000-0005-0000-0000-000002080000}"/>
    <cellStyle name="PB Table Standard Row 3 3 2 6" xfId="18974" xr:uid="{00000000-0005-0000-0000-000002080000}"/>
    <cellStyle name="PB Table Standard Row 3 3 2 6 2" xfId="37383" xr:uid="{00000000-0005-0000-0000-000002080000}"/>
    <cellStyle name="PB Table Standard Row 3 3 2 7" xfId="27413" xr:uid="{00000000-0005-0000-0000-000002080000}"/>
    <cellStyle name="PB Table Standard Row 3 3 3" xfId="1412" xr:uid="{00000000-0005-0000-0000-000003080000}"/>
    <cellStyle name="PB Table Standard Row 3 3 3 10" xfId="8435" xr:uid="{00000000-0005-0000-0000-000003080000}"/>
    <cellStyle name="PB Table Standard Row 3 3 3 2" xfId="3445" xr:uid="{00000000-0005-0000-0000-000003080000}"/>
    <cellStyle name="PB Table Standard Row 3 3 3 2 2" xfId="5620" xr:uid="{00000000-0005-0000-0000-000003080000}"/>
    <cellStyle name="PB Table Standard Row 3 3 3 2 2 2" xfId="11984" xr:uid="{00000000-0005-0000-0000-000003080000}"/>
    <cellStyle name="PB Table Standard Row 3 3 3 2 2 2 2" xfId="30431" xr:uid="{00000000-0005-0000-0000-000003080000}"/>
    <cellStyle name="PB Table Standard Row 3 3 3 2 2 2 3" xfId="48794" xr:uid="{00000000-0005-0000-0000-000003080000}"/>
    <cellStyle name="PB Table Standard Row 3 3 3 2 2 3" xfId="16310" xr:uid="{00000000-0005-0000-0000-000003080000}"/>
    <cellStyle name="PB Table Standard Row 3 3 3 2 2 3 2" xfId="34682" xr:uid="{00000000-0005-0000-0000-000003080000}"/>
    <cellStyle name="PB Table Standard Row 3 3 3 2 2 3 3" xfId="53045" xr:uid="{00000000-0005-0000-0000-000003080000}"/>
    <cellStyle name="PB Table Standard Row 3 3 3 2 2 4" xfId="25429" xr:uid="{00000000-0005-0000-0000-000003080000}"/>
    <cellStyle name="PB Table Standard Row 3 3 3 2 2 4 2" xfId="43798" xr:uid="{00000000-0005-0000-0000-000003080000}"/>
    <cellStyle name="PB Table Standard Row 3 3 3 2 2 5" xfId="21750" xr:uid="{00000000-0005-0000-0000-000003080000}"/>
    <cellStyle name="PB Table Standard Row 3 3 3 2 2 6" xfId="40129" xr:uid="{00000000-0005-0000-0000-000003080000}"/>
    <cellStyle name="PB Table Standard Row 3 3 3 2 3" xfId="6444" xr:uid="{00000000-0005-0000-0000-000003080000}"/>
    <cellStyle name="PB Table Standard Row 3 3 3 2 3 2" xfId="12735" xr:uid="{00000000-0005-0000-0000-000003080000}"/>
    <cellStyle name="PB Table Standard Row 3 3 3 2 3 2 2" xfId="31161" xr:uid="{00000000-0005-0000-0000-000003080000}"/>
    <cellStyle name="PB Table Standard Row 3 3 3 2 3 2 3" xfId="49524" xr:uid="{00000000-0005-0000-0000-000003080000}"/>
    <cellStyle name="PB Table Standard Row 3 3 3 2 3 3" xfId="17046" xr:uid="{00000000-0005-0000-0000-000003080000}"/>
    <cellStyle name="PB Table Standard Row 3 3 3 2 3 3 2" xfId="35394" xr:uid="{00000000-0005-0000-0000-000003080000}"/>
    <cellStyle name="PB Table Standard Row 3 3 3 2 3 3 3" xfId="53757" xr:uid="{00000000-0005-0000-0000-000003080000}"/>
    <cellStyle name="PB Table Standard Row 3 3 3 2 3 4" xfId="26179" xr:uid="{00000000-0005-0000-0000-000003080000}"/>
    <cellStyle name="PB Table Standard Row 3 3 3 2 3 4 2" xfId="44548" xr:uid="{00000000-0005-0000-0000-000003080000}"/>
    <cellStyle name="PB Table Standard Row 3 3 3 2 3 5" xfId="22472" xr:uid="{00000000-0005-0000-0000-000003080000}"/>
    <cellStyle name="PB Table Standard Row 3 3 3 2 3 6" xfId="40841" xr:uid="{00000000-0005-0000-0000-000003080000}"/>
    <cellStyle name="PB Table Standard Row 3 3 3 2 4" xfId="10158" xr:uid="{00000000-0005-0000-0000-000003080000}"/>
    <cellStyle name="PB Table Standard Row 3 3 3 2 4 2" xfId="14215" xr:uid="{00000000-0005-0000-0000-000003080000}"/>
    <cellStyle name="PB Table Standard Row 3 3 3 2 4 2 2" xfId="32631" xr:uid="{00000000-0005-0000-0000-000003080000}"/>
    <cellStyle name="PB Table Standard Row 3 3 3 2 4 2 3" xfId="50994" xr:uid="{00000000-0005-0000-0000-000003080000}"/>
    <cellStyle name="PB Table Standard Row 3 3 3 2 4 3" xfId="28869" xr:uid="{00000000-0005-0000-0000-000003080000}"/>
    <cellStyle name="PB Table Standard Row 3 3 3 2 4 3 2" xfId="47232" xr:uid="{00000000-0005-0000-0000-000003080000}"/>
    <cellStyle name="PB Table Standard Row 3 3 3 2 4 4" xfId="19672" xr:uid="{00000000-0005-0000-0000-000003080000}"/>
    <cellStyle name="PB Table Standard Row 3 3 3 2 4 5" xfId="38078" xr:uid="{00000000-0005-0000-0000-000003080000}"/>
    <cellStyle name="PB Table Standard Row 3 3 3 2 5" xfId="9345" xr:uid="{00000000-0005-0000-0000-000003080000}"/>
    <cellStyle name="PB Table Standard Row 3 3 3 2 5 2" xfId="28064" xr:uid="{00000000-0005-0000-0000-000003080000}"/>
    <cellStyle name="PB Table Standard Row 3 3 3 2 5 3" xfId="46427" xr:uid="{00000000-0005-0000-0000-000003080000}"/>
    <cellStyle name="PB Table Standard Row 3 3 3 2 6" xfId="13401" xr:uid="{00000000-0005-0000-0000-000003080000}"/>
    <cellStyle name="PB Table Standard Row 3 3 3 2 6 2" xfId="31822" xr:uid="{00000000-0005-0000-0000-000003080000}"/>
    <cellStyle name="PB Table Standard Row 3 3 3 2 6 3" xfId="50185" xr:uid="{00000000-0005-0000-0000-000003080000}"/>
    <cellStyle name="PB Table Standard Row 3 3 3 2 7" xfId="23353" xr:uid="{00000000-0005-0000-0000-000003080000}"/>
    <cellStyle name="PB Table Standard Row 3 3 3 2 7 2" xfId="41722" xr:uid="{00000000-0005-0000-0000-000003080000}"/>
    <cellStyle name="PB Table Standard Row 3 3 3 2 8" xfId="18424" xr:uid="{00000000-0005-0000-0000-000003080000}"/>
    <cellStyle name="PB Table Standard Row 3 3 3 2 9" xfId="36830" xr:uid="{00000000-0005-0000-0000-000003080000}"/>
    <cellStyle name="PB Table Standard Row 3 3 3 3" xfId="4438" xr:uid="{00000000-0005-0000-0000-000003080000}"/>
    <cellStyle name="PB Table Standard Row 3 3 3 3 2" xfId="11037" xr:uid="{00000000-0005-0000-0000-000003080000}"/>
    <cellStyle name="PB Table Standard Row 3 3 3 3 2 2" xfId="29657" xr:uid="{00000000-0005-0000-0000-000003080000}"/>
    <cellStyle name="PB Table Standard Row 3 3 3 3 2 3" xfId="48020" xr:uid="{00000000-0005-0000-0000-000003080000}"/>
    <cellStyle name="PB Table Standard Row 3 3 3 3 3" xfId="15172" xr:uid="{00000000-0005-0000-0000-000003080000}"/>
    <cellStyle name="PB Table Standard Row 3 3 3 3 3 2" xfId="33569" xr:uid="{00000000-0005-0000-0000-000003080000}"/>
    <cellStyle name="PB Table Standard Row 3 3 3 3 3 3" xfId="51932" xr:uid="{00000000-0005-0000-0000-000003080000}"/>
    <cellStyle name="PB Table Standard Row 3 3 3 3 4" xfId="24300" xr:uid="{00000000-0005-0000-0000-000003080000}"/>
    <cellStyle name="PB Table Standard Row 3 3 3 3 4 2" xfId="42669" xr:uid="{00000000-0005-0000-0000-000003080000}"/>
    <cellStyle name="PB Table Standard Row 3 3 3 3 5" xfId="20623" xr:uid="{00000000-0005-0000-0000-000003080000}"/>
    <cellStyle name="PB Table Standard Row 3 3 3 3 6" xfId="39016" xr:uid="{00000000-0005-0000-0000-000003080000}"/>
    <cellStyle name="PB Table Standard Row 3 3 3 4" xfId="4886" xr:uid="{00000000-0005-0000-0000-000003080000}"/>
    <cellStyle name="PB Table Standard Row 3 3 3 4 2" xfId="11442" xr:uid="{00000000-0005-0000-0000-000003080000}"/>
    <cellStyle name="PB Table Standard Row 3 3 3 4 2 2" xfId="30030" xr:uid="{00000000-0005-0000-0000-000003080000}"/>
    <cellStyle name="PB Table Standard Row 3 3 3 4 2 3" xfId="48393" xr:uid="{00000000-0005-0000-0000-000003080000}"/>
    <cellStyle name="PB Table Standard Row 3 3 3 4 3" xfId="15612" xr:uid="{00000000-0005-0000-0000-000003080000}"/>
    <cellStyle name="PB Table Standard Row 3 3 3 4 3 2" xfId="34003" xr:uid="{00000000-0005-0000-0000-000003080000}"/>
    <cellStyle name="PB Table Standard Row 3 3 3 4 3 3" xfId="52366" xr:uid="{00000000-0005-0000-0000-000003080000}"/>
    <cellStyle name="PB Table Standard Row 3 3 3 4 4" xfId="24734" xr:uid="{00000000-0005-0000-0000-000003080000}"/>
    <cellStyle name="PB Table Standard Row 3 3 3 4 4 2" xfId="43103" xr:uid="{00000000-0005-0000-0000-000003080000}"/>
    <cellStyle name="PB Table Standard Row 3 3 3 4 5" xfId="21061" xr:uid="{00000000-0005-0000-0000-000003080000}"/>
    <cellStyle name="PB Table Standard Row 3 3 3 4 6" xfId="39450" xr:uid="{00000000-0005-0000-0000-000003080000}"/>
    <cellStyle name="PB Table Standard Row 3 3 3 5" xfId="9203" xr:uid="{00000000-0005-0000-0000-000003080000}"/>
    <cellStyle name="PB Table Standard Row 3 3 3 5 2" xfId="13261" xr:uid="{00000000-0005-0000-0000-000003080000}"/>
    <cellStyle name="PB Table Standard Row 3 3 3 5 2 2" xfId="31682" xr:uid="{00000000-0005-0000-0000-000003080000}"/>
    <cellStyle name="PB Table Standard Row 3 3 3 5 2 3" xfId="50045" xr:uid="{00000000-0005-0000-0000-000003080000}"/>
    <cellStyle name="PB Table Standard Row 3 3 3 5 3" xfId="27924" xr:uid="{00000000-0005-0000-0000-000003080000}"/>
    <cellStyle name="PB Table Standard Row 3 3 3 5 3 2" xfId="46287" xr:uid="{00000000-0005-0000-0000-000003080000}"/>
    <cellStyle name="PB Table Standard Row 3 3 3 5 4" xfId="18226" xr:uid="{00000000-0005-0000-0000-000003080000}"/>
    <cellStyle name="PB Table Standard Row 3 3 3 5 5" xfId="36632" xr:uid="{00000000-0005-0000-0000-000003080000}"/>
    <cellStyle name="PB Table Standard Row 3 3 3 6" xfId="7704" xr:uid="{00000000-0005-0000-0000-000003080000}"/>
    <cellStyle name="PB Table Standard Row 3 3 3 6 2" xfId="26986" xr:uid="{00000000-0005-0000-0000-000003080000}"/>
    <cellStyle name="PB Table Standard Row 3 3 3 6 3" xfId="45351" xr:uid="{00000000-0005-0000-0000-000003080000}"/>
    <cellStyle name="PB Table Standard Row 3 3 3 7" xfId="7480" xr:uid="{00000000-0005-0000-0000-000003080000}"/>
    <cellStyle name="PB Table Standard Row 3 3 3 7 2" xfId="26846" xr:uid="{00000000-0005-0000-0000-000003080000}"/>
    <cellStyle name="PB Table Standard Row 3 3 3 7 3" xfId="45211" xr:uid="{00000000-0005-0000-0000-000003080000}"/>
    <cellStyle name="PB Table Standard Row 3 3 3 8" xfId="19416" xr:uid="{00000000-0005-0000-0000-000003080000}"/>
    <cellStyle name="PB Table Standard Row 3 3 3 8 2" xfId="37822" xr:uid="{00000000-0005-0000-0000-000003080000}"/>
    <cellStyle name="PB Table Standard Row 3 3 3 9" xfId="7015" xr:uid="{00000000-0005-0000-0000-000003080000}"/>
    <cellStyle name="PB Table Standard Row 3 3 4" xfId="1502" xr:uid="{00000000-0005-0000-0000-000004080000}"/>
    <cellStyle name="PB Table Standard Row 3 3 4 10" xfId="6950" xr:uid="{00000000-0005-0000-0000-000004080000}"/>
    <cellStyle name="PB Table Standard Row 3 3 4 2" xfId="3509" xr:uid="{00000000-0005-0000-0000-000004080000}"/>
    <cellStyle name="PB Table Standard Row 3 3 4 2 2" xfId="5683" xr:uid="{00000000-0005-0000-0000-000004080000}"/>
    <cellStyle name="PB Table Standard Row 3 3 4 2 2 2" xfId="12047" xr:uid="{00000000-0005-0000-0000-000004080000}"/>
    <cellStyle name="PB Table Standard Row 3 3 4 2 2 2 2" xfId="30494" xr:uid="{00000000-0005-0000-0000-000004080000}"/>
    <cellStyle name="PB Table Standard Row 3 3 4 2 2 2 3" xfId="48857" xr:uid="{00000000-0005-0000-0000-000004080000}"/>
    <cellStyle name="PB Table Standard Row 3 3 4 2 2 3" xfId="16373" xr:uid="{00000000-0005-0000-0000-000004080000}"/>
    <cellStyle name="PB Table Standard Row 3 3 4 2 2 3 2" xfId="34745" xr:uid="{00000000-0005-0000-0000-000004080000}"/>
    <cellStyle name="PB Table Standard Row 3 3 4 2 2 3 3" xfId="53108" xr:uid="{00000000-0005-0000-0000-000004080000}"/>
    <cellStyle name="PB Table Standard Row 3 3 4 2 2 4" xfId="25492" xr:uid="{00000000-0005-0000-0000-000004080000}"/>
    <cellStyle name="PB Table Standard Row 3 3 4 2 2 4 2" xfId="43861" xr:uid="{00000000-0005-0000-0000-000004080000}"/>
    <cellStyle name="PB Table Standard Row 3 3 4 2 2 5" xfId="21813" xr:uid="{00000000-0005-0000-0000-000004080000}"/>
    <cellStyle name="PB Table Standard Row 3 3 4 2 2 6" xfId="40192" xr:uid="{00000000-0005-0000-0000-000004080000}"/>
    <cellStyle name="PB Table Standard Row 3 3 4 2 3" xfId="6508" xr:uid="{00000000-0005-0000-0000-000004080000}"/>
    <cellStyle name="PB Table Standard Row 3 3 4 2 3 2" xfId="12799" xr:uid="{00000000-0005-0000-0000-000004080000}"/>
    <cellStyle name="PB Table Standard Row 3 3 4 2 3 2 2" xfId="31225" xr:uid="{00000000-0005-0000-0000-000004080000}"/>
    <cellStyle name="PB Table Standard Row 3 3 4 2 3 2 3" xfId="49588" xr:uid="{00000000-0005-0000-0000-000004080000}"/>
    <cellStyle name="PB Table Standard Row 3 3 4 2 3 3" xfId="17110" xr:uid="{00000000-0005-0000-0000-000004080000}"/>
    <cellStyle name="PB Table Standard Row 3 3 4 2 3 3 2" xfId="35458" xr:uid="{00000000-0005-0000-0000-000004080000}"/>
    <cellStyle name="PB Table Standard Row 3 3 4 2 3 3 3" xfId="53821" xr:uid="{00000000-0005-0000-0000-000004080000}"/>
    <cellStyle name="PB Table Standard Row 3 3 4 2 3 4" xfId="26243" xr:uid="{00000000-0005-0000-0000-000004080000}"/>
    <cellStyle name="PB Table Standard Row 3 3 4 2 3 4 2" xfId="44612" xr:uid="{00000000-0005-0000-0000-000004080000}"/>
    <cellStyle name="PB Table Standard Row 3 3 4 2 3 5" xfId="22536" xr:uid="{00000000-0005-0000-0000-000004080000}"/>
    <cellStyle name="PB Table Standard Row 3 3 4 2 3 6" xfId="40905" xr:uid="{00000000-0005-0000-0000-000004080000}"/>
    <cellStyle name="PB Table Standard Row 3 3 4 2 4" xfId="10222" xr:uid="{00000000-0005-0000-0000-000004080000}"/>
    <cellStyle name="PB Table Standard Row 3 3 4 2 4 2" xfId="14279" xr:uid="{00000000-0005-0000-0000-000004080000}"/>
    <cellStyle name="PB Table Standard Row 3 3 4 2 4 2 2" xfId="32695" xr:uid="{00000000-0005-0000-0000-000004080000}"/>
    <cellStyle name="PB Table Standard Row 3 3 4 2 4 2 3" xfId="51058" xr:uid="{00000000-0005-0000-0000-000004080000}"/>
    <cellStyle name="PB Table Standard Row 3 3 4 2 4 3" xfId="28933" xr:uid="{00000000-0005-0000-0000-000004080000}"/>
    <cellStyle name="PB Table Standard Row 3 3 4 2 4 3 2" xfId="47296" xr:uid="{00000000-0005-0000-0000-000004080000}"/>
    <cellStyle name="PB Table Standard Row 3 3 4 2 4 4" xfId="19736" xr:uid="{00000000-0005-0000-0000-000004080000}"/>
    <cellStyle name="PB Table Standard Row 3 3 4 2 4 5" xfId="38142" xr:uid="{00000000-0005-0000-0000-000004080000}"/>
    <cellStyle name="PB Table Standard Row 3 3 4 2 5" xfId="9417" xr:uid="{00000000-0005-0000-0000-000004080000}"/>
    <cellStyle name="PB Table Standard Row 3 3 4 2 5 2" xfId="28134" xr:uid="{00000000-0005-0000-0000-000004080000}"/>
    <cellStyle name="PB Table Standard Row 3 3 4 2 5 3" xfId="46497" xr:uid="{00000000-0005-0000-0000-000004080000}"/>
    <cellStyle name="PB Table Standard Row 3 3 4 2 6" xfId="13474" xr:uid="{00000000-0005-0000-0000-000004080000}"/>
    <cellStyle name="PB Table Standard Row 3 3 4 2 6 2" xfId="31895" xr:uid="{00000000-0005-0000-0000-000004080000}"/>
    <cellStyle name="PB Table Standard Row 3 3 4 2 6 3" xfId="50258" xr:uid="{00000000-0005-0000-0000-000004080000}"/>
    <cellStyle name="PB Table Standard Row 3 3 4 2 7" xfId="23417" xr:uid="{00000000-0005-0000-0000-000004080000}"/>
    <cellStyle name="PB Table Standard Row 3 3 4 2 7 2" xfId="41786" xr:uid="{00000000-0005-0000-0000-000004080000}"/>
    <cellStyle name="PB Table Standard Row 3 3 4 2 8" xfId="18501" xr:uid="{00000000-0005-0000-0000-000004080000}"/>
    <cellStyle name="PB Table Standard Row 3 3 4 2 9" xfId="36910" xr:uid="{00000000-0005-0000-0000-000004080000}"/>
    <cellStyle name="PB Table Standard Row 3 3 4 3" xfId="4513" xr:uid="{00000000-0005-0000-0000-000004080000}"/>
    <cellStyle name="PB Table Standard Row 3 3 4 3 2" xfId="11104" xr:uid="{00000000-0005-0000-0000-000004080000}"/>
    <cellStyle name="PB Table Standard Row 3 3 4 3 2 2" xfId="29722" xr:uid="{00000000-0005-0000-0000-000004080000}"/>
    <cellStyle name="PB Table Standard Row 3 3 4 3 2 3" xfId="48085" xr:uid="{00000000-0005-0000-0000-000004080000}"/>
    <cellStyle name="PB Table Standard Row 3 3 4 3 3" xfId="15242" xr:uid="{00000000-0005-0000-0000-000004080000}"/>
    <cellStyle name="PB Table Standard Row 3 3 4 3 3 2" xfId="33636" xr:uid="{00000000-0005-0000-0000-000004080000}"/>
    <cellStyle name="PB Table Standard Row 3 3 4 3 3 3" xfId="51999" xr:uid="{00000000-0005-0000-0000-000004080000}"/>
    <cellStyle name="PB Table Standard Row 3 3 4 3 4" xfId="24367" xr:uid="{00000000-0005-0000-0000-000004080000}"/>
    <cellStyle name="PB Table Standard Row 3 3 4 3 4 2" xfId="42736" xr:uid="{00000000-0005-0000-0000-000004080000}"/>
    <cellStyle name="PB Table Standard Row 3 3 4 3 5" xfId="20691" xr:uid="{00000000-0005-0000-0000-000004080000}"/>
    <cellStyle name="PB Table Standard Row 3 3 4 3 6" xfId="39083" xr:uid="{00000000-0005-0000-0000-000004080000}"/>
    <cellStyle name="PB Table Standard Row 3 3 4 4" xfId="3996" xr:uid="{00000000-0005-0000-0000-000004080000}"/>
    <cellStyle name="PB Table Standard Row 3 3 4 4 2" xfId="10701" xr:uid="{00000000-0005-0000-0000-000004080000}"/>
    <cellStyle name="PB Table Standard Row 3 3 4 4 2 2" xfId="29406" xr:uid="{00000000-0005-0000-0000-000004080000}"/>
    <cellStyle name="PB Table Standard Row 3 3 4 4 2 3" xfId="47769" xr:uid="{00000000-0005-0000-0000-000004080000}"/>
    <cellStyle name="PB Table Standard Row 3 3 4 4 3" xfId="14757" xr:uid="{00000000-0005-0000-0000-000004080000}"/>
    <cellStyle name="PB Table Standard Row 3 3 4 4 3 2" xfId="33169" xr:uid="{00000000-0005-0000-0000-000004080000}"/>
    <cellStyle name="PB Table Standard Row 3 3 4 4 3 3" xfId="51532" xr:uid="{00000000-0005-0000-0000-000004080000}"/>
    <cellStyle name="PB Table Standard Row 3 3 4 4 4" xfId="23893" xr:uid="{00000000-0005-0000-0000-000004080000}"/>
    <cellStyle name="PB Table Standard Row 3 3 4 4 4 2" xfId="42262" xr:uid="{00000000-0005-0000-0000-000004080000}"/>
    <cellStyle name="PB Table Standard Row 3 3 4 4 5" xfId="20213" xr:uid="{00000000-0005-0000-0000-000004080000}"/>
    <cellStyle name="PB Table Standard Row 3 3 4 4 6" xfId="38616" xr:uid="{00000000-0005-0000-0000-000004080000}"/>
    <cellStyle name="PB Table Standard Row 3 3 4 5" xfId="9959" xr:uid="{00000000-0005-0000-0000-000004080000}"/>
    <cellStyle name="PB Table Standard Row 3 3 4 5 2" xfId="14016" xr:uid="{00000000-0005-0000-0000-000004080000}"/>
    <cellStyle name="PB Table Standard Row 3 3 4 5 2 2" xfId="32433" xr:uid="{00000000-0005-0000-0000-000004080000}"/>
    <cellStyle name="PB Table Standard Row 3 3 4 5 2 3" xfId="50796" xr:uid="{00000000-0005-0000-0000-000004080000}"/>
    <cellStyle name="PB Table Standard Row 3 3 4 5 3" xfId="28671" xr:uid="{00000000-0005-0000-0000-000004080000}"/>
    <cellStyle name="PB Table Standard Row 3 3 4 5 3 2" xfId="47034" xr:uid="{00000000-0005-0000-0000-000004080000}"/>
    <cellStyle name="PB Table Standard Row 3 3 4 5 4" xfId="19296" xr:uid="{00000000-0005-0000-0000-000004080000}"/>
    <cellStyle name="PB Table Standard Row 3 3 4 5 5" xfId="37703" xr:uid="{00000000-0005-0000-0000-000004080000}"/>
    <cellStyle name="PB Table Standard Row 3 3 4 6" xfId="7782" xr:uid="{00000000-0005-0000-0000-000004080000}"/>
    <cellStyle name="PB Table Standard Row 3 3 4 6 2" xfId="27053" xr:uid="{00000000-0005-0000-0000-000004080000}"/>
    <cellStyle name="PB Table Standard Row 3 3 4 6 3" xfId="45418" xr:uid="{00000000-0005-0000-0000-000004080000}"/>
    <cellStyle name="PB Table Standard Row 3 3 4 7" xfId="7206" xr:uid="{00000000-0005-0000-0000-000004080000}"/>
    <cellStyle name="PB Table Standard Row 3 3 4 7 2" xfId="26750" xr:uid="{00000000-0005-0000-0000-000004080000}"/>
    <cellStyle name="PB Table Standard Row 3 3 4 7 3" xfId="45118" xr:uid="{00000000-0005-0000-0000-000004080000}"/>
    <cellStyle name="PB Table Standard Row 3 3 4 8" xfId="17860" xr:uid="{00000000-0005-0000-0000-000004080000}"/>
    <cellStyle name="PB Table Standard Row 3 3 4 8 2" xfId="36270" xr:uid="{00000000-0005-0000-0000-000004080000}"/>
    <cellStyle name="PB Table Standard Row 3 3 4 9" xfId="11833" xr:uid="{00000000-0005-0000-0000-000004080000}"/>
    <cellStyle name="PB Table Standard Row 3 3 5" xfId="3530" xr:uid="{00000000-0005-0000-0000-000001080000}"/>
    <cellStyle name="PB Table Standard Row 3 3 5 2" xfId="5704" xr:uid="{00000000-0005-0000-0000-000001080000}"/>
    <cellStyle name="PB Table Standard Row 3 3 5 2 2" xfId="12068" xr:uid="{00000000-0005-0000-0000-000001080000}"/>
    <cellStyle name="PB Table Standard Row 3 3 5 2 2 2" xfId="30515" xr:uid="{00000000-0005-0000-0000-000001080000}"/>
    <cellStyle name="PB Table Standard Row 3 3 5 2 2 3" xfId="48878" xr:uid="{00000000-0005-0000-0000-000001080000}"/>
    <cellStyle name="PB Table Standard Row 3 3 5 2 3" xfId="16394" xr:uid="{00000000-0005-0000-0000-000001080000}"/>
    <cellStyle name="PB Table Standard Row 3 3 5 2 3 2" xfId="34766" xr:uid="{00000000-0005-0000-0000-000001080000}"/>
    <cellStyle name="PB Table Standard Row 3 3 5 2 3 3" xfId="53129" xr:uid="{00000000-0005-0000-0000-000001080000}"/>
    <cellStyle name="PB Table Standard Row 3 3 5 2 4" xfId="25513" xr:uid="{00000000-0005-0000-0000-000001080000}"/>
    <cellStyle name="PB Table Standard Row 3 3 5 2 4 2" xfId="43882" xr:uid="{00000000-0005-0000-0000-000001080000}"/>
    <cellStyle name="PB Table Standard Row 3 3 5 2 5" xfId="21834" xr:uid="{00000000-0005-0000-0000-000001080000}"/>
    <cellStyle name="PB Table Standard Row 3 3 5 2 6" xfId="40213" xr:uid="{00000000-0005-0000-0000-000001080000}"/>
    <cellStyle name="PB Table Standard Row 3 3 5 3" xfId="6529" xr:uid="{00000000-0005-0000-0000-000001080000}"/>
    <cellStyle name="PB Table Standard Row 3 3 5 3 2" xfId="12820" xr:uid="{00000000-0005-0000-0000-000001080000}"/>
    <cellStyle name="PB Table Standard Row 3 3 5 3 2 2" xfId="31246" xr:uid="{00000000-0005-0000-0000-000001080000}"/>
    <cellStyle name="PB Table Standard Row 3 3 5 3 2 3" xfId="49609" xr:uid="{00000000-0005-0000-0000-000001080000}"/>
    <cellStyle name="PB Table Standard Row 3 3 5 3 3" xfId="17131" xr:uid="{00000000-0005-0000-0000-000001080000}"/>
    <cellStyle name="PB Table Standard Row 3 3 5 3 3 2" xfId="35479" xr:uid="{00000000-0005-0000-0000-000001080000}"/>
    <cellStyle name="PB Table Standard Row 3 3 5 3 3 3" xfId="53842" xr:uid="{00000000-0005-0000-0000-000001080000}"/>
    <cellStyle name="PB Table Standard Row 3 3 5 3 4" xfId="26264" xr:uid="{00000000-0005-0000-0000-000001080000}"/>
    <cellStyle name="PB Table Standard Row 3 3 5 3 4 2" xfId="44633" xr:uid="{00000000-0005-0000-0000-000001080000}"/>
    <cellStyle name="PB Table Standard Row 3 3 5 3 5" xfId="22557" xr:uid="{00000000-0005-0000-0000-000001080000}"/>
    <cellStyle name="PB Table Standard Row 3 3 5 3 6" xfId="40926" xr:uid="{00000000-0005-0000-0000-000001080000}"/>
    <cellStyle name="PB Table Standard Row 3 3 5 4" xfId="10243" xr:uid="{00000000-0005-0000-0000-000001080000}"/>
    <cellStyle name="PB Table Standard Row 3 3 5 4 2" xfId="14300" xr:uid="{00000000-0005-0000-0000-000001080000}"/>
    <cellStyle name="PB Table Standard Row 3 3 5 4 2 2" xfId="32716" xr:uid="{00000000-0005-0000-0000-000001080000}"/>
    <cellStyle name="PB Table Standard Row 3 3 5 4 2 3" xfId="51079" xr:uid="{00000000-0005-0000-0000-000001080000}"/>
    <cellStyle name="PB Table Standard Row 3 3 5 4 3" xfId="28954" xr:uid="{00000000-0005-0000-0000-000001080000}"/>
    <cellStyle name="PB Table Standard Row 3 3 5 4 3 2" xfId="47317" xr:uid="{00000000-0005-0000-0000-000001080000}"/>
    <cellStyle name="PB Table Standard Row 3 3 5 4 4" xfId="19757" xr:uid="{00000000-0005-0000-0000-000001080000}"/>
    <cellStyle name="PB Table Standard Row 3 3 5 4 5" xfId="38163" xr:uid="{00000000-0005-0000-0000-000001080000}"/>
    <cellStyle name="PB Table Standard Row 3 3 5 5" xfId="9439" xr:uid="{00000000-0005-0000-0000-000001080000}"/>
    <cellStyle name="PB Table Standard Row 3 3 5 5 2" xfId="28156" xr:uid="{00000000-0005-0000-0000-000001080000}"/>
    <cellStyle name="PB Table Standard Row 3 3 5 5 3" xfId="46519" xr:uid="{00000000-0005-0000-0000-000001080000}"/>
    <cellStyle name="PB Table Standard Row 3 3 5 6" xfId="13496" xr:uid="{00000000-0005-0000-0000-000001080000}"/>
    <cellStyle name="PB Table Standard Row 3 3 5 6 2" xfId="31917" xr:uid="{00000000-0005-0000-0000-000001080000}"/>
    <cellStyle name="PB Table Standard Row 3 3 5 6 3" xfId="50280" xr:uid="{00000000-0005-0000-0000-000001080000}"/>
    <cellStyle name="PB Table Standard Row 3 3 5 7" xfId="23438" xr:uid="{00000000-0005-0000-0000-000001080000}"/>
    <cellStyle name="PB Table Standard Row 3 3 5 7 2" xfId="41807" xr:uid="{00000000-0005-0000-0000-000001080000}"/>
    <cellStyle name="PB Table Standard Row 3 3 5 8" xfId="18524" xr:uid="{00000000-0005-0000-0000-000001080000}"/>
    <cellStyle name="PB Table Standard Row 3 3 5 9" xfId="36933" xr:uid="{00000000-0005-0000-0000-000001080000}"/>
    <cellStyle name="PB Table Standard Row 3 3 6" xfId="4534" xr:uid="{00000000-0005-0000-0000-000001080000}"/>
    <cellStyle name="PB Table Standard Row 3 3 6 2" xfId="11125" xr:uid="{00000000-0005-0000-0000-000001080000}"/>
    <cellStyle name="PB Table Standard Row 3 3 6 2 2" xfId="29743" xr:uid="{00000000-0005-0000-0000-000001080000}"/>
    <cellStyle name="PB Table Standard Row 3 3 6 2 3" xfId="48106" xr:uid="{00000000-0005-0000-0000-000001080000}"/>
    <cellStyle name="PB Table Standard Row 3 3 6 3" xfId="15263" xr:uid="{00000000-0005-0000-0000-000001080000}"/>
    <cellStyle name="PB Table Standard Row 3 3 6 3 2" xfId="33657" xr:uid="{00000000-0005-0000-0000-000001080000}"/>
    <cellStyle name="PB Table Standard Row 3 3 6 3 3" xfId="52020" xr:uid="{00000000-0005-0000-0000-000001080000}"/>
    <cellStyle name="PB Table Standard Row 3 3 6 4" xfId="24388" xr:uid="{00000000-0005-0000-0000-000001080000}"/>
    <cellStyle name="PB Table Standard Row 3 3 6 4 2" xfId="42757" xr:uid="{00000000-0005-0000-0000-000001080000}"/>
    <cellStyle name="PB Table Standard Row 3 3 6 5" xfId="20712" xr:uid="{00000000-0005-0000-0000-000001080000}"/>
    <cellStyle name="PB Table Standard Row 3 3 6 6" xfId="39104" xr:uid="{00000000-0005-0000-0000-000001080000}"/>
    <cellStyle name="PB Table Standard Row 3 3 7" xfId="4876" xr:uid="{00000000-0005-0000-0000-000001080000}"/>
    <cellStyle name="PB Table Standard Row 3 3 7 2" xfId="11434" xr:uid="{00000000-0005-0000-0000-000001080000}"/>
    <cellStyle name="PB Table Standard Row 3 3 7 2 2" xfId="30024" xr:uid="{00000000-0005-0000-0000-000001080000}"/>
    <cellStyle name="PB Table Standard Row 3 3 7 2 3" xfId="48387" xr:uid="{00000000-0005-0000-0000-000001080000}"/>
    <cellStyle name="PB Table Standard Row 3 3 7 3" xfId="15602" xr:uid="{00000000-0005-0000-0000-000001080000}"/>
    <cellStyle name="PB Table Standard Row 3 3 7 3 2" xfId="33993" xr:uid="{00000000-0005-0000-0000-000001080000}"/>
    <cellStyle name="PB Table Standard Row 3 3 7 3 3" xfId="52356" xr:uid="{00000000-0005-0000-0000-000001080000}"/>
    <cellStyle name="PB Table Standard Row 3 3 7 4" xfId="24724" xr:uid="{00000000-0005-0000-0000-000001080000}"/>
    <cellStyle name="PB Table Standard Row 3 3 7 4 2" xfId="43093" xr:uid="{00000000-0005-0000-0000-000001080000}"/>
    <cellStyle name="PB Table Standard Row 3 3 7 5" xfId="21051" xr:uid="{00000000-0005-0000-0000-000001080000}"/>
    <cellStyle name="PB Table Standard Row 3 3 7 6" xfId="39440" xr:uid="{00000000-0005-0000-0000-000001080000}"/>
    <cellStyle name="PB Table Standard Row 3 3 8" xfId="7804" xr:uid="{00000000-0005-0000-0000-000001080000}"/>
    <cellStyle name="PB Table Standard Row 3 3 8 2" xfId="27074" xr:uid="{00000000-0005-0000-0000-000001080000}"/>
    <cellStyle name="PB Table Standard Row 3 3 8 3" xfId="45439" xr:uid="{00000000-0005-0000-0000-000001080000}"/>
    <cellStyle name="PB Table Standard Row 3 3 9" xfId="7195" xr:uid="{00000000-0005-0000-0000-000001080000}"/>
    <cellStyle name="PB Table Standard Row 3 3 9 2" xfId="26739" xr:uid="{00000000-0005-0000-0000-000001080000}"/>
    <cellStyle name="PB Table Standard Row 3 3 9 3" xfId="45107" xr:uid="{00000000-0005-0000-0000-000001080000}"/>
    <cellStyle name="PB Table Standard Row 3 4" xfId="1487" xr:uid="{00000000-0005-0000-0000-000005080000}"/>
    <cellStyle name="PB Table Standard Row 3 4 2" xfId="3500" xr:uid="{00000000-0005-0000-0000-000005080000}"/>
    <cellStyle name="PB Table Standard Row 3 4 2 2" xfId="6499" xr:uid="{00000000-0005-0000-0000-000005080000}"/>
    <cellStyle name="PB Table Standard Row 3 4 2 2 2" xfId="12790" xr:uid="{00000000-0005-0000-0000-000005080000}"/>
    <cellStyle name="PB Table Standard Row 3 4 2 2 2 2" xfId="31216" xr:uid="{00000000-0005-0000-0000-000005080000}"/>
    <cellStyle name="PB Table Standard Row 3 4 2 2 2 3" xfId="49579" xr:uid="{00000000-0005-0000-0000-000005080000}"/>
    <cellStyle name="PB Table Standard Row 3 4 2 2 3" xfId="17101" xr:uid="{00000000-0005-0000-0000-000005080000}"/>
    <cellStyle name="PB Table Standard Row 3 4 2 2 3 2" xfId="35449" xr:uid="{00000000-0005-0000-0000-000005080000}"/>
    <cellStyle name="PB Table Standard Row 3 4 2 2 3 3" xfId="53812" xr:uid="{00000000-0005-0000-0000-000005080000}"/>
    <cellStyle name="PB Table Standard Row 3 4 2 2 4" xfId="26234" xr:uid="{00000000-0005-0000-0000-000005080000}"/>
    <cellStyle name="PB Table Standard Row 3 4 2 2 4 2" xfId="44603" xr:uid="{00000000-0005-0000-0000-000005080000}"/>
    <cellStyle name="PB Table Standard Row 3 4 2 2 5" xfId="22527" xr:uid="{00000000-0005-0000-0000-000005080000}"/>
    <cellStyle name="PB Table Standard Row 3 4 2 2 6" xfId="40896" xr:uid="{00000000-0005-0000-0000-000005080000}"/>
    <cellStyle name="PB Table Standard Row 3 4 2 3" xfId="10213" xr:uid="{00000000-0005-0000-0000-000005080000}"/>
    <cellStyle name="PB Table Standard Row 3 4 2 3 2" xfId="14270" xr:uid="{00000000-0005-0000-0000-000005080000}"/>
    <cellStyle name="PB Table Standard Row 3 4 2 3 2 2" xfId="32686" xr:uid="{00000000-0005-0000-0000-000005080000}"/>
    <cellStyle name="PB Table Standard Row 3 4 2 3 2 3" xfId="51049" xr:uid="{00000000-0005-0000-0000-000005080000}"/>
    <cellStyle name="PB Table Standard Row 3 4 2 3 3" xfId="28924" xr:uid="{00000000-0005-0000-0000-000005080000}"/>
    <cellStyle name="PB Table Standard Row 3 4 2 3 3 2" xfId="47287" xr:uid="{00000000-0005-0000-0000-000005080000}"/>
    <cellStyle name="PB Table Standard Row 3 4 2 3 4" xfId="19727" xr:uid="{00000000-0005-0000-0000-000005080000}"/>
    <cellStyle name="PB Table Standard Row 3 4 2 3 5" xfId="38133" xr:uid="{00000000-0005-0000-0000-000005080000}"/>
    <cellStyle name="PB Table Standard Row 3 4 2 4" xfId="13463" xr:uid="{00000000-0005-0000-0000-000005080000}"/>
    <cellStyle name="PB Table Standard Row 3 4 2 4 2" xfId="31884" xr:uid="{00000000-0005-0000-0000-000005080000}"/>
    <cellStyle name="PB Table Standard Row 3 4 2 4 3" xfId="50247" xr:uid="{00000000-0005-0000-0000-000005080000}"/>
    <cellStyle name="PB Table Standard Row 3 4 2 5" xfId="23408" xr:uid="{00000000-0005-0000-0000-000005080000}"/>
    <cellStyle name="PB Table Standard Row 3 4 2 5 2" xfId="41777" xr:uid="{00000000-0005-0000-0000-000005080000}"/>
    <cellStyle name="PB Table Standard Row 3 4 2 6" xfId="36896" xr:uid="{00000000-0005-0000-0000-000005080000}"/>
    <cellStyle name="PB Table Standard Row 3 4 3" xfId="9120" xr:uid="{00000000-0005-0000-0000-000005080000}"/>
    <cellStyle name="PB Table Standard Row 3 4 3 2" xfId="6214" xr:uid="{00000000-0005-0000-0000-000005080000}"/>
    <cellStyle name="PB Table Standard Row 3 4 3 2 2" xfId="25987" xr:uid="{00000000-0005-0000-0000-000005080000}"/>
    <cellStyle name="PB Table Standard Row 3 4 3 2 3" xfId="44356" xr:uid="{00000000-0005-0000-0000-000005080000}"/>
    <cellStyle name="PB Table Standard Row 3 4 3 3" xfId="27846" xr:uid="{00000000-0005-0000-0000-000005080000}"/>
    <cellStyle name="PB Table Standard Row 3 4 3 3 2" xfId="46209" xr:uid="{00000000-0005-0000-0000-000005080000}"/>
    <cellStyle name="PB Table Standard Row 3 4 3 4" xfId="18032" xr:uid="{00000000-0005-0000-0000-000005080000}"/>
    <cellStyle name="PB Table Standard Row 3 4 3 5" xfId="36440" xr:uid="{00000000-0005-0000-0000-000005080000}"/>
    <cellStyle name="PB Table Standard Row 3 4 4" xfId="19152" xr:uid="{00000000-0005-0000-0000-000005080000}"/>
    <cellStyle name="PB Table Standard Row 3 4 4 2" xfId="37560" xr:uid="{00000000-0005-0000-0000-000005080000}"/>
    <cellStyle name="PB Table Standard Row 3 4 5" xfId="7098" xr:uid="{00000000-0005-0000-0000-000005080000}"/>
    <cellStyle name="PB Table Standard Row 3 5" xfId="1706" xr:uid="{00000000-0005-0000-0000-000006080000}"/>
    <cellStyle name="PB Table Standard Row 3 5 2" xfId="3603" xr:uid="{00000000-0005-0000-0000-000006080000}"/>
    <cellStyle name="PB Table Standard Row 3 5 2 2" xfId="5776" xr:uid="{00000000-0005-0000-0000-000006080000}"/>
    <cellStyle name="PB Table Standard Row 3 5 2 2 2" xfId="12140" xr:uid="{00000000-0005-0000-0000-000006080000}"/>
    <cellStyle name="PB Table Standard Row 3 5 2 2 2 2" xfId="30587" xr:uid="{00000000-0005-0000-0000-000006080000}"/>
    <cellStyle name="PB Table Standard Row 3 5 2 2 2 3" xfId="48950" xr:uid="{00000000-0005-0000-0000-000006080000}"/>
    <cellStyle name="PB Table Standard Row 3 5 2 2 3" xfId="16466" xr:uid="{00000000-0005-0000-0000-000006080000}"/>
    <cellStyle name="PB Table Standard Row 3 5 2 2 3 2" xfId="34838" xr:uid="{00000000-0005-0000-0000-000006080000}"/>
    <cellStyle name="PB Table Standard Row 3 5 2 2 3 3" xfId="53201" xr:uid="{00000000-0005-0000-0000-000006080000}"/>
    <cellStyle name="PB Table Standard Row 3 5 2 2 4" xfId="25585" xr:uid="{00000000-0005-0000-0000-000006080000}"/>
    <cellStyle name="PB Table Standard Row 3 5 2 2 4 2" xfId="43954" xr:uid="{00000000-0005-0000-0000-000006080000}"/>
    <cellStyle name="PB Table Standard Row 3 5 2 2 5" xfId="21906" xr:uid="{00000000-0005-0000-0000-000006080000}"/>
    <cellStyle name="PB Table Standard Row 3 5 2 2 6" xfId="40285" xr:uid="{00000000-0005-0000-0000-000006080000}"/>
    <cellStyle name="PB Table Standard Row 3 5 2 3" xfId="6602" xr:uid="{00000000-0005-0000-0000-000006080000}"/>
    <cellStyle name="PB Table Standard Row 3 5 2 3 2" xfId="12893" xr:uid="{00000000-0005-0000-0000-000006080000}"/>
    <cellStyle name="PB Table Standard Row 3 5 2 3 2 2" xfId="31319" xr:uid="{00000000-0005-0000-0000-000006080000}"/>
    <cellStyle name="PB Table Standard Row 3 5 2 3 2 3" xfId="49682" xr:uid="{00000000-0005-0000-0000-000006080000}"/>
    <cellStyle name="PB Table Standard Row 3 5 2 3 3" xfId="17204" xr:uid="{00000000-0005-0000-0000-000006080000}"/>
    <cellStyle name="PB Table Standard Row 3 5 2 3 3 2" xfId="35552" xr:uid="{00000000-0005-0000-0000-000006080000}"/>
    <cellStyle name="PB Table Standard Row 3 5 2 3 3 3" xfId="53915" xr:uid="{00000000-0005-0000-0000-000006080000}"/>
    <cellStyle name="PB Table Standard Row 3 5 2 3 4" xfId="26337" xr:uid="{00000000-0005-0000-0000-000006080000}"/>
    <cellStyle name="PB Table Standard Row 3 5 2 3 4 2" xfId="44706" xr:uid="{00000000-0005-0000-0000-000006080000}"/>
    <cellStyle name="PB Table Standard Row 3 5 2 3 5" xfId="22630" xr:uid="{00000000-0005-0000-0000-000006080000}"/>
    <cellStyle name="PB Table Standard Row 3 5 2 3 6" xfId="40999" xr:uid="{00000000-0005-0000-0000-000006080000}"/>
    <cellStyle name="PB Table Standard Row 3 5 2 4" xfId="10316" xr:uid="{00000000-0005-0000-0000-000006080000}"/>
    <cellStyle name="PB Table Standard Row 3 5 2 4 2" xfId="14373" xr:uid="{00000000-0005-0000-0000-000006080000}"/>
    <cellStyle name="PB Table Standard Row 3 5 2 4 2 2" xfId="32789" xr:uid="{00000000-0005-0000-0000-000006080000}"/>
    <cellStyle name="PB Table Standard Row 3 5 2 4 2 3" xfId="51152" xr:uid="{00000000-0005-0000-0000-000006080000}"/>
    <cellStyle name="PB Table Standard Row 3 5 2 4 3" xfId="29027" xr:uid="{00000000-0005-0000-0000-000006080000}"/>
    <cellStyle name="PB Table Standard Row 3 5 2 4 3 2" xfId="47390" xr:uid="{00000000-0005-0000-0000-000006080000}"/>
    <cellStyle name="PB Table Standard Row 3 5 2 4 4" xfId="19830" xr:uid="{00000000-0005-0000-0000-000006080000}"/>
    <cellStyle name="PB Table Standard Row 3 5 2 4 5" xfId="38236" xr:uid="{00000000-0005-0000-0000-000006080000}"/>
    <cellStyle name="PB Table Standard Row 3 5 2 5" xfId="9524" xr:uid="{00000000-0005-0000-0000-000006080000}"/>
    <cellStyle name="PB Table Standard Row 3 5 2 5 2" xfId="28241" xr:uid="{00000000-0005-0000-0000-000006080000}"/>
    <cellStyle name="PB Table Standard Row 3 5 2 5 3" xfId="46604" xr:uid="{00000000-0005-0000-0000-000006080000}"/>
    <cellStyle name="PB Table Standard Row 3 5 2 6" xfId="13582" xr:uid="{00000000-0005-0000-0000-000006080000}"/>
    <cellStyle name="PB Table Standard Row 3 5 2 6 2" xfId="32003" xr:uid="{00000000-0005-0000-0000-000006080000}"/>
    <cellStyle name="PB Table Standard Row 3 5 2 6 3" xfId="50366" xr:uid="{00000000-0005-0000-0000-000006080000}"/>
    <cellStyle name="PB Table Standard Row 3 5 2 7" xfId="23511" xr:uid="{00000000-0005-0000-0000-000006080000}"/>
    <cellStyle name="PB Table Standard Row 3 5 2 7 2" xfId="41880" xr:uid="{00000000-0005-0000-0000-000006080000}"/>
    <cellStyle name="PB Table Standard Row 3 5 2 8" xfId="18623" xr:uid="{00000000-0005-0000-0000-000006080000}"/>
    <cellStyle name="PB Table Standard Row 3 5 2 9" xfId="37033" xr:uid="{00000000-0005-0000-0000-000006080000}"/>
    <cellStyle name="PB Table Standard Row 3 5 3" xfId="4643" xr:uid="{00000000-0005-0000-0000-000006080000}"/>
    <cellStyle name="PB Table Standard Row 3 5 3 2" xfId="11227" xr:uid="{00000000-0005-0000-0000-000006080000}"/>
    <cellStyle name="PB Table Standard Row 3 5 3 2 2" xfId="29839" xr:uid="{00000000-0005-0000-0000-000006080000}"/>
    <cellStyle name="PB Table Standard Row 3 5 3 2 3" xfId="48202" xr:uid="{00000000-0005-0000-0000-000006080000}"/>
    <cellStyle name="PB Table Standard Row 3 5 3 3" xfId="15369" xr:uid="{00000000-0005-0000-0000-000006080000}"/>
    <cellStyle name="PB Table Standard Row 3 5 3 3 2" xfId="33762" xr:uid="{00000000-0005-0000-0000-000006080000}"/>
    <cellStyle name="PB Table Standard Row 3 5 3 3 3" xfId="52125" xr:uid="{00000000-0005-0000-0000-000006080000}"/>
    <cellStyle name="PB Table Standard Row 3 5 3 4" xfId="24493" xr:uid="{00000000-0005-0000-0000-000006080000}"/>
    <cellStyle name="PB Table Standard Row 3 5 3 4 2" xfId="42862" xr:uid="{00000000-0005-0000-0000-000006080000}"/>
    <cellStyle name="PB Table Standard Row 3 5 3 5" xfId="20820" xr:uid="{00000000-0005-0000-0000-000006080000}"/>
    <cellStyle name="PB Table Standard Row 3 5 3 6" xfId="39209" xr:uid="{00000000-0005-0000-0000-000006080000}"/>
    <cellStyle name="PB Table Standard Row 3 5 4" xfId="5173" xr:uid="{00000000-0005-0000-0000-000006080000}"/>
    <cellStyle name="PB Table Standard Row 3 5 4 2" xfId="11667" xr:uid="{00000000-0005-0000-0000-000006080000}"/>
    <cellStyle name="PB Table Standard Row 3 5 4 2 2" xfId="30212" xr:uid="{00000000-0005-0000-0000-000006080000}"/>
    <cellStyle name="PB Table Standard Row 3 5 4 2 3" xfId="48575" xr:uid="{00000000-0005-0000-0000-000006080000}"/>
    <cellStyle name="PB Table Standard Row 3 5 4 3" xfId="15865" xr:uid="{00000000-0005-0000-0000-000006080000}"/>
    <cellStyle name="PB Table Standard Row 3 5 4 3 2" xfId="34242" xr:uid="{00000000-0005-0000-0000-000006080000}"/>
    <cellStyle name="PB Table Standard Row 3 5 4 3 3" xfId="52605" xr:uid="{00000000-0005-0000-0000-000006080000}"/>
    <cellStyle name="PB Table Standard Row 3 5 4 4" xfId="24989" xr:uid="{00000000-0005-0000-0000-000006080000}"/>
    <cellStyle name="PB Table Standard Row 3 5 4 4 2" xfId="43358" xr:uid="{00000000-0005-0000-0000-000006080000}"/>
    <cellStyle name="PB Table Standard Row 3 5 4 5" xfId="21308" xr:uid="{00000000-0005-0000-0000-000006080000}"/>
    <cellStyle name="PB Table Standard Row 3 5 4 6" xfId="39689" xr:uid="{00000000-0005-0000-0000-000006080000}"/>
    <cellStyle name="PB Table Standard Row 3 5 5" xfId="9810" xr:uid="{00000000-0005-0000-0000-000006080000}"/>
    <cellStyle name="PB Table Standard Row 3 5 5 2" xfId="13867" xr:uid="{00000000-0005-0000-0000-000006080000}"/>
    <cellStyle name="PB Table Standard Row 3 5 5 2 2" xfId="32287" xr:uid="{00000000-0005-0000-0000-000006080000}"/>
    <cellStyle name="PB Table Standard Row 3 5 5 2 3" xfId="50650" xr:uid="{00000000-0005-0000-0000-000006080000}"/>
    <cellStyle name="PB Table Standard Row 3 5 5 3" xfId="28525" xr:uid="{00000000-0005-0000-0000-000006080000}"/>
    <cellStyle name="PB Table Standard Row 3 5 5 3 2" xfId="46888" xr:uid="{00000000-0005-0000-0000-000006080000}"/>
    <cellStyle name="PB Table Standard Row 3 5 5 4" xfId="19025" xr:uid="{00000000-0005-0000-0000-000006080000}"/>
    <cellStyle name="PB Table Standard Row 3 5 5 5" xfId="37434" xr:uid="{00000000-0005-0000-0000-000006080000}"/>
    <cellStyle name="PB Table Standard Row 3 5 6" xfId="7937" xr:uid="{00000000-0005-0000-0000-000006080000}"/>
    <cellStyle name="PB Table Standard Row 3 5 6 2" xfId="27167" xr:uid="{00000000-0005-0000-0000-000006080000}"/>
    <cellStyle name="PB Table Standard Row 3 5 6 3" xfId="45532" xr:uid="{00000000-0005-0000-0000-000006080000}"/>
    <cellStyle name="PB Table Standard Row 3 5 7" xfId="7423" xr:uid="{00000000-0005-0000-0000-000006080000}"/>
    <cellStyle name="PB Table Standard Row 3 5 7 2" xfId="26811" xr:uid="{00000000-0005-0000-0000-000006080000}"/>
    <cellStyle name="PB Table Standard Row 3 5 7 3" xfId="45179" xr:uid="{00000000-0005-0000-0000-000006080000}"/>
    <cellStyle name="PB Table Standard Row 3 5 8" xfId="7056" xr:uid="{00000000-0005-0000-0000-000006080000}"/>
    <cellStyle name="PB Table Standard Row 3 5 9" xfId="17697" xr:uid="{00000000-0005-0000-0000-000006080000}"/>
    <cellStyle name="PB Table Standard Row 3 6" xfId="3361" xr:uid="{00000000-0005-0000-0000-0000FC070000}"/>
    <cellStyle name="PB Table Standard Row 3 6 2" xfId="5536" xr:uid="{00000000-0005-0000-0000-0000FC070000}"/>
    <cellStyle name="PB Table Standard Row 3 6 2 2" xfId="11900" xr:uid="{00000000-0005-0000-0000-0000FC070000}"/>
    <cellStyle name="PB Table Standard Row 3 6 2 2 2" xfId="30347" xr:uid="{00000000-0005-0000-0000-0000FC070000}"/>
    <cellStyle name="PB Table Standard Row 3 6 2 2 3" xfId="48710" xr:uid="{00000000-0005-0000-0000-0000FC070000}"/>
    <cellStyle name="PB Table Standard Row 3 6 2 3" xfId="16226" xr:uid="{00000000-0005-0000-0000-0000FC070000}"/>
    <cellStyle name="PB Table Standard Row 3 6 2 3 2" xfId="34598" xr:uid="{00000000-0005-0000-0000-0000FC070000}"/>
    <cellStyle name="PB Table Standard Row 3 6 2 3 3" xfId="52961" xr:uid="{00000000-0005-0000-0000-0000FC070000}"/>
    <cellStyle name="PB Table Standard Row 3 6 2 4" xfId="25345" xr:uid="{00000000-0005-0000-0000-0000FC070000}"/>
    <cellStyle name="PB Table Standard Row 3 6 2 4 2" xfId="43714" xr:uid="{00000000-0005-0000-0000-0000FC070000}"/>
    <cellStyle name="PB Table Standard Row 3 6 2 5" xfId="21666" xr:uid="{00000000-0005-0000-0000-0000FC070000}"/>
    <cellStyle name="PB Table Standard Row 3 6 2 6" xfId="40045" xr:uid="{00000000-0005-0000-0000-0000FC070000}"/>
    <cellStyle name="PB Table Standard Row 3 6 3" xfId="6360" xr:uid="{00000000-0005-0000-0000-0000FC070000}"/>
    <cellStyle name="PB Table Standard Row 3 6 3 2" xfId="12651" xr:uid="{00000000-0005-0000-0000-0000FC070000}"/>
    <cellStyle name="PB Table Standard Row 3 6 3 2 2" xfId="31077" xr:uid="{00000000-0005-0000-0000-0000FC070000}"/>
    <cellStyle name="PB Table Standard Row 3 6 3 2 3" xfId="49440" xr:uid="{00000000-0005-0000-0000-0000FC070000}"/>
    <cellStyle name="PB Table Standard Row 3 6 3 3" xfId="16962" xr:uid="{00000000-0005-0000-0000-0000FC070000}"/>
    <cellStyle name="PB Table Standard Row 3 6 3 3 2" xfId="35310" xr:uid="{00000000-0005-0000-0000-0000FC070000}"/>
    <cellStyle name="PB Table Standard Row 3 6 3 3 3" xfId="53673" xr:uid="{00000000-0005-0000-0000-0000FC070000}"/>
    <cellStyle name="PB Table Standard Row 3 6 3 4" xfId="26095" xr:uid="{00000000-0005-0000-0000-0000FC070000}"/>
    <cellStyle name="PB Table Standard Row 3 6 3 4 2" xfId="44464" xr:uid="{00000000-0005-0000-0000-0000FC070000}"/>
    <cellStyle name="PB Table Standard Row 3 6 3 5" xfId="22388" xr:uid="{00000000-0005-0000-0000-0000FC070000}"/>
    <cellStyle name="PB Table Standard Row 3 6 3 6" xfId="40757" xr:uid="{00000000-0005-0000-0000-0000FC070000}"/>
    <cellStyle name="PB Table Standard Row 3 6 4" xfId="10074" xr:uid="{00000000-0005-0000-0000-0000FC070000}"/>
    <cellStyle name="PB Table Standard Row 3 6 4 2" xfId="14131" xr:uid="{00000000-0005-0000-0000-0000FC070000}"/>
    <cellStyle name="PB Table Standard Row 3 6 4 2 2" xfId="32547" xr:uid="{00000000-0005-0000-0000-0000FC070000}"/>
    <cellStyle name="PB Table Standard Row 3 6 4 2 3" xfId="50910" xr:uid="{00000000-0005-0000-0000-0000FC070000}"/>
    <cellStyle name="PB Table Standard Row 3 6 4 3" xfId="28785" xr:uid="{00000000-0005-0000-0000-0000FC070000}"/>
    <cellStyle name="PB Table Standard Row 3 6 4 3 2" xfId="47148" xr:uid="{00000000-0005-0000-0000-0000FC070000}"/>
    <cellStyle name="PB Table Standard Row 3 6 4 4" xfId="19588" xr:uid="{00000000-0005-0000-0000-0000FC070000}"/>
    <cellStyle name="PB Table Standard Row 3 6 4 5" xfId="37994" xr:uid="{00000000-0005-0000-0000-0000FC070000}"/>
    <cellStyle name="PB Table Standard Row 3 6 5" xfId="9221" xr:uid="{00000000-0005-0000-0000-0000FC070000}"/>
    <cellStyle name="PB Table Standard Row 3 6 5 2" xfId="27941" xr:uid="{00000000-0005-0000-0000-0000FC070000}"/>
    <cellStyle name="PB Table Standard Row 3 6 5 3" xfId="46304" xr:uid="{00000000-0005-0000-0000-0000FC070000}"/>
    <cellStyle name="PB Table Standard Row 3 6 6" xfId="13278" xr:uid="{00000000-0005-0000-0000-0000FC070000}"/>
    <cellStyle name="PB Table Standard Row 3 6 6 2" xfId="31699" xr:uid="{00000000-0005-0000-0000-0000FC070000}"/>
    <cellStyle name="PB Table Standard Row 3 6 6 3" xfId="50062" xr:uid="{00000000-0005-0000-0000-0000FC070000}"/>
    <cellStyle name="PB Table Standard Row 3 6 7" xfId="23269" xr:uid="{00000000-0005-0000-0000-0000FC070000}"/>
    <cellStyle name="PB Table Standard Row 3 6 7 2" xfId="41638" xr:uid="{00000000-0005-0000-0000-0000FC070000}"/>
    <cellStyle name="PB Table Standard Row 3 6 8" xfId="18268" xr:uid="{00000000-0005-0000-0000-0000FC070000}"/>
    <cellStyle name="PB Table Standard Row 3 6 9" xfId="36674" xr:uid="{00000000-0005-0000-0000-0000FC070000}"/>
    <cellStyle name="PB Table Standard Row 4" xfId="1802" xr:uid="{00000000-0005-0000-0000-000007080000}"/>
    <cellStyle name="PB Table Standard Row 4 10" xfId="17812" xr:uid="{00000000-0005-0000-0000-000007080000}"/>
    <cellStyle name="PB Table Standard Row 4 2" xfId="3695" xr:uid="{00000000-0005-0000-0000-000007080000}"/>
    <cellStyle name="PB Table Standard Row 4 2 2" xfId="5868" xr:uid="{00000000-0005-0000-0000-000007080000}"/>
    <cellStyle name="PB Table Standard Row 4 2 2 2" xfId="12232" xr:uid="{00000000-0005-0000-0000-000007080000}"/>
    <cellStyle name="PB Table Standard Row 4 2 2 2 2" xfId="30679" xr:uid="{00000000-0005-0000-0000-000007080000}"/>
    <cellStyle name="PB Table Standard Row 4 2 2 2 3" xfId="49042" xr:uid="{00000000-0005-0000-0000-000007080000}"/>
    <cellStyle name="PB Table Standard Row 4 2 2 3" xfId="16558" xr:uid="{00000000-0005-0000-0000-000007080000}"/>
    <cellStyle name="PB Table Standard Row 4 2 2 3 2" xfId="34930" xr:uid="{00000000-0005-0000-0000-000007080000}"/>
    <cellStyle name="PB Table Standard Row 4 2 2 3 3" xfId="53293" xr:uid="{00000000-0005-0000-0000-000007080000}"/>
    <cellStyle name="PB Table Standard Row 4 2 2 4" xfId="25677" xr:uid="{00000000-0005-0000-0000-000007080000}"/>
    <cellStyle name="PB Table Standard Row 4 2 2 4 2" xfId="44046" xr:uid="{00000000-0005-0000-0000-000007080000}"/>
    <cellStyle name="PB Table Standard Row 4 2 2 5" xfId="21998" xr:uid="{00000000-0005-0000-0000-000007080000}"/>
    <cellStyle name="PB Table Standard Row 4 2 2 6" xfId="40377" xr:uid="{00000000-0005-0000-0000-000007080000}"/>
    <cellStyle name="PB Table Standard Row 4 2 3" xfId="6694" xr:uid="{00000000-0005-0000-0000-000007080000}"/>
    <cellStyle name="PB Table Standard Row 4 2 3 2" xfId="12985" xr:uid="{00000000-0005-0000-0000-000007080000}"/>
    <cellStyle name="PB Table Standard Row 4 2 3 2 2" xfId="31411" xr:uid="{00000000-0005-0000-0000-000007080000}"/>
    <cellStyle name="PB Table Standard Row 4 2 3 2 3" xfId="49774" xr:uid="{00000000-0005-0000-0000-000007080000}"/>
    <cellStyle name="PB Table Standard Row 4 2 3 3" xfId="17296" xr:uid="{00000000-0005-0000-0000-000007080000}"/>
    <cellStyle name="PB Table Standard Row 4 2 3 3 2" xfId="35644" xr:uid="{00000000-0005-0000-0000-000007080000}"/>
    <cellStyle name="PB Table Standard Row 4 2 3 3 3" xfId="54007" xr:uid="{00000000-0005-0000-0000-000007080000}"/>
    <cellStyle name="PB Table Standard Row 4 2 3 4" xfId="26429" xr:uid="{00000000-0005-0000-0000-000007080000}"/>
    <cellStyle name="PB Table Standard Row 4 2 3 4 2" xfId="44798" xr:uid="{00000000-0005-0000-0000-000007080000}"/>
    <cellStyle name="PB Table Standard Row 4 2 3 5" xfId="22722" xr:uid="{00000000-0005-0000-0000-000007080000}"/>
    <cellStyle name="PB Table Standard Row 4 2 3 6" xfId="41091" xr:uid="{00000000-0005-0000-0000-000007080000}"/>
    <cellStyle name="PB Table Standard Row 4 2 4" xfId="10408" xr:uid="{00000000-0005-0000-0000-000007080000}"/>
    <cellStyle name="PB Table Standard Row 4 2 4 2" xfId="14465" xr:uid="{00000000-0005-0000-0000-000007080000}"/>
    <cellStyle name="PB Table Standard Row 4 2 4 2 2" xfId="32881" xr:uid="{00000000-0005-0000-0000-000007080000}"/>
    <cellStyle name="PB Table Standard Row 4 2 4 2 3" xfId="51244" xr:uid="{00000000-0005-0000-0000-000007080000}"/>
    <cellStyle name="PB Table Standard Row 4 2 4 3" xfId="29119" xr:uid="{00000000-0005-0000-0000-000007080000}"/>
    <cellStyle name="PB Table Standard Row 4 2 4 3 2" xfId="47482" xr:uid="{00000000-0005-0000-0000-000007080000}"/>
    <cellStyle name="PB Table Standard Row 4 2 4 4" xfId="19922" xr:uid="{00000000-0005-0000-0000-000007080000}"/>
    <cellStyle name="PB Table Standard Row 4 2 4 5" xfId="38328" xr:uid="{00000000-0005-0000-0000-000007080000}"/>
    <cellStyle name="PB Table Standard Row 4 2 5" xfId="9616" xr:uid="{00000000-0005-0000-0000-000007080000}"/>
    <cellStyle name="PB Table Standard Row 4 2 5 2" xfId="28333" xr:uid="{00000000-0005-0000-0000-000007080000}"/>
    <cellStyle name="PB Table Standard Row 4 2 5 3" xfId="46696" xr:uid="{00000000-0005-0000-0000-000007080000}"/>
    <cellStyle name="PB Table Standard Row 4 2 6" xfId="13674" xr:uid="{00000000-0005-0000-0000-000007080000}"/>
    <cellStyle name="PB Table Standard Row 4 2 6 2" xfId="32095" xr:uid="{00000000-0005-0000-0000-000007080000}"/>
    <cellStyle name="PB Table Standard Row 4 2 6 3" xfId="50458" xr:uid="{00000000-0005-0000-0000-000007080000}"/>
    <cellStyle name="PB Table Standard Row 4 2 7" xfId="23603" xr:uid="{00000000-0005-0000-0000-000007080000}"/>
    <cellStyle name="PB Table Standard Row 4 2 7 2" xfId="41972" xr:uid="{00000000-0005-0000-0000-000007080000}"/>
    <cellStyle name="PB Table Standard Row 4 2 8" xfId="18716" xr:uid="{00000000-0005-0000-0000-000007080000}"/>
    <cellStyle name="PB Table Standard Row 4 2 9" xfId="37126" xr:uid="{00000000-0005-0000-0000-000007080000}"/>
    <cellStyle name="PB Table Standard Row 4 3" xfId="4736" xr:uid="{00000000-0005-0000-0000-000007080000}"/>
    <cellStyle name="PB Table Standard Row 4 3 2" xfId="11320" xr:uid="{00000000-0005-0000-0000-000007080000}"/>
    <cellStyle name="PB Table Standard Row 4 3 2 2" xfId="29932" xr:uid="{00000000-0005-0000-0000-000007080000}"/>
    <cellStyle name="PB Table Standard Row 4 3 2 3" xfId="48295" xr:uid="{00000000-0005-0000-0000-000007080000}"/>
    <cellStyle name="PB Table Standard Row 4 3 3" xfId="15462" xr:uid="{00000000-0005-0000-0000-000007080000}"/>
    <cellStyle name="PB Table Standard Row 4 3 3 2" xfId="33855" xr:uid="{00000000-0005-0000-0000-000007080000}"/>
    <cellStyle name="PB Table Standard Row 4 3 3 3" xfId="52218" xr:uid="{00000000-0005-0000-0000-000007080000}"/>
    <cellStyle name="PB Table Standard Row 4 3 4" xfId="24586" xr:uid="{00000000-0005-0000-0000-000007080000}"/>
    <cellStyle name="PB Table Standard Row 4 3 4 2" xfId="42955" xr:uid="{00000000-0005-0000-0000-000007080000}"/>
    <cellStyle name="PB Table Standard Row 4 3 5" xfId="20913" xr:uid="{00000000-0005-0000-0000-000007080000}"/>
    <cellStyle name="PB Table Standard Row 4 3 6" xfId="39302" xr:uid="{00000000-0005-0000-0000-000007080000}"/>
    <cellStyle name="PB Table Standard Row 4 4" xfId="5016" xr:uid="{00000000-0005-0000-0000-000007080000}"/>
    <cellStyle name="PB Table Standard Row 4 4 2" xfId="11539" xr:uid="{00000000-0005-0000-0000-000007080000}"/>
    <cellStyle name="PB Table Standard Row 4 4 2 2" xfId="30111" xr:uid="{00000000-0005-0000-0000-000007080000}"/>
    <cellStyle name="PB Table Standard Row 4 4 2 3" xfId="48474" xr:uid="{00000000-0005-0000-0000-000007080000}"/>
    <cellStyle name="PB Table Standard Row 4 4 3" xfId="15729" xr:uid="{00000000-0005-0000-0000-000007080000}"/>
    <cellStyle name="PB Table Standard Row 4 4 3 2" xfId="34117" xr:uid="{00000000-0005-0000-0000-000007080000}"/>
    <cellStyle name="PB Table Standard Row 4 4 3 3" xfId="52480" xr:uid="{00000000-0005-0000-0000-000007080000}"/>
    <cellStyle name="PB Table Standard Row 4 4 4" xfId="24853" xr:uid="{00000000-0005-0000-0000-000007080000}"/>
    <cellStyle name="PB Table Standard Row 4 4 4 2" xfId="43222" xr:uid="{00000000-0005-0000-0000-000007080000}"/>
    <cellStyle name="PB Table Standard Row 4 4 5" xfId="21177" xr:uid="{00000000-0005-0000-0000-000007080000}"/>
    <cellStyle name="PB Table Standard Row 4 4 6" xfId="39564" xr:uid="{00000000-0005-0000-0000-000007080000}"/>
    <cellStyle name="PB Table Standard Row 4 5" xfId="9259" xr:uid="{00000000-0005-0000-0000-000007080000}"/>
    <cellStyle name="PB Table Standard Row 4 5 2" xfId="13316" xr:uid="{00000000-0005-0000-0000-000007080000}"/>
    <cellStyle name="PB Table Standard Row 4 5 2 2" xfId="31737" xr:uid="{00000000-0005-0000-0000-000007080000}"/>
    <cellStyle name="PB Table Standard Row 4 5 2 3" xfId="50100" xr:uid="{00000000-0005-0000-0000-000007080000}"/>
    <cellStyle name="PB Table Standard Row 4 5 3" xfId="27979" xr:uid="{00000000-0005-0000-0000-000007080000}"/>
    <cellStyle name="PB Table Standard Row 4 5 3 2" xfId="46342" xr:uid="{00000000-0005-0000-0000-000007080000}"/>
    <cellStyle name="PB Table Standard Row 4 5 4" xfId="18319" xr:uid="{00000000-0005-0000-0000-000007080000}"/>
    <cellStyle name="PB Table Standard Row 4 5 5" xfId="36725" xr:uid="{00000000-0005-0000-0000-000007080000}"/>
    <cellStyle name="PB Table Standard Row 4 6" xfId="8032" xr:uid="{00000000-0005-0000-0000-000007080000}"/>
    <cellStyle name="PB Table Standard Row 4 6 2" xfId="27261" xr:uid="{00000000-0005-0000-0000-000007080000}"/>
    <cellStyle name="PB Table Standard Row 4 6 3" xfId="45626" xr:uid="{00000000-0005-0000-0000-000007080000}"/>
    <cellStyle name="PB Table Standard Row 4 7" xfId="8736" xr:uid="{00000000-0005-0000-0000-000007080000}"/>
    <cellStyle name="PB Table Standard Row 4 7 2" xfId="27612" xr:uid="{00000000-0005-0000-0000-000007080000}"/>
    <cellStyle name="PB Table Standard Row 4 7 3" xfId="45975" xr:uid="{00000000-0005-0000-0000-000007080000}"/>
    <cellStyle name="PB Table Standard Row 4 8" xfId="18502" xr:uid="{00000000-0005-0000-0000-000007080000}"/>
    <cellStyle name="PB Table Standard Row 4 8 2" xfId="36911" xr:uid="{00000000-0005-0000-0000-000007080000}"/>
    <cellStyle name="PB Table Standard Row 4 9" xfId="7073" xr:uid="{00000000-0005-0000-0000-000007080000}"/>
    <cellStyle name="PB Table Standard Row 5" xfId="2154" xr:uid="{00000000-0005-0000-0000-000008080000}"/>
    <cellStyle name="PB Table Standard Row 5 10" xfId="7384" xr:uid="{00000000-0005-0000-0000-000008080000}"/>
    <cellStyle name="PB Table Standard Row 5 2" xfId="3754" xr:uid="{00000000-0005-0000-0000-000008080000}"/>
    <cellStyle name="PB Table Standard Row 5 2 2" xfId="5927" xr:uid="{00000000-0005-0000-0000-000008080000}"/>
    <cellStyle name="PB Table Standard Row 5 2 2 2" xfId="12291" xr:uid="{00000000-0005-0000-0000-000008080000}"/>
    <cellStyle name="PB Table Standard Row 5 2 2 2 2" xfId="30738" xr:uid="{00000000-0005-0000-0000-000008080000}"/>
    <cellStyle name="PB Table Standard Row 5 2 2 2 3" xfId="49101" xr:uid="{00000000-0005-0000-0000-000008080000}"/>
    <cellStyle name="PB Table Standard Row 5 2 2 3" xfId="16617" xr:uid="{00000000-0005-0000-0000-000008080000}"/>
    <cellStyle name="PB Table Standard Row 5 2 2 3 2" xfId="34989" xr:uid="{00000000-0005-0000-0000-000008080000}"/>
    <cellStyle name="PB Table Standard Row 5 2 2 3 3" xfId="53352" xr:uid="{00000000-0005-0000-0000-000008080000}"/>
    <cellStyle name="PB Table Standard Row 5 2 2 4" xfId="25736" xr:uid="{00000000-0005-0000-0000-000008080000}"/>
    <cellStyle name="PB Table Standard Row 5 2 2 4 2" xfId="44105" xr:uid="{00000000-0005-0000-0000-000008080000}"/>
    <cellStyle name="PB Table Standard Row 5 2 2 5" xfId="22057" xr:uid="{00000000-0005-0000-0000-000008080000}"/>
    <cellStyle name="PB Table Standard Row 5 2 2 6" xfId="40436" xr:uid="{00000000-0005-0000-0000-000008080000}"/>
    <cellStyle name="PB Table Standard Row 5 2 3" xfId="6753" xr:uid="{00000000-0005-0000-0000-000008080000}"/>
    <cellStyle name="PB Table Standard Row 5 2 3 2" xfId="13044" xr:uid="{00000000-0005-0000-0000-000008080000}"/>
    <cellStyle name="PB Table Standard Row 5 2 3 2 2" xfId="31470" xr:uid="{00000000-0005-0000-0000-000008080000}"/>
    <cellStyle name="PB Table Standard Row 5 2 3 2 3" xfId="49833" xr:uid="{00000000-0005-0000-0000-000008080000}"/>
    <cellStyle name="PB Table Standard Row 5 2 3 3" xfId="17355" xr:uid="{00000000-0005-0000-0000-000008080000}"/>
    <cellStyle name="PB Table Standard Row 5 2 3 3 2" xfId="35703" xr:uid="{00000000-0005-0000-0000-000008080000}"/>
    <cellStyle name="PB Table Standard Row 5 2 3 3 3" xfId="54066" xr:uid="{00000000-0005-0000-0000-000008080000}"/>
    <cellStyle name="PB Table Standard Row 5 2 3 4" xfId="26488" xr:uid="{00000000-0005-0000-0000-000008080000}"/>
    <cellStyle name="PB Table Standard Row 5 2 3 4 2" xfId="44857" xr:uid="{00000000-0005-0000-0000-000008080000}"/>
    <cellStyle name="PB Table Standard Row 5 2 3 5" xfId="22781" xr:uid="{00000000-0005-0000-0000-000008080000}"/>
    <cellStyle name="PB Table Standard Row 5 2 3 6" xfId="41150" xr:uid="{00000000-0005-0000-0000-000008080000}"/>
    <cellStyle name="PB Table Standard Row 5 2 4" xfId="10467" xr:uid="{00000000-0005-0000-0000-000008080000}"/>
    <cellStyle name="PB Table Standard Row 5 2 4 2" xfId="14524" xr:uid="{00000000-0005-0000-0000-000008080000}"/>
    <cellStyle name="PB Table Standard Row 5 2 4 2 2" xfId="32940" xr:uid="{00000000-0005-0000-0000-000008080000}"/>
    <cellStyle name="PB Table Standard Row 5 2 4 2 3" xfId="51303" xr:uid="{00000000-0005-0000-0000-000008080000}"/>
    <cellStyle name="PB Table Standard Row 5 2 4 3" xfId="29178" xr:uid="{00000000-0005-0000-0000-000008080000}"/>
    <cellStyle name="PB Table Standard Row 5 2 4 3 2" xfId="47541" xr:uid="{00000000-0005-0000-0000-000008080000}"/>
    <cellStyle name="PB Table Standard Row 5 2 4 4" xfId="19981" xr:uid="{00000000-0005-0000-0000-000008080000}"/>
    <cellStyle name="PB Table Standard Row 5 2 4 5" xfId="38387" xr:uid="{00000000-0005-0000-0000-000008080000}"/>
    <cellStyle name="PB Table Standard Row 5 2 5" xfId="9734" xr:uid="{00000000-0005-0000-0000-000008080000}"/>
    <cellStyle name="PB Table Standard Row 5 2 5 2" xfId="28449" xr:uid="{00000000-0005-0000-0000-000008080000}"/>
    <cellStyle name="PB Table Standard Row 5 2 5 3" xfId="46812" xr:uid="{00000000-0005-0000-0000-000008080000}"/>
    <cellStyle name="PB Table Standard Row 5 2 6" xfId="13791" xr:uid="{00000000-0005-0000-0000-000008080000}"/>
    <cellStyle name="PB Table Standard Row 5 2 6 2" xfId="32211" xr:uid="{00000000-0005-0000-0000-000008080000}"/>
    <cellStyle name="PB Table Standard Row 5 2 6 3" xfId="50574" xr:uid="{00000000-0005-0000-0000-000008080000}"/>
    <cellStyle name="PB Table Standard Row 5 2 7" xfId="23662" xr:uid="{00000000-0005-0000-0000-000008080000}"/>
    <cellStyle name="PB Table Standard Row 5 2 7 2" xfId="42031" xr:uid="{00000000-0005-0000-0000-000008080000}"/>
    <cellStyle name="PB Table Standard Row 5 2 8" xfId="18890" xr:uid="{00000000-0005-0000-0000-000008080000}"/>
    <cellStyle name="PB Table Standard Row 5 2 9" xfId="37299" xr:uid="{00000000-0005-0000-0000-000008080000}"/>
    <cellStyle name="PB Table Standard Row 5 3" xfId="4920" xr:uid="{00000000-0005-0000-0000-000008080000}"/>
    <cellStyle name="PB Table Standard Row 5 3 2" xfId="11468" xr:uid="{00000000-0005-0000-0000-000008080000}"/>
    <cellStyle name="PB Table Standard Row 5 3 2 2" xfId="30054" xr:uid="{00000000-0005-0000-0000-000008080000}"/>
    <cellStyle name="PB Table Standard Row 5 3 2 3" xfId="48417" xr:uid="{00000000-0005-0000-0000-000008080000}"/>
    <cellStyle name="PB Table Standard Row 5 3 3" xfId="15640" xr:uid="{00000000-0005-0000-0000-000008080000}"/>
    <cellStyle name="PB Table Standard Row 5 3 3 2" xfId="34029" xr:uid="{00000000-0005-0000-0000-000008080000}"/>
    <cellStyle name="PB Table Standard Row 5 3 3 3" xfId="52392" xr:uid="{00000000-0005-0000-0000-000008080000}"/>
    <cellStyle name="PB Table Standard Row 5 3 4" xfId="24762" xr:uid="{00000000-0005-0000-0000-000008080000}"/>
    <cellStyle name="PB Table Standard Row 5 3 4 2" xfId="43131" xr:uid="{00000000-0005-0000-0000-000008080000}"/>
    <cellStyle name="PB Table Standard Row 5 3 5" xfId="21088" xr:uid="{00000000-0005-0000-0000-000008080000}"/>
    <cellStyle name="PB Table Standard Row 5 3 6" xfId="39476" xr:uid="{00000000-0005-0000-0000-000008080000}"/>
    <cellStyle name="PB Table Standard Row 5 4" xfId="3913" xr:uid="{00000000-0005-0000-0000-000008080000}"/>
    <cellStyle name="PB Table Standard Row 5 4 2" xfId="10622" xr:uid="{00000000-0005-0000-0000-000008080000}"/>
    <cellStyle name="PB Table Standard Row 5 4 2 2" xfId="29332" xr:uid="{00000000-0005-0000-0000-000008080000}"/>
    <cellStyle name="PB Table Standard Row 5 4 2 3" xfId="47695" xr:uid="{00000000-0005-0000-0000-000008080000}"/>
    <cellStyle name="PB Table Standard Row 5 4 3" xfId="14679" xr:uid="{00000000-0005-0000-0000-000008080000}"/>
    <cellStyle name="PB Table Standard Row 5 4 3 2" xfId="33093" xr:uid="{00000000-0005-0000-0000-000008080000}"/>
    <cellStyle name="PB Table Standard Row 5 4 3 3" xfId="51456" xr:uid="{00000000-0005-0000-0000-000008080000}"/>
    <cellStyle name="PB Table Standard Row 5 4 4" xfId="23816" xr:uid="{00000000-0005-0000-0000-000008080000}"/>
    <cellStyle name="PB Table Standard Row 5 4 4 2" xfId="42185" xr:uid="{00000000-0005-0000-0000-000008080000}"/>
    <cellStyle name="PB Table Standard Row 5 4 5" xfId="20135" xr:uid="{00000000-0005-0000-0000-000008080000}"/>
    <cellStyle name="PB Table Standard Row 5 4 6" xfId="38540" xr:uid="{00000000-0005-0000-0000-000008080000}"/>
    <cellStyle name="PB Table Standard Row 5 5" xfId="9022" xr:uid="{00000000-0005-0000-0000-000008080000}"/>
    <cellStyle name="PB Table Standard Row 5 5 2" xfId="6926" xr:uid="{00000000-0005-0000-0000-000008080000}"/>
    <cellStyle name="PB Table Standard Row 5 5 2 2" xfId="26661" xr:uid="{00000000-0005-0000-0000-000008080000}"/>
    <cellStyle name="PB Table Standard Row 5 5 2 3" xfId="45030" xr:uid="{00000000-0005-0000-0000-000008080000}"/>
    <cellStyle name="PB Table Standard Row 5 5 3" xfId="27749" xr:uid="{00000000-0005-0000-0000-000008080000}"/>
    <cellStyle name="PB Table Standard Row 5 5 3 2" xfId="46112" xr:uid="{00000000-0005-0000-0000-000008080000}"/>
    <cellStyle name="PB Table Standard Row 5 5 4" xfId="17901" xr:uid="{00000000-0005-0000-0000-000008080000}"/>
    <cellStyle name="PB Table Standard Row 5 5 5" xfId="36311" xr:uid="{00000000-0005-0000-0000-000008080000}"/>
    <cellStyle name="PB Table Standard Row 5 6" xfId="8263" xr:uid="{00000000-0005-0000-0000-000008080000}"/>
    <cellStyle name="PB Table Standard Row 5 6 2" xfId="27393" xr:uid="{00000000-0005-0000-0000-000008080000}"/>
    <cellStyle name="PB Table Standard Row 5 6 3" xfId="45758" xr:uid="{00000000-0005-0000-0000-000008080000}"/>
    <cellStyle name="PB Table Standard Row 5 7" xfId="8492" xr:uid="{00000000-0005-0000-0000-000008080000}"/>
    <cellStyle name="PB Table Standard Row 5 7 2" xfId="27506" xr:uid="{00000000-0005-0000-0000-000008080000}"/>
    <cellStyle name="PB Table Standard Row 5 7 3" xfId="45870" xr:uid="{00000000-0005-0000-0000-000008080000}"/>
    <cellStyle name="PB Table Standard Row 5 8" xfId="19520" xr:uid="{00000000-0005-0000-0000-000008080000}"/>
    <cellStyle name="PB Table Standard Row 5 8 2" xfId="37926" xr:uid="{00000000-0005-0000-0000-000008080000}"/>
    <cellStyle name="PB Table Standard Row 5 9" xfId="10878" xr:uid="{00000000-0005-0000-0000-000008080000}"/>
    <cellStyle name="PB Table Standard Row 6" xfId="2603" xr:uid="{00000000-0005-0000-0000-000009080000}"/>
    <cellStyle name="PB Table Standard Row 6 10" xfId="35872" xr:uid="{00000000-0005-0000-0000-000009080000}"/>
    <cellStyle name="PB Table Standard Row 6 2" xfId="3798" xr:uid="{00000000-0005-0000-0000-000009080000}"/>
    <cellStyle name="PB Table Standard Row 6 2 2" xfId="5971" xr:uid="{00000000-0005-0000-0000-000009080000}"/>
    <cellStyle name="PB Table Standard Row 6 2 2 2" xfId="12335" xr:uid="{00000000-0005-0000-0000-000009080000}"/>
    <cellStyle name="PB Table Standard Row 6 2 2 2 2" xfId="30782" xr:uid="{00000000-0005-0000-0000-000009080000}"/>
    <cellStyle name="PB Table Standard Row 6 2 2 2 3" xfId="49145" xr:uid="{00000000-0005-0000-0000-000009080000}"/>
    <cellStyle name="PB Table Standard Row 6 2 2 3" xfId="16661" xr:uid="{00000000-0005-0000-0000-000009080000}"/>
    <cellStyle name="PB Table Standard Row 6 2 2 3 2" xfId="35033" xr:uid="{00000000-0005-0000-0000-000009080000}"/>
    <cellStyle name="PB Table Standard Row 6 2 2 3 3" xfId="53396" xr:uid="{00000000-0005-0000-0000-000009080000}"/>
    <cellStyle name="PB Table Standard Row 6 2 2 4" xfId="25780" xr:uid="{00000000-0005-0000-0000-000009080000}"/>
    <cellStyle name="PB Table Standard Row 6 2 2 4 2" xfId="44149" xr:uid="{00000000-0005-0000-0000-000009080000}"/>
    <cellStyle name="PB Table Standard Row 6 2 2 5" xfId="22101" xr:uid="{00000000-0005-0000-0000-000009080000}"/>
    <cellStyle name="PB Table Standard Row 6 2 2 6" xfId="40480" xr:uid="{00000000-0005-0000-0000-000009080000}"/>
    <cellStyle name="PB Table Standard Row 6 2 3" xfId="6797" xr:uid="{00000000-0005-0000-0000-000009080000}"/>
    <cellStyle name="PB Table Standard Row 6 2 3 2" xfId="13088" xr:uid="{00000000-0005-0000-0000-000009080000}"/>
    <cellStyle name="PB Table Standard Row 6 2 3 2 2" xfId="31514" xr:uid="{00000000-0005-0000-0000-000009080000}"/>
    <cellStyle name="PB Table Standard Row 6 2 3 2 3" xfId="49877" xr:uid="{00000000-0005-0000-0000-000009080000}"/>
    <cellStyle name="PB Table Standard Row 6 2 3 3" xfId="17399" xr:uid="{00000000-0005-0000-0000-000009080000}"/>
    <cellStyle name="PB Table Standard Row 6 2 3 3 2" xfId="35747" xr:uid="{00000000-0005-0000-0000-000009080000}"/>
    <cellStyle name="PB Table Standard Row 6 2 3 3 3" xfId="54110" xr:uid="{00000000-0005-0000-0000-000009080000}"/>
    <cellStyle name="PB Table Standard Row 6 2 3 4" xfId="26532" xr:uid="{00000000-0005-0000-0000-000009080000}"/>
    <cellStyle name="PB Table Standard Row 6 2 3 4 2" xfId="44901" xr:uid="{00000000-0005-0000-0000-000009080000}"/>
    <cellStyle name="PB Table Standard Row 6 2 3 5" xfId="22825" xr:uid="{00000000-0005-0000-0000-000009080000}"/>
    <cellStyle name="PB Table Standard Row 6 2 3 6" xfId="41194" xr:uid="{00000000-0005-0000-0000-000009080000}"/>
    <cellStyle name="PB Table Standard Row 6 2 4" xfId="10511" xr:uid="{00000000-0005-0000-0000-000009080000}"/>
    <cellStyle name="PB Table Standard Row 6 2 4 2" xfId="14568" xr:uid="{00000000-0005-0000-0000-000009080000}"/>
    <cellStyle name="PB Table Standard Row 6 2 4 2 2" xfId="32984" xr:uid="{00000000-0005-0000-0000-000009080000}"/>
    <cellStyle name="PB Table Standard Row 6 2 4 2 3" xfId="51347" xr:uid="{00000000-0005-0000-0000-000009080000}"/>
    <cellStyle name="PB Table Standard Row 6 2 4 3" xfId="29222" xr:uid="{00000000-0005-0000-0000-000009080000}"/>
    <cellStyle name="PB Table Standard Row 6 2 4 3 2" xfId="47585" xr:uid="{00000000-0005-0000-0000-000009080000}"/>
    <cellStyle name="PB Table Standard Row 6 2 4 4" xfId="20025" xr:uid="{00000000-0005-0000-0000-000009080000}"/>
    <cellStyle name="PB Table Standard Row 6 2 4 5" xfId="38431" xr:uid="{00000000-0005-0000-0000-000009080000}"/>
    <cellStyle name="PB Table Standard Row 6 2 5" xfId="9837" xr:uid="{00000000-0005-0000-0000-000009080000}"/>
    <cellStyle name="PB Table Standard Row 6 2 5 2" xfId="28551" xr:uid="{00000000-0005-0000-0000-000009080000}"/>
    <cellStyle name="PB Table Standard Row 6 2 5 3" xfId="46914" xr:uid="{00000000-0005-0000-0000-000009080000}"/>
    <cellStyle name="PB Table Standard Row 6 2 6" xfId="13894" xr:uid="{00000000-0005-0000-0000-000009080000}"/>
    <cellStyle name="PB Table Standard Row 6 2 6 2" xfId="32313" xr:uid="{00000000-0005-0000-0000-000009080000}"/>
    <cellStyle name="PB Table Standard Row 6 2 6 3" xfId="50676" xr:uid="{00000000-0005-0000-0000-000009080000}"/>
    <cellStyle name="PB Table Standard Row 6 2 7" xfId="23706" xr:uid="{00000000-0005-0000-0000-000009080000}"/>
    <cellStyle name="PB Table Standard Row 6 2 7 2" xfId="42075" xr:uid="{00000000-0005-0000-0000-000009080000}"/>
    <cellStyle name="PB Table Standard Row 6 2 8" xfId="19059" xr:uid="{00000000-0005-0000-0000-000009080000}"/>
    <cellStyle name="PB Table Standard Row 6 2 9" xfId="37468" xr:uid="{00000000-0005-0000-0000-000009080000}"/>
    <cellStyle name="PB Table Standard Row 6 3" xfId="5083" xr:uid="{00000000-0005-0000-0000-000009080000}"/>
    <cellStyle name="PB Table Standard Row 6 3 2" xfId="11602" xr:uid="{00000000-0005-0000-0000-000009080000}"/>
    <cellStyle name="PB Table Standard Row 6 3 2 2" xfId="30166" xr:uid="{00000000-0005-0000-0000-000009080000}"/>
    <cellStyle name="PB Table Standard Row 6 3 2 3" xfId="48529" xr:uid="{00000000-0005-0000-0000-000009080000}"/>
    <cellStyle name="PB Table Standard Row 6 3 3" xfId="15793" xr:uid="{00000000-0005-0000-0000-000009080000}"/>
    <cellStyle name="PB Table Standard Row 6 3 3 2" xfId="34178" xr:uid="{00000000-0005-0000-0000-000009080000}"/>
    <cellStyle name="PB Table Standard Row 6 3 3 3" xfId="52541" xr:uid="{00000000-0005-0000-0000-000009080000}"/>
    <cellStyle name="PB Table Standard Row 6 3 4" xfId="24914" xr:uid="{00000000-0005-0000-0000-000009080000}"/>
    <cellStyle name="PB Table Standard Row 6 3 4 2" xfId="43283" xr:uid="{00000000-0005-0000-0000-000009080000}"/>
    <cellStyle name="PB Table Standard Row 6 3 5" xfId="21240" xr:uid="{00000000-0005-0000-0000-000009080000}"/>
    <cellStyle name="PB Table Standard Row 6 3 6" xfId="39625" xr:uid="{00000000-0005-0000-0000-000009080000}"/>
    <cellStyle name="PB Table Standard Row 6 4" xfId="6145" xr:uid="{00000000-0005-0000-0000-000009080000}"/>
    <cellStyle name="PB Table Standard Row 6 4 2" xfId="12496" xr:uid="{00000000-0005-0000-0000-000009080000}"/>
    <cellStyle name="PB Table Standard Row 6 4 2 2" xfId="30934" xr:uid="{00000000-0005-0000-0000-000009080000}"/>
    <cellStyle name="PB Table Standard Row 6 4 2 3" xfId="49297" xr:uid="{00000000-0005-0000-0000-000009080000}"/>
    <cellStyle name="PB Table Standard Row 6 4 3" xfId="16814" xr:uid="{00000000-0005-0000-0000-000009080000}"/>
    <cellStyle name="PB Table Standard Row 6 4 3 2" xfId="35181" xr:uid="{00000000-0005-0000-0000-000009080000}"/>
    <cellStyle name="PB Table Standard Row 6 4 3 3" xfId="53544" xr:uid="{00000000-0005-0000-0000-000009080000}"/>
    <cellStyle name="PB Table Standard Row 6 4 4" xfId="25937" xr:uid="{00000000-0005-0000-0000-000009080000}"/>
    <cellStyle name="PB Table Standard Row 6 4 4 2" xfId="44306" xr:uid="{00000000-0005-0000-0000-000009080000}"/>
    <cellStyle name="PB Table Standard Row 6 4 5" xfId="22251" xr:uid="{00000000-0005-0000-0000-000009080000}"/>
    <cellStyle name="PB Table Standard Row 6 4 6" xfId="40628" xr:uid="{00000000-0005-0000-0000-000009080000}"/>
    <cellStyle name="PB Table Standard Row 6 5" xfId="9011" xr:uid="{00000000-0005-0000-0000-000009080000}"/>
    <cellStyle name="PB Table Standard Row 6 5 2" xfId="6939" xr:uid="{00000000-0005-0000-0000-000009080000}"/>
    <cellStyle name="PB Table Standard Row 6 5 2 2" xfId="26672" xr:uid="{00000000-0005-0000-0000-000009080000}"/>
    <cellStyle name="PB Table Standard Row 6 5 2 3" xfId="45041" xr:uid="{00000000-0005-0000-0000-000009080000}"/>
    <cellStyle name="PB Table Standard Row 6 5 3" xfId="27738" xr:uid="{00000000-0005-0000-0000-000009080000}"/>
    <cellStyle name="PB Table Standard Row 6 5 3 2" xfId="46101" xr:uid="{00000000-0005-0000-0000-000009080000}"/>
    <cellStyle name="PB Table Standard Row 6 5 4" xfId="17843" xr:uid="{00000000-0005-0000-0000-000009080000}"/>
    <cellStyle name="PB Table Standard Row 6 5 5" xfId="36253" xr:uid="{00000000-0005-0000-0000-000009080000}"/>
    <cellStyle name="PB Table Standard Row 6 6" xfId="8531" xr:uid="{00000000-0005-0000-0000-000009080000}"/>
    <cellStyle name="PB Table Standard Row 6 6 2" xfId="27517" xr:uid="{00000000-0005-0000-0000-000009080000}"/>
    <cellStyle name="PB Table Standard Row 6 6 3" xfId="45881" xr:uid="{00000000-0005-0000-0000-000009080000}"/>
    <cellStyle name="PB Table Standard Row 6 7" xfId="7046" xr:uid="{00000000-0005-0000-0000-000009080000}"/>
    <cellStyle name="PB Table Standard Row 6 7 2" xfId="26708" xr:uid="{00000000-0005-0000-0000-000009080000}"/>
    <cellStyle name="PB Table Standard Row 6 7 3" xfId="45076" xr:uid="{00000000-0005-0000-0000-000009080000}"/>
    <cellStyle name="PB Table Standard Row 6 8" xfId="18127" xr:uid="{00000000-0005-0000-0000-000009080000}"/>
    <cellStyle name="PB Table Standard Row 6 8 2" xfId="36534" xr:uid="{00000000-0005-0000-0000-000009080000}"/>
    <cellStyle name="PB Table Standard Row 6 9" xfId="15580" xr:uid="{00000000-0005-0000-0000-000009080000}"/>
    <cellStyle name="PB Table Standard Row 7" xfId="2990" xr:uid="{00000000-0005-0000-0000-00000A080000}"/>
    <cellStyle name="PB Table Standard Row 7 2" xfId="3834" xr:uid="{00000000-0005-0000-0000-00000A080000}"/>
    <cellStyle name="PB Table Standard Row 7 2 2" xfId="6007" xr:uid="{00000000-0005-0000-0000-00000A080000}"/>
    <cellStyle name="PB Table Standard Row 7 2 2 2" xfId="12371" xr:uid="{00000000-0005-0000-0000-00000A080000}"/>
    <cellStyle name="PB Table Standard Row 7 2 2 2 2" xfId="30818" xr:uid="{00000000-0005-0000-0000-00000A080000}"/>
    <cellStyle name="PB Table Standard Row 7 2 2 2 3" xfId="49181" xr:uid="{00000000-0005-0000-0000-00000A080000}"/>
    <cellStyle name="PB Table Standard Row 7 2 2 3" xfId="16697" xr:uid="{00000000-0005-0000-0000-00000A080000}"/>
    <cellStyle name="PB Table Standard Row 7 2 2 3 2" xfId="35069" xr:uid="{00000000-0005-0000-0000-00000A080000}"/>
    <cellStyle name="PB Table Standard Row 7 2 2 3 3" xfId="53432" xr:uid="{00000000-0005-0000-0000-00000A080000}"/>
    <cellStyle name="PB Table Standard Row 7 2 2 4" xfId="25816" xr:uid="{00000000-0005-0000-0000-00000A080000}"/>
    <cellStyle name="PB Table Standard Row 7 2 2 4 2" xfId="44185" xr:uid="{00000000-0005-0000-0000-00000A080000}"/>
    <cellStyle name="PB Table Standard Row 7 2 2 5" xfId="22137" xr:uid="{00000000-0005-0000-0000-00000A080000}"/>
    <cellStyle name="PB Table Standard Row 7 2 2 6" xfId="40516" xr:uid="{00000000-0005-0000-0000-00000A080000}"/>
    <cellStyle name="PB Table Standard Row 7 2 3" xfId="6833" xr:uid="{00000000-0005-0000-0000-00000A080000}"/>
    <cellStyle name="PB Table Standard Row 7 2 3 2" xfId="13124" xr:uid="{00000000-0005-0000-0000-00000A080000}"/>
    <cellStyle name="PB Table Standard Row 7 2 3 2 2" xfId="31550" xr:uid="{00000000-0005-0000-0000-00000A080000}"/>
    <cellStyle name="PB Table Standard Row 7 2 3 2 3" xfId="49913" xr:uid="{00000000-0005-0000-0000-00000A080000}"/>
    <cellStyle name="PB Table Standard Row 7 2 3 3" xfId="17435" xr:uid="{00000000-0005-0000-0000-00000A080000}"/>
    <cellStyle name="PB Table Standard Row 7 2 3 3 2" xfId="35783" xr:uid="{00000000-0005-0000-0000-00000A080000}"/>
    <cellStyle name="PB Table Standard Row 7 2 3 3 3" xfId="54146" xr:uid="{00000000-0005-0000-0000-00000A080000}"/>
    <cellStyle name="PB Table Standard Row 7 2 3 4" xfId="26568" xr:uid="{00000000-0005-0000-0000-00000A080000}"/>
    <cellStyle name="PB Table Standard Row 7 2 3 4 2" xfId="44937" xr:uid="{00000000-0005-0000-0000-00000A080000}"/>
    <cellStyle name="PB Table Standard Row 7 2 3 5" xfId="22861" xr:uid="{00000000-0005-0000-0000-00000A080000}"/>
    <cellStyle name="PB Table Standard Row 7 2 3 6" xfId="41230" xr:uid="{00000000-0005-0000-0000-00000A080000}"/>
    <cellStyle name="PB Table Standard Row 7 2 4" xfId="10547" xr:uid="{00000000-0005-0000-0000-00000A080000}"/>
    <cellStyle name="PB Table Standard Row 7 2 4 2" xfId="14604" xr:uid="{00000000-0005-0000-0000-00000A080000}"/>
    <cellStyle name="PB Table Standard Row 7 2 4 2 2" xfId="33020" xr:uid="{00000000-0005-0000-0000-00000A080000}"/>
    <cellStyle name="PB Table Standard Row 7 2 4 2 3" xfId="51383" xr:uid="{00000000-0005-0000-0000-00000A080000}"/>
    <cellStyle name="PB Table Standard Row 7 2 4 3" xfId="29258" xr:uid="{00000000-0005-0000-0000-00000A080000}"/>
    <cellStyle name="PB Table Standard Row 7 2 4 3 2" xfId="47621" xr:uid="{00000000-0005-0000-0000-00000A080000}"/>
    <cellStyle name="PB Table Standard Row 7 2 4 4" xfId="20061" xr:uid="{00000000-0005-0000-0000-00000A080000}"/>
    <cellStyle name="PB Table Standard Row 7 2 4 5" xfId="38467" xr:uid="{00000000-0005-0000-0000-00000A080000}"/>
    <cellStyle name="PB Table Standard Row 7 2 5" xfId="9910" xr:uid="{00000000-0005-0000-0000-00000A080000}"/>
    <cellStyle name="PB Table Standard Row 7 2 5 2" xfId="28622" xr:uid="{00000000-0005-0000-0000-00000A080000}"/>
    <cellStyle name="PB Table Standard Row 7 2 5 3" xfId="46985" xr:uid="{00000000-0005-0000-0000-00000A080000}"/>
    <cellStyle name="PB Table Standard Row 7 2 6" xfId="13967" xr:uid="{00000000-0005-0000-0000-00000A080000}"/>
    <cellStyle name="PB Table Standard Row 7 2 6 2" xfId="32384" xr:uid="{00000000-0005-0000-0000-00000A080000}"/>
    <cellStyle name="PB Table Standard Row 7 2 6 3" xfId="50747" xr:uid="{00000000-0005-0000-0000-00000A080000}"/>
    <cellStyle name="PB Table Standard Row 7 2 7" xfId="23742" xr:uid="{00000000-0005-0000-0000-00000A080000}"/>
    <cellStyle name="PB Table Standard Row 7 2 7 2" xfId="42111" xr:uid="{00000000-0005-0000-0000-00000A080000}"/>
    <cellStyle name="PB Table Standard Row 7 2 8" xfId="19213" xr:uid="{00000000-0005-0000-0000-00000A080000}"/>
    <cellStyle name="PB Table Standard Row 7 2 9" xfId="37620" xr:uid="{00000000-0005-0000-0000-00000A080000}"/>
    <cellStyle name="PB Table Standard Row 7 3" xfId="6227" xr:uid="{00000000-0005-0000-0000-00000A080000}"/>
    <cellStyle name="PB Table Standard Row 7 3 2" xfId="12543" xr:uid="{00000000-0005-0000-0000-00000A080000}"/>
    <cellStyle name="PB Table Standard Row 7 3 2 2" xfId="30975" xr:uid="{00000000-0005-0000-0000-00000A080000}"/>
    <cellStyle name="PB Table Standard Row 7 3 2 3" xfId="49338" xr:uid="{00000000-0005-0000-0000-00000A080000}"/>
    <cellStyle name="PB Table Standard Row 7 3 3" xfId="16861" xr:uid="{00000000-0005-0000-0000-00000A080000}"/>
    <cellStyle name="PB Table Standard Row 7 3 3 2" xfId="35218" xr:uid="{00000000-0005-0000-0000-00000A080000}"/>
    <cellStyle name="PB Table Standard Row 7 3 3 3" xfId="53581" xr:uid="{00000000-0005-0000-0000-00000A080000}"/>
    <cellStyle name="PB Table Standard Row 7 3 4" xfId="25992" xr:uid="{00000000-0005-0000-0000-00000A080000}"/>
    <cellStyle name="PB Table Standard Row 7 3 4 2" xfId="44361" xr:uid="{00000000-0005-0000-0000-00000A080000}"/>
    <cellStyle name="PB Table Standard Row 7 3 5" xfId="22292" xr:uid="{00000000-0005-0000-0000-00000A080000}"/>
    <cellStyle name="PB Table Standard Row 7 3 6" xfId="40665" xr:uid="{00000000-0005-0000-0000-00000A080000}"/>
    <cellStyle name="PB Table Standard Row 7 4" xfId="7815" xr:uid="{00000000-0005-0000-0000-00000A080000}"/>
    <cellStyle name="PB Table Standard Row 7 4 2" xfId="27084" xr:uid="{00000000-0005-0000-0000-00000A080000}"/>
    <cellStyle name="PB Table Standard Row 7 4 3" xfId="45449" xr:uid="{00000000-0005-0000-0000-00000A080000}"/>
    <cellStyle name="PB Table Standard Row 7 5" xfId="23005" xr:uid="{00000000-0005-0000-0000-00000A080000}"/>
    <cellStyle name="PB Table Standard Row 7 5 2" xfId="41374" xr:uid="{00000000-0005-0000-0000-00000A080000}"/>
    <cellStyle name="PB Table Standard Row 7 6" xfId="36007" xr:uid="{00000000-0005-0000-0000-00000A080000}"/>
    <cellStyle name="PB Table Standard Row_Summary" xfId="2366" xr:uid="{00000000-0005-0000-0000-00000B080000}"/>
    <cellStyle name="PB Table Total Row" xfId="661" xr:uid="{00000000-0005-0000-0000-00000C080000}"/>
    <cellStyle name="PB Table Total Row 2" xfId="2155" xr:uid="{00000000-0005-0000-0000-00000D080000}"/>
    <cellStyle name="PB Table Total Row 3" xfId="2604" xr:uid="{00000000-0005-0000-0000-00000E080000}"/>
    <cellStyle name="pc1" xfId="662" xr:uid="{00000000-0005-0000-0000-00000F080000}"/>
    <cellStyle name="pc1 2" xfId="2156" xr:uid="{00000000-0005-0000-0000-000010080000}"/>
    <cellStyle name="pc1 3" xfId="2605" xr:uid="{00000000-0005-0000-0000-000011080000}"/>
    <cellStyle name="Perc1" xfId="663" xr:uid="{00000000-0005-0000-0000-000012080000}"/>
    <cellStyle name="Percent" xfId="3" builtinId="5"/>
    <cellStyle name="Percent (1)" xfId="664" xr:uid="{00000000-0005-0000-0000-000014080000}"/>
    <cellStyle name="Percent [0]" xfId="665" xr:uid="{00000000-0005-0000-0000-000015080000}"/>
    <cellStyle name="Percent [0] 2" xfId="2157" xr:uid="{00000000-0005-0000-0000-000016080000}"/>
    <cellStyle name="Percent [0] 3" xfId="2606" xr:uid="{00000000-0005-0000-0000-000017080000}"/>
    <cellStyle name="Percent [00]" xfId="666" xr:uid="{00000000-0005-0000-0000-000018080000}"/>
    <cellStyle name="Percent [1]" xfId="667" xr:uid="{00000000-0005-0000-0000-000019080000}"/>
    <cellStyle name="Percent [1] --" xfId="668" xr:uid="{00000000-0005-0000-0000-00001A080000}"/>
    <cellStyle name="Percent [1] 2" xfId="2158" xr:uid="{00000000-0005-0000-0000-00001B080000}"/>
    <cellStyle name="Percent [1] 3" xfId="2607" xr:uid="{00000000-0005-0000-0000-00001C080000}"/>
    <cellStyle name="Percent [1]_Consolidated Model v164(Tenovis Model)" xfId="669" xr:uid="{00000000-0005-0000-0000-00001D080000}"/>
    <cellStyle name="Percent [2]" xfId="670" xr:uid="{00000000-0005-0000-0000-00001E080000}"/>
    <cellStyle name="Percent [3]" xfId="671" xr:uid="{00000000-0005-0000-0000-00001F080000}"/>
    <cellStyle name="Percent [3]--" xfId="672" xr:uid="{00000000-0005-0000-0000-000020080000}"/>
    <cellStyle name="Percent [3]_Kan Loral model" xfId="999" xr:uid="{00000000-0005-0000-0000-000021080000}"/>
    <cellStyle name="Percent [3]--_Kan Loral model" xfId="1000" xr:uid="{00000000-0005-0000-0000-000022080000}"/>
    <cellStyle name="Percent [3]_Kan Loral model 2" xfId="2159" xr:uid="{00000000-0005-0000-0000-000023080000}"/>
    <cellStyle name="Percent [3]--_Kan Loral model 2" xfId="2160" xr:uid="{00000000-0005-0000-0000-000024080000}"/>
    <cellStyle name="Percent [3]_Round4_Revised_v142" xfId="1001" xr:uid="{00000000-0005-0000-0000-000025080000}"/>
    <cellStyle name="Percent [3]--_Round4_Revised_v142" xfId="1002" xr:uid="{00000000-0005-0000-0000-000026080000}"/>
    <cellStyle name="Percent [3]_Round4_Revised_v142 2" xfId="2161" xr:uid="{00000000-0005-0000-0000-000027080000}"/>
    <cellStyle name="Percent [3]--_Round4_Revised_v142 2" xfId="2162" xr:uid="{00000000-0005-0000-0000-000028080000}"/>
    <cellStyle name="Percent [3]_Round4_Revised_v142_Kan Loral model" xfId="1003" xr:uid="{00000000-0005-0000-0000-000029080000}"/>
    <cellStyle name="Percent [3]--_Trading Comps_062405 v4" xfId="1004" xr:uid="{00000000-0005-0000-0000-00002A080000}"/>
    <cellStyle name="Percent [3]_Trading Comps_070105 v2" xfId="1005" xr:uid="{00000000-0005-0000-0000-00002B080000}"/>
    <cellStyle name="Percent [3]--_Trading Comps_070105 v2" xfId="1006" xr:uid="{00000000-0005-0000-0000-00002C080000}"/>
    <cellStyle name="Percent 0.0" xfId="673" xr:uid="{00000000-0005-0000-0000-00002D080000}"/>
    <cellStyle name="Percent 0.0 2" xfId="983" xr:uid="{00000000-0005-0000-0000-00002E080000}"/>
    <cellStyle name="Percent 0.0 3" xfId="1605" xr:uid="{00000000-0005-0000-0000-00002F080000}"/>
    <cellStyle name="Percent 0.0 4" xfId="2163" xr:uid="{00000000-0005-0000-0000-000030080000}"/>
    <cellStyle name="Percent 0.0 5" xfId="2608" xr:uid="{00000000-0005-0000-0000-000031080000}"/>
    <cellStyle name="Percent 0.0 6" xfId="3335" xr:uid="{00000000-0005-0000-0000-00002D080000}"/>
    <cellStyle name="Percent 10" xfId="1019" xr:uid="{00000000-0005-0000-0000-000032080000}"/>
    <cellStyle name="Percent 109" xfId="1255" xr:uid="{00000000-0005-0000-0000-000033080000}"/>
    <cellStyle name="Percent 11" xfId="1104" xr:uid="{00000000-0005-0000-0000-000034080000}"/>
    <cellStyle name="Percent 12" xfId="1116" xr:uid="{00000000-0005-0000-0000-000035080000}"/>
    <cellStyle name="Percent 13" xfId="1197" xr:uid="{00000000-0005-0000-0000-000036080000}"/>
    <cellStyle name="Percent 14" xfId="1219" xr:uid="{00000000-0005-0000-0000-000037080000}"/>
    <cellStyle name="Percent 15" xfId="1224" xr:uid="{00000000-0005-0000-0000-000038080000}"/>
    <cellStyle name="Percent 16" xfId="1228" xr:uid="{00000000-0005-0000-0000-000039080000}"/>
    <cellStyle name="Percent 17" xfId="1273" xr:uid="{00000000-0005-0000-0000-00003A080000}"/>
    <cellStyle name="Percent 18" xfId="1278" xr:uid="{00000000-0005-0000-0000-00003B080000}"/>
    <cellStyle name="Percent 19" xfId="1284" xr:uid="{00000000-0005-0000-0000-00003C080000}"/>
    <cellStyle name="Percent 2" xfId="9" xr:uid="{077545AE-2E2A-407B-AB9A-F41ED6AFF00C}"/>
    <cellStyle name="Percent 2 2" xfId="967" xr:uid="{00000000-0005-0000-0000-00003E080000}"/>
    <cellStyle name="Percent 2 2 2" xfId="2854" xr:uid="{00000000-0005-0000-0000-00003F080000}"/>
    <cellStyle name="Percent 2 2 2 2" xfId="3137" xr:uid="{00000000-0005-0000-0000-000040080000}"/>
    <cellStyle name="Percent 2 3" xfId="1067" xr:uid="{00000000-0005-0000-0000-000041080000}"/>
    <cellStyle name="Percent 2 3 2" xfId="1270" xr:uid="{00000000-0005-0000-0000-000042080000}"/>
    <cellStyle name="Percent 2 3 3" xfId="2816" xr:uid="{00000000-0005-0000-0000-000043080000}"/>
    <cellStyle name="Percent 2 3 4" xfId="3112" xr:uid="{00000000-0005-0000-0000-000044080000}"/>
    <cellStyle name="Percent 2 4" xfId="1022" xr:uid="{00000000-0005-0000-0000-000045080000}"/>
    <cellStyle name="Percent 2 5" xfId="1304" xr:uid="{00000000-0005-0000-0000-000046080000}"/>
    <cellStyle name="Percent 2 6" xfId="1376" xr:uid="{00000000-0005-0000-0000-000047080000}"/>
    <cellStyle name="Percent 2 7" xfId="674" xr:uid="{00000000-0005-0000-0000-00003D080000}"/>
    <cellStyle name="Percent 2 8" xfId="9897" xr:uid="{077545AE-2E2A-407B-AB9A-F41ED6AFF00C}"/>
    <cellStyle name="Percent 20" xfId="1610" xr:uid="{00000000-0005-0000-0000-000048080000}"/>
    <cellStyle name="Percent 21" xfId="1622" xr:uid="{00000000-0005-0000-0000-000049080000}"/>
    <cellStyle name="Percent 22" xfId="1570" xr:uid="{00000000-0005-0000-0000-00004A080000}"/>
    <cellStyle name="Percent 23" xfId="1569" xr:uid="{00000000-0005-0000-0000-00004B080000}"/>
    <cellStyle name="Percent 24" xfId="1589" xr:uid="{00000000-0005-0000-0000-00004C080000}"/>
    <cellStyle name="Percent 25" xfId="1576" xr:uid="{00000000-0005-0000-0000-00004D080000}"/>
    <cellStyle name="Percent 26" xfId="1587" xr:uid="{00000000-0005-0000-0000-00004E080000}"/>
    <cellStyle name="Percent 27" xfId="1595" xr:uid="{00000000-0005-0000-0000-00004F080000}"/>
    <cellStyle name="Percent 28" xfId="1667" xr:uid="{00000000-0005-0000-0000-000050080000}"/>
    <cellStyle name="Percent 29" xfId="1592" xr:uid="{00000000-0005-0000-0000-000051080000}"/>
    <cellStyle name="Percent 3" xfId="675" xr:uid="{00000000-0005-0000-0000-000052080000}"/>
    <cellStyle name="Percent 3 2" xfId="89" xr:uid="{00000000-0005-0000-0000-000053080000}"/>
    <cellStyle name="Percent 3 2 2" xfId="969" xr:uid="{00000000-0005-0000-0000-000054080000}"/>
    <cellStyle name="Percent 3 2 2 2" xfId="1091" xr:uid="{00000000-0005-0000-0000-000055080000}"/>
    <cellStyle name="Percent 3 2 3" xfId="1025" xr:uid="{00000000-0005-0000-0000-000056080000}"/>
    <cellStyle name="Percent 3 2 3 2" xfId="1032" xr:uid="{00000000-0005-0000-0000-000057080000}"/>
    <cellStyle name="Percent 3 2 3 2 2" xfId="1099" xr:uid="{00000000-0005-0000-0000-000058080000}"/>
    <cellStyle name="Percent 3 2 3 3" xfId="1093" xr:uid="{00000000-0005-0000-0000-000059080000}"/>
    <cellStyle name="Percent 3 2 4" xfId="1087" xr:uid="{00000000-0005-0000-0000-00005A080000}"/>
    <cellStyle name="Percent 3 3" xfId="1089" xr:uid="{00000000-0005-0000-0000-00005B080000}"/>
    <cellStyle name="Percent 3 3 2" xfId="3138" xr:uid="{00000000-0005-0000-0000-00005C080000}"/>
    <cellStyle name="Percent 3 4" xfId="1377" xr:uid="{00000000-0005-0000-0000-00005D080000}"/>
    <cellStyle name="Percent 3 5" xfId="1317" xr:uid="{00000000-0005-0000-0000-00005E080000}"/>
    <cellStyle name="Percent 3 6" xfId="54226" xr:uid="{00000000-0005-0000-0000-00007E000000}"/>
    <cellStyle name="Percent 30" xfId="1598" xr:uid="{00000000-0005-0000-0000-00005F080000}"/>
    <cellStyle name="Percent 31" xfId="1599" xr:uid="{00000000-0005-0000-0000-000060080000}"/>
    <cellStyle name="Percent 32" xfId="1596" xr:uid="{00000000-0005-0000-0000-000061080000}"/>
    <cellStyle name="Percent 33" xfId="1796" xr:uid="{00000000-0005-0000-0000-000062080000}"/>
    <cellStyle name="Percent 34" xfId="1811" xr:uid="{00000000-0005-0000-0000-000063080000}"/>
    <cellStyle name="Percent 35" xfId="1820" xr:uid="{00000000-0005-0000-0000-000064080000}"/>
    <cellStyle name="Percent 36" xfId="1878" xr:uid="{00000000-0005-0000-0000-000065080000}"/>
    <cellStyle name="Percent 37" xfId="1884" xr:uid="{00000000-0005-0000-0000-000066080000}"/>
    <cellStyle name="Percent 38" xfId="1890" xr:uid="{00000000-0005-0000-0000-000067080000}"/>
    <cellStyle name="Percent 39" xfId="1895" xr:uid="{00000000-0005-0000-0000-000068080000}"/>
    <cellStyle name="Percent 4" xfId="77" xr:uid="{00000000-0005-0000-0000-000069080000}"/>
    <cellStyle name="Percent 4 2" xfId="82" xr:uid="{00000000-0005-0000-0000-00006A080000}"/>
    <cellStyle name="Percent 4 2 2" xfId="2859" xr:uid="{00000000-0005-0000-0000-00006B080000}"/>
    <cellStyle name="Percent 4 3" xfId="1033" xr:uid="{00000000-0005-0000-0000-00006C080000}"/>
    <cellStyle name="Percent 4 4" xfId="3139" xr:uid="{00000000-0005-0000-0000-00006D080000}"/>
    <cellStyle name="Percent 4 5" xfId="54241" xr:uid="{00000000-0005-0000-0000-00007F000000}"/>
    <cellStyle name="Percent 40" xfId="1930" xr:uid="{00000000-0005-0000-0000-00006E080000}"/>
    <cellStyle name="Percent 41" xfId="1935" xr:uid="{00000000-0005-0000-0000-00006F080000}"/>
    <cellStyle name="Percent 42" xfId="2310" xr:uid="{00000000-0005-0000-0000-000070080000}"/>
    <cellStyle name="Percent 43" xfId="2378" xr:uid="{00000000-0005-0000-0000-000071080000}"/>
    <cellStyle name="Percent 44" xfId="2383" xr:uid="{00000000-0005-0000-0000-000072080000}"/>
    <cellStyle name="Percent 45" xfId="2387" xr:uid="{00000000-0005-0000-0000-000073080000}"/>
    <cellStyle name="Percent 46" xfId="2805" xr:uid="{00000000-0005-0000-0000-000074080000}"/>
    <cellStyle name="Percent 47" xfId="2906" xr:uid="{00000000-0005-0000-0000-000075080000}"/>
    <cellStyle name="Percent 48" xfId="3105" xr:uid="{00000000-0005-0000-0000-000076080000}"/>
    <cellStyle name="Percent 49" xfId="3144" xr:uid="{00000000-0005-0000-0000-000077080000}"/>
    <cellStyle name="Percent 5" xfId="84" xr:uid="{00000000-0005-0000-0000-000078080000}"/>
    <cellStyle name="Percent 5 2" xfId="1100" xr:uid="{00000000-0005-0000-0000-000079080000}"/>
    <cellStyle name="Percent 5 3" xfId="1034" xr:uid="{00000000-0005-0000-0000-00007A080000}"/>
    <cellStyle name="Percent 50" xfId="3157" xr:uid="{00000000-0005-0000-0000-00007B080000}"/>
    <cellStyle name="Percent 51" xfId="3179" xr:uid="{00000000-0005-0000-0000-00007C080000}"/>
    <cellStyle name="Percent 52" xfId="3184" xr:uid="{00000000-0005-0000-0000-00007D080000}"/>
    <cellStyle name="Percent 53" xfId="3296" xr:uid="{00000000-0005-0000-0000-00007E080000}"/>
    <cellStyle name="Percent 54" xfId="3303" xr:uid="{00000000-0005-0000-0000-00007F080000}"/>
    <cellStyle name="Percent 55" xfId="3325" xr:uid="{00000000-0005-0000-0000-000080080000}"/>
    <cellStyle name="Percent 56" xfId="3922" xr:uid="{00000000-0005-0000-0000-0000A01A0000}"/>
    <cellStyle name="Percent 57" xfId="6305" xr:uid="{00000000-0005-0000-0000-0000AC1A0000}"/>
    <cellStyle name="Percent 58" xfId="5512" xr:uid="{00000000-0005-0000-0000-0000B41A0000}"/>
    <cellStyle name="Percent 59" xfId="4169" xr:uid="{00000000-0005-0000-0000-0000BC1A0000}"/>
    <cellStyle name="Percent 6" xfId="78" xr:uid="{00000000-0005-0000-0000-000081080000}"/>
    <cellStyle name="Percent 6 2" xfId="1113" xr:uid="{00000000-0005-0000-0000-000082080000}"/>
    <cellStyle name="Percent 60" xfId="6241" xr:uid="{00000000-0005-0000-0000-0000C21A0000}"/>
    <cellStyle name="Percent 61" xfId="6133" xr:uid="{00000000-0005-0000-0000-0000C81A0000}"/>
    <cellStyle name="Percent 62" xfId="54218" xr:uid="{00000000-0005-0000-0000-0000EBD30000}"/>
    <cellStyle name="Percent 7" xfId="976" xr:uid="{00000000-0005-0000-0000-000083080000}"/>
    <cellStyle name="Percent 7 2" xfId="2825" xr:uid="{00000000-0005-0000-0000-000084080000}"/>
    <cellStyle name="Percent 8" xfId="990" xr:uid="{00000000-0005-0000-0000-000085080000}"/>
    <cellStyle name="Percent 8 2" xfId="2901" xr:uid="{00000000-0005-0000-0000-000086080000}"/>
    <cellStyle name="Percent 9" xfId="1011" xr:uid="{00000000-0005-0000-0000-000087080000}"/>
    <cellStyle name="Percent Hard" xfId="676" xr:uid="{00000000-0005-0000-0000-000088080000}"/>
    <cellStyle name="Percent two decimals" xfId="677" xr:uid="{00000000-0005-0000-0000-000089080000}"/>
    <cellStyle name="Percent0" xfId="678" xr:uid="{00000000-0005-0000-0000-00008A080000}"/>
    <cellStyle name="Percent1" xfId="679" xr:uid="{00000000-0005-0000-0000-00008B080000}"/>
    <cellStyle name="Percent1 2" xfId="2164" xr:uid="{00000000-0005-0000-0000-00008C080000}"/>
    <cellStyle name="Percent1 3" xfId="2609" xr:uid="{00000000-0005-0000-0000-00008D080000}"/>
    <cellStyle name="Percent1Blue" xfId="680" xr:uid="{00000000-0005-0000-0000-00008E080000}"/>
    <cellStyle name="Percent1Blue 2" xfId="2165" xr:uid="{00000000-0005-0000-0000-00008F080000}"/>
    <cellStyle name="Percent1Blue 3" xfId="2610" xr:uid="{00000000-0005-0000-0000-000090080000}"/>
    <cellStyle name="Percent2" xfId="681" xr:uid="{00000000-0005-0000-0000-000091080000}"/>
    <cellStyle name="Percent2Blue" xfId="682" xr:uid="{00000000-0005-0000-0000-000092080000}"/>
    <cellStyle name="Percentage" xfId="683" xr:uid="{00000000-0005-0000-0000-000093080000}"/>
    <cellStyle name="Percentage 2" xfId="2166" xr:uid="{00000000-0005-0000-0000-000094080000}"/>
    <cellStyle name="Percentage 3" xfId="2611" xr:uid="{00000000-0005-0000-0000-000095080000}"/>
    <cellStyle name="PercentChange" xfId="684" xr:uid="{00000000-0005-0000-0000-000096080000}"/>
    <cellStyle name="PercentPresentation" xfId="685" xr:uid="{00000000-0005-0000-0000-000097080000}"/>
    <cellStyle name="PercentSales" xfId="686" xr:uid="{00000000-0005-0000-0000-000098080000}"/>
    <cellStyle name="PercentSales 2" xfId="2167" xr:uid="{00000000-0005-0000-0000-000099080000}"/>
    <cellStyle name="PercentSales 3" xfId="2612" xr:uid="{00000000-0005-0000-0000-00009A080000}"/>
    <cellStyle name="pershare" xfId="687" xr:uid="{00000000-0005-0000-0000-00009B080000}"/>
    <cellStyle name="P-Green Rule" xfId="688" xr:uid="{00000000-0005-0000-0000-00009C080000}"/>
    <cellStyle name="P-Green Rule 2" xfId="1068" xr:uid="{00000000-0005-0000-0000-00009D080000}"/>
    <cellStyle name="P-Green Rule 2 2" xfId="1348" xr:uid="{00000000-0005-0000-0000-00009E080000}"/>
    <cellStyle name="P-Green Rule 2 2 2" xfId="3395" xr:uid="{00000000-0005-0000-0000-00009E080000}"/>
    <cellStyle name="P-Green Rule 2 2 2 2" xfId="5570" xr:uid="{00000000-0005-0000-0000-00009E080000}"/>
    <cellStyle name="P-Green Rule 2 2 2 2 2" xfId="11934" xr:uid="{00000000-0005-0000-0000-00009E080000}"/>
    <cellStyle name="P-Green Rule 2 2 2 2 2 2" xfId="30381" xr:uid="{00000000-0005-0000-0000-00009E080000}"/>
    <cellStyle name="P-Green Rule 2 2 2 2 2 3" xfId="48744" xr:uid="{00000000-0005-0000-0000-00009E080000}"/>
    <cellStyle name="P-Green Rule 2 2 2 2 3" xfId="16260" xr:uid="{00000000-0005-0000-0000-00009E080000}"/>
    <cellStyle name="P-Green Rule 2 2 2 2 3 2" xfId="34632" xr:uid="{00000000-0005-0000-0000-00009E080000}"/>
    <cellStyle name="P-Green Rule 2 2 2 2 3 3" xfId="52995" xr:uid="{00000000-0005-0000-0000-00009E080000}"/>
    <cellStyle name="P-Green Rule 2 2 2 2 4" xfId="25379" xr:uid="{00000000-0005-0000-0000-00009E080000}"/>
    <cellStyle name="P-Green Rule 2 2 2 2 4 2" xfId="43748" xr:uid="{00000000-0005-0000-0000-00009E080000}"/>
    <cellStyle name="P-Green Rule 2 2 2 2 5" xfId="21700" xr:uid="{00000000-0005-0000-0000-00009E080000}"/>
    <cellStyle name="P-Green Rule 2 2 2 2 6" xfId="40079" xr:uid="{00000000-0005-0000-0000-00009E080000}"/>
    <cellStyle name="P-Green Rule 2 2 2 3" xfId="6394" xr:uid="{00000000-0005-0000-0000-00009E080000}"/>
    <cellStyle name="P-Green Rule 2 2 2 3 2" xfId="12685" xr:uid="{00000000-0005-0000-0000-00009E080000}"/>
    <cellStyle name="P-Green Rule 2 2 2 3 2 2" xfId="31111" xr:uid="{00000000-0005-0000-0000-00009E080000}"/>
    <cellStyle name="P-Green Rule 2 2 2 3 2 3" xfId="49474" xr:uid="{00000000-0005-0000-0000-00009E080000}"/>
    <cellStyle name="P-Green Rule 2 2 2 3 3" xfId="16996" xr:uid="{00000000-0005-0000-0000-00009E080000}"/>
    <cellStyle name="P-Green Rule 2 2 2 3 3 2" xfId="35344" xr:uid="{00000000-0005-0000-0000-00009E080000}"/>
    <cellStyle name="P-Green Rule 2 2 2 3 3 3" xfId="53707" xr:uid="{00000000-0005-0000-0000-00009E080000}"/>
    <cellStyle name="P-Green Rule 2 2 2 3 4" xfId="26129" xr:uid="{00000000-0005-0000-0000-00009E080000}"/>
    <cellStyle name="P-Green Rule 2 2 2 3 4 2" xfId="44498" xr:uid="{00000000-0005-0000-0000-00009E080000}"/>
    <cellStyle name="P-Green Rule 2 2 2 3 5" xfId="22422" xr:uid="{00000000-0005-0000-0000-00009E080000}"/>
    <cellStyle name="P-Green Rule 2 2 2 3 6" xfId="40791" xr:uid="{00000000-0005-0000-0000-00009E080000}"/>
    <cellStyle name="P-Green Rule 2 2 2 4" xfId="10108" xr:uid="{00000000-0005-0000-0000-00009E080000}"/>
    <cellStyle name="P-Green Rule 2 2 2 4 2" xfId="14165" xr:uid="{00000000-0005-0000-0000-00009E080000}"/>
    <cellStyle name="P-Green Rule 2 2 2 4 2 2" xfId="32581" xr:uid="{00000000-0005-0000-0000-00009E080000}"/>
    <cellStyle name="P-Green Rule 2 2 2 4 2 3" xfId="50944" xr:uid="{00000000-0005-0000-0000-00009E080000}"/>
    <cellStyle name="P-Green Rule 2 2 2 4 3" xfId="28819" xr:uid="{00000000-0005-0000-0000-00009E080000}"/>
    <cellStyle name="P-Green Rule 2 2 2 4 3 2" xfId="47182" xr:uid="{00000000-0005-0000-0000-00009E080000}"/>
    <cellStyle name="P-Green Rule 2 2 2 4 4" xfId="19622" xr:uid="{00000000-0005-0000-0000-00009E080000}"/>
    <cellStyle name="P-Green Rule 2 2 2 4 5" xfId="38028" xr:uid="{00000000-0005-0000-0000-00009E080000}"/>
    <cellStyle name="P-Green Rule 2 2 2 5" xfId="9295" xr:uid="{00000000-0005-0000-0000-00009E080000}"/>
    <cellStyle name="P-Green Rule 2 2 2 5 2" xfId="28014" xr:uid="{00000000-0005-0000-0000-00009E080000}"/>
    <cellStyle name="P-Green Rule 2 2 2 5 3" xfId="46377" xr:uid="{00000000-0005-0000-0000-00009E080000}"/>
    <cellStyle name="P-Green Rule 2 2 2 6" xfId="13351" xr:uid="{00000000-0005-0000-0000-00009E080000}"/>
    <cellStyle name="P-Green Rule 2 2 2 6 2" xfId="31772" xr:uid="{00000000-0005-0000-0000-00009E080000}"/>
    <cellStyle name="P-Green Rule 2 2 2 6 3" xfId="50135" xr:uid="{00000000-0005-0000-0000-00009E080000}"/>
    <cellStyle name="P-Green Rule 2 2 2 7" xfId="23303" xr:uid="{00000000-0005-0000-0000-00009E080000}"/>
    <cellStyle name="P-Green Rule 2 2 2 7 2" xfId="41672" xr:uid="{00000000-0005-0000-0000-00009E080000}"/>
    <cellStyle name="P-Green Rule 2 2 2 8" xfId="18369" xr:uid="{00000000-0005-0000-0000-00009E080000}"/>
    <cellStyle name="P-Green Rule 2 2 2 9" xfId="36775" xr:uid="{00000000-0005-0000-0000-00009E080000}"/>
    <cellStyle name="P-Green Rule 2 2 3" xfId="4384" xr:uid="{00000000-0005-0000-0000-00009E080000}"/>
    <cellStyle name="P-Green Rule 2 2 3 2" xfId="10984" xr:uid="{00000000-0005-0000-0000-00009E080000}"/>
    <cellStyle name="P-Green Rule 2 2 3 2 2" xfId="29606" xr:uid="{00000000-0005-0000-0000-00009E080000}"/>
    <cellStyle name="P-Green Rule 2 2 3 2 3" xfId="47969" xr:uid="{00000000-0005-0000-0000-00009E080000}"/>
    <cellStyle name="P-Green Rule 2 2 3 3" xfId="15120" xr:uid="{00000000-0005-0000-0000-00009E080000}"/>
    <cellStyle name="P-Green Rule 2 2 3 3 2" xfId="33517" xr:uid="{00000000-0005-0000-0000-00009E080000}"/>
    <cellStyle name="P-Green Rule 2 2 3 3 3" xfId="51880" xr:uid="{00000000-0005-0000-0000-00009E080000}"/>
    <cellStyle name="P-Green Rule 2 2 3 4" xfId="24248" xr:uid="{00000000-0005-0000-0000-00009E080000}"/>
    <cellStyle name="P-Green Rule 2 2 3 4 2" xfId="42617" xr:uid="{00000000-0005-0000-0000-00009E080000}"/>
    <cellStyle name="P-Green Rule 2 2 3 5" xfId="20571" xr:uid="{00000000-0005-0000-0000-00009E080000}"/>
    <cellStyle name="P-Green Rule 2 2 3 6" xfId="38964" xr:uid="{00000000-0005-0000-0000-00009E080000}"/>
    <cellStyle name="P-Green Rule 2 2 4" xfId="4896" xr:uid="{00000000-0005-0000-0000-00009E080000}"/>
    <cellStyle name="P-Green Rule 2 2 4 2" xfId="11452" xr:uid="{00000000-0005-0000-0000-00009E080000}"/>
    <cellStyle name="P-Green Rule 2 2 4 2 2" xfId="30040" xr:uid="{00000000-0005-0000-0000-00009E080000}"/>
    <cellStyle name="P-Green Rule 2 2 4 2 3" xfId="48403" xr:uid="{00000000-0005-0000-0000-00009E080000}"/>
    <cellStyle name="P-Green Rule 2 2 4 3" xfId="15622" xr:uid="{00000000-0005-0000-0000-00009E080000}"/>
    <cellStyle name="P-Green Rule 2 2 4 3 2" xfId="34013" xr:uid="{00000000-0005-0000-0000-00009E080000}"/>
    <cellStyle name="P-Green Rule 2 2 4 3 3" xfId="52376" xr:uid="{00000000-0005-0000-0000-00009E080000}"/>
    <cellStyle name="P-Green Rule 2 2 4 4" xfId="24744" xr:uid="{00000000-0005-0000-0000-00009E080000}"/>
    <cellStyle name="P-Green Rule 2 2 4 4 2" xfId="43113" xr:uid="{00000000-0005-0000-0000-00009E080000}"/>
    <cellStyle name="P-Green Rule 2 2 4 5" xfId="21071" xr:uid="{00000000-0005-0000-0000-00009E080000}"/>
    <cellStyle name="P-Green Rule 2 2 4 6" xfId="39460" xr:uid="{00000000-0005-0000-0000-00009E080000}"/>
    <cellStyle name="P-Green Rule 2 2 5" xfId="9952" xr:uid="{00000000-0005-0000-0000-00009E080000}"/>
    <cellStyle name="P-Green Rule 2 2 5 2" xfId="14009" xr:uid="{00000000-0005-0000-0000-00009E080000}"/>
    <cellStyle name="P-Green Rule 2 2 5 2 2" xfId="32426" xr:uid="{00000000-0005-0000-0000-00009E080000}"/>
    <cellStyle name="P-Green Rule 2 2 5 2 3" xfId="50789" xr:uid="{00000000-0005-0000-0000-00009E080000}"/>
    <cellStyle name="P-Green Rule 2 2 5 3" xfId="28664" xr:uid="{00000000-0005-0000-0000-00009E080000}"/>
    <cellStyle name="P-Green Rule 2 2 5 3 2" xfId="47027" xr:uid="{00000000-0005-0000-0000-00009E080000}"/>
    <cellStyle name="P-Green Rule 2 2 5 4" xfId="19282" xr:uid="{00000000-0005-0000-0000-00009E080000}"/>
    <cellStyle name="P-Green Rule 2 2 5 5" xfId="37689" xr:uid="{00000000-0005-0000-0000-00009E080000}"/>
    <cellStyle name="P-Green Rule 2 2 6" xfId="7645" xr:uid="{00000000-0005-0000-0000-00009E080000}"/>
    <cellStyle name="P-Green Rule 2 2 6 2" xfId="26932" xr:uid="{00000000-0005-0000-0000-00009E080000}"/>
    <cellStyle name="P-Green Rule 2 2 6 3" xfId="45297" xr:uid="{00000000-0005-0000-0000-00009E080000}"/>
    <cellStyle name="P-Green Rule 2 2 7" xfId="8271" xr:uid="{00000000-0005-0000-0000-00009E080000}"/>
    <cellStyle name="P-Green Rule 2 2 7 2" xfId="27400" xr:uid="{00000000-0005-0000-0000-00009E080000}"/>
    <cellStyle name="P-Green Rule 2 2 7 3" xfId="45765" xr:uid="{00000000-0005-0000-0000-00009E080000}"/>
    <cellStyle name="P-Green Rule 2 2 8" xfId="7827" xr:uid="{00000000-0005-0000-0000-00009E080000}"/>
    <cellStyle name="P-Green Rule 2 2 9" xfId="11699" xr:uid="{00000000-0005-0000-0000-00009E080000}"/>
    <cellStyle name="P-Green Rule 2 3" xfId="1672" xr:uid="{00000000-0005-0000-0000-00009F080000}"/>
    <cellStyle name="P-Green Rule 2 3 2" xfId="3570" xr:uid="{00000000-0005-0000-0000-00009F080000}"/>
    <cellStyle name="P-Green Rule 2 3 2 2" xfId="5743" xr:uid="{00000000-0005-0000-0000-00009F080000}"/>
    <cellStyle name="P-Green Rule 2 3 2 2 2" xfId="12107" xr:uid="{00000000-0005-0000-0000-00009F080000}"/>
    <cellStyle name="P-Green Rule 2 3 2 2 2 2" xfId="30554" xr:uid="{00000000-0005-0000-0000-00009F080000}"/>
    <cellStyle name="P-Green Rule 2 3 2 2 2 3" xfId="48917" xr:uid="{00000000-0005-0000-0000-00009F080000}"/>
    <cellStyle name="P-Green Rule 2 3 2 2 3" xfId="16433" xr:uid="{00000000-0005-0000-0000-00009F080000}"/>
    <cellStyle name="P-Green Rule 2 3 2 2 3 2" xfId="34805" xr:uid="{00000000-0005-0000-0000-00009F080000}"/>
    <cellStyle name="P-Green Rule 2 3 2 2 3 3" xfId="53168" xr:uid="{00000000-0005-0000-0000-00009F080000}"/>
    <cellStyle name="P-Green Rule 2 3 2 2 4" xfId="25552" xr:uid="{00000000-0005-0000-0000-00009F080000}"/>
    <cellStyle name="P-Green Rule 2 3 2 2 4 2" xfId="43921" xr:uid="{00000000-0005-0000-0000-00009F080000}"/>
    <cellStyle name="P-Green Rule 2 3 2 2 5" xfId="21873" xr:uid="{00000000-0005-0000-0000-00009F080000}"/>
    <cellStyle name="P-Green Rule 2 3 2 2 6" xfId="40252" xr:uid="{00000000-0005-0000-0000-00009F080000}"/>
    <cellStyle name="P-Green Rule 2 3 2 3" xfId="6569" xr:uid="{00000000-0005-0000-0000-00009F080000}"/>
    <cellStyle name="P-Green Rule 2 3 2 3 2" xfId="12860" xr:uid="{00000000-0005-0000-0000-00009F080000}"/>
    <cellStyle name="P-Green Rule 2 3 2 3 2 2" xfId="31286" xr:uid="{00000000-0005-0000-0000-00009F080000}"/>
    <cellStyle name="P-Green Rule 2 3 2 3 2 3" xfId="49649" xr:uid="{00000000-0005-0000-0000-00009F080000}"/>
    <cellStyle name="P-Green Rule 2 3 2 3 3" xfId="17171" xr:uid="{00000000-0005-0000-0000-00009F080000}"/>
    <cellStyle name="P-Green Rule 2 3 2 3 3 2" xfId="35519" xr:uid="{00000000-0005-0000-0000-00009F080000}"/>
    <cellStyle name="P-Green Rule 2 3 2 3 3 3" xfId="53882" xr:uid="{00000000-0005-0000-0000-00009F080000}"/>
    <cellStyle name="P-Green Rule 2 3 2 3 4" xfId="26304" xr:uid="{00000000-0005-0000-0000-00009F080000}"/>
    <cellStyle name="P-Green Rule 2 3 2 3 4 2" xfId="44673" xr:uid="{00000000-0005-0000-0000-00009F080000}"/>
    <cellStyle name="P-Green Rule 2 3 2 3 5" xfId="22597" xr:uid="{00000000-0005-0000-0000-00009F080000}"/>
    <cellStyle name="P-Green Rule 2 3 2 3 6" xfId="40966" xr:uid="{00000000-0005-0000-0000-00009F080000}"/>
    <cellStyle name="P-Green Rule 2 3 2 4" xfId="10283" xr:uid="{00000000-0005-0000-0000-00009F080000}"/>
    <cellStyle name="P-Green Rule 2 3 2 4 2" xfId="14340" xr:uid="{00000000-0005-0000-0000-00009F080000}"/>
    <cellStyle name="P-Green Rule 2 3 2 4 2 2" xfId="32756" xr:uid="{00000000-0005-0000-0000-00009F080000}"/>
    <cellStyle name="P-Green Rule 2 3 2 4 2 3" xfId="51119" xr:uid="{00000000-0005-0000-0000-00009F080000}"/>
    <cellStyle name="P-Green Rule 2 3 2 4 3" xfId="28994" xr:uid="{00000000-0005-0000-0000-00009F080000}"/>
    <cellStyle name="P-Green Rule 2 3 2 4 3 2" xfId="47357" xr:uid="{00000000-0005-0000-0000-00009F080000}"/>
    <cellStyle name="P-Green Rule 2 3 2 4 4" xfId="19797" xr:uid="{00000000-0005-0000-0000-00009F080000}"/>
    <cellStyle name="P-Green Rule 2 3 2 4 5" xfId="38203" xr:uid="{00000000-0005-0000-0000-00009F080000}"/>
    <cellStyle name="P-Green Rule 2 3 2 5" xfId="9491" xr:uid="{00000000-0005-0000-0000-00009F080000}"/>
    <cellStyle name="P-Green Rule 2 3 2 5 2" xfId="28208" xr:uid="{00000000-0005-0000-0000-00009F080000}"/>
    <cellStyle name="P-Green Rule 2 3 2 5 3" xfId="46571" xr:uid="{00000000-0005-0000-0000-00009F080000}"/>
    <cellStyle name="P-Green Rule 2 3 2 6" xfId="13549" xr:uid="{00000000-0005-0000-0000-00009F080000}"/>
    <cellStyle name="P-Green Rule 2 3 2 6 2" xfId="31970" xr:uid="{00000000-0005-0000-0000-00009F080000}"/>
    <cellStyle name="P-Green Rule 2 3 2 6 3" xfId="50333" xr:uid="{00000000-0005-0000-0000-00009F080000}"/>
    <cellStyle name="P-Green Rule 2 3 2 7" xfId="23478" xr:uid="{00000000-0005-0000-0000-00009F080000}"/>
    <cellStyle name="P-Green Rule 2 3 2 7 2" xfId="41847" xr:uid="{00000000-0005-0000-0000-00009F080000}"/>
    <cellStyle name="P-Green Rule 2 3 2 8" xfId="18589" xr:uid="{00000000-0005-0000-0000-00009F080000}"/>
    <cellStyle name="P-Green Rule 2 3 2 9" xfId="36999" xr:uid="{00000000-0005-0000-0000-00009F080000}"/>
    <cellStyle name="P-Green Rule 2 3 3" xfId="4611" xr:uid="{00000000-0005-0000-0000-00009F080000}"/>
    <cellStyle name="P-Green Rule 2 3 3 2" xfId="11195" xr:uid="{00000000-0005-0000-0000-00009F080000}"/>
    <cellStyle name="P-Green Rule 2 3 3 2 2" xfId="29807" xr:uid="{00000000-0005-0000-0000-00009F080000}"/>
    <cellStyle name="P-Green Rule 2 3 3 2 3" xfId="48170" xr:uid="{00000000-0005-0000-0000-00009F080000}"/>
    <cellStyle name="P-Green Rule 2 3 3 3" xfId="15337" xr:uid="{00000000-0005-0000-0000-00009F080000}"/>
    <cellStyle name="P-Green Rule 2 3 3 3 2" xfId="33730" xr:uid="{00000000-0005-0000-0000-00009F080000}"/>
    <cellStyle name="P-Green Rule 2 3 3 3 3" xfId="52093" xr:uid="{00000000-0005-0000-0000-00009F080000}"/>
    <cellStyle name="P-Green Rule 2 3 3 4" xfId="24461" xr:uid="{00000000-0005-0000-0000-00009F080000}"/>
    <cellStyle name="P-Green Rule 2 3 3 4 2" xfId="42830" xr:uid="{00000000-0005-0000-0000-00009F080000}"/>
    <cellStyle name="P-Green Rule 2 3 3 5" xfId="20788" xr:uid="{00000000-0005-0000-0000-00009F080000}"/>
    <cellStyle name="P-Green Rule 2 3 3 6" xfId="39177" xr:uid="{00000000-0005-0000-0000-00009F080000}"/>
    <cellStyle name="P-Green Rule 2 3 4" xfId="4361" xr:uid="{00000000-0005-0000-0000-00009F080000}"/>
    <cellStyle name="P-Green Rule 2 3 4 2" xfId="10964" xr:uid="{00000000-0005-0000-0000-00009F080000}"/>
    <cellStyle name="P-Green Rule 2 3 4 2 2" xfId="29589" xr:uid="{00000000-0005-0000-0000-00009F080000}"/>
    <cellStyle name="P-Green Rule 2 3 4 2 3" xfId="47952" xr:uid="{00000000-0005-0000-0000-00009F080000}"/>
    <cellStyle name="P-Green Rule 2 3 4 3" xfId="15100" xr:uid="{00000000-0005-0000-0000-00009F080000}"/>
    <cellStyle name="P-Green Rule 2 3 4 3 2" xfId="33500" xr:uid="{00000000-0005-0000-0000-00009F080000}"/>
    <cellStyle name="P-Green Rule 2 3 4 3 3" xfId="51863" xr:uid="{00000000-0005-0000-0000-00009F080000}"/>
    <cellStyle name="P-Green Rule 2 3 4 4" xfId="24230" xr:uid="{00000000-0005-0000-0000-00009F080000}"/>
    <cellStyle name="P-Green Rule 2 3 4 4 2" xfId="42599" xr:uid="{00000000-0005-0000-0000-00009F080000}"/>
    <cellStyle name="P-Green Rule 2 3 4 5" xfId="20553" xr:uid="{00000000-0005-0000-0000-00009F080000}"/>
    <cellStyle name="P-Green Rule 2 3 4 6" xfId="38947" xr:uid="{00000000-0005-0000-0000-00009F080000}"/>
    <cellStyle name="P-Green Rule 2 3 5" xfId="9270" xr:uid="{00000000-0005-0000-0000-00009F080000}"/>
    <cellStyle name="P-Green Rule 2 3 5 2" xfId="13327" xr:uid="{00000000-0005-0000-0000-00009F080000}"/>
    <cellStyle name="P-Green Rule 2 3 5 2 2" xfId="31748" xr:uid="{00000000-0005-0000-0000-00009F080000}"/>
    <cellStyle name="P-Green Rule 2 3 5 2 3" xfId="50111" xr:uid="{00000000-0005-0000-0000-00009F080000}"/>
    <cellStyle name="P-Green Rule 2 3 5 3" xfId="27990" xr:uid="{00000000-0005-0000-0000-00009F080000}"/>
    <cellStyle name="P-Green Rule 2 3 5 3 2" xfId="46353" xr:uid="{00000000-0005-0000-0000-00009F080000}"/>
    <cellStyle name="P-Green Rule 2 3 5 4" xfId="18330" xr:uid="{00000000-0005-0000-0000-00009F080000}"/>
    <cellStyle name="P-Green Rule 2 3 5 5" xfId="36736" xr:uid="{00000000-0005-0000-0000-00009F080000}"/>
    <cellStyle name="P-Green Rule 2 3 6" xfId="7905" xr:uid="{00000000-0005-0000-0000-00009F080000}"/>
    <cellStyle name="P-Green Rule 2 3 6 2" xfId="27137" xr:uid="{00000000-0005-0000-0000-00009F080000}"/>
    <cellStyle name="P-Green Rule 2 3 6 3" xfId="45502" xr:uid="{00000000-0005-0000-0000-00009F080000}"/>
    <cellStyle name="P-Green Rule 2 3 7" xfId="8895" xr:uid="{00000000-0005-0000-0000-00009F080000}"/>
    <cellStyle name="P-Green Rule 2 3 7 2" xfId="27676" xr:uid="{00000000-0005-0000-0000-00009F080000}"/>
    <cellStyle name="P-Green Rule 2 3 7 3" xfId="46039" xr:uid="{00000000-0005-0000-0000-00009F080000}"/>
    <cellStyle name="P-Green Rule 2 3 8" xfId="19483" xr:uid="{00000000-0005-0000-0000-00009F080000}"/>
    <cellStyle name="P-Green Rule 2 3 8 2" xfId="37889" xr:uid="{00000000-0005-0000-0000-00009F080000}"/>
    <cellStyle name="P-Green Rule 2 3 9" xfId="7648" xr:uid="{00000000-0005-0000-0000-00009F080000}"/>
    <cellStyle name="P-Green Rule 2 4" xfId="1915" xr:uid="{00000000-0005-0000-0000-0000A0080000}"/>
    <cellStyle name="P-Green Rule 2 4 10" xfId="14907" xr:uid="{00000000-0005-0000-0000-0000A0080000}"/>
    <cellStyle name="P-Green Rule 2 4 2" xfId="3733" xr:uid="{00000000-0005-0000-0000-0000A0080000}"/>
    <cellStyle name="P-Green Rule 2 4 2 2" xfId="5906" xr:uid="{00000000-0005-0000-0000-0000A0080000}"/>
    <cellStyle name="P-Green Rule 2 4 2 2 2" xfId="12270" xr:uid="{00000000-0005-0000-0000-0000A0080000}"/>
    <cellStyle name="P-Green Rule 2 4 2 2 2 2" xfId="30717" xr:uid="{00000000-0005-0000-0000-0000A0080000}"/>
    <cellStyle name="P-Green Rule 2 4 2 2 2 3" xfId="49080" xr:uid="{00000000-0005-0000-0000-0000A0080000}"/>
    <cellStyle name="P-Green Rule 2 4 2 2 3" xfId="16596" xr:uid="{00000000-0005-0000-0000-0000A0080000}"/>
    <cellStyle name="P-Green Rule 2 4 2 2 3 2" xfId="34968" xr:uid="{00000000-0005-0000-0000-0000A0080000}"/>
    <cellStyle name="P-Green Rule 2 4 2 2 3 3" xfId="53331" xr:uid="{00000000-0005-0000-0000-0000A0080000}"/>
    <cellStyle name="P-Green Rule 2 4 2 2 4" xfId="25715" xr:uid="{00000000-0005-0000-0000-0000A0080000}"/>
    <cellStyle name="P-Green Rule 2 4 2 2 4 2" xfId="44084" xr:uid="{00000000-0005-0000-0000-0000A0080000}"/>
    <cellStyle name="P-Green Rule 2 4 2 2 5" xfId="22036" xr:uid="{00000000-0005-0000-0000-0000A0080000}"/>
    <cellStyle name="P-Green Rule 2 4 2 2 6" xfId="40415" xr:uid="{00000000-0005-0000-0000-0000A0080000}"/>
    <cellStyle name="P-Green Rule 2 4 2 3" xfId="6732" xr:uid="{00000000-0005-0000-0000-0000A0080000}"/>
    <cellStyle name="P-Green Rule 2 4 2 3 2" xfId="13023" xr:uid="{00000000-0005-0000-0000-0000A0080000}"/>
    <cellStyle name="P-Green Rule 2 4 2 3 2 2" xfId="31449" xr:uid="{00000000-0005-0000-0000-0000A0080000}"/>
    <cellStyle name="P-Green Rule 2 4 2 3 2 3" xfId="49812" xr:uid="{00000000-0005-0000-0000-0000A0080000}"/>
    <cellStyle name="P-Green Rule 2 4 2 3 3" xfId="17334" xr:uid="{00000000-0005-0000-0000-0000A0080000}"/>
    <cellStyle name="P-Green Rule 2 4 2 3 3 2" xfId="35682" xr:uid="{00000000-0005-0000-0000-0000A0080000}"/>
    <cellStyle name="P-Green Rule 2 4 2 3 3 3" xfId="54045" xr:uid="{00000000-0005-0000-0000-0000A0080000}"/>
    <cellStyle name="P-Green Rule 2 4 2 3 4" xfId="26467" xr:uid="{00000000-0005-0000-0000-0000A0080000}"/>
    <cellStyle name="P-Green Rule 2 4 2 3 4 2" xfId="44836" xr:uid="{00000000-0005-0000-0000-0000A0080000}"/>
    <cellStyle name="P-Green Rule 2 4 2 3 5" xfId="22760" xr:uid="{00000000-0005-0000-0000-0000A0080000}"/>
    <cellStyle name="P-Green Rule 2 4 2 3 6" xfId="41129" xr:uid="{00000000-0005-0000-0000-0000A0080000}"/>
    <cellStyle name="P-Green Rule 2 4 2 4" xfId="10446" xr:uid="{00000000-0005-0000-0000-0000A0080000}"/>
    <cellStyle name="P-Green Rule 2 4 2 4 2" xfId="14503" xr:uid="{00000000-0005-0000-0000-0000A0080000}"/>
    <cellStyle name="P-Green Rule 2 4 2 4 2 2" xfId="32919" xr:uid="{00000000-0005-0000-0000-0000A0080000}"/>
    <cellStyle name="P-Green Rule 2 4 2 4 2 3" xfId="51282" xr:uid="{00000000-0005-0000-0000-0000A0080000}"/>
    <cellStyle name="P-Green Rule 2 4 2 4 3" xfId="29157" xr:uid="{00000000-0005-0000-0000-0000A0080000}"/>
    <cellStyle name="P-Green Rule 2 4 2 4 3 2" xfId="47520" xr:uid="{00000000-0005-0000-0000-0000A0080000}"/>
    <cellStyle name="P-Green Rule 2 4 2 4 4" xfId="19960" xr:uid="{00000000-0005-0000-0000-0000A0080000}"/>
    <cellStyle name="P-Green Rule 2 4 2 4 5" xfId="38366" xr:uid="{00000000-0005-0000-0000-0000A0080000}"/>
    <cellStyle name="P-Green Rule 2 4 2 5" xfId="9662" xr:uid="{00000000-0005-0000-0000-0000A0080000}"/>
    <cellStyle name="P-Green Rule 2 4 2 5 2" xfId="28378" xr:uid="{00000000-0005-0000-0000-0000A0080000}"/>
    <cellStyle name="P-Green Rule 2 4 2 5 3" xfId="46741" xr:uid="{00000000-0005-0000-0000-0000A0080000}"/>
    <cellStyle name="P-Green Rule 2 4 2 6" xfId="13719" xr:uid="{00000000-0005-0000-0000-0000A0080000}"/>
    <cellStyle name="P-Green Rule 2 4 2 6 2" xfId="32140" xr:uid="{00000000-0005-0000-0000-0000A0080000}"/>
    <cellStyle name="P-Green Rule 2 4 2 6 3" xfId="50503" xr:uid="{00000000-0005-0000-0000-0000A0080000}"/>
    <cellStyle name="P-Green Rule 2 4 2 7" xfId="23641" xr:uid="{00000000-0005-0000-0000-0000A0080000}"/>
    <cellStyle name="P-Green Rule 2 4 2 7 2" xfId="42010" xr:uid="{00000000-0005-0000-0000-0000A0080000}"/>
    <cellStyle name="P-Green Rule 2 4 2 8" xfId="18787" xr:uid="{00000000-0005-0000-0000-0000A0080000}"/>
    <cellStyle name="P-Green Rule 2 4 2 9" xfId="37196" xr:uid="{00000000-0005-0000-0000-0000A0080000}"/>
    <cellStyle name="P-Green Rule 2 4 3" xfId="4826" xr:uid="{00000000-0005-0000-0000-0000A0080000}"/>
    <cellStyle name="P-Green Rule 2 4 3 2" xfId="11387" xr:uid="{00000000-0005-0000-0000-0000A0080000}"/>
    <cellStyle name="P-Green Rule 2 4 3 2 2" xfId="29979" xr:uid="{00000000-0005-0000-0000-0000A0080000}"/>
    <cellStyle name="P-Green Rule 2 4 3 2 3" xfId="48342" xr:uid="{00000000-0005-0000-0000-0000A0080000}"/>
    <cellStyle name="P-Green Rule 2 4 3 3" xfId="15552" xr:uid="{00000000-0005-0000-0000-0000A0080000}"/>
    <cellStyle name="P-Green Rule 2 4 3 3 2" xfId="33945" xr:uid="{00000000-0005-0000-0000-0000A0080000}"/>
    <cellStyle name="P-Green Rule 2 4 3 3 3" xfId="52308" xr:uid="{00000000-0005-0000-0000-0000A0080000}"/>
    <cellStyle name="P-Green Rule 2 4 3 4" xfId="24676" xr:uid="{00000000-0005-0000-0000-0000A0080000}"/>
    <cellStyle name="P-Green Rule 2 4 3 4 2" xfId="43045" xr:uid="{00000000-0005-0000-0000-0000A0080000}"/>
    <cellStyle name="P-Green Rule 2 4 3 5" xfId="21003" xr:uid="{00000000-0005-0000-0000-0000A0080000}"/>
    <cellStyle name="P-Green Rule 2 4 3 6" xfId="39392" xr:uid="{00000000-0005-0000-0000-0000A0080000}"/>
    <cellStyle name="P-Green Rule 2 4 4" xfId="4567" xr:uid="{00000000-0005-0000-0000-0000A0080000}"/>
    <cellStyle name="P-Green Rule 2 4 4 2" xfId="11152" xr:uid="{00000000-0005-0000-0000-0000A0080000}"/>
    <cellStyle name="P-Green Rule 2 4 4 2 2" xfId="29766" xr:uid="{00000000-0005-0000-0000-0000A0080000}"/>
    <cellStyle name="P-Green Rule 2 4 4 2 3" xfId="48129" xr:uid="{00000000-0005-0000-0000-0000A0080000}"/>
    <cellStyle name="P-Green Rule 2 4 4 3" xfId="15293" xr:uid="{00000000-0005-0000-0000-0000A0080000}"/>
    <cellStyle name="P-Green Rule 2 4 4 3 2" xfId="33687" xr:uid="{00000000-0005-0000-0000-0000A0080000}"/>
    <cellStyle name="P-Green Rule 2 4 4 3 3" xfId="52050" xr:uid="{00000000-0005-0000-0000-0000A0080000}"/>
    <cellStyle name="P-Green Rule 2 4 4 4" xfId="24418" xr:uid="{00000000-0005-0000-0000-0000A0080000}"/>
    <cellStyle name="P-Green Rule 2 4 4 4 2" xfId="42787" xr:uid="{00000000-0005-0000-0000-0000A0080000}"/>
    <cellStyle name="P-Green Rule 2 4 4 5" xfId="20744" xr:uid="{00000000-0005-0000-0000-0000A0080000}"/>
    <cellStyle name="P-Green Rule 2 4 4 6" xfId="39134" xr:uid="{00000000-0005-0000-0000-0000A0080000}"/>
    <cellStyle name="P-Green Rule 2 4 5" xfId="9038" xr:uid="{00000000-0005-0000-0000-0000A0080000}"/>
    <cellStyle name="P-Green Rule 2 4 5 2" xfId="11046" xr:uid="{00000000-0005-0000-0000-0000A0080000}"/>
    <cellStyle name="P-Green Rule 2 4 5 2 2" xfId="29666" xr:uid="{00000000-0005-0000-0000-0000A0080000}"/>
    <cellStyle name="P-Green Rule 2 4 5 2 3" xfId="48029" xr:uid="{00000000-0005-0000-0000-0000A0080000}"/>
    <cellStyle name="P-Green Rule 2 4 5 3" xfId="27764" xr:uid="{00000000-0005-0000-0000-0000A0080000}"/>
    <cellStyle name="P-Green Rule 2 4 5 3 2" xfId="46127" xr:uid="{00000000-0005-0000-0000-0000A0080000}"/>
    <cellStyle name="P-Green Rule 2 4 5 4" xfId="17933" xr:uid="{00000000-0005-0000-0000-0000A0080000}"/>
    <cellStyle name="P-Green Rule 2 4 5 5" xfId="36341" xr:uid="{00000000-0005-0000-0000-0000A0080000}"/>
    <cellStyle name="P-Green Rule 2 4 6" xfId="8114" xr:uid="{00000000-0005-0000-0000-0000A0080000}"/>
    <cellStyle name="P-Green Rule 2 4 6 2" xfId="27319" xr:uid="{00000000-0005-0000-0000-0000A0080000}"/>
    <cellStyle name="P-Green Rule 2 4 6 3" xfId="45684" xr:uid="{00000000-0005-0000-0000-0000A0080000}"/>
    <cellStyle name="P-Green Rule 2 4 7" xfId="7602" xr:uid="{00000000-0005-0000-0000-0000A0080000}"/>
    <cellStyle name="P-Green Rule 2 4 7 2" xfId="26903" xr:uid="{00000000-0005-0000-0000-0000A0080000}"/>
    <cellStyle name="P-Green Rule 2 4 7 3" xfId="45268" xr:uid="{00000000-0005-0000-0000-0000A0080000}"/>
    <cellStyle name="P-Green Rule 2 4 8" xfId="19493" xr:uid="{00000000-0005-0000-0000-0000A0080000}"/>
    <cellStyle name="P-Green Rule 2 4 8 2" xfId="37899" xr:uid="{00000000-0005-0000-0000-0000A0080000}"/>
    <cellStyle name="P-Green Rule 2 4 9" xfId="7143" xr:uid="{00000000-0005-0000-0000-0000A0080000}"/>
    <cellStyle name="P-Green Rule 2 5" xfId="2330" xr:uid="{00000000-0005-0000-0000-0000A1080000}"/>
    <cellStyle name="P-Green Rule 2 5 10" xfId="7457" xr:uid="{00000000-0005-0000-0000-0000A1080000}"/>
    <cellStyle name="P-Green Rule 2 5 2" xfId="3778" xr:uid="{00000000-0005-0000-0000-0000A1080000}"/>
    <cellStyle name="P-Green Rule 2 5 2 2" xfId="5951" xr:uid="{00000000-0005-0000-0000-0000A1080000}"/>
    <cellStyle name="P-Green Rule 2 5 2 2 2" xfId="12315" xr:uid="{00000000-0005-0000-0000-0000A1080000}"/>
    <cellStyle name="P-Green Rule 2 5 2 2 2 2" xfId="30762" xr:uid="{00000000-0005-0000-0000-0000A1080000}"/>
    <cellStyle name="P-Green Rule 2 5 2 2 2 3" xfId="49125" xr:uid="{00000000-0005-0000-0000-0000A1080000}"/>
    <cellStyle name="P-Green Rule 2 5 2 2 3" xfId="16641" xr:uid="{00000000-0005-0000-0000-0000A1080000}"/>
    <cellStyle name="P-Green Rule 2 5 2 2 3 2" xfId="35013" xr:uid="{00000000-0005-0000-0000-0000A1080000}"/>
    <cellStyle name="P-Green Rule 2 5 2 2 3 3" xfId="53376" xr:uid="{00000000-0005-0000-0000-0000A1080000}"/>
    <cellStyle name="P-Green Rule 2 5 2 2 4" xfId="25760" xr:uid="{00000000-0005-0000-0000-0000A1080000}"/>
    <cellStyle name="P-Green Rule 2 5 2 2 4 2" xfId="44129" xr:uid="{00000000-0005-0000-0000-0000A1080000}"/>
    <cellStyle name="P-Green Rule 2 5 2 2 5" xfId="22081" xr:uid="{00000000-0005-0000-0000-0000A1080000}"/>
    <cellStyle name="P-Green Rule 2 5 2 2 6" xfId="40460" xr:uid="{00000000-0005-0000-0000-0000A1080000}"/>
    <cellStyle name="P-Green Rule 2 5 2 3" xfId="6777" xr:uid="{00000000-0005-0000-0000-0000A1080000}"/>
    <cellStyle name="P-Green Rule 2 5 2 3 2" xfId="13068" xr:uid="{00000000-0005-0000-0000-0000A1080000}"/>
    <cellStyle name="P-Green Rule 2 5 2 3 2 2" xfId="31494" xr:uid="{00000000-0005-0000-0000-0000A1080000}"/>
    <cellStyle name="P-Green Rule 2 5 2 3 2 3" xfId="49857" xr:uid="{00000000-0005-0000-0000-0000A1080000}"/>
    <cellStyle name="P-Green Rule 2 5 2 3 3" xfId="17379" xr:uid="{00000000-0005-0000-0000-0000A1080000}"/>
    <cellStyle name="P-Green Rule 2 5 2 3 3 2" xfId="35727" xr:uid="{00000000-0005-0000-0000-0000A1080000}"/>
    <cellStyle name="P-Green Rule 2 5 2 3 3 3" xfId="54090" xr:uid="{00000000-0005-0000-0000-0000A1080000}"/>
    <cellStyle name="P-Green Rule 2 5 2 3 4" xfId="26512" xr:uid="{00000000-0005-0000-0000-0000A1080000}"/>
    <cellStyle name="P-Green Rule 2 5 2 3 4 2" xfId="44881" xr:uid="{00000000-0005-0000-0000-0000A1080000}"/>
    <cellStyle name="P-Green Rule 2 5 2 3 5" xfId="22805" xr:uid="{00000000-0005-0000-0000-0000A1080000}"/>
    <cellStyle name="P-Green Rule 2 5 2 3 6" xfId="41174" xr:uid="{00000000-0005-0000-0000-0000A1080000}"/>
    <cellStyle name="P-Green Rule 2 5 2 4" xfId="10491" xr:uid="{00000000-0005-0000-0000-0000A1080000}"/>
    <cellStyle name="P-Green Rule 2 5 2 4 2" xfId="14548" xr:uid="{00000000-0005-0000-0000-0000A1080000}"/>
    <cellStyle name="P-Green Rule 2 5 2 4 2 2" xfId="32964" xr:uid="{00000000-0005-0000-0000-0000A1080000}"/>
    <cellStyle name="P-Green Rule 2 5 2 4 2 3" xfId="51327" xr:uid="{00000000-0005-0000-0000-0000A1080000}"/>
    <cellStyle name="P-Green Rule 2 5 2 4 3" xfId="29202" xr:uid="{00000000-0005-0000-0000-0000A1080000}"/>
    <cellStyle name="P-Green Rule 2 5 2 4 3 2" xfId="47565" xr:uid="{00000000-0005-0000-0000-0000A1080000}"/>
    <cellStyle name="P-Green Rule 2 5 2 4 4" xfId="20005" xr:uid="{00000000-0005-0000-0000-0000A1080000}"/>
    <cellStyle name="P-Green Rule 2 5 2 4 5" xfId="38411" xr:uid="{00000000-0005-0000-0000-0000A1080000}"/>
    <cellStyle name="P-Green Rule 2 5 2 5" xfId="9762" xr:uid="{00000000-0005-0000-0000-0000A1080000}"/>
    <cellStyle name="P-Green Rule 2 5 2 5 2" xfId="28477" xr:uid="{00000000-0005-0000-0000-0000A1080000}"/>
    <cellStyle name="P-Green Rule 2 5 2 5 3" xfId="46840" xr:uid="{00000000-0005-0000-0000-0000A1080000}"/>
    <cellStyle name="P-Green Rule 2 5 2 6" xfId="13819" xr:uid="{00000000-0005-0000-0000-0000A1080000}"/>
    <cellStyle name="P-Green Rule 2 5 2 6 2" xfId="32239" xr:uid="{00000000-0005-0000-0000-0000A1080000}"/>
    <cellStyle name="P-Green Rule 2 5 2 6 3" xfId="50602" xr:uid="{00000000-0005-0000-0000-0000A1080000}"/>
    <cellStyle name="P-Green Rule 2 5 2 7" xfId="23686" xr:uid="{00000000-0005-0000-0000-0000A1080000}"/>
    <cellStyle name="P-Green Rule 2 5 2 7 2" xfId="42055" xr:uid="{00000000-0005-0000-0000-0000A1080000}"/>
    <cellStyle name="P-Green Rule 2 5 2 8" xfId="18944" xr:uid="{00000000-0005-0000-0000-0000A1080000}"/>
    <cellStyle name="P-Green Rule 2 5 2 9" xfId="37353" xr:uid="{00000000-0005-0000-0000-0000A1080000}"/>
    <cellStyle name="P-Green Rule 2 5 3" xfId="4978" xr:uid="{00000000-0005-0000-0000-0000A1080000}"/>
    <cellStyle name="P-Green Rule 2 5 3 2" xfId="11508" xr:uid="{00000000-0005-0000-0000-0000A1080000}"/>
    <cellStyle name="P-Green Rule 2 5 3 2 2" xfId="30081" xr:uid="{00000000-0005-0000-0000-0000A1080000}"/>
    <cellStyle name="P-Green Rule 2 5 3 2 3" xfId="48444" xr:uid="{00000000-0005-0000-0000-0000A1080000}"/>
    <cellStyle name="P-Green Rule 2 5 3 3" xfId="15694" xr:uid="{00000000-0005-0000-0000-0000A1080000}"/>
    <cellStyle name="P-Green Rule 2 5 3 3 2" xfId="34083" xr:uid="{00000000-0005-0000-0000-0000A1080000}"/>
    <cellStyle name="P-Green Rule 2 5 3 3 3" xfId="52446" xr:uid="{00000000-0005-0000-0000-0000A1080000}"/>
    <cellStyle name="P-Green Rule 2 5 3 4" xfId="24818" xr:uid="{00000000-0005-0000-0000-0000A1080000}"/>
    <cellStyle name="P-Green Rule 2 5 3 4 2" xfId="43187" xr:uid="{00000000-0005-0000-0000-0000A1080000}"/>
    <cellStyle name="P-Green Rule 2 5 3 5" xfId="21143" xr:uid="{00000000-0005-0000-0000-0000A1080000}"/>
    <cellStyle name="P-Green Rule 2 5 3 6" xfId="39530" xr:uid="{00000000-0005-0000-0000-0000A1080000}"/>
    <cellStyle name="P-Green Rule 2 5 4" xfId="6118" xr:uid="{00000000-0005-0000-0000-0000A1080000}"/>
    <cellStyle name="P-Green Rule 2 5 4 2" xfId="12472" xr:uid="{00000000-0005-0000-0000-0000A1080000}"/>
    <cellStyle name="P-Green Rule 2 5 4 2 2" xfId="30912" xr:uid="{00000000-0005-0000-0000-0000A1080000}"/>
    <cellStyle name="P-Green Rule 2 5 4 2 3" xfId="49275" xr:uid="{00000000-0005-0000-0000-0000A1080000}"/>
    <cellStyle name="P-Green Rule 2 5 4 3" xfId="16791" xr:uid="{00000000-0005-0000-0000-0000A1080000}"/>
    <cellStyle name="P-Green Rule 2 5 4 3 2" xfId="35160" xr:uid="{00000000-0005-0000-0000-0000A1080000}"/>
    <cellStyle name="P-Green Rule 2 5 4 3 3" xfId="53523" xr:uid="{00000000-0005-0000-0000-0000A1080000}"/>
    <cellStyle name="P-Green Rule 2 5 4 4" xfId="25914" xr:uid="{00000000-0005-0000-0000-0000A1080000}"/>
    <cellStyle name="P-Green Rule 2 5 4 4 2" xfId="44283" xr:uid="{00000000-0005-0000-0000-0000A1080000}"/>
    <cellStyle name="P-Green Rule 2 5 4 5" xfId="22230" xr:uid="{00000000-0005-0000-0000-0000A1080000}"/>
    <cellStyle name="P-Green Rule 2 5 4 6" xfId="40607" xr:uid="{00000000-0005-0000-0000-0000A1080000}"/>
    <cellStyle name="P-Green Rule 2 5 5" xfId="9908" xr:uid="{00000000-0005-0000-0000-0000A1080000}"/>
    <cellStyle name="P-Green Rule 2 5 5 2" xfId="13965" xr:uid="{00000000-0005-0000-0000-0000A1080000}"/>
    <cellStyle name="P-Green Rule 2 5 5 2 2" xfId="32382" xr:uid="{00000000-0005-0000-0000-0000A1080000}"/>
    <cellStyle name="P-Green Rule 2 5 5 2 3" xfId="50745" xr:uid="{00000000-0005-0000-0000-0000A1080000}"/>
    <cellStyle name="P-Green Rule 2 5 5 3" xfId="28620" xr:uid="{00000000-0005-0000-0000-0000A1080000}"/>
    <cellStyle name="P-Green Rule 2 5 5 3 2" xfId="46983" xr:uid="{00000000-0005-0000-0000-0000A1080000}"/>
    <cellStyle name="P-Green Rule 2 5 5 4" xfId="19211" xr:uid="{00000000-0005-0000-0000-0000A1080000}"/>
    <cellStyle name="P-Green Rule 2 5 5 5" xfId="37618" xr:uid="{00000000-0005-0000-0000-0000A1080000}"/>
    <cellStyle name="P-Green Rule 2 5 6" xfId="8371" xr:uid="{00000000-0005-0000-0000-0000A1080000}"/>
    <cellStyle name="P-Green Rule 2 5 6 2" xfId="27438" xr:uid="{00000000-0005-0000-0000-0000A1080000}"/>
    <cellStyle name="P-Green Rule 2 5 6 3" xfId="45802" xr:uid="{00000000-0005-0000-0000-0000A1080000}"/>
    <cellStyle name="P-Green Rule 2 5 7" xfId="8478" xr:uid="{00000000-0005-0000-0000-0000A1080000}"/>
    <cellStyle name="P-Green Rule 2 5 7 2" xfId="27500" xr:uid="{00000000-0005-0000-0000-0000A1080000}"/>
    <cellStyle name="P-Green Rule 2 5 7 3" xfId="45864" xr:uid="{00000000-0005-0000-0000-0000A1080000}"/>
    <cellStyle name="P-Green Rule 2 5 8" xfId="18966" xr:uid="{00000000-0005-0000-0000-0000A1080000}"/>
    <cellStyle name="P-Green Rule 2 5 8 2" xfId="37375" xr:uid="{00000000-0005-0000-0000-0000A1080000}"/>
    <cellStyle name="P-Green Rule 2 5 9" xfId="8750" xr:uid="{00000000-0005-0000-0000-0000A1080000}"/>
    <cellStyle name="P-Green Rule 2 6" xfId="2777" xr:uid="{00000000-0005-0000-0000-0000A2080000}"/>
    <cellStyle name="P-Green Rule 2 6 10" xfId="35918" xr:uid="{00000000-0005-0000-0000-0000A2080000}"/>
    <cellStyle name="P-Green Rule 2 6 2" xfId="3814" xr:uid="{00000000-0005-0000-0000-0000A2080000}"/>
    <cellStyle name="P-Green Rule 2 6 2 2" xfId="5987" xr:uid="{00000000-0005-0000-0000-0000A2080000}"/>
    <cellStyle name="P-Green Rule 2 6 2 2 2" xfId="12351" xr:uid="{00000000-0005-0000-0000-0000A2080000}"/>
    <cellStyle name="P-Green Rule 2 6 2 2 2 2" xfId="30798" xr:uid="{00000000-0005-0000-0000-0000A2080000}"/>
    <cellStyle name="P-Green Rule 2 6 2 2 2 3" xfId="49161" xr:uid="{00000000-0005-0000-0000-0000A2080000}"/>
    <cellStyle name="P-Green Rule 2 6 2 2 3" xfId="16677" xr:uid="{00000000-0005-0000-0000-0000A2080000}"/>
    <cellStyle name="P-Green Rule 2 6 2 2 3 2" xfId="35049" xr:uid="{00000000-0005-0000-0000-0000A2080000}"/>
    <cellStyle name="P-Green Rule 2 6 2 2 3 3" xfId="53412" xr:uid="{00000000-0005-0000-0000-0000A2080000}"/>
    <cellStyle name="P-Green Rule 2 6 2 2 4" xfId="25796" xr:uid="{00000000-0005-0000-0000-0000A2080000}"/>
    <cellStyle name="P-Green Rule 2 6 2 2 4 2" xfId="44165" xr:uid="{00000000-0005-0000-0000-0000A2080000}"/>
    <cellStyle name="P-Green Rule 2 6 2 2 5" xfId="22117" xr:uid="{00000000-0005-0000-0000-0000A2080000}"/>
    <cellStyle name="P-Green Rule 2 6 2 2 6" xfId="40496" xr:uid="{00000000-0005-0000-0000-0000A2080000}"/>
    <cellStyle name="P-Green Rule 2 6 2 3" xfId="6813" xr:uid="{00000000-0005-0000-0000-0000A2080000}"/>
    <cellStyle name="P-Green Rule 2 6 2 3 2" xfId="13104" xr:uid="{00000000-0005-0000-0000-0000A2080000}"/>
    <cellStyle name="P-Green Rule 2 6 2 3 2 2" xfId="31530" xr:uid="{00000000-0005-0000-0000-0000A2080000}"/>
    <cellStyle name="P-Green Rule 2 6 2 3 2 3" xfId="49893" xr:uid="{00000000-0005-0000-0000-0000A2080000}"/>
    <cellStyle name="P-Green Rule 2 6 2 3 3" xfId="17415" xr:uid="{00000000-0005-0000-0000-0000A2080000}"/>
    <cellStyle name="P-Green Rule 2 6 2 3 3 2" xfId="35763" xr:uid="{00000000-0005-0000-0000-0000A2080000}"/>
    <cellStyle name="P-Green Rule 2 6 2 3 3 3" xfId="54126" xr:uid="{00000000-0005-0000-0000-0000A2080000}"/>
    <cellStyle name="P-Green Rule 2 6 2 3 4" xfId="26548" xr:uid="{00000000-0005-0000-0000-0000A2080000}"/>
    <cellStyle name="P-Green Rule 2 6 2 3 4 2" xfId="44917" xr:uid="{00000000-0005-0000-0000-0000A2080000}"/>
    <cellStyle name="P-Green Rule 2 6 2 3 5" xfId="22841" xr:uid="{00000000-0005-0000-0000-0000A2080000}"/>
    <cellStyle name="P-Green Rule 2 6 2 3 6" xfId="41210" xr:uid="{00000000-0005-0000-0000-0000A2080000}"/>
    <cellStyle name="P-Green Rule 2 6 2 4" xfId="10527" xr:uid="{00000000-0005-0000-0000-0000A2080000}"/>
    <cellStyle name="P-Green Rule 2 6 2 4 2" xfId="14584" xr:uid="{00000000-0005-0000-0000-0000A2080000}"/>
    <cellStyle name="P-Green Rule 2 6 2 4 2 2" xfId="33000" xr:uid="{00000000-0005-0000-0000-0000A2080000}"/>
    <cellStyle name="P-Green Rule 2 6 2 4 2 3" xfId="51363" xr:uid="{00000000-0005-0000-0000-0000A2080000}"/>
    <cellStyle name="P-Green Rule 2 6 2 4 3" xfId="29238" xr:uid="{00000000-0005-0000-0000-0000A2080000}"/>
    <cellStyle name="P-Green Rule 2 6 2 4 3 2" xfId="47601" xr:uid="{00000000-0005-0000-0000-0000A2080000}"/>
    <cellStyle name="P-Green Rule 2 6 2 4 4" xfId="20041" xr:uid="{00000000-0005-0000-0000-0000A2080000}"/>
    <cellStyle name="P-Green Rule 2 6 2 4 5" xfId="38447" xr:uid="{00000000-0005-0000-0000-0000A2080000}"/>
    <cellStyle name="P-Green Rule 2 6 2 5" xfId="9860" xr:uid="{00000000-0005-0000-0000-0000A2080000}"/>
    <cellStyle name="P-Green Rule 2 6 2 5 2" xfId="28574" xr:uid="{00000000-0005-0000-0000-0000A2080000}"/>
    <cellStyle name="P-Green Rule 2 6 2 5 3" xfId="46937" xr:uid="{00000000-0005-0000-0000-0000A2080000}"/>
    <cellStyle name="P-Green Rule 2 6 2 6" xfId="13918" xr:uid="{00000000-0005-0000-0000-0000A2080000}"/>
    <cellStyle name="P-Green Rule 2 6 2 6 2" xfId="32336" xr:uid="{00000000-0005-0000-0000-0000A2080000}"/>
    <cellStyle name="P-Green Rule 2 6 2 6 3" xfId="50699" xr:uid="{00000000-0005-0000-0000-0000A2080000}"/>
    <cellStyle name="P-Green Rule 2 6 2 7" xfId="23722" xr:uid="{00000000-0005-0000-0000-0000A2080000}"/>
    <cellStyle name="P-Green Rule 2 6 2 7 2" xfId="42091" xr:uid="{00000000-0005-0000-0000-0000A2080000}"/>
    <cellStyle name="P-Green Rule 2 6 2 8" xfId="19114" xr:uid="{00000000-0005-0000-0000-0000A2080000}"/>
    <cellStyle name="P-Green Rule 2 6 2 9" xfId="37522" xr:uid="{00000000-0005-0000-0000-0000A2080000}"/>
    <cellStyle name="P-Green Rule 2 6 3" xfId="5138" xr:uid="{00000000-0005-0000-0000-0000A2080000}"/>
    <cellStyle name="P-Green Rule 2 6 3 2" xfId="11643" xr:uid="{00000000-0005-0000-0000-0000A2080000}"/>
    <cellStyle name="P-Green Rule 2 6 3 2 2" xfId="30191" xr:uid="{00000000-0005-0000-0000-0000A2080000}"/>
    <cellStyle name="P-Green Rule 2 6 3 2 3" xfId="48554" xr:uid="{00000000-0005-0000-0000-0000A2080000}"/>
    <cellStyle name="P-Green Rule 2 6 3 3" xfId="15842" xr:uid="{00000000-0005-0000-0000-0000A2080000}"/>
    <cellStyle name="P-Green Rule 2 6 3 3 2" xfId="34226" xr:uid="{00000000-0005-0000-0000-0000A2080000}"/>
    <cellStyle name="P-Green Rule 2 6 3 3 3" xfId="52589" xr:uid="{00000000-0005-0000-0000-0000A2080000}"/>
    <cellStyle name="P-Green Rule 2 6 3 4" xfId="24965" xr:uid="{00000000-0005-0000-0000-0000A2080000}"/>
    <cellStyle name="P-Green Rule 2 6 3 4 2" xfId="43334" xr:uid="{00000000-0005-0000-0000-0000A2080000}"/>
    <cellStyle name="P-Green Rule 2 6 3 5" xfId="21288" xr:uid="{00000000-0005-0000-0000-0000A2080000}"/>
    <cellStyle name="P-Green Rule 2 6 3 6" xfId="39673" xr:uid="{00000000-0005-0000-0000-0000A2080000}"/>
    <cellStyle name="P-Green Rule 2 6 4" xfId="6188" xr:uid="{00000000-0005-0000-0000-0000A2080000}"/>
    <cellStyle name="P-Green Rule 2 6 4 2" xfId="12523" xr:uid="{00000000-0005-0000-0000-0000A2080000}"/>
    <cellStyle name="P-Green Rule 2 6 4 2 2" xfId="30955" xr:uid="{00000000-0005-0000-0000-0000A2080000}"/>
    <cellStyle name="P-Green Rule 2 6 4 2 3" xfId="49318" xr:uid="{00000000-0005-0000-0000-0000A2080000}"/>
    <cellStyle name="P-Green Rule 2 6 4 3" xfId="16838" xr:uid="{00000000-0005-0000-0000-0000A2080000}"/>
    <cellStyle name="P-Green Rule 2 6 4 3 2" xfId="35198" xr:uid="{00000000-0005-0000-0000-0000A2080000}"/>
    <cellStyle name="P-Green Rule 2 6 4 3 3" xfId="53561" xr:uid="{00000000-0005-0000-0000-0000A2080000}"/>
    <cellStyle name="P-Green Rule 2 6 4 4" xfId="25965" xr:uid="{00000000-0005-0000-0000-0000A2080000}"/>
    <cellStyle name="P-Green Rule 2 6 4 4 2" xfId="44334" xr:uid="{00000000-0005-0000-0000-0000A2080000}"/>
    <cellStyle name="P-Green Rule 2 6 4 5" xfId="22272" xr:uid="{00000000-0005-0000-0000-0000A2080000}"/>
    <cellStyle name="P-Green Rule 2 6 4 6" xfId="40645" xr:uid="{00000000-0005-0000-0000-0000A2080000}"/>
    <cellStyle name="P-Green Rule 2 6 5" xfId="10020" xr:uid="{00000000-0005-0000-0000-0000A2080000}"/>
    <cellStyle name="P-Green Rule 2 6 5 2" xfId="14077" xr:uid="{00000000-0005-0000-0000-0000A2080000}"/>
    <cellStyle name="P-Green Rule 2 6 5 2 2" xfId="32493" xr:uid="{00000000-0005-0000-0000-0000A2080000}"/>
    <cellStyle name="P-Green Rule 2 6 5 2 3" xfId="50856" xr:uid="{00000000-0005-0000-0000-0000A2080000}"/>
    <cellStyle name="P-Green Rule 2 6 5 3" xfId="28731" xr:uid="{00000000-0005-0000-0000-0000A2080000}"/>
    <cellStyle name="P-Green Rule 2 6 5 3 2" xfId="47094" xr:uid="{00000000-0005-0000-0000-0000A2080000}"/>
    <cellStyle name="P-Green Rule 2 6 5 4" xfId="19399" xr:uid="{00000000-0005-0000-0000-0000A2080000}"/>
    <cellStyle name="P-Green Rule 2 6 5 5" xfId="37805" xr:uid="{00000000-0005-0000-0000-0000A2080000}"/>
    <cellStyle name="P-Green Rule 2 6 6" xfId="8647" xr:uid="{00000000-0005-0000-0000-0000A2080000}"/>
    <cellStyle name="P-Green Rule 2 6 6 2" xfId="27555" xr:uid="{00000000-0005-0000-0000-0000A2080000}"/>
    <cellStyle name="P-Green Rule 2 6 6 3" xfId="45918" xr:uid="{00000000-0005-0000-0000-0000A2080000}"/>
    <cellStyle name="P-Green Rule 2 6 7" xfId="8400" xr:uid="{00000000-0005-0000-0000-0000A2080000}"/>
    <cellStyle name="P-Green Rule 2 6 7 2" xfId="27463" xr:uid="{00000000-0005-0000-0000-0000A2080000}"/>
    <cellStyle name="P-Green Rule 2 6 7 3" xfId="45827" xr:uid="{00000000-0005-0000-0000-0000A2080000}"/>
    <cellStyle name="P-Green Rule 2 6 8" xfId="18724" xr:uid="{00000000-0005-0000-0000-0000A2080000}"/>
    <cellStyle name="P-Green Rule 2 6 8 2" xfId="37134" xr:uid="{00000000-0005-0000-0000-0000A2080000}"/>
    <cellStyle name="P-Green Rule 2 6 9" xfId="7162" xr:uid="{00000000-0005-0000-0000-0000A2080000}"/>
    <cellStyle name="P-Green Rule 2 7" xfId="4195" xr:uid="{00000000-0005-0000-0000-00009D080000}"/>
    <cellStyle name="P-Green Rule 2 7 2" xfId="10844" xr:uid="{00000000-0005-0000-0000-00009D080000}"/>
    <cellStyle name="P-Green Rule 2 7 2 2" xfId="29515" xr:uid="{00000000-0005-0000-0000-00009D080000}"/>
    <cellStyle name="P-Green Rule 2 7 2 3" xfId="47878" xr:uid="{00000000-0005-0000-0000-00009D080000}"/>
    <cellStyle name="P-Green Rule 2 7 3" xfId="14941" xr:uid="{00000000-0005-0000-0000-00009D080000}"/>
    <cellStyle name="P-Green Rule 2 7 3 2" xfId="33345" xr:uid="{00000000-0005-0000-0000-00009D080000}"/>
    <cellStyle name="P-Green Rule 2 7 3 3" xfId="51708" xr:uid="{00000000-0005-0000-0000-00009D080000}"/>
    <cellStyle name="P-Green Rule 2 7 4" xfId="24074" xr:uid="{00000000-0005-0000-0000-00009D080000}"/>
    <cellStyle name="P-Green Rule 2 7 4 2" xfId="42443" xr:uid="{00000000-0005-0000-0000-00009D080000}"/>
    <cellStyle name="P-Green Rule 2 7 5" xfId="20394" xr:uid="{00000000-0005-0000-0000-00009D080000}"/>
    <cellStyle name="P-Green Rule 2 7 6" xfId="38792" xr:uid="{00000000-0005-0000-0000-00009D080000}"/>
    <cellStyle name="P-Green Rule 2 8" xfId="9144" xr:uid="{00000000-0005-0000-0000-00009D080000}"/>
    <cellStyle name="P-Green Rule 2 8 2" xfId="13204" xr:uid="{00000000-0005-0000-0000-00009D080000}"/>
    <cellStyle name="P-Green Rule 2 8 2 2" xfId="31629" xr:uid="{00000000-0005-0000-0000-00009D080000}"/>
    <cellStyle name="P-Green Rule 2 8 2 3" xfId="49992" xr:uid="{00000000-0005-0000-0000-00009D080000}"/>
    <cellStyle name="P-Green Rule 2 8 3" xfId="27870" xr:uid="{00000000-0005-0000-0000-00009D080000}"/>
    <cellStyle name="P-Green Rule 2 8 3 2" xfId="46233" xr:uid="{00000000-0005-0000-0000-00009D080000}"/>
    <cellStyle name="P-Green Rule 2 8 4" xfId="18069" xr:uid="{00000000-0005-0000-0000-00009D080000}"/>
    <cellStyle name="P-Green Rule 2 8 5" xfId="36476" xr:uid="{00000000-0005-0000-0000-00009D080000}"/>
    <cellStyle name="P-Green Rule 3" xfId="1207" xr:uid="{00000000-0005-0000-0000-0000A3080000}"/>
    <cellStyle name="P-Green Rule 3 2" xfId="1630" xr:uid="{00000000-0005-0000-0000-0000A4080000}"/>
    <cellStyle name="P-Green Rule 3 2 2" xfId="1713" xr:uid="{00000000-0005-0000-0000-0000A5080000}"/>
    <cellStyle name="P-Green Rule 3 2 2 2" xfId="3610" xr:uid="{00000000-0005-0000-0000-0000A5080000}"/>
    <cellStyle name="P-Green Rule 3 2 2 2 2" xfId="5783" xr:uid="{00000000-0005-0000-0000-0000A5080000}"/>
    <cellStyle name="P-Green Rule 3 2 2 2 2 2" xfId="12147" xr:uid="{00000000-0005-0000-0000-0000A5080000}"/>
    <cellStyle name="P-Green Rule 3 2 2 2 2 2 2" xfId="30594" xr:uid="{00000000-0005-0000-0000-0000A5080000}"/>
    <cellStyle name="P-Green Rule 3 2 2 2 2 2 3" xfId="48957" xr:uid="{00000000-0005-0000-0000-0000A5080000}"/>
    <cellStyle name="P-Green Rule 3 2 2 2 2 3" xfId="16473" xr:uid="{00000000-0005-0000-0000-0000A5080000}"/>
    <cellStyle name="P-Green Rule 3 2 2 2 2 3 2" xfId="34845" xr:uid="{00000000-0005-0000-0000-0000A5080000}"/>
    <cellStyle name="P-Green Rule 3 2 2 2 2 3 3" xfId="53208" xr:uid="{00000000-0005-0000-0000-0000A5080000}"/>
    <cellStyle name="P-Green Rule 3 2 2 2 2 4" xfId="25592" xr:uid="{00000000-0005-0000-0000-0000A5080000}"/>
    <cellStyle name="P-Green Rule 3 2 2 2 2 4 2" xfId="43961" xr:uid="{00000000-0005-0000-0000-0000A5080000}"/>
    <cellStyle name="P-Green Rule 3 2 2 2 2 5" xfId="21913" xr:uid="{00000000-0005-0000-0000-0000A5080000}"/>
    <cellStyle name="P-Green Rule 3 2 2 2 2 6" xfId="40292" xr:uid="{00000000-0005-0000-0000-0000A5080000}"/>
    <cellStyle name="P-Green Rule 3 2 2 2 3" xfId="6609" xr:uid="{00000000-0005-0000-0000-0000A5080000}"/>
    <cellStyle name="P-Green Rule 3 2 2 2 3 2" xfId="12900" xr:uid="{00000000-0005-0000-0000-0000A5080000}"/>
    <cellStyle name="P-Green Rule 3 2 2 2 3 2 2" xfId="31326" xr:uid="{00000000-0005-0000-0000-0000A5080000}"/>
    <cellStyle name="P-Green Rule 3 2 2 2 3 2 3" xfId="49689" xr:uid="{00000000-0005-0000-0000-0000A5080000}"/>
    <cellStyle name="P-Green Rule 3 2 2 2 3 3" xfId="17211" xr:uid="{00000000-0005-0000-0000-0000A5080000}"/>
    <cellStyle name="P-Green Rule 3 2 2 2 3 3 2" xfId="35559" xr:uid="{00000000-0005-0000-0000-0000A5080000}"/>
    <cellStyle name="P-Green Rule 3 2 2 2 3 3 3" xfId="53922" xr:uid="{00000000-0005-0000-0000-0000A5080000}"/>
    <cellStyle name="P-Green Rule 3 2 2 2 3 4" xfId="26344" xr:uid="{00000000-0005-0000-0000-0000A5080000}"/>
    <cellStyle name="P-Green Rule 3 2 2 2 3 4 2" xfId="44713" xr:uid="{00000000-0005-0000-0000-0000A5080000}"/>
    <cellStyle name="P-Green Rule 3 2 2 2 3 5" xfId="22637" xr:uid="{00000000-0005-0000-0000-0000A5080000}"/>
    <cellStyle name="P-Green Rule 3 2 2 2 3 6" xfId="41006" xr:uid="{00000000-0005-0000-0000-0000A5080000}"/>
    <cellStyle name="P-Green Rule 3 2 2 2 4" xfId="10323" xr:uid="{00000000-0005-0000-0000-0000A5080000}"/>
    <cellStyle name="P-Green Rule 3 2 2 2 4 2" xfId="14380" xr:uid="{00000000-0005-0000-0000-0000A5080000}"/>
    <cellStyle name="P-Green Rule 3 2 2 2 4 2 2" xfId="32796" xr:uid="{00000000-0005-0000-0000-0000A5080000}"/>
    <cellStyle name="P-Green Rule 3 2 2 2 4 2 3" xfId="51159" xr:uid="{00000000-0005-0000-0000-0000A5080000}"/>
    <cellStyle name="P-Green Rule 3 2 2 2 4 3" xfId="29034" xr:uid="{00000000-0005-0000-0000-0000A5080000}"/>
    <cellStyle name="P-Green Rule 3 2 2 2 4 3 2" xfId="47397" xr:uid="{00000000-0005-0000-0000-0000A5080000}"/>
    <cellStyle name="P-Green Rule 3 2 2 2 4 4" xfId="19837" xr:uid="{00000000-0005-0000-0000-0000A5080000}"/>
    <cellStyle name="P-Green Rule 3 2 2 2 4 5" xfId="38243" xr:uid="{00000000-0005-0000-0000-0000A5080000}"/>
    <cellStyle name="P-Green Rule 3 2 2 2 5" xfId="9531" xr:uid="{00000000-0005-0000-0000-0000A5080000}"/>
    <cellStyle name="P-Green Rule 3 2 2 2 5 2" xfId="28248" xr:uid="{00000000-0005-0000-0000-0000A5080000}"/>
    <cellStyle name="P-Green Rule 3 2 2 2 5 3" xfId="46611" xr:uid="{00000000-0005-0000-0000-0000A5080000}"/>
    <cellStyle name="P-Green Rule 3 2 2 2 6" xfId="13589" xr:uid="{00000000-0005-0000-0000-0000A5080000}"/>
    <cellStyle name="P-Green Rule 3 2 2 2 6 2" xfId="32010" xr:uid="{00000000-0005-0000-0000-0000A5080000}"/>
    <cellStyle name="P-Green Rule 3 2 2 2 6 3" xfId="50373" xr:uid="{00000000-0005-0000-0000-0000A5080000}"/>
    <cellStyle name="P-Green Rule 3 2 2 2 7" xfId="23518" xr:uid="{00000000-0005-0000-0000-0000A5080000}"/>
    <cellStyle name="P-Green Rule 3 2 2 2 7 2" xfId="41887" xr:uid="{00000000-0005-0000-0000-0000A5080000}"/>
    <cellStyle name="P-Green Rule 3 2 2 2 8" xfId="18630" xr:uid="{00000000-0005-0000-0000-0000A5080000}"/>
    <cellStyle name="P-Green Rule 3 2 2 2 9" xfId="37040" xr:uid="{00000000-0005-0000-0000-0000A5080000}"/>
    <cellStyle name="P-Green Rule 3 2 2 3" xfId="4650" xr:uid="{00000000-0005-0000-0000-0000A5080000}"/>
    <cellStyle name="P-Green Rule 3 2 2 3 2" xfId="11234" xr:uid="{00000000-0005-0000-0000-0000A5080000}"/>
    <cellStyle name="P-Green Rule 3 2 2 3 2 2" xfId="29846" xr:uid="{00000000-0005-0000-0000-0000A5080000}"/>
    <cellStyle name="P-Green Rule 3 2 2 3 2 3" xfId="48209" xr:uid="{00000000-0005-0000-0000-0000A5080000}"/>
    <cellStyle name="P-Green Rule 3 2 2 3 3" xfId="15376" xr:uid="{00000000-0005-0000-0000-0000A5080000}"/>
    <cellStyle name="P-Green Rule 3 2 2 3 3 2" xfId="33769" xr:uid="{00000000-0005-0000-0000-0000A5080000}"/>
    <cellStyle name="P-Green Rule 3 2 2 3 3 3" xfId="52132" xr:uid="{00000000-0005-0000-0000-0000A5080000}"/>
    <cellStyle name="P-Green Rule 3 2 2 3 4" xfId="24500" xr:uid="{00000000-0005-0000-0000-0000A5080000}"/>
    <cellStyle name="P-Green Rule 3 2 2 3 4 2" xfId="42869" xr:uid="{00000000-0005-0000-0000-0000A5080000}"/>
    <cellStyle name="P-Green Rule 3 2 2 3 5" xfId="20827" xr:uid="{00000000-0005-0000-0000-0000A5080000}"/>
    <cellStyle name="P-Green Rule 3 2 2 3 6" xfId="39216" xr:uid="{00000000-0005-0000-0000-0000A5080000}"/>
    <cellStyle name="P-Green Rule 3 2 2 4" xfId="5175" xr:uid="{00000000-0005-0000-0000-0000A5080000}"/>
    <cellStyle name="P-Green Rule 3 2 2 4 2" xfId="11668" xr:uid="{00000000-0005-0000-0000-0000A5080000}"/>
    <cellStyle name="P-Green Rule 3 2 2 4 2 2" xfId="30213" xr:uid="{00000000-0005-0000-0000-0000A5080000}"/>
    <cellStyle name="P-Green Rule 3 2 2 4 2 3" xfId="48576" xr:uid="{00000000-0005-0000-0000-0000A5080000}"/>
    <cellStyle name="P-Green Rule 3 2 2 4 3" xfId="15867" xr:uid="{00000000-0005-0000-0000-0000A5080000}"/>
    <cellStyle name="P-Green Rule 3 2 2 4 3 2" xfId="34243" xr:uid="{00000000-0005-0000-0000-0000A5080000}"/>
    <cellStyle name="P-Green Rule 3 2 2 4 3 3" xfId="52606" xr:uid="{00000000-0005-0000-0000-0000A5080000}"/>
    <cellStyle name="P-Green Rule 3 2 2 4 4" xfId="24990" xr:uid="{00000000-0005-0000-0000-0000A5080000}"/>
    <cellStyle name="P-Green Rule 3 2 2 4 4 2" xfId="43359" xr:uid="{00000000-0005-0000-0000-0000A5080000}"/>
    <cellStyle name="P-Green Rule 3 2 2 4 5" xfId="21309" xr:uid="{00000000-0005-0000-0000-0000A5080000}"/>
    <cellStyle name="P-Green Rule 3 2 2 4 6" xfId="39690" xr:uid="{00000000-0005-0000-0000-0000A5080000}"/>
    <cellStyle name="P-Green Rule 3 2 2 5" xfId="9707" xr:uid="{00000000-0005-0000-0000-0000A5080000}"/>
    <cellStyle name="P-Green Rule 3 2 2 5 2" xfId="13764" xr:uid="{00000000-0005-0000-0000-0000A5080000}"/>
    <cellStyle name="P-Green Rule 3 2 2 5 2 2" xfId="32185" xr:uid="{00000000-0005-0000-0000-0000A5080000}"/>
    <cellStyle name="P-Green Rule 3 2 2 5 2 3" xfId="50548" xr:uid="{00000000-0005-0000-0000-0000A5080000}"/>
    <cellStyle name="P-Green Rule 3 2 2 5 3" xfId="28423" xr:uid="{00000000-0005-0000-0000-0000A5080000}"/>
    <cellStyle name="P-Green Rule 3 2 2 5 3 2" xfId="46786" xr:uid="{00000000-0005-0000-0000-0000A5080000}"/>
    <cellStyle name="P-Green Rule 3 2 2 5 4" xfId="18854" xr:uid="{00000000-0005-0000-0000-0000A5080000}"/>
    <cellStyle name="P-Green Rule 3 2 2 5 5" xfId="37263" xr:uid="{00000000-0005-0000-0000-0000A5080000}"/>
    <cellStyle name="P-Green Rule 3 2 2 6" xfId="7944" xr:uid="{00000000-0005-0000-0000-0000A5080000}"/>
    <cellStyle name="P-Green Rule 3 2 2 6 2" xfId="27174" xr:uid="{00000000-0005-0000-0000-0000A5080000}"/>
    <cellStyle name="P-Green Rule 3 2 2 6 3" xfId="45539" xr:uid="{00000000-0005-0000-0000-0000A5080000}"/>
    <cellStyle name="P-Green Rule 3 2 2 7" xfId="8631" xr:uid="{00000000-0005-0000-0000-0000A5080000}"/>
    <cellStyle name="P-Green Rule 3 2 2 7 2" xfId="27542" xr:uid="{00000000-0005-0000-0000-0000A5080000}"/>
    <cellStyle name="P-Green Rule 3 2 2 7 3" xfId="45906" xr:uid="{00000000-0005-0000-0000-0000A5080000}"/>
    <cellStyle name="P-Green Rule 3 2 2 8" xfId="7134" xr:uid="{00000000-0005-0000-0000-0000A5080000}"/>
    <cellStyle name="P-Green Rule 3 2 2 9" xfId="8806" xr:uid="{00000000-0005-0000-0000-0000A5080000}"/>
    <cellStyle name="P-Green Rule 3 2 3" xfId="1744" xr:uid="{00000000-0005-0000-0000-0000A6080000}"/>
    <cellStyle name="P-Green Rule 3 2 3 10" xfId="8494" xr:uid="{00000000-0005-0000-0000-0000A6080000}"/>
    <cellStyle name="P-Green Rule 3 2 3 2" xfId="3641" xr:uid="{00000000-0005-0000-0000-0000A6080000}"/>
    <cellStyle name="P-Green Rule 3 2 3 2 2" xfId="5814" xr:uid="{00000000-0005-0000-0000-0000A6080000}"/>
    <cellStyle name="P-Green Rule 3 2 3 2 2 2" xfId="12178" xr:uid="{00000000-0005-0000-0000-0000A6080000}"/>
    <cellStyle name="P-Green Rule 3 2 3 2 2 2 2" xfId="30625" xr:uid="{00000000-0005-0000-0000-0000A6080000}"/>
    <cellStyle name="P-Green Rule 3 2 3 2 2 2 3" xfId="48988" xr:uid="{00000000-0005-0000-0000-0000A6080000}"/>
    <cellStyle name="P-Green Rule 3 2 3 2 2 3" xfId="16504" xr:uid="{00000000-0005-0000-0000-0000A6080000}"/>
    <cellStyle name="P-Green Rule 3 2 3 2 2 3 2" xfId="34876" xr:uid="{00000000-0005-0000-0000-0000A6080000}"/>
    <cellStyle name="P-Green Rule 3 2 3 2 2 3 3" xfId="53239" xr:uid="{00000000-0005-0000-0000-0000A6080000}"/>
    <cellStyle name="P-Green Rule 3 2 3 2 2 4" xfId="25623" xr:uid="{00000000-0005-0000-0000-0000A6080000}"/>
    <cellStyle name="P-Green Rule 3 2 3 2 2 4 2" xfId="43992" xr:uid="{00000000-0005-0000-0000-0000A6080000}"/>
    <cellStyle name="P-Green Rule 3 2 3 2 2 5" xfId="21944" xr:uid="{00000000-0005-0000-0000-0000A6080000}"/>
    <cellStyle name="P-Green Rule 3 2 3 2 2 6" xfId="40323" xr:uid="{00000000-0005-0000-0000-0000A6080000}"/>
    <cellStyle name="P-Green Rule 3 2 3 2 3" xfId="6640" xr:uid="{00000000-0005-0000-0000-0000A6080000}"/>
    <cellStyle name="P-Green Rule 3 2 3 2 3 2" xfId="12931" xr:uid="{00000000-0005-0000-0000-0000A6080000}"/>
    <cellStyle name="P-Green Rule 3 2 3 2 3 2 2" xfId="31357" xr:uid="{00000000-0005-0000-0000-0000A6080000}"/>
    <cellStyle name="P-Green Rule 3 2 3 2 3 2 3" xfId="49720" xr:uid="{00000000-0005-0000-0000-0000A6080000}"/>
    <cellStyle name="P-Green Rule 3 2 3 2 3 3" xfId="17242" xr:uid="{00000000-0005-0000-0000-0000A6080000}"/>
    <cellStyle name="P-Green Rule 3 2 3 2 3 3 2" xfId="35590" xr:uid="{00000000-0005-0000-0000-0000A6080000}"/>
    <cellStyle name="P-Green Rule 3 2 3 2 3 3 3" xfId="53953" xr:uid="{00000000-0005-0000-0000-0000A6080000}"/>
    <cellStyle name="P-Green Rule 3 2 3 2 3 4" xfId="26375" xr:uid="{00000000-0005-0000-0000-0000A6080000}"/>
    <cellStyle name="P-Green Rule 3 2 3 2 3 4 2" xfId="44744" xr:uid="{00000000-0005-0000-0000-0000A6080000}"/>
    <cellStyle name="P-Green Rule 3 2 3 2 3 5" xfId="22668" xr:uid="{00000000-0005-0000-0000-0000A6080000}"/>
    <cellStyle name="P-Green Rule 3 2 3 2 3 6" xfId="41037" xr:uid="{00000000-0005-0000-0000-0000A6080000}"/>
    <cellStyle name="P-Green Rule 3 2 3 2 4" xfId="10354" xr:uid="{00000000-0005-0000-0000-0000A6080000}"/>
    <cellStyle name="P-Green Rule 3 2 3 2 4 2" xfId="14411" xr:uid="{00000000-0005-0000-0000-0000A6080000}"/>
    <cellStyle name="P-Green Rule 3 2 3 2 4 2 2" xfId="32827" xr:uid="{00000000-0005-0000-0000-0000A6080000}"/>
    <cellStyle name="P-Green Rule 3 2 3 2 4 2 3" xfId="51190" xr:uid="{00000000-0005-0000-0000-0000A6080000}"/>
    <cellStyle name="P-Green Rule 3 2 3 2 4 3" xfId="29065" xr:uid="{00000000-0005-0000-0000-0000A6080000}"/>
    <cellStyle name="P-Green Rule 3 2 3 2 4 3 2" xfId="47428" xr:uid="{00000000-0005-0000-0000-0000A6080000}"/>
    <cellStyle name="P-Green Rule 3 2 3 2 4 4" xfId="19868" xr:uid="{00000000-0005-0000-0000-0000A6080000}"/>
    <cellStyle name="P-Green Rule 3 2 3 2 4 5" xfId="38274" xr:uid="{00000000-0005-0000-0000-0000A6080000}"/>
    <cellStyle name="P-Green Rule 3 2 3 2 5" xfId="9562" xr:uid="{00000000-0005-0000-0000-0000A6080000}"/>
    <cellStyle name="P-Green Rule 3 2 3 2 5 2" xfId="28279" xr:uid="{00000000-0005-0000-0000-0000A6080000}"/>
    <cellStyle name="P-Green Rule 3 2 3 2 5 3" xfId="46642" xr:uid="{00000000-0005-0000-0000-0000A6080000}"/>
    <cellStyle name="P-Green Rule 3 2 3 2 6" xfId="13620" xr:uid="{00000000-0005-0000-0000-0000A6080000}"/>
    <cellStyle name="P-Green Rule 3 2 3 2 6 2" xfId="32041" xr:uid="{00000000-0005-0000-0000-0000A6080000}"/>
    <cellStyle name="P-Green Rule 3 2 3 2 6 3" xfId="50404" xr:uid="{00000000-0005-0000-0000-0000A6080000}"/>
    <cellStyle name="P-Green Rule 3 2 3 2 7" xfId="23549" xr:uid="{00000000-0005-0000-0000-0000A6080000}"/>
    <cellStyle name="P-Green Rule 3 2 3 2 7 2" xfId="41918" xr:uid="{00000000-0005-0000-0000-0000A6080000}"/>
    <cellStyle name="P-Green Rule 3 2 3 2 8" xfId="18661" xr:uid="{00000000-0005-0000-0000-0000A6080000}"/>
    <cellStyle name="P-Green Rule 3 2 3 2 9" xfId="37071" xr:uid="{00000000-0005-0000-0000-0000A6080000}"/>
    <cellStyle name="P-Green Rule 3 2 3 3" xfId="4681" xr:uid="{00000000-0005-0000-0000-0000A6080000}"/>
    <cellStyle name="P-Green Rule 3 2 3 3 2" xfId="11265" xr:uid="{00000000-0005-0000-0000-0000A6080000}"/>
    <cellStyle name="P-Green Rule 3 2 3 3 2 2" xfId="29877" xr:uid="{00000000-0005-0000-0000-0000A6080000}"/>
    <cellStyle name="P-Green Rule 3 2 3 3 2 3" xfId="48240" xr:uid="{00000000-0005-0000-0000-0000A6080000}"/>
    <cellStyle name="P-Green Rule 3 2 3 3 3" xfId="15407" xr:uid="{00000000-0005-0000-0000-0000A6080000}"/>
    <cellStyle name="P-Green Rule 3 2 3 3 3 2" xfId="33800" xr:uid="{00000000-0005-0000-0000-0000A6080000}"/>
    <cellStyle name="P-Green Rule 3 2 3 3 3 3" xfId="52163" xr:uid="{00000000-0005-0000-0000-0000A6080000}"/>
    <cellStyle name="P-Green Rule 3 2 3 3 4" xfId="24531" xr:uid="{00000000-0005-0000-0000-0000A6080000}"/>
    <cellStyle name="P-Green Rule 3 2 3 3 4 2" xfId="42900" xr:uid="{00000000-0005-0000-0000-0000A6080000}"/>
    <cellStyle name="P-Green Rule 3 2 3 3 5" xfId="20858" xr:uid="{00000000-0005-0000-0000-0000A6080000}"/>
    <cellStyle name="P-Green Rule 3 2 3 3 6" xfId="39247" xr:uid="{00000000-0005-0000-0000-0000A6080000}"/>
    <cellStyle name="P-Green Rule 3 2 3 4" xfId="5031" xr:uid="{00000000-0005-0000-0000-0000A6080000}"/>
    <cellStyle name="P-Green Rule 3 2 3 4 2" xfId="11554" xr:uid="{00000000-0005-0000-0000-0000A6080000}"/>
    <cellStyle name="P-Green Rule 3 2 3 4 2 2" xfId="30126" xr:uid="{00000000-0005-0000-0000-0000A6080000}"/>
    <cellStyle name="P-Green Rule 3 2 3 4 2 3" xfId="48489" xr:uid="{00000000-0005-0000-0000-0000A6080000}"/>
    <cellStyle name="P-Green Rule 3 2 3 4 3" xfId="15744" xr:uid="{00000000-0005-0000-0000-0000A6080000}"/>
    <cellStyle name="P-Green Rule 3 2 3 4 3 2" xfId="34132" xr:uid="{00000000-0005-0000-0000-0000A6080000}"/>
    <cellStyle name="P-Green Rule 3 2 3 4 3 3" xfId="52495" xr:uid="{00000000-0005-0000-0000-0000A6080000}"/>
    <cellStyle name="P-Green Rule 3 2 3 4 4" xfId="24868" xr:uid="{00000000-0005-0000-0000-0000A6080000}"/>
    <cellStyle name="P-Green Rule 3 2 3 4 4 2" xfId="43237" xr:uid="{00000000-0005-0000-0000-0000A6080000}"/>
    <cellStyle name="P-Green Rule 3 2 3 4 5" xfId="21192" xr:uid="{00000000-0005-0000-0000-0000A6080000}"/>
    <cellStyle name="P-Green Rule 3 2 3 4 6" xfId="39579" xr:uid="{00000000-0005-0000-0000-0000A6080000}"/>
    <cellStyle name="P-Green Rule 3 2 3 5" xfId="9211" xr:uid="{00000000-0005-0000-0000-0000A6080000}"/>
    <cellStyle name="P-Green Rule 3 2 3 5 2" xfId="13269" xr:uid="{00000000-0005-0000-0000-0000A6080000}"/>
    <cellStyle name="P-Green Rule 3 2 3 5 2 2" xfId="31690" xr:uid="{00000000-0005-0000-0000-0000A6080000}"/>
    <cellStyle name="P-Green Rule 3 2 3 5 2 3" xfId="50053" xr:uid="{00000000-0005-0000-0000-0000A6080000}"/>
    <cellStyle name="P-Green Rule 3 2 3 5 3" xfId="27932" xr:uid="{00000000-0005-0000-0000-0000A6080000}"/>
    <cellStyle name="P-Green Rule 3 2 3 5 3 2" xfId="46295" xr:uid="{00000000-0005-0000-0000-0000A6080000}"/>
    <cellStyle name="P-Green Rule 3 2 3 5 4" xfId="18238" xr:uid="{00000000-0005-0000-0000-0000A6080000}"/>
    <cellStyle name="P-Green Rule 3 2 3 5 5" xfId="36644" xr:uid="{00000000-0005-0000-0000-0000A6080000}"/>
    <cellStyle name="P-Green Rule 3 2 3 6" xfId="7975" xr:uid="{00000000-0005-0000-0000-0000A6080000}"/>
    <cellStyle name="P-Green Rule 3 2 3 6 2" xfId="27205" xr:uid="{00000000-0005-0000-0000-0000A6080000}"/>
    <cellStyle name="P-Green Rule 3 2 3 6 3" xfId="45570" xr:uid="{00000000-0005-0000-0000-0000A6080000}"/>
    <cellStyle name="P-Green Rule 3 2 3 7" xfId="8038" xr:uid="{00000000-0005-0000-0000-0000A6080000}"/>
    <cellStyle name="P-Green Rule 3 2 3 7 2" xfId="27267" xr:uid="{00000000-0005-0000-0000-0000A6080000}"/>
    <cellStyle name="P-Green Rule 3 2 3 7 3" xfId="45632" xr:uid="{00000000-0005-0000-0000-0000A6080000}"/>
    <cellStyle name="P-Green Rule 3 2 3 8" xfId="19072" xr:uid="{00000000-0005-0000-0000-0000A6080000}"/>
    <cellStyle name="P-Green Rule 3 2 3 8 2" xfId="37480" xr:uid="{00000000-0005-0000-0000-0000A6080000}"/>
    <cellStyle name="P-Green Rule 3 2 3 9" xfId="8445" xr:uid="{00000000-0005-0000-0000-0000A6080000}"/>
    <cellStyle name="P-Green Rule 3 2 4" xfId="1772" xr:uid="{00000000-0005-0000-0000-0000A7080000}"/>
    <cellStyle name="P-Green Rule 3 2 4 10" xfId="7629" xr:uid="{00000000-0005-0000-0000-0000A7080000}"/>
    <cellStyle name="P-Green Rule 3 2 4 2" xfId="3669" xr:uid="{00000000-0005-0000-0000-0000A7080000}"/>
    <cellStyle name="P-Green Rule 3 2 4 2 2" xfId="5842" xr:uid="{00000000-0005-0000-0000-0000A7080000}"/>
    <cellStyle name="P-Green Rule 3 2 4 2 2 2" xfId="12206" xr:uid="{00000000-0005-0000-0000-0000A7080000}"/>
    <cellStyle name="P-Green Rule 3 2 4 2 2 2 2" xfId="30653" xr:uid="{00000000-0005-0000-0000-0000A7080000}"/>
    <cellStyle name="P-Green Rule 3 2 4 2 2 2 3" xfId="49016" xr:uid="{00000000-0005-0000-0000-0000A7080000}"/>
    <cellStyle name="P-Green Rule 3 2 4 2 2 3" xfId="16532" xr:uid="{00000000-0005-0000-0000-0000A7080000}"/>
    <cellStyle name="P-Green Rule 3 2 4 2 2 3 2" xfId="34904" xr:uid="{00000000-0005-0000-0000-0000A7080000}"/>
    <cellStyle name="P-Green Rule 3 2 4 2 2 3 3" xfId="53267" xr:uid="{00000000-0005-0000-0000-0000A7080000}"/>
    <cellStyle name="P-Green Rule 3 2 4 2 2 4" xfId="25651" xr:uid="{00000000-0005-0000-0000-0000A7080000}"/>
    <cellStyle name="P-Green Rule 3 2 4 2 2 4 2" xfId="44020" xr:uid="{00000000-0005-0000-0000-0000A7080000}"/>
    <cellStyle name="P-Green Rule 3 2 4 2 2 5" xfId="21972" xr:uid="{00000000-0005-0000-0000-0000A7080000}"/>
    <cellStyle name="P-Green Rule 3 2 4 2 2 6" xfId="40351" xr:uid="{00000000-0005-0000-0000-0000A7080000}"/>
    <cellStyle name="P-Green Rule 3 2 4 2 3" xfId="6668" xr:uid="{00000000-0005-0000-0000-0000A7080000}"/>
    <cellStyle name="P-Green Rule 3 2 4 2 3 2" xfId="12959" xr:uid="{00000000-0005-0000-0000-0000A7080000}"/>
    <cellStyle name="P-Green Rule 3 2 4 2 3 2 2" xfId="31385" xr:uid="{00000000-0005-0000-0000-0000A7080000}"/>
    <cellStyle name="P-Green Rule 3 2 4 2 3 2 3" xfId="49748" xr:uid="{00000000-0005-0000-0000-0000A7080000}"/>
    <cellStyle name="P-Green Rule 3 2 4 2 3 3" xfId="17270" xr:uid="{00000000-0005-0000-0000-0000A7080000}"/>
    <cellStyle name="P-Green Rule 3 2 4 2 3 3 2" xfId="35618" xr:uid="{00000000-0005-0000-0000-0000A7080000}"/>
    <cellStyle name="P-Green Rule 3 2 4 2 3 3 3" xfId="53981" xr:uid="{00000000-0005-0000-0000-0000A7080000}"/>
    <cellStyle name="P-Green Rule 3 2 4 2 3 4" xfId="26403" xr:uid="{00000000-0005-0000-0000-0000A7080000}"/>
    <cellStyle name="P-Green Rule 3 2 4 2 3 4 2" xfId="44772" xr:uid="{00000000-0005-0000-0000-0000A7080000}"/>
    <cellStyle name="P-Green Rule 3 2 4 2 3 5" xfId="22696" xr:uid="{00000000-0005-0000-0000-0000A7080000}"/>
    <cellStyle name="P-Green Rule 3 2 4 2 3 6" xfId="41065" xr:uid="{00000000-0005-0000-0000-0000A7080000}"/>
    <cellStyle name="P-Green Rule 3 2 4 2 4" xfId="10382" xr:uid="{00000000-0005-0000-0000-0000A7080000}"/>
    <cellStyle name="P-Green Rule 3 2 4 2 4 2" xfId="14439" xr:uid="{00000000-0005-0000-0000-0000A7080000}"/>
    <cellStyle name="P-Green Rule 3 2 4 2 4 2 2" xfId="32855" xr:uid="{00000000-0005-0000-0000-0000A7080000}"/>
    <cellStyle name="P-Green Rule 3 2 4 2 4 2 3" xfId="51218" xr:uid="{00000000-0005-0000-0000-0000A7080000}"/>
    <cellStyle name="P-Green Rule 3 2 4 2 4 3" xfId="29093" xr:uid="{00000000-0005-0000-0000-0000A7080000}"/>
    <cellStyle name="P-Green Rule 3 2 4 2 4 3 2" xfId="47456" xr:uid="{00000000-0005-0000-0000-0000A7080000}"/>
    <cellStyle name="P-Green Rule 3 2 4 2 4 4" xfId="19896" xr:uid="{00000000-0005-0000-0000-0000A7080000}"/>
    <cellStyle name="P-Green Rule 3 2 4 2 4 5" xfId="38302" xr:uid="{00000000-0005-0000-0000-0000A7080000}"/>
    <cellStyle name="P-Green Rule 3 2 4 2 5" xfId="9590" xr:uid="{00000000-0005-0000-0000-0000A7080000}"/>
    <cellStyle name="P-Green Rule 3 2 4 2 5 2" xfId="28307" xr:uid="{00000000-0005-0000-0000-0000A7080000}"/>
    <cellStyle name="P-Green Rule 3 2 4 2 5 3" xfId="46670" xr:uid="{00000000-0005-0000-0000-0000A7080000}"/>
    <cellStyle name="P-Green Rule 3 2 4 2 6" xfId="13648" xr:uid="{00000000-0005-0000-0000-0000A7080000}"/>
    <cellStyle name="P-Green Rule 3 2 4 2 6 2" xfId="32069" xr:uid="{00000000-0005-0000-0000-0000A7080000}"/>
    <cellStyle name="P-Green Rule 3 2 4 2 6 3" xfId="50432" xr:uid="{00000000-0005-0000-0000-0000A7080000}"/>
    <cellStyle name="P-Green Rule 3 2 4 2 7" xfId="23577" xr:uid="{00000000-0005-0000-0000-0000A7080000}"/>
    <cellStyle name="P-Green Rule 3 2 4 2 7 2" xfId="41946" xr:uid="{00000000-0005-0000-0000-0000A7080000}"/>
    <cellStyle name="P-Green Rule 3 2 4 2 8" xfId="18689" xr:uid="{00000000-0005-0000-0000-0000A7080000}"/>
    <cellStyle name="P-Green Rule 3 2 4 2 9" xfId="37099" xr:uid="{00000000-0005-0000-0000-0000A7080000}"/>
    <cellStyle name="P-Green Rule 3 2 4 3" xfId="4709" xr:uid="{00000000-0005-0000-0000-0000A7080000}"/>
    <cellStyle name="P-Green Rule 3 2 4 3 2" xfId="11293" xr:uid="{00000000-0005-0000-0000-0000A7080000}"/>
    <cellStyle name="P-Green Rule 3 2 4 3 2 2" xfId="29905" xr:uid="{00000000-0005-0000-0000-0000A7080000}"/>
    <cellStyle name="P-Green Rule 3 2 4 3 2 3" xfId="48268" xr:uid="{00000000-0005-0000-0000-0000A7080000}"/>
    <cellStyle name="P-Green Rule 3 2 4 3 3" xfId="15435" xr:uid="{00000000-0005-0000-0000-0000A7080000}"/>
    <cellStyle name="P-Green Rule 3 2 4 3 3 2" xfId="33828" xr:uid="{00000000-0005-0000-0000-0000A7080000}"/>
    <cellStyle name="P-Green Rule 3 2 4 3 3 3" xfId="52191" xr:uid="{00000000-0005-0000-0000-0000A7080000}"/>
    <cellStyle name="P-Green Rule 3 2 4 3 4" xfId="24559" xr:uid="{00000000-0005-0000-0000-0000A7080000}"/>
    <cellStyle name="P-Green Rule 3 2 4 3 4 2" xfId="42928" xr:uid="{00000000-0005-0000-0000-0000A7080000}"/>
    <cellStyle name="P-Green Rule 3 2 4 3 5" xfId="20886" xr:uid="{00000000-0005-0000-0000-0000A7080000}"/>
    <cellStyle name="P-Green Rule 3 2 4 3 6" xfId="39275" xr:uid="{00000000-0005-0000-0000-0000A7080000}"/>
    <cellStyle name="P-Green Rule 3 2 4 4" xfId="4861" xr:uid="{00000000-0005-0000-0000-0000A7080000}"/>
    <cellStyle name="P-Green Rule 3 2 4 4 2" xfId="11419" xr:uid="{00000000-0005-0000-0000-0000A7080000}"/>
    <cellStyle name="P-Green Rule 3 2 4 4 2 2" xfId="30009" xr:uid="{00000000-0005-0000-0000-0000A7080000}"/>
    <cellStyle name="P-Green Rule 3 2 4 4 2 3" xfId="48372" xr:uid="{00000000-0005-0000-0000-0000A7080000}"/>
    <cellStyle name="P-Green Rule 3 2 4 4 3" xfId="15587" xr:uid="{00000000-0005-0000-0000-0000A7080000}"/>
    <cellStyle name="P-Green Rule 3 2 4 4 3 2" xfId="33978" xr:uid="{00000000-0005-0000-0000-0000A7080000}"/>
    <cellStyle name="P-Green Rule 3 2 4 4 3 3" xfId="52341" xr:uid="{00000000-0005-0000-0000-0000A7080000}"/>
    <cellStyle name="P-Green Rule 3 2 4 4 4" xfId="24709" xr:uid="{00000000-0005-0000-0000-0000A7080000}"/>
    <cellStyle name="P-Green Rule 3 2 4 4 4 2" xfId="43078" xr:uid="{00000000-0005-0000-0000-0000A7080000}"/>
    <cellStyle name="P-Green Rule 3 2 4 4 5" xfId="21036" xr:uid="{00000000-0005-0000-0000-0000A7080000}"/>
    <cellStyle name="P-Green Rule 3 2 4 4 6" xfId="39425" xr:uid="{00000000-0005-0000-0000-0000A7080000}"/>
    <cellStyle name="P-Green Rule 3 2 4 5" xfId="9064" xr:uid="{00000000-0005-0000-0000-0000A7080000}"/>
    <cellStyle name="P-Green Rule 3 2 4 5 2" xfId="8145" xr:uid="{00000000-0005-0000-0000-0000A7080000}"/>
    <cellStyle name="P-Green Rule 3 2 4 5 2 2" xfId="27349" xr:uid="{00000000-0005-0000-0000-0000A7080000}"/>
    <cellStyle name="P-Green Rule 3 2 4 5 2 3" xfId="45714" xr:uid="{00000000-0005-0000-0000-0000A7080000}"/>
    <cellStyle name="P-Green Rule 3 2 4 5 3" xfId="27790" xr:uid="{00000000-0005-0000-0000-0000A7080000}"/>
    <cellStyle name="P-Green Rule 3 2 4 5 3 2" xfId="46153" xr:uid="{00000000-0005-0000-0000-0000A7080000}"/>
    <cellStyle name="P-Green Rule 3 2 4 5 4" xfId="17964" xr:uid="{00000000-0005-0000-0000-0000A7080000}"/>
    <cellStyle name="P-Green Rule 3 2 4 5 5" xfId="36372" xr:uid="{00000000-0005-0000-0000-0000A7080000}"/>
    <cellStyle name="P-Green Rule 3 2 4 6" xfId="8003" xr:uid="{00000000-0005-0000-0000-0000A7080000}"/>
    <cellStyle name="P-Green Rule 3 2 4 6 2" xfId="27233" xr:uid="{00000000-0005-0000-0000-0000A7080000}"/>
    <cellStyle name="P-Green Rule 3 2 4 6 3" xfId="45598" xr:uid="{00000000-0005-0000-0000-0000A7080000}"/>
    <cellStyle name="P-Green Rule 3 2 4 7" xfId="8406" xr:uid="{00000000-0005-0000-0000-0000A7080000}"/>
    <cellStyle name="P-Green Rule 3 2 4 7 2" xfId="27467" xr:uid="{00000000-0005-0000-0000-0000A7080000}"/>
    <cellStyle name="P-Green Rule 3 2 4 7 3" xfId="45831" xr:uid="{00000000-0005-0000-0000-0000A7080000}"/>
    <cellStyle name="P-Green Rule 3 2 4 8" xfId="19199" xr:uid="{00000000-0005-0000-0000-0000A7080000}"/>
    <cellStyle name="P-Green Rule 3 2 4 8 2" xfId="37606" xr:uid="{00000000-0005-0000-0000-0000A7080000}"/>
    <cellStyle name="P-Green Rule 3 2 4 9" xfId="7548" xr:uid="{00000000-0005-0000-0000-0000A7080000}"/>
    <cellStyle name="P-Green Rule 3 2 5" xfId="3545" xr:uid="{00000000-0005-0000-0000-0000A4080000}"/>
    <cellStyle name="P-Green Rule 3 2 5 2" xfId="5719" xr:uid="{00000000-0005-0000-0000-0000A4080000}"/>
    <cellStyle name="P-Green Rule 3 2 5 2 2" xfId="12083" xr:uid="{00000000-0005-0000-0000-0000A4080000}"/>
    <cellStyle name="P-Green Rule 3 2 5 2 2 2" xfId="30530" xr:uid="{00000000-0005-0000-0000-0000A4080000}"/>
    <cellStyle name="P-Green Rule 3 2 5 2 2 3" xfId="48893" xr:uid="{00000000-0005-0000-0000-0000A4080000}"/>
    <cellStyle name="P-Green Rule 3 2 5 2 3" xfId="16409" xr:uid="{00000000-0005-0000-0000-0000A4080000}"/>
    <cellStyle name="P-Green Rule 3 2 5 2 3 2" xfId="34781" xr:uid="{00000000-0005-0000-0000-0000A4080000}"/>
    <cellStyle name="P-Green Rule 3 2 5 2 3 3" xfId="53144" xr:uid="{00000000-0005-0000-0000-0000A4080000}"/>
    <cellStyle name="P-Green Rule 3 2 5 2 4" xfId="25528" xr:uid="{00000000-0005-0000-0000-0000A4080000}"/>
    <cellStyle name="P-Green Rule 3 2 5 2 4 2" xfId="43897" xr:uid="{00000000-0005-0000-0000-0000A4080000}"/>
    <cellStyle name="P-Green Rule 3 2 5 2 5" xfId="21849" xr:uid="{00000000-0005-0000-0000-0000A4080000}"/>
    <cellStyle name="P-Green Rule 3 2 5 2 6" xfId="40228" xr:uid="{00000000-0005-0000-0000-0000A4080000}"/>
    <cellStyle name="P-Green Rule 3 2 5 3" xfId="6544" xr:uid="{00000000-0005-0000-0000-0000A4080000}"/>
    <cellStyle name="P-Green Rule 3 2 5 3 2" xfId="12835" xr:uid="{00000000-0005-0000-0000-0000A4080000}"/>
    <cellStyle name="P-Green Rule 3 2 5 3 2 2" xfId="31261" xr:uid="{00000000-0005-0000-0000-0000A4080000}"/>
    <cellStyle name="P-Green Rule 3 2 5 3 2 3" xfId="49624" xr:uid="{00000000-0005-0000-0000-0000A4080000}"/>
    <cellStyle name="P-Green Rule 3 2 5 3 3" xfId="17146" xr:uid="{00000000-0005-0000-0000-0000A4080000}"/>
    <cellStyle name="P-Green Rule 3 2 5 3 3 2" xfId="35494" xr:uid="{00000000-0005-0000-0000-0000A4080000}"/>
    <cellStyle name="P-Green Rule 3 2 5 3 3 3" xfId="53857" xr:uid="{00000000-0005-0000-0000-0000A4080000}"/>
    <cellStyle name="P-Green Rule 3 2 5 3 4" xfId="26279" xr:uid="{00000000-0005-0000-0000-0000A4080000}"/>
    <cellStyle name="P-Green Rule 3 2 5 3 4 2" xfId="44648" xr:uid="{00000000-0005-0000-0000-0000A4080000}"/>
    <cellStyle name="P-Green Rule 3 2 5 3 5" xfId="22572" xr:uid="{00000000-0005-0000-0000-0000A4080000}"/>
    <cellStyle name="P-Green Rule 3 2 5 3 6" xfId="40941" xr:uid="{00000000-0005-0000-0000-0000A4080000}"/>
    <cellStyle name="P-Green Rule 3 2 5 4" xfId="10258" xr:uid="{00000000-0005-0000-0000-0000A4080000}"/>
    <cellStyle name="P-Green Rule 3 2 5 4 2" xfId="14315" xr:uid="{00000000-0005-0000-0000-0000A4080000}"/>
    <cellStyle name="P-Green Rule 3 2 5 4 2 2" xfId="32731" xr:uid="{00000000-0005-0000-0000-0000A4080000}"/>
    <cellStyle name="P-Green Rule 3 2 5 4 2 3" xfId="51094" xr:uid="{00000000-0005-0000-0000-0000A4080000}"/>
    <cellStyle name="P-Green Rule 3 2 5 4 3" xfId="28969" xr:uid="{00000000-0005-0000-0000-0000A4080000}"/>
    <cellStyle name="P-Green Rule 3 2 5 4 3 2" xfId="47332" xr:uid="{00000000-0005-0000-0000-0000A4080000}"/>
    <cellStyle name="P-Green Rule 3 2 5 4 4" xfId="19772" xr:uid="{00000000-0005-0000-0000-0000A4080000}"/>
    <cellStyle name="P-Green Rule 3 2 5 4 5" xfId="38178" xr:uid="{00000000-0005-0000-0000-0000A4080000}"/>
    <cellStyle name="P-Green Rule 3 2 5 5" xfId="9467" xr:uid="{00000000-0005-0000-0000-0000A4080000}"/>
    <cellStyle name="P-Green Rule 3 2 5 5 2" xfId="28184" xr:uid="{00000000-0005-0000-0000-0000A4080000}"/>
    <cellStyle name="P-Green Rule 3 2 5 5 3" xfId="46547" xr:uid="{00000000-0005-0000-0000-0000A4080000}"/>
    <cellStyle name="P-Green Rule 3 2 5 6" xfId="13524" xr:uid="{00000000-0005-0000-0000-0000A4080000}"/>
    <cellStyle name="P-Green Rule 3 2 5 6 2" xfId="31945" xr:uid="{00000000-0005-0000-0000-0000A4080000}"/>
    <cellStyle name="P-Green Rule 3 2 5 6 3" xfId="50308" xr:uid="{00000000-0005-0000-0000-0000A4080000}"/>
    <cellStyle name="P-Green Rule 3 2 5 7" xfId="23453" xr:uid="{00000000-0005-0000-0000-0000A4080000}"/>
    <cellStyle name="P-Green Rule 3 2 5 7 2" xfId="41822" xr:uid="{00000000-0005-0000-0000-0000A4080000}"/>
    <cellStyle name="P-Green Rule 3 2 5 8" xfId="18563" xr:uid="{00000000-0005-0000-0000-0000A4080000}"/>
    <cellStyle name="P-Green Rule 3 2 5 9" xfId="36972" xr:uid="{00000000-0005-0000-0000-0000A4080000}"/>
    <cellStyle name="P-Green Rule 3 2 6" xfId="4575" xr:uid="{00000000-0005-0000-0000-0000A4080000}"/>
    <cellStyle name="P-Green Rule 3 2 6 2" xfId="11160" xr:uid="{00000000-0005-0000-0000-0000A4080000}"/>
    <cellStyle name="P-Green Rule 3 2 6 2 2" xfId="29774" xr:uid="{00000000-0005-0000-0000-0000A4080000}"/>
    <cellStyle name="P-Green Rule 3 2 6 2 3" xfId="48137" xr:uid="{00000000-0005-0000-0000-0000A4080000}"/>
    <cellStyle name="P-Green Rule 3 2 6 3" xfId="15301" xr:uid="{00000000-0005-0000-0000-0000A4080000}"/>
    <cellStyle name="P-Green Rule 3 2 6 3 2" xfId="33695" xr:uid="{00000000-0005-0000-0000-0000A4080000}"/>
    <cellStyle name="P-Green Rule 3 2 6 3 3" xfId="52058" xr:uid="{00000000-0005-0000-0000-0000A4080000}"/>
    <cellStyle name="P-Green Rule 3 2 6 4" xfId="24426" xr:uid="{00000000-0005-0000-0000-0000A4080000}"/>
    <cellStyle name="P-Green Rule 3 2 6 4 2" xfId="42795" xr:uid="{00000000-0005-0000-0000-0000A4080000}"/>
    <cellStyle name="P-Green Rule 3 2 6 5" xfId="20752" xr:uid="{00000000-0005-0000-0000-0000A4080000}"/>
    <cellStyle name="P-Green Rule 3 2 6 6" xfId="39142" xr:uid="{00000000-0005-0000-0000-0000A4080000}"/>
    <cellStyle name="P-Green Rule 3 2 7" xfId="9103" xr:uid="{00000000-0005-0000-0000-0000A4080000}"/>
    <cellStyle name="P-Green Rule 3 2 7 2" xfId="6155" xr:uid="{00000000-0005-0000-0000-0000A4080000}"/>
    <cellStyle name="P-Green Rule 3 2 7 2 2" xfId="25944" xr:uid="{00000000-0005-0000-0000-0000A4080000}"/>
    <cellStyle name="P-Green Rule 3 2 7 2 3" xfId="44313" xr:uid="{00000000-0005-0000-0000-0000A4080000}"/>
    <cellStyle name="P-Green Rule 3 2 7 3" xfId="27829" xr:uid="{00000000-0005-0000-0000-0000A4080000}"/>
    <cellStyle name="P-Green Rule 3 2 7 3 2" xfId="46192" xr:uid="{00000000-0005-0000-0000-0000A4080000}"/>
    <cellStyle name="P-Green Rule 3 2 7 4" xfId="18006" xr:uid="{00000000-0005-0000-0000-0000A4080000}"/>
    <cellStyle name="P-Green Rule 3 2 7 5" xfId="36414" xr:uid="{00000000-0005-0000-0000-0000A4080000}"/>
    <cellStyle name="P-Green Rule 3 2 8" xfId="8443" xr:uid="{00000000-0005-0000-0000-0000A4080000}"/>
    <cellStyle name="P-Green Rule 3 3" xfId="1528" xr:uid="{00000000-0005-0000-0000-0000A8080000}"/>
    <cellStyle name="P-Green Rule 3 3 10" xfId="7276" xr:uid="{00000000-0005-0000-0000-0000A8080000}"/>
    <cellStyle name="P-Green Rule 3 3 11" xfId="5077" xr:uid="{00000000-0005-0000-0000-0000A8080000}"/>
    <cellStyle name="P-Green Rule 3 3 2" xfId="1694" xr:uid="{00000000-0005-0000-0000-0000A9080000}"/>
    <cellStyle name="P-Green Rule 3 3 2 2" xfId="3592" xr:uid="{00000000-0005-0000-0000-0000A9080000}"/>
    <cellStyle name="P-Green Rule 3 3 2 2 2" xfId="5765" xr:uid="{00000000-0005-0000-0000-0000A9080000}"/>
    <cellStyle name="P-Green Rule 3 3 2 2 2 2" xfId="12129" xr:uid="{00000000-0005-0000-0000-0000A9080000}"/>
    <cellStyle name="P-Green Rule 3 3 2 2 2 2 2" xfId="30576" xr:uid="{00000000-0005-0000-0000-0000A9080000}"/>
    <cellStyle name="P-Green Rule 3 3 2 2 2 2 3" xfId="48939" xr:uid="{00000000-0005-0000-0000-0000A9080000}"/>
    <cellStyle name="P-Green Rule 3 3 2 2 2 3" xfId="16455" xr:uid="{00000000-0005-0000-0000-0000A9080000}"/>
    <cellStyle name="P-Green Rule 3 3 2 2 2 3 2" xfId="34827" xr:uid="{00000000-0005-0000-0000-0000A9080000}"/>
    <cellStyle name="P-Green Rule 3 3 2 2 2 3 3" xfId="53190" xr:uid="{00000000-0005-0000-0000-0000A9080000}"/>
    <cellStyle name="P-Green Rule 3 3 2 2 2 4" xfId="25574" xr:uid="{00000000-0005-0000-0000-0000A9080000}"/>
    <cellStyle name="P-Green Rule 3 3 2 2 2 4 2" xfId="43943" xr:uid="{00000000-0005-0000-0000-0000A9080000}"/>
    <cellStyle name="P-Green Rule 3 3 2 2 2 5" xfId="21895" xr:uid="{00000000-0005-0000-0000-0000A9080000}"/>
    <cellStyle name="P-Green Rule 3 3 2 2 2 6" xfId="40274" xr:uid="{00000000-0005-0000-0000-0000A9080000}"/>
    <cellStyle name="P-Green Rule 3 3 2 2 3" xfId="6591" xr:uid="{00000000-0005-0000-0000-0000A9080000}"/>
    <cellStyle name="P-Green Rule 3 3 2 2 3 2" xfId="12882" xr:uid="{00000000-0005-0000-0000-0000A9080000}"/>
    <cellStyle name="P-Green Rule 3 3 2 2 3 2 2" xfId="31308" xr:uid="{00000000-0005-0000-0000-0000A9080000}"/>
    <cellStyle name="P-Green Rule 3 3 2 2 3 2 3" xfId="49671" xr:uid="{00000000-0005-0000-0000-0000A9080000}"/>
    <cellStyle name="P-Green Rule 3 3 2 2 3 3" xfId="17193" xr:uid="{00000000-0005-0000-0000-0000A9080000}"/>
    <cellStyle name="P-Green Rule 3 3 2 2 3 3 2" xfId="35541" xr:uid="{00000000-0005-0000-0000-0000A9080000}"/>
    <cellStyle name="P-Green Rule 3 3 2 2 3 3 3" xfId="53904" xr:uid="{00000000-0005-0000-0000-0000A9080000}"/>
    <cellStyle name="P-Green Rule 3 3 2 2 3 4" xfId="26326" xr:uid="{00000000-0005-0000-0000-0000A9080000}"/>
    <cellStyle name="P-Green Rule 3 3 2 2 3 4 2" xfId="44695" xr:uid="{00000000-0005-0000-0000-0000A9080000}"/>
    <cellStyle name="P-Green Rule 3 3 2 2 3 5" xfId="22619" xr:uid="{00000000-0005-0000-0000-0000A9080000}"/>
    <cellStyle name="P-Green Rule 3 3 2 2 3 6" xfId="40988" xr:uid="{00000000-0005-0000-0000-0000A9080000}"/>
    <cellStyle name="P-Green Rule 3 3 2 2 4" xfId="10305" xr:uid="{00000000-0005-0000-0000-0000A9080000}"/>
    <cellStyle name="P-Green Rule 3 3 2 2 4 2" xfId="14362" xr:uid="{00000000-0005-0000-0000-0000A9080000}"/>
    <cellStyle name="P-Green Rule 3 3 2 2 4 2 2" xfId="32778" xr:uid="{00000000-0005-0000-0000-0000A9080000}"/>
    <cellStyle name="P-Green Rule 3 3 2 2 4 2 3" xfId="51141" xr:uid="{00000000-0005-0000-0000-0000A9080000}"/>
    <cellStyle name="P-Green Rule 3 3 2 2 4 3" xfId="29016" xr:uid="{00000000-0005-0000-0000-0000A9080000}"/>
    <cellStyle name="P-Green Rule 3 3 2 2 4 3 2" xfId="47379" xr:uid="{00000000-0005-0000-0000-0000A9080000}"/>
    <cellStyle name="P-Green Rule 3 3 2 2 4 4" xfId="19819" xr:uid="{00000000-0005-0000-0000-0000A9080000}"/>
    <cellStyle name="P-Green Rule 3 3 2 2 4 5" xfId="38225" xr:uid="{00000000-0005-0000-0000-0000A9080000}"/>
    <cellStyle name="P-Green Rule 3 3 2 2 5" xfId="9513" xr:uid="{00000000-0005-0000-0000-0000A9080000}"/>
    <cellStyle name="P-Green Rule 3 3 2 2 5 2" xfId="28230" xr:uid="{00000000-0005-0000-0000-0000A9080000}"/>
    <cellStyle name="P-Green Rule 3 3 2 2 5 3" xfId="46593" xr:uid="{00000000-0005-0000-0000-0000A9080000}"/>
    <cellStyle name="P-Green Rule 3 3 2 2 6" xfId="13571" xr:uid="{00000000-0005-0000-0000-0000A9080000}"/>
    <cellStyle name="P-Green Rule 3 3 2 2 6 2" xfId="31992" xr:uid="{00000000-0005-0000-0000-0000A9080000}"/>
    <cellStyle name="P-Green Rule 3 3 2 2 6 3" xfId="50355" xr:uid="{00000000-0005-0000-0000-0000A9080000}"/>
    <cellStyle name="P-Green Rule 3 3 2 2 7" xfId="23500" xr:uid="{00000000-0005-0000-0000-0000A9080000}"/>
    <cellStyle name="P-Green Rule 3 3 2 2 7 2" xfId="41869" xr:uid="{00000000-0005-0000-0000-0000A9080000}"/>
    <cellStyle name="P-Green Rule 3 3 2 2 8" xfId="18611" xr:uid="{00000000-0005-0000-0000-0000A9080000}"/>
    <cellStyle name="P-Green Rule 3 3 2 2 9" xfId="37021" xr:uid="{00000000-0005-0000-0000-0000A9080000}"/>
    <cellStyle name="P-Green Rule 3 3 2 3" xfId="4632" xr:uid="{00000000-0005-0000-0000-0000A9080000}"/>
    <cellStyle name="P-Green Rule 3 3 2 3 2" xfId="11216" xr:uid="{00000000-0005-0000-0000-0000A9080000}"/>
    <cellStyle name="P-Green Rule 3 3 2 3 2 2" xfId="29828" xr:uid="{00000000-0005-0000-0000-0000A9080000}"/>
    <cellStyle name="P-Green Rule 3 3 2 3 2 3" xfId="48191" xr:uid="{00000000-0005-0000-0000-0000A9080000}"/>
    <cellStyle name="P-Green Rule 3 3 2 3 3" xfId="15358" xr:uid="{00000000-0005-0000-0000-0000A9080000}"/>
    <cellStyle name="P-Green Rule 3 3 2 3 3 2" xfId="33751" xr:uid="{00000000-0005-0000-0000-0000A9080000}"/>
    <cellStyle name="P-Green Rule 3 3 2 3 3 3" xfId="52114" xr:uid="{00000000-0005-0000-0000-0000A9080000}"/>
    <cellStyle name="P-Green Rule 3 3 2 3 4" xfId="24482" xr:uid="{00000000-0005-0000-0000-0000A9080000}"/>
    <cellStyle name="P-Green Rule 3 3 2 3 4 2" xfId="42851" xr:uid="{00000000-0005-0000-0000-0000A9080000}"/>
    <cellStyle name="P-Green Rule 3 3 2 3 5" xfId="20809" xr:uid="{00000000-0005-0000-0000-0000A9080000}"/>
    <cellStyle name="P-Green Rule 3 3 2 3 6" xfId="39198" xr:uid="{00000000-0005-0000-0000-0000A9080000}"/>
    <cellStyle name="P-Green Rule 3 3 2 4" xfId="4559" xr:uid="{00000000-0005-0000-0000-0000A9080000}"/>
    <cellStyle name="P-Green Rule 3 3 2 4 2" xfId="11144" xr:uid="{00000000-0005-0000-0000-0000A9080000}"/>
    <cellStyle name="P-Green Rule 3 3 2 4 2 2" xfId="29759" xr:uid="{00000000-0005-0000-0000-0000A9080000}"/>
    <cellStyle name="P-Green Rule 3 3 2 4 2 3" xfId="48122" xr:uid="{00000000-0005-0000-0000-0000A9080000}"/>
    <cellStyle name="P-Green Rule 3 3 2 4 3" xfId="15286" xr:uid="{00000000-0005-0000-0000-0000A9080000}"/>
    <cellStyle name="P-Green Rule 3 3 2 4 3 2" xfId="33680" xr:uid="{00000000-0005-0000-0000-0000A9080000}"/>
    <cellStyle name="P-Green Rule 3 3 2 4 3 3" xfId="52043" xr:uid="{00000000-0005-0000-0000-0000A9080000}"/>
    <cellStyle name="P-Green Rule 3 3 2 4 4" xfId="24411" xr:uid="{00000000-0005-0000-0000-0000A9080000}"/>
    <cellStyle name="P-Green Rule 3 3 2 4 4 2" xfId="42780" xr:uid="{00000000-0005-0000-0000-0000A9080000}"/>
    <cellStyle name="P-Green Rule 3 3 2 4 5" xfId="20736" xr:uid="{00000000-0005-0000-0000-0000A9080000}"/>
    <cellStyle name="P-Green Rule 3 3 2 4 6" xfId="39127" xr:uid="{00000000-0005-0000-0000-0000A9080000}"/>
    <cellStyle name="P-Green Rule 3 3 2 5" xfId="9094" xr:uid="{00000000-0005-0000-0000-0000A9080000}"/>
    <cellStyle name="P-Green Rule 3 3 2 5 2" xfId="6078" xr:uid="{00000000-0005-0000-0000-0000A9080000}"/>
    <cellStyle name="P-Green Rule 3 3 2 5 2 2" xfId="25887" xr:uid="{00000000-0005-0000-0000-0000A9080000}"/>
    <cellStyle name="P-Green Rule 3 3 2 5 2 3" xfId="44256" xr:uid="{00000000-0005-0000-0000-0000A9080000}"/>
    <cellStyle name="P-Green Rule 3 3 2 5 3" xfId="27820" xr:uid="{00000000-0005-0000-0000-0000A9080000}"/>
    <cellStyle name="P-Green Rule 3 3 2 5 3 2" xfId="46183" xr:uid="{00000000-0005-0000-0000-0000A9080000}"/>
    <cellStyle name="P-Green Rule 3 3 2 5 4" xfId="17994" xr:uid="{00000000-0005-0000-0000-0000A9080000}"/>
    <cellStyle name="P-Green Rule 3 3 2 5 5" xfId="36402" xr:uid="{00000000-0005-0000-0000-0000A9080000}"/>
    <cellStyle name="P-Green Rule 3 3 2 6" xfId="7926" xr:uid="{00000000-0005-0000-0000-0000A9080000}"/>
    <cellStyle name="P-Green Rule 3 3 2 6 2" xfId="27157" xr:uid="{00000000-0005-0000-0000-0000A9080000}"/>
    <cellStyle name="P-Green Rule 3 3 2 6 3" xfId="45522" xr:uid="{00000000-0005-0000-0000-0000A9080000}"/>
    <cellStyle name="P-Green Rule 3 3 2 7" xfId="8135" xr:uid="{00000000-0005-0000-0000-0000A9080000}"/>
    <cellStyle name="P-Green Rule 3 3 2 7 2" xfId="27339" xr:uid="{00000000-0005-0000-0000-0000A9080000}"/>
    <cellStyle name="P-Green Rule 3 3 2 7 3" xfId="45704" xr:uid="{00000000-0005-0000-0000-0000A9080000}"/>
    <cellStyle name="P-Green Rule 3 3 2 8" xfId="19000" xr:uid="{00000000-0005-0000-0000-0000A9080000}"/>
    <cellStyle name="P-Green Rule 3 3 2 8 2" xfId="37409" xr:uid="{00000000-0005-0000-0000-0000A9080000}"/>
    <cellStyle name="P-Green Rule 3 3 2 9" xfId="26704" xr:uid="{00000000-0005-0000-0000-0000A9080000}"/>
    <cellStyle name="P-Green Rule 3 3 3" xfId="1475" xr:uid="{00000000-0005-0000-0000-0000AA080000}"/>
    <cellStyle name="P-Green Rule 3 3 3 10" xfId="7038" xr:uid="{00000000-0005-0000-0000-0000AA080000}"/>
    <cellStyle name="P-Green Rule 3 3 3 2" xfId="3491" xr:uid="{00000000-0005-0000-0000-0000AA080000}"/>
    <cellStyle name="P-Green Rule 3 3 3 2 2" xfId="5666" xr:uid="{00000000-0005-0000-0000-0000AA080000}"/>
    <cellStyle name="P-Green Rule 3 3 3 2 2 2" xfId="12030" xr:uid="{00000000-0005-0000-0000-0000AA080000}"/>
    <cellStyle name="P-Green Rule 3 3 3 2 2 2 2" xfId="30477" xr:uid="{00000000-0005-0000-0000-0000AA080000}"/>
    <cellStyle name="P-Green Rule 3 3 3 2 2 2 3" xfId="48840" xr:uid="{00000000-0005-0000-0000-0000AA080000}"/>
    <cellStyle name="P-Green Rule 3 3 3 2 2 3" xfId="16356" xr:uid="{00000000-0005-0000-0000-0000AA080000}"/>
    <cellStyle name="P-Green Rule 3 3 3 2 2 3 2" xfId="34728" xr:uid="{00000000-0005-0000-0000-0000AA080000}"/>
    <cellStyle name="P-Green Rule 3 3 3 2 2 3 3" xfId="53091" xr:uid="{00000000-0005-0000-0000-0000AA080000}"/>
    <cellStyle name="P-Green Rule 3 3 3 2 2 4" xfId="25475" xr:uid="{00000000-0005-0000-0000-0000AA080000}"/>
    <cellStyle name="P-Green Rule 3 3 3 2 2 4 2" xfId="43844" xr:uid="{00000000-0005-0000-0000-0000AA080000}"/>
    <cellStyle name="P-Green Rule 3 3 3 2 2 5" xfId="21796" xr:uid="{00000000-0005-0000-0000-0000AA080000}"/>
    <cellStyle name="P-Green Rule 3 3 3 2 2 6" xfId="40175" xr:uid="{00000000-0005-0000-0000-0000AA080000}"/>
    <cellStyle name="P-Green Rule 3 3 3 2 3" xfId="6490" xr:uid="{00000000-0005-0000-0000-0000AA080000}"/>
    <cellStyle name="P-Green Rule 3 3 3 2 3 2" xfId="12781" xr:uid="{00000000-0005-0000-0000-0000AA080000}"/>
    <cellStyle name="P-Green Rule 3 3 3 2 3 2 2" xfId="31207" xr:uid="{00000000-0005-0000-0000-0000AA080000}"/>
    <cellStyle name="P-Green Rule 3 3 3 2 3 2 3" xfId="49570" xr:uid="{00000000-0005-0000-0000-0000AA080000}"/>
    <cellStyle name="P-Green Rule 3 3 3 2 3 3" xfId="17092" xr:uid="{00000000-0005-0000-0000-0000AA080000}"/>
    <cellStyle name="P-Green Rule 3 3 3 2 3 3 2" xfId="35440" xr:uid="{00000000-0005-0000-0000-0000AA080000}"/>
    <cellStyle name="P-Green Rule 3 3 3 2 3 3 3" xfId="53803" xr:uid="{00000000-0005-0000-0000-0000AA080000}"/>
    <cellStyle name="P-Green Rule 3 3 3 2 3 4" xfId="26225" xr:uid="{00000000-0005-0000-0000-0000AA080000}"/>
    <cellStyle name="P-Green Rule 3 3 3 2 3 4 2" xfId="44594" xr:uid="{00000000-0005-0000-0000-0000AA080000}"/>
    <cellStyle name="P-Green Rule 3 3 3 2 3 5" xfId="22518" xr:uid="{00000000-0005-0000-0000-0000AA080000}"/>
    <cellStyle name="P-Green Rule 3 3 3 2 3 6" xfId="40887" xr:uid="{00000000-0005-0000-0000-0000AA080000}"/>
    <cellStyle name="P-Green Rule 3 3 3 2 4" xfId="10204" xr:uid="{00000000-0005-0000-0000-0000AA080000}"/>
    <cellStyle name="P-Green Rule 3 3 3 2 4 2" xfId="14261" xr:uid="{00000000-0005-0000-0000-0000AA080000}"/>
    <cellStyle name="P-Green Rule 3 3 3 2 4 2 2" xfId="32677" xr:uid="{00000000-0005-0000-0000-0000AA080000}"/>
    <cellStyle name="P-Green Rule 3 3 3 2 4 2 3" xfId="51040" xr:uid="{00000000-0005-0000-0000-0000AA080000}"/>
    <cellStyle name="P-Green Rule 3 3 3 2 4 3" xfId="28915" xr:uid="{00000000-0005-0000-0000-0000AA080000}"/>
    <cellStyle name="P-Green Rule 3 3 3 2 4 3 2" xfId="47278" xr:uid="{00000000-0005-0000-0000-0000AA080000}"/>
    <cellStyle name="P-Green Rule 3 3 3 2 4 4" xfId="19718" xr:uid="{00000000-0005-0000-0000-0000AA080000}"/>
    <cellStyle name="P-Green Rule 3 3 3 2 4 5" xfId="38124" xr:uid="{00000000-0005-0000-0000-0000AA080000}"/>
    <cellStyle name="P-Green Rule 3 3 3 2 5" xfId="9397" xr:uid="{00000000-0005-0000-0000-0000AA080000}"/>
    <cellStyle name="P-Green Rule 3 3 3 2 5 2" xfId="28116" xr:uid="{00000000-0005-0000-0000-0000AA080000}"/>
    <cellStyle name="P-Green Rule 3 3 3 2 5 3" xfId="46479" xr:uid="{00000000-0005-0000-0000-0000AA080000}"/>
    <cellStyle name="P-Green Rule 3 3 3 2 6" xfId="13453" xr:uid="{00000000-0005-0000-0000-0000AA080000}"/>
    <cellStyle name="P-Green Rule 3 3 3 2 6 2" xfId="31874" xr:uid="{00000000-0005-0000-0000-0000AA080000}"/>
    <cellStyle name="P-Green Rule 3 3 3 2 6 3" xfId="50237" xr:uid="{00000000-0005-0000-0000-0000AA080000}"/>
    <cellStyle name="P-Green Rule 3 3 3 2 7" xfId="23399" xr:uid="{00000000-0005-0000-0000-0000AA080000}"/>
    <cellStyle name="P-Green Rule 3 3 3 2 7 2" xfId="41768" xr:uid="{00000000-0005-0000-0000-0000AA080000}"/>
    <cellStyle name="P-Green Rule 3 3 3 2 8" xfId="18480" xr:uid="{00000000-0005-0000-0000-0000AA080000}"/>
    <cellStyle name="P-Green Rule 3 3 3 2 9" xfId="36886" xr:uid="{00000000-0005-0000-0000-0000AA080000}"/>
    <cellStyle name="P-Green Rule 3 3 3 3" xfId="4490" xr:uid="{00000000-0005-0000-0000-0000AA080000}"/>
    <cellStyle name="P-Green Rule 3 3 3 3 2" xfId="11085" xr:uid="{00000000-0005-0000-0000-0000AA080000}"/>
    <cellStyle name="P-Green Rule 3 3 3 3 2 2" xfId="29705" xr:uid="{00000000-0005-0000-0000-0000AA080000}"/>
    <cellStyle name="P-Green Rule 3 3 3 3 2 3" xfId="48068" xr:uid="{00000000-0005-0000-0000-0000AA080000}"/>
    <cellStyle name="P-Green Rule 3 3 3 3 3" xfId="15224" xr:uid="{00000000-0005-0000-0000-0000AA080000}"/>
    <cellStyle name="P-Green Rule 3 3 3 3 3 2" xfId="33619" xr:uid="{00000000-0005-0000-0000-0000AA080000}"/>
    <cellStyle name="P-Green Rule 3 3 3 3 3 3" xfId="51982" xr:uid="{00000000-0005-0000-0000-0000AA080000}"/>
    <cellStyle name="P-Green Rule 3 3 3 3 4" xfId="24350" xr:uid="{00000000-0005-0000-0000-0000AA080000}"/>
    <cellStyle name="P-Green Rule 3 3 3 3 4 2" xfId="42719" xr:uid="{00000000-0005-0000-0000-0000AA080000}"/>
    <cellStyle name="P-Green Rule 3 3 3 3 5" xfId="20674" xr:uid="{00000000-0005-0000-0000-0000AA080000}"/>
    <cellStyle name="P-Green Rule 3 3 3 3 6" xfId="39066" xr:uid="{00000000-0005-0000-0000-0000AA080000}"/>
    <cellStyle name="P-Green Rule 3 3 3 4" xfId="4007" xr:uid="{00000000-0005-0000-0000-0000AA080000}"/>
    <cellStyle name="P-Green Rule 3 3 3 4 2" xfId="10711" xr:uid="{00000000-0005-0000-0000-0000AA080000}"/>
    <cellStyle name="P-Green Rule 3 3 3 4 2 2" xfId="29415" xr:uid="{00000000-0005-0000-0000-0000AA080000}"/>
    <cellStyle name="P-Green Rule 3 3 3 4 2 3" xfId="47778" xr:uid="{00000000-0005-0000-0000-0000AA080000}"/>
    <cellStyle name="P-Green Rule 3 3 3 4 3" xfId="14768" xr:uid="{00000000-0005-0000-0000-0000AA080000}"/>
    <cellStyle name="P-Green Rule 3 3 3 4 3 2" xfId="33180" xr:uid="{00000000-0005-0000-0000-0000AA080000}"/>
    <cellStyle name="P-Green Rule 3 3 3 4 3 3" xfId="51543" xr:uid="{00000000-0005-0000-0000-0000AA080000}"/>
    <cellStyle name="P-Green Rule 3 3 3 4 4" xfId="23904" xr:uid="{00000000-0005-0000-0000-0000AA080000}"/>
    <cellStyle name="P-Green Rule 3 3 3 4 4 2" xfId="42273" xr:uid="{00000000-0005-0000-0000-0000AA080000}"/>
    <cellStyle name="P-Green Rule 3 3 3 4 5" xfId="20224" xr:uid="{00000000-0005-0000-0000-0000AA080000}"/>
    <cellStyle name="P-Green Rule 3 3 3 4 6" xfId="38627" xr:uid="{00000000-0005-0000-0000-0000AA080000}"/>
    <cellStyle name="P-Green Rule 3 3 3 5" xfId="9125" xr:uid="{00000000-0005-0000-0000-0000AA080000}"/>
    <cellStyle name="P-Green Rule 3 3 3 5 2" xfId="5162" xr:uid="{00000000-0005-0000-0000-0000AA080000}"/>
    <cellStyle name="P-Green Rule 3 3 3 5 2 2" xfId="24983" xr:uid="{00000000-0005-0000-0000-0000AA080000}"/>
    <cellStyle name="P-Green Rule 3 3 3 5 2 3" xfId="43352" xr:uid="{00000000-0005-0000-0000-0000AA080000}"/>
    <cellStyle name="P-Green Rule 3 3 3 5 3" xfId="27851" xr:uid="{00000000-0005-0000-0000-0000AA080000}"/>
    <cellStyle name="P-Green Rule 3 3 3 5 3 2" xfId="46214" xr:uid="{00000000-0005-0000-0000-0000AA080000}"/>
    <cellStyle name="P-Green Rule 3 3 3 5 4" xfId="18038" xr:uid="{00000000-0005-0000-0000-0000AA080000}"/>
    <cellStyle name="P-Green Rule 3 3 3 5 5" xfId="36446" xr:uid="{00000000-0005-0000-0000-0000AA080000}"/>
    <cellStyle name="P-Green Rule 3 3 3 6" xfId="7761" xr:uid="{00000000-0005-0000-0000-0000AA080000}"/>
    <cellStyle name="P-Green Rule 3 3 3 6 2" xfId="27037" xr:uid="{00000000-0005-0000-0000-0000AA080000}"/>
    <cellStyle name="P-Green Rule 3 3 3 6 3" xfId="45402" xr:uid="{00000000-0005-0000-0000-0000AA080000}"/>
    <cellStyle name="P-Green Rule 3 3 3 7" xfId="7210" xr:uid="{00000000-0005-0000-0000-0000AA080000}"/>
    <cellStyle name="P-Green Rule 3 3 3 7 2" xfId="26753" xr:uid="{00000000-0005-0000-0000-0000AA080000}"/>
    <cellStyle name="P-Green Rule 3 3 3 7 3" xfId="45121" xr:uid="{00000000-0005-0000-0000-0000AA080000}"/>
    <cellStyle name="P-Green Rule 3 3 3 8" xfId="17855" xr:uid="{00000000-0005-0000-0000-0000AA080000}"/>
    <cellStyle name="P-Green Rule 3 3 3 8 2" xfId="36265" xr:uid="{00000000-0005-0000-0000-0000AA080000}"/>
    <cellStyle name="P-Green Rule 3 3 3 9" xfId="10956" xr:uid="{00000000-0005-0000-0000-0000AA080000}"/>
    <cellStyle name="P-Green Rule 3 3 4" xfId="1465" xr:uid="{00000000-0005-0000-0000-0000AB080000}"/>
    <cellStyle name="P-Green Rule 3 3 4 10" xfId="7819" xr:uid="{00000000-0005-0000-0000-0000AB080000}"/>
    <cellStyle name="P-Green Rule 3 3 4 2" xfId="3481" xr:uid="{00000000-0005-0000-0000-0000AB080000}"/>
    <cellStyle name="P-Green Rule 3 3 4 2 2" xfId="5656" xr:uid="{00000000-0005-0000-0000-0000AB080000}"/>
    <cellStyle name="P-Green Rule 3 3 4 2 2 2" xfId="12020" xr:uid="{00000000-0005-0000-0000-0000AB080000}"/>
    <cellStyle name="P-Green Rule 3 3 4 2 2 2 2" xfId="30467" xr:uid="{00000000-0005-0000-0000-0000AB080000}"/>
    <cellStyle name="P-Green Rule 3 3 4 2 2 2 3" xfId="48830" xr:uid="{00000000-0005-0000-0000-0000AB080000}"/>
    <cellStyle name="P-Green Rule 3 3 4 2 2 3" xfId="16346" xr:uid="{00000000-0005-0000-0000-0000AB080000}"/>
    <cellStyle name="P-Green Rule 3 3 4 2 2 3 2" xfId="34718" xr:uid="{00000000-0005-0000-0000-0000AB080000}"/>
    <cellStyle name="P-Green Rule 3 3 4 2 2 3 3" xfId="53081" xr:uid="{00000000-0005-0000-0000-0000AB080000}"/>
    <cellStyle name="P-Green Rule 3 3 4 2 2 4" xfId="25465" xr:uid="{00000000-0005-0000-0000-0000AB080000}"/>
    <cellStyle name="P-Green Rule 3 3 4 2 2 4 2" xfId="43834" xr:uid="{00000000-0005-0000-0000-0000AB080000}"/>
    <cellStyle name="P-Green Rule 3 3 4 2 2 5" xfId="21786" xr:uid="{00000000-0005-0000-0000-0000AB080000}"/>
    <cellStyle name="P-Green Rule 3 3 4 2 2 6" xfId="40165" xr:uid="{00000000-0005-0000-0000-0000AB080000}"/>
    <cellStyle name="P-Green Rule 3 3 4 2 3" xfId="6480" xr:uid="{00000000-0005-0000-0000-0000AB080000}"/>
    <cellStyle name="P-Green Rule 3 3 4 2 3 2" xfId="12771" xr:uid="{00000000-0005-0000-0000-0000AB080000}"/>
    <cellStyle name="P-Green Rule 3 3 4 2 3 2 2" xfId="31197" xr:uid="{00000000-0005-0000-0000-0000AB080000}"/>
    <cellStyle name="P-Green Rule 3 3 4 2 3 2 3" xfId="49560" xr:uid="{00000000-0005-0000-0000-0000AB080000}"/>
    <cellStyle name="P-Green Rule 3 3 4 2 3 3" xfId="17082" xr:uid="{00000000-0005-0000-0000-0000AB080000}"/>
    <cellStyle name="P-Green Rule 3 3 4 2 3 3 2" xfId="35430" xr:uid="{00000000-0005-0000-0000-0000AB080000}"/>
    <cellStyle name="P-Green Rule 3 3 4 2 3 3 3" xfId="53793" xr:uid="{00000000-0005-0000-0000-0000AB080000}"/>
    <cellStyle name="P-Green Rule 3 3 4 2 3 4" xfId="26215" xr:uid="{00000000-0005-0000-0000-0000AB080000}"/>
    <cellStyle name="P-Green Rule 3 3 4 2 3 4 2" xfId="44584" xr:uid="{00000000-0005-0000-0000-0000AB080000}"/>
    <cellStyle name="P-Green Rule 3 3 4 2 3 5" xfId="22508" xr:uid="{00000000-0005-0000-0000-0000AB080000}"/>
    <cellStyle name="P-Green Rule 3 3 4 2 3 6" xfId="40877" xr:uid="{00000000-0005-0000-0000-0000AB080000}"/>
    <cellStyle name="P-Green Rule 3 3 4 2 4" xfId="10194" xr:uid="{00000000-0005-0000-0000-0000AB080000}"/>
    <cellStyle name="P-Green Rule 3 3 4 2 4 2" xfId="14251" xr:uid="{00000000-0005-0000-0000-0000AB080000}"/>
    <cellStyle name="P-Green Rule 3 3 4 2 4 2 2" xfId="32667" xr:uid="{00000000-0005-0000-0000-0000AB080000}"/>
    <cellStyle name="P-Green Rule 3 3 4 2 4 2 3" xfId="51030" xr:uid="{00000000-0005-0000-0000-0000AB080000}"/>
    <cellStyle name="P-Green Rule 3 3 4 2 4 3" xfId="28905" xr:uid="{00000000-0005-0000-0000-0000AB080000}"/>
    <cellStyle name="P-Green Rule 3 3 4 2 4 3 2" xfId="47268" xr:uid="{00000000-0005-0000-0000-0000AB080000}"/>
    <cellStyle name="P-Green Rule 3 3 4 2 4 4" xfId="19708" xr:uid="{00000000-0005-0000-0000-0000AB080000}"/>
    <cellStyle name="P-Green Rule 3 3 4 2 4 5" xfId="38114" xr:uid="{00000000-0005-0000-0000-0000AB080000}"/>
    <cellStyle name="P-Green Rule 3 3 4 2 5" xfId="9387" xr:uid="{00000000-0005-0000-0000-0000AB080000}"/>
    <cellStyle name="P-Green Rule 3 3 4 2 5 2" xfId="28106" xr:uid="{00000000-0005-0000-0000-0000AB080000}"/>
    <cellStyle name="P-Green Rule 3 3 4 2 5 3" xfId="46469" xr:uid="{00000000-0005-0000-0000-0000AB080000}"/>
    <cellStyle name="P-Green Rule 3 3 4 2 6" xfId="13443" xr:uid="{00000000-0005-0000-0000-0000AB080000}"/>
    <cellStyle name="P-Green Rule 3 3 4 2 6 2" xfId="31864" xr:uid="{00000000-0005-0000-0000-0000AB080000}"/>
    <cellStyle name="P-Green Rule 3 3 4 2 6 3" xfId="50227" xr:uid="{00000000-0005-0000-0000-0000AB080000}"/>
    <cellStyle name="P-Green Rule 3 3 4 2 7" xfId="23389" xr:uid="{00000000-0005-0000-0000-0000AB080000}"/>
    <cellStyle name="P-Green Rule 3 3 4 2 7 2" xfId="41758" xr:uid="{00000000-0005-0000-0000-0000AB080000}"/>
    <cellStyle name="P-Green Rule 3 3 4 2 8" xfId="18470" xr:uid="{00000000-0005-0000-0000-0000AB080000}"/>
    <cellStyle name="P-Green Rule 3 3 4 2 9" xfId="36876" xr:uid="{00000000-0005-0000-0000-0000AB080000}"/>
    <cellStyle name="P-Green Rule 3 3 4 3" xfId="4480" xr:uid="{00000000-0005-0000-0000-0000AB080000}"/>
    <cellStyle name="P-Green Rule 3 3 4 3 2" xfId="11075" xr:uid="{00000000-0005-0000-0000-0000AB080000}"/>
    <cellStyle name="P-Green Rule 3 3 4 3 2 2" xfId="29695" xr:uid="{00000000-0005-0000-0000-0000AB080000}"/>
    <cellStyle name="P-Green Rule 3 3 4 3 2 3" xfId="48058" xr:uid="{00000000-0005-0000-0000-0000AB080000}"/>
    <cellStyle name="P-Green Rule 3 3 4 3 3" xfId="15214" xr:uid="{00000000-0005-0000-0000-0000AB080000}"/>
    <cellStyle name="P-Green Rule 3 3 4 3 3 2" xfId="33609" xr:uid="{00000000-0005-0000-0000-0000AB080000}"/>
    <cellStyle name="P-Green Rule 3 3 4 3 3 3" xfId="51972" xr:uid="{00000000-0005-0000-0000-0000AB080000}"/>
    <cellStyle name="P-Green Rule 3 3 4 3 4" xfId="24340" xr:uid="{00000000-0005-0000-0000-0000AB080000}"/>
    <cellStyle name="P-Green Rule 3 3 4 3 4 2" xfId="42709" xr:uid="{00000000-0005-0000-0000-0000AB080000}"/>
    <cellStyle name="P-Green Rule 3 3 4 3 5" xfId="20664" xr:uid="{00000000-0005-0000-0000-0000AB080000}"/>
    <cellStyle name="P-Green Rule 3 3 4 3 6" xfId="39056" xr:uid="{00000000-0005-0000-0000-0000AB080000}"/>
    <cellStyle name="P-Green Rule 3 3 4 4" xfId="4017" xr:uid="{00000000-0005-0000-0000-0000AB080000}"/>
    <cellStyle name="P-Green Rule 3 3 4 4 2" xfId="10721" xr:uid="{00000000-0005-0000-0000-0000AB080000}"/>
    <cellStyle name="P-Green Rule 3 3 4 4 2 2" xfId="29425" xr:uid="{00000000-0005-0000-0000-0000AB080000}"/>
    <cellStyle name="P-Green Rule 3 3 4 4 2 3" xfId="47788" xr:uid="{00000000-0005-0000-0000-0000AB080000}"/>
    <cellStyle name="P-Green Rule 3 3 4 4 3" xfId="14778" xr:uid="{00000000-0005-0000-0000-0000AB080000}"/>
    <cellStyle name="P-Green Rule 3 3 4 4 3 2" xfId="33190" xr:uid="{00000000-0005-0000-0000-0000AB080000}"/>
    <cellStyle name="P-Green Rule 3 3 4 4 3 3" xfId="51553" xr:uid="{00000000-0005-0000-0000-0000AB080000}"/>
    <cellStyle name="P-Green Rule 3 3 4 4 4" xfId="23914" xr:uid="{00000000-0005-0000-0000-0000AB080000}"/>
    <cellStyle name="P-Green Rule 3 3 4 4 4 2" xfId="42283" xr:uid="{00000000-0005-0000-0000-0000AB080000}"/>
    <cellStyle name="P-Green Rule 3 3 4 4 5" xfId="20234" xr:uid="{00000000-0005-0000-0000-0000AB080000}"/>
    <cellStyle name="P-Green Rule 3 3 4 4 6" xfId="38637" xr:uid="{00000000-0005-0000-0000-0000AB080000}"/>
    <cellStyle name="P-Green Rule 3 3 4 5" xfId="9460" xr:uid="{00000000-0005-0000-0000-0000AB080000}"/>
    <cellStyle name="P-Green Rule 3 3 4 5 2" xfId="13517" xr:uid="{00000000-0005-0000-0000-0000AB080000}"/>
    <cellStyle name="P-Green Rule 3 3 4 5 2 2" xfId="31938" xr:uid="{00000000-0005-0000-0000-0000AB080000}"/>
    <cellStyle name="P-Green Rule 3 3 4 5 2 3" xfId="50301" xr:uid="{00000000-0005-0000-0000-0000AB080000}"/>
    <cellStyle name="P-Green Rule 3 3 4 5 3" xfId="28177" xr:uid="{00000000-0005-0000-0000-0000AB080000}"/>
    <cellStyle name="P-Green Rule 3 3 4 5 3 2" xfId="46540" xr:uid="{00000000-0005-0000-0000-0000AB080000}"/>
    <cellStyle name="P-Green Rule 3 3 4 5 4" xfId="18555" xr:uid="{00000000-0005-0000-0000-0000AB080000}"/>
    <cellStyle name="P-Green Rule 3 3 4 5 5" xfId="36964" xr:uid="{00000000-0005-0000-0000-0000AB080000}"/>
    <cellStyle name="P-Green Rule 3 3 4 6" xfId="7752" xr:uid="{00000000-0005-0000-0000-0000AB080000}"/>
    <cellStyle name="P-Green Rule 3 3 4 6 2" xfId="27028" xr:uid="{00000000-0005-0000-0000-0000AB080000}"/>
    <cellStyle name="P-Green Rule 3 3 4 6 3" xfId="45393" xr:uid="{00000000-0005-0000-0000-0000AB080000}"/>
    <cellStyle name="P-Green Rule 3 3 4 7" xfId="7406" xr:uid="{00000000-0005-0000-0000-0000AB080000}"/>
    <cellStyle name="P-Green Rule 3 3 4 7 2" xfId="26799" xr:uid="{00000000-0005-0000-0000-0000AB080000}"/>
    <cellStyle name="P-Green Rule 3 3 4 7 3" xfId="45167" xr:uid="{00000000-0005-0000-0000-0000AB080000}"/>
    <cellStyle name="P-Green Rule 3 3 4 8" xfId="19060" xr:uid="{00000000-0005-0000-0000-0000AB080000}"/>
    <cellStyle name="P-Green Rule 3 3 4 8 2" xfId="37469" xr:uid="{00000000-0005-0000-0000-0000AB080000}"/>
    <cellStyle name="P-Green Rule 3 3 4 9" xfId="8455" xr:uid="{00000000-0005-0000-0000-0000AB080000}"/>
    <cellStyle name="P-Green Rule 3 3 5" xfId="3531" xr:uid="{00000000-0005-0000-0000-0000A8080000}"/>
    <cellStyle name="P-Green Rule 3 3 5 2" xfId="5705" xr:uid="{00000000-0005-0000-0000-0000A8080000}"/>
    <cellStyle name="P-Green Rule 3 3 5 2 2" xfId="12069" xr:uid="{00000000-0005-0000-0000-0000A8080000}"/>
    <cellStyle name="P-Green Rule 3 3 5 2 2 2" xfId="30516" xr:uid="{00000000-0005-0000-0000-0000A8080000}"/>
    <cellStyle name="P-Green Rule 3 3 5 2 2 3" xfId="48879" xr:uid="{00000000-0005-0000-0000-0000A8080000}"/>
    <cellStyle name="P-Green Rule 3 3 5 2 3" xfId="16395" xr:uid="{00000000-0005-0000-0000-0000A8080000}"/>
    <cellStyle name="P-Green Rule 3 3 5 2 3 2" xfId="34767" xr:uid="{00000000-0005-0000-0000-0000A8080000}"/>
    <cellStyle name="P-Green Rule 3 3 5 2 3 3" xfId="53130" xr:uid="{00000000-0005-0000-0000-0000A8080000}"/>
    <cellStyle name="P-Green Rule 3 3 5 2 4" xfId="25514" xr:uid="{00000000-0005-0000-0000-0000A8080000}"/>
    <cellStyle name="P-Green Rule 3 3 5 2 4 2" xfId="43883" xr:uid="{00000000-0005-0000-0000-0000A8080000}"/>
    <cellStyle name="P-Green Rule 3 3 5 2 5" xfId="21835" xr:uid="{00000000-0005-0000-0000-0000A8080000}"/>
    <cellStyle name="P-Green Rule 3 3 5 2 6" xfId="40214" xr:uid="{00000000-0005-0000-0000-0000A8080000}"/>
    <cellStyle name="P-Green Rule 3 3 5 3" xfId="6530" xr:uid="{00000000-0005-0000-0000-0000A8080000}"/>
    <cellStyle name="P-Green Rule 3 3 5 3 2" xfId="12821" xr:uid="{00000000-0005-0000-0000-0000A8080000}"/>
    <cellStyle name="P-Green Rule 3 3 5 3 2 2" xfId="31247" xr:uid="{00000000-0005-0000-0000-0000A8080000}"/>
    <cellStyle name="P-Green Rule 3 3 5 3 2 3" xfId="49610" xr:uid="{00000000-0005-0000-0000-0000A8080000}"/>
    <cellStyle name="P-Green Rule 3 3 5 3 3" xfId="17132" xr:uid="{00000000-0005-0000-0000-0000A8080000}"/>
    <cellStyle name="P-Green Rule 3 3 5 3 3 2" xfId="35480" xr:uid="{00000000-0005-0000-0000-0000A8080000}"/>
    <cellStyle name="P-Green Rule 3 3 5 3 3 3" xfId="53843" xr:uid="{00000000-0005-0000-0000-0000A8080000}"/>
    <cellStyle name="P-Green Rule 3 3 5 3 4" xfId="26265" xr:uid="{00000000-0005-0000-0000-0000A8080000}"/>
    <cellStyle name="P-Green Rule 3 3 5 3 4 2" xfId="44634" xr:uid="{00000000-0005-0000-0000-0000A8080000}"/>
    <cellStyle name="P-Green Rule 3 3 5 3 5" xfId="22558" xr:uid="{00000000-0005-0000-0000-0000A8080000}"/>
    <cellStyle name="P-Green Rule 3 3 5 3 6" xfId="40927" xr:uid="{00000000-0005-0000-0000-0000A8080000}"/>
    <cellStyle name="P-Green Rule 3 3 5 4" xfId="10244" xr:uid="{00000000-0005-0000-0000-0000A8080000}"/>
    <cellStyle name="P-Green Rule 3 3 5 4 2" xfId="14301" xr:uid="{00000000-0005-0000-0000-0000A8080000}"/>
    <cellStyle name="P-Green Rule 3 3 5 4 2 2" xfId="32717" xr:uid="{00000000-0005-0000-0000-0000A8080000}"/>
    <cellStyle name="P-Green Rule 3 3 5 4 2 3" xfId="51080" xr:uid="{00000000-0005-0000-0000-0000A8080000}"/>
    <cellStyle name="P-Green Rule 3 3 5 4 3" xfId="28955" xr:uid="{00000000-0005-0000-0000-0000A8080000}"/>
    <cellStyle name="P-Green Rule 3 3 5 4 3 2" xfId="47318" xr:uid="{00000000-0005-0000-0000-0000A8080000}"/>
    <cellStyle name="P-Green Rule 3 3 5 4 4" xfId="19758" xr:uid="{00000000-0005-0000-0000-0000A8080000}"/>
    <cellStyle name="P-Green Rule 3 3 5 4 5" xfId="38164" xr:uid="{00000000-0005-0000-0000-0000A8080000}"/>
    <cellStyle name="P-Green Rule 3 3 5 5" xfId="9440" xr:uid="{00000000-0005-0000-0000-0000A8080000}"/>
    <cellStyle name="P-Green Rule 3 3 5 5 2" xfId="28157" xr:uid="{00000000-0005-0000-0000-0000A8080000}"/>
    <cellStyle name="P-Green Rule 3 3 5 5 3" xfId="46520" xr:uid="{00000000-0005-0000-0000-0000A8080000}"/>
    <cellStyle name="P-Green Rule 3 3 5 6" xfId="13497" xr:uid="{00000000-0005-0000-0000-0000A8080000}"/>
    <cellStyle name="P-Green Rule 3 3 5 6 2" xfId="31918" xr:uid="{00000000-0005-0000-0000-0000A8080000}"/>
    <cellStyle name="P-Green Rule 3 3 5 6 3" xfId="50281" xr:uid="{00000000-0005-0000-0000-0000A8080000}"/>
    <cellStyle name="P-Green Rule 3 3 5 7" xfId="23439" xr:uid="{00000000-0005-0000-0000-0000A8080000}"/>
    <cellStyle name="P-Green Rule 3 3 5 7 2" xfId="41808" xr:uid="{00000000-0005-0000-0000-0000A8080000}"/>
    <cellStyle name="P-Green Rule 3 3 5 8" xfId="18525" xr:uid="{00000000-0005-0000-0000-0000A8080000}"/>
    <cellStyle name="P-Green Rule 3 3 5 9" xfId="36934" xr:uid="{00000000-0005-0000-0000-0000A8080000}"/>
    <cellStyle name="P-Green Rule 3 3 6" xfId="4535" xr:uid="{00000000-0005-0000-0000-0000A8080000}"/>
    <cellStyle name="P-Green Rule 3 3 6 2" xfId="11126" xr:uid="{00000000-0005-0000-0000-0000A8080000}"/>
    <cellStyle name="P-Green Rule 3 3 6 2 2" xfId="29744" xr:uid="{00000000-0005-0000-0000-0000A8080000}"/>
    <cellStyle name="P-Green Rule 3 3 6 2 3" xfId="48107" xr:uid="{00000000-0005-0000-0000-0000A8080000}"/>
    <cellStyle name="P-Green Rule 3 3 6 3" xfId="15264" xr:uid="{00000000-0005-0000-0000-0000A8080000}"/>
    <cellStyle name="P-Green Rule 3 3 6 3 2" xfId="33658" xr:uid="{00000000-0005-0000-0000-0000A8080000}"/>
    <cellStyle name="P-Green Rule 3 3 6 3 3" xfId="52021" xr:uid="{00000000-0005-0000-0000-0000A8080000}"/>
    <cellStyle name="P-Green Rule 3 3 6 4" xfId="24389" xr:uid="{00000000-0005-0000-0000-0000A8080000}"/>
    <cellStyle name="P-Green Rule 3 3 6 4 2" xfId="42758" xr:uid="{00000000-0005-0000-0000-0000A8080000}"/>
    <cellStyle name="P-Green Rule 3 3 6 5" xfId="20713" xr:uid="{00000000-0005-0000-0000-0000A8080000}"/>
    <cellStyle name="P-Green Rule 3 3 6 6" xfId="39105" xr:uid="{00000000-0005-0000-0000-0000A8080000}"/>
    <cellStyle name="P-Green Rule 3 3 7" xfId="3981" xr:uid="{00000000-0005-0000-0000-0000A8080000}"/>
    <cellStyle name="P-Green Rule 3 3 7 2" xfId="10686" xr:uid="{00000000-0005-0000-0000-0000A8080000}"/>
    <cellStyle name="P-Green Rule 3 3 7 2 2" xfId="29391" xr:uid="{00000000-0005-0000-0000-0000A8080000}"/>
    <cellStyle name="P-Green Rule 3 3 7 2 3" xfId="47754" xr:uid="{00000000-0005-0000-0000-0000A8080000}"/>
    <cellStyle name="P-Green Rule 3 3 7 3" xfId="14743" xr:uid="{00000000-0005-0000-0000-0000A8080000}"/>
    <cellStyle name="P-Green Rule 3 3 7 3 2" xfId="33155" xr:uid="{00000000-0005-0000-0000-0000A8080000}"/>
    <cellStyle name="P-Green Rule 3 3 7 3 3" xfId="51518" xr:uid="{00000000-0005-0000-0000-0000A8080000}"/>
    <cellStyle name="P-Green Rule 3 3 7 4" xfId="23879" xr:uid="{00000000-0005-0000-0000-0000A8080000}"/>
    <cellStyle name="P-Green Rule 3 3 7 4 2" xfId="42248" xr:uid="{00000000-0005-0000-0000-0000A8080000}"/>
    <cellStyle name="P-Green Rule 3 3 7 5" xfId="20198" xr:uid="{00000000-0005-0000-0000-0000A8080000}"/>
    <cellStyle name="P-Green Rule 3 3 7 6" xfId="38602" xr:uid="{00000000-0005-0000-0000-0000A8080000}"/>
    <cellStyle name="P-Green Rule 3 3 8" xfId="7805" xr:uid="{00000000-0005-0000-0000-0000A8080000}"/>
    <cellStyle name="P-Green Rule 3 3 8 2" xfId="27075" xr:uid="{00000000-0005-0000-0000-0000A8080000}"/>
    <cellStyle name="P-Green Rule 3 3 8 3" xfId="45440" xr:uid="{00000000-0005-0000-0000-0000A8080000}"/>
    <cellStyle name="P-Green Rule 3 3 9" xfId="8522" xr:uid="{00000000-0005-0000-0000-0000A8080000}"/>
    <cellStyle name="P-Green Rule 3 3 9 2" xfId="27510" xr:uid="{00000000-0005-0000-0000-0000A8080000}"/>
    <cellStyle name="P-Green Rule 3 3 9 3" xfId="45874" xr:uid="{00000000-0005-0000-0000-0000A8080000}"/>
    <cellStyle name="P-Green Rule 3 4" xfId="1486" xr:uid="{00000000-0005-0000-0000-0000AC080000}"/>
    <cellStyle name="P-Green Rule 3 4 2" xfId="3499" xr:uid="{00000000-0005-0000-0000-0000AC080000}"/>
    <cellStyle name="P-Green Rule 3 4 2 2" xfId="5674" xr:uid="{00000000-0005-0000-0000-0000AC080000}"/>
    <cellStyle name="P-Green Rule 3 4 2 2 2" xfId="12038" xr:uid="{00000000-0005-0000-0000-0000AC080000}"/>
    <cellStyle name="P-Green Rule 3 4 2 2 2 2" xfId="30485" xr:uid="{00000000-0005-0000-0000-0000AC080000}"/>
    <cellStyle name="P-Green Rule 3 4 2 2 2 3" xfId="48848" xr:uid="{00000000-0005-0000-0000-0000AC080000}"/>
    <cellStyle name="P-Green Rule 3 4 2 2 3" xfId="16364" xr:uid="{00000000-0005-0000-0000-0000AC080000}"/>
    <cellStyle name="P-Green Rule 3 4 2 2 3 2" xfId="34736" xr:uid="{00000000-0005-0000-0000-0000AC080000}"/>
    <cellStyle name="P-Green Rule 3 4 2 2 3 3" xfId="53099" xr:uid="{00000000-0005-0000-0000-0000AC080000}"/>
    <cellStyle name="P-Green Rule 3 4 2 2 4" xfId="25483" xr:uid="{00000000-0005-0000-0000-0000AC080000}"/>
    <cellStyle name="P-Green Rule 3 4 2 2 4 2" xfId="43852" xr:uid="{00000000-0005-0000-0000-0000AC080000}"/>
    <cellStyle name="P-Green Rule 3 4 2 2 5" xfId="21804" xr:uid="{00000000-0005-0000-0000-0000AC080000}"/>
    <cellStyle name="P-Green Rule 3 4 2 2 6" xfId="40183" xr:uid="{00000000-0005-0000-0000-0000AC080000}"/>
    <cellStyle name="P-Green Rule 3 4 2 3" xfId="6498" xr:uid="{00000000-0005-0000-0000-0000AC080000}"/>
    <cellStyle name="P-Green Rule 3 4 2 3 2" xfId="12789" xr:uid="{00000000-0005-0000-0000-0000AC080000}"/>
    <cellStyle name="P-Green Rule 3 4 2 3 2 2" xfId="31215" xr:uid="{00000000-0005-0000-0000-0000AC080000}"/>
    <cellStyle name="P-Green Rule 3 4 2 3 2 3" xfId="49578" xr:uid="{00000000-0005-0000-0000-0000AC080000}"/>
    <cellStyle name="P-Green Rule 3 4 2 3 3" xfId="17100" xr:uid="{00000000-0005-0000-0000-0000AC080000}"/>
    <cellStyle name="P-Green Rule 3 4 2 3 3 2" xfId="35448" xr:uid="{00000000-0005-0000-0000-0000AC080000}"/>
    <cellStyle name="P-Green Rule 3 4 2 3 3 3" xfId="53811" xr:uid="{00000000-0005-0000-0000-0000AC080000}"/>
    <cellStyle name="P-Green Rule 3 4 2 3 4" xfId="26233" xr:uid="{00000000-0005-0000-0000-0000AC080000}"/>
    <cellStyle name="P-Green Rule 3 4 2 3 4 2" xfId="44602" xr:uid="{00000000-0005-0000-0000-0000AC080000}"/>
    <cellStyle name="P-Green Rule 3 4 2 3 5" xfId="22526" xr:uid="{00000000-0005-0000-0000-0000AC080000}"/>
    <cellStyle name="P-Green Rule 3 4 2 3 6" xfId="40895" xr:uid="{00000000-0005-0000-0000-0000AC080000}"/>
    <cellStyle name="P-Green Rule 3 4 2 4" xfId="10212" xr:uid="{00000000-0005-0000-0000-0000AC080000}"/>
    <cellStyle name="P-Green Rule 3 4 2 4 2" xfId="14269" xr:uid="{00000000-0005-0000-0000-0000AC080000}"/>
    <cellStyle name="P-Green Rule 3 4 2 4 2 2" xfId="32685" xr:uid="{00000000-0005-0000-0000-0000AC080000}"/>
    <cellStyle name="P-Green Rule 3 4 2 4 2 3" xfId="51048" xr:uid="{00000000-0005-0000-0000-0000AC080000}"/>
    <cellStyle name="P-Green Rule 3 4 2 4 3" xfId="28923" xr:uid="{00000000-0005-0000-0000-0000AC080000}"/>
    <cellStyle name="P-Green Rule 3 4 2 4 3 2" xfId="47286" xr:uid="{00000000-0005-0000-0000-0000AC080000}"/>
    <cellStyle name="P-Green Rule 3 4 2 4 4" xfId="19726" xr:uid="{00000000-0005-0000-0000-0000AC080000}"/>
    <cellStyle name="P-Green Rule 3 4 2 4 5" xfId="38132" xr:uid="{00000000-0005-0000-0000-0000AC080000}"/>
    <cellStyle name="P-Green Rule 3 4 2 5" xfId="9406" xr:uid="{00000000-0005-0000-0000-0000AC080000}"/>
    <cellStyle name="P-Green Rule 3 4 2 5 2" xfId="28125" xr:uid="{00000000-0005-0000-0000-0000AC080000}"/>
    <cellStyle name="P-Green Rule 3 4 2 5 3" xfId="46488" xr:uid="{00000000-0005-0000-0000-0000AC080000}"/>
    <cellStyle name="P-Green Rule 3 4 2 6" xfId="13462" xr:uid="{00000000-0005-0000-0000-0000AC080000}"/>
    <cellStyle name="P-Green Rule 3 4 2 6 2" xfId="31883" xr:uid="{00000000-0005-0000-0000-0000AC080000}"/>
    <cellStyle name="P-Green Rule 3 4 2 6 3" xfId="50246" xr:uid="{00000000-0005-0000-0000-0000AC080000}"/>
    <cellStyle name="P-Green Rule 3 4 2 7" xfId="23407" xr:uid="{00000000-0005-0000-0000-0000AC080000}"/>
    <cellStyle name="P-Green Rule 3 4 2 7 2" xfId="41776" xr:uid="{00000000-0005-0000-0000-0000AC080000}"/>
    <cellStyle name="P-Green Rule 3 4 2 8" xfId="36895" xr:uid="{00000000-0005-0000-0000-0000AC080000}"/>
    <cellStyle name="P-Green Rule 3 4 3" xfId="4500" xr:uid="{00000000-0005-0000-0000-0000AC080000}"/>
    <cellStyle name="P-Green Rule 3 4 3 2" xfId="11094" xr:uid="{00000000-0005-0000-0000-0000AC080000}"/>
    <cellStyle name="P-Green Rule 3 4 3 2 2" xfId="29713" xr:uid="{00000000-0005-0000-0000-0000AC080000}"/>
    <cellStyle name="P-Green Rule 3 4 3 2 3" xfId="48076" xr:uid="{00000000-0005-0000-0000-0000AC080000}"/>
    <cellStyle name="P-Green Rule 3 4 3 3" xfId="15232" xr:uid="{00000000-0005-0000-0000-0000AC080000}"/>
    <cellStyle name="P-Green Rule 3 4 3 3 2" xfId="33627" xr:uid="{00000000-0005-0000-0000-0000AC080000}"/>
    <cellStyle name="P-Green Rule 3 4 3 3 3" xfId="51990" xr:uid="{00000000-0005-0000-0000-0000AC080000}"/>
    <cellStyle name="P-Green Rule 3 4 3 4" xfId="24358" xr:uid="{00000000-0005-0000-0000-0000AC080000}"/>
    <cellStyle name="P-Green Rule 3 4 3 4 2" xfId="42727" xr:uid="{00000000-0005-0000-0000-0000AC080000}"/>
    <cellStyle name="P-Green Rule 3 4 3 5" xfId="20682" xr:uid="{00000000-0005-0000-0000-0000AC080000}"/>
    <cellStyle name="P-Green Rule 3 4 3 6" xfId="39074" xr:uid="{00000000-0005-0000-0000-0000AC080000}"/>
    <cellStyle name="P-Green Rule 3 4 4" xfId="9721" xr:uid="{00000000-0005-0000-0000-0000AC080000}"/>
    <cellStyle name="P-Green Rule 3 4 4 2" xfId="13778" xr:uid="{00000000-0005-0000-0000-0000AC080000}"/>
    <cellStyle name="P-Green Rule 3 4 4 2 2" xfId="32199" xr:uid="{00000000-0005-0000-0000-0000AC080000}"/>
    <cellStyle name="P-Green Rule 3 4 4 2 3" xfId="50562" xr:uid="{00000000-0005-0000-0000-0000AC080000}"/>
    <cellStyle name="P-Green Rule 3 4 4 3" xfId="28437" xr:uid="{00000000-0005-0000-0000-0000AC080000}"/>
    <cellStyle name="P-Green Rule 3 4 4 3 2" xfId="46800" xr:uid="{00000000-0005-0000-0000-0000AC080000}"/>
    <cellStyle name="P-Green Rule 3 4 4 4" xfId="18872" xr:uid="{00000000-0005-0000-0000-0000AC080000}"/>
    <cellStyle name="P-Green Rule 3 4 4 5" xfId="37281" xr:uid="{00000000-0005-0000-0000-0000AC080000}"/>
    <cellStyle name="P-Green Rule 3 4 5" xfId="17857" xr:uid="{00000000-0005-0000-0000-0000AC080000}"/>
    <cellStyle name="P-Green Rule 3 4 5 2" xfId="36267" xr:uid="{00000000-0005-0000-0000-0000AC080000}"/>
    <cellStyle name="P-Green Rule 3 4 6" xfId="8557" xr:uid="{00000000-0005-0000-0000-0000AC080000}"/>
    <cellStyle name="P-Green Rule 3 5" xfId="1420" xr:uid="{00000000-0005-0000-0000-0000AD080000}"/>
    <cellStyle name="P-Green Rule 3 5 2" xfId="3451" xr:uid="{00000000-0005-0000-0000-0000AD080000}"/>
    <cellStyle name="P-Green Rule 3 5 2 2" xfId="5626" xr:uid="{00000000-0005-0000-0000-0000AD080000}"/>
    <cellStyle name="P-Green Rule 3 5 2 2 2" xfId="11990" xr:uid="{00000000-0005-0000-0000-0000AD080000}"/>
    <cellStyle name="P-Green Rule 3 5 2 2 2 2" xfId="30437" xr:uid="{00000000-0005-0000-0000-0000AD080000}"/>
    <cellStyle name="P-Green Rule 3 5 2 2 2 3" xfId="48800" xr:uid="{00000000-0005-0000-0000-0000AD080000}"/>
    <cellStyle name="P-Green Rule 3 5 2 2 3" xfId="16316" xr:uid="{00000000-0005-0000-0000-0000AD080000}"/>
    <cellStyle name="P-Green Rule 3 5 2 2 3 2" xfId="34688" xr:uid="{00000000-0005-0000-0000-0000AD080000}"/>
    <cellStyle name="P-Green Rule 3 5 2 2 3 3" xfId="53051" xr:uid="{00000000-0005-0000-0000-0000AD080000}"/>
    <cellStyle name="P-Green Rule 3 5 2 2 4" xfId="25435" xr:uid="{00000000-0005-0000-0000-0000AD080000}"/>
    <cellStyle name="P-Green Rule 3 5 2 2 4 2" xfId="43804" xr:uid="{00000000-0005-0000-0000-0000AD080000}"/>
    <cellStyle name="P-Green Rule 3 5 2 2 5" xfId="21756" xr:uid="{00000000-0005-0000-0000-0000AD080000}"/>
    <cellStyle name="P-Green Rule 3 5 2 2 6" xfId="40135" xr:uid="{00000000-0005-0000-0000-0000AD080000}"/>
    <cellStyle name="P-Green Rule 3 5 2 3" xfId="6450" xr:uid="{00000000-0005-0000-0000-0000AD080000}"/>
    <cellStyle name="P-Green Rule 3 5 2 3 2" xfId="12741" xr:uid="{00000000-0005-0000-0000-0000AD080000}"/>
    <cellStyle name="P-Green Rule 3 5 2 3 2 2" xfId="31167" xr:uid="{00000000-0005-0000-0000-0000AD080000}"/>
    <cellStyle name="P-Green Rule 3 5 2 3 2 3" xfId="49530" xr:uid="{00000000-0005-0000-0000-0000AD080000}"/>
    <cellStyle name="P-Green Rule 3 5 2 3 3" xfId="17052" xr:uid="{00000000-0005-0000-0000-0000AD080000}"/>
    <cellStyle name="P-Green Rule 3 5 2 3 3 2" xfId="35400" xr:uid="{00000000-0005-0000-0000-0000AD080000}"/>
    <cellStyle name="P-Green Rule 3 5 2 3 3 3" xfId="53763" xr:uid="{00000000-0005-0000-0000-0000AD080000}"/>
    <cellStyle name="P-Green Rule 3 5 2 3 4" xfId="26185" xr:uid="{00000000-0005-0000-0000-0000AD080000}"/>
    <cellStyle name="P-Green Rule 3 5 2 3 4 2" xfId="44554" xr:uid="{00000000-0005-0000-0000-0000AD080000}"/>
    <cellStyle name="P-Green Rule 3 5 2 3 5" xfId="22478" xr:uid="{00000000-0005-0000-0000-0000AD080000}"/>
    <cellStyle name="P-Green Rule 3 5 2 3 6" xfId="40847" xr:uid="{00000000-0005-0000-0000-0000AD080000}"/>
    <cellStyle name="P-Green Rule 3 5 2 4" xfId="10164" xr:uid="{00000000-0005-0000-0000-0000AD080000}"/>
    <cellStyle name="P-Green Rule 3 5 2 4 2" xfId="14221" xr:uid="{00000000-0005-0000-0000-0000AD080000}"/>
    <cellStyle name="P-Green Rule 3 5 2 4 2 2" xfId="32637" xr:uid="{00000000-0005-0000-0000-0000AD080000}"/>
    <cellStyle name="P-Green Rule 3 5 2 4 2 3" xfId="51000" xr:uid="{00000000-0005-0000-0000-0000AD080000}"/>
    <cellStyle name="P-Green Rule 3 5 2 4 3" xfId="28875" xr:uid="{00000000-0005-0000-0000-0000AD080000}"/>
    <cellStyle name="P-Green Rule 3 5 2 4 3 2" xfId="47238" xr:uid="{00000000-0005-0000-0000-0000AD080000}"/>
    <cellStyle name="P-Green Rule 3 5 2 4 4" xfId="19678" xr:uid="{00000000-0005-0000-0000-0000AD080000}"/>
    <cellStyle name="P-Green Rule 3 5 2 4 5" xfId="38084" xr:uid="{00000000-0005-0000-0000-0000AD080000}"/>
    <cellStyle name="P-Green Rule 3 5 2 5" xfId="9351" xr:uid="{00000000-0005-0000-0000-0000AD080000}"/>
    <cellStyle name="P-Green Rule 3 5 2 5 2" xfId="28070" xr:uid="{00000000-0005-0000-0000-0000AD080000}"/>
    <cellStyle name="P-Green Rule 3 5 2 5 3" xfId="46433" xr:uid="{00000000-0005-0000-0000-0000AD080000}"/>
    <cellStyle name="P-Green Rule 3 5 2 6" xfId="13407" xr:uid="{00000000-0005-0000-0000-0000AD080000}"/>
    <cellStyle name="P-Green Rule 3 5 2 6 2" xfId="31828" xr:uid="{00000000-0005-0000-0000-0000AD080000}"/>
    <cellStyle name="P-Green Rule 3 5 2 6 3" xfId="50191" xr:uid="{00000000-0005-0000-0000-0000AD080000}"/>
    <cellStyle name="P-Green Rule 3 5 2 7" xfId="23359" xr:uid="{00000000-0005-0000-0000-0000AD080000}"/>
    <cellStyle name="P-Green Rule 3 5 2 7 2" xfId="41728" xr:uid="{00000000-0005-0000-0000-0000AD080000}"/>
    <cellStyle name="P-Green Rule 3 5 2 8" xfId="18432" xr:uid="{00000000-0005-0000-0000-0000AD080000}"/>
    <cellStyle name="P-Green Rule 3 5 2 9" xfId="36838" xr:uid="{00000000-0005-0000-0000-0000AD080000}"/>
    <cellStyle name="P-Green Rule 3 5 3" xfId="4445" xr:uid="{00000000-0005-0000-0000-0000AD080000}"/>
    <cellStyle name="P-Green Rule 3 5 3 2" xfId="11043" xr:uid="{00000000-0005-0000-0000-0000AD080000}"/>
    <cellStyle name="P-Green Rule 3 5 3 2 2" xfId="29663" xr:uid="{00000000-0005-0000-0000-0000AD080000}"/>
    <cellStyle name="P-Green Rule 3 5 3 2 3" xfId="48026" xr:uid="{00000000-0005-0000-0000-0000AD080000}"/>
    <cellStyle name="P-Green Rule 3 5 3 3" xfId="15179" xr:uid="{00000000-0005-0000-0000-0000AD080000}"/>
    <cellStyle name="P-Green Rule 3 5 3 3 2" xfId="33576" xr:uid="{00000000-0005-0000-0000-0000AD080000}"/>
    <cellStyle name="P-Green Rule 3 5 3 3 3" xfId="51939" xr:uid="{00000000-0005-0000-0000-0000AD080000}"/>
    <cellStyle name="P-Green Rule 3 5 3 4" xfId="24307" xr:uid="{00000000-0005-0000-0000-0000AD080000}"/>
    <cellStyle name="P-Green Rule 3 5 3 4 2" xfId="42676" xr:uid="{00000000-0005-0000-0000-0000AD080000}"/>
    <cellStyle name="P-Green Rule 3 5 3 5" xfId="20630" xr:uid="{00000000-0005-0000-0000-0000AD080000}"/>
    <cellStyle name="P-Green Rule 3 5 3 6" xfId="39023" xr:uid="{00000000-0005-0000-0000-0000AD080000}"/>
    <cellStyle name="P-Green Rule 3 5 4" xfId="4029" xr:uid="{00000000-0005-0000-0000-0000AD080000}"/>
    <cellStyle name="P-Green Rule 3 5 4 2" xfId="10732" xr:uid="{00000000-0005-0000-0000-0000AD080000}"/>
    <cellStyle name="P-Green Rule 3 5 4 2 2" xfId="29436" xr:uid="{00000000-0005-0000-0000-0000AD080000}"/>
    <cellStyle name="P-Green Rule 3 5 4 2 3" xfId="47799" xr:uid="{00000000-0005-0000-0000-0000AD080000}"/>
    <cellStyle name="P-Green Rule 3 5 4 3" xfId="14790" xr:uid="{00000000-0005-0000-0000-0000AD080000}"/>
    <cellStyle name="P-Green Rule 3 5 4 3 2" xfId="33202" xr:uid="{00000000-0005-0000-0000-0000AD080000}"/>
    <cellStyle name="P-Green Rule 3 5 4 3 3" xfId="51565" xr:uid="{00000000-0005-0000-0000-0000AD080000}"/>
    <cellStyle name="P-Green Rule 3 5 4 4" xfId="23926" xr:uid="{00000000-0005-0000-0000-0000AD080000}"/>
    <cellStyle name="P-Green Rule 3 5 4 4 2" xfId="42295" xr:uid="{00000000-0005-0000-0000-0000AD080000}"/>
    <cellStyle name="P-Green Rule 3 5 4 5" xfId="20246" xr:uid="{00000000-0005-0000-0000-0000AD080000}"/>
    <cellStyle name="P-Green Rule 3 5 4 6" xfId="38649" xr:uid="{00000000-0005-0000-0000-0000AD080000}"/>
    <cellStyle name="P-Green Rule 3 5 5" xfId="9261" xr:uid="{00000000-0005-0000-0000-0000AD080000}"/>
    <cellStyle name="P-Green Rule 3 5 5 2" xfId="13318" xr:uid="{00000000-0005-0000-0000-0000AD080000}"/>
    <cellStyle name="P-Green Rule 3 5 5 2 2" xfId="31739" xr:uid="{00000000-0005-0000-0000-0000AD080000}"/>
    <cellStyle name="P-Green Rule 3 5 5 2 3" xfId="50102" xr:uid="{00000000-0005-0000-0000-0000AD080000}"/>
    <cellStyle name="P-Green Rule 3 5 5 3" xfId="27981" xr:uid="{00000000-0005-0000-0000-0000AD080000}"/>
    <cellStyle name="P-Green Rule 3 5 5 3 2" xfId="46344" xr:uid="{00000000-0005-0000-0000-0000AD080000}"/>
    <cellStyle name="P-Green Rule 3 5 5 4" xfId="18321" xr:uid="{00000000-0005-0000-0000-0000AD080000}"/>
    <cellStyle name="P-Green Rule 3 5 5 5" xfId="36727" xr:uid="{00000000-0005-0000-0000-0000AD080000}"/>
    <cellStyle name="P-Green Rule 3 5 6" xfId="7711" xr:uid="{00000000-0005-0000-0000-0000AD080000}"/>
    <cellStyle name="P-Green Rule 3 5 6 2" xfId="26992" xr:uid="{00000000-0005-0000-0000-0000AD080000}"/>
    <cellStyle name="P-Green Rule 3 5 6 3" xfId="45357" xr:uid="{00000000-0005-0000-0000-0000AD080000}"/>
    <cellStyle name="P-Green Rule 3 5 7" xfId="7835" xr:uid="{00000000-0005-0000-0000-0000AD080000}"/>
    <cellStyle name="P-Green Rule 3 5 7 2" xfId="27093" xr:uid="{00000000-0005-0000-0000-0000AD080000}"/>
    <cellStyle name="P-Green Rule 3 5 7 3" xfId="45458" xr:uid="{00000000-0005-0000-0000-0000AD080000}"/>
    <cellStyle name="P-Green Rule 3 5 8" xfId="7627" xr:uid="{00000000-0005-0000-0000-0000AD080000}"/>
    <cellStyle name="P-Green Rule 3 5 9" xfId="20296" xr:uid="{00000000-0005-0000-0000-0000AD080000}"/>
    <cellStyle name="P-Green Rule 3 6" xfId="3360" xr:uid="{00000000-0005-0000-0000-0000A3080000}"/>
    <cellStyle name="P-Green Rule 3 6 2" xfId="5535" xr:uid="{00000000-0005-0000-0000-0000A3080000}"/>
    <cellStyle name="P-Green Rule 3 6 2 2" xfId="11899" xr:uid="{00000000-0005-0000-0000-0000A3080000}"/>
    <cellStyle name="P-Green Rule 3 6 2 2 2" xfId="30346" xr:uid="{00000000-0005-0000-0000-0000A3080000}"/>
    <cellStyle name="P-Green Rule 3 6 2 2 3" xfId="48709" xr:uid="{00000000-0005-0000-0000-0000A3080000}"/>
    <cellStyle name="P-Green Rule 3 6 2 3" xfId="16225" xr:uid="{00000000-0005-0000-0000-0000A3080000}"/>
    <cellStyle name="P-Green Rule 3 6 2 3 2" xfId="34597" xr:uid="{00000000-0005-0000-0000-0000A3080000}"/>
    <cellStyle name="P-Green Rule 3 6 2 3 3" xfId="52960" xr:uid="{00000000-0005-0000-0000-0000A3080000}"/>
    <cellStyle name="P-Green Rule 3 6 2 4" xfId="25344" xr:uid="{00000000-0005-0000-0000-0000A3080000}"/>
    <cellStyle name="P-Green Rule 3 6 2 4 2" xfId="43713" xr:uid="{00000000-0005-0000-0000-0000A3080000}"/>
    <cellStyle name="P-Green Rule 3 6 2 5" xfId="21665" xr:uid="{00000000-0005-0000-0000-0000A3080000}"/>
    <cellStyle name="P-Green Rule 3 6 2 6" xfId="40044" xr:uid="{00000000-0005-0000-0000-0000A3080000}"/>
    <cellStyle name="P-Green Rule 3 6 3" xfId="6359" xr:uid="{00000000-0005-0000-0000-0000A3080000}"/>
    <cellStyle name="P-Green Rule 3 6 3 2" xfId="12650" xr:uid="{00000000-0005-0000-0000-0000A3080000}"/>
    <cellStyle name="P-Green Rule 3 6 3 2 2" xfId="31076" xr:uid="{00000000-0005-0000-0000-0000A3080000}"/>
    <cellStyle name="P-Green Rule 3 6 3 2 3" xfId="49439" xr:uid="{00000000-0005-0000-0000-0000A3080000}"/>
    <cellStyle name="P-Green Rule 3 6 3 3" xfId="16961" xr:uid="{00000000-0005-0000-0000-0000A3080000}"/>
    <cellStyle name="P-Green Rule 3 6 3 3 2" xfId="35309" xr:uid="{00000000-0005-0000-0000-0000A3080000}"/>
    <cellStyle name="P-Green Rule 3 6 3 3 3" xfId="53672" xr:uid="{00000000-0005-0000-0000-0000A3080000}"/>
    <cellStyle name="P-Green Rule 3 6 3 4" xfId="26094" xr:uid="{00000000-0005-0000-0000-0000A3080000}"/>
    <cellStyle name="P-Green Rule 3 6 3 4 2" xfId="44463" xr:uid="{00000000-0005-0000-0000-0000A3080000}"/>
    <cellStyle name="P-Green Rule 3 6 3 5" xfId="22387" xr:uid="{00000000-0005-0000-0000-0000A3080000}"/>
    <cellStyle name="P-Green Rule 3 6 3 6" xfId="40756" xr:uid="{00000000-0005-0000-0000-0000A3080000}"/>
    <cellStyle name="P-Green Rule 3 6 4" xfId="10073" xr:uid="{00000000-0005-0000-0000-0000A3080000}"/>
    <cellStyle name="P-Green Rule 3 6 4 2" xfId="14130" xr:uid="{00000000-0005-0000-0000-0000A3080000}"/>
    <cellStyle name="P-Green Rule 3 6 4 2 2" xfId="32546" xr:uid="{00000000-0005-0000-0000-0000A3080000}"/>
    <cellStyle name="P-Green Rule 3 6 4 2 3" xfId="50909" xr:uid="{00000000-0005-0000-0000-0000A3080000}"/>
    <cellStyle name="P-Green Rule 3 6 4 3" xfId="28784" xr:uid="{00000000-0005-0000-0000-0000A3080000}"/>
    <cellStyle name="P-Green Rule 3 6 4 3 2" xfId="47147" xr:uid="{00000000-0005-0000-0000-0000A3080000}"/>
    <cellStyle name="P-Green Rule 3 6 4 4" xfId="19587" xr:uid="{00000000-0005-0000-0000-0000A3080000}"/>
    <cellStyle name="P-Green Rule 3 6 4 5" xfId="37993" xr:uid="{00000000-0005-0000-0000-0000A3080000}"/>
    <cellStyle name="P-Green Rule 3 6 5" xfId="9220" xr:uid="{00000000-0005-0000-0000-0000A3080000}"/>
    <cellStyle name="P-Green Rule 3 6 5 2" xfId="27940" xr:uid="{00000000-0005-0000-0000-0000A3080000}"/>
    <cellStyle name="P-Green Rule 3 6 5 3" xfId="46303" xr:uid="{00000000-0005-0000-0000-0000A3080000}"/>
    <cellStyle name="P-Green Rule 3 6 6" xfId="13277" xr:uid="{00000000-0005-0000-0000-0000A3080000}"/>
    <cellStyle name="P-Green Rule 3 6 6 2" xfId="31698" xr:uid="{00000000-0005-0000-0000-0000A3080000}"/>
    <cellStyle name="P-Green Rule 3 6 6 3" xfId="50061" xr:uid="{00000000-0005-0000-0000-0000A3080000}"/>
    <cellStyle name="P-Green Rule 3 6 7" xfId="23268" xr:uid="{00000000-0005-0000-0000-0000A3080000}"/>
    <cellStyle name="P-Green Rule 3 6 7 2" xfId="41637" xr:uid="{00000000-0005-0000-0000-0000A3080000}"/>
    <cellStyle name="P-Green Rule 3 6 8" xfId="18267" xr:uid="{00000000-0005-0000-0000-0000A3080000}"/>
    <cellStyle name="P-Green Rule 3 6 9" xfId="36673" xr:uid="{00000000-0005-0000-0000-0000A3080000}"/>
    <cellStyle name="P-Green Rule 3 7" xfId="10877" xr:uid="{00000000-0005-0000-0000-0000A3080000}"/>
    <cellStyle name="P-Green Rule 4" xfId="1803" xr:uid="{00000000-0005-0000-0000-0000AE080000}"/>
    <cellStyle name="P-Green Rule 4 10" xfId="17675" xr:uid="{00000000-0005-0000-0000-0000AE080000}"/>
    <cellStyle name="P-Green Rule 4 2" xfId="3696" xr:uid="{00000000-0005-0000-0000-0000AE080000}"/>
    <cellStyle name="P-Green Rule 4 2 2" xfId="5869" xr:uid="{00000000-0005-0000-0000-0000AE080000}"/>
    <cellStyle name="P-Green Rule 4 2 2 2" xfId="12233" xr:uid="{00000000-0005-0000-0000-0000AE080000}"/>
    <cellStyle name="P-Green Rule 4 2 2 2 2" xfId="30680" xr:uid="{00000000-0005-0000-0000-0000AE080000}"/>
    <cellStyle name="P-Green Rule 4 2 2 2 3" xfId="49043" xr:uid="{00000000-0005-0000-0000-0000AE080000}"/>
    <cellStyle name="P-Green Rule 4 2 2 3" xfId="16559" xr:uid="{00000000-0005-0000-0000-0000AE080000}"/>
    <cellStyle name="P-Green Rule 4 2 2 3 2" xfId="34931" xr:uid="{00000000-0005-0000-0000-0000AE080000}"/>
    <cellStyle name="P-Green Rule 4 2 2 3 3" xfId="53294" xr:uid="{00000000-0005-0000-0000-0000AE080000}"/>
    <cellStyle name="P-Green Rule 4 2 2 4" xfId="25678" xr:uid="{00000000-0005-0000-0000-0000AE080000}"/>
    <cellStyle name="P-Green Rule 4 2 2 4 2" xfId="44047" xr:uid="{00000000-0005-0000-0000-0000AE080000}"/>
    <cellStyle name="P-Green Rule 4 2 2 5" xfId="21999" xr:uid="{00000000-0005-0000-0000-0000AE080000}"/>
    <cellStyle name="P-Green Rule 4 2 2 6" xfId="40378" xr:uid="{00000000-0005-0000-0000-0000AE080000}"/>
    <cellStyle name="P-Green Rule 4 2 3" xfId="6695" xr:uid="{00000000-0005-0000-0000-0000AE080000}"/>
    <cellStyle name="P-Green Rule 4 2 3 2" xfId="12986" xr:uid="{00000000-0005-0000-0000-0000AE080000}"/>
    <cellStyle name="P-Green Rule 4 2 3 2 2" xfId="31412" xr:uid="{00000000-0005-0000-0000-0000AE080000}"/>
    <cellStyle name="P-Green Rule 4 2 3 2 3" xfId="49775" xr:uid="{00000000-0005-0000-0000-0000AE080000}"/>
    <cellStyle name="P-Green Rule 4 2 3 3" xfId="17297" xr:uid="{00000000-0005-0000-0000-0000AE080000}"/>
    <cellStyle name="P-Green Rule 4 2 3 3 2" xfId="35645" xr:uid="{00000000-0005-0000-0000-0000AE080000}"/>
    <cellStyle name="P-Green Rule 4 2 3 3 3" xfId="54008" xr:uid="{00000000-0005-0000-0000-0000AE080000}"/>
    <cellStyle name="P-Green Rule 4 2 3 4" xfId="26430" xr:uid="{00000000-0005-0000-0000-0000AE080000}"/>
    <cellStyle name="P-Green Rule 4 2 3 4 2" xfId="44799" xr:uid="{00000000-0005-0000-0000-0000AE080000}"/>
    <cellStyle name="P-Green Rule 4 2 3 5" xfId="22723" xr:uid="{00000000-0005-0000-0000-0000AE080000}"/>
    <cellStyle name="P-Green Rule 4 2 3 6" xfId="41092" xr:uid="{00000000-0005-0000-0000-0000AE080000}"/>
    <cellStyle name="P-Green Rule 4 2 4" xfId="10409" xr:uid="{00000000-0005-0000-0000-0000AE080000}"/>
    <cellStyle name="P-Green Rule 4 2 4 2" xfId="14466" xr:uid="{00000000-0005-0000-0000-0000AE080000}"/>
    <cellStyle name="P-Green Rule 4 2 4 2 2" xfId="32882" xr:uid="{00000000-0005-0000-0000-0000AE080000}"/>
    <cellStyle name="P-Green Rule 4 2 4 2 3" xfId="51245" xr:uid="{00000000-0005-0000-0000-0000AE080000}"/>
    <cellStyle name="P-Green Rule 4 2 4 3" xfId="29120" xr:uid="{00000000-0005-0000-0000-0000AE080000}"/>
    <cellStyle name="P-Green Rule 4 2 4 3 2" xfId="47483" xr:uid="{00000000-0005-0000-0000-0000AE080000}"/>
    <cellStyle name="P-Green Rule 4 2 4 4" xfId="19923" xr:uid="{00000000-0005-0000-0000-0000AE080000}"/>
    <cellStyle name="P-Green Rule 4 2 4 5" xfId="38329" xr:uid="{00000000-0005-0000-0000-0000AE080000}"/>
    <cellStyle name="P-Green Rule 4 2 5" xfId="9617" xr:uid="{00000000-0005-0000-0000-0000AE080000}"/>
    <cellStyle name="P-Green Rule 4 2 5 2" xfId="28334" xr:uid="{00000000-0005-0000-0000-0000AE080000}"/>
    <cellStyle name="P-Green Rule 4 2 5 3" xfId="46697" xr:uid="{00000000-0005-0000-0000-0000AE080000}"/>
    <cellStyle name="P-Green Rule 4 2 6" xfId="13675" xr:uid="{00000000-0005-0000-0000-0000AE080000}"/>
    <cellStyle name="P-Green Rule 4 2 6 2" xfId="32096" xr:uid="{00000000-0005-0000-0000-0000AE080000}"/>
    <cellStyle name="P-Green Rule 4 2 6 3" xfId="50459" xr:uid="{00000000-0005-0000-0000-0000AE080000}"/>
    <cellStyle name="P-Green Rule 4 2 7" xfId="23604" xr:uid="{00000000-0005-0000-0000-0000AE080000}"/>
    <cellStyle name="P-Green Rule 4 2 7 2" xfId="41973" xr:uid="{00000000-0005-0000-0000-0000AE080000}"/>
    <cellStyle name="P-Green Rule 4 2 8" xfId="18717" xr:uid="{00000000-0005-0000-0000-0000AE080000}"/>
    <cellStyle name="P-Green Rule 4 2 9" xfId="37127" xr:uid="{00000000-0005-0000-0000-0000AE080000}"/>
    <cellStyle name="P-Green Rule 4 3" xfId="4737" xr:uid="{00000000-0005-0000-0000-0000AE080000}"/>
    <cellStyle name="P-Green Rule 4 3 2" xfId="11321" xr:uid="{00000000-0005-0000-0000-0000AE080000}"/>
    <cellStyle name="P-Green Rule 4 3 2 2" xfId="29933" xr:uid="{00000000-0005-0000-0000-0000AE080000}"/>
    <cellStyle name="P-Green Rule 4 3 2 3" xfId="48296" xr:uid="{00000000-0005-0000-0000-0000AE080000}"/>
    <cellStyle name="P-Green Rule 4 3 3" xfId="15463" xr:uid="{00000000-0005-0000-0000-0000AE080000}"/>
    <cellStyle name="P-Green Rule 4 3 3 2" xfId="33856" xr:uid="{00000000-0005-0000-0000-0000AE080000}"/>
    <cellStyle name="P-Green Rule 4 3 3 3" xfId="52219" xr:uid="{00000000-0005-0000-0000-0000AE080000}"/>
    <cellStyle name="P-Green Rule 4 3 4" xfId="24587" xr:uid="{00000000-0005-0000-0000-0000AE080000}"/>
    <cellStyle name="P-Green Rule 4 3 4 2" xfId="42956" xr:uid="{00000000-0005-0000-0000-0000AE080000}"/>
    <cellStyle name="P-Green Rule 4 3 5" xfId="20914" xr:uid="{00000000-0005-0000-0000-0000AE080000}"/>
    <cellStyle name="P-Green Rule 4 3 6" xfId="39303" xr:uid="{00000000-0005-0000-0000-0000AE080000}"/>
    <cellStyle name="P-Green Rule 4 4" xfId="4856" xr:uid="{00000000-0005-0000-0000-0000AE080000}"/>
    <cellStyle name="P-Green Rule 4 4 2" xfId="11414" xr:uid="{00000000-0005-0000-0000-0000AE080000}"/>
    <cellStyle name="P-Green Rule 4 4 2 2" xfId="30004" xr:uid="{00000000-0005-0000-0000-0000AE080000}"/>
    <cellStyle name="P-Green Rule 4 4 2 3" xfId="48367" xr:uid="{00000000-0005-0000-0000-0000AE080000}"/>
    <cellStyle name="P-Green Rule 4 4 3" xfId="15582" xr:uid="{00000000-0005-0000-0000-0000AE080000}"/>
    <cellStyle name="P-Green Rule 4 4 3 2" xfId="33973" xr:uid="{00000000-0005-0000-0000-0000AE080000}"/>
    <cellStyle name="P-Green Rule 4 4 3 3" xfId="52336" xr:uid="{00000000-0005-0000-0000-0000AE080000}"/>
    <cellStyle name="P-Green Rule 4 4 4" xfId="24704" xr:uid="{00000000-0005-0000-0000-0000AE080000}"/>
    <cellStyle name="P-Green Rule 4 4 4 2" xfId="43073" xr:uid="{00000000-0005-0000-0000-0000AE080000}"/>
    <cellStyle name="P-Green Rule 4 4 5" xfId="21031" xr:uid="{00000000-0005-0000-0000-0000AE080000}"/>
    <cellStyle name="P-Green Rule 4 4 6" xfId="39420" xr:uid="{00000000-0005-0000-0000-0000AE080000}"/>
    <cellStyle name="P-Green Rule 4 5" xfId="9266" xr:uid="{00000000-0005-0000-0000-0000AE080000}"/>
    <cellStyle name="P-Green Rule 4 5 2" xfId="13323" xr:uid="{00000000-0005-0000-0000-0000AE080000}"/>
    <cellStyle name="P-Green Rule 4 5 2 2" xfId="31744" xr:uid="{00000000-0005-0000-0000-0000AE080000}"/>
    <cellStyle name="P-Green Rule 4 5 2 3" xfId="50107" xr:uid="{00000000-0005-0000-0000-0000AE080000}"/>
    <cellStyle name="P-Green Rule 4 5 3" xfId="27986" xr:uid="{00000000-0005-0000-0000-0000AE080000}"/>
    <cellStyle name="P-Green Rule 4 5 3 2" xfId="46349" xr:uid="{00000000-0005-0000-0000-0000AE080000}"/>
    <cellStyle name="P-Green Rule 4 5 4" xfId="18326" xr:uid="{00000000-0005-0000-0000-0000AE080000}"/>
    <cellStyle name="P-Green Rule 4 5 5" xfId="36732" xr:uid="{00000000-0005-0000-0000-0000AE080000}"/>
    <cellStyle name="P-Green Rule 4 6" xfId="8033" xr:uid="{00000000-0005-0000-0000-0000AE080000}"/>
    <cellStyle name="P-Green Rule 4 6 2" xfId="27262" xr:uid="{00000000-0005-0000-0000-0000AE080000}"/>
    <cellStyle name="P-Green Rule 4 6 3" xfId="45627" xr:uid="{00000000-0005-0000-0000-0000AE080000}"/>
    <cellStyle name="P-Green Rule 4 7" xfId="8629" xr:uid="{00000000-0005-0000-0000-0000AE080000}"/>
    <cellStyle name="P-Green Rule 4 7 2" xfId="27540" xr:uid="{00000000-0005-0000-0000-0000AE080000}"/>
    <cellStyle name="P-Green Rule 4 7 3" xfId="45904" xr:uid="{00000000-0005-0000-0000-0000AE080000}"/>
    <cellStyle name="P-Green Rule 4 8" xfId="19260" xr:uid="{00000000-0005-0000-0000-0000AE080000}"/>
    <cellStyle name="P-Green Rule 4 8 2" xfId="37667" xr:uid="{00000000-0005-0000-0000-0000AE080000}"/>
    <cellStyle name="P-Green Rule 4 9" xfId="7138" xr:uid="{00000000-0005-0000-0000-0000AE080000}"/>
    <cellStyle name="P-Green Rule 5" xfId="2168" xr:uid="{00000000-0005-0000-0000-0000AF080000}"/>
    <cellStyle name="P-Green Rule 5 10" xfId="11694" xr:uid="{00000000-0005-0000-0000-0000AF080000}"/>
    <cellStyle name="P-Green Rule 5 2" xfId="3755" xr:uid="{00000000-0005-0000-0000-0000AF080000}"/>
    <cellStyle name="P-Green Rule 5 2 2" xfId="5928" xr:uid="{00000000-0005-0000-0000-0000AF080000}"/>
    <cellStyle name="P-Green Rule 5 2 2 2" xfId="12292" xr:uid="{00000000-0005-0000-0000-0000AF080000}"/>
    <cellStyle name="P-Green Rule 5 2 2 2 2" xfId="30739" xr:uid="{00000000-0005-0000-0000-0000AF080000}"/>
    <cellStyle name="P-Green Rule 5 2 2 2 3" xfId="49102" xr:uid="{00000000-0005-0000-0000-0000AF080000}"/>
    <cellStyle name="P-Green Rule 5 2 2 3" xfId="16618" xr:uid="{00000000-0005-0000-0000-0000AF080000}"/>
    <cellStyle name="P-Green Rule 5 2 2 3 2" xfId="34990" xr:uid="{00000000-0005-0000-0000-0000AF080000}"/>
    <cellStyle name="P-Green Rule 5 2 2 3 3" xfId="53353" xr:uid="{00000000-0005-0000-0000-0000AF080000}"/>
    <cellStyle name="P-Green Rule 5 2 2 4" xfId="25737" xr:uid="{00000000-0005-0000-0000-0000AF080000}"/>
    <cellStyle name="P-Green Rule 5 2 2 4 2" xfId="44106" xr:uid="{00000000-0005-0000-0000-0000AF080000}"/>
    <cellStyle name="P-Green Rule 5 2 2 5" xfId="22058" xr:uid="{00000000-0005-0000-0000-0000AF080000}"/>
    <cellStyle name="P-Green Rule 5 2 2 6" xfId="40437" xr:uid="{00000000-0005-0000-0000-0000AF080000}"/>
    <cellStyle name="P-Green Rule 5 2 3" xfId="6754" xr:uid="{00000000-0005-0000-0000-0000AF080000}"/>
    <cellStyle name="P-Green Rule 5 2 3 2" xfId="13045" xr:uid="{00000000-0005-0000-0000-0000AF080000}"/>
    <cellStyle name="P-Green Rule 5 2 3 2 2" xfId="31471" xr:uid="{00000000-0005-0000-0000-0000AF080000}"/>
    <cellStyle name="P-Green Rule 5 2 3 2 3" xfId="49834" xr:uid="{00000000-0005-0000-0000-0000AF080000}"/>
    <cellStyle name="P-Green Rule 5 2 3 3" xfId="17356" xr:uid="{00000000-0005-0000-0000-0000AF080000}"/>
    <cellStyle name="P-Green Rule 5 2 3 3 2" xfId="35704" xr:uid="{00000000-0005-0000-0000-0000AF080000}"/>
    <cellStyle name="P-Green Rule 5 2 3 3 3" xfId="54067" xr:uid="{00000000-0005-0000-0000-0000AF080000}"/>
    <cellStyle name="P-Green Rule 5 2 3 4" xfId="26489" xr:uid="{00000000-0005-0000-0000-0000AF080000}"/>
    <cellStyle name="P-Green Rule 5 2 3 4 2" xfId="44858" xr:uid="{00000000-0005-0000-0000-0000AF080000}"/>
    <cellStyle name="P-Green Rule 5 2 3 5" xfId="22782" xr:uid="{00000000-0005-0000-0000-0000AF080000}"/>
    <cellStyle name="P-Green Rule 5 2 3 6" xfId="41151" xr:uid="{00000000-0005-0000-0000-0000AF080000}"/>
    <cellStyle name="P-Green Rule 5 2 4" xfId="10468" xr:uid="{00000000-0005-0000-0000-0000AF080000}"/>
    <cellStyle name="P-Green Rule 5 2 4 2" xfId="14525" xr:uid="{00000000-0005-0000-0000-0000AF080000}"/>
    <cellStyle name="P-Green Rule 5 2 4 2 2" xfId="32941" xr:uid="{00000000-0005-0000-0000-0000AF080000}"/>
    <cellStyle name="P-Green Rule 5 2 4 2 3" xfId="51304" xr:uid="{00000000-0005-0000-0000-0000AF080000}"/>
    <cellStyle name="P-Green Rule 5 2 4 3" xfId="29179" xr:uid="{00000000-0005-0000-0000-0000AF080000}"/>
    <cellStyle name="P-Green Rule 5 2 4 3 2" xfId="47542" xr:uid="{00000000-0005-0000-0000-0000AF080000}"/>
    <cellStyle name="P-Green Rule 5 2 4 4" xfId="19982" xr:uid="{00000000-0005-0000-0000-0000AF080000}"/>
    <cellStyle name="P-Green Rule 5 2 4 5" xfId="38388" xr:uid="{00000000-0005-0000-0000-0000AF080000}"/>
    <cellStyle name="P-Green Rule 5 2 5" xfId="9735" xr:uid="{00000000-0005-0000-0000-0000AF080000}"/>
    <cellStyle name="P-Green Rule 5 2 5 2" xfId="28450" xr:uid="{00000000-0005-0000-0000-0000AF080000}"/>
    <cellStyle name="P-Green Rule 5 2 5 3" xfId="46813" xr:uid="{00000000-0005-0000-0000-0000AF080000}"/>
    <cellStyle name="P-Green Rule 5 2 6" xfId="13792" xr:uid="{00000000-0005-0000-0000-0000AF080000}"/>
    <cellStyle name="P-Green Rule 5 2 6 2" xfId="32212" xr:uid="{00000000-0005-0000-0000-0000AF080000}"/>
    <cellStyle name="P-Green Rule 5 2 6 3" xfId="50575" xr:uid="{00000000-0005-0000-0000-0000AF080000}"/>
    <cellStyle name="P-Green Rule 5 2 7" xfId="23663" xr:uid="{00000000-0005-0000-0000-0000AF080000}"/>
    <cellStyle name="P-Green Rule 5 2 7 2" xfId="42032" xr:uid="{00000000-0005-0000-0000-0000AF080000}"/>
    <cellStyle name="P-Green Rule 5 2 8" xfId="18894" xr:uid="{00000000-0005-0000-0000-0000AF080000}"/>
    <cellStyle name="P-Green Rule 5 2 9" xfId="37303" xr:uid="{00000000-0005-0000-0000-0000AF080000}"/>
    <cellStyle name="P-Green Rule 5 3" xfId="4921" xr:uid="{00000000-0005-0000-0000-0000AF080000}"/>
    <cellStyle name="P-Green Rule 5 3 2" xfId="11469" xr:uid="{00000000-0005-0000-0000-0000AF080000}"/>
    <cellStyle name="P-Green Rule 5 3 2 2" xfId="30055" xr:uid="{00000000-0005-0000-0000-0000AF080000}"/>
    <cellStyle name="P-Green Rule 5 3 2 3" xfId="48418" xr:uid="{00000000-0005-0000-0000-0000AF080000}"/>
    <cellStyle name="P-Green Rule 5 3 3" xfId="15641" xr:uid="{00000000-0005-0000-0000-0000AF080000}"/>
    <cellStyle name="P-Green Rule 5 3 3 2" xfId="34030" xr:uid="{00000000-0005-0000-0000-0000AF080000}"/>
    <cellStyle name="P-Green Rule 5 3 3 3" xfId="52393" xr:uid="{00000000-0005-0000-0000-0000AF080000}"/>
    <cellStyle name="P-Green Rule 5 3 4" xfId="24763" xr:uid="{00000000-0005-0000-0000-0000AF080000}"/>
    <cellStyle name="P-Green Rule 5 3 4 2" xfId="43132" xr:uid="{00000000-0005-0000-0000-0000AF080000}"/>
    <cellStyle name="P-Green Rule 5 3 5" xfId="21089" xr:uid="{00000000-0005-0000-0000-0000AF080000}"/>
    <cellStyle name="P-Green Rule 5 3 6" xfId="39477" xr:uid="{00000000-0005-0000-0000-0000AF080000}"/>
    <cellStyle name="P-Green Rule 5 4" xfId="4998" xr:uid="{00000000-0005-0000-0000-0000AF080000}"/>
    <cellStyle name="P-Green Rule 5 4 2" xfId="11525" xr:uid="{00000000-0005-0000-0000-0000AF080000}"/>
    <cellStyle name="P-Green Rule 5 4 2 2" xfId="30098" xr:uid="{00000000-0005-0000-0000-0000AF080000}"/>
    <cellStyle name="P-Green Rule 5 4 2 3" xfId="48461" xr:uid="{00000000-0005-0000-0000-0000AF080000}"/>
    <cellStyle name="P-Green Rule 5 4 3" xfId="15714" xr:uid="{00000000-0005-0000-0000-0000AF080000}"/>
    <cellStyle name="P-Green Rule 5 4 3 2" xfId="34102" xr:uid="{00000000-0005-0000-0000-0000AF080000}"/>
    <cellStyle name="P-Green Rule 5 4 3 3" xfId="52465" xr:uid="{00000000-0005-0000-0000-0000AF080000}"/>
    <cellStyle name="P-Green Rule 5 4 4" xfId="24837" xr:uid="{00000000-0005-0000-0000-0000AF080000}"/>
    <cellStyle name="P-Green Rule 5 4 4 2" xfId="43206" xr:uid="{00000000-0005-0000-0000-0000AF080000}"/>
    <cellStyle name="P-Green Rule 5 4 5" xfId="21162" xr:uid="{00000000-0005-0000-0000-0000AF080000}"/>
    <cellStyle name="P-Green Rule 5 4 6" xfId="39549" xr:uid="{00000000-0005-0000-0000-0000AF080000}"/>
    <cellStyle name="P-Green Rule 5 5" xfId="9944" xr:uid="{00000000-0005-0000-0000-0000AF080000}"/>
    <cellStyle name="P-Green Rule 5 5 2" xfId="14001" xr:uid="{00000000-0005-0000-0000-0000AF080000}"/>
    <cellStyle name="P-Green Rule 5 5 2 2" xfId="32418" xr:uid="{00000000-0005-0000-0000-0000AF080000}"/>
    <cellStyle name="P-Green Rule 5 5 2 3" xfId="50781" xr:uid="{00000000-0005-0000-0000-0000AF080000}"/>
    <cellStyle name="P-Green Rule 5 5 3" xfId="28656" xr:uid="{00000000-0005-0000-0000-0000AF080000}"/>
    <cellStyle name="P-Green Rule 5 5 3 2" xfId="47019" xr:uid="{00000000-0005-0000-0000-0000AF080000}"/>
    <cellStyle name="P-Green Rule 5 5 4" xfId="19270" xr:uid="{00000000-0005-0000-0000-0000AF080000}"/>
    <cellStyle name="P-Green Rule 5 5 5" xfId="37677" xr:uid="{00000000-0005-0000-0000-0000AF080000}"/>
    <cellStyle name="P-Green Rule 5 6" xfId="8274" xr:uid="{00000000-0005-0000-0000-0000AF080000}"/>
    <cellStyle name="P-Green Rule 5 6 2" xfId="27403" xr:uid="{00000000-0005-0000-0000-0000AF080000}"/>
    <cellStyle name="P-Green Rule 5 6 3" xfId="45768" xr:uid="{00000000-0005-0000-0000-0000AF080000}"/>
    <cellStyle name="P-Green Rule 5 7" xfId="8491" xr:uid="{00000000-0005-0000-0000-0000AF080000}"/>
    <cellStyle name="P-Green Rule 5 7 2" xfId="27505" xr:uid="{00000000-0005-0000-0000-0000AF080000}"/>
    <cellStyle name="P-Green Rule 5 7 3" xfId="45869" xr:uid="{00000000-0005-0000-0000-0000AF080000}"/>
    <cellStyle name="P-Green Rule 5 8" xfId="18979" xr:uid="{00000000-0005-0000-0000-0000AF080000}"/>
    <cellStyle name="P-Green Rule 5 8 2" xfId="37388" xr:uid="{00000000-0005-0000-0000-0000AF080000}"/>
    <cellStyle name="P-Green Rule 5 9" xfId="8982" xr:uid="{00000000-0005-0000-0000-0000AF080000}"/>
    <cellStyle name="P-Green Rule 6" xfId="2613" xr:uid="{00000000-0005-0000-0000-0000B0080000}"/>
    <cellStyle name="P-Green Rule 6 10" xfId="35873" xr:uid="{00000000-0005-0000-0000-0000B0080000}"/>
    <cellStyle name="P-Green Rule 6 2" xfId="3799" xr:uid="{00000000-0005-0000-0000-0000B0080000}"/>
    <cellStyle name="P-Green Rule 6 2 2" xfId="5972" xr:uid="{00000000-0005-0000-0000-0000B0080000}"/>
    <cellStyle name="P-Green Rule 6 2 2 2" xfId="12336" xr:uid="{00000000-0005-0000-0000-0000B0080000}"/>
    <cellStyle name="P-Green Rule 6 2 2 2 2" xfId="30783" xr:uid="{00000000-0005-0000-0000-0000B0080000}"/>
    <cellStyle name="P-Green Rule 6 2 2 2 3" xfId="49146" xr:uid="{00000000-0005-0000-0000-0000B0080000}"/>
    <cellStyle name="P-Green Rule 6 2 2 3" xfId="16662" xr:uid="{00000000-0005-0000-0000-0000B0080000}"/>
    <cellStyle name="P-Green Rule 6 2 2 3 2" xfId="35034" xr:uid="{00000000-0005-0000-0000-0000B0080000}"/>
    <cellStyle name="P-Green Rule 6 2 2 3 3" xfId="53397" xr:uid="{00000000-0005-0000-0000-0000B0080000}"/>
    <cellStyle name="P-Green Rule 6 2 2 4" xfId="25781" xr:uid="{00000000-0005-0000-0000-0000B0080000}"/>
    <cellStyle name="P-Green Rule 6 2 2 4 2" xfId="44150" xr:uid="{00000000-0005-0000-0000-0000B0080000}"/>
    <cellStyle name="P-Green Rule 6 2 2 5" xfId="22102" xr:uid="{00000000-0005-0000-0000-0000B0080000}"/>
    <cellStyle name="P-Green Rule 6 2 2 6" xfId="40481" xr:uid="{00000000-0005-0000-0000-0000B0080000}"/>
    <cellStyle name="P-Green Rule 6 2 3" xfId="6798" xr:uid="{00000000-0005-0000-0000-0000B0080000}"/>
    <cellStyle name="P-Green Rule 6 2 3 2" xfId="13089" xr:uid="{00000000-0005-0000-0000-0000B0080000}"/>
    <cellStyle name="P-Green Rule 6 2 3 2 2" xfId="31515" xr:uid="{00000000-0005-0000-0000-0000B0080000}"/>
    <cellStyle name="P-Green Rule 6 2 3 2 3" xfId="49878" xr:uid="{00000000-0005-0000-0000-0000B0080000}"/>
    <cellStyle name="P-Green Rule 6 2 3 3" xfId="17400" xr:uid="{00000000-0005-0000-0000-0000B0080000}"/>
    <cellStyle name="P-Green Rule 6 2 3 3 2" xfId="35748" xr:uid="{00000000-0005-0000-0000-0000B0080000}"/>
    <cellStyle name="P-Green Rule 6 2 3 3 3" xfId="54111" xr:uid="{00000000-0005-0000-0000-0000B0080000}"/>
    <cellStyle name="P-Green Rule 6 2 3 4" xfId="26533" xr:uid="{00000000-0005-0000-0000-0000B0080000}"/>
    <cellStyle name="P-Green Rule 6 2 3 4 2" xfId="44902" xr:uid="{00000000-0005-0000-0000-0000B0080000}"/>
    <cellStyle name="P-Green Rule 6 2 3 5" xfId="22826" xr:uid="{00000000-0005-0000-0000-0000B0080000}"/>
    <cellStyle name="P-Green Rule 6 2 3 6" xfId="41195" xr:uid="{00000000-0005-0000-0000-0000B0080000}"/>
    <cellStyle name="P-Green Rule 6 2 4" xfId="10512" xr:uid="{00000000-0005-0000-0000-0000B0080000}"/>
    <cellStyle name="P-Green Rule 6 2 4 2" xfId="14569" xr:uid="{00000000-0005-0000-0000-0000B0080000}"/>
    <cellStyle name="P-Green Rule 6 2 4 2 2" xfId="32985" xr:uid="{00000000-0005-0000-0000-0000B0080000}"/>
    <cellStyle name="P-Green Rule 6 2 4 2 3" xfId="51348" xr:uid="{00000000-0005-0000-0000-0000B0080000}"/>
    <cellStyle name="P-Green Rule 6 2 4 3" xfId="29223" xr:uid="{00000000-0005-0000-0000-0000B0080000}"/>
    <cellStyle name="P-Green Rule 6 2 4 3 2" xfId="47586" xr:uid="{00000000-0005-0000-0000-0000B0080000}"/>
    <cellStyle name="P-Green Rule 6 2 4 4" xfId="20026" xr:uid="{00000000-0005-0000-0000-0000B0080000}"/>
    <cellStyle name="P-Green Rule 6 2 4 5" xfId="38432" xr:uid="{00000000-0005-0000-0000-0000B0080000}"/>
    <cellStyle name="P-Green Rule 6 2 5" xfId="9838" xr:uid="{00000000-0005-0000-0000-0000B0080000}"/>
    <cellStyle name="P-Green Rule 6 2 5 2" xfId="28552" xr:uid="{00000000-0005-0000-0000-0000B0080000}"/>
    <cellStyle name="P-Green Rule 6 2 5 3" xfId="46915" xr:uid="{00000000-0005-0000-0000-0000B0080000}"/>
    <cellStyle name="P-Green Rule 6 2 6" xfId="13895" xr:uid="{00000000-0005-0000-0000-0000B0080000}"/>
    <cellStyle name="P-Green Rule 6 2 6 2" xfId="32314" xr:uid="{00000000-0005-0000-0000-0000B0080000}"/>
    <cellStyle name="P-Green Rule 6 2 6 3" xfId="50677" xr:uid="{00000000-0005-0000-0000-0000B0080000}"/>
    <cellStyle name="P-Green Rule 6 2 7" xfId="23707" xr:uid="{00000000-0005-0000-0000-0000B0080000}"/>
    <cellStyle name="P-Green Rule 6 2 7 2" xfId="42076" xr:uid="{00000000-0005-0000-0000-0000B0080000}"/>
    <cellStyle name="P-Green Rule 6 2 8" xfId="19063" xr:uid="{00000000-0005-0000-0000-0000B0080000}"/>
    <cellStyle name="P-Green Rule 6 2 9" xfId="37472" xr:uid="{00000000-0005-0000-0000-0000B0080000}"/>
    <cellStyle name="P-Green Rule 6 3" xfId="5084" xr:uid="{00000000-0005-0000-0000-0000B0080000}"/>
    <cellStyle name="P-Green Rule 6 3 2" xfId="11603" xr:uid="{00000000-0005-0000-0000-0000B0080000}"/>
    <cellStyle name="P-Green Rule 6 3 2 2" xfId="30167" xr:uid="{00000000-0005-0000-0000-0000B0080000}"/>
    <cellStyle name="P-Green Rule 6 3 2 3" xfId="48530" xr:uid="{00000000-0005-0000-0000-0000B0080000}"/>
    <cellStyle name="P-Green Rule 6 3 3" xfId="15794" xr:uid="{00000000-0005-0000-0000-0000B0080000}"/>
    <cellStyle name="P-Green Rule 6 3 3 2" xfId="34179" xr:uid="{00000000-0005-0000-0000-0000B0080000}"/>
    <cellStyle name="P-Green Rule 6 3 3 3" xfId="52542" xr:uid="{00000000-0005-0000-0000-0000B0080000}"/>
    <cellStyle name="P-Green Rule 6 3 4" xfId="24915" xr:uid="{00000000-0005-0000-0000-0000B0080000}"/>
    <cellStyle name="P-Green Rule 6 3 4 2" xfId="43284" xr:uid="{00000000-0005-0000-0000-0000B0080000}"/>
    <cellStyle name="P-Green Rule 6 3 5" xfId="21241" xr:uid="{00000000-0005-0000-0000-0000B0080000}"/>
    <cellStyle name="P-Green Rule 6 3 6" xfId="39626" xr:uid="{00000000-0005-0000-0000-0000B0080000}"/>
    <cellStyle name="P-Green Rule 6 4" xfId="6146" xr:uid="{00000000-0005-0000-0000-0000B0080000}"/>
    <cellStyle name="P-Green Rule 6 4 2" xfId="12497" xr:uid="{00000000-0005-0000-0000-0000B0080000}"/>
    <cellStyle name="P-Green Rule 6 4 2 2" xfId="30935" xr:uid="{00000000-0005-0000-0000-0000B0080000}"/>
    <cellStyle name="P-Green Rule 6 4 2 3" xfId="49298" xr:uid="{00000000-0005-0000-0000-0000B0080000}"/>
    <cellStyle name="P-Green Rule 6 4 3" xfId="16815" xr:uid="{00000000-0005-0000-0000-0000B0080000}"/>
    <cellStyle name="P-Green Rule 6 4 3 2" xfId="35182" xr:uid="{00000000-0005-0000-0000-0000B0080000}"/>
    <cellStyle name="P-Green Rule 6 4 3 3" xfId="53545" xr:uid="{00000000-0005-0000-0000-0000B0080000}"/>
    <cellStyle name="P-Green Rule 6 4 4" xfId="25938" xr:uid="{00000000-0005-0000-0000-0000B0080000}"/>
    <cellStyle name="P-Green Rule 6 4 4 2" xfId="44307" xr:uid="{00000000-0005-0000-0000-0000B0080000}"/>
    <cellStyle name="P-Green Rule 6 4 5" xfId="22252" xr:uid="{00000000-0005-0000-0000-0000B0080000}"/>
    <cellStyle name="P-Green Rule 6 4 6" xfId="40629" xr:uid="{00000000-0005-0000-0000-0000B0080000}"/>
    <cellStyle name="P-Green Rule 6 5" xfId="9010" xr:uid="{00000000-0005-0000-0000-0000B0080000}"/>
    <cellStyle name="P-Green Rule 6 5 2" xfId="6940" xr:uid="{00000000-0005-0000-0000-0000B0080000}"/>
    <cellStyle name="P-Green Rule 6 5 2 2" xfId="26673" xr:uid="{00000000-0005-0000-0000-0000B0080000}"/>
    <cellStyle name="P-Green Rule 6 5 2 3" xfId="45042" xr:uid="{00000000-0005-0000-0000-0000B0080000}"/>
    <cellStyle name="P-Green Rule 6 5 3" xfId="27737" xr:uid="{00000000-0005-0000-0000-0000B0080000}"/>
    <cellStyle name="P-Green Rule 6 5 3 2" xfId="46100" xr:uid="{00000000-0005-0000-0000-0000B0080000}"/>
    <cellStyle name="P-Green Rule 6 5 4" xfId="17842" xr:uid="{00000000-0005-0000-0000-0000B0080000}"/>
    <cellStyle name="P-Green Rule 6 5 5" xfId="36252" xr:uid="{00000000-0005-0000-0000-0000B0080000}"/>
    <cellStyle name="P-Green Rule 6 6" xfId="8540" xr:uid="{00000000-0005-0000-0000-0000B0080000}"/>
    <cellStyle name="P-Green Rule 6 6 2" xfId="27525" xr:uid="{00000000-0005-0000-0000-0000B0080000}"/>
    <cellStyle name="P-Green Rule 6 6 3" xfId="45889" xr:uid="{00000000-0005-0000-0000-0000B0080000}"/>
    <cellStyle name="P-Green Rule 6 7" xfId="7043" xr:uid="{00000000-0005-0000-0000-0000B0080000}"/>
    <cellStyle name="P-Green Rule 6 7 2" xfId="26707" xr:uid="{00000000-0005-0000-0000-0000B0080000}"/>
    <cellStyle name="P-Green Rule 6 7 3" xfId="45075" xr:uid="{00000000-0005-0000-0000-0000B0080000}"/>
    <cellStyle name="P-Green Rule 6 8" xfId="19388" xr:uid="{00000000-0005-0000-0000-0000B0080000}"/>
    <cellStyle name="P-Green Rule 6 8 2" xfId="37795" xr:uid="{00000000-0005-0000-0000-0000B0080000}"/>
    <cellStyle name="P-Green Rule 6 9" xfId="8342" xr:uid="{00000000-0005-0000-0000-0000B0080000}"/>
    <cellStyle name="P-Green Rule 7" xfId="2989" xr:uid="{00000000-0005-0000-0000-0000B1080000}"/>
    <cellStyle name="P-Green Rule 7 2" xfId="3833" xr:uid="{00000000-0005-0000-0000-0000B1080000}"/>
    <cellStyle name="P-Green Rule 7 2 2" xfId="6006" xr:uid="{00000000-0005-0000-0000-0000B1080000}"/>
    <cellStyle name="P-Green Rule 7 2 2 2" xfId="12370" xr:uid="{00000000-0005-0000-0000-0000B1080000}"/>
    <cellStyle name="P-Green Rule 7 2 2 2 2" xfId="30817" xr:uid="{00000000-0005-0000-0000-0000B1080000}"/>
    <cellStyle name="P-Green Rule 7 2 2 2 3" xfId="49180" xr:uid="{00000000-0005-0000-0000-0000B1080000}"/>
    <cellStyle name="P-Green Rule 7 2 2 3" xfId="16696" xr:uid="{00000000-0005-0000-0000-0000B1080000}"/>
    <cellStyle name="P-Green Rule 7 2 2 3 2" xfId="35068" xr:uid="{00000000-0005-0000-0000-0000B1080000}"/>
    <cellStyle name="P-Green Rule 7 2 2 3 3" xfId="53431" xr:uid="{00000000-0005-0000-0000-0000B1080000}"/>
    <cellStyle name="P-Green Rule 7 2 2 4" xfId="25815" xr:uid="{00000000-0005-0000-0000-0000B1080000}"/>
    <cellStyle name="P-Green Rule 7 2 2 4 2" xfId="44184" xr:uid="{00000000-0005-0000-0000-0000B1080000}"/>
    <cellStyle name="P-Green Rule 7 2 2 5" xfId="22136" xr:uid="{00000000-0005-0000-0000-0000B1080000}"/>
    <cellStyle name="P-Green Rule 7 2 2 6" xfId="40515" xr:uid="{00000000-0005-0000-0000-0000B1080000}"/>
    <cellStyle name="P-Green Rule 7 2 3" xfId="6832" xr:uid="{00000000-0005-0000-0000-0000B1080000}"/>
    <cellStyle name="P-Green Rule 7 2 3 2" xfId="13123" xr:uid="{00000000-0005-0000-0000-0000B1080000}"/>
    <cellStyle name="P-Green Rule 7 2 3 2 2" xfId="31549" xr:uid="{00000000-0005-0000-0000-0000B1080000}"/>
    <cellStyle name="P-Green Rule 7 2 3 2 3" xfId="49912" xr:uid="{00000000-0005-0000-0000-0000B1080000}"/>
    <cellStyle name="P-Green Rule 7 2 3 3" xfId="17434" xr:uid="{00000000-0005-0000-0000-0000B1080000}"/>
    <cellStyle name="P-Green Rule 7 2 3 3 2" xfId="35782" xr:uid="{00000000-0005-0000-0000-0000B1080000}"/>
    <cellStyle name="P-Green Rule 7 2 3 3 3" xfId="54145" xr:uid="{00000000-0005-0000-0000-0000B1080000}"/>
    <cellStyle name="P-Green Rule 7 2 3 4" xfId="26567" xr:uid="{00000000-0005-0000-0000-0000B1080000}"/>
    <cellStyle name="P-Green Rule 7 2 3 4 2" xfId="44936" xr:uid="{00000000-0005-0000-0000-0000B1080000}"/>
    <cellStyle name="P-Green Rule 7 2 3 5" xfId="22860" xr:uid="{00000000-0005-0000-0000-0000B1080000}"/>
    <cellStyle name="P-Green Rule 7 2 3 6" xfId="41229" xr:uid="{00000000-0005-0000-0000-0000B1080000}"/>
    <cellStyle name="P-Green Rule 7 2 4" xfId="10546" xr:uid="{00000000-0005-0000-0000-0000B1080000}"/>
    <cellStyle name="P-Green Rule 7 2 4 2" xfId="14603" xr:uid="{00000000-0005-0000-0000-0000B1080000}"/>
    <cellStyle name="P-Green Rule 7 2 4 2 2" xfId="33019" xr:uid="{00000000-0005-0000-0000-0000B1080000}"/>
    <cellStyle name="P-Green Rule 7 2 4 2 3" xfId="51382" xr:uid="{00000000-0005-0000-0000-0000B1080000}"/>
    <cellStyle name="P-Green Rule 7 2 4 3" xfId="29257" xr:uid="{00000000-0005-0000-0000-0000B1080000}"/>
    <cellStyle name="P-Green Rule 7 2 4 3 2" xfId="47620" xr:uid="{00000000-0005-0000-0000-0000B1080000}"/>
    <cellStyle name="P-Green Rule 7 2 4 4" xfId="20060" xr:uid="{00000000-0005-0000-0000-0000B1080000}"/>
    <cellStyle name="P-Green Rule 7 2 4 5" xfId="38466" xr:uid="{00000000-0005-0000-0000-0000B1080000}"/>
    <cellStyle name="P-Green Rule 7 2 5" xfId="9909" xr:uid="{00000000-0005-0000-0000-0000B1080000}"/>
    <cellStyle name="P-Green Rule 7 2 5 2" xfId="28621" xr:uid="{00000000-0005-0000-0000-0000B1080000}"/>
    <cellStyle name="P-Green Rule 7 2 5 3" xfId="46984" xr:uid="{00000000-0005-0000-0000-0000B1080000}"/>
    <cellStyle name="P-Green Rule 7 2 6" xfId="13966" xr:uid="{00000000-0005-0000-0000-0000B1080000}"/>
    <cellStyle name="P-Green Rule 7 2 6 2" xfId="32383" xr:uid="{00000000-0005-0000-0000-0000B1080000}"/>
    <cellStyle name="P-Green Rule 7 2 6 3" xfId="50746" xr:uid="{00000000-0005-0000-0000-0000B1080000}"/>
    <cellStyle name="P-Green Rule 7 2 7" xfId="23741" xr:uid="{00000000-0005-0000-0000-0000B1080000}"/>
    <cellStyle name="P-Green Rule 7 2 7 2" xfId="42110" xr:uid="{00000000-0005-0000-0000-0000B1080000}"/>
    <cellStyle name="P-Green Rule 7 2 8" xfId="19212" xr:uid="{00000000-0005-0000-0000-0000B1080000}"/>
    <cellStyle name="P-Green Rule 7 2 9" xfId="37619" xr:uid="{00000000-0005-0000-0000-0000B1080000}"/>
    <cellStyle name="P-Green Rule 7 3" xfId="6226" xr:uid="{00000000-0005-0000-0000-0000B1080000}"/>
    <cellStyle name="P-Green Rule 7 3 2" xfId="12542" xr:uid="{00000000-0005-0000-0000-0000B1080000}"/>
    <cellStyle name="P-Green Rule 7 3 2 2" xfId="30974" xr:uid="{00000000-0005-0000-0000-0000B1080000}"/>
    <cellStyle name="P-Green Rule 7 3 2 3" xfId="49337" xr:uid="{00000000-0005-0000-0000-0000B1080000}"/>
    <cellStyle name="P-Green Rule 7 3 3" xfId="16860" xr:uid="{00000000-0005-0000-0000-0000B1080000}"/>
    <cellStyle name="P-Green Rule 7 3 3 2" xfId="35217" xr:uid="{00000000-0005-0000-0000-0000B1080000}"/>
    <cellStyle name="P-Green Rule 7 3 3 3" xfId="53580" xr:uid="{00000000-0005-0000-0000-0000B1080000}"/>
    <cellStyle name="P-Green Rule 7 3 4" xfId="25991" xr:uid="{00000000-0005-0000-0000-0000B1080000}"/>
    <cellStyle name="P-Green Rule 7 3 4 2" xfId="44360" xr:uid="{00000000-0005-0000-0000-0000B1080000}"/>
    <cellStyle name="P-Green Rule 7 3 5" xfId="22291" xr:uid="{00000000-0005-0000-0000-0000B1080000}"/>
    <cellStyle name="P-Green Rule 7 3 6" xfId="40664" xr:uid="{00000000-0005-0000-0000-0000B1080000}"/>
    <cellStyle name="P-Green Rule 7 4" xfId="8790" xr:uid="{00000000-0005-0000-0000-0000B1080000}"/>
    <cellStyle name="P-Green Rule 7 4 2" xfId="27633" xr:uid="{00000000-0005-0000-0000-0000B1080000}"/>
    <cellStyle name="P-Green Rule 7 4 3" xfId="45996" xr:uid="{00000000-0005-0000-0000-0000B1080000}"/>
    <cellStyle name="P-Green Rule 7 5" xfId="8169" xr:uid="{00000000-0005-0000-0000-0000B1080000}"/>
    <cellStyle name="P-Green Rule 7 5 2" xfId="27362" xr:uid="{00000000-0005-0000-0000-0000B1080000}"/>
    <cellStyle name="P-Green Rule 7 5 3" xfId="45727" xr:uid="{00000000-0005-0000-0000-0000B1080000}"/>
    <cellStyle name="P-Green Rule 7 6" xfId="23004" xr:uid="{00000000-0005-0000-0000-0000B1080000}"/>
    <cellStyle name="P-Green Rule 7 6 2" xfId="41373" xr:uid="{00000000-0005-0000-0000-0000B1080000}"/>
    <cellStyle name="P-Green Rule 7 7" xfId="36006" xr:uid="{00000000-0005-0000-0000-0000B1080000}"/>
    <cellStyle name="P-Green Rule_Summary" xfId="2367" xr:uid="{00000000-0005-0000-0000-0000B2080000}"/>
    <cellStyle name="PlainDollar" xfId="689" xr:uid="{00000000-0005-0000-0000-0000B3080000}"/>
    <cellStyle name="POPS" xfId="690" xr:uid="{00000000-0005-0000-0000-0000B4080000}"/>
    <cellStyle name="PrePop Currency (0)" xfId="691" xr:uid="{00000000-0005-0000-0000-0000B5080000}"/>
    <cellStyle name="PrePop Currency (0) 2" xfId="2169" xr:uid="{00000000-0005-0000-0000-0000B6080000}"/>
    <cellStyle name="PrePop Currency (0) 3" xfId="2614" xr:uid="{00000000-0005-0000-0000-0000B7080000}"/>
    <cellStyle name="PrePop Currency (2)" xfId="692" xr:uid="{00000000-0005-0000-0000-0000B8080000}"/>
    <cellStyle name="PrePop Units (0)" xfId="693" xr:uid="{00000000-0005-0000-0000-0000B9080000}"/>
    <cellStyle name="PrePop Units (0) 2" xfId="2170" xr:uid="{00000000-0005-0000-0000-0000BA080000}"/>
    <cellStyle name="PrePop Units (0) 3" xfId="2615" xr:uid="{00000000-0005-0000-0000-0000BB080000}"/>
    <cellStyle name="PrePop Units (1)" xfId="694" xr:uid="{00000000-0005-0000-0000-0000BC080000}"/>
    <cellStyle name="PrePop Units (1) 2" xfId="2171" xr:uid="{00000000-0005-0000-0000-0000BD080000}"/>
    <cellStyle name="PrePop Units (1) 3" xfId="2616" xr:uid="{00000000-0005-0000-0000-0000BE080000}"/>
    <cellStyle name="PrePop Units (2)" xfId="695" xr:uid="{00000000-0005-0000-0000-0000BF080000}"/>
    <cellStyle name="PresentationZero" xfId="696" xr:uid="{00000000-0005-0000-0000-0000C0080000}"/>
    <cellStyle name="Price" xfId="697" xr:uid="{00000000-0005-0000-0000-0000C1080000}"/>
    <cellStyle name="PriceUn" xfId="698" xr:uid="{00000000-0005-0000-0000-0000C2080000}"/>
    <cellStyle name="prin" xfId="699" xr:uid="{00000000-0005-0000-0000-0000C3080000}"/>
    <cellStyle name="Proj" xfId="700" xr:uid="{00000000-0005-0000-0000-0000C4080000}"/>
    <cellStyle name="PROJECT" xfId="701" xr:uid="{00000000-0005-0000-0000-0000C5080000}"/>
    <cellStyle name="PROJECT 2" xfId="2172" xr:uid="{00000000-0005-0000-0000-0000C6080000}"/>
    <cellStyle name="PROJECT 3" xfId="2617" xr:uid="{00000000-0005-0000-0000-0000C7080000}"/>
    <cellStyle name="PROJECT R" xfId="702" xr:uid="{00000000-0005-0000-0000-0000C8080000}"/>
    <cellStyle name="PROJECT R 2" xfId="2173" xr:uid="{00000000-0005-0000-0000-0000C9080000}"/>
    <cellStyle name="PROJECT R 3" xfId="2618" xr:uid="{00000000-0005-0000-0000-0000CA080000}"/>
    <cellStyle name="ProjectionInput" xfId="703" xr:uid="{00000000-0005-0000-0000-0000CB080000}"/>
    <cellStyle name="ProjectionInput 2" xfId="2987" xr:uid="{00000000-0005-0000-0000-0000CC080000}"/>
    <cellStyle name="ProjectionInput 3" xfId="3258" xr:uid="{00000000-0005-0000-0000-0000CD080000}"/>
    <cellStyle name="Protected" xfId="704" xr:uid="{00000000-0005-0000-0000-0000CE080000}"/>
    <cellStyle name="Protected 2" xfId="2174" xr:uid="{00000000-0005-0000-0000-0000CF080000}"/>
    <cellStyle name="Protected 3" xfId="2619" xr:uid="{00000000-0005-0000-0000-0000D0080000}"/>
    <cellStyle name="ProtectedDates" xfId="705" xr:uid="{00000000-0005-0000-0000-0000D1080000}"/>
    <cellStyle name="Provisional" xfId="706" xr:uid="{00000000-0005-0000-0000-0000D2080000}"/>
    <cellStyle name="PSChar" xfId="707" xr:uid="{00000000-0005-0000-0000-0000D3080000}"/>
    <cellStyle name="PSChar 2" xfId="2175" xr:uid="{00000000-0005-0000-0000-0000D4080000}"/>
    <cellStyle name="PSChar 3" xfId="2620" xr:uid="{00000000-0005-0000-0000-0000D5080000}"/>
    <cellStyle name="PSDate" xfId="708" xr:uid="{00000000-0005-0000-0000-0000D6080000}"/>
    <cellStyle name="PSDec" xfId="709" xr:uid="{00000000-0005-0000-0000-0000D7080000}"/>
    <cellStyle name="PSHeading" xfId="710" xr:uid="{00000000-0005-0000-0000-0000D8080000}"/>
    <cellStyle name="PSHeading 2" xfId="2176" xr:uid="{00000000-0005-0000-0000-0000D9080000}"/>
    <cellStyle name="PSHeading 3" xfId="2621" xr:uid="{00000000-0005-0000-0000-0000DA080000}"/>
    <cellStyle name="PSInt" xfId="711" xr:uid="{00000000-0005-0000-0000-0000DB080000}"/>
    <cellStyle name="PSSpacer" xfId="712" xr:uid="{00000000-0005-0000-0000-0000DC080000}"/>
    <cellStyle name="PSSpacer 2" xfId="2177" xr:uid="{00000000-0005-0000-0000-0000DD080000}"/>
    <cellStyle name="PSSpacer 3" xfId="2622" xr:uid="{00000000-0005-0000-0000-0000DE080000}"/>
    <cellStyle name="Quantity" xfId="713" xr:uid="{00000000-0005-0000-0000-0000DF080000}"/>
    <cellStyle name="Quantity 2" xfId="984" xr:uid="{00000000-0005-0000-0000-0000E0080000}"/>
    <cellStyle name="Quantity 3" xfId="1606" xr:uid="{00000000-0005-0000-0000-0000E1080000}"/>
    <cellStyle name="Quantity 4" xfId="3336" xr:uid="{00000000-0005-0000-0000-0000DF080000}"/>
    <cellStyle name="r" xfId="714" xr:uid="{00000000-0005-0000-0000-0000E2080000}"/>
    <cellStyle name="r 2" xfId="2178" xr:uid="{00000000-0005-0000-0000-0000E3080000}"/>
    <cellStyle name="r 3" xfId="2623" xr:uid="{00000000-0005-0000-0000-0000E4080000}"/>
    <cellStyle name="RatioX" xfId="715" xr:uid="{00000000-0005-0000-0000-0000E5080000}"/>
    <cellStyle name="RED" xfId="716" xr:uid="{00000000-0005-0000-0000-0000E6080000}"/>
    <cellStyle name="Red font" xfId="717" xr:uid="{00000000-0005-0000-0000-0000E7080000}"/>
    <cellStyle name="Red font 2" xfId="2179" xr:uid="{00000000-0005-0000-0000-0000E8080000}"/>
    <cellStyle name="Red font 3" xfId="2624" xr:uid="{00000000-0005-0000-0000-0000E9080000}"/>
    <cellStyle name="Red Text" xfId="718" xr:uid="{00000000-0005-0000-0000-0000EA080000}"/>
    <cellStyle name="Red Text 2" xfId="985" xr:uid="{00000000-0005-0000-0000-0000EB080000}"/>
    <cellStyle name="Red Text 3" xfId="1607" xr:uid="{00000000-0005-0000-0000-0000EC080000}"/>
    <cellStyle name="Red Text 4" xfId="2180" xr:uid="{00000000-0005-0000-0000-0000ED080000}"/>
    <cellStyle name="Red Text 5" xfId="2625" xr:uid="{00000000-0005-0000-0000-0000EE080000}"/>
    <cellStyle name="Red Text 6" xfId="3337" xr:uid="{00000000-0005-0000-0000-0000EA080000}"/>
    <cellStyle name="Reset range style to defaults" xfId="719" xr:uid="{00000000-0005-0000-0000-0000EF080000}"/>
    <cellStyle name="Reset range style to defaults 2" xfId="2181" xr:uid="{00000000-0005-0000-0000-0000F0080000}"/>
    <cellStyle name="Reset range style to defaults 3" xfId="2626" xr:uid="{00000000-0005-0000-0000-0000F1080000}"/>
    <cellStyle name="Restruct" xfId="720" xr:uid="{00000000-0005-0000-0000-0000F2080000}"/>
    <cellStyle name="Restruct 2" xfId="2182" xr:uid="{00000000-0005-0000-0000-0000F3080000}"/>
    <cellStyle name="Restruct 3" xfId="2627" xr:uid="{00000000-0005-0000-0000-0000F4080000}"/>
    <cellStyle name="Right" xfId="721" xr:uid="{00000000-0005-0000-0000-0000F5080000}"/>
    <cellStyle name="Right 2" xfId="2183" xr:uid="{00000000-0005-0000-0000-0000F6080000}"/>
    <cellStyle name="Right 3" xfId="2628" xr:uid="{00000000-0005-0000-0000-0000F7080000}"/>
    <cellStyle name="Row Ignore" xfId="722" xr:uid="{00000000-0005-0000-0000-0000F8080000}"/>
    <cellStyle name="Row Ignore 2" xfId="2184" xr:uid="{00000000-0005-0000-0000-0000F9080000}"/>
    <cellStyle name="Row Ignore 3" xfId="2629" xr:uid="{00000000-0005-0000-0000-0000FA080000}"/>
    <cellStyle name="Row Sub Total" xfId="723" xr:uid="{00000000-0005-0000-0000-0000FB080000}"/>
    <cellStyle name="Row Sub Total 2" xfId="2185" xr:uid="{00000000-0005-0000-0000-0000FC080000}"/>
    <cellStyle name="Row Sub Total 3" xfId="2630" xr:uid="{00000000-0005-0000-0000-0000FD080000}"/>
    <cellStyle name="Row Title 1" xfId="724" xr:uid="{00000000-0005-0000-0000-0000FE080000}"/>
    <cellStyle name="Row Title 2" xfId="725" xr:uid="{00000000-0005-0000-0000-0000FF080000}"/>
    <cellStyle name="Row Title 3" xfId="726" xr:uid="{00000000-0005-0000-0000-000000090000}"/>
    <cellStyle name="Row Total" xfId="727" xr:uid="{00000000-0005-0000-0000-000001090000}"/>
    <cellStyle name="Salomon Logo" xfId="728" xr:uid="{00000000-0005-0000-0000-000002090000}"/>
    <cellStyle name="Salomon Logo 2" xfId="2186" xr:uid="{00000000-0005-0000-0000-000003090000}"/>
    <cellStyle name="Salomon Logo 3" xfId="2631" xr:uid="{00000000-0005-0000-0000-000004090000}"/>
    <cellStyle name="SAPBEXaggData" xfId="729" xr:uid="{00000000-0005-0000-0000-000005090000}"/>
    <cellStyle name="SAPBEXaggData 2" xfId="1135" xr:uid="{00000000-0005-0000-0000-000006090000}"/>
    <cellStyle name="SAPBEXaggData 2 2" xfId="4234" xr:uid="{00000000-0005-0000-0000-000006090000}"/>
    <cellStyle name="SAPBEXaggData 2 2 2" xfId="14979" xr:uid="{00000000-0005-0000-0000-000006090000}"/>
    <cellStyle name="SAPBEXaggData 2 2 2 2" xfId="33383" xr:uid="{00000000-0005-0000-0000-000006090000}"/>
    <cellStyle name="SAPBEXaggData 2 2 2 3" xfId="51746" xr:uid="{00000000-0005-0000-0000-000006090000}"/>
    <cellStyle name="SAPBEXaggData 2 2 3" xfId="24112" xr:uid="{00000000-0005-0000-0000-000006090000}"/>
    <cellStyle name="SAPBEXaggData 2 2 3 2" xfId="42481" xr:uid="{00000000-0005-0000-0000-000006090000}"/>
    <cellStyle name="SAPBEXaggData 2 2 4" xfId="20432" xr:uid="{00000000-0005-0000-0000-000006090000}"/>
    <cellStyle name="SAPBEXaggData 2 2 5" xfId="38830" xr:uid="{00000000-0005-0000-0000-000006090000}"/>
    <cellStyle name="SAPBEXaggData 2 3" xfId="18086" xr:uid="{00000000-0005-0000-0000-000006090000}"/>
    <cellStyle name="SAPBEXaggData 2 3 2" xfId="36493" xr:uid="{00000000-0005-0000-0000-000006090000}"/>
    <cellStyle name="SAPBEXaggData 2 4" xfId="8965" xr:uid="{00000000-0005-0000-0000-000006090000}"/>
    <cellStyle name="SAPBEXaggData 2 5" xfId="10904" xr:uid="{00000000-0005-0000-0000-000006090000}"/>
    <cellStyle name="SAPBEXaggData 3" xfId="2981" xr:uid="{00000000-0005-0000-0000-000007090000}"/>
    <cellStyle name="SAPBEXaggData 3 2" xfId="5245" xr:uid="{00000000-0005-0000-0000-000007090000}"/>
    <cellStyle name="SAPBEXaggData 3 2 2" xfId="15937" xr:uid="{00000000-0005-0000-0000-000007090000}"/>
    <cellStyle name="SAPBEXaggData 3 2 2 2" xfId="34311" xr:uid="{00000000-0005-0000-0000-000007090000}"/>
    <cellStyle name="SAPBEXaggData 3 2 2 3" xfId="52674" xr:uid="{00000000-0005-0000-0000-000007090000}"/>
    <cellStyle name="SAPBEXaggData 3 2 3" xfId="25058" xr:uid="{00000000-0005-0000-0000-000007090000}"/>
    <cellStyle name="SAPBEXaggData 3 2 3 2" xfId="43427" xr:uid="{00000000-0005-0000-0000-000007090000}"/>
    <cellStyle name="SAPBEXaggData 3 2 4" xfId="21379" xr:uid="{00000000-0005-0000-0000-000007090000}"/>
    <cellStyle name="SAPBEXaggData 3 2 5" xfId="39758" xr:uid="{00000000-0005-0000-0000-000007090000}"/>
    <cellStyle name="SAPBEXaggData 3 3" xfId="22998" xr:uid="{00000000-0005-0000-0000-000007090000}"/>
    <cellStyle name="SAPBEXaggData 3 3 2" xfId="41367" xr:uid="{00000000-0005-0000-0000-000007090000}"/>
    <cellStyle name="SAPBEXaggData 3 4" xfId="17556" xr:uid="{00000000-0005-0000-0000-000007090000}"/>
    <cellStyle name="SAPBEXaggData 3 5" xfId="36000" xr:uid="{00000000-0005-0000-0000-000007090000}"/>
    <cellStyle name="SAPBEXaggData 4" xfId="3045" xr:uid="{00000000-0005-0000-0000-000008090000}"/>
    <cellStyle name="SAPBEXaggData 4 2" xfId="5297" xr:uid="{00000000-0005-0000-0000-000008090000}"/>
    <cellStyle name="SAPBEXaggData 4 2 2" xfId="15989" xr:uid="{00000000-0005-0000-0000-000008090000}"/>
    <cellStyle name="SAPBEXaggData 4 2 2 2" xfId="34363" xr:uid="{00000000-0005-0000-0000-000008090000}"/>
    <cellStyle name="SAPBEXaggData 4 2 2 3" xfId="52726" xr:uid="{00000000-0005-0000-0000-000008090000}"/>
    <cellStyle name="SAPBEXaggData 4 2 3" xfId="25110" xr:uid="{00000000-0005-0000-0000-000008090000}"/>
    <cellStyle name="SAPBEXaggData 4 2 3 2" xfId="43479" xr:uid="{00000000-0005-0000-0000-000008090000}"/>
    <cellStyle name="SAPBEXaggData 4 2 4" xfId="21431" xr:uid="{00000000-0005-0000-0000-000008090000}"/>
    <cellStyle name="SAPBEXaggData 4 2 5" xfId="39810" xr:uid="{00000000-0005-0000-0000-000008090000}"/>
    <cellStyle name="SAPBEXaggData 4 3" xfId="23047" xr:uid="{00000000-0005-0000-0000-000008090000}"/>
    <cellStyle name="SAPBEXaggData 4 3 2" xfId="41416" xr:uid="{00000000-0005-0000-0000-000008090000}"/>
    <cellStyle name="SAPBEXaggData 4 4" xfId="17607" xr:uid="{00000000-0005-0000-0000-000008090000}"/>
    <cellStyle name="SAPBEXaggData 4 5" xfId="36049" xr:uid="{00000000-0005-0000-0000-000008090000}"/>
    <cellStyle name="SAPBEXaggData 5" xfId="3256" xr:uid="{00000000-0005-0000-0000-000009090000}"/>
    <cellStyle name="SAPBEXaggData 5 2" xfId="5458" xr:uid="{00000000-0005-0000-0000-000009090000}"/>
    <cellStyle name="SAPBEXaggData 5 2 2" xfId="16149" xr:uid="{00000000-0005-0000-0000-000009090000}"/>
    <cellStyle name="SAPBEXaggData 5 2 2 2" xfId="34521" xr:uid="{00000000-0005-0000-0000-000009090000}"/>
    <cellStyle name="SAPBEXaggData 5 2 2 3" xfId="52884" xr:uid="{00000000-0005-0000-0000-000009090000}"/>
    <cellStyle name="SAPBEXaggData 5 2 3" xfId="25268" xr:uid="{00000000-0005-0000-0000-000009090000}"/>
    <cellStyle name="SAPBEXaggData 5 2 3 2" xfId="43637" xr:uid="{00000000-0005-0000-0000-000009090000}"/>
    <cellStyle name="SAPBEXaggData 5 2 4" xfId="21589" xr:uid="{00000000-0005-0000-0000-000009090000}"/>
    <cellStyle name="SAPBEXaggData 5 2 5" xfId="39968" xr:uid="{00000000-0005-0000-0000-000009090000}"/>
    <cellStyle name="SAPBEXaggData 5 3" xfId="23197" xr:uid="{00000000-0005-0000-0000-000009090000}"/>
    <cellStyle name="SAPBEXaggData 5 3 2" xfId="41566" xr:uid="{00000000-0005-0000-0000-000009090000}"/>
    <cellStyle name="SAPBEXaggData 5 4" xfId="17779" xr:uid="{00000000-0005-0000-0000-000009090000}"/>
    <cellStyle name="SAPBEXaggData 5 5" xfId="36199" xr:uid="{00000000-0005-0000-0000-000009090000}"/>
    <cellStyle name="SAPBEXaggData 6" xfId="4089" xr:uid="{00000000-0005-0000-0000-000005090000}"/>
    <cellStyle name="SAPBEXaggData 6 2" xfId="14843" xr:uid="{00000000-0005-0000-0000-000005090000}"/>
    <cellStyle name="SAPBEXaggData 6 2 2" xfId="33249" xr:uid="{00000000-0005-0000-0000-000005090000}"/>
    <cellStyle name="SAPBEXaggData 6 2 3" xfId="51612" xr:uid="{00000000-0005-0000-0000-000005090000}"/>
    <cellStyle name="SAPBEXaggData 6 3" xfId="23974" xr:uid="{00000000-0005-0000-0000-000005090000}"/>
    <cellStyle name="SAPBEXaggData 6 3 2" xfId="42343" xr:uid="{00000000-0005-0000-0000-000005090000}"/>
    <cellStyle name="SAPBEXaggData 6 4" xfId="20297" xr:uid="{00000000-0005-0000-0000-000005090000}"/>
    <cellStyle name="SAPBEXaggData 6 5" xfId="38696" xr:uid="{00000000-0005-0000-0000-000005090000}"/>
    <cellStyle name="SAPBEXaggData 7" xfId="19245" xr:uid="{00000000-0005-0000-0000-000005090000}"/>
    <cellStyle name="SAPBEXaggData 7 2" xfId="37652" xr:uid="{00000000-0005-0000-0000-000005090000}"/>
    <cellStyle name="SAPBEXaggData 8" xfId="7266" xr:uid="{00000000-0005-0000-0000-000005090000}"/>
    <cellStyle name="SAPBEXaggData 9" xfId="10871" xr:uid="{00000000-0005-0000-0000-000005090000}"/>
    <cellStyle name="SAPBEXaggDataEmph" xfId="730" xr:uid="{00000000-0005-0000-0000-00000A090000}"/>
    <cellStyle name="SAPBEXaggDataEmph 2" xfId="1136" xr:uid="{00000000-0005-0000-0000-00000B090000}"/>
    <cellStyle name="SAPBEXaggDataEmph 2 2" xfId="4235" xr:uid="{00000000-0005-0000-0000-00000B090000}"/>
    <cellStyle name="SAPBEXaggDataEmph 2 2 2" xfId="14980" xr:uid="{00000000-0005-0000-0000-00000B090000}"/>
    <cellStyle name="SAPBEXaggDataEmph 2 2 2 2" xfId="33384" xr:uid="{00000000-0005-0000-0000-00000B090000}"/>
    <cellStyle name="SAPBEXaggDataEmph 2 2 2 3" xfId="51747" xr:uid="{00000000-0005-0000-0000-00000B090000}"/>
    <cellStyle name="SAPBEXaggDataEmph 2 2 3" xfId="24113" xr:uid="{00000000-0005-0000-0000-00000B090000}"/>
    <cellStyle name="SAPBEXaggDataEmph 2 2 3 2" xfId="42482" xr:uid="{00000000-0005-0000-0000-00000B090000}"/>
    <cellStyle name="SAPBEXaggDataEmph 2 2 4" xfId="20433" xr:uid="{00000000-0005-0000-0000-00000B090000}"/>
    <cellStyle name="SAPBEXaggDataEmph 2 2 5" xfId="38831" xr:uid="{00000000-0005-0000-0000-00000B090000}"/>
    <cellStyle name="SAPBEXaggDataEmph 2 3" xfId="18247" xr:uid="{00000000-0005-0000-0000-00000B090000}"/>
    <cellStyle name="SAPBEXaggDataEmph 2 3 2" xfId="36653" xr:uid="{00000000-0005-0000-0000-00000B090000}"/>
    <cellStyle name="SAPBEXaggDataEmph 2 4" xfId="7528" xr:uid="{00000000-0005-0000-0000-00000B090000}"/>
    <cellStyle name="SAPBEXaggDataEmph 2 5" xfId="8613" xr:uid="{00000000-0005-0000-0000-00000B090000}"/>
    <cellStyle name="SAPBEXaggDataEmph 3" xfId="2980" xr:uid="{00000000-0005-0000-0000-00000C090000}"/>
    <cellStyle name="SAPBEXaggDataEmph 3 2" xfId="5244" xr:uid="{00000000-0005-0000-0000-00000C090000}"/>
    <cellStyle name="SAPBEXaggDataEmph 3 2 2" xfId="15936" xr:uid="{00000000-0005-0000-0000-00000C090000}"/>
    <cellStyle name="SAPBEXaggDataEmph 3 2 2 2" xfId="34310" xr:uid="{00000000-0005-0000-0000-00000C090000}"/>
    <cellStyle name="SAPBEXaggDataEmph 3 2 2 3" xfId="52673" xr:uid="{00000000-0005-0000-0000-00000C090000}"/>
    <cellStyle name="SAPBEXaggDataEmph 3 2 3" xfId="25057" xr:uid="{00000000-0005-0000-0000-00000C090000}"/>
    <cellStyle name="SAPBEXaggDataEmph 3 2 3 2" xfId="43426" xr:uid="{00000000-0005-0000-0000-00000C090000}"/>
    <cellStyle name="SAPBEXaggDataEmph 3 2 4" xfId="21378" xr:uid="{00000000-0005-0000-0000-00000C090000}"/>
    <cellStyle name="SAPBEXaggDataEmph 3 2 5" xfId="39757" xr:uid="{00000000-0005-0000-0000-00000C090000}"/>
    <cellStyle name="SAPBEXaggDataEmph 3 3" xfId="22997" xr:uid="{00000000-0005-0000-0000-00000C090000}"/>
    <cellStyle name="SAPBEXaggDataEmph 3 3 2" xfId="41366" xr:uid="{00000000-0005-0000-0000-00000C090000}"/>
    <cellStyle name="SAPBEXaggDataEmph 3 4" xfId="17555" xr:uid="{00000000-0005-0000-0000-00000C090000}"/>
    <cellStyle name="SAPBEXaggDataEmph 3 5" xfId="35999" xr:uid="{00000000-0005-0000-0000-00000C090000}"/>
    <cellStyle name="SAPBEXaggDataEmph 4" xfId="3046" xr:uid="{00000000-0005-0000-0000-00000D090000}"/>
    <cellStyle name="SAPBEXaggDataEmph 4 2" xfId="5298" xr:uid="{00000000-0005-0000-0000-00000D090000}"/>
    <cellStyle name="SAPBEXaggDataEmph 4 2 2" xfId="15990" xr:uid="{00000000-0005-0000-0000-00000D090000}"/>
    <cellStyle name="SAPBEXaggDataEmph 4 2 2 2" xfId="34364" xr:uid="{00000000-0005-0000-0000-00000D090000}"/>
    <cellStyle name="SAPBEXaggDataEmph 4 2 2 3" xfId="52727" xr:uid="{00000000-0005-0000-0000-00000D090000}"/>
    <cellStyle name="SAPBEXaggDataEmph 4 2 3" xfId="25111" xr:uid="{00000000-0005-0000-0000-00000D090000}"/>
    <cellStyle name="SAPBEXaggDataEmph 4 2 3 2" xfId="43480" xr:uid="{00000000-0005-0000-0000-00000D090000}"/>
    <cellStyle name="SAPBEXaggDataEmph 4 2 4" xfId="21432" xr:uid="{00000000-0005-0000-0000-00000D090000}"/>
    <cellStyle name="SAPBEXaggDataEmph 4 2 5" xfId="39811" xr:uid="{00000000-0005-0000-0000-00000D090000}"/>
    <cellStyle name="SAPBEXaggDataEmph 4 3" xfId="23048" xr:uid="{00000000-0005-0000-0000-00000D090000}"/>
    <cellStyle name="SAPBEXaggDataEmph 4 3 2" xfId="41417" xr:uid="{00000000-0005-0000-0000-00000D090000}"/>
    <cellStyle name="SAPBEXaggDataEmph 4 4" xfId="17608" xr:uid="{00000000-0005-0000-0000-00000D090000}"/>
    <cellStyle name="SAPBEXaggDataEmph 4 5" xfId="36050" xr:uid="{00000000-0005-0000-0000-00000D090000}"/>
    <cellStyle name="SAPBEXaggDataEmph 5" xfId="3255" xr:uid="{00000000-0005-0000-0000-00000E090000}"/>
    <cellStyle name="SAPBEXaggDataEmph 5 2" xfId="5457" xr:uid="{00000000-0005-0000-0000-00000E090000}"/>
    <cellStyle name="SAPBEXaggDataEmph 5 2 2" xfId="16148" xr:uid="{00000000-0005-0000-0000-00000E090000}"/>
    <cellStyle name="SAPBEXaggDataEmph 5 2 2 2" xfId="34520" xr:uid="{00000000-0005-0000-0000-00000E090000}"/>
    <cellStyle name="SAPBEXaggDataEmph 5 2 2 3" xfId="52883" xr:uid="{00000000-0005-0000-0000-00000E090000}"/>
    <cellStyle name="SAPBEXaggDataEmph 5 2 3" xfId="25267" xr:uid="{00000000-0005-0000-0000-00000E090000}"/>
    <cellStyle name="SAPBEXaggDataEmph 5 2 3 2" xfId="43636" xr:uid="{00000000-0005-0000-0000-00000E090000}"/>
    <cellStyle name="SAPBEXaggDataEmph 5 2 4" xfId="21588" xr:uid="{00000000-0005-0000-0000-00000E090000}"/>
    <cellStyle name="SAPBEXaggDataEmph 5 2 5" xfId="39967" xr:uid="{00000000-0005-0000-0000-00000E090000}"/>
    <cellStyle name="SAPBEXaggDataEmph 5 3" xfId="23196" xr:uid="{00000000-0005-0000-0000-00000E090000}"/>
    <cellStyle name="SAPBEXaggDataEmph 5 3 2" xfId="41565" xr:uid="{00000000-0005-0000-0000-00000E090000}"/>
    <cellStyle name="SAPBEXaggDataEmph 5 4" xfId="17778" xr:uid="{00000000-0005-0000-0000-00000E090000}"/>
    <cellStyle name="SAPBEXaggDataEmph 5 5" xfId="36198" xr:uid="{00000000-0005-0000-0000-00000E090000}"/>
    <cellStyle name="SAPBEXaggDataEmph 6" xfId="4090" xr:uid="{00000000-0005-0000-0000-00000A090000}"/>
    <cellStyle name="SAPBEXaggDataEmph 6 2" xfId="14844" xr:uid="{00000000-0005-0000-0000-00000A090000}"/>
    <cellStyle name="SAPBEXaggDataEmph 6 2 2" xfId="33250" xr:uid="{00000000-0005-0000-0000-00000A090000}"/>
    <cellStyle name="SAPBEXaggDataEmph 6 2 3" xfId="51613" xr:uid="{00000000-0005-0000-0000-00000A090000}"/>
    <cellStyle name="SAPBEXaggDataEmph 6 3" xfId="23975" xr:uid="{00000000-0005-0000-0000-00000A090000}"/>
    <cellStyle name="SAPBEXaggDataEmph 6 3 2" xfId="42344" xr:uid="{00000000-0005-0000-0000-00000A090000}"/>
    <cellStyle name="SAPBEXaggDataEmph 6 4" xfId="20298" xr:uid="{00000000-0005-0000-0000-00000A090000}"/>
    <cellStyle name="SAPBEXaggDataEmph 6 5" xfId="38697" xr:uid="{00000000-0005-0000-0000-00000A090000}"/>
    <cellStyle name="SAPBEXaggDataEmph 7" xfId="19340" xr:uid="{00000000-0005-0000-0000-00000A090000}"/>
    <cellStyle name="SAPBEXaggDataEmph 7 2" xfId="37747" xr:uid="{00000000-0005-0000-0000-00000A090000}"/>
    <cellStyle name="SAPBEXaggDataEmph 8" xfId="7302" xr:uid="{00000000-0005-0000-0000-00000A090000}"/>
    <cellStyle name="SAPBEXaggDataEmph 9" xfId="6964" xr:uid="{00000000-0005-0000-0000-00000A090000}"/>
    <cellStyle name="SAPBEXaggItem" xfId="731" xr:uid="{00000000-0005-0000-0000-00000F090000}"/>
    <cellStyle name="SAPBEXaggItem 2" xfId="1137" xr:uid="{00000000-0005-0000-0000-000010090000}"/>
    <cellStyle name="SAPBEXaggItem 2 2" xfId="4236" xr:uid="{00000000-0005-0000-0000-000010090000}"/>
    <cellStyle name="SAPBEXaggItem 2 2 2" xfId="14981" xr:uid="{00000000-0005-0000-0000-000010090000}"/>
    <cellStyle name="SAPBEXaggItem 2 2 2 2" xfId="33385" xr:uid="{00000000-0005-0000-0000-000010090000}"/>
    <cellStyle name="SAPBEXaggItem 2 2 2 3" xfId="51748" xr:uid="{00000000-0005-0000-0000-000010090000}"/>
    <cellStyle name="SAPBEXaggItem 2 2 3" xfId="24114" xr:uid="{00000000-0005-0000-0000-000010090000}"/>
    <cellStyle name="SAPBEXaggItem 2 2 3 2" xfId="42483" xr:uid="{00000000-0005-0000-0000-000010090000}"/>
    <cellStyle name="SAPBEXaggItem 2 2 4" xfId="20434" xr:uid="{00000000-0005-0000-0000-000010090000}"/>
    <cellStyle name="SAPBEXaggItem 2 2 5" xfId="38832" xr:uid="{00000000-0005-0000-0000-000010090000}"/>
    <cellStyle name="SAPBEXaggItem 2 3" xfId="17848" xr:uid="{00000000-0005-0000-0000-000010090000}"/>
    <cellStyle name="SAPBEXaggItem 2 3 2" xfId="36258" xr:uid="{00000000-0005-0000-0000-000010090000}"/>
    <cellStyle name="SAPBEXaggItem 2 4" xfId="10892" xr:uid="{00000000-0005-0000-0000-000010090000}"/>
    <cellStyle name="SAPBEXaggItem 2 5" xfId="8676" xr:uid="{00000000-0005-0000-0000-000010090000}"/>
    <cellStyle name="SAPBEXaggItem 3" xfId="2979" xr:uid="{00000000-0005-0000-0000-000011090000}"/>
    <cellStyle name="SAPBEXaggItem 3 2" xfId="5243" xr:uid="{00000000-0005-0000-0000-000011090000}"/>
    <cellStyle name="SAPBEXaggItem 3 2 2" xfId="15935" xr:uid="{00000000-0005-0000-0000-000011090000}"/>
    <cellStyle name="SAPBEXaggItem 3 2 2 2" xfId="34309" xr:uid="{00000000-0005-0000-0000-000011090000}"/>
    <cellStyle name="SAPBEXaggItem 3 2 2 3" xfId="52672" xr:uid="{00000000-0005-0000-0000-000011090000}"/>
    <cellStyle name="SAPBEXaggItem 3 2 3" xfId="25056" xr:uid="{00000000-0005-0000-0000-000011090000}"/>
    <cellStyle name="SAPBEXaggItem 3 2 3 2" xfId="43425" xr:uid="{00000000-0005-0000-0000-000011090000}"/>
    <cellStyle name="SAPBEXaggItem 3 2 4" xfId="21377" xr:uid="{00000000-0005-0000-0000-000011090000}"/>
    <cellStyle name="SAPBEXaggItem 3 2 5" xfId="39756" xr:uid="{00000000-0005-0000-0000-000011090000}"/>
    <cellStyle name="SAPBEXaggItem 3 3" xfId="22996" xr:uid="{00000000-0005-0000-0000-000011090000}"/>
    <cellStyle name="SAPBEXaggItem 3 3 2" xfId="41365" xr:uid="{00000000-0005-0000-0000-000011090000}"/>
    <cellStyle name="SAPBEXaggItem 3 4" xfId="17554" xr:uid="{00000000-0005-0000-0000-000011090000}"/>
    <cellStyle name="SAPBEXaggItem 3 5" xfId="35998" xr:uid="{00000000-0005-0000-0000-000011090000}"/>
    <cellStyle name="SAPBEXaggItem 4" xfId="3047" xr:uid="{00000000-0005-0000-0000-000012090000}"/>
    <cellStyle name="SAPBEXaggItem 4 2" xfId="5299" xr:uid="{00000000-0005-0000-0000-000012090000}"/>
    <cellStyle name="SAPBEXaggItem 4 2 2" xfId="15991" xr:uid="{00000000-0005-0000-0000-000012090000}"/>
    <cellStyle name="SAPBEXaggItem 4 2 2 2" xfId="34365" xr:uid="{00000000-0005-0000-0000-000012090000}"/>
    <cellStyle name="SAPBEXaggItem 4 2 2 3" xfId="52728" xr:uid="{00000000-0005-0000-0000-000012090000}"/>
    <cellStyle name="SAPBEXaggItem 4 2 3" xfId="25112" xr:uid="{00000000-0005-0000-0000-000012090000}"/>
    <cellStyle name="SAPBEXaggItem 4 2 3 2" xfId="43481" xr:uid="{00000000-0005-0000-0000-000012090000}"/>
    <cellStyle name="SAPBEXaggItem 4 2 4" xfId="21433" xr:uid="{00000000-0005-0000-0000-000012090000}"/>
    <cellStyle name="SAPBEXaggItem 4 2 5" xfId="39812" xr:uid="{00000000-0005-0000-0000-000012090000}"/>
    <cellStyle name="SAPBEXaggItem 4 3" xfId="23049" xr:uid="{00000000-0005-0000-0000-000012090000}"/>
    <cellStyle name="SAPBEXaggItem 4 3 2" xfId="41418" xr:uid="{00000000-0005-0000-0000-000012090000}"/>
    <cellStyle name="SAPBEXaggItem 4 4" xfId="17609" xr:uid="{00000000-0005-0000-0000-000012090000}"/>
    <cellStyle name="SAPBEXaggItem 4 5" xfId="36051" xr:uid="{00000000-0005-0000-0000-000012090000}"/>
    <cellStyle name="SAPBEXaggItem 5" xfId="3254" xr:uid="{00000000-0005-0000-0000-000013090000}"/>
    <cellStyle name="SAPBEXaggItem 5 2" xfId="5456" xr:uid="{00000000-0005-0000-0000-000013090000}"/>
    <cellStyle name="SAPBEXaggItem 5 2 2" xfId="16147" xr:uid="{00000000-0005-0000-0000-000013090000}"/>
    <cellStyle name="SAPBEXaggItem 5 2 2 2" xfId="34519" xr:uid="{00000000-0005-0000-0000-000013090000}"/>
    <cellStyle name="SAPBEXaggItem 5 2 2 3" xfId="52882" xr:uid="{00000000-0005-0000-0000-000013090000}"/>
    <cellStyle name="SAPBEXaggItem 5 2 3" xfId="25266" xr:uid="{00000000-0005-0000-0000-000013090000}"/>
    <cellStyle name="SAPBEXaggItem 5 2 3 2" xfId="43635" xr:uid="{00000000-0005-0000-0000-000013090000}"/>
    <cellStyle name="SAPBEXaggItem 5 2 4" xfId="21587" xr:uid="{00000000-0005-0000-0000-000013090000}"/>
    <cellStyle name="SAPBEXaggItem 5 2 5" xfId="39966" xr:uid="{00000000-0005-0000-0000-000013090000}"/>
    <cellStyle name="SAPBEXaggItem 5 3" xfId="23195" xr:uid="{00000000-0005-0000-0000-000013090000}"/>
    <cellStyle name="SAPBEXaggItem 5 3 2" xfId="41564" xr:uid="{00000000-0005-0000-0000-000013090000}"/>
    <cellStyle name="SAPBEXaggItem 5 4" xfId="17777" xr:uid="{00000000-0005-0000-0000-000013090000}"/>
    <cellStyle name="SAPBEXaggItem 5 5" xfId="36197" xr:uid="{00000000-0005-0000-0000-000013090000}"/>
    <cellStyle name="SAPBEXaggItem 6" xfId="4091" xr:uid="{00000000-0005-0000-0000-00000F090000}"/>
    <cellStyle name="SAPBEXaggItem 6 2" xfId="14845" xr:uid="{00000000-0005-0000-0000-00000F090000}"/>
    <cellStyle name="SAPBEXaggItem 6 2 2" xfId="33251" xr:uid="{00000000-0005-0000-0000-00000F090000}"/>
    <cellStyle name="SAPBEXaggItem 6 2 3" xfId="51614" xr:uid="{00000000-0005-0000-0000-00000F090000}"/>
    <cellStyle name="SAPBEXaggItem 6 3" xfId="23976" xr:uid="{00000000-0005-0000-0000-00000F090000}"/>
    <cellStyle name="SAPBEXaggItem 6 3 2" xfId="42345" xr:uid="{00000000-0005-0000-0000-00000F090000}"/>
    <cellStyle name="SAPBEXaggItem 6 4" xfId="20299" xr:uid="{00000000-0005-0000-0000-00000F090000}"/>
    <cellStyle name="SAPBEXaggItem 6 5" xfId="38698" xr:uid="{00000000-0005-0000-0000-00000F090000}"/>
    <cellStyle name="SAPBEXaggItem 7" xfId="18082" xr:uid="{00000000-0005-0000-0000-00000F090000}"/>
    <cellStyle name="SAPBEXaggItem 7 2" xfId="36489" xr:uid="{00000000-0005-0000-0000-00000F090000}"/>
    <cellStyle name="SAPBEXaggItem 8" xfId="8159" xr:uid="{00000000-0005-0000-0000-00000F090000}"/>
    <cellStyle name="SAPBEXaggItem 9" xfId="16901" xr:uid="{00000000-0005-0000-0000-00000F090000}"/>
    <cellStyle name="SAPBEXaggItemX" xfId="732" xr:uid="{00000000-0005-0000-0000-000014090000}"/>
    <cellStyle name="SAPBEXaggItemX 10" xfId="8441" xr:uid="{00000000-0005-0000-0000-000014090000}"/>
    <cellStyle name="SAPBEXaggItemX 11" xfId="11470" xr:uid="{00000000-0005-0000-0000-000014090000}"/>
    <cellStyle name="SAPBEXaggItemX 2" xfId="1138" xr:uid="{00000000-0005-0000-0000-000015090000}"/>
    <cellStyle name="SAPBEXaggItemX 2 2" xfId="4237" xr:uid="{00000000-0005-0000-0000-000015090000}"/>
    <cellStyle name="SAPBEXaggItemX 2 2 2" xfId="14982" xr:uid="{00000000-0005-0000-0000-000015090000}"/>
    <cellStyle name="SAPBEXaggItemX 2 2 2 2" xfId="33386" xr:uid="{00000000-0005-0000-0000-000015090000}"/>
    <cellStyle name="SAPBEXaggItemX 2 2 2 3" xfId="51749" xr:uid="{00000000-0005-0000-0000-000015090000}"/>
    <cellStyle name="SAPBEXaggItemX 2 2 3" xfId="24115" xr:uid="{00000000-0005-0000-0000-000015090000}"/>
    <cellStyle name="SAPBEXaggItemX 2 2 3 2" xfId="42484" xr:uid="{00000000-0005-0000-0000-000015090000}"/>
    <cellStyle name="SAPBEXaggItemX 2 2 4" xfId="20435" xr:uid="{00000000-0005-0000-0000-000015090000}"/>
    <cellStyle name="SAPBEXaggItemX 2 2 5" xfId="38833" xr:uid="{00000000-0005-0000-0000-000015090000}"/>
    <cellStyle name="SAPBEXaggItemX 2 3" xfId="18231" xr:uid="{00000000-0005-0000-0000-000015090000}"/>
    <cellStyle name="SAPBEXaggItemX 2 3 2" xfId="36637" xr:uid="{00000000-0005-0000-0000-000015090000}"/>
    <cellStyle name="SAPBEXaggItemX 2 4" xfId="8060" xr:uid="{00000000-0005-0000-0000-000015090000}"/>
    <cellStyle name="SAPBEXaggItemX 2 5" xfId="8249" xr:uid="{00000000-0005-0000-0000-000015090000}"/>
    <cellStyle name="SAPBEXaggItemX 3" xfId="2187" xr:uid="{00000000-0005-0000-0000-000016090000}"/>
    <cellStyle name="SAPBEXaggItemX 3 2" xfId="4922" xr:uid="{00000000-0005-0000-0000-000016090000}"/>
    <cellStyle name="SAPBEXaggItemX 3 2 2" xfId="15642" xr:uid="{00000000-0005-0000-0000-000016090000}"/>
    <cellStyle name="SAPBEXaggItemX 3 2 2 2" xfId="34031" xr:uid="{00000000-0005-0000-0000-000016090000}"/>
    <cellStyle name="SAPBEXaggItemX 3 2 2 3" xfId="52394" xr:uid="{00000000-0005-0000-0000-000016090000}"/>
    <cellStyle name="SAPBEXaggItemX 3 2 3" xfId="24764" xr:uid="{00000000-0005-0000-0000-000016090000}"/>
    <cellStyle name="SAPBEXaggItemX 3 2 3 2" xfId="43133" xr:uid="{00000000-0005-0000-0000-000016090000}"/>
    <cellStyle name="SAPBEXaggItemX 3 2 4" xfId="21090" xr:uid="{00000000-0005-0000-0000-000016090000}"/>
    <cellStyle name="SAPBEXaggItemX 3 2 5" xfId="39478" xr:uid="{00000000-0005-0000-0000-000016090000}"/>
    <cellStyle name="SAPBEXaggItemX 3 3" xfId="18216" xr:uid="{00000000-0005-0000-0000-000016090000}"/>
    <cellStyle name="SAPBEXaggItemX 3 3 2" xfId="36622" xr:uid="{00000000-0005-0000-0000-000016090000}"/>
    <cellStyle name="SAPBEXaggItemX 3 4" xfId="8598" xr:uid="{00000000-0005-0000-0000-000016090000}"/>
    <cellStyle name="SAPBEXaggItemX 3 5" xfId="11473" xr:uid="{00000000-0005-0000-0000-000016090000}"/>
    <cellStyle name="SAPBEXaggItemX 4" xfId="2632" xr:uid="{00000000-0005-0000-0000-000017090000}"/>
    <cellStyle name="SAPBEXaggItemX 4 2" xfId="5085" xr:uid="{00000000-0005-0000-0000-000017090000}"/>
    <cellStyle name="SAPBEXaggItemX 4 2 2" xfId="15795" xr:uid="{00000000-0005-0000-0000-000017090000}"/>
    <cellStyle name="SAPBEXaggItemX 4 2 2 2" xfId="34180" xr:uid="{00000000-0005-0000-0000-000017090000}"/>
    <cellStyle name="SAPBEXaggItemX 4 2 2 3" xfId="52543" xr:uid="{00000000-0005-0000-0000-000017090000}"/>
    <cellStyle name="SAPBEXaggItemX 4 2 3" xfId="24916" xr:uid="{00000000-0005-0000-0000-000017090000}"/>
    <cellStyle name="SAPBEXaggItemX 4 2 3 2" xfId="43285" xr:uid="{00000000-0005-0000-0000-000017090000}"/>
    <cellStyle name="SAPBEXaggItemX 4 2 4" xfId="21242" xr:uid="{00000000-0005-0000-0000-000017090000}"/>
    <cellStyle name="SAPBEXaggItemX 4 2 5" xfId="39627" xr:uid="{00000000-0005-0000-0000-000017090000}"/>
    <cellStyle name="SAPBEXaggItemX 4 3" xfId="18165" xr:uid="{00000000-0005-0000-0000-000017090000}"/>
    <cellStyle name="SAPBEXaggItemX 4 3 2" xfId="36571" xr:uid="{00000000-0005-0000-0000-000017090000}"/>
    <cellStyle name="SAPBEXaggItemX 4 4" xfId="11184" xr:uid="{00000000-0005-0000-0000-000017090000}"/>
    <cellStyle name="SAPBEXaggItemX 4 5" xfId="35874" xr:uid="{00000000-0005-0000-0000-000017090000}"/>
    <cellStyle name="SAPBEXaggItemX 5" xfId="2978" xr:uid="{00000000-0005-0000-0000-000018090000}"/>
    <cellStyle name="SAPBEXaggItemX 5 2" xfId="5242" xr:uid="{00000000-0005-0000-0000-000018090000}"/>
    <cellStyle name="SAPBEXaggItemX 5 2 2" xfId="15934" xr:uid="{00000000-0005-0000-0000-000018090000}"/>
    <cellStyle name="SAPBEXaggItemX 5 2 2 2" xfId="34308" xr:uid="{00000000-0005-0000-0000-000018090000}"/>
    <cellStyle name="SAPBEXaggItemX 5 2 2 3" xfId="52671" xr:uid="{00000000-0005-0000-0000-000018090000}"/>
    <cellStyle name="SAPBEXaggItemX 5 2 3" xfId="25055" xr:uid="{00000000-0005-0000-0000-000018090000}"/>
    <cellStyle name="SAPBEXaggItemX 5 2 3 2" xfId="43424" xr:uid="{00000000-0005-0000-0000-000018090000}"/>
    <cellStyle name="SAPBEXaggItemX 5 2 4" xfId="21376" xr:uid="{00000000-0005-0000-0000-000018090000}"/>
    <cellStyle name="SAPBEXaggItemX 5 2 5" xfId="39755" xr:uid="{00000000-0005-0000-0000-000018090000}"/>
    <cellStyle name="SAPBEXaggItemX 5 3" xfId="22995" xr:uid="{00000000-0005-0000-0000-000018090000}"/>
    <cellStyle name="SAPBEXaggItemX 5 3 2" xfId="41364" xr:uid="{00000000-0005-0000-0000-000018090000}"/>
    <cellStyle name="SAPBEXaggItemX 5 4" xfId="17553" xr:uid="{00000000-0005-0000-0000-000018090000}"/>
    <cellStyle name="SAPBEXaggItemX 5 5" xfId="35997" xr:uid="{00000000-0005-0000-0000-000018090000}"/>
    <cellStyle name="SAPBEXaggItemX 6" xfId="3048" xr:uid="{00000000-0005-0000-0000-000019090000}"/>
    <cellStyle name="SAPBEXaggItemX 6 2" xfId="5300" xr:uid="{00000000-0005-0000-0000-000019090000}"/>
    <cellStyle name="SAPBEXaggItemX 6 2 2" xfId="15992" xr:uid="{00000000-0005-0000-0000-000019090000}"/>
    <cellStyle name="SAPBEXaggItemX 6 2 2 2" xfId="34366" xr:uid="{00000000-0005-0000-0000-000019090000}"/>
    <cellStyle name="SAPBEXaggItemX 6 2 2 3" xfId="52729" xr:uid="{00000000-0005-0000-0000-000019090000}"/>
    <cellStyle name="SAPBEXaggItemX 6 2 3" xfId="25113" xr:uid="{00000000-0005-0000-0000-000019090000}"/>
    <cellStyle name="SAPBEXaggItemX 6 2 3 2" xfId="43482" xr:uid="{00000000-0005-0000-0000-000019090000}"/>
    <cellStyle name="SAPBEXaggItemX 6 2 4" xfId="21434" xr:uid="{00000000-0005-0000-0000-000019090000}"/>
    <cellStyle name="SAPBEXaggItemX 6 2 5" xfId="39813" xr:uid="{00000000-0005-0000-0000-000019090000}"/>
    <cellStyle name="SAPBEXaggItemX 6 3" xfId="23050" xr:uid="{00000000-0005-0000-0000-000019090000}"/>
    <cellStyle name="SAPBEXaggItemX 6 3 2" xfId="41419" xr:uid="{00000000-0005-0000-0000-000019090000}"/>
    <cellStyle name="SAPBEXaggItemX 6 4" xfId="17610" xr:uid="{00000000-0005-0000-0000-000019090000}"/>
    <cellStyle name="SAPBEXaggItemX 6 5" xfId="36052" xr:uid="{00000000-0005-0000-0000-000019090000}"/>
    <cellStyle name="SAPBEXaggItemX 7" xfId="3253" xr:uid="{00000000-0005-0000-0000-00001A090000}"/>
    <cellStyle name="SAPBEXaggItemX 7 2" xfId="5455" xr:uid="{00000000-0005-0000-0000-00001A090000}"/>
    <cellStyle name="SAPBEXaggItemX 7 2 2" xfId="16146" xr:uid="{00000000-0005-0000-0000-00001A090000}"/>
    <cellStyle name="SAPBEXaggItemX 7 2 2 2" xfId="34518" xr:uid="{00000000-0005-0000-0000-00001A090000}"/>
    <cellStyle name="SAPBEXaggItemX 7 2 2 3" xfId="52881" xr:uid="{00000000-0005-0000-0000-00001A090000}"/>
    <cellStyle name="SAPBEXaggItemX 7 2 3" xfId="25265" xr:uid="{00000000-0005-0000-0000-00001A090000}"/>
    <cellStyle name="SAPBEXaggItemX 7 2 3 2" xfId="43634" xr:uid="{00000000-0005-0000-0000-00001A090000}"/>
    <cellStyle name="SAPBEXaggItemX 7 2 4" xfId="21586" xr:uid="{00000000-0005-0000-0000-00001A090000}"/>
    <cellStyle name="SAPBEXaggItemX 7 2 5" xfId="39965" xr:uid="{00000000-0005-0000-0000-00001A090000}"/>
    <cellStyle name="SAPBEXaggItemX 7 3" xfId="23194" xr:uid="{00000000-0005-0000-0000-00001A090000}"/>
    <cellStyle name="SAPBEXaggItemX 7 3 2" xfId="41563" xr:uid="{00000000-0005-0000-0000-00001A090000}"/>
    <cellStyle name="SAPBEXaggItemX 7 4" xfId="17776" xr:uid="{00000000-0005-0000-0000-00001A090000}"/>
    <cellStyle name="SAPBEXaggItemX 7 5" xfId="36196" xr:uid="{00000000-0005-0000-0000-00001A090000}"/>
    <cellStyle name="SAPBEXaggItemX 8" xfId="4092" xr:uid="{00000000-0005-0000-0000-000014090000}"/>
    <cellStyle name="SAPBEXaggItemX 8 2" xfId="14846" xr:uid="{00000000-0005-0000-0000-000014090000}"/>
    <cellStyle name="SAPBEXaggItemX 8 2 2" xfId="33252" xr:uid="{00000000-0005-0000-0000-000014090000}"/>
    <cellStyle name="SAPBEXaggItemX 8 2 3" xfId="51615" xr:uid="{00000000-0005-0000-0000-000014090000}"/>
    <cellStyle name="SAPBEXaggItemX 8 3" xfId="23977" xr:uid="{00000000-0005-0000-0000-000014090000}"/>
    <cellStyle name="SAPBEXaggItemX 8 3 2" xfId="42346" xr:uid="{00000000-0005-0000-0000-000014090000}"/>
    <cellStyle name="SAPBEXaggItemX 8 4" xfId="20300" xr:uid="{00000000-0005-0000-0000-000014090000}"/>
    <cellStyle name="SAPBEXaggItemX 8 5" xfId="38699" xr:uid="{00000000-0005-0000-0000-000014090000}"/>
    <cellStyle name="SAPBEXaggItemX 9" xfId="19536" xr:uid="{00000000-0005-0000-0000-000014090000}"/>
    <cellStyle name="SAPBEXaggItemX 9 2" xfId="37942" xr:uid="{00000000-0005-0000-0000-000014090000}"/>
    <cellStyle name="SAPBEXchaText" xfId="733" xr:uid="{00000000-0005-0000-0000-00001B090000}"/>
    <cellStyle name="SAPBEXexcBad7" xfId="734" xr:uid="{00000000-0005-0000-0000-00001C090000}"/>
    <cellStyle name="SAPBEXexcBad7 2" xfId="1139" xr:uid="{00000000-0005-0000-0000-00001D090000}"/>
    <cellStyle name="SAPBEXexcBad7 2 2" xfId="4238" xr:uid="{00000000-0005-0000-0000-00001D090000}"/>
    <cellStyle name="SAPBEXexcBad7 2 2 2" xfId="14983" xr:uid="{00000000-0005-0000-0000-00001D090000}"/>
    <cellStyle name="SAPBEXexcBad7 2 2 2 2" xfId="33387" xr:uid="{00000000-0005-0000-0000-00001D090000}"/>
    <cellStyle name="SAPBEXexcBad7 2 2 2 3" xfId="51750" xr:uid="{00000000-0005-0000-0000-00001D090000}"/>
    <cellStyle name="SAPBEXexcBad7 2 2 3" xfId="24116" xr:uid="{00000000-0005-0000-0000-00001D090000}"/>
    <cellStyle name="SAPBEXexcBad7 2 2 3 2" xfId="42485" xr:uid="{00000000-0005-0000-0000-00001D090000}"/>
    <cellStyle name="SAPBEXexcBad7 2 2 4" xfId="20436" xr:uid="{00000000-0005-0000-0000-00001D090000}"/>
    <cellStyle name="SAPBEXexcBad7 2 2 5" xfId="38834" xr:uid="{00000000-0005-0000-0000-00001D090000}"/>
    <cellStyle name="SAPBEXexcBad7 2 3" xfId="19204" xr:uid="{00000000-0005-0000-0000-00001D090000}"/>
    <cellStyle name="SAPBEXexcBad7 2 3 2" xfId="37611" xr:uid="{00000000-0005-0000-0000-00001D090000}"/>
    <cellStyle name="SAPBEXexcBad7 2 4" xfId="11344" xr:uid="{00000000-0005-0000-0000-00001D090000}"/>
    <cellStyle name="SAPBEXexcBad7 2 5" xfId="8845" xr:uid="{00000000-0005-0000-0000-00001D090000}"/>
    <cellStyle name="SAPBEXexcBad7 3" xfId="2977" xr:uid="{00000000-0005-0000-0000-00001E090000}"/>
    <cellStyle name="SAPBEXexcBad7 3 2" xfId="5241" xr:uid="{00000000-0005-0000-0000-00001E090000}"/>
    <cellStyle name="SAPBEXexcBad7 3 2 2" xfId="15933" xr:uid="{00000000-0005-0000-0000-00001E090000}"/>
    <cellStyle name="SAPBEXexcBad7 3 2 2 2" xfId="34307" xr:uid="{00000000-0005-0000-0000-00001E090000}"/>
    <cellStyle name="SAPBEXexcBad7 3 2 2 3" xfId="52670" xr:uid="{00000000-0005-0000-0000-00001E090000}"/>
    <cellStyle name="SAPBEXexcBad7 3 2 3" xfId="25054" xr:uid="{00000000-0005-0000-0000-00001E090000}"/>
    <cellStyle name="SAPBEXexcBad7 3 2 3 2" xfId="43423" xr:uid="{00000000-0005-0000-0000-00001E090000}"/>
    <cellStyle name="SAPBEXexcBad7 3 2 4" xfId="21375" xr:uid="{00000000-0005-0000-0000-00001E090000}"/>
    <cellStyle name="SAPBEXexcBad7 3 2 5" xfId="39754" xr:uid="{00000000-0005-0000-0000-00001E090000}"/>
    <cellStyle name="SAPBEXexcBad7 3 3" xfId="22994" xr:uid="{00000000-0005-0000-0000-00001E090000}"/>
    <cellStyle name="SAPBEXexcBad7 3 3 2" xfId="41363" xr:uid="{00000000-0005-0000-0000-00001E090000}"/>
    <cellStyle name="SAPBEXexcBad7 3 4" xfId="17552" xr:uid="{00000000-0005-0000-0000-00001E090000}"/>
    <cellStyle name="SAPBEXexcBad7 3 5" xfId="35996" xr:uid="{00000000-0005-0000-0000-00001E090000}"/>
    <cellStyle name="SAPBEXexcBad7 4" xfId="3049" xr:uid="{00000000-0005-0000-0000-00001F090000}"/>
    <cellStyle name="SAPBEXexcBad7 4 2" xfId="5301" xr:uid="{00000000-0005-0000-0000-00001F090000}"/>
    <cellStyle name="SAPBEXexcBad7 4 2 2" xfId="15993" xr:uid="{00000000-0005-0000-0000-00001F090000}"/>
    <cellStyle name="SAPBEXexcBad7 4 2 2 2" xfId="34367" xr:uid="{00000000-0005-0000-0000-00001F090000}"/>
    <cellStyle name="SAPBEXexcBad7 4 2 2 3" xfId="52730" xr:uid="{00000000-0005-0000-0000-00001F090000}"/>
    <cellStyle name="SAPBEXexcBad7 4 2 3" xfId="25114" xr:uid="{00000000-0005-0000-0000-00001F090000}"/>
    <cellStyle name="SAPBEXexcBad7 4 2 3 2" xfId="43483" xr:uid="{00000000-0005-0000-0000-00001F090000}"/>
    <cellStyle name="SAPBEXexcBad7 4 2 4" xfId="21435" xr:uid="{00000000-0005-0000-0000-00001F090000}"/>
    <cellStyle name="SAPBEXexcBad7 4 2 5" xfId="39814" xr:uid="{00000000-0005-0000-0000-00001F090000}"/>
    <cellStyle name="SAPBEXexcBad7 4 3" xfId="23051" xr:uid="{00000000-0005-0000-0000-00001F090000}"/>
    <cellStyle name="SAPBEXexcBad7 4 3 2" xfId="41420" xr:uid="{00000000-0005-0000-0000-00001F090000}"/>
    <cellStyle name="SAPBEXexcBad7 4 4" xfId="17611" xr:uid="{00000000-0005-0000-0000-00001F090000}"/>
    <cellStyle name="SAPBEXexcBad7 4 5" xfId="36053" xr:uid="{00000000-0005-0000-0000-00001F090000}"/>
    <cellStyle name="SAPBEXexcBad7 5" xfId="3252" xr:uid="{00000000-0005-0000-0000-000020090000}"/>
    <cellStyle name="SAPBEXexcBad7 5 2" xfId="5454" xr:uid="{00000000-0005-0000-0000-000020090000}"/>
    <cellStyle name="SAPBEXexcBad7 5 2 2" xfId="16145" xr:uid="{00000000-0005-0000-0000-000020090000}"/>
    <cellStyle name="SAPBEXexcBad7 5 2 2 2" xfId="34517" xr:uid="{00000000-0005-0000-0000-000020090000}"/>
    <cellStyle name="SAPBEXexcBad7 5 2 2 3" xfId="52880" xr:uid="{00000000-0005-0000-0000-000020090000}"/>
    <cellStyle name="SAPBEXexcBad7 5 2 3" xfId="25264" xr:uid="{00000000-0005-0000-0000-000020090000}"/>
    <cellStyle name="SAPBEXexcBad7 5 2 3 2" xfId="43633" xr:uid="{00000000-0005-0000-0000-000020090000}"/>
    <cellStyle name="SAPBEXexcBad7 5 2 4" xfId="21585" xr:uid="{00000000-0005-0000-0000-000020090000}"/>
    <cellStyle name="SAPBEXexcBad7 5 2 5" xfId="39964" xr:uid="{00000000-0005-0000-0000-000020090000}"/>
    <cellStyle name="SAPBEXexcBad7 5 3" xfId="23193" xr:uid="{00000000-0005-0000-0000-000020090000}"/>
    <cellStyle name="SAPBEXexcBad7 5 3 2" xfId="41562" xr:uid="{00000000-0005-0000-0000-000020090000}"/>
    <cellStyle name="SAPBEXexcBad7 5 4" xfId="17775" xr:uid="{00000000-0005-0000-0000-000020090000}"/>
    <cellStyle name="SAPBEXexcBad7 5 5" xfId="36195" xr:uid="{00000000-0005-0000-0000-000020090000}"/>
    <cellStyle name="SAPBEXexcBad7 6" xfId="4093" xr:uid="{00000000-0005-0000-0000-00001C090000}"/>
    <cellStyle name="SAPBEXexcBad7 6 2" xfId="14847" xr:uid="{00000000-0005-0000-0000-00001C090000}"/>
    <cellStyle name="SAPBEXexcBad7 6 2 2" xfId="33253" xr:uid="{00000000-0005-0000-0000-00001C090000}"/>
    <cellStyle name="SAPBEXexcBad7 6 2 3" xfId="51616" xr:uid="{00000000-0005-0000-0000-00001C090000}"/>
    <cellStyle name="SAPBEXexcBad7 6 3" xfId="23978" xr:uid="{00000000-0005-0000-0000-00001C090000}"/>
    <cellStyle name="SAPBEXexcBad7 6 3 2" xfId="42347" xr:uid="{00000000-0005-0000-0000-00001C090000}"/>
    <cellStyle name="SAPBEXexcBad7 6 4" xfId="20301" xr:uid="{00000000-0005-0000-0000-00001C090000}"/>
    <cellStyle name="SAPBEXexcBad7 6 5" xfId="38700" xr:uid="{00000000-0005-0000-0000-00001C090000}"/>
    <cellStyle name="SAPBEXexcBad7 7" xfId="19469" xr:uid="{00000000-0005-0000-0000-00001C090000}"/>
    <cellStyle name="SAPBEXexcBad7 7 2" xfId="37875" xr:uid="{00000000-0005-0000-0000-00001C090000}"/>
    <cellStyle name="SAPBEXexcBad7 8" xfId="7039" xr:uid="{00000000-0005-0000-0000-00001C090000}"/>
    <cellStyle name="SAPBEXexcBad7 9" xfId="11627" xr:uid="{00000000-0005-0000-0000-00001C090000}"/>
    <cellStyle name="SAPBEXexcBad8" xfId="735" xr:uid="{00000000-0005-0000-0000-000021090000}"/>
    <cellStyle name="SAPBEXexcBad8 2" xfId="1140" xr:uid="{00000000-0005-0000-0000-000022090000}"/>
    <cellStyle name="SAPBEXexcBad8 2 2" xfId="4239" xr:uid="{00000000-0005-0000-0000-000022090000}"/>
    <cellStyle name="SAPBEXexcBad8 2 2 2" xfId="14984" xr:uid="{00000000-0005-0000-0000-000022090000}"/>
    <cellStyle name="SAPBEXexcBad8 2 2 2 2" xfId="33388" xr:uid="{00000000-0005-0000-0000-000022090000}"/>
    <cellStyle name="SAPBEXexcBad8 2 2 2 3" xfId="51751" xr:uid="{00000000-0005-0000-0000-000022090000}"/>
    <cellStyle name="SAPBEXexcBad8 2 2 3" xfId="24117" xr:uid="{00000000-0005-0000-0000-000022090000}"/>
    <cellStyle name="SAPBEXexcBad8 2 2 3 2" xfId="42486" xr:uid="{00000000-0005-0000-0000-000022090000}"/>
    <cellStyle name="SAPBEXexcBad8 2 2 4" xfId="20437" xr:uid="{00000000-0005-0000-0000-000022090000}"/>
    <cellStyle name="SAPBEXexcBad8 2 2 5" xfId="38835" xr:uid="{00000000-0005-0000-0000-000022090000}"/>
    <cellStyle name="SAPBEXexcBad8 2 3" xfId="17849" xr:uid="{00000000-0005-0000-0000-000022090000}"/>
    <cellStyle name="SAPBEXexcBad8 2 3 2" xfId="36259" xr:uid="{00000000-0005-0000-0000-000022090000}"/>
    <cellStyle name="SAPBEXexcBad8 2 4" xfId="8769" xr:uid="{00000000-0005-0000-0000-000022090000}"/>
    <cellStyle name="SAPBEXexcBad8 2 5" xfId="20288" xr:uid="{00000000-0005-0000-0000-000022090000}"/>
    <cellStyle name="SAPBEXexcBad8 3" xfId="2976" xr:uid="{00000000-0005-0000-0000-000023090000}"/>
    <cellStyle name="SAPBEXexcBad8 3 2" xfId="5240" xr:uid="{00000000-0005-0000-0000-000023090000}"/>
    <cellStyle name="SAPBEXexcBad8 3 2 2" xfId="15932" xr:uid="{00000000-0005-0000-0000-000023090000}"/>
    <cellStyle name="SAPBEXexcBad8 3 2 2 2" xfId="34306" xr:uid="{00000000-0005-0000-0000-000023090000}"/>
    <cellStyle name="SAPBEXexcBad8 3 2 2 3" xfId="52669" xr:uid="{00000000-0005-0000-0000-000023090000}"/>
    <cellStyle name="SAPBEXexcBad8 3 2 3" xfId="25053" xr:uid="{00000000-0005-0000-0000-000023090000}"/>
    <cellStyle name="SAPBEXexcBad8 3 2 3 2" xfId="43422" xr:uid="{00000000-0005-0000-0000-000023090000}"/>
    <cellStyle name="SAPBEXexcBad8 3 2 4" xfId="21374" xr:uid="{00000000-0005-0000-0000-000023090000}"/>
    <cellStyle name="SAPBEXexcBad8 3 2 5" xfId="39753" xr:uid="{00000000-0005-0000-0000-000023090000}"/>
    <cellStyle name="SAPBEXexcBad8 3 3" xfId="22993" xr:uid="{00000000-0005-0000-0000-000023090000}"/>
    <cellStyle name="SAPBEXexcBad8 3 3 2" xfId="41362" xr:uid="{00000000-0005-0000-0000-000023090000}"/>
    <cellStyle name="SAPBEXexcBad8 3 4" xfId="17551" xr:uid="{00000000-0005-0000-0000-000023090000}"/>
    <cellStyle name="SAPBEXexcBad8 3 5" xfId="35995" xr:uid="{00000000-0005-0000-0000-000023090000}"/>
    <cellStyle name="SAPBEXexcBad8 4" xfId="3050" xr:uid="{00000000-0005-0000-0000-000024090000}"/>
    <cellStyle name="SAPBEXexcBad8 4 2" xfId="5302" xr:uid="{00000000-0005-0000-0000-000024090000}"/>
    <cellStyle name="SAPBEXexcBad8 4 2 2" xfId="15994" xr:uid="{00000000-0005-0000-0000-000024090000}"/>
    <cellStyle name="SAPBEXexcBad8 4 2 2 2" xfId="34368" xr:uid="{00000000-0005-0000-0000-000024090000}"/>
    <cellStyle name="SAPBEXexcBad8 4 2 2 3" xfId="52731" xr:uid="{00000000-0005-0000-0000-000024090000}"/>
    <cellStyle name="SAPBEXexcBad8 4 2 3" xfId="25115" xr:uid="{00000000-0005-0000-0000-000024090000}"/>
    <cellStyle name="SAPBEXexcBad8 4 2 3 2" xfId="43484" xr:uid="{00000000-0005-0000-0000-000024090000}"/>
    <cellStyle name="SAPBEXexcBad8 4 2 4" xfId="21436" xr:uid="{00000000-0005-0000-0000-000024090000}"/>
    <cellStyle name="SAPBEXexcBad8 4 2 5" xfId="39815" xr:uid="{00000000-0005-0000-0000-000024090000}"/>
    <cellStyle name="SAPBEXexcBad8 4 3" xfId="23052" xr:uid="{00000000-0005-0000-0000-000024090000}"/>
    <cellStyle name="SAPBEXexcBad8 4 3 2" xfId="41421" xr:uid="{00000000-0005-0000-0000-000024090000}"/>
    <cellStyle name="SAPBEXexcBad8 4 4" xfId="17612" xr:uid="{00000000-0005-0000-0000-000024090000}"/>
    <cellStyle name="SAPBEXexcBad8 4 5" xfId="36054" xr:uid="{00000000-0005-0000-0000-000024090000}"/>
    <cellStyle name="SAPBEXexcBad8 5" xfId="3251" xr:uid="{00000000-0005-0000-0000-000025090000}"/>
    <cellStyle name="SAPBEXexcBad8 5 2" xfId="5453" xr:uid="{00000000-0005-0000-0000-000025090000}"/>
    <cellStyle name="SAPBEXexcBad8 5 2 2" xfId="16144" xr:uid="{00000000-0005-0000-0000-000025090000}"/>
    <cellStyle name="SAPBEXexcBad8 5 2 2 2" xfId="34516" xr:uid="{00000000-0005-0000-0000-000025090000}"/>
    <cellStyle name="SAPBEXexcBad8 5 2 2 3" xfId="52879" xr:uid="{00000000-0005-0000-0000-000025090000}"/>
    <cellStyle name="SAPBEXexcBad8 5 2 3" xfId="25263" xr:uid="{00000000-0005-0000-0000-000025090000}"/>
    <cellStyle name="SAPBEXexcBad8 5 2 3 2" xfId="43632" xr:uid="{00000000-0005-0000-0000-000025090000}"/>
    <cellStyle name="SAPBEXexcBad8 5 2 4" xfId="21584" xr:uid="{00000000-0005-0000-0000-000025090000}"/>
    <cellStyle name="SAPBEXexcBad8 5 2 5" xfId="39963" xr:uid="{00000000-0005-0000-0000-000025090000}"/>
    <cellStyle name="SAPBEXexcBad8 5 3" xfId="23192" xr:uid="{00000000-0005-0000-0000-000025090000}"/>
    <cellStyle name="SAPBEXexcBad8 5 3 2" xfId="41561" xr:uid="{00000000-0005-0000-0000-000025090000}"/>
    <cellStyle name="SAPBEXexcBad8 5 4" xfId="17774" xr:uid="{00000000-0005-0000-0000-000025090000}"/>
    <cellStyle name="SAPBEXexcBad8 5 5" xfId="36194" xr:uid="{00000000-0005-0000-0000-000025090000}"/>
    <cellStyle name="SAPBEXexcBad8 6" xfId="4094" xr:uid="{00000000-0005-0000-0000-000021090000}"/>
    <cellStyle name="SAPBEXexcBad8 6 2" xfId="14848" xr:uid="{00000000-0005-0000-0000-000021090000}"/>
    <cellStyle name="SAPBEXexcBad8 6 2 2" xfId="33254" xr:uid="{00000000-0005-0000-0000-000021090000}"/>
    <cellStyle name="SAPBEXexcBad8 6 2 3" xfId="51617" xr:uid="{00000000-0005-0000-0000-000021090000}"/>
    <cellStyle name="SAPBEXexcBad8 6 3" xfId="23979" xr:uid="{00000000-0005-0000-0000-000021090000}"/>
    <cellStyle name="SAPBEXexcBad8 6 3 2" xfId="42348" xr:uid="{00000000-0005-0000-0000-000021090000}"/>
    <cellStyle name="SAPBEXexcBad8 6 4" xfId="20302" xr:uid="{00000000-0005-0000-0000-000021090000}"/>
    <cellStyle name="SAPBEXexcBad8 6 5" xfId="38701" xr:uid="{00000000-0005-0000-0000-000021090000}"/>
    <cellStyle name="SAPBEXexcBad8 7" xfId="19150" xr:uid="{00000000-0005-0000-0000-000021090000}"/>
    <cellStyle name="SAPBEXexcBad8 7 2" xfId="37558" xr:uid="{00000000-0005-0000-0000-000021090000}"/>
    <cellStyle name="SAPBEXexcBad8 8" xfId="8223" xr:uid="{00000000-0005-0000-0000-000021090000}"/>
    <cellStyle name="SAPBEXexcBad8 9" xfId="7628" xr:uid="{00000000-0005-0000-0000-000021090000}"/>
    <cellStyle name="SAPBEXexcBad9" xfId="736" xr:uid="{00000000-0005-0000-0000-000026090000}"/>
    <cellStyle name="SAPBEXexcBad9 2" xfId="1141" xr:uid="{00000000-0005-0000-0000-000027090000}"/>
    <cellStyle name="SAPBEXexcBad9 2 2" xfId="4240" xr:uid="{00000000-0005-0000-0000-000027090000}"/>
    <cellStyle name="SAPBEXexcBad9 2 2 2" xfId="14985" xr:uid="{00000000-0005-0000-0000-000027090000}"/>
    <cellStyle name="SAPBEXexcBad9 2 2 2 2" xfId="33389" xr:uid="{00000000-0005-0000-0000-000027090000}"/>
    <cellStyle name="SAPBEXexcBad9 2 2 2 3" xfId="51752" xr:uid="{00000000-0005-0000-0000-000027090000}"/>
    <cellStyle name="SAPBEXexcBad9 2 2 3" xfId="24118" xr:uid="{00000000-0005-0000-0000-000027090000}"/>
    <cellStyle name="SAPBEXexcBad9 2 2 3 2" xfId="42487" xr:uid="{00000000-0005-0000-0000-000027090000}"/>
    <cellStyle name="SAPBEXexcBad9 2 2 4" xfId="20438" xr:uid="{00000000-0005-0000-0000-000027090000}"/>
    <cellStyle name="SAPBEXexcBad9 2 2 5" xfId="38836" xr:uid="{00000000-0005-0000-0000-000027090000}"/>
    <cellStyle name="SAPBEXexcBad9 2 3" xfId="18347" xr:uid="{00000000-0005-0000-0000-000027090000}"/>
    <cellStyle name="SAPBEXexcBad9 2 3 2" xfId="36753" xr:uid="{00000000-0005-0000-0000-000027090000}"/>
    <cellStyle name="SAPBEXexcBad9 2 4" xfId="12588" xr:uid="{00000000-0005-0000-0000-000027090000}"/>
    <cellStyle name="SAPBEXexcBad9 2 5" xfId="17837" xr:uid="{00000000-0005-0000-0000-000027090000}"/>
    <cellStyle name="SAPBEXexcBad9 3" xfId="2975" xr:uid="{00000000-0005-0000-0000-000028090000}"/>
    <cellStyle name="SAPBEXexcBad9 3 2" xfId="5239" xr:uid="{00000000-0005-0000-0000-000028090000}"/>
    <cellStyle name="SAPBEXexcBad9 3 2 2" xfId="15931" xr:uid="{00000000-0005-0000-0000-000028090000}"/>
    <cellStyle name="SAPBEXexcBad9 3 2 2 2" xfId="34305" xr:uid="{00000000-0005-0000-0000-000028090000}"/>
    <cellStyle name="SAPBEXexcBad9 3 2 2 3" xfId="52668" xr:uid="{00000000-0005-0000-0000-000028090000}"/>
    <cellStyle name="SAPBEXexcBad9 3 2 3" xfId="25052" xr:uid="{00000000-0005-0000-0000-000028090000}"/>
    <cellStyle name="SAPBEXexcBad9 3 2 3 2" xfId="43421" xr:uid="{00000000-0005-0000-0000-000028090000}"/>
    <cellStyle name="SAPBEXexcBad9 3 2 4" xfId="21373" xr:uid="{00000000-0005-0000-0000-000028090000}"/>
    <cellStyle name="SAPBEXexcBad9 3 2 5" xfId="39752" xr:uid="{00000000-0005-0000-0000-000028090000}"/>
    <cellStyle name="SAPBEXexcBad9 3 3" xfId="22992" xr:uid="{00000000-0005-0000-0000-000028090000}"/>
    <cellStyle name="SAPBEXexcBad9 3 3 2" xfId="41361" xr:uid="{00000000-0005-0000-0000-000028090000}"/>
    <cellStyle name="SAPBEXexcBad9 3 4" xfId="17550" xr:uid="{00000000-0005-0000-0000-000028090000}"/>
    <cellStyle name="SAPBEXexcBad9 3 5" xfId="35994" xr:uid="{00000000-0005-0000-0000-000028090000}"/>
    <cellStyle name="SAPBEXexcBad9 4" xfId="3051" xr:uid="{00000000-0005-0000-0000-000029090000}"/>
    <cellStyle name="SAPBEXexcBad9 4 2" xfId="5303" xr:uid="{00000000-0005-0000-0000-000029090000}"/>
    <cellStyle name="SAPBEXexcBad9 4 2 2" xfId="15995" xr:uid="{00000000-0005-0000-0000-000029090000}"/>
    <cellStyle name="SAPBEXexcBad9 4 2 2 2" xfId="34369" xr:uid="{00000000-0005-0000-0000-000029090000}"/>
    <cellStyle name="SAPBEXexcBad9 4 2 2 3" xfId="52732" xr:uid="{00000000-0005-0000-0000-000029090000}"/>
    <cellStyle name="SAPBEXexcBad9 4 2 3" xfId="25116" xr:uid="{00000000-0005-0000-0000-000029090000}"/>
    <cellStyle name="SAPBEXexcBad9 4 2 3 2" xfId="43485" xr:uid="{00000000-0005-0000-0000-000029090000}"/>
    <cellStyle name="SAPBEXexcBad9 4 2 4" xfId="21437" xr:uid="{00000000-0005-0000-0000-000029090000}"/>
    <cellStyle name="SAPBEXexcBad9 4 2 5" xfId="39816" xr:uid="{00000000-0005-0000-0000-000029090000}"/>
    <cellStyle name="SAPBEXexcBad9 4 3" xfId="23053" xr:uid="{00000000-0005-0000-0000-000029090000}"/>
    <cellStyle name="SAPBEXexcBad9 4 3 2" xfId="41422" xr:uid="{00000000-0005-0000-0000-000029090000}"/>
    <cellStyle name="SAPBEXexcBad9 4 4" xfId="17613" xr:uid="{00000000-0005-0000-0000-000029090000}"/>
    <cellStyle name="SAPBEXexcBad9 4 5" xfId="36055" xr:uid="{00000000-0005-0000-0000-000029090000}"/>
    <cellStyle name="SAPBEXexcBad9 5" xfId="3250" xr:uid="{00000000-0005-0000-0000-00002A090000}"/>
    <cellStyle name="SAPBEXexcBad9 5 2" xfId="5452" xr:uid="{00000000-0005-0000-0000-00002A090000}"/>
    <cellStyle name="SAPBEXexcBad9 5 2 2" xfId="16143" xr:uid="{00000000-0005-0000-0000-00002A090000}"/>
    <cellStyle name="SAPBEXexcBad9 5 2 2 2" xfId="34515" xr:uid="{00000000-0005-0000-0000-00002A090000}"/>
    <cellStyle name="SAPBEXexcBad9 5 2 2 3" xfId="52878" xr:uid="{00000000-0005-0000-0000-00002A090000}"/>
    <cellStyle name="SAPBEXexcBad9 5 2 3" xfId="25262" xr:uid="{00000000-0005-0000-0000-00002A090000}"/>
    <cellStyle name="SAPBEXexcBad9 5 2 3 2" xfId="43631" xr:uid="{00000000-0005-0000-0000-00002A090000}"/>
    <cellStyle name="SAPBEXexcBad9 5 2 4" xfId="21583" xr:uid="{00000000-0005-0000-0000-00002A090000}"/>
    <cellStyle name="SAPBEXexcBad9 5 2 5" xfId="39962" xr:uid="{00000000-0005-0000-0000-00002A090000}"/>
    <cellStyle name="SAPBEXexcBad9 5 3" xfId="23191" xr:uid="{00000000-0005-0000-0000-00002A090000}"/>
    <cellStyle name="SAPBEXexcBad9 5 3 2" xfId="41560" xr:uid="{00000000-0005-0000-0000-00002A090000}"/>
    <cellStyle name="SAPBEXexcBad9 5 4" xfId="17773" xr:uid="{00000000-0005-0000-0000-00002A090000}"/>
    <cellStyle name="SAPBEXexcBad9 5 5" xfId="36193" xr:uid="{00000000-0005-0000-0000-00002A090000}"/>
    <cellStyle name="SAPBEXexcBad9 6" xfId="4095" xr:uid="{00000000-0005-0000-0000-000026090000}"/>
    <cellStyle name="SAPBEXexcBad9 6 2" xfId="14849" xr:uid="{00000000-0005-0000-0000-000026090000}"/>
    <cellStyle name="SAPBEXexcBad9 6 2 2" xfId="33255" xr:uid="{00000000-0005-0000-0000-000026090000}"/>
    <cellStyle name="SAPBEXexcBad9 6 2 3" xfId="51618" xr:uid="{00000000-0005-0000-0000-000026090000}"/>
    <cellStyle name="SAPBEXexcBad9 6 3" xfId="23980" xr:uid="{00000000-0005-0000-0000-000026090000}"/>
    <cellStyle name="SAPBEXexcBad9 6 3 2" xfId="42349" xr:uid="{00000000-0005-0000-0000-000026090000}"/>
    <cellStyle name="SAPBEXexcBad9 6 4" xfId="20303" xr:uid="{00000000-0005-0000-0000-000026090000}"/>
    <cellStyle name="SAPBEXexcBad9 6 5" xfId="38702" xr:uid="{00000000-0005-0000-0000-000026090000}"/>
    <cellStyle name="SAPBEXexcBad9 7" xfId="18240" xr:uid="{00000000-0005-0000-0000-000026090000}"/>
    <cellStyle name="SAPBEXexcBad9 7 2" xfId="36646" xr:uid="{00000000-0005-0000-0000-000026090000}"/>
    <cellStyle name="SAPBEXexcBad9 8" xfId="7513" xr:uid="{00000000-0005-0000-0000-000026090000}"/>
    <cellStyle name="SAPBEXexcBad9 9" xfId="8489" xr:uid="{00000000-0005-0000-0000-000026090000}"/>
    <cellStyle name="SAPBEXexcCritical4" xfId="737" xr:uid="{00000000-0005-0000-0000-00002B090000}"/>
    <cellStyle name="SAPBEXexcCritical4 2" xfId="1142" xr:uid="{00000000-0005-0000-0000-00002C090000}"/>
    <cellStyle name="SAPBEXexcCritical4 2 2" xfId="4241" xr:uid="{00000000-0005-0000-0000-00002C090000}"/>
    <cellStyle name="SAPBEXexcCritical4 2 2 2" xfId="14986" xr:uid="{00000000-0005-0000-0000-00002C090000}"/>
    <cellStyle name="SAPBEXexcCritical4 2 2 2 2" xfId="33390" xr:uid="{00000000-0005-0000-0000-00002C090000}"/>
    <cellStyle name="SAPBEXexcCritical4 2 2 2 3" xfId="51753" xr:uid="{00000000-0005-0000-0000-00002C090000}"/>
    <cellStyle name="SAPBEXexcCritical4 2 2 3" xfId="24119" xr:uid="{00000000-0005-0000-0000-00002C090000}"/>
    <cellStyle name="SAPBEXexcCritical4 2 2 3 2" xfId="42488" xr:uid="{00000000-0005-0000-0000-00002C090000}"/>
    <cellStyle name="SAPBEXexcCritical4 2 2 4" xfId="20439" xr:uid="{00000000-0005-0000-0000-00002C090000}"/>
    <cellStyle name="SAPBEXexcCritical4 2 2 5" xfId="38837" xr:uid="{00000000-0005-0000-0000-00002C090000}"/>
    <cellStyle name="SAPBEXexcCritical4 2 3" xfId="19252" xr:uid="{00000000-0005-0000-0000-00002C090000}"/>
    <cellStyle name="SAPBEXexcCritical4 2 3 2" xfId="37659" xr:uid="{00000000-0005-0000-0000-00002C090000}"/>
    <cellStyle name="SAPBEXexcCritical4 2 4" xfId="6987" xr:uid="{00000000-0005-0000-0000-00002C090000}"/>
    <cellStyle name="SAPBEXexcCritical4 2 5" xfId="7369" xr:uid="{00000000-0005-0000-0000-00002C090000}"/>
    <cellStyle name="SAPBEXexcCritical4 3" xfId="2974" xr:uid="{00000000-0005-0000-0000-00002D090000}"/>
    <cellStyle name="SAPBEXexcCritical4 3 2" xfId="5238" xr:uid="{00000000-0005-0000-0000-00002D090000}"/>
    <cellStyle name="SAPBEXexcCritical4 3 2 2" xfId="15930" xr:uid="{00000000-0005-0000-0000-00002D090000}"/>
    <cellStyle name="SAPBEXexcCritical4 3 2 2 2" xfId="34304" xr:uid="{00000000-0005-0000-0000-00002D090000}"/>
    <cellStyle name="SAPBEXexcCritical4 3 2 2 3" xfId="52667" xr:uid="{00000000-0005-0000-0000-00002D090000}"/>
    <cellStyle name="SAPBEXexcCritical4 3 2 3" xfId="25051" xr:uid="{00000000-0005-0000-0000-00002D090000}"/>
    <cellStyle name="SAPBEXexcCritical4 3 2 3 2" xfId="43420" xr:uid="{00000000-0005-0000-0000-00002D090000}"/>
    <cellStyle name="SAPBEXexcCritical4 3 2 4" xfId="21372" xr:uid="{00000000-0005-0000-0000-00002D090000}"/>
    <cellStyle name="SAPBEXexcCritical4 3 2 5" xfId="39751" xr:uid="{00000000-0005-0000-0000-00002D090000}"/>
    <cellStyle name="SAPBEXexcCritical4 3 3" xfId="22991" xr:uid="{00000000-0005-0000-0000-00002D090000}"/>
    <cellStyle name="SAPBEXexcCritical4 3 3 2" xfId="41360" xr:uid="{00000000-0005-0000-0000-00002D090000}"/>
    <cellStyle name="SAPBEXexcCritical4 3 4" xfId="17549" xr:uid="{00000000-0005-0000-0000-00002D090000}"/>
    <cellStyle name="SAPBEXexcCritical4 3 5" xfId="35993" xr:uid="{00000000-0005-0000-0000-00002D090000}"/>
    <cellStyle name="SAPBEXexcCritical4 4" xfId="3052" xr:uid="{00000000-0005-0000-0000-00002E090000}"/>
    <cellStyle name="SAPBEXexcCritical4 4 2" xfId="5304" xr:uid="{00000000-0005-0000-0000-00002E090000}"/>
    <cellStyle name="SAPBEXexcCritical4 4 2 2" xfId="15996" xr:uid="{00000000-0005-0000-0000-00002E090000}"/>
    <cellStyle name="SAPBEXexcCritical4 4 2 2 2" xfId="34370" xr:uid="{00000000-0005-0000-0000-00002E090000}"/>
    <cellStyle name="SAPBEXexcCritical4 4 2 2 3" xfId="52733" xr:uid="{00000000-0005-0000-0000-00002E090000}"/>
    <cellStyle name="SAPBEXexcCritical4 4 2 3" xfId="25117" xr:uid="{00000000-0005-0000-0000-00002E090000}"/>
    <cellStyle name="SAPBEXexcCritical4 4 2 3 2" xfId="43486" xr:uid="{00000000-0005-0000-0000-00002E090000}"/>
    <cellStyle name="SAPBEXexcCritical4 4 2 4" xfId="21438" xr:uid="{00000000-0005-0000-0000-00002E090000}"/>
    <cellStyle name="SAPBEXexcCritical4 4 2 5" xfId="39817" xr:uid="{00000000-0005-0000-0000-00002E090000}"/>
    <cellStyle name="SAPBEXexcCritical4 4 3" xfId="23054" xr:uid="{00000000-0005-0000-0000-00002E090000}"/>
    <cellStyle name="SAPBEXexcCritical4 4 3 2" xfId="41423" xr:uid="{00000000-0005-0000-0000-00002E090000}"/>
    <cellStyle name="SAPBEXexcCritical4 4 4" xfId="17614" xr:uid="{00000000-0005-0000-0000-00002E090000}"/>
    <cellStyle name="SAPBEXexcCritical4 4 5" xfId="36056" xr:uid="{00000000-0005-0000-0000-00002E090000}"/>
    <cellStyle name="SAPBEXexcCritical4 5" xfId="3249" xr:uid="{00000000-0005-0000-0000-00002F090000}"/>
    <cellStyle name="SAPBEXexcCritical4 5 2" xfId="5451" xr:uid="{00000000-0005-0000-0000-00002F090000}"/>
    <cellStyle name="SAPBEXexcCritical4 5 2 2" xfId="16142" xr:uid="{00000000-0005-0000-0000-00002F090000}"/>
    <cellStyle name="SAPBEXexcCritical4 5 2 2 2" xfId="34514" xr:uid="{00000000-0005-0000-0000-00002F090000}"/>
    <cellStyle name="SAPBEXexcCritical4 5 2 2 3" xfId="52877" xr:uid="{00000000-0005-0000-0000-00002F090000}"/>
    <cellStyle name="SAPBEXexcCritical4 5 2 3" xfId="25261" xr:uid="{00000000-0005-0000-0000-00002F090000}"/>
    <cellStyle name="SAPBEXexcCritical4 5 2 3 2" xfId="43630" xr:uid="{00000000-0005-0000-0000-00002F090000}"/>
    <cellStyle name="SAPBEXexcCritical4 5 2 4" xfId="21582" xr:uid="{00000000-0005-0000-0000-00002F090000}"/>
    <cellStyle name="SAPBEXexcCritical4 5 2 5" xfId="39961" xr:uid="{00000000-0005-0000-0000-00002F090000}"/>
    <cellStyle name="SAPBEXexcCritical4 5 3" xfId="23190" xr:uid="{00000000-0005-0000-0000-00002F090000}"/>
    <cellStyle name="SAPBEXexcCritical4 5 3 2" xfId="41559" xr:uid="{00000000-0005-0000-0000-00002F090000}"/>
    <cellStyle name="SAPBEXexcCritical4 5 4" xfId="17772" xr:uid="{00000000-0005-0000-0000-00002F090000}"/>
    <cellStyle name="SAPBEXexcCritical4 5 5" xfId="36192" xr:uid="{00000000-0005-0000-0000-00002F090000}"/>
    <cellStyle name="SAPBEXexcCritical4 6" xfId="4096" xr:uid="{00000000-0005-0000-0000-00002B090000}"/>
    <cellStyle name="SAPBEXexcCritical4 6 2" xfId="14850" xr:uid="{00000000-0005-0000-0000-00002B090000}"/>
    <cellStyle name="SAPBEXexcCritical4 6 2 2" xfId="33256" xr:uid="{00000000-0005-0000-0000-00002B090000}"/>
    <cellStyle name="SAPBEXexcCritical4 6 2 3" xfId="51619" xr:uid="{00000000-0005-0000-0000-00002B090000}"/>
    <cellStyle name="SAPBEXexcCritical4 6 3" xfId="23981" xr:uid="{00000000-0005-0000-0000-00002B090000}"/>
    <cellStyle name="SAPBEXexcCritical4 6 3 2" xfId="42350" xr:uid="{00000000-0005-0000-0000-00002B090000}"/>
    <cellStyle name="SAPBEXexcCritical4 6 4" xfId="20304" xr:uid="{00000000-0005-0000-0000-00002B090000}"/>
    <cellStyle name="SAPBEXexcCritical4 6 5" xfId="38703" xr:uid="{00000000-0005-0000-0000-00002B090000}"/>
    <cellStyle name="SAPBEXexcCritical4 7" xfId="19209" xr:uid="{00000000-0005-0000-0000-00002B090000}"/>
    <cellStyle name="SAPBEXexcCritical4 7 2" xfId="37616" xr:uid="{00000000-0005-0000-0000-00002B090000}"/>
    <cellStyle name="SAPBEXexcCritical4 8" xfId="7303" xr:uid="{00000000-0005-0000-0000-00002B090000}"/>
    <cellStyle name="SAPBEXexcCritical4 9" xfId="8275" xr:uid="{00000000-0005-0000-0000-00002B090000}"/>
    <cellStyle name="SAPBEXexcCritical5" xfId="738" xr:uid="{00000000-0005-0000-0000-000030090000}"/>
    <cellStyle name="SAPBEXexcCritical5 2" xfId="1143" xr:uid="{00000000-0005-0000-0000-000031090000}"/>
    <cellStyle name="SAPBEXexcCritical5 2 2" xfId="4242" xr:uid="{00000000-0005-0000-0000-000031090000}"/>
    <cellStyle name="SAPBEXexcCritical5 2 2 2" xfId="14987" xr:uid="{00000000-0005-0000-0000-000031090000}"/>
    <cellStyle name="SAPBEXexcCritical5 2 2 2 2" xfId="33391" xr:uid="{00000000-0005-0000-0000-000031090000}"/>
    <cellStyle name="SAPBEXexcCritical5 2 2 2 3" xfId="51754" xr:uid="{00000000-0005-0000-0000-000031090000}"/>
    <cellStyle name="SAPBEXexcCritical5 2 2 3" xfId="24120" xr:uid="{00000000-0005-0000-0000-000031090000}"/>
    <cellStyle name="SAPBEXexcCritical5 2 2 3 2" xfId="42489" xr:uid="{00000000-0005-0000-0000-000031090000}"/>
    <cellStyle name="SAPBEXexcCritical5 2 2 4" xfId="20440" xr:uid="{00000000-0005-0000-0000-000031090000}"/>
    <cellStyle name="SAPBEXexcCritical5 2 2 5" xfId="38838" xr:uid="{00000000-0005-0000-0000-000031090000}"/>
    <cellStyle name="SAPBEXexcCritical5 2 3" xfId="19333" xr:uid="{00000000-0005-0000-0000-000031090000}"/>
    <cellStyle name="SAPBEXexcCritical5 2 3 2" xfId="37740" xr:uid="{00000000-0005-0000-0000-000031090000}"/>
    <cellStyle name="SAPBEXexcCritical5 2 4" xfId="8818" xr:uid="{00000000-0005-0000-0000-000031090000}"/>
    <cellStyle name="SAPBEXexcCritical5 2 5" xfId="11487" xr:uid="{00000000-0005-0000-0000-000031090000}"/>
    <cellStyle name="SAPBEXexcCritical5 3" xfId="2973" xr:uid="{00000000-0005-0000-0000-000032090000}"/>
    <cellStyle name="SAPBEXexcCritical5 3 2" xfId="5237" xr:uid="{00000000-0005-0000-0000-000032090000}"/>
    <cellStyle name="SAPBEXexcCritical5 3 2 2" xfId="15929" xr:uid="{00000000-0005-0000-0000-000032090000}"/>
    <cellStyle name="SAPBEXexcCritical5 3 2 2 2" xfId="34303" xr:uid="{00000000-0005-0000-0000-000032090000}"/>
    <cellStyle name="SAPBEXexcCritical5 3 2 2 3" xfId="52666" xr:uid="{00000000-0005-0000-0000-000032090000}"/>
    <cellStyle name="SAPBEXexcCritical5 3 2 3" xfId="25050" xr:uid="{00000000-0005-0000-0000-000032090000}"/>
    <cellStyle name="SAPBEXexcCritical5 3 2 3 2" xfId="43419" xr:uid="{00000000-0005-0000-0000-000032090000}"/>
    <cellStyle name="SAPBEXexcCritical5 3 2 4" xfId="21371" xr:uid="{00000000-0005-0000-0000-000032090000}"/>
    <cellStyle name="SAPBEXexcCritical5 3 2 5" xfId="39750" xr:uid="{00000000-0005-0000-0000-000032090000}"/>
    <cellStyle name="SAPBEXexcCritical5 3 3" xfId="22990" xr:uid="{00000000-0005-0000-0000-000032090000}"/>
    <cellStyle name="SAPBEXexcCritical5 3 3 2" xfId="41359" xr:uid="{00000000-0005-0000-0000-000032090000}"/>
    <cellStyle name="SAPBEXexcCritical5 3 4" xfId="17548" xr:uid="{00000000-0005-0000-0000-000032090000}"/>
    <cellStyle name="SAPBEXexcCritical5 3 5" xfId="35992" xr:uid="{00000000-0005-0000-0000-000032090000}"/>
    <cellStyle name="SAPBEXexcCritical5 4" xfId="3053" xr:uid="{00000000-0005-0000-0000-000033090000}"/>
    <cellStyle name="SAPBEXexcCritical5 4 2" xfId="5305" xr:uid="{00000000-0005-0000-0000-000033090000}"/>
    <cellStyle name="SAPBEXexcCritical5 4 2 2" xfId="15997" xr:uid="{00000000-0005-0000-0000-000033090000}"/>
    <cellStyle name="SAPBEXexcCritical5 4 2 2 2" xfId="34371" xr:uid="{00000000-0005-0000-0000-000033090000}"/>
    <cellStyle name="SAPBEXexcCritical5 4 2 2 3" xfId="52734" xr:uid="{00000000-0005-0000-0000-000033090000}"/>
    <cellStyle name="SAPBEXexcCritical5 4 2 3" xfId="25118" xr:uid="{00000000-0005-0000-0000-000033090000}"/>
    <cellStyle name="SAPBEXexcCritical5 4 2 3 2" xfId="43487" xr:uid="{00000000-0005-0000-0000-000033090000}"/>
    <cellStyle name="SAPBEXexcCritical5 4 2 4" xfId="21439" xr:uid="{00000000-0005-0000-0000-000033090000}"/>
    <cellStyle name="SAPBEXexcCritical5 4 2 5" xfId="39818" xr:uid="{00000000-0005-0000-0000-000033090000}"/>
    <cellStyle name="SAPBEXexcCritical5 4 3" xfId="23055" xr:uid="{00000000-0005-0000-0000-000033090000}"/>
    <cellStyle name="SAPBEXexcCritical5 4 3 2" xfId="41424" xr:uid="{00000000-0005-0000-0000-000033090000}"/>
    <cellStyle name="SAPBEXexcCritical5 4 4" xfId="17615" xr:uid="{00000000-0005-0000-0000-000033090000}"/>
    <cellStyle name="SAPBEXexcCritical5 4 5" xfId="36057" xr:uid="{00000000-0005-0000-0000-000033090000}"/>
    <cellStyle name="SAPBEXexcCritical5 5" xfId="3248" xr:uid="{00000000-0005-0000-0000-000034090000}"/>
    <cellStyle name="SAPBEXexcCritical5 5 2" xfId="5450" xr:uid="{00000000-0005-0000-0000-000034090000}"/>
    <cellStyle name="SAPBEXexcCritical5 5 2 2" xfId="16141" xr:uid="{00000000-0005-0000-0000-000034090000}"/>
    <cellStyle name="SAPBEXexcCritical5 5 2 2 2" xfId="34513" xr:uid="{00000000-0005-0000-0000-000034090000}"/>
    <cellStyle name="SAPBEXexcCritical5 5 2 2 3" xfId="52876" xr:uid="{00000000-0005-0000-0000-000034090000}"/>
    <cellStyle name="SAPBEXexcCritical5 5 2 3" xfId="25260" xr:uid="{00000000-0005-0000-0000-000034090000}"/>
    <cellStyle name="SAPBEXexcCritical5 5 2 3 2" xfId="43629" xr:uid="{00000000-0005-0000-0000-000034090000}"/>
    <cellStyle name="SAPBEXexcCritical5 5 2 4" xfId="21581" xr:uid="{00000000-0005-0000-0000-000034090000}"/>
    <cellStyle name="SAPBEXexcCritical5 5 2 5" xfId="39960" xr:uid="{00000000-0005-0000-0000-000034090000}"/>
    <cellStyle name="SAPBEXexcCritical5 5 3" xfId="23189" xr:uid="{00000000-0005-0000-0000-000034090000}"/>
    <cellStyle name="SAPBEXexcCritical5 5 3 2" xfId="41558" xr:uid="{00000000-0005-0000-0000-000034090000}"/>
    <cellStyle name="SAPBEXexcCritical5 5 4" xfId="17771" xr:uid="{00000000-0005-0000-0000-000034090000}"/>
    <cellStyle name="SAPBEXexcCritical5 5 5" xfId="36191" xr:uid="{00000000-0005-0000-0000-000034090000}"/>
    <cellStyle name="SAPBEXexcCritical5 6" xfId="4097" xr:uid="{00000000-0005-0000-0000-000030090000}"/>
    <cellStyle name="SAPBEXexcCritical5 6 2" xfId="14851" xr:uid="{00000000-0005-0000-0000-000030090000}"/>
    <cellStyle name="SAPBEXexcCritical5 6 2 2" xfId="33257" xr:uid="{00000000-0005-0000-0000-000030090000}"/>
    <cellStyle name="SAPBEXexcCritical5 6 2 3" xfId="51620" xr:uid="{00000000-0005-0000-0000-000030090000}"/>
    <cellStyle name="SAPBEXexcCritical5 6 3" xfId="23982" xr:uid="{00000000-0005-0000-0000-000030090000}"/>
    <cellStyle name="SAPBEXexcCritical5 6 3 2" xfId="42351" xr:uid="{00000000-0005-0000-0000-000030090000}"/>
    <cellStyle name="SAPBEXexcCritical5 6 4" xfId="20305" xr:uid="{00000000-0005-0000-0000-000030090000}"/>
    <cellStyle name="SAPBEXexcCritical5 6 5" xfId="38704" xr:uid="{00000000-0005-0000-0000-000030090000}"/>
    <cellStyle name="SAPBEXexcCritical5 7" xfId="19246" xr:uid="{00000000-0005-0000-0000-000030090000}"/>
    <cellStyle name="SAPBEXexcCritical5 7 2" xfId="37653" xr:uid="{00000000-0005-0000-0000-000030090000}"/>
    <cellStyle name="SAPBEXexcCritical5 8" xfId="8082" xr:uid="{00000000-0005-0000-0000-000030090000}"/>
    <cellStyle name="SAPBEXexcCritical5 9" xfId="11709" xr:uid="{00000000-0005-0000-0000-000030090000}"/>
    <cellStyle name="SAPBEXexcCritical6" xfId="739" xr:uid="{00000000-0005-0000-0000-000035090000}"/>
    <cellStyle name="SAPBEXexcCritical6 2" xfId="1144" xr:uid="{00000000-0005-0000-0000-000036090000}"/>
    <cellStyle name="SAPBEXexcCritical6 2 2" xfId="4243" xr:uid="{00000000-0005-0000-0000-000036090000}"/>
    <cellStyle name="SAPBEXexcCritical6 2 2 2" xfId="14988" xr:uid="{00000000-0005-0000-0000-000036090000}"/>
    <cellStyle name="SAPBEXexcCritical6 2 2 2 2" xfId="33392" xr:uid="{00000000-0005-0000-0000-000036090000}"/>
    <cellStyle name="SAPBEXexcCritical6 2 2 2 3" xfId="51755" xr:uid="{00000000-0005-0000-0000-000036090000}"/>
    <cellStyle name="SAPBEXexcCritical6 2 2 3" xfId="24121" xr:uid="{00000000-0005-0000-0000-000036090000}"/>
    <cellStyle name="SAPBEXexcCritical6 2 2 3 2" xfId="42490" xr:uid="{00000000-0005-0000-0000-000036090000}"/>
    <cellStyle name="SAPBEXexcCritical6 2 2 4" xfId="20441" xr:uid="{00000000-0005-0000-0000-000036090000}"/>
    <cellStyle name="SAPBEXexcCritical6 2 2 5" xfId="38839" xr:uid="{00000000-0005-0000-0000-000036090000}"/>
    <cellStyle name="SAPBEXexcCritical6 2 3" xfId="18087" xr:uid="{00000000-0005-0000-0000-000036090000}"/>
    <cellStyle name="SAPBEXexcCritical6 2 3 2" xfId="36494" xr:uid="{00000000-0005-0000-0000-000036090000}"/>
    <cellStyle name="SAPBEXexcCritical6 2 4" xfId="7125" xr:uid="{00000000-0005-0000-0000-000036090000}"/>
    <cellStyle name="SAPBEXexcCritical6 2 5" xfId="8248" xr:uid="{00000000-0005-0000-0000-000036090000}"/>
    <cellStyle name="SAPBEXexcCritical6 3" xfId="2972" xr:uid="{00000000-0005-0000-0000-000037090000}"/>
    <cellStyle name="SAPBEXexcCritical6 3 2" xfId="5236" xr:uid="{00000000-0005-0000-0000-000037090000}"/>
    <cellStyle name="SAPBEXexcCritical6 3 2 2" xfId="15928" xr:uid="{00000000-0005-0000-0000-000037090000}"/>
    <cellStyle name="SAPBEXexcCritical6 3 2 2 2" xfId="34302" xr:uid="{00000000-0005-0000-0000-000037090000}"/>
    <cellStyle name="SAPBEXexcCritical6 3 2 2 3" xfId="52665" xr:uid="{00000000-0005-0000-0000-000037090000}"/>
    <cellStyle name="SAPBEXexcCritical6 3 2 3" xfId="25049" xr:uid="{00000000-0005-0000-0000-000037090000}"/>
    <cellStyle name="SAPBEXexcCritical6 3 2 3 2" xfId="43418" xr:uid="{00000000-0005-0000-0000-000037090000}"/>
    <cellStyle name="SAPBEXexcCritical6 3 2 4" xfId="21370" xr:uid="{00000000-0005-0000-0000-000037090000}"/>
    <cellStyle name="SAPBEXexcCritical6 3 2 5" xfId="39749" xr:uid="{00000000-0005-0000-0000-000037090000}"/>
    <cellStyle name="SAPBEXexcCritical6 3 3" xfId="22989" xr:uid="{00000000-0005-0000-0000-000037090000}"/>
    <cellStyle name="SAPBEXexcCritical6 3 3 2" xfId="41358" xr:uid="{00000000-0005-0000-0000-000037090000}"/>
    <cellStyle name="SAPBEXexcCritical6 3 4" xfId="17547" xr:uid="{00000000-0005-0000-0000-000037090000}"/>
    <cellStyle name="SAPBEXexcCritical6 3 5" xfId="35991" xr:uid="{00000000-0005-0000-0000-000037090000}"/>
    <cellStyle name="SAPBEXexcCritical6 4" xfId="3054" xr:uid="{00000000-0005-0000-0000-000038090000}"/>
    <cellStyle name="SAPBEXexcCritical6 4 2" xfId="5306" xr:uid="{00000000-0005-0000-0000-000038090000}"/>
    <cellStyle name="SAPBEXexcCritical6 4 2 2" xfId="15998" xr:uid="{00000000-0005-0000-0000-000038090000}"/>
    <cellStyle name="SAPBEXexcCritical6 4 2 2 2" xfId="34372" xr:uid="{00000000-0005-0000-0000-000038090000}"/>
    <cellStyle name="SAPBEXexcCritical6 4 2 2 3" xfId="52735" xr:uid="{00000000-0005-0000-0000-000038090000}"/>
    <cellStyle name="SAPBEXexcCritical6 4 2 3" xfId="25119" xr:uid="{00000000-0005-0000-0000-000038090000}"/>
    <cellStyle name="SAPBEXexcCritical6 4 2 3 2" xfId="43488" xr:uid="{00000000-0005-0000-0000-000038090000}"/>
    <cellStyle name="SAPBEXexcCritical6 4 2 4" xfId="21440" xr:uid="{00000000-0005-0000-0000-000038090000}"/>
    <cellStyle name="SAPBEXexcCritical6 4 2 5" xfId="39819" xr:uid="{00000000-0005-0000-0000-000038090000}"/>
    <cellStyle name="SAPBEXexcCritical6 4 3" xfId="23056" xr:uid="{00000000-0005-0000-0000-000038090000}"/>
    <cellStyle name="SAPBEXexcCritical6 4 3 2" xfId="41425" xr:uid="{00000000-0005-0000-0000-000038090000}"/>
    <cellStyle name="SAPBEXexcCritical6 4 4" xfId="17616" xr:uid="{00000000-0005-0000-0000-000038090000}"/>
    <cellStyle name="SAPBEXexcCritical6 4 5" xfId="36058" xr:uid="{00000000-0005-0000-0000-000038090000}"/>
    <cellStyle name="SAPBEXexcCritical6 5" xfId="3247" xr:uid="{00000000-0005-0000-0000-000039090000}"/>
    <cellStyle name="SAPBEXexcCritical6 5 2" xfId="5449" xr:uid="{00000000-0005-0000-0000-000039090000}"/>
    <cellStyle name="SAPBEXexcCritical6 5 2 2" xfId="16140" xr:uid="{00000000-0005-0000-0000-000039090000}"/>
    <cellStyle name="SAPBEXexcCritical6 5 2 2 2" xfId="34512" xr:uid="{00000000-0005-0000-0000-000039090000}"/>
    <cellStyle name="SAPBEXexcCritical6 5 2 2 3" xfId="52875" xr:uid="{00000000-0005-0000-0000-000039090000}"/>
    <cellStyle name="SAPBEXexcCritical6 5 2 3" xfId="25259" xr:uid="{00000000-0005-0000-0000-000039090000}"/>
    <cellStyle name="SAPBEXexcCritical6 5 2 3 2" xfId="43628" xr:uid="{00000000-0005-0000-0000-000039090000}"/>
    <cellStyle name="SAPBEXexcCritical6 5 2 4" xfId="21580" xr:uid="{00000000-0005-0000-0000-000039090000}"/>
    <cellStyle name="SAPBEXexcCritical6 5 2 5" xfId="39959" xr:uid="{00000000-0005-0000-0000-000039090000}"/>
    <cellStyle name="SAPBEXexcCritical6 5 3" xfId="23188" xr:uid="{00000000-0005-0000-0000-000039090000}"/>
    <cellStyle name="SAPBEXexcCritical6 5 3 2" xfId="41557" xr:uid="{00000000-0005-0000-0000-000039090000}"/>
    <cellStyle name="SAPBEXexcCritical6 5 4" xfId="17770" xr:uid="{00000000-0005-0000-0000-000039090000}"/>
    <cellStyle name="SAPBEXexcCritical6 5 5" xfId="36190" xr:uid="{00000000-0005-0000-0000-000039090000}"/>
    <cellStyle name="SAPBEXexcCritical6 6" xfId="4098" xr:uid="{00000000-0005-0000-0000-000035090000}"/>
    <cellStyle name="SAPBEXexcCritical6 6 2" xfId="14852" xr:uid="{00000000-0005-0000-0000-000035090000}"/>
    <cellStyle name="SAPBEXexcCritical6 6 2 2" xfId="33258" xr:uid="{00000000-0005-0000-0000-000035090000}"/>
    <cellStyle name="SAPBEXexcCritical6 6 2 3" xfId="51621" xr:uid="{00000000-0005-0000-0000-000035090000}"/>
    <cellStyle name="SAPBEXexcCritical6 6 3" xfId="23983" xr:uid="{00000000-0005-0000-0000-000035090000}"/>
    <cellStyle name="SAPBEXexcCritical6 6 3 2" xfId="42352" xr:uid="{00000000-0005-0000-0000-000035090000}"/>
    <cellStyle name="SAPBEXexcCritical6 6 4" xfId="20306" xr:uid="{00000000-0005-0000-0000-000035090000}"/>
    <cellStyle name="SAPBEXexcCritical6 6 5" xfId="38705" xr:uid="{00000000-0005-0000-0000-000035090000}"/>
    <cellStyle name="SAPBEXexcCritical6 7" xfId="19339" xr:uid="{00000000-0005-0000-0000-000035090000}"/>
    <cellStyle name="SAPBEXexcCritical6 7 2" xfId="37746" xr:uid="{00000000-0005-0000-0000-000035090000}"/>
    <cellStyle name="SAPBEXexcCritical6 8" xfId="6984" xr:uid="{00000000-0005-0000-0000-000035090000}"/>
    <cellStyle name="SAPBEXexcCritical6 9" xfId="7561" xr:uid="{00000000-0005-0000-0000-000035090000}"/>
    <cellStyle name="SAPBEXexcGood1" xfId="740" xr:uid="{00000000-0005-0000-0000-00003A090000}"/>
    <cellStyle name="SAPBEXexcGood1 2" xfId="1145" xr:uid="{00000000-0005-0000-0000-00003B090000}"/>
    <cellStyle name="SAPBEXexcGood1 2 2" xfId="4244" xr:uid="{00000000-0005-0000-0000-00003B090000}"/>
    <cellStyle name="SAPBEXexcGood1 2 2 2" xfId="14989" xr:uid="{00000000-0005-0000-0000-00003B090000}"/>
    <cellStyle name="SAPBEXexcGood1 2 2 2 2" xfId="33393" xr:uid="{00000000-0005-0000-0000-00003B090000}"/>
    <cellStyle name="SAPBEXexcGood1 2 2 2 3" xfId="51756" xr:uid="{00000000-0005-0000-0000-00003B090000}"/>
    <cellStyle name="SAPBEXexcGood1 2 2 3" xfId="24122" xr:uid="{00000000-0005-0000-0000-00003B090000}"/>
    <cellStyle name="SAPBEXexcGood1 2 2 3 2" xfId="42491" xr:uid="{00000000-0005-0000-0000-00003B090000}"/>
    <cellStyle name="SAPBEXexcGood1 2 2 4" xfId="20442" xr:uid="{00000000-0005-0000-0000-00003B090000}"/>
    <cellStyle name="SAPBEXexcGood1 2 2 5" xfId="38840" xr:uid="{00000000-0005-0000-0000-00003B090000}"/>
    <cellStyle name="SAPBEXexcGood1 2 3" xfId="18248" xr:uid="{00000000-0005-0000-0000-00003B090000}"/>
    <cellStyle name="SAPBEXexcGood1 2 3 2" xfId="36654" xr:uid="{00000000-0005-0000-0000-00003B090000}"/>
    <cellStyle name="SAPBEXexcGood1 2 4" xfId="11688" xr:uid="{00000000-0005-0000-0000-00003B090000}"/>
    <cellStyle name="SAPBEXexcGood1 2 5" xfId="7378" xr:uid="{00000000-0005-0000-0000-00003B090000}"/>
    <cellStyle name="SAPBEXexcGood1 3" xfId="2971" xr:uid="{00000000-0005-0000-0000-00003C090000}"/>
    <cellStyle name="SAPBEXexcGood1 3 2" xfId="5235" xr:uid="{00000000-0005-0000-0000-00003C090000}"/>
    <cellStyle name="SAPBEXexcGood1 3 2 2" xfId="15927" xr:uid="{00000000-0005-0000-0000-00003C090000}"/>
    <cellStyle name="SAPBEXexcGood1 3 2 2 2" xfId="34301" xr:uid="{00000000-0005-0000-0000-00003C090000}"/>
    <cellStyle name="SAPBEXexcGood1 3 2 2 3" xfId="52664" xr:uid="{00000000-0005-0000-0000-00003C090000}"/>
    <cellStyle name="SAPBEXexcGood1 3 2 3" xfId="25048" xr:uid="{00000000-0005-0000-0000-00003C090000}"/>
    <cellStyle name="SAPBEXexcGood1 3 2 3 2" xfId="43417" xr:uid="{00000000-0005-0000-0000-00003C090000}"/>
    <cellStyle name="SAPBEXexcGood1 3 2 4" xfId="21369" xr:uid="{00000000-0005-0000-0000-00003C090000}"/>
    <cellStyle name="SAPBEXexcGood1 3 2 5" xfId="39748" xr:uid="{00000000-0005-0000-0000-00003C090000}"/>
    <cellStyle name="SAPBEXexcGood1 3 3" xfId="22988" xr:uid="{00000000-0005-0000-0000-00003C090000}"/>
    <cellStyle name="SAPBEXexcGood1 3 3 2" xfId="41357" xr:uid="{00000000-0005-0000-0000-00003C090000}"/>
    <cellStyle name="SAPBEXexcGood1 3 4" xfId="17546" xr:uid="{00000000-0005-0000-0000-00003C090000}"/>
    <cellStyle name="SAPBEXexcGood1 3 5" xfId="35990" xr:uid="{00000000-0005-0000-0000-00003C090000}"/>
    <cellStyle name="SAPBEXexcGood1 4" xfId="3056" xr:uid="{00000000-0005-0000-0000-00003D090000}"/>
    <cellStyle name="SAPBEXexcGood1 4 2" xfId="5308" xr:uid="{00000000-0005-0000-0000-00003D090000}"/>
    <cellStyle name="SAPBEXexcGood1 4 2 2" xfId="16000" xr:uid="{00000000-0005-0000-0000-00003D090000}"/>
    <cellStyle name="SAPBEXexcGood1 4 2 2 2" xfId="34374" xr:uid="{00000000-0005-0000-0000-00003D090000}"/>
    <cellStyle name="SAPBEXexcGood1 4 2 2 3" xfId="52737" xr:uid="{00000000-0005-0000-0000-00003D090000}"/>
    <cellStyle name="SAPBEXexcGood1 4 2 3" xfId="25121" xr:uid="{00000000-0005-0000-0000-00003D090000}"/>
    <cellStyle name="SAPBEXexcGood1 4 2 3 2" xfId="43490" xr:uid="{00000000-0005-0000-0000-00003D090000}"/>
    <cellStyle name="SAPBEXexcGood1 4 2 4" xfId="21442" xr:uid="{00000000-0005-0000-0000-00003D090000}"/>
    <cellStyle name="SAPBEXexcGood1 4 2 5" xfId="39821" xr:uid="{00000000-0005-0000-0000-00003D090000}"/>
    <cellStyle name="SAPBEXexcGood1 4 3" xfId="23058" xr:uid="{00000000-0005-0000-0000-00003D090000}"/>
    <cellStyle name="SAPBEXexcGood1 4 3 2" xfId="41427" xr:uid="{00000000-0005-0000-0000-00003D090000}"/>
    <cellStyle name="SAPBEXexcGood1 4 4" xfId="17618" xr:uid="{00000000-0005-0000-0000-00003D090000}"/>
    <cellStyle name="SAPBEXexcGood1 4 5" xfId="36060" xr:uid="{00000000-0005-0000-0000-00003D090000}"/>
    <cellStyle name="SAPBEXexcGood1 5" xfId="3246" xr:uid="{00000000-0005-0000-0000-00003E090000}"/>
    <cellStyle name="SAPBEXexcGood1 5 2" xfId="5448" xr:uid="{00000000-0005-0000-0000-00003E090000}"/>
    <cellStyle name="SAPBEXexcGood1 5 2 2" xfId="16139" xr:uid="{00000000-0005-0000-0000-00003E090000}"/>
    <cellStyle name="SAPBEXexcGood1 5 2 2 2" xfId="34511" xr:uid="{00000000-0005-0000-0000-00003E090000}"/>
    <cellStyle name="SAPBEXexcGood1 5 2 2 3" xfId="52874" xr:uid="{00000000-0005-0000-0000-00003E090000}"/>
    <cellStyle name="SAPBEXexcGood1 5 2 3" xfId="25258" xr:uid="{00000000-0005-0000-0000-00003E090000}"/>
    <cellStyle name="SAPBEXexcGood1 5 2 3 2" xfId="43627" xr:uid="{00000000-0005-0000-0000-00003E090000}"/>
    <cellStyle name="SAPBEXexcGood1 5 2 4" xfId="21579" xr:uid="{00000000-0005-0000-0000-00003E090000}"/>
    <cellStyle name="SAPBEXexcGood1 5 2 5" xfId="39958" xr:uid="{00000000-0005-0000-0000-00003E090000}"/>
    <cellStyle name="SAPBEXexcGood1 5 3" xfId="23187" xr:uid="{00000000-0005-0000-0000-00003E090000}"/>
    <cellStyle name="SAPBEXexcGood1 5 3 2" xfId="41556" xr:uid="{00000000-0005-0000-0000-00003E090000}"/>
    <cellStyle name="SAPBEXexcGood1 5 4" xfId="17769" xr:uid="{00000000-0005-0000-0000-00003E090000}"/>
    <cellStyle name="SAPBEXexcGood1 5 5" xfId="36189" xr:uid="{00000000-0005-0000-0000-00003E090000}"/>
    <cellStyle name="SAPBEXexcGood1 6" xfId="4099" xr:uid="{00000000-0005-0000-0000-00003A090000}"/>
    <cellStyle name="SAPBEXexcGood1 6 2" xfId="14853" xr:uid="{00000000-0005-0000-0000-00003A090000}"/>
    <cellStyle name="SAPBEXexcGood1 6 2 2" xfId="33259" xr:uid="{00000000-0005-0000-0000-00003A090000}"/>
    <cellStyle name="SAPBEXexcGood1 6 2 3" xfId="51622" xr:uid="{00000000-0005-0000-0000-00003A090000}"/>
    <cellStyle name="SAPBEXexcGood1 6 3" xfId="23984" xr:uid="{00000000-0005-0000-0000-00003A090000}"/>
    <cellStyle name="SAPBEXexcGood1 6 3 2" xfId="42353" xr:uid="{00000000-0005-0000-0000-00003A090000}"/>
    <cellStyle name="SAPBEXexcGood1 6 4" xfId="20307" xr:uid="{00000000-0005-0000-0000-00003A090000}"/>
    <cellStyle name="SAPBEXexcGood1 6 5" xfId="38706" xr:uid="{00000000-0005-0000-0000-00003A090000}"/>
    <cellStyle name="SAPBEXexcGood1 7" xfId="19537" xr:uid="{00000000-0005-0000-0000-00003A090000}"/>
    <cellStyle name="SAPBEXexcGood1 7 2" xfId="37943" xr:uid="{00000000-0005-0000-0000-00003A090000}"/>
    <cellStyle name="SAPBEXexcGood1 8" xfId="6991" xr:uid="{00000000-0005-0000-0000-00003A090000}"/>
    <cellStyle name="SAPBEXexcGood1 9" xfId="11824" xr:uid="{00000000-0005-0000-0000-00003A090000}"/>
    <cellStyle name="SAPBEXexcGood2" xfId="741" xr:uid="{00000000-0005-0000-0000-00003F090000}"/>
    <cellStyle name="SAPBEXexcGood2 2" xfId="1146" xr:uid="{00000000-0005-0000-0000-000040090000}"/>
    <cellStyle name="SAPBEXexcGood2 2 2" xfId="4245" xr:uid="{00000000-0005-0000-0000-000040090000}"/>
    <cellStyle name="SAPBEXexcGood2 2 2 2" xfId="14990" xr:uid="{00000000-0005-0000-0000-000040090000}"/>
    <cellStyle name="SAPBEXexcGood2 2 2 2 2" xfId="33394" xr:uid="{00000000-0005-0000-0000-000040090000}"/>
    <cellStyle name="SAPBEXexcGood2 2 2 2 3" xfId="51757" xr:uid="{00000000-0005-0000-0000-000040090000}"/>
    <cellStyle name="SAPBEXexcGood2 2 2 3" xfId="24123" xr:uid="{00000000-0005-0000-0000-000040090000}"/>
    <cellStyle name="SAPBEXexcGood2 2 2 3 2" xfId="42492" xr:uid="{00000000-0005-0000-0000-000040090000}"/>
    <cellStyle name="SAPBEXexcGood2 2 2 4" xfId="20443" xr:uid="{00000000-0005-0000-0000-000040090000}"/>
    <cellStyle name="SAPBEXexcGood2 2 2 5" xfId="38841" xr:uid="{00000000-0005-0000-0000-000040090000}"/>
    <cellStyle name="SAPBEXexcGood2 2 3" xfId="17850" xr:uid="{00000000-0005-0000-0000-000040090000}"/>
    <cellStyle name="SAPBEXexcGood2 2 3 2" xfId="36260" xr:uid="{00000000-0005-0000-0000-000040090000}"/>
    <cellStyle name="SAPBEXexcGood2 2 4" xfId="8855" xr:uid="{00000000-0005-0000-0000-000040090000}"/>
    <cellStyle name="SAPBEXexcGood2 2 5" xfId="18053" xr:uid="{00000000-0005-0000-0000-000040090000}"/>
    <cellStyle name="SAPBEXexcGood2 3" xfId="2970" xr:uid="{00000000-0005-0000-0000-000041090000}"/>
    <cellStyle name="SAPBEXexcGood2 3 2" xfId="5234" xr:uid="{00000000-0005-0000-0000-000041090000}"/>
    <cellStyle name="SAPBEXexcGood2 3 2 2" xfId="15926" xr:uid="{00000000-0005-0000-0000-000041090000}"/>
    <cellStyle name="SAPBEXexcGood2 3 2 2 2" xfId="34300" xr:uid="{00000000-0005-0000-0000-000041090000}"/>
    <cellStyle name="SAPBEXexcGood2 3 2 2 3" xfId="52663" xr:uid="{00000000-0005-0000-0000-000041090000}"/>
    <cellStyle name="SAPBEXexcGood2 3 2 3" xfId="25047" xr:uid="{00000000-0005-0000-0000-000041090000}"/>
    <cellStyle name="SAPBEXexcGood2 3 2 3 2" xfId="43416" xr:uid="{00000000-0005-0000-0000-000041090000}"/>
    <cellStyle name="SAPBEXexcGood2 3 2 4" xfId="21368" xr:uid="{00000000-0005-0000-0000-000041090000}"/>
    <cellStyle name="SAPBEXexcGood2 3 2 5" xfId="39747" xr:uid="{00000000-0005-0000-0000-000041090000}"/>
    <cellStyle name="SAPBEXexcGood2 3 3" xfId="22987" xr:uid="{00000000-0005-0000-0000-000041090000}"/>
    <cellStyle name="SAPBEXexcGood2 3 3 2" xfId="41356" xr:uid="{00000000-0005-0000-0000-000041090000}"/>
    <cellStyle name="SAPBEXexcGood2 3 4" xfId="17545" xr:uid="{00000000-0005-0000-0000-000041090000}"/>
    <cellStyle name="SAPBEXexcGood2 3 5" xfId="35989" xr:uid="{00000000-0005-0000-0000-000041090000}"/>
    <cellStyle name="SAPBEXexcGood2 4" xfId="3055" xr:uid="{00000000-0005-0000-0000-000042090000}"/>
    <cellStyle name="SAPBEXexcGood2 4 2" xfId="5307" xr:uid="{00000000-0005-0000-0000-000042090000}"/>
    <cellStyle name="SAPBEXexcGood2 4 2 2" xfId="15999" xr:uid="{00000000-0005-0000-0000-000042090000}"/>
    <cellStyle name="SAPBEXexcGood2 4 2 2 2" xfId="34373" xr:uid="{00000000-0005-0000-0000-000042090000}"/>
    <cellStyle name="SAPBEXexcGood2 4 2 2 3" xfId="52736" xr:uid="{00000000-0005-0000-0000-000042090000}"/>
    <cellStyle name="SAPBEXexcGood2 4 2 3" xfId="25120" xr:uid="{00000000-0005-0000-0000-000042090000}"/>
    <cellStyle name="SAPBEXexcGood2 4 2 3 2" xfId="43489" xr:uid="{00000000-0005-0000-0000-000042090000}"/>
    <cellStyle name="SAPBEXexcGood2 4 2 4" xfId="21441" xr:uid="{00000000-0005-0000-0000-000042090000}"/>
    <cellStyle name="SAPBEXexcGood2 4 2 5" xfId="39820" xr:uid="{00000000-0005-0000-0000-000042090000}"/>
    <cellStyle name="SAPBEXexcGood2 4 3" xfId="23057" xr:uid="{00000000-0005-0000-0000-000042090000}"/>
    <cellStyle name="SAPBEXexcGood2 4 3 2" xfId="41426" xr:uid="{00000000-0005-0000-0000-000042090000}"/>
    <cellStyle name="SAPBEXexcGood2 4 4" xfId="17617" xr:uid="{00000000-0005-0000-0000-000042090000}"/>
    <cellStyle name="SAPBEXexcGood2 4 5" xfId="36059" xr:uid="{00000000-0005-0000-0000-000042090000}"/>
    <cellStyle name="SAPBEXexcGood2 5" xfId="3245" xr:uid="{00000000-0005-0000-0000-000043090000}"/>
    <cellStyle name="SAPBEXexcGood2 5 2" xfId="5447" xr:uid="{00000000-0005-0000-0000-000043090000}"/>
    <cellStyle name="SAPBEXexcGood2 5 2 2" xfId="16138" xr:uid="{00000000-0005-0000-0000-000043090000}"/>
    <cellStyle name="SAPBEXexcGood2 5 2 2 2" xfId="34510" xr:uid="{00000000-0005-0000-0000-000043090000}"/>
    <cellStyle name="SAPBEXexcGood2 5 2 2 3" xfId="52873" xr:uid="{00000000-0005-0000-0000-000043090000}"/>
    <cellStyle name="SAPBEXexcGood2 5 2 3" xfId="25257" xr:uid="{00000000-0005-0000-0000-000043090000}"/>
    <cellStyle name="SAPBEXexcGood2 5 2 3 2" xfId="43626" xr:uid="{00000000-0005-0000-0000-000043090000}"/>
    <cellStyle name="SAPBEXexcGood2 5 2 4" xfId="21578" xr:uid="{00000000-0005-0000-0000-000043090000}"/>
    <cellStyle name="SAPBEXexcGood2 5 2 5" xfId="39957" xr:uid="{00000000-0005-0000-0000-000043090000}"/>
    <cellStyle name="SAPBEXexcGood2 5 3" xfId="23186" xr:uid="{00000000-0005-0000-0000-000043090000}"/>
    <cellStyle name="SAPBEXexcGood2 5 3 2" xfId="41555" xr:uid="{00000000-0005-0000-0000-000043090000}"/>
    <cellStyle name="SAPBEXexcGood2 5 4" xfId="17768" xr:uid="{00000000-0005-0000-0000-000043090000}"/>
    <cellStyle name="SAPBEXexcGood2 5 5" xfId="36188" xr:uid="{00000000-0005-0000-0000-000043090000}"/>
    <cellStyle name="SAPBEXexcGood2 6" xfId="4100" xr:uid="{00000000-0005-0000-0000-00003F090000}"/>
    <cellStyle name="SAPBEXexcGood2 6 2" xfId="14854" xr:uid="{00000000-0005-0000-0000-00003F090000}"/>
    <cellStyle name="SAPBEXexcGood2 6 2 2" xfId="33260" xr:uid="{00000000-0005-0000-0000-00003F090000}"/>
    <cellStyle name="SAPBEXexcGood2 6 2 3" xfId="51623" xr:uid="{00000000-0005-0000-0000-00003F090000}"/>
    <cellStyle name="SAPBEXexcGood2 6 3" xfId="23985" xr:uid="{00000000-0005-0000-0000-00003F090000}"/>
    <cellStyle name="SAPBEXexcGood2 6 3 2" xfId="42354" xr:uid="{00000000-0005-0000-0000-00003F090000}"/>
    <cellStyle name="SAPBEXexcGood2 6 4" xfId="20308" xr:uid="{00000000-0005-0000-0000-00003F090000}"/>
    <cellStyle name="SAPBEXexcGood2 6 5" xfId="38707" xr:uid="{00000000-0005-0000-0000-00003F090000}"/>
    <cellStyle name="SAPBEXexcGood2 7" xfId="19510" xr:uid="{00000000-0005-0000-0000-00003F090000}"/>
    <cellStyle name="SAPBEXexcGood2 7 2" xfId="37916" xr:uid="{00000000-0005-0000-0000-00003F090000}"/>
    <cellStyle name="SAPBEXexcGood2 8" xfId="7040" xr:uid="{00000000-0005-0000-0000-00003F090000}"/>
    <cellStyle name="SAPBEXexcGood2 9" xfId="20291" xr:uid="{00000000-0005-0000-0000-00003F090000}"/>
    <cellStyle name="SAPBEXexcGood3" xfId="742" xr:uid="{00000000-0005-0000-0000-000044090000}"/>
    <cellStyle name="SAPBEXexcGood3 2" xfId="1147" xr:uid="{00000000-0005-0000-0000-000045090000}"/>
    <cellStyle name="SAPBEXexcGood3 2 2" xfId="4246" xr:uid="{00000000-0005-0000-0000-000045090000}"/>
    <cellStyle name="SAPBEXexcGood3 2 2 2" xfId="14991" xr:uid="{00000000-0005-0000-0000-000045090000}"/>
    <cellStyle name="SAPBEXexcGood3 2 2 2 2" xfId="33395" xr:uid="{00000000-0005-0000-0000-000045090000}"/>
    <cellStyle name="SAPBEXexcGood3 2 2 2 3" xfId="51758" xr:uid="{00000000-0005-0000-0000-000045090000}"/>
    <cellStyle name="SAPBEXexcGood3 2 2 3" xfId="24124" xr:uid="{00000000-0005-0000-0000-000045090000}"/>
    <cellStyle name="SAPBEXexcGood3 2 2 3 2" xfId="42493" xr:uid="{00000000-0005-0000-0000-000045090000}"/>
    <cellStyle name="SAPBEXexcGood3 2 2 4" xfId="20444" xr:uid="{00000000-0005-0000-0000-000045090000}"/>
    <cellStyle name="SAPBEXexcGood3 2 2 5" xfId="38842" xr:uid="{00000000-0005-0000-0000-000045090000}"/>
    <cellStyle name="SAPBEXexcGood3 2 3" xfId="19273" xr:uid="{00000000-0005-0000-0000-000045090000}"/>
    <cellStyle name="SAPBEXexcGood3 2 3 2" xfId="37680" xr:uid="{00000000-0005-0000-0000-000045090000}"/>
    <cellStyle name="SAPBEXexcGood3 2 4" xfId="11773" xr:uid="{00000000-0005-0000-0000-000045090000}"/>
    <cellStyle name="SAPBEXexcGood3 2 5" xfId="8307" xr:uid="{00000000-0005-0000-0000-000045090000}"/>
    <cellStyle name="SAPBEXexcGood3 3" xfId="2969" xr:uid="{00000000-0005-0000-0000-000046090000}"/>
    <cellStyle name="SAPBEXexcGood3 3 2" xfId="5233" xr:uid="{00000000-0005-0000-0000-000046090000}"/>
    <cellStyle name="SAPBEXexcGood3 3 2 2" xfId="15925" xr:uid="{00000000-0005-0000-0000-000046090000}"/>
    <cellStyle name="SAPBEXexcGood3 3 2 2 2" xfId="34299" xr:uid="{00000000-0005-0000-0000-000046090000}"/>
    <cellStyle name="SAPBEXexcGood3 3 2 2 3" xfId="52662" xr:uid="{00000000-0005-0000-0000-000046090000}"/>
    <cellStyle name="SAPBEXexcGood3 3 2 3" xfId="25046" xr:uid="{00000000-0005-0000-0000-000046090000}"/>
    <cellStyle name="SAPBEXexcGood3 3 2 3 2" xfId="43415" xr:uid="{00000000-0005-0000-0000-000046090000}"/>
    <cellStyle name="SAPBEXexcGood3 3 2 4" xfId="21367" xr:uid="{00000000-0005-0000-0000-000046090000}"/>
    <cellStyle name="SAPBEXexcGood3 3 2 5" xfId="39746" xr:uid="{00000000-0005-0000-0000-000046090000}"/>
    <cellStyle name="SAPBEXexcGood3 3 3" xfId="22986" xr:uid="{00000000-0005-0000-0000-000046090000}"/>
    <cellStyle name="SAPBEXexcGood3 3 3 2" xfId="41355" xr:uid="{00000000-0005-0000-0000-000046090000}"/>
    <cellStyle name="SAPBEXexcGood3 3 4" xfId="17544" xr:uid="{00000000-0005-0000-0000-000046090000}"/>
    <cellStyle name="SAPBEXexcGood3 3 5" xfId="35988" xr:uid="{00000000-0005-0000-0000-000046090000}"/>
    <cellStyle name="SAPBEXexcGood3 4" xfId="3057" xr:uid="{00000000-0005-0000-0000-000047090000}"/>
    <cellStyle name="SAPBEXexcGood3 4 2" xfId="5309" xr:uid="{00000000-0005-0000-0000-000047090000}"/>
    <cellStyle name="SAPBEXexcGood3 4 2 2" xfId="16001" xr:uid="{00000000-0005-0000-0000-000047090000}"/>
    <cellStyle name="SAPBEXexcGood3 4 2 2 2" xfId="34375" xr:uid="{00000000-0005-0000-0000-000047090000}"/>
    <cellStyle name="SAPBEXexcGood3 4 2 2 3" xfId="52738" xr:uid="{00000000-0005-0000-0000-000047090000}"/>
    <cellStyle name="SAPBEXexcGood3 4 2 3" xfId="25122" xr:uid="{00000000-0005-0000-0000-000047090000}"/>
    <cellStyle name="SAPBEXexcGood3 4 2 3 2" xfId="43491" xr:uid="{00000000-0005-0000-0000-000047090000}"/>
    <cellStyle name="SAPBEXexcGood3 4 2 4" xfId="21443" xr:uid="{00000000-0005-0000-0000-000047090000}"/>
    <cellStyle name="SAPBEXexcGood3 4 2 5" xfId="39822" xr:uid="{00000000-0005-0000-0000-000047090000}"/>
    <cellStyle name="SAPBEXexcGood3 4 3" xfId="23059" xr:uid="{00000000-0005-0000-0000-000047090000}"/>
    <cellStyle name="SAPBEXexcGood3 4 3 2" xfId="41428" xr:uid="{00000000-0005-0000-0000-000047090000}"/>
    <cellStyle name="SAPBEXexcGood3 4 4" xfId="17619" xr:uid="{00000000-0005-0000-0000-000047090000}"/>
    <cellStyle name="SAPBEXexcGood3 4 5" xfId="36061" xr:uid="{00000000-0005-0000-0000-000047090000}"/>
    <cellStyle name="SAPBEXexcGood3 5" xfId="3244" xr:uid="{00000000-0005-0000-0000-000048090000}"/>
    <cellStyle name="SAPBEXexcGood3 5 2" xfId="5446" xr:uid="{00000000-0005-0000-0000-000048090000}"/>
    <cellStyle name="SAPBEXexcGood3 5 2 2" xfId="16137" xr:uid="{00000000-0005-0000-0000-000048090000}"/>
    <cellStyle name="SAPBEXexcGood3 5 2 2 2" xfId="34509" xr:uid="{00000000-0005-0000-0000-000048090000}"/>
    <cellStyle name="SAPBEXexcGood3 5 2 2 3" xfId="52872" xr:uid="{00000000-0005-0000-0000-000048090000}"/>
    <cellStyle name="SAPBEXexcGood3 5 2 3" xfId="25256" xr:uid="{00000000-0005-0000-0000-000048090000}"/>
    <cellStyle name="SAPBEXexcGood3 5 2 3 2" xfId="43625" xr:uid="{00000000-0005-0000-0000-000048090000}"/>
    <cellStyle name="SAPBEXexcGood3 5 2 4" xfId="21577" xr:uid="{00000000-0005-0000-0000-000048090000}"/>
    <cellStyle name="SAPBEXexcGood3 5 2 5" xfId="39956" xr:uid="{00000000-0005-0000-0000-000048090000}"/>
    <cellStyle name="SAPBEXexcGood3 5 3" xfId="23185" xr:uid="{00000000-0005-0000-0000-000048090000}"/>
    <cellStyle name="SAPBEXexcGood3 5 3 2" xfId="41554" xr:uid="{00000000-0005-0000-0000-000048090000}"/>
    <cellStyle name="SAPBEXexcGood3 5 4" xfId="17767" xr:uid="{00000000-0005-0000-0000-000048090000}"/>
    <cellStyle name="SAPBEXexcGood3 5 5" xfId="36187" xr:uid="{00000000-0005-0000-0000-000048090000}"/>
    <cellStyle name="SAPBEXexcGood3 6" xfId="4101" xr:uid="{00000000-0005-0000-0000-000044090000}"/>
    <cellStyle name="SAPBEXexcGood3 6 2" xfId="14855" xr:uid="{00000000-0005-0000-0000-000044090000}"/>
    <cellStyle name="SAPBEXexcGood3 6 2 2" xfId="33261" xr:uid="{00000000-0005-0000-0000-000044090000}"/>
    <cellStyle name="SAPBEXexcGood3 6 2 3" xfId="51624" xr:uid="{00000000-0005-0000-0000-000044090000}"/>
    <cellStyle name="SAPBEXexcGood3 6 3" xfId="23986" xr:uid="{00000000-0005-0000-0000-000044090000}"/>
    <cellStyle name="SAPBEXexcGood3 6 3 2" xfId="42355" xr:uid="{00000000-0005-0000-0000-000044090000}"/>
    <cellStyle name="SAPBEXexcGood3 6 4" xfId="20309" xr:uid="{00000000-0005-0000-0000-000044090000}"/>
    <cellStyle name="SAPBEXexcGood3 6 5" xfId="38708" xr:uid="{00000000-0005-0000-0000-000044090000}"/>
    <cellStyle name="SAPBEXexcGood3 7" xfId="19470" xr:uid="{00000000-0005-0000-0000-000044090000}"/>
    <cellStyle name="SAPBEXexcGood3 7 2" xfId="37876" xr:uid="{00000000-0005-0000-0000-000044090000}"/>
    <cellStyle name="SAPBEXexcGood3 8" xfId="8490" xr:uid="{00000000-0005-0000-0000-000044090000}"/>
    <cellStyle name="SAPBEXexcGood3 9" xfId="20559" xr:uid="{00000000-0005-0000-0000-000044090000}"/>
    <cellStyle name="SAPBEXfilterDrill" xfId="743" xr:uid="{00000000-0005-0000-0000-000049090000}"/>
    <cellStyle name="SAPBEXfilterItem" xfId="744" xr:uid="{00000000-0005-0000-0000-00004A090000}"/>
    <cellStyle name="SAPBEXfilterText" xfId="745" xr:uid="{00000000-0005-0000-0000-00004B090000}"/>
    <cellStyle name="SAPBEXformats" xfId="746" xr:uid="{00000000-0005-0000-0000-00004C090000}"/>
    <cellStyle name="SAPBEXformats 2" xfId="1148" xr:uid="{00000000-0005-0000-0000-00004D090000}"/>
    <cellStyle name="SAPBEXformats 2 2" xfId="4247" xr:uid="{00000000-0005-0000-0000-00004D090000}"/>
    <cellStyle name="SAPBEXformats 2 2 2" xfId="14992" xr:uid="{00000000-0005-0000-0000-00004D090000}"/>
    <cellStyle name="SAPBEXformats 2 2 2 2" xfId="33396" xr:uid="{00000000-0005-0000-0000-00004D090000}"/>
    <cellStyle name="SAPBEXformats 2 2 2 3" xfId="51759" xr:uid="{00000000-0005-0000-0000-00004D090000}"/>
    <cellStyle name="SAPBEXformats 2 2 3" xfId="24125" xr:uid="{00000000-0005-0000-0000-00004D090000}"/>
    <cellStyle name="SAPBEXformats 2 2 3 2" xfId="42494" xr:uid="{00000000-0005-0000-0000-00004D090000}"/>
    <cellStyle name="SAPBEXformats 2 2 4" xfId="20445" xr:uid="{00000000-0005-0000-0000-00004D090000}"/>
    <cellStyle name="SAPBEXformats 2 2 5" xfId="38843" xr:uid="{00000000-0005-0000-0000-00004D090000}"/>
    <cellStyle name="SAPBEXformats 2 3" xfId="19203" xr:uid="{00000000-0005-0000-0000-00004D090000}"/>
    <cellStyle name="SAPBEXformats 2 3 2" xfId="37610" xr:uid="{00000000-0005-0000-0000-00004D090000}"/>
    <cellStyle name="SAPBEXformats 2 4" xfId="8938" xr:uid="{00000000-0005-0000-0000-00004D090000}"/>
    <cellStyle name="SAPBEXformats 2 5" xfId="7097" xr:uid="{00000000-0005-0000-0000-00004D090000}"/>
    <cellStyle name="SAPBEXformats 3" xfId="2968" xr:uid="{00000000-0005-0000-0000-00004E090000}"/>
    <cellStyle name="SAPBEXformats 3 2" xfId="5232" xr:uid="{00000000-0005-0000-0000-00004E090000}"/>
    <cellStyle name="SAPBEXformats 3 2 2" xfId="15924" xr:uid="{00000000-0005-0000-0000-00004E090000}"/>
    <cellStyle name="SAPBEXformats 3 2 2 2" xfId="34298" xr:uid="{00000000-0005-0000-0000-00004E090000}"/>
    <cellStyle name="SAPBEXformats 3 2 2 3" xfId="52661" xr:uid="{00000000-0005-0000-0000-00004E090000}"/>
    <cellStyle name="SAPBEXformats 3 2 3" xfId="25045" xr:uid="{00000000-0005-0000-0000-00004E090000}"/>
    <cellStyle name="SAPBEXformats 3 2 3 2" xfId="43414" xr:uid="{00000000-0005-0000-0000-00004E090000}"/>
    <cellStyle name="SAPBEXformats 3 2 4" xfId="21366" xr:uid="{00000000-0005-0000-0000-00004E090000}"/>
    <cellStyle name="SAPBEXformats 3 2 5" xfId="39745" xr:uid="{00000000-0005-0000-0000-00004E090000}"/>
    <cellStyle name="SAPBEXformats 3 3" xfId="22985" xr:uid="{00000000-0005-0000-0000-00004E090000}"/>
    <cellStyle name="SAPBEXformats 3 3 2" xfId="41354" xr:uid="{00000000-0005-0000-0000-00004E090000}"/>
    <cellStyle name="SAPBEXformats 3 4" xfId="17543" xr:uid="{00000000-0005-0000-0000-00004E090000}"/>
    <cellStyle name="SAPBEXformats 3 5" xfId="35987" xr:uid="{00000000-0005-0000-0000-00004E090000}"/>
    <cellStyle name="SAPBEXformats 4" xfId="3058" xr:uid="{00000000-0005-0000-0000-00004F090000}"/>
    <cellStyle name="SAPBEXformats 4 2" xfId="5310" xr:uid="{00000000-0005-0000-0000-00004F090000}"/>
    <cellStyle name="SAPBEXformats 4 2 2" xfId="16002" xr:uid="{00000000-0005-0000-0000-00004F090000}"/>
    <cellStyle name="SAPBEXformats 4 2 2 2" xfId="34376" xr:uid="{00000000-0005-0000-0000-00004F090000}"/>
    <cellStyle name="SAPBEXformats 4 2 2 3" xfId="52739" xr:uid="{00000000-0005-0000-0000-00004F090000}"/>
    <cellStyle name="SAPBEXformats 4 2 3" xfId="25123" xr:uid="{00000000-0005-0000-0000-00004F090000}"/>
    <cellStyle name="SAPBEXformats 4 2 3 2" xfId="43492" xr:uid="{00000000-0005-0000-0000-00004F090000}"/>
    <cellStyle name="SAPBEXformats 4 2 4" xfId="21444" xr:uid="{00000000-0005-0000-0000-00004F090000}"/>
    <cellStyle name="SAPBEXformats 4 2 5" xfId="39823" xr:uid="{00000000-0005-0000-0000-00004F090000}"/>
    <cellStyle name="SAPBEXformats 4 3" xfId="23060" xr:uid="{00000000-0005-0000-0000-00004F090000}"/>
    <cellStyle name="SAPBEXformats 4 3 2" xfId="41429" xr:uid="{00000000-0005-0000-0000-00004F090000}"/>
    <cellStyle name="SAPBEXformats 4 4" xfId="17620" xr:uid="{00000000-0005-0000-0000-00004F090000}"/>
    <cellStyle name="SAPBEXformats 4 5" xfId="36062" xr:uid="{00000000-0005-0000-0000-00004F090000}"/>
    <cellStyle name="SAPBEXformats 5" xfId="3243" xr:uid="{00000000-0005-0000-0000-000050090000}"/>
    <cellStyle name="SAPBEXformats 5 2" xfId="5445" xr:uid="{00000000-0005-0000-0000-000050090000}"/>
    <cellStyle name="SAPBEXformats 5 2 2" xfId="16136" xr:uid="{00000000-0005-0000-0000-000050090000}"/>
    <cellStyle name="SAPBEXformats 5 2 2 2" xfId="34508" xr:uid="{00000000-0005-0000-0000-000050090000}"/>
    <cellStyle name="SAPBEXformats 5 2 2 3" xfId="52871" xr:uid="{00000000-0005-0000-0000-000050090000}"/>
    <cellStyle name="SAPBEXformats 5 2 3" xfId="25255" xr:uid="{00000000-0005-0000-0000-000050090000}"/>
    <cellStyle name="SAPBEXformats 5 2 3 2" xfId="43624" xr:uid="{00000000-0005-0000-0000-000050090000}"/>
    <cellStyle name="SAPBEXformats 5 2 4" xfId="21576" xr:uid="{00000000-0005-0000-0000-000050090000}"/>
    <cellStyle name="SAPBEXformats 5 2 5" xfId="39955" xr:uid="{00000000-0005-0000-0000-000050090000}"/>
    <cellStyle name="SAPBEXformats 5 3" xfId="23184" xr:uid="{00000000-0005-0000-0000-000050090000}"/>
    <cellStyle name="SAPBEXformats 5 3 2" xfId="41553" xr:uid="{00000000-0005-0000-0000-000050090000}"/>
    <cellStyle name="SAPBEXformats 5 4" xfId="17766" xr:uid="{00000000-0005-0000-0000-000050090000}"/>
    <cellStyle name="SAPBEXformats 5 5" xfId="36186" xr:uid="{00000000-0005-0000-0000-000050090000}"/>
    <cellStyle name="SAPBEXformats 6" xfId="4102" xr:uid="{00000000-0005-0000-0000-00004C090000}"/>
    <cellStyle name="SAPBEXformats 6 2" xfId="14856" xr:uid="{00000000-0005-0000-0000-00004C090000}"/>
    <cellStyle name="SAPBEXformats 6 2 2" xfId="33262" xr:uid="{00000000-0005-0000-0000-00004C090000}"/>
    <cellStyle name="SAPBEXformats 6 2 3" xfId="51625" xr:uid="{00000000-0005-0000-0000-00004C090000}"/>
    <cellStyle name="SAPBEXformats 6 3" xfId="23987" xr:uid="{00000000-0005-0000-0000-00004C090000}"/>
    <cellStyle name="SAPBEXformats 6 3 2" xfId="42356" xr:uid="{00000000-0005-0000-0000-00004C090000}"/>
    <cellStyle name="SAPBEXformats 6 4" xfId="20310" xr:uid="{00000000-0005-0000-0000-00004C090000}"/>
    <cellStyle name="SAPBEXformats 6 5" xfId="38709" xr:uid="{00000000-0005-0000-0000-00004C090000}"/>
    <cellStyle name="SAPBEXformats 7" xfId="19508" xr:uid="{00000000-0005-0000-0000-00004C090000}"/>
    <cellStyle name="SAPBEXformats 7 2" xfId="37914" xr:uid="{00000000-0005-0000-0000-00004C090000}"/>
    <cellStyle name="SAPBEXformats 8" xfId="7500" xr:uid="{00000000-0005-0000-0000-00004C090000}"/>
    <cellStyle name="SAPBEXformats 9" xfId="8222" xr:uid="{00000000-0005-0000-0000-00004C090000}"/>
    <cellStyle name="SAPBEXheaderItem" xfId="747" xr:uid="{00000000-0005-0000-0000-000051090000}"/>
    <cellStyle name="SAPBEXheaderText" xfId="748" xr:uid="{00000000-0005-0000-0000-000052090000}"/>
    <cellStyle name="SAPBEXHLevel0" xfId="749" xr:uid="{00000000-0005-0000-0000-000053090000}"/>
    <cellStyle name="SAPBEXHLevel0 10" xfId="4918" xr:uid="{00000000-0005-0000-0000-000053090000}"/>
    <cellStyle name="SAPBEXHLevel0 11" xfId="11770" xr:uid="{00000000-0005-0000-0000-000053090000}"/>
    <cellStyle name="SAPBEXHLevel0 2" xfId="1149" xr:uid="{00000000-0005-0000-0000-000054090000}"/>
    <cellStyle name="SAPBEXHLevel0 2 2" xfId="4248" xr:uid="{00000000-0005-0000-0000-000054090000}"/>
    <cellStyle name="SAPBEXHLevel0 2 2 2" xfId="14993" xr:uid="{00000000-0005-0000-0000-000054090000}"/>
    <cellStyle name="SAPBEXHLevel0 2 2 2 2" xfId="33397" xr:uid="{00000000-0005-0000-0000-000054090000}"/>
    <cellStyle name="SAPBEXHLevel0 2 2 2 3" xfId="51760" xr:uid="{00000000-0005-0000-0000-000054090000}"/>
    <cellStyle name="SAPBEXHLevel0 2 2 3" xfId="24126" xr:uid="{00000000-0005-0000-0000-000054090000}"/>
    <cellStyle name="SAPBEXHLevel0 2 2 3 2" xfId="42495" xr:uid="{00000000-0005-0000-0000-000054090000}"/>
    <cellStyle name="SAPBEXHLevel0 2 2 4" xfId="20446" xr:uid="{00000000-0005-0000-0000-000054090000}"/>
    <cellStyle name="SAPBEXHLevel0 2 2 5" xfId="38844" xr:uid="{00000000-0005-0000-0000-000054090000}"/>
    <cellStyle name="SAPBEXHLevel0 2 3" xfId="18179" xr:uid="{00000000-0005-0000-0000-000054090000}"/>
    <cellStyle name="SAPBEXHLevel0 2 3 2" xfId="36585" xr:uid="{00000000-0005-0000-0000-000054090000}"/>
    <cellStyle name="SAPBEXHLevel0 2 4" xfId="11821" xr:uid="{00000000-0005-0000-0000-000054090000}"/>
    <cellStyle name="SAPBEXHLevel0 2 5" xfId="7492" xr:uid="{00000000-0005-0000-0000-000054090000}"/>
    <cellStyle name="SAPBEXHLevel0 3" xfId="2188" xr:uid="{00000000-0005-0000-0000-000055090000}"/>
    <cellStyle name="SAPBEXHLevel0 3 2" xfId="4923" xr:uid="{00000000-0005-0000-0000-000055090000}"/>
    <cellStyle name="SAPBEXHLevel0 3 2 2" xfId="15643" xr:uid="{00000000-0005-0000-0000-000055090000}"/>
    <cellStyle name="SAPBEXHLevel0 3 2 2 2" xfId="34032" xr:uid="{00000000-0005-0000-0000-000055090000}"/>
    <cellStyle name="SAPBEXHLevel0 3 2 2 3" xfId="52395" xr:uid="{00000000-0005-0000-0000-000055090000}"/>
    <cellStyle name="SAPBEXHLevel0 3 2 3" xfId="24765" xr:uid="{00000000-0005-0000-0000-000055090000}"/>
    <cellStyle name="SAPBEXHLevel0 3 2 3 2" xfId="43134" xr:uid="{00000000-0005-0000-0000-000055090000}"/>
    <cellStyle name="SAPBEXHLevel0 3 2 4" xfId="21091" xr:uid="{00000000-0005-0000-0000-000055090000}"/>
    <cellStyle name="SAPBEXHLevel0 3 2 5" xfId="39479" xr:uid="{00000000-0005-0000-0000-000055090000}"/>
    <cellStyle name="SAPBEXHLevel0 3 3" xfId="18120" xr:uid="{00000000-0005-0000-0000-000055090000}"/>
    <cellStyle name="SAPBEXHLevel0 3 3 2" xfId="36527" xr:uid="{00000000-0005-0000-0000-000055090000}"/>
    <cellStyle name="SAPBEXHLevel0 3 4" xfId="8270" xr:uid="{00000000-0005-0000-0000-000055090000}"/>
    <cellStyle name="SAPBEXHLevel0 3 5" xfId="8877" xr:uid="{00000000-0005-0000-0000-000055090000}"/>
    <cellStyle name="SAPBEXHLevel0 4" xfId="2633" xr:uid="{00000000-0005-0000-0000-000056090000}"/>
    <cellStyle name="SAPBEXHLevel0 4 2" xfId="5086" xr:uid="{00000000-0005-0000-0000-000056090000}"/>
    <cellStyle name="SAPBEXHLevel0 4 2 2" xfId="15796" xr:uid="{00000000-0005-0000-0000-000056090000}"/>
    <cellStyle name="SAPBEXHLevel0 4 2 2 2" xfId="34181" xr:uid="{00000000-0005-0000-0000-000056090000}"/>
    <cellStyle name="SAPBEXHLevel0 4 2 2 3" xfId="52544" xr:uid="{00000000-0005-0000-0000-000056090000}"/>
    <cellStyle name="SAPBEXHLevel0 4 2 3" xfId="24917" xr:uid="{00000000-0005-0000-0000-000056090000}"/>
    <cellStyle name="SAPBEXHLevel0 4 2 3 2" xfId="43286" xr:uid="{00000000-0005-0000-0000-000056090000}"/>
    <cellStyle name="SAPBEXHLevel0 4 2 4" xfId="21243" xr:uid="{00000000-0005-0000-0000-000056090000}"/>
    <cellStyle name="SAPBEXHLevel0 4 2 5" xfId="39628" xr:uid="{00000000-0005-0000-0000-000056090000}"/>
    <cellStyle name="SAPBEXHLevel0 4 3" xfId="18340" xr:uid="{00000000-0005-0000-0000-000056090000}"/>
    <cellStyle name="SAPBEXHLevel0 4 3 2" xfId="36746" xr:uid="{00000000-0005-0000-0000-000056090000}"/>
    <cellStyle name="SAPBEXHLevel0 4 4" xfId="11809" xr:uid="{00000000-0005-0000-0000-000056090000}"/>
    <cellStyle name="SAPBEXHLevel0 4 5" xfId="35875" xr:uid="{00000000-0005-0000-0000-000056090000}"/>
    <cellStyle name="SAPBEXHLevel0 5" xfId="2967" xr:uid="{00000000-0005-0000-0000-000057090000}"/>
    <cellStyle name="SAPBEXHLevel0 5 2" xfId="5231" xr:uid="{00000000-0005-0000-0000-000057090000}"/>
    <cellStyle name="SAPBEXHLevel0 5 2 2" xfId="15923" xr:uid="{00000000-0005-0000-0000-000057090000}"/>
    <cellStyle name="SAPBEXHLevel0 5 2 2 2" xfId="34297" xr:uid="{00000000-0005-0000-0000-000057090000}"/>
    <cellStyle name="SAPBEXHLevel0 5 2 2 3" xfId="52660" xr:uid="{00000000-0005-0000-0000-000057090000}"/>
    <cellStyle name="SAPBEXHLevel0 5 2 3" xfId="25044" xr:uid="{00000000-0005-0000-0000-000057090000}"/>
    <cellStyle name="SAPBEXHLevel0 5 2 3 2" xfId="43413" xr:uid="{00000000-0005-0000-0000-000057090000}"/>
    <cellStyle name="SAPBEXHLevel0 5 2 4" xfId="21365" xr:uid="{00000000-0005-0000-0000-000057090000}"/>
    <cellStyle name="SAPBEXHLevel0 5 2 5" xfId="39744" xr:uid="{00000000-0005-0000-0000-000057090000}"/>
    <cellStyle name="SAPBEXHLevel0 5 3" xfId="22984" xr:uid="{00000000-0005-0000-0000-000057090000}"/>
    <cellStyle name="SAPBEXHLevel0 5 3 2" xfId="41353" xr:uid="{00000000-0005-0000-0000-000057090000}"/>
    <cellStyle name="SAPBEXHLevel0 5 4" xfId="17542" xr:uid="{00000000-0005-0000-0000-000057090000}"/>
    <cellStyle name="SAPBEXHLevel0 5 5" xfId="35986" xr:uid="{00000000-0005-0000-0000-000057090000}"/>
    <cellStyle name="SAPBEXHLevel0 6" xfId="3059" xr:uid="{00000000-0005-0000-0000-000058090000}"/>
    <cellStyle name="SAPBEXHLevel0 6 2" xfId="5311" xr:uid="{00000000-0005-0000-0000-000058090000}"/>
    <cellStyle name="SAPBEXHLevel0 6 2 2" xfId="16003" xr:uid="{00000000-0005-0000-0000-000058090000}"/>
    <cellStyle name="SAPBEXHLevel0 6 2 2 2" xfId="34377" xr:uid="{00000000-0005-0000-0000-000058090000}"/>
    <cellStyle name="SAPBEXHLevel0 6 2 2 3" xfId="52740" xr:uid="{00000000-0005-0000-0000-000058090000}"/>
    <cellStyle name="SAPBEXHLevel0 6 2 3" xfId="25124" xr:uid="{00000000-0005-0000-0000-000058090000}"/>
    <cellStyle name="SAPBEXHLevel0 6 2 3 2" xfId="43493" xr:uid="{00000000-0005-0000-0000-000058090000}"/>
    <cellStyle name="SAPBEXHLevel0 6 2 4" xfId="21445" xr:uid="{00000000-0005-0000-0000-000058090000}"/>
    <cellStyle name="SAPBEXHLevel0 6 2 5" xfId="39824" xr:uid="{00000000-0005-0000-0000-000058090000}"/>
    <cellStyle name="SAPBEXHLevel0 6 3" xfId="23061" xr:uid="{00000000-0005-0000-0000-000058090000}"/>
    <cellStyle name="SAPBEXHLevel0 6 3 2" xfId="41430" xr:uid="{00000000-0005-0000-0000-000058090000}"/>
    <cellStyle name="SAPBEXHLevel0 6 4" xfId="17621" xr:uid="{00000000-0005-0000-0000-000058090000}"/>
    <cellStyle name="SAPBEXHLevel0 6 5" xfId="36063" xr:uid="{00000000-0005-0000-0000-000058090000}"/>
    <cellStyle name="SAPBEXHLevel0 7" xfId="3242" xr:uid="{00000000-0005-0000-0000-000059090000}"/>
    <cellStyle name="SAPBEXHLevel0 7 2" xfId="5444" xr:uid="{00000000-0005-0000-0000-000059090000}"/>
    <cellStyle name="SAPBEXHLevel0 7 2 2" xfId="16135" xr:uid="{00000000-0005-0000-0000-000059090000}"/>
    <cellStyle name="SAPBEXHLevel0 7 2 2 2" xfId="34507" xr:uid="{00000000-0005-0000-0000-000059090000}"/>
    <cellStyle name="SAPBEXHLevel0 7 2 2 3" xfId="52870" xr:uid="{00000000-0005-0000-0000-000059090000}"/>
    <cellStyle name="SAPBEXHLevel0 7 2 3" xfId="25254" xr:uid="{00000000-0005-0000-0000-000059090000}"/>
    <cellStyle name="SAPBEXHLevel0 7 2 3 2" xfId="43623" xr:uid="{00000000-0005-0000-0000-000059090000}"/>
    <cellStyle name="SAPBEXHLevel0 7 2 4" xfId="21575" xr:uid="{00000000-0005-0000-0000-000059090000}"/>
    <cellStyle name="SAPBEXHLevel0 7 2 5" xfId="39954" xr:uid="{00000000-0005-0000-0000-000059090000}"/>
    <cellStyle name="SAPBEXHLevel0 7 3" xfId="23183" xr:uid="{00000000-0005-0000-0000-000059090000}"/>
    <cellStyle name="SAPBEXHLevel0 7 3 2" xfId="41552" xr:uid="{00000000-0005-0000-0000-000059090000}"/>
    <cellStyle name="SAPBEXHLevel0 7 4" xfId="17765" xr:uid="{00000000-0005-0000-0000-000059090000}"/>
    <cellStyle name="SAPBEXHLevel0 7 5" xfId="36185" xr:uid="{00000000-0005-0000-0000-000059090000}"/>
    <cellStyle name="SAPBEXHLevel0 8" xfId="4103" xr:uid="{00000000-0005-0000-0000-000053090000}"/>
    <cellStyle name="SAPBEXHLevel0 8 2" xfId="14857" xr:uid="{00000000-0005-0000-0000-000053090000}"/>
    <cellStyle name="SAPBEXHLevel0 8 2 2" xfId="33263" xr:uid="{00000000-0005-0000-0000-000053090000}"/>
    <cellStyle name="SAPBEXHLevel0 8 2 3" xfId="51626" xr:uid="{00000000-0005-0000-0000-000053090000}"/>
    <cellStyle name="SAPBEXHLevel0 8 3" xfId="23988" xr:uid="{00000000-0005-0000-0000-000053090000}"/>
    <cellStyle name="SAPBEXHLevel0 8 3 2" xfId="42357" xr:uid="{00000000-0005-0000-0000-000053090000}"/>
    <cellStyle name="SAPBEXHLevel0 8 4" xfId="20311" xr:uid="{00000000-0005-0000-0000-000053090000}"/>
    <cellStyle name="SAPBEXHLevel0 8 5" xfId="38710" xr:uid="{00000000-0005-0000-0000-000053090000}"/>
    <cellStyle name="SAPBEXHLevel0 9" xfId="18241" xr:uid="{00000000-0005-0000-0000-000053090000}"/>
    <cellStyle name="SAPBEXHLevel0 9 2" xfId="36647" xr:uid="{00000000-0005-0000-0000-000053090000}"/>
    <cellStyle name="SAPBEXHLevel0X" xfId="750" xr:uid="{00000000-0005-0000-0000-00005A090000}"/>
    <cellStyle name="SAPBEXHLevel0X 10" xfId="8782" xr:uid="{00000000-0005-0000-0000-00005A090000}"/>
    <cellStyle name="SAPBEXHLevel0X 11" xfId="10638" xr:uid="{00000000-0005-0000-0000-00005A090000}"/>
    <cellStyle name="SAPBEXHLevel0X 2" xfId="1150" xr:uid="{00000000-0005-0000-0000-00005B090000}"/>
    <cellStyle name="SAPBEXHLevel0X 2 2" xfId="4249" xr:uid="{00000000-0005-0000-0000-00005B090000}"/>
    <cellStyle name="SAPBEXHLevel0X 2 2 2" xfId="14994" xr:uid="{00000000-0005-0000-0000-00005B090000}"/>
    <cellStyle name="SAPBEXHLevel0X 2 2 2 2" xfId="33398" xr:uid="{00000000-0005-0000-0000-00005B090000}"/>
    <cellStyle name="SAPBEXHLevel0X 2 2 2 3" xfId="51761" xr:uid="{00000000-0005-0000-0000-00005B090000}"/>
    <cellStyle name="SAPBEXHLevel0X 2 2 3" xfId="24127" xr:uid="{00000000-0005-0000-0000-00005B090000}"/>
    <cellStyle name="SAPBEXHLevel0X 2 2 3 2" xfId="42496" xr:uid="{00000000-0005-0000-0000-00005B090000}"/>
    <cellStyle name="SAPBEXHLevel0X 2 2 4" xfId="20447" xr:uid="{00000000-0005-0000-0000-00005B090000}"/>
    <cellStyle name="SAPBEXHLevel0X 2 2 5" xfId="38845" xr:uid="{00000000-0005-0000-0000-00005B090000}"/>
    <cellStyle name="SAPBEXHLevel0X 2 3" xfId="17851" xr:uid="{00000000-0005-0000-0000-00005B090000}"/>
    <cellStyle name="SAPBEXHLevel0X 2 3 2" xfId="36261" xr:uid="{00000000-0005-0000-0000-00005B090000}"/>
    <cellStyle name="SAPBEXHLevel0X 2 4" xfId="11738" xr:uid="{00000000-0005-0000-0000-00005B090000}"/>
    <cellStyle name="SAPBEXHLevel0X 2 5" xfId="15856" xr:uid="{00000000-0005-0000-0000-00005B090000}"/>
    <cellStyle name="SAPBEXHLevel0X 3" xfId="2189" xr:uid="{00000000-0005-0000-0000-00005C090000}"/>
    <cellStyle name="SAPBEXHLevel0X 3 2" xfId="4924" xr:uid="{00000000-0005-0000-0000-00005C090000}"/>
    <cellStyle name="SAPBEXHLevel0X 3 2 2" xfId="15644" xr:uid="{00000000-0005-0000-0000-00005C090000}"/>
    <cellStyle name="SAPBEXHLevel0X 3 2 2 2" xfId="34033" xr:uid="{00000000-0005-0000-0000-00005C090000}"/>
    <cellStyle name="SAPBEXHLevel0X 3 2 2 3" xfId="52396" xr:uid="{00000000-0005-0000-0000-00005C090000}"/>
    <cellStyle name="SAPBEXHLevel0X 3 2 3" xfId="24766" xr:uid="{00000000-0005-0000-0000-00005C090000}"/>
    <cellStyle name="SAPBEXHLevel0X 3 2 3 2" xfId="43135" xr:uid="{00000000-0005-0000-0000-00005C090000}"/>
    <cellStyle name="SAPBEXHLevel0X 3 2 4" xfId="21092" xr:uid="{00000000-0005-0000-0000-00005C090000}"/>
    <cellStyle name="SAPBEXHLevel0X 3 2 5" xfId="39480" xr:uid="{00000000-0005-0000-0000-00005C090000}"/>
    <cellStyle name="SAPBEXHLevel0X 3 3" xfId="18257" xr:uid="{00000000-0005-0000-0000-00005C090000}"/>
    <cellStyle name="SAPBEXHLevel0X 3 3 2" xfId="36663" xr:uid="{00000000-0005-0000-0000-00005C090000}"/>
    <cellStyle name="SAPBEXHLevel0X 3 4" xfId="8665" xr:uid="{00000000-0005-0000-0000-00005C090000}"/>
    <cellStyle name="SAPBEXHLevel0X 3 5" xfId="11136" xr:uid="{00000000-0005-0000-0000-00005C090000}"/>
    <cellStyle name="SAPBEXHLevel0X 4" xfId="2634" xr:uid="{00000000-0005-0000-0000-00005D090000}"/>
    <cellStyle name="SAPBEXHLevel0X 4 2" xfId="5087" xr:uid="{00000000-0005-0000-0000-00005D090000}"/>
    <cellStyle name="SAPBEXHLevel0X 4 2 2" xfId="15797" xr:uid="{00000000-0005-0000-0000-00005D090000}"/>
    <cellStyle name="SAPBEXHLevel0X 4 2 2 2" xfId="34182" xr:uid="{00000000-0005-0000-0000-00005D090000}"/>
    <cellStyle name="SAPBEXHLevel0X 4 2 2 3" xfId="52545" xr:uid="{00000000-0005-0000-0000-00005D090000}"/>
    <cellStyle name="SAPBEXHLevel0X 4 2 3" xfId="24918" xr:uid="{00000000-0005-0000-0000-00005D090000}"/>
    <cellStyle name="SAPBEXHLevel0X 4 2 3 2" xfId="43287" xr:uid="{00000000-0005-0000-0000-00005D090000}"/>
    <cellStyle name="SAPBEXHLevel0X 4 2 4" xfId="21244" xr:uid="{00000000-0005-0000-0000-00005D090000}"/>
    <cellStyle name="SAPBEXHLevel0X 4 2 5" xfId="39629" xr:uid="{00000000-0005-0000-0000-00005D090000}"/>
    <cellStyle name="SAPBEXHLevel0X 4 3" xfId="17919" xr:uid="{00000000-0005-0000-0000-00005D090000}"/>
    <cellStyle name="SAPBEXHLevel0X 4 3 2" xfId="36327" xr:uid="{00000000-0005-0000-0000-00005D090000}"/>
    <cellStyle name="SAPBEXHLevel0X 4 4" xfId="15866" xr:uid="{00000000-0005-0000-0000-00005D090000}"/>
    <cellStyle name="SAPBEXHLevel0X 4 5" xfId="35876" xr:uid="{00000000-0005-0000-0000-00005D090000}"/>
    <cellStyle name="SAPBEXHLevel0X 5" xfId="2966" xr:uid="{00000000-0005-0000-0000-00005E090000}"/>
    <cellStyle name="SAPBEXHLevel0X 5 2" xfId="5230" xr:uid="{00000000-0005-0000-0000-00005E090000}"/>
    <cellStyle name="SAPBEXHLevel0X 5 2 2" xfId="15922" xr:uid="{00000000-0005-0000-0000-00005E090000}"/>
    <cellStyle name="SAPBEXHLevel0X 5 2 2 2" xfId="34296" xr:uid="{00000000-0005-0000-0000-00005E090000}"/>
    <cellStyle name="SAPBEXHLevel0X 5 2 2 3" xfId="52659" xr:uid="{00000000-0005-0000-0000-00005E090000}"/>
    <cellStyle name="SAPBEXHLevel0X 5 2 3" xfId="25043" xr:uid="{00000000-0005-0000-0000-00005E090000}"/>
    <cellStyle name="SAPBEXHLevel0X 5 2 3 2" xfId="43412" xr:uid="{00000000-0005-0000-0000-00005E090000}"/>
    <cellStyle name="SAPBEXHLevel0X 5 2 4" xfId="21364" xr:uid="{00000000-0005-0000-0000-00005E090000}"/>
    <cellStyle name="SAPBEXHLevel0X 5 2 5" xfId="39743" xr:uid="{00000000-0005-0000-0000-00005E090000}"/>
    <cellStyle name="SAPBEXHLevel0X 5 3" xfId="22983" xr:uid="{00000000-0005-0000-0000-00005E090000}"/>
    <cellStyle name="SAPBEXHLevel0X 5 3 2" xfId="41352" xr:uid="{00000000-0005-0000-0000-00005E090000}"/>
    <cellStyle name="SAPBEXHLevel0X 5 4" xfId="17541" xr:uid="{00000000-0005-0000-0000-00005E090000}"/>
    <cellStyle name="SAPBEXHLevel0X 5 5" xfId="35985" xr:uid="{00000000-0005-0000-0000-00005E090000}"/>
    <cellStyle name="SAPBEXHLevel0X 6" xfId="3060" xr:uid="{00000000-0005-0000-0000-00005F090000}"/>
    <cellStyle name="SAPBEXHLevel0X 6 2" xfId="5312" xr:uid="{00000000-0005-0000-0000-00005F090000}"/>
    <cellStyle name="SAPBEXHLevel0X 6 2 2" xfId="16004" xr:uid="{00000000-0005-0000-0000-00005F090000}"/>
    <cellStyle name="SAPBEXHLevel0X 6 2 2 2" xfId="34378" xr:uid="{00000000-0005-0000-0000-00005F090000}"/>
    <cellStyle name="SAPBEXHLevel0X 6 2 2 3" xfId="52741" xr:uid="{00000000-0005-0000-0000-00005F090000}"/>
    <cellStyle name="SAPBEXHLevel0X 6 2 3" xfId="25125" xr:uid="{00000000-0005-0000-0000-00005F090000}"/>
    <cellStyle name="SAPBEXHLevel0X 6 2 3 2" xfId="43494" xr:uid="{00000000-0005-0000-0000-00005F090000}"/>
    <cellStyle name="SAPBEXHLevel0X 6 2 4" xfId="21446" xr:uid="{00000000-0005-0000-0000-00005F090000}"/>
    <cellStyle name="SAPBEXHLevel0X 6 2 5" xfId="39825" xr:uid="{00000000-0005-0000-0000-00005F090000}"/>
    <cellStyle name="SAPBEXHLevel0X 6 3" xfId="23062" xr:uid="{00000000-0005-0000-0000-00005F090000}"/>
    <cellStyle name="SAPBEXHLevel0X 6 3 2" xfId="41431" xr:uid="{00000000-0005-0000-0000-00005F090000}"/>
    <cellStyle name="SAPBEXHLevel0X 6 4" xfId="17622" xr:uid="{00000000-0005-0000-0000-00005F090000}"/>
    <cellStyle name="SAPBEXHLevel0X 6 5" xfId="36064" xr:uid="{00000000-0005-0000-0000-00005F090000}"/>
    <cellStyle name="SAPBEXHLevel0X 7" xfId="3241" xr:uid="{00000000-0005-0000-0000-000060090000}"/>
    <cellStyle name="SAPBEXHLevel0X 7 2" xfId="5443" xr:uid="{00000000-0005-0000-0000-000060090000}"/>
    <cellStyle name="SAPBEXHLevel0X 7 2 2" xfId="16134" xr:uid="{00000000-0005-0000-0000-000060090000}"/>
    <cellStyle name="SAPBEXHLevel0X 7 2 2 2" xfId="34506" xr:uid="{00000000-0005-0000-0000-000060090000}"/>
    <cellStyle name="SAPBEXHLevel0X 7 2 2 3" xfId="52869" xr:uid="{00000000-0005-0000-0000-000060090000}"/>
    <cellStyle name="SAPBEXHLevel0X 7 2 3" xfId="25253" xr:uid="{00000000-0005-0000-0000-000060090000}"/>
    <cellStyle name="SAPBEXHLevel0X 7 2 3 2" xfId="43622" xr:uid="{00000000-0005-0000-0000-000060090000}"/>
    <cellStyle name="SAPBEXHLevel0X 7 2 4" xfId="21574" xr:uid="{00000000-0005-0000-0000-000060090000}"/>
    <cellStyle name="SAPBEXHLevel0X 7 2 5" xfId="39953" xr:uid="{00000000-0005-0000-0000-000060090000}"/>
    <cellStyle name="SAPBEXHLevel0X 7 3" xfId="23182" xr:uid="{00000000-0005-0000-0000-000060090000}"/>
    <cellStyle name="SAPBEXHLevel0X 7 3 2" xfId="41551" xr:uid="{00000000-0005-0000-0000-000060090000}"/>
    <cellStyle name="SAPBEXHLevel0X 7 4" xfId="17764" xr:uid="{00000000-0005-0000-0000-000060090000}"/>
    <cellStyle name="SAPBEXHLevel0X 7 5" xfId="36184" xr:uid="{00000000-0005-0000-0000-000060090000}"/>
    <cellStyle name="SAPBEXHLevel0X 8" xfId="4104" xr:uid="{00000000-0005-0000-0000-00005A090000}"/>
    <cellStyle name="SAPBEXHLevel0X 8 2" xfId="14858" xr:uid="{00000000-0005-0000-0000-00005A090000}"/>
    <cellStyle name="SAPBEXHLevel0X 8 2 2" xfId="33264" xr:uid="{00000000-0005-0000-0000-00005A090000}"/>
    <cellStyle name="SAPBEXHLevel0X 8 2 3" xfId="51627" xr:uid="{00000000-0005-0000-0000-00005A090000}"/>
    <cellStyle name="SAPBEXHLevel0X 8 3" xfId="23989" xr:uid="{00000000-0005-0000-0000-00005A090000}"/>
    <cellStyle name="SAPBEXHLevel0X 8 3 2" xfId="42358" xr:uid="{00000000-0005-0000-0000-00005A090000}"/>
    <cellStyle name="SAPBEXHLevel0X 8 4" xfId="20312" xr:uid="{00000000-0005-0000-0000-00005A090000}"/>
    <cellStyle name="SAPBEXHLevel0X 8 5" xfId="38711" xr:uid="{00000000-0005-0000-0000-00005A090000}"/>
    <cellStyle name="SAPBEXHLevel0X 9" xfId="19538" xr:uid="{00000000-0005-0000-0000-00005A090000}"/>
    <cellStyle name="SAPBEXHLevel0X 9 2" xfId="37944" xr:uid="{00000000-0005-0000-0000-00005A090000}"/>
    <cellStyle name="SAPBEXHLevel1" xfId="751" xr:uid="{00000000-0005-0000-0000-000061090000}"/>
    <cellStyle name="SAPBEXHLevel1 10" xfId="8296" xr:uid="{00000000-0005-0000-0000-000061090000}"/>
    <cellStyle name="SAPBEXHLevel1 11" xfId="17782" xr:uid="{00000000-0005-0000-0000-000061090000}"/>
    <cellStyle name="SAPBEXHLevel1 2" xfId="1151" xr:uid="{00000000-0005-0000-0000-000062090000}"/>
    <cellStyle name="SAPBEXHLevel1 2 2" xfId="4250" xr:uid="{00000000-0005-0000-0000-000062090000}"/>
    <cellStyle name="SAPBEXHLevel1 2 2 2" xfId="14995" xr:uid="{00000000-0005-0000-0000-000062090000}"/>
    <cellStyle name="SAPBEXHLevel1 2 2 2 2" xfId="33399" xr:uid="{00000000-0005-0000-0000-000062090000}"/>
    <cellStyle name="SAPBEXHLevel1 2 2 2 3" xfId="51762" xr:uid="{00000000-0005-0000-0000-000062090000}"/>
    <cellStyle name="SAPBEXHLevel1 2 2 3" xfId="24128" xr:uid="{00000000-0005-0000-0000-000062090000}"/>
    <cellStyle name="SAPBEXHLevel1 2 2 3 2" xfId="42497" xr:uid="{00000000-0005-0000-0000-000062090000}"/>
    <cellStyle name="SAPBEXHLevel1 2 2 4" xfId="20448" xr:uid="{00000000-0005-0000-0000-000062090000}"/>
    <cellStyle name="SAPBEXHLevel1 2 2 5" xfId="38846" xr:uid="{00000000-0005-0000-0000-000062090000}"/>
    <cellStyle name="SAPBEXHLevel1 2 3" xfId="18965" xr:uid="{00000000-0005-0000-0000-000062090000}"/>
    <cellStyle name="SAPBEXHLevel1 2 3 2" xfId="37374" xr:uid="{00000000-0005-0000-0000-000062090000}"/>
    <cellStyle name="SAPBEXHLevel1 2 4" xfId="8799" xr:uid="{00000000-0005-0000-0000-000062090000}"/>
    <cellStyle name="SAPBEXHLevel1 2 5" xfId="7087" xr:uid="{00000000-0005-0000-0000-000062090000}"/>
    <cellStyle name="SAPBEXHLevel1 3" xfId="2190" xr:uid="{00000000-0005-0000-0000-000063090000}"/>
    <cellStyle name="SAPBEXHLevel1 3 2" xfId="4925" xr:uid="{00000000-0005-0000-0000-000063090000}"/>
    <cellStyle name="SAPBEXHLevel1 3 2 2" xfId="15645" xr:uid="{00000000-0005-0000-0000-000063090000}"/>
    <cellStyle name="SAPBEXHLevel1 3 2 2 2" xfId="34034" xr:uid="{00000000-0005-0000-0000-000063090000}"/>
    <cellStyle name="SAPBEXHLevel1 3 2 2 3" xfId="52397" xr:uid="{00000000-0005-0000-0000-000063090000}"/>
    <cellStyle name="SAPBEXHLevel1 3 2 3" xfId="24767" xr:uid="{00000000-0005-0000-0000-000063090000}"/>
    <cellStyle name="SAPBEXHLevel1 3 2 3 2" xfId="43136" xr:uid="{00000000-0005-0000-0000-000063090000}"/>
    <cellStyle name="SAPBEXHLevel1 3 2 4" xfId="21093" xr:uid="{00000000-0005-0000-0000-000063090000}"/>
    <cellStyle name="SAPBEXHLevel1 3 2 5" xfId="39481" xr:uid="{00000000-0005-0000-0000-000063090000}"/>
    <cellStyle name="SAPBEXHLevel1 3 3" xfId="18963" xr:uid="{00000000-0005-0000-0000-000063090000}"/>
    <cellStyle name="SAPBEXHLevel1 3 3 2" xfId="37372" xr:uid="{00000000-0005-0000-0000-000063090000}"/>
    <cellStyle name="SAPBEXHLevel1 3 4" xfId="7847" xr:uid="{00000000-0005-0000-0000-000063090000}"/>
    <cellStyle name="SAPBEXHLevel1 3 5" xfId="8834" xr:uid="{00000000-0005-0000-0000-000063090000}"/>
    <cellStyle name="SAPBEXHLevel1 4" xfId="2635" xr:uid="{00000000-0005-0000-0000-000064090000}"/>
    <cellStyle name="SAPBEXHLevel1 4 2" xfId="5088" xr:uid="{00000000-0005-0000-0000-000064090000}"/>
    <cellStyle name="SAPBEXHLevel1 4 2 2" xfId="15798" xr:uid="{00000000-0005-0000-0000-000064090000}"/>
    <cellStyle name="SAPBEXHLevel1 4 2 2 2" xfId="34183" xr:uid="{00000000-0005-0000-0000-000064090000}"/>
    <cellStyle name="SAPBEXHLevel1 4 2 2 3" xfId="52546" xr:uid="{00000000-0005-0000-0000-000064090000}"/>
    <cellStyle name="SAPBEXHLevel1 4 2 3" xfId="24919" xr:uid="{00000000-0005-0000-0000-000064090000}"/>
    <cellStyle name="SAPBEXHLevel1 4 2 3 2" xfId="43288" xr:uid="{00000000-0005-0000-0000-000064090000}"/>
    <cellStyle name="SAPBEXHLevel1 4 2 4" xfId="21245" xr:uid="{00000000-0005-0000-0000-000064090000}"/>
    <cellStyle name="SAPBEXHLevel1 4 2 5" xfId="39630" xr:uid="{00000000-0005-0000-0000-000064090000}"/>
    <cellStyle name="SAPBEXHLevel1 4 3" xfId="18925" xr:uid="{00000000-0005-0000-0000-000064090000}"/>
    <cellStyle name="SAPBEXHLevel1 4 3 2" xfId="37334" xr:uid="{00000000-0005-0000-0000-000064090000}"/>
    <cellStyle name="SAPBEXHLevel1 4 4" xfId="15859" xr:uid="{00000000-0005-0000-0000-000064090000}"/>
    <cellStyle name="SAPBEXHLevel1 4 5" xfId="35877" xr:uid="{00000000-0005-0000-0000-000064090000}"/>
    <cellStyle name="SAPBEXHLevel1 5" xfId="2965" xr:uid="{00000000-0005-0000-0000-000065090000}"/>
    <cellStyle name="SAPBEXHLevel1 5 2" xfId="5229" xr:uid="{00000000-0005-0000-0000-000065090000}"/>
    <cellStyle name="SAPBEXHLevel1 5 2 2" xfId="15921" xr:uid="{00000000-0005-0000-0000-000065090000}"/>
    <cellStyle name="SAPBEXHLevel1 5 2 2 2" xfId="34295" xr:uid="{00000000-0005-0000-0000-000065090000}"/>
    <cellStyle name="SAPBEXHLevel1 5 2 2 3" xfId="52658" xr:uid="{00000000-0005-0000-0000-000065090000}"/>
    <cellStyle name="SAPBEXHLevel1 5 2 3" xfId="25042" xr:uid="{00000000-0005-0000-0000-000065090000}"/>
    <cellStyle name="SAPBEXHLevel1 5 2 3 2" xfId="43411" xr:uid="{00000000-0005-0000-0000-000065090000}"/>
    <cellStyle name="SAPBEXHLevel1 5 2 4" xfId="21363" xr:uid="{00000000-0005-0000-0000-000065090000}"/>
    <cellStyle name="SAPBEXHLevel1 5 2 5" xfId="39742" xr:uid="{00000000-0005-0000-0000-000065090000}"/>
    <cellStyle name="SAPBEXHLevel1 5 3" xfId="22982" xr:uid="{00000000-0005-0000-0000-000065090000}"/>
    <cellStyle name="SAPBEXHLevel1 5 3 2" xfId="41351" xr:uid="{00000000-0005-0000-0000-000065090000}"/>
    <cellStyle name="SAPBEXHLevel1 5 4" xfId="17540" xr:uid="{00000000-0005-0000-0000-000065090000}"/>
    <cellStyle name="SAPBEXHLevel1 5 5" xfId="35984" xr:uid="{00000000-0005-0000-0000-000065090000}"/>
    <cellStyle name="SAPBEXHLevel1 6" xfId="3061" xr:uid="{00000000-0005-0000-0000-000066090000}"/>
    <cellStyle name="SAPBEXHLevel1 6 2" xfId="5313" xr:uid="{00000000-0005-0000-0000-000066090000}"/>
    <cellStyle name="SAPBEXHLevel1 6 2 2" xfId="16005" xr:uid="{00000000-0005-0000-0000-000066090000}"/>
    <cellStyle name="SAPBEXHLevel1 6 2 2 2" xfId="34379" xr:uid="{00000000-0005-0000-0000-000066090000}"/>
    <cellStyle name="SAPBEXHLevel1 6 2 2 3" xfId="52742" xr:uid="{00000000-0005-0000-0000-000066090000}"/>
    <cellStyle name="SAPBEXHLevel1 6 2 3" xfId="25126" xr:uid="{00000000-0005-0000-0000-000066090000}"/>
    <cellStyle name="SAPBEXHLevel1 6 2 3 2" xfId="43495" xr:uid="{00000000-0005-0000-0000-000066090000}"/>
    <cellStyle name="SAPBEXHLevel1 6 2 4" xfId="21447" xr:uid="{00000000-0005-0000-0000-000066090000}"/>
    <cellStyle name="SAPBEXHLevel1 6 2 5" xfId="39826" xr:uid="{00000000-0005-0000-0000-000066090000}"/>
    <cellStyle name="SAPBEXHLevel1 6 3" xfId="23063" xr:uid="{00000000-0005-0000-0000-000066090000}"/>
    <cellStyle name="SAPBEXHLevel1 6 3 2" xfId="41432" xr:uid="{00000000-0005-0000-0000-000066090000}"/>
    <cellStyle name="SAPBEXHLevel1 6 4" xfId="17623" xr:uid="{00000000-0005-0000-0000-000066090000}"/>
    <cellStyle name="SAPBEXHLevel1 6 5" xfId="36065" xr:uid="{00000000-0005-0000-0000-000066090000}"/>
    <cellStyle name="SAPBEXHLevel1 7" xfId="3240" xr:uid="{00000000-0005-0000-0000-000067090000}"/>
    <cellStyle name="SAPBEXHLevel1 7 2" xfId="5442" xr:uid="{00000000-0005-0000-0000-000067090000}"/>
    <cellStyle name="SAPBEXHLevel1 7 2 2" xfId="16133" xr:uid="{00000000-0005-0000-0000-000067090000}"/>
    <cellStyle name="SAPBEXHLevel1 7 2 2 2" xfId="34505" xr:uid="{00000000-0005-0000-0000-000067090000}"/>
    <cellStyle name="SAPBEXHLevel1 7 2 2 3" xfId="52868" xr:uid="{00000000-0005-0000-0000-000067090000}"/>
    <cellStyle name="SAPBEXHLevel1 7 2 3" xfId="25252" xr:uid="{00000000-0005-0000-0000-000067090000}"/>
    <cellStyle name="SAPBEXHLevel1 7 2 3 2" xfId="43621" xr:uid="{00000000-0005-0000-0000-000067090000}"/>
    <cellStyle name="SAPBEXHLevel1 7 2 4" xfId="21573" xr:uid="{00000000-0005-0000-0000-000067090000}"/>
    <cellStyle name="SAPBEXHLevel1 7 2 5" xfId="39952" xr:uid="{00000000-0005-0000-0000-000067090000}"/>
    <cellStyle name="SAPBEXHLevel1 7 3" xfId="23181" xr:uid="{00000000-0005-0000-0000-000067090000}"/>
    <cellStyle name="SAPBEXHLevel1 7 3 2" xfId="41550" xr:uid="{00000000-0005-0000-0000-000067090000}"/>
    <cellStyle name="SAPBEXHLevel1 7 4" xfId="17763" xr:uid="{00000000-0005-0000-0000-000067090000}"/>
    <cellStyle name="SAPBEXHLevel1 7 5" xfId="36183" xr:uid="{00000000-0005-0000-0000-000067090000}"/>
    <cellStyle name="SAPBEXHLevel1 8" xfId="4105" xr:uid="{00000000-0005-0000-0000-000061090000}"/>
    <cellStyle name="SAPBEXHLevel1 8 2" xfId="14859" xr:uid="{00000000-0005-0000-0000-000061090000}"/>
    <cellStyle name="SAPBEXHLevel1 8 2 2" xfId="33265" xr:uid="{00000000-0005-0000-0000-000061090000}"/>
    <cellStyle name="SAPBEXHLevel1 8 2 3" xfId="51628" xr:uid="{00000000-0005-0000-0000-000061090000}"/>
    <cellStyle name="SAPBEXHLevel1 8 3" xfId="23990" xr:uid="{00000000-0005-0000-0000-000061090000}"/>
    <cellStyle name="SAPBEXHLevel1 8 3 2" xfId="42359" xr:uid="{00000000-0005-0000-0000-000061090000}"/>
    <cellStyle name="SAPBEXHLevel1 8 4" xfId="20313" xr:uid="{00000000-0005-0000-0000-000061090000}"/>
    <cellStyle name="SAPBEXHLevel1 8 5" xfId="38712" xr:uid="{00000000-0005-0000-0000-000061090000}"/>
    <cellStyle name="SAPBEXHLevel1 9" xfId="19509" xr:uid="{00000000-0005-0000-0000-000061090000}"/>
    <cellStyle name="SAPBEXHLevel1 9 2" xfId="37915" xr:uid="{00000000-0005-0000-0000-000061090000}"/>
    <cellStyle name="SAPBEXHLevel1X" xfId="752" xr:uid="{00000000-0005-0000-0000-000068090000}"/>
    <cellStyle name="SAPBEXHLevel1X 10" xfId="7721" xr:uid="{00000000-0005-0000-0000-000068090000}"/>
    <cellStyle name="SAPBEXHLevel1X 11" xfId="17564" xr:uid="{00000000-0005-0000-0000-000068090000}"/>
    <cellStyle name="SAPBEXHLevel1X 2" xfId="1152" xr:uid="{00000000-0005-0000-0000-000069090000}"/>
    <cellStyle name="SAPBEXHLevel1X 2 2" xfId="4251" xr:uid="{00000000-0005-0000-0000-000069090000}"/>
    <cellStyle name="SAPBEXHLevel1X 2 2 2" xfId="14996" xr:uid="{00000000-0005-0000-0000-000069090000}"/>
    <cellStyle name="SAPBEXHLevel1X 2 2 2 2" xfId="33400" xr:uid="{00000000-0005-0000-0000-000069090000}"/>
    <cellStyle name="SAPBEXHLevel1X 2 2 2 3" xfId="51763" xr:uid="{00000000-0005-0000-0000-000069090000}"/>
    <cellStyle name="SAPBEXHLevel1X 2 2 3" xfId="24129" xr:uid="{00000000-0005-0000-0000-000069090000}"/>
    <cellStyle name="SAPBEXHLevel1X 2 2 3 2" xfId="42498" xr:uid="{00000000-0005-0000-0000-000069090000}"/>
    <cellStyle name="SAPBEXHLevel1X 2 2 4" xfId="20449" xr:uid="{00000000-0005-0000-0000-000069090000}"/>
    <cellStyle name="SAPBEXHLevel1X 2 2 5" xfId="38847" xr:uid="{00000000-0005-0000-0000-000069090000}"/>
    <cellStyle name="SAPBEXHLevel1X 2 3" xfId="19253" xr:uid="{00000000-0005-0000-0000-000069090000}"/>
    <cellStyle name="SAPBEXHLevel1X 2 3 2" xfId="37660" xr:uid="{00000000-0005-0000-0000-000069090000}"/>
    <cellStyle name="SAPBEXHLevel1X 2 4" xfId="10801" xr:uid="{00000000-0005-0000-0000-000069090000}"/>
    <cellStyle name="SAPBEXHLevel1X 2 5" xfId="8940" xr:uid="{00000000-0005-0000-0000-000069090000}"/>
    <cellStyle name="SAPBEXHLevel1X 3" xfId="2191" xr:uid="{00000000-0005-0000-0000-00006A090000}"/>
    <cellStyle name="SAPBEXHLevel1X 3 2" xfId="4926" xr:uid="{00000000-0005-0000-0000-00006A090000}"/>
    <cellStyle name="SAPBEXHLevel1X 3 2 2" xfId="15646" xr:uid="{00000000-0005-0000-0000-00006A090000}"/>
    <cellStyle name="SAPBEXHLevel1X 3 2 2 2" xfId="34035" xr:uid="{00000000-0005-0000-0000-00006A090000}"/>
    <cellStyle name="SAPBEXHLevel1X 3 2 2 3" xfId="52398" xr:uid="{00000000-0005-0000-0000-00006A090000}"/>
    <cellStyle name="SAPBEXHLevel1X 3 2 3" xfId="24768" xr:uid="{00000000-0005-0000-0000-00006A090000}"/>
    <cellStyle name="SAPBEXHLevel1X 3 2 3 2" xfId="43137" xr:uid="{00000000-0005-0000-0000-00006A090000}"/>
    <cellStyle name="SAPBEXHLevel1X 3 2 4" xfId="21094" xr:uid="{00000000-0005-0000-0000-00006A090000}"/>
    <cellStyle name="SAPBEXHLevel1X 3 2 5" xfId="39482" xr:uid="{00000000-0005-0000-0000-00006A090000}"/>
    <cellStyle name="SAPBEXHLevel1X 3 3" xfId="19462" xr:uid="{00000000-0005-0000-0000-00006A090000}"/>
    <cellStyle name="SAPBEXHLevel1X 3 3 2" xfId="37868" xr:uid="{00000000-0005-0000-0000-00006A090000}"/>
    <cellStyle name="SAPBEXHLevel1X 3 4" xfId="7234" xr:uid="{00000000-0005-0000-0000-00006A090000}"/>
    <cellStyle name="SAPBEXHLevel1X 3 5" xfId="7522" xr:uid="{00000000-0005-0000-0000-00006A090000}"/>
    <cellStyle name="SAPBEXHLevel1X 4" xfId="2636" xr:uid="{00000000-0005-0000-0000-00006B090000}"/>
    <cellStyle name="SAPBEXHLevel1X 4 2" xfId="5089" xr:uid="{00000000-0005-0000-0000-00006B090000}"/>
    <cellStyle name="SAPBEXHLevel1X 4 2 2" xfId="15799" xr:uid="{00000000-0005-0000-0000-00006B090000}"/>
    <cellStyle name="SAPBEXHLevel1X 4 2 2 2" xfId="34184" xr:uid="{00000000-0005-0000-0000-00006B090000}"/>
    <cellStyle name="SAPBEXHLevel1X 4 2 2 3" xfId="52547" xr:uid="{00000000-0005-0000-0000-00006B090000}"/>
    <cellStyle name="SAPBEXHLevel1X 4 2 3" xfId="24920" xr:uid="{00000000-0005-0000-0000-00006B090000}"/>
    <cellStyle name="SAPBEXHLevel1X 4 2 3 2" xfId="43289" xr:uid="{00000000-0005-0000-0000-00006B090000}"/>
    <cellStyle name="SAPBEXHLevel1X 4 2 4" xfId="21246" xr:uid="{00000000-0005-0000-0000-00006B090000}"/>
    <cellStyle name="SAPBEXHLevel1X 4 2 5" xfId="39631" xr:uid="{00000000-0005-0000-0000-00006B090000}"/>
    <cellStyle name="SAPBEXHLevel1X 4 3" xfId="18128" xr:uid="{00000000-0005-0000-0000-00006B090000}"/>
    <cellStyle name="SAPBEXHLevel1X 4 3 2" xfId="36535" xr:uid="{00000000-0005-0000-0000-00006B090000}"/>
    <cellStyle name="SAPBEXHLevel1X 4 4" xfId="7626" xr:uid="{00000000-0005-0000-0000-00006B090000}"/>
    <cellStyle name="SAPBEXHLevel1X 4 5" xfId="35878" xr:uid="{00000000-0005-0000-0000-00006B090000}"/>
    <cellStyle name="SAPBEXHLevel1X 5" xfId="2964" xr:uid="{00000000-0005-0000-0000-00006C090000}"/>
    <cellStyle name="SAPBEXHLevel1X 5 2" xfId="5228" xr:uid="{00000000-0005-0000-0000-00006C090000}"/>
    <cellStyle name="SAPBEXHLevel1X 5 2 2" xfId="15920" xr:uid="{00000000-0005-0000-0000-00006C090000}"/>
    <cellStyle name="SAPBEXHLevel1X 5 2 2 2" xfId="34294" xr:uid="{00000000-0005-0000-0000-00006C090000}"/>
    <cellStyle name="SAPBEXHLevel1X 5 2 2 3" xfId="52657" xr:uid="{00000000-0005-0000-0000-00006C090000}"/>
    <cellStyle name="SAPBEXHLevel1X 5 2 3" xfId="25041" xr:uid="{00000000-0005-0000-0000-00006C090000}"/>
    <cellStyle name="SAPBEXHLevel1X 5 2 3 2" xfId="43410" xr:uid="{00000000-0005-0000-0000-00006C090000}"/>
    <cellStyle name="SAPBEXHLevel1X 5 2 4" xfId="21362" xr:uid="{00000000-0005-0000-0000-00006C090000}"/>
    <cellStyle name="SAPBEXHLevel1X 5 2 5" xfId="39741" xr:uid="{00000000-0005-0000-0000-00006C090000}"/>
    <cellStyle name="SAPBEXHLevel1X 5 3" xfId="22981" xr:uid="{00000000-0005-0000-0000-00006C090000}"/>
    <cellStyle name="SAPBEXHLevel1X 5 3 2" xfId="41350" xr:uid="{00000000-0005-0000-0000-00006C090000}"/>
    <cellStyle name="SAPBEXHLevel1X 5 4" xfId="17539" xr:uid="{00000000-0005-0000-0000-00006C090000}"/>
    <cellStyle name="SAPBEXHLevel1X 5 5" xfId="35983" xr:uid="{00000000-0005-0000-0000-00006C090000}"/>
    <cellStyle name="SAPBEXHLevel1X 6" xfId="3062" xr:uid="{00000000-0005-0000-0000-00006D090000}"/>
    <cellStyle name="SAPBEXHLevel1X 6 2" xfId="5314" xr:uid="{00000000-0005-0000-0000-00006D090000}"/>
    <cellStyle name="SAPBEXHLevel1X 6 2 2" xfId="16006" xr:uid="{00000000-0005-0000-0000-00006D090000}"/>
    <cellStyle name="SAPBEXHLevel1X 6 2 2 2" xfId="34380" xr:uid="{00000000-0005-0000-0000-00006D090000}"/>
    <cellStyle name="SAPBEXHLevel1X 6 2 2 3" xfId="52743" xr:uid="{00000000-0005-0000-0000-00006D090000}"/>
    <cellStyle name="SAPBEXHLevel1X 6 2 3" xfId="25127" xr:uid="{00000000-0005-0000-0000-00006D090000}"/>
    <cellStyle name="SAPBEXHLevel1X 6 2 3 2" xfId="43496" xr:uid="{00000000-0005-0000-0000-00006D090000}"/>
    <cellStyle name="SAPBEXHLevel1X 6 2 4" xfId="21448" xr:uid="{00000000-0005-0000-0000-00006D090000}"/>
    <cellStyle name="SAPBEXHLevel1X 6 2 5" xfId="39827" xr:uid="{00000000-0005-0000-0000-00006D090000}"/>
    <cellStyle name="SAPBEXHLevel1X 6 3" xfId="23064" xr:uid="{00000000-0005-0000-0000-00006D090000}"/>
    <cellStyle name="SAPBEXHLevel1X 6 3 2" xfId="41433" xr:uid="{00000000-0005-0000-0000-00006D090000}"/>
    <cellStyle name="SAPBEXHLevel1X 6 4" xfId="17624" xr:uid="{00000000-0005-0000-0000-00006D090000}"/>
    <cellStyle name="SAPBEXHLevel1X 6 5" xfId="36066" xr:uid="{00000000-0005-0000-0000-00006D090000}"/>
    <cellStyle name="SAPBEXHLevel1X 7" xfId="3239" xr:uid="{00000000-0005-0000-0000-00006E090000}"/>
    <cellStyle name="SAPBEXHLevel1X 7 2" xfId="5441" xr:uid="{00000000-0005-0000-0000-00006E090000}"/>
    <cellStyle name="SAPBEXHLevel1X 7 2 2" xfId="16132" xr:uid="{00000000-0005-0000-0000-00006E090000}"/>
    <cellStyle name="SAPBEXHLevel1X 7 2 2 2" xfId="34504" xr:uid="{00000000-0005-0000-0000-00006E090000}"/>
    <cellStyle name="SAPBEXHLevel1X 7 2 2 3" xfId="52867" xr:uid="{00000000-0005-0000-0000-00006E090000}"/>
    <cellStyle name="SAPBEXHLevel1X 7 2 3" xfId="25251" xr:uid="{00000000-0005-0000-0000-00006E090000}"/>
    <cellStyle name="SAPBEXHLevel1X 7 2 3 2" xfId="43620" xr:uid="{00000000-0005-0000-0000-00006E090000}"/>
    <cellStyle name="SAPBEXHLevel1X 7 2 4" xfId="21572" xr:uid="{00000000-0005-0000-0000-00006E090000}"/>
    <cellStyle name="SAPBEXHLevel1X 7 2 5" xfId="39951" xr:uid="{00000000-0005-0000-0000-00006E090000}"/>
    <cellStyle name="SAPBEXHLevel1X 7 3" xfId="23180" xr:uid="{00000000-0005-0000-0000-00006E090000}"/>
    <cellStyle name="SAPBEXHLevel1X 7 3 2" xfId="41549" xr:uid="{00000000-0005-0000-0000-00006E090000}"/>
    <cellStyle name="SAPBEXHLevel1X 7 4" xfId="17762" xr:uid="{00000000-0005-0000-0000-00006E090000}"/>
    <cellStyle name="SAPBEXHLevel1X 7 5" xfId="36182" xr:uid="{00000000-0005-0000-0000-00006E090000}"/>
    <cellStyle name="SAPBEXHLevel1X 8" xfId="4106" xr:uid="{00000000-0005-0000-0000-000068090000}"/>
    <cellStyle name="SAPBEXHLevel1X 8 2" xfId="14860" xr:uid="{00000000-0005-0000-0000-000068090000}"/>
    <cellStyle name="SAPBEXHLevel1X 8 2 2" xfId="33266" xr:uid="{00000000-0005-0000-0000-000068090000}"/>
    <cellStyle name="SAPBEXHLevel1X 8 2 3" xfId="51629" xr:uid="{00000000-0005-0000-0000-000068090000}"/>
    <cellStyle name="SAPBEXHLevel1X 8 3" xfId="23991" xr:uid="{00000000-0005-0000-0000-000068090000}"/>
    <cellStyle name="SAPBEXHLevel1X 8 3 2" xfId="42360" xr:uid="{00000000-0005-0000-0000-000068090000}"/>
    <cellStyle name="SAPBEXHLevel1X 8 4" xfId="20314" xr:uid="{00000000-0005-0000-0000-000068090000}"/>
    <cellStyle name="SAPBEXHLevel1X 8 5" xfId="38713" xr:uid="{00000000-0005-0000-0000-000068090000}"/>
    <cellStyle name="SAPBEXHLevel1X 9" xfId="19471" xr:uid="{00000000-0005-0000-0000-000068090000}"/>
    <cellStyle name="SAPBEXHLevel1X 9 2" xfId="37877" xr:uid="{00000000-0005-0000-0000-000068090000}"/>
    <cellStyle name="SAPBEXHLevel2" xfId="753" xr:uid="{00000000-0005-0000-0000-00006F090000}"/>
    <cellStyle name="SAPBEXHLevel2 10" xfId="10863" xr:uid="{00000000-0005-0000-0000-00006F090000}"/>
    <cellStyle name="SAPBEXHLevel2 11" xfId="16849" xr:uid="{00000000-0005-0000-0000-00006F090000}"/>
    <cellStyle name="SAPBEXHLevel2 2" xfId="1153" xr:uid="{00000000-0005-0000-0000-000070090000}"/>
    <cellStyle name="SAPBEXHLevel2 2 2" xfId="4252" xr:uid="{00000000-0005-0000-0000-000070090000}"/>
    <cellStyle name="SAPBEXHLevel2 2 2 2" xfId="14997" xr:uid="{00000000-0005-0000-0000-000070090000}"/>
    <cellStyle name="SAPBEXHLevel2 2 2 2 2" xfId="33401" xr:uid="{00000000-0005-0000-0000-000070090000}"/>
    <cellStyle name="SAPBEXHLevel2 2 2 2 3" xfId="51764" xr:uid="{00000000-0005-0000-0000-000070090000}"/>
    <cellStyle name="SAPBEXHLevel2 2 2 3" xfId="24130" xr:uid="{00000000-0005-0000-0000-000070090000}"/>
    <cellStyle name="SAPBEXHLevel2 2 2 3 2" xfId="42499" xr:uid="{00000000-0005-0000-0000-000070090000}"/>
    <cellStyle name="SAPBEXHLevel2 2 2 4" xfId="20450" xr:uid="{00000000-0005-0000-0000-000070090000}"/>
    <cellStyle name="SAPBEXHLevel2 2 2 5" xfId="38848" xr:uid="{00000000-0005-0000-0000-000070090000}"/>
    <cellStyle name="SAPBEXHLevel2 2 3" xfId="17852" xr:uid="{00000000-0005-0000-0000-000070090000}"/>
    <cellStyle name="SAPBEXHLevel2 2 3 2" xfId="36262" xr:uid="{00000000-0005-0000-0000-000070090000}"/>
    <cellStyle name="SAPBEXHLevel2 2 4" xfId="7311" xr:uid="{00000000-0005-0000-0000-000070090000}"/>
    <cellStyle name="SAPBEXHLevel2 2 5" xfId="11769" xr:uid="{00000000-0005-0000-0000-000070090000}"/>
    <cellStyle name="SAPBEXHLevel2 3" xfId="2192" xr:uid="{00000000-0005-0000-0000-000071090000}"/>
    <cellStyle name="SAPBEXHLevel2 3 2" xfId="4927" xr:uid="{00000000-0005-0000-0000-000071090000}"/>
    <cellStyle name="SAPBEXHLevel2 3 2 2" xfId="15647" xr:uid="{00000000-0005-0000-0000-000071090000}"/>
    <cellStyle name="SAPBEXHLevel2 3 2 2 2" xfId="34036" xr:uid="{00000000-0005-0000-0000-000071090000}"/>
    <cellStyle name="SAPBEXHLevel2 3 2 2 3" xfId="52399" xr:uid="{00000000-0005-0000-0000-000071090000}"/>
    <cellStyle name="SAPBEXHLevel2 3 2 3" xfId="24769" xr:uid="{00000000-0005-0000-0000-000071090000}"/>
    <cellStyle name="SAPBEXHLevel2 3 2 3 2" xfId="43138" xr:uid="{00000000-0005-0000-0000-000071090000}"/>
    <cellStyle name="SAPBEXHLevel2 3 2 4" xfId="21095" xr:uid="{00000000-0005-0000-0000-000071090000}"/>
    <cellStyle name="SAPBEXHLevel2 3 2 5" xfId="39483" xr:uid="{00000000-0005-0000-0000-000071090000}"/>
    <cellStyle name="SAPBEXHLevel2 3 3" xfId="18059" xr:uid="{00000000-0005-0000-0000-000071090000}"/>
    <cellStyle name="SAPBEXHLevel2 3 3 2" xfId="36466" xr:uid="{00000000-0005-0000-0000-000071090000}"/>
    <cellStyle name="SAPBEXHLevel2 3 4" xfId="8247" xr:uid="{00000000-0005-0000-0000-000071090000}"/>
    <cellStyle name="SAPBEXHLevel2 3 5" xfId="7175" xr:uid="{00000000-0005-0000-0000-000071090000}"/>
    <cellStyle name="SAPBEXHLevel2 4" xfId="2637" xr:uid="{00000000-0005-0000-0000-000072090000}"/>
    <cellStyle name="SAPBEXHLevel2 4 2" xfId="5090" xr:uid="{00000000-0005-0000-0000-000072090000}"/>
    <cellStyle name="SAPBEXHLevel2 4 2 2" xfId="15800" xr:uid="{00000000-0005-0000-0000-000072090000}"/>
    <cellStyle name="SAPBEXHLevel2 4 2 2 2" xfId="34185" xr:uid="{00000000-0005-0000-0000-000072090000}"/>
    <cellStyle name="SAPBEXHLevel2 4 2 2 3" xfId="52548" xr:uid="{00000000-0005-0000-0000-000072090000}"/>
    <cellStyle name="SAPBEXHLevel2 4 2 3" xfId="24921" xr:uid="{00000000-0005-0000-0000-000072090000}"/>
    <cellStyle name="SAPBEXHLevel2 4 2 3 2" xfId="43290" xr:uid="{00000000-0005-0000-0000-000072090000}"/>
    <cellStyle name="SAPBEXHLevel2 4 2 4" xfId="21247" xr:uid="{00000000-0005-0000-0000-000072090000}"/>
    <cellStyle name="SAPBEXHLevel2 4 2 5" xfId="39632" xr:uid="{00000000-0005-0000-0000-000072090000}"/>
    <cellStyle name="SAPBEXHLevel2 4 3" xfId="18916" xr:uid="{00000000-0005-0000-0000-000072090000}"/>
    <cellStyle name="SAPBEXHLevel2 4 3 2" xfId="37325" xr:uid="{00000000-0005-0000-0000-000072090000}"/>
    <cellStyle name="SAPBEXHLevel2 4 4" xfId="10905" xr:uid="{00000000-0005-0000-0000-000072090000}"/>
    <cellStyle name="SAPBEXHLevel2 4 5" xfId="35879" xr:uid="{00000000-0005-0000-0000-000072090000}"/>
    <cellStyle name="SAPBEXHLevel2 5" xfId="2963" xr:uid="{00000000-0005-0000-0000-000073090000}"/>
    <cellStyle name="SAPBEXHLevel2 5 2" xfId="5227" xr:uid="{00000000-0005-0000-0000-000073090000}"/>
    <cellStyle name="SAPBEXHLevel2 5 2 2" xfId="15919" xr:uid="{00000000-0005-0000-0000-000073090000}"/>
    <cellStyle name="SAPBEXHLevel2 5 2 2 2" xfId="34293" xr:uid="{00000000-0005-0000-0000-000073090000}"/>
    <cellStyle name="SAPBEXHLevel2 5 2 2 3" xfId="52656" xr:uid="{00000000-0005-0000-0000-000073090000}"/>
    <cellStyle name="SAPBEXHLevel2 5 2 3" xfId="25040" xr:uid="{00000000-0005-0000-0000-000073090000}"/>
    <cellStyle name="SAPBEXHLevel2 5 2 3 2" xfId="43409" xr:uid="{00000000-0005-0000-0000-000073090000}"/>
    <cellStyle name="SAPBEXHLevel2 5 2 4" xfId="21361" xr:uid="{00000000-0005-0000-0000-000073090000}"/>
    <cellStyle name="SAPBEXHLevel2 5 2 5" xfId="39740" xr:uid="{00000000-0005-0000-0000-000073090000}"/>
    <cellStyle name="SAPBEXHLevel2 5 3" xfId="22980" xr:uid="{00000000-0005-0000-0000-000073090000}"/>
    <cellStyle name="SAPBEXHLevel2 5 3 2" xfId="41349" xr:uid="{00000000-0005-0000-0000-000073090000}"/>
    <cellStyle name="SAPBEXHLevel2 5 4" xfId="17538" xr:uid="{00000000-0005-0000-0000-000073090000}"/>
    <cellStyle name="SAPBEXHLevel2 5 5" xfId="35982" xr:uid="{00000000-0005-0000-0000-000073090000}"/>
    <cellStyle name="SAPBEXHLevel2 6" xfId="3063" xr:uid="{00000000-0005-0000-0000-000074090000}"/>
    <cellStyle name="SAPBEXHLevel2 6 2" xfId="5315" xr:uid="{00000000-0005-0000-0000-000074090000}"/>
    <cellStyle name="SAPBEXHLevel2 6 2 2" xfId="16007" xr:uid="{00000000-0005-0000-0000-000074090000}"/>
    <cellStyle name="SAPBEXHLevel2 6 2 2 2" xfId="34381" xr:uid="{00000000-0005-0000-0000-000074090000}"/>
    <cellStyle name="SAPBEXHLevel2 6 2 2 3" xfId="52744" xr:uid="{00000000-0005-0000-0000-000074090000}"/>
    <cellStyle name="SAPBEXHLevel2 6 2 3" xfId="25128" xr:uid="{00000000-0005-0000-0000-000074090000}"/>
    <cellStyle name="SAPBEXHLevel2 6 2 3 2" xfId="43497" xr:uid="{00000000-0005-0000-0000-000074090000}"/>
    <cellStyle name="SAPBEXHLevel2 6 2 4" xfId="21449" xr:uid="{00000000-0005-0000-0000-000074090000}"/>
    <cellStyle name="SAPBEXHLevel2 6 2 5" xfId="39828" xr:uid="{00000000-0005-0000-0000-000074090000}"/>
    <cellStyle name="SAPBEXHLevel2 6 3" xfId="23065" xr:uid="{00000000-0005-0000-0000-000074090000}"/>
    <cellStyle name="SAPBEXHLevel2 6 3 2" xfId="41434" xr:uid="{00000000-0005-0000-0000-000074090000}"/>
    <cellStyle name="SAPBEXHLevel2 6 4" xfId="17625" xr:uid="{00000000-0005-0000-0000-000074090000}"/>
    <cellStyle name="SAPBEXHLevel2 6 5" xfId="36067" xr:uid="{00000000-0005-0000-0000-000074090000}"/>
    <cellStyle name="SAPBEXHLevel2 7" xfId="3238" xr:uid="{00000000-0005-0000-0000-000075090000}"/>
    <cellStyle name="SAPBEXHLevel2 7 2" xfId="5440" xr:uid="{00000000-0005-0000-0000-000075090000}"/>
    <cellStyle name="SAPBEXHLevel2 7 2 2" xfId="16131" xr:uid="{00000000-0005-0000-0000-000075090000}"/>
    <cellStyle name="SAPBEXHLevel2 7 2 2 2" xfId="34503" xr:uid="{00000000-0005-0000-0000-000075090000}"/>
    <cellStyle name="SAPBEXHLevel2 7 2 2 3" xfId="52866" xr:uid="{00000000-0005-0000-0000-000075090000}"/>
    <cellStyle name="SAPBEXHLevel2 7 2 3" xfId="25250" xr:uid="{00000000-0005-0000-0000-000075090000}"/>
    <cellStyle name="SAPBEXHLevel2 7 2 3 2" xfId="43619" xr:uid="{00000000-0005-0000-0000-000075090000}"/>
    <cellStyle name="SAPBEXHLevel2 7 2 4" xfId="21571" xr:uid="{00000000-0005-0000-0000-000075090000}"/>
    <cellStyle name="SAPBEXHLevel2 7 2 5" xfId="39950" xr:uid="{00000000-0005-0000-0000-000075090000}"/>
    <cellStyle name="SAPBEXHLevel2 7 3" xfId="23179" xr:uid="{00000000-0005-0000-0000-000075090000}"/>
    <cellStyle name="SAPBEXHLevel2 7 3 2" xfId="41548" xr:uid="{00000000-0005-0000-0000-000075090000}"/>
    <cellStyle name="SAPBEXHLevel2 7 4" xfId="17761" xr:uid="{00000000-0005-0000-0000-000075090000}"/>
    <cellStyle name="SAPBEXHLevel2 7 5" xfId="36181" xr:uid="{00000000-0005-0000-0000-000075090000}"/>
    <cellStyle name="SAPBEXHLevel2 8" xfId="4107" xr:uid="{00000000-0005-0000-0000-00006F090000}"/>
    <cellStyle name="SAPBEXHLevel2 8 2" xfId="14861" xr:uid="{00000000-0005-0000-0000-00006F090000}"/>
    <cellStyle name="SAPBEXHLevel2 8 2 2" xfId="33267" xr:uid="{00000000-0005-0000-0000-00006F090000}"/>
    <cellStyle name="SAPBEXHLevel2 8 2 3" xfId="51630" xr:uid="{00000000-0005-0000-0000-00006F090000}"/>
    <cellStyle name="SAPBEXHLevel2 8 3" xfId="23992" xr:uid="{00000000-0005-0000-0000-00006F090000}"/>
    <cellStyle name="SAPBEXHLevel2 8 3 2" xfId="42361" xr:uid="{00000000-0005-0000-0000-00006F090000}"/>
    <cellStyle name="SAPBEXHLevel2 8 4" xfId="20315" xr:uid="{00000000-0005-0000-0000-00006F090000}"/>
    <cellStyle name="SAPBEXHLevel2 8 5" xfId="38714" xr:uid="{00000000-0005-0000-0000-00006F090000}"/>
    <cellStyle name="SAPBEXHLevel2 9" xfId="19102" xr:uid="{00000000-0005-0000-0000-00006F090000}"/>
    <cellStyle name="SAPBEXHLevel2 9 2" xfId="37510" xr:uid="{00000000-0005-0000-0000-00006F090000}"/>
    <cellStyle name="SAPBEXHLevel2X" xfId="754" xr:uid="{00000000-0005-0000-0000-000076090000}"/>
    <cellStyle name="SAPBEXHLevel2X 10" xfId="8448" xr:uid="{00000000-0005-0000-0000-000076090000}"/>
    <cellStyle name="SAPBEXHLevel2X 11" xfId="8558" xr:uid="{00000000-0005-0000-0000-000076090000}"/>
    <cellStyle name="SAPBEXHLevel2X 2" xfId="1154" xr:uid="{00000000-0005-0000-0000-000077090000}"/>
    <cellStyle name="SAPBEXHLevel2X 2 2" xfId="4253" xr:uid="{00000000-0005-0000-0000-000077090000}"/>
    <cellStyle name="SAPBEXHLevel2X 2 2 2" xfId="14998" xr:uid="{00000000-0005-0000-0000-000077090000}"/>
    <cellStyle name="SAPBEXHLevel2X 2 2 2 2" xfId="33402" xr:uid="{00000000-0005-0000-0000-000077090000}"/>
    <cellStyle name="SAPBEXHLevel2X 2 2 2 3" xfId="51765" xr:uid="{00000000-0005-0000-0000-000077090000}"/>
    <cellStyle name="SAPBEXHLevel2X 2 2 3" xfId="24131" xr:uid="{00000000-0005-0000-0000-000077090000}"/>
    <cellStyle name="SAPBEXHLevel2X 2 2 3 2" xfId="42500" xr:uid="{00000000-0005-0000-0000-000077090000}"/>
    <cellStyle name="SAPBEXHLevel2X 2 2 4" xfId="20451" xr:uid="{00000000-0005-0000-0000-000077090000}"/>
    <cellStyle name="SAPBEXHLevel2X 2 2 5" xfId="38849" xr:uid="{00000000-0005-0000-0000-000077090000}"/>
    <cellStyle name="SAPBEXHLevel2X 2 3" xfId="19126" xr:uid="{00000000-0005-0000-0000-000077090000}"/>
    <cellStyle name="SAPBEXHLevel2X 2 3 2" xfId="37534" xr:uid="{00000000-0005-0000-0000-000077090000}"/>
    <cellStyle name="SAPBEXHLevel2X 2 4" xfId="8897" xr:uid="{00000000-0005-0000-0000-000077090000}"/>
    <cellStyle name="SAPBEXHLevel2X 2 5" xfId="7360" xr:uid="{00000000-0005-0000-0000-000077090000}"/>
    <cellStyle name="SAPBEXHLevel2X 3" xfId="2193" xr:uid="{00000000-0005-0000-0000-000078090000}"/>
    <cellStyle name="SAPBEXHLevel2X 3 2" xfId="4928" xr:uid="{00000000-0005-0000-0000-000078090000}"/>
    <cellStyle name="SAPBEXHLevel2X 3 2 2" xfId="15648" xr:uid="{00000000-0005-0000-0000-000078090000}"/>
    <cellStyle name="SAPBEXHLevel2X 3 2 2 2" xfId="34037" xr:uid="{00000000-0005-0000-0000-000078090000}"/>
    <cellStyle name="SAPBEXHLevel2X 3 2 2 3" xfId="52400" xr:uid="{00000000-0005-0000-0000-000078090000}"/>
    <cellStyle name="SAPBEXHLevel2X 3 2 3" xfId="24770" xr:uid="{00000000-0005-0000-0000-000078090000}"/>
    <cellStyle name="SAPBEXHLevel2X 3 2 3 2" xfId="43139" xr:uid="{00000000-0005-0000-0000-000078090000}"/>
    <cellStyle name="SAPBEXHLevel2X 3 2 4" xfId="21096" xr:uid="{00000000-0005-0000-0000-000078090000}"/>
    <cellStyle name="SAPBEXHLevel2X 3 2 5" xfId="39484" xr:uid="{00000000-0005-0000-0000-000078090000}"/>
    <cellStyle name="SAPBEXHLevel2X 3 3" xfId="18062" xr:uid="{00000000-0005-0000-0000-000078090000}"/>
    <cellStyle name="SAPBEXHLevel2X 3 3 2" xfId="36469" xr:uid="{00000000-0005-0000-0000-000078090000}"/>
    <cellStyle name="SAPBEXHLevel2X 3 4" xfId="8252" xr:uid="{00000000-0005-0000-0000-000078090000}"/>
    <cellStyle name="SAPBEXHLevel2X 3 5" xfId="12506" xr:uid="{00000000-0005-0000-0000-000078090000}"/>
    <cellStyle name="SAPBEXHLevel2X 4" xfId="2638" xr:uid="{00000000-0005-0000-0000-000079090000}"/>
    <cellStyle name="SAPBEXHLevel2X 4 2" xfId="5091" xr:uid="{00000000-0005-0000-0000-000079090000}"/>
    <cellStyle name="SAPBEXHLevel2X 4 2 2" xfId="15801" xr:uid="{00000000-0005-0000-0000-000079090000}"/>
    <cellStyle name="SAPBEXHLevel2X 4 2 2 2" xfId="34186" xr:uid="{00000000-0005-0000-0000-000079090000}"/>
    <cellStyle name="SAPBEXHLevel2X 4 2 2 3" xfId="52549" xr:uid="{00000000-0005-0000-0000-000079090000}"/>
    <cellStyle name="SAPBEXHLevel2X 4 2 3" xfId="24922" xr:uid="{00000000-0005-0000-0000-000079090000}"/>
    <cellStyle name="SAPBEXHLevel2X 4 2 3 2" xfId="43291" xr:uid="{00000000-0005-0000-0000-000079090000}"/>
    <cellStyle name="SAPBEXHLevel2X 4 2 4" xfId="21248" xr:uid="{00000000-0005-0000-0000-000079090000}"/>
    <cellStyle name="SAPBEXHLevel2X 4 2 5" xfId="39633" xr:uid="{00000000-0005-0000-0000-000079090000}"/>
    <cellStyle name="SAPBEXHLevel2X 4 3" xfId="19088" xr:uid="{00000000-0005-0000-0000-000079090000}"/>
    <cellStyle name="SAPBEXHLevel2X 4 3 2" xfId="37496" xr:uid="{00000000-0005-0000-0000-000079090000}"/>
    <cellStyle name="SAPBEXHLevel2X 4 4" xfId="15862" xr:uid="{00000000-0005-0000-0000-000079090000}"/>
    <cellStyle name="SAPBEXHLevel2X 4 5" xfId="35880" xr:uid="{00000000-0005-0000-0000-000079090000}"/>
    <cellStyle name="SAPBEXHLevel2X 5" xfId="2962" xr:uid="{00000000-0005-0000-0000-00007A090000}"/>
    <cellStyle name="SAPBEXHLevel2X 5 2" xfId="5226" xr:uid="{00000000-0005-0000-0000-00007A090000}"/>
    <cellStyle name="SAPBEXHLevel2X 5 2 2" xfId="15918" xr:uid="{00000000-0005-0000-0000-00007A090000}"/>
    <cellStyle name="SAPBEXHLevel2X 5 2 2 2" xfId="34292" xr:uid="{00000000-0005-0000-0000-00007A090000}"/>
    <cellStyle name="SAPBEXHLevel2X 5 2 2 3" xfId="52655" xr:uid="{00000000-0005-0000-0000-00007A090000}"/>
    <cellStyle name="SAPBEXHLevel2X 5 2 3" xfId="25039" xr:uid="{00000000-0005-0000-0000-00007A090000}"/>
    <cellStyle name="SAPBEXHLevel2X 5 2 3 2" xfId="43408" xr:uid="{00000000-0005-0000-0000-00007A090000}"/>
    <cellStyle name="SAPBEXHLevel2X 5 2 4" xfId="21360" xr:uid="{00000000-0005-0000-0000-00007A090000}"/>
    <cellStyle name="SAPBEXHLevel2X 5 2 5" xfId="39739" xr:uid="{00000000-0005-0000-0000-00007A090000}"/>
    <cellStyle name="SAPBEXHLevel2X 5 3" xfId="22979" xr:uid="{00000000-0005-0000-0000-00007A090000}"/>
    <cellStyle name="SAPBEXHLevel2X 5 3 2" xfId="41348" xr:uid="{00000000-0005-0000-0000-00007A090000}"/>
    <cellStyle name="SAPBEXHLevel2X 5 4" xfId="17537" xr:uid="{00000000-0005-0000-0000-00007A090000}"/>
    <cellStyle name="SAPBEXHLevel2X 5 5" xfId="35981" xr:uid="{00000000-0005-0000-0000-00007A090000}"/>
    <cellStyle name="SAPBEXHLevel2X 6" xfId="3064" xr:uid="{00000000-0005-0000-0000-00007B090000}"/>
    <cellStyle name="SAPBEXHLevel2X 6 2" xfId="5316" xr:uid="{00000000-0005-0000-0000-00007B090000}"/>
    <cellStyle name="SAPBEXHLevel2X 6 2 2" xfId="16008" xr:uid="{00000000-0005-0000-0000-00007B090000}"/>
    <cellStyle name="SAPBEXHLevel2X 6 2 2 2" xfId="34382" xr:uid="{00000000-0005-0000-0000-00007B090000}"/>
    <cellStyle name="SAPBEXHLevel2X 6 2 2 3" xfId="52745" xr:uid="{00000000-0005-0000-0000-00007B090000}"/>
    <cellStyle name="SAPBEXHLevel2X 6 2 3" xfId="25129" xr:uid="{00000000-0005-0000-0000-00007B090000}"/>
    <cellStyle name="SAPBEXHLevel2X 6 2 3 2" xfId="43498" xr:uid="{00000000-0005-0000-0000-00007B090000}"/>
    <cellStyle name="SAPBEXHLevel2X 6 2 4" xfId="21450" xr:uid="{00000000-0005-0000-0000-00007B090000}"/>
    <cellStyle name="SAPBEXHLevel2X 6 2 5" xfId="39829" xr:uid="{00000000-0005-0000-0000-00007B090000}"/>
    <cellStyle name="SAPBEXHLevel2X 6 3" xfId="23066" xr:uid="{00000000-0005-0000-0000-00007B090000}"/>
    <cellStyle name="SAPBEXHLevel2X 6 3 2" xfId="41435" xr:uid="{00000000-0005-0000-0000-00007B090000}"/>
    <cellStyle name="SAPBEXHLevel2X 6 4" xfId="17626" xr:uid="{00000000-0005-0000-0000-00007B090000}"/>
    <cellStyle name="SAPBEXHLevel2X 6 5" xfId="36068" xr:uid="{00000000-0005-0000-0000-00007B090000}"/>
    <cellStyle name="SAPBEXHLevel2X 7" xfId="3237" xr:uid="{00000000-0005-0000-0000-00007C090000}"/>
    <cellStyle name="SAPBEXHLevel2X 7 2" xfId="5439" xr:uid="{00000000-0005-0000-0000-00007C090000}"/>
    <cellStyle name="SAPBEXHLevel2X 7 2 2" xfId="16130" xr:uid="{00000000-0005-0000-0000-00007C090000}"/>
    <cellStyle name="SAPBEXHLevel2X 7 2 2 2" xfId="34502" xr:uid="{00000000-0005-0000-0000-00007C090000}"/>
    <cellStyle name="SAPBEXHLevel2X 7 2 2 3" xfId="52865" xr:uid="{00000000-0005-0000-0000-00007C090000}"/>
    <cellStyle name="SAPBEXHLevel2X 7 2 3" xfId="25249" xr:uid="{00000000-0005-0000-0000-00007C090000}"/>
    <cellStyle name="SAPBEXHLevel2X 7 2 3 2" xfId="43618" xr:uid="{00000000-0005-0000-0000-00007C090000}"/>
    <cellStyle name="SAPBEXHLevel2X 7 2 4" xfId="21570" xr:uid="{00000000-0005-0000-0000-00007C090000}"/>
    <cellStyle name="SAPBEXHLevel2X 7 2 5" xfId="39949" xr:uid="{00000000-0005-0000-0000-00007C090000}"/>
    <cellStyle name="SAPBEXHLevel2X 7 3" xfId="23178" xr:uid="{00000000-0005-0000-0000-00007C090000}"/>
    <cellStyle name="SAPBEXHLevel2X 7 3 2" xfId="41547" xr:uid="{00000000-0005-0000-0000-00007C090000}"/>
    <cellStyle name="SAPBEXHLevel2X 7 4" xfId="17760" xr:uid="{00000000-0005-0000-0000-00007C090000}"/>
    <cellStyle name="SAPBEXHLevel2X 7 5" xfId="36180" xr:uid="{00000000-0005-0000-0000-00007C090000}"/>
    <cellStyle name="SAPBEXHLevel2X 8" xfId="4108" xr:uid="{00000000-0005-0000-0000-000076090000}"/>
    <cellStyle name="SAPBEXHLevel2X 8 2" xfId="14862" xr:uid="{00000000-0005-0000-0000-000076090000}"/>
    <cellStyle name="SAPBEXHLevel2X 8 2 2" xfId="33268" xr:uid="{00000000-0005-0000-0000-000076090000}"/>
    <cellStyle name="SAPBEXHLevel2X 8 2 3" xfId="51631" xr:uid="{00000000-0005-0000-0000-000076090000}"/>
    <cellStyle name="SAPBEXHLevel2X 8 3" xfId="23993" xr:uid="{00000000-0005-0000-0000-000076090000}"/>
    <cellStyle name="SAPBEXHLevel2X 8 3 2" xfId="42362" xr:uid="{00000000-0005-0000-0000-000076090000}"/>
    <cellStyle name="SAPBEXHLevel2X 8 4" xfId="20316" xr:uid="{00000000-0005-0000-0000-000076090000}"/>
    <cellStyle name="SAPBEXHLevel2X 8 5" xfId="38715" xr:uid="{00000000-0005-0000-0000-000076090000}"/>
    <cellStyle name="SAPBEXHLevel2X 9" xfId="19208" xr:uid="{00000000-0005-0000-0000-000076090000}"/>
    <cellStyle name="SAPBEXHLevel2X 9 2" xfId="37615" xr:uid="{00000000-0005-0000-0000-000076090000}"/>
    <cellStyle name="SAPBEXHLevel3" xfId="755" xr:uid="{00000000-0005-0000-0000-00007D090000}"/>
    <cellStyle name="SAPBEXHLevel3 10" xfId="8190" xr:uid="{00000000-0005-0000-0000-00007D090000}"/>
    <cellStyle name="SAPBEXHLevel3 11" xfId="6965" xr:uid="{00000000-0005-0000-0000-00007D090000}"/>
    <cellStyle name="SAPBEXHLevel3 2" xfId="1155" xr:uid="{00000000-0005-0000-0000-00007E090000}"/>
    <cellStyle name="SAPBEXHLevel3 2 2" xfId="4254" xr:uid="{00000000-0005-0000-0000-00007E090000}"/>
    <cellStyle name="SAPBEXHLevel3 2 2 2" xfId="14999" xr:uid="{00000000-0005-0000-0000-00007E090000}"/>
    <cellStyle name="SAPBEXHLevel3 2 2 2 2" xfId="33403" xr:uid="{00000000-0005-0000-0000-00007E090000}"/>
    <cellStyle name="SAPBEXHLevel3 2 2 2 3" xfId="51766" xr:uid="{00000000-0005-0000-0000-00007E090000}"/>
    <cellStyle name="SAPBEXHLevel3 2 2 3" xfId="24132" xr:uid="{00000000-0005-0000-0000-00007E090000}"/>
    <cellStyle name="SAPBEXHLevel3 2 2 3 2" xfId="42501" xr:uid="{00000000-0005-0000-0000-00007E090000}"/>
    <cellStyle name="SAPBEXHLevel3 2 2 4" xfId="20452" xr:uid="{00000000-0005-0000-0000-00007E090000}"/>
    <cellStyle name="SAPBEXHLevel3 2 2 5" xfId="38850" xr:uid="{00000000-0005-0000-0000-00007E090000}"/>
    <cellStyle name="SAPBEXHLevel3 2 3" xfId="19332" xr:uid="{00000000-0005-0000-0000-00007E090000}"/>
    <cellStyle name="SAPBEXHLevel3 2 3 2" xfId="37739" xr:uid="{00000000-0005-0000-0000-00007E090000}"/>
    <cellStyle name="SAPBEXHLevel3 2 4" xfId="8964" xr:uid="{00000000-0005-0000-0000-00007E090000}"/>
    <cellStyle name="SAPBEXHLevel3 2 5" xfId="7343" xr:uid="{00000000-0005-0000-0000-00007E090000}"/>
    <cellStyle name="SAPBEXHLevel3 3" xfId="2194" xr:uid="{00000000-0005-0000-0000-00007F090000}"/>
    <cellStyle name="SAPBEXHLevel3 3 2" xfId="4929" xr:uid="{00000000-0005-0000-0000-00007F090000}"/>
    <cellStyle name="SAPBEXHLevel3 3 2 2" xfId="15649" xr:uid="{00000000-0005-0000-0000-00007F090000}"/>
    <cellStyle name="SAPBEXHLevel3 3 2 2 2" xfId="34038" xr:uid="{00000000-0005-0000-0000-00007F090000}"/>
    <cellStyle name="SAPBEXHLevel3 3 2 2 3" xfId="52401" xr:uid="{00000000-0005-0000-0000-00007F090000}"/>
    <cellStyle name="SAPBEXHLevel3 3 2 3" xfId="24771" xr:uid="{00000000-0005-0000-0000-00007F090000}"/>
    <cellStyle name="SAPBEXHLevel3 3 2 3 2" xfId="43140" xr:uid="{00000000-0005-0000-0000-00007F090000}"/>
    <cellStyle name="SAPBEXHLevel3 3 2 4" xfId="21097" xr:uid="{00000000-0005-0000-0000-00007F090000}"/>
    <cellStyle name="SAPBEXHLevel3 3 2 5" xfId="39485" xr:uid="{00000000-0005-0000-0000-00007F090000}"/>
    <cellStyle name="SAPBEXHLevel3 3 3" xfId="19424" xr:uid="{00000000-0005-0000-0000-00007F090000}"/>
    <cellStyle name="SAPBEXHLevel3 3 3 2" xfId="37830" xr:uid="{00000000-0005-0000-0000-00007F090000}"/>
    <cellStyle name="SAPBEXHLevel3 3 4" xfId="11597" xr:uid="{00000000-0005-0000-0000-00007F090000}"/>
    <cellStyle name="SAPBEXHLevel3 3 5" xfId="7800" xr:uid="{00000000-0005-0000-0000-00007F090000}"/>
    <cellStyle name="SAPBEXHLevel3 4" xfId="2639" xr:uid="{00000000-0005-0000-0000-000080090000}"/>
    <cellStyle name="SAPBEXHLevel3 4 2" xfId="5092" xr:uid="{00000000-0005-0000-0000-000080090000}"/>
    <cellStyle name="SAPBEXHLevel3 4 2 2" xfId="15802" xr:uid="{00000000-0005-0000-0000-000080090000}"/>
    <cellStyle name="SAPBEXHLevel3 4 2 2 2" xfId="34187" xr:uid="{00000000-0005-0000-0000-000080090000}"/>
    <cellStyle name="SAPBEXHLevel3 4 2 2 3" xfId="52550" xr:uid="{00000000-0005-0000-0000-000080090000}"/>
    <cellStyle name="SAPBEXHLevel3 4 2 3" xfId="24923" xr:uid="{00000000-0005-0000-0000-000080090000}"/>
    <cellStyle name="SAPBEXHLevel3 4 2 3 2" xfId="43292" xr:uid="{00000000-0005-0000-0000-000080090000}"/>
    <cellStyle name="SAPBEXHLevel3 4 2 4" xfId="21249" xr:uid="{00000000-0005-0000-0000-000080090000}"/>
    <cellStyle name="SAPBEXHLevel3 4 2 5" xfId="39634" xr:uid="{00000000-0005-0000-0000-000080090000}"/>
    <cellStyle name="SAPBEXHLevel3 4 3" xfId="18129" xr:uid="{00000000-0005-0000-0000-000080090000}"/>
    <cellStyle name="SAPBEXHLevel3 4 3 2" xfId="36536" xr:uid="{00000000-0005-0000-0000-000080090000}"/>
    <cellStyle name="SAPBEXHLevel3 4 4" xfId="15863" xr:uid="{00000000-0005-0000-0000-000080090000}"/>
    <cellStyle name="SAPBEXHLevel3 4 5" xfId="35881" xr:uid="{00000000-0005-0000-0000-000080090000}"/>
    <cellStyle name="SAPBEXHLevel3 5" xfId="2961" xr:uid="{00000000-0005-0000-0000-000081090000}"/>
    <cellStyle name="SAPBEXHLevel3 5 2" xfId="5225" xr:uid="{00000000-0005-0000-0000-000081090000}"/>
    <cellStyle name="SAPBEXHLevel3 5 2 2" xfId="15917" xr:uid="{00000000-0005-0000-0000-000081090000}"/>
    <cellStyle name="SAPBEXHLevel3 5 2 2 2" xfId="34291" xr:uid="{00000000-0005-0000-0000-000081090000}"/>
    <cellStyle name="SAPBEXHLevel3 5 2 2 3" xfId="52654" xr:uid="{00000000-0005-0000-0000-000081090000}"/>
    <cellStyle name="SAPBEXHLevel3 5 2 3" xfId="25038" xr:uid="{00000000-0005-0000-0000-000081090000}"/>
    <cellStyle name="SAPBEXHLevel3 5 2 3 2" xfId="43407" xr:uid="{00000000-0005-0000-0000-000081090000}"/>
    <cellStyle name="SAPBEXHLevel3 5 2 4" xfId="21359" xr:uid="{00000000-0005-0000-0000-000081090000}"/>
    <cellStyle name="SAPBEXHLevel3 5 2 5" xfId="39738" xr:uid="{00000000-0005-0000-0000-000081090000}"/>
    <cellStyle name="SAPBEXHLevel3 5 3" xfId="22978" xr:uid="{00000000-0005-0000-0000-000081090000}"/>
    <cellStyle name="SAPBEXHLevel3 5 3 2" xfId="41347" xr:uid="{00000000-0005-0000-0000-000081090000}"/>
    <cellStyle name="SAPBEXHLevel3 5 4" xfId="17536" xr:uid="{00000000-0005-0000-0000-000081090000}"/>
    <cellStyle name="SAPBEXHLevel3 5 5" xfId="35980" xr:uid="{00000000-0005-0000-0000-000081090000}"/>
    <cellStyle name="SAPBEXHLevel3 6" xfId="3065" xr:uid="{00000000-0005-0000-0000-000082090000}"/>
    <cellStyle name="SAPBEXHLevel3 6 2" xfId="5317" xr:uid="{00000000-0005-0000-0000-000082090000}"/>
    <cellStyle name="SAPBEXHLevel3 6 2 2" xfId="16009" xr:uid="{00000000-0005-0000-0000-000082090000}"/>
    <cellStyle name="SAPBEXHLevel3 6 2 2 2" xfId="34383" xr:uid="{00000000-0005-0000-0000-000082090000}"/>
    <cellStyle name="SAPBEXHLevel3 6 2 2 3" xfId="52746" xr:uid="{00000000-0005-0000-0000-000082090000}"/>
    <cellStyle name="SAPBEXHLevel3 6 2 3" xfId="25130" xr:uid="{00000000-0005-0000-0000-000082090000}"/>
    <cellStyle name="SAPBEXHLevel3 6 2 3 2" xfId="43499" xr:uid="{00000000-0005-0000-0000-000082090000}"/>
    <cellStyle name="SAPBEXHLevel3 6 2 4" xfId="21451" xr:uid="{00000000-0005-0000-0000-000082090000}"/>
    <cellStyle name="SAPBEXHLevel3 6 2 5" xfId="39830" xr:uid="{00000000-0005-0000-0000-000082090000}"/>
    <cellStyle name="SAPBEXHLevel3 6 3" xfId="23067" xr:uid="{00000000-0005-0000-0000-000082090000}"/>
    <cellStyle name="SAPBEXHLevel3 6 3 2" xfId="41436" xr:uid="{00000000-0005-0000-0000-000082090000}"/>
    <cellStyle name="SAPBEXHLevel3 6 4" xfId="17627" xr:uid="{00000000-0005-0000-0000-000082090000}"/>
    <cellStyle name="SAPBEXHLevel3 6 5" xfId="36069" xr:uid="{00000000-0005-0000-0000-000082090000}"/>
    <cellStyle name="SAPBEXHLevel3 7" xfId="3236" xr:uid="{00000000-0005-0000-0000-000083090000}"/>
    <cellStyle name="SAPBEXHLevel3 7 2" xfId="5438" xr:uid="{00000000-0005-0000-0000-000083090000}"/>
    <cellStyle name="SAPBEXHLevel3 7 2 2" xfId="16129" xr:uid="{00000000-0005-0000-0000-000083090000}"/>
    <cellStyle name="SAPBEXHLevel3 7 2 2 2" xfId="34501" xr:uid="{00000000-0005-0000-0000-000083090000}"/>
    <cellStyle name="SAPBEXHLevel3 7 2 2 3" xfId="52864" xr:uid="{00000000-0005-0000-0000-000083090000}"/>
    <cellStyle name="SAPBEXHLevel3 7 2 3" xfId="25248" xr:uid="{00000000-0005-0000-0000-000083090000}"/>
    <cellStyle name="SAPBEXHLevel3 7 2 3 2" xfId="43617" xr:uid="{00000000-0005-0000-0000-000083090000}"/>
    <cellStyle name="SAPBEXHLevel3 7 2 4" xfId="21569" xr:uid="{00000000-0005-0000-0000-000083090000}"/>
    <cellStyle name="SAPBEXHLevel3 7 2 5" xfId="39948" xr:uid="{00000000-0005-0000-0000-000083090000}"/>
    <cellStyle name="SAPBEXHLevel3 7 3" xfId="23177" xr:uid="{00000000-0005-0000-0000-000083090000}"/>
    <cellStyle name="SAPBEXHLevel3 7 3 2" xfId="41546" xr:uid="{00000000-0005-0000-0000-000083090000}"/>
    <cellStyle name="SAPBEXHLevel3 7 4" xfId="17759" xr:uid="{00000000-0005-0000-0000-000083090000}"/>
    <cellStyle name="SAPBEXHLevel3 7 5" xfId="36179" xr:uid="{00000000-0005-0000-0000-000083090000}"/>
    <cellStyle name="SAPBEXHLevel3 8" xfId="4109" xr:uid="{00000000-0005-0000-0000-00007D090000}"/>
    <cellStyle name="SAPBEXHLevel3 8 2" xfId="14863" xr:uid="{00000000-0005-0000-0000-00007D090000}"/>
    <cellStyle name="SAPBEXHLevel3 8 2 2" xfId="33269" xr:uid="{00000000-0005-0000-0000-00007D090000}"/>
    <cellStyle name="SAPBEXHLevel3 8 2 3" xfId="51632" xr:uid="{00000000-0005-0000-0000-00007D090000}"/>
    <cellStyle name="SAPBEXHLevel3 8 3" xfId="23994" xr:uid="{00000000-0005-0000-0000-00007D090000}"/>
    <cellStyle name="SAPBEXHLevel3 8 3 2" xfId="42363" xr:uid="{00000000-0005-0000-0000-00007D090000}"/>
    <cellStyle name="SAPBEXHLevel3 8 4" xfId="20317" xr:uid="{00000000-0005-0000-0000-00007D090000}"/>
    <cellStyle name="SAPBEXHLevel3 8 5" xfId="38716" xr:uid="{00000000-0005-0000-0000-00007D090000}"/>
    <cellStyle name="SAPBEXHLevel3 9" xfId="19539" xr:uid="{00000000-0005-0000-0000-00007D090000}"/>
    <cellStyle name="SAPBEXHLevel3 9 2" xfId="37945" xr:uid="{00000000-0005-0000-0000-00007D090000}"/>
    <cellStyle name="SAPBEXHLevel3X" xfId="756" xr:uid="{00000000-0005-0000-0000-000084090000}"/>
    <cellStyle name="SAPBEXHLevel3X 10" xfId="7120" xr:uid="{00000000-0005-0000-0000-000084090000}"/>
    <cellStyle name="SAPBEXHLevel3X 11" xfId="8853" xr:uid="{00000000-0005-0000-0000-000084090000}"/>
    <cellStyle name="SAPBEXHLevel3X 2" xfId="1156" xr:uid="{00000000-0005-0000-0000-000085090000}"/>
    <cellStyle name="SAPBEXHLevel3X 2 2" xfId="4255" xr:uid="{00000000-0005-0000-0000-000085090000}"/>
    <cellStyle name="SAPBEXHLevel3X 2 2 2" xfId="15000" xr:uid="{00000000-0005-0000-0000-000085090000}"/>
    <cellStyle name="SAPBEXHLevel3X 2 2 2 2" xfId="33404" xr:uid="{00000000-0005-0000-0000-000085090000}"/>
    <cellStyle name="SAPBEXHLevel3X 2 2 2 3" xfId="51767" xr:uid="{00000000-0005-0000-0000-000085090000}"/>
    <cellStyle name="SAPBEXHLevel3X 2 2 3" xfId="24133" xr:uid="{00000000-0005-0000-0000-000085090000}"/>
    <cellStyle name="SAPBEXHLevel3X 2 2 3 2" xfId="42502" xr:uid="{00000000-0005-0000-0000-000085090000}"/>
    <cellStyle name="SAPBEXHLevel3X 2 2 4" xfId="20453" xr:uid="{00000000-0005-0000-0000-000085090000}"/>
    <cellStyle name="SAPBEXHLevel3X 2 2 5" xfId="38851" xr:uid="{00000000-0005-0000-0000-000085090000}"/>
    <cellStyle name="SAPBEXHLevel3X 2 3" xfId="17853" xr:uid="{00000000-0005-0000-0000-000085090000}"/>
    <cellStyle name="SAPBEXHLevel3X 2 3 2" xfId="36263" xr:uid="{00000000-0005-0000-0000-000085090000}"/>
    <cellStyle name="SAPBEXHLevel3X 2 4" xfId="7312" xr:uid="{00000000-0005-0000-0000-000085090000}"/>
    <cellStyle name="SAPBEXHLevel3X 2 5" xfId="8220" xr:uid="{00000000-0005-0000-0000-000085090000}"/>
    <cellStyle name="SAPBEXHLevel3X 3" xfId="2195" xr:uid="{00000000-0005-0000-0000-000086090000}"/>
    <cellStyle name="SAPBEXHLevel3X 3 2" xfId="4930" xr:uid="{00000000-0005-0000-0000-000086090000}"/>
    <cellStyle name="SAPBEXHLevel3X 3 2 2" xfId="15650" xr:uid="{00000000-0005-0000-0000-000086090000}"/>
    <cellStyle name="SAPBEXHLevel3X 3 2 2 2" xfId="34039" xr:uid="{00000000-0005-0000-0000-000086090000}"/>
    <cellStyle name="SAPBEXHLevel3X 3 2 2 3" xfId="52402" xr:uid="{00000000-0005-0000-0000-000086090000}"/>
    <cellStyle name="SAPBEXHLevel3X 3 2 3" xfId="24772" xr:uid="{00000000-0005-0000-0000-000086090000}"/>
    <cellStyle name="SAPBEXHLevel3X 3 2 3 2" xfId="43141" xr:uid="{00000000-0005-0000-0000-000086090000}"/>
    <cellStyle name="SAPBEXHLevel3X 3 2 4" xfId="21098" xr:uid="{00000000-0005-0000-0000-000086090000}"/>
    <cellStyle name="SAPBEXHLevel3X 3 2 5" xfId="39486" xr:uid="{00000000-0005-0000-0000-000086090000}"/>
    <cellStyle name="SAPBEXHLevel3X 3 3" xfId="18162" xr:uid="{00000000-0005-0000-0000-000086090000}"/>
    <cellStyle name="SAPBEXHLevel3X 3 3 2" xfId="36568" xr:uid="{00000000-0005-0000-0000-000086090000}"/>
    <cellStyle name="SAPBEXHLevel3X 3 4" xfId="7019" xr:uid="{00000000-0005-0000-0000-000086090000}"/>
    <cellStyle name="SAPBEXHLevel3X 3 5" xfId="9407" xr:uid="{00000000-0005-0000-0000-000086090000}"/>
    <cellStyle name="SAPBEXHLevel3X 4" xfId="2640" xr:uid="{00000000-0005-0000-0000-000087090000}"/>
    <cellStyle name="SAPBEXHLevel3X 4 2" xfId="5093" xr:uid="{00000000-0005-0000-0000-000087090000}"/>
    <cellStyle name="SAPBEXHLevel3X 4 2 2" xfId="15803" xr:uid="{00000000-0005-0000-0000-000087090000}"/>
    <cellStyle name="SAPBEXHLevel3X 4 2 2 2" xfId="34188" xr:uid="{00000000-0005-0000-0000-000087090000}"/>
    <cellStyle name="SAPBEXHLevel3X 4 2 2 3" xfId="52551" xr:uid="{00000000-0005-0000-0000-000087090000}"/>
    <cellStyle name="SAPBEXHLevel3X 4 2 3" xfId="24924" xr:uid="{00000000-0005-0000-0000-000087090000}"/>
    <cellStyle name="SAPBEXHLevel3X 4 2 3 2" xfId="43293" xr:uid="{00000000-0005-0000-0000-000087090000}"/>
    <cellStyle name="SAPBEXHLevel3X 4 2 4" xfId="21250" xr:uid="{00000000-0005-0000-0000-000087090000}"/>
    <cellStyle name="SAPBEXHLevel3X 4 2 5" xfId="39635" xr:uid="{00000000-0005-0000-0000-000087090000}"/>
    <cellStyle name="SAPBEXHLevel3X 4 3" xfId="19183" xr:uid="{00000000-0005-0000-0000-000087090000}"/>
    <cellStyle name="SAPBEXHLevel3X 4 3 2" xfId="37591" xr:uid="{00000000-0005-0000-0000-000087090000}"/>
    <cellStyle name="SAPBEXHLevel3X 4 4" xfId="10970" xr:uid="{00000000-0005-0000-0000-000087090000}"/>
    <cellStyle name="SAPBEXHLevel3X 4 5" xfId="35882" xr:uid="{00000000-0005-0000-0000-000087090000}"/>
    <cellStyle name="SAPBEXHLevel3X 5" xfId="2960" xr:uid="{00000000-0005-0000-0000-000088090000}"/>
    <cellStyle name="SAPBEXHLevel3X 5 2" xfId="5224" xr:uid="{00000000-0005-0000-0000-000088090000}"/>
    <cellStyle name="SAPBEXHLevel3X 5 2 2" xfId="15916" xr:uid="{00000000-0005-0000-0000-000088090000}"/>
    <cellStyle name="SAPBEXHLevel3X 5 2 2 2" xfId="34290" xr:uid="{00000000-0005-0000-0000-000088090000}"/>
    <cellStyle name="SAPBEXHLevel3X 5 2 2 3" xfId="52653" xr:uid="{00000000-0005-0000-0000-000088090000}"/>
    <cellStyle name="SAPBEXHLevel3X 5 2 3" xfId="25037" xr:uid="{00000000-0005-0000-0000-000088090000}"/>
    <cellStyle name="SAPBEXHLevel3X 5 2 3 2" xfId="43406" xr:uid="{00000000-0005-0000-0000-000088090000}"/>
    <cellStyle name="SAPBEXHLevel3X 5 2 4" xfId="21358" xr:uid="{00000000-0005-0000-0000-000088090000}"/>
    <cellStyle name="SAPBEXHLevel3X 5 2 5" xfId="39737" xr:uid="{00000000-0005-0000-0000-000088090000}"/>
    <cellStyle name="SAPBEXHLevel3X 5 3" xfId="22977" xr:uid="{00000000-0005-0000-0000-000088090000}"/>
    <cellStyle name="SAPBEXHLevel3X 5 3 2" xfId="41346" xr:uid="{00000000-0005-0000-0000-000088090000}"/>
    <cellStyle name="SAPBEXHLevel3X 5 4" xfId="17535" xr:uid="{00000000-0005-0000-0000-000088090000}"/>
    <cellStyle name="SAPBEXHLevel3X 5 5" xfId="35979" xr:uid="{00000000-0005-0000-0000-000088090000}"/>
    <cellStyle name="SAPBEXHLevel3X 6" xfId="3066" xr:uid="{00000000-0005-0000-0000-000089090000}"/>
    <cellStyle name="SAPBEXHLevel3X 6 2" xfId="5318" xr:uid="{00000000-0005-0000-0000-000089090000}"/>
    <cellStyle name="SAPBEXHLevel3X 6 2 2" xfId="16010" xr:uid="{00000000-0005-0000-0000-000089090000}"/>
    <cellStyle name="SAPBEXHLevel3X 6 2 2 2" xfId="34384" xr:uid="{00000000-0005-0000-0000-000089090000}"/>
    <cellStyle name="SAPBEXHLevel3X 6 2 2 3" xfId="52747" xr:uid="{00000000-0005-0000-0000-000089090000}"/>
    <cellStyle name="SAPBEXHLevel3X 6 2 3" xfId="25131" xr:uid="{00000000-0005-0000-0000-000089090000}"/>
    <cellStyle name="SAPBEXHLevel3X 6 2 3 2" xfId="43500" xr:uid="{00000000-0005-0000-0000-000089090000}"/>
    <cellStyle name="SAPBEXHLevel3X 6 2 4" xfId="21452" xr:uid="{00000000-0005-0000-0000-000089090000}"/>
    <cellStyle name="SAPBEXHLevel3X 6 2 5" xfId="39831" xr:uid="{00000000-0005-0000-0000-000089090000}"/>
    <cellStyle name="SAPBEXHLevel3X 6 3" xfId="23068" xr:uid="{00000000-0005-0000-0000-000089090000}"/>
    <cellStyle name="SAPBEXHLevel3X 6 3 2" xfId="41437" xr:uid="{00000000-0005-0000-0000-000089090000}"/>
    <cellStyle name="SAPBEXHLevel3X 6 4" xfId="17628" xr:uid="{00000000-0005-0000-0000-000089090000}"/>
    <cellStyle name="SAPBEXHLevel3X 6 5" xfId="36070" xr:uid="{00000000-0005-0000-0000-000089090000}"/>
    <cellStyle name="SAPBEXHLevel3X 7" xfId="3235" xr:uid="{00000000-0005-0000-0000-00008A090000}"/>
    <cellStyle name="SAPBEXHLevel3X 7 2" xfId="5437" xr:uid="{00000000-0005-0000-0000-00008A090000}"/>
    <cellStyle name="SAPBEXHLevel3X 7 2 2" xfId="16128" xr:uid="{00000000-0005-0000-0000-00008A090000}"/>
    <cellStyle name="SAPBEXHLevel3X 7 2 2 2" xfId="34500" xr:uid="{00000000-0005-0000-0000-00008A090000}"/>
    <cellStyle name="SAPBEXHLevel3X 7 2 2 3" xfId="52863" xr:uid="{00000000-0005-0000-0000-00008A090000}"/>
    <cellStyle name="SAPBEXHLevel3X 7 2 3" xfId="25247" xr:uid="{00000000-0005-0000-0000-00008A090000}"/>
    <cellStyle name="SAPBEXHLevel3X 7 2 3 2" xfId="43616" xr:uid="{00000000-0005-0000-0000-00008A090000}"/>
    <cellStyle name="SAPBEXHLevel3X 7 2 4" xfId="21568" xr:uid="{00000000-0005-0000-0000-00008A090000}"/>
    <cellStyle name="SAPBEXHLevel3X 7 2 5" xfId="39947" xr:uid="{00000000-0005-0000-0000-00008A090000}"/>
    <cellStyle name="SAPBEXHLevel3X 7 3" xfId="23176" xr:uid="{00000000-0005-0000-0000-00008A090000}"/>
    <cellStyle name="SAPBEXHLevel3X 7 3 2" xfId="41545" xr:uid="{00000000-0005-0000-0000-00008A090000}"/>
    <cellStyle name="SAPBEXHLevel3X 7 4" xfId="17758" xr:uid="{00000000-0005-0000-0000-00008A090000}"/>
    <cellStyle name="SAPBEXHLevel3X 7 5" xfId="36178" xr:uid="{00000000-0005-0000-0000-00008A090000}"/>
    <cellStyle name="SAPBEXHLevel3X 8" xfId="4110" xr:uid="{00000000-0005-0000-0000-000084090000}"/>
    <cellStyle name="SAPBEXHLevel3X 8 2" xfId="14864" xr:uid="{00000000-0005-0000-0000-000084090000}"/>
    <cellStyle name="SAPBEXHLevel3X 8 2 2" xfId="33270" xr:uid="{00000000-0005-0000-0000-000084090000}"/>
    <cellStyle name="SAPBEXHLevel3X 8 2 3" xfId="51633" xr:uid="{00000000-0005-0000-0000-000084090000}"/>
    <cellStyle name="SAPBEXHLevel3X 8 3" xfId="23995" xr:uid="{00000000-0005-0000-0000-000084090000}"/>
    <cellStyle name="SAPBEXHLevel3X 8 3 2" xfId="42364" xr:uid="{00000000-0005-0000-0000-000084090000}"/>
    <cellStyle name="SAPBEXHLevel3X 8 4" xfId="20318" xr:uid="{00000000-0005-0000-0000-000084090000}"/>
    <cellStyle name="SAPBEXHLevel3X 8 5" xfId="38717" xr:uid="{00000000-0005-0000-0000-000084090000}"/>
    <cellStyle name="SAPBEXHLevel3X 9" xfId="19507" xr:uid="{00000000-0005-0000-0000-000084090000}"/>
    <cellStyle name="SAPBEXHLevel3X 9 2" xfId="37913" xr:uid="{00000000-0005-0000-0000-000084090000}"/>
    <cellStyle name="SAPBEXresData" xfId="757" xr:uid="{00000000-0005-0000-0000-00008B090000}"/>
    <cellStyle name="SAPBEXresData 2" xfId="1157" xr:uid="{00000000-0005-0000-0000-00008C090000}"/>
    <cellStyle name="SAPBEXresData 2 2" xfId="4256" xr:uid="{00000000-0005-0000-0000-00008C090000}"/>
    <cellStyle name="SAPBEXresData 2 2 2" xfId="15001" xr:uid="{00000000-0005-0000-0000-00008C090000}"/>
    <cellStyle name="SAPBEXresData 2 2 2 2" xfId="33405" xr:uid="{00000000-0005-0000-0000-00008C090000}"/>
    <cellStyle name="SAPBEXresData 2 2 2 3" xfId="51768" xr:uid="{00000000-0005-0000-0000-00008C090000}"/>
    <cellStyle name="SAPBEXresData 2 2 3" xfId="24134" xr:uid="{00000000-0005-0000-0000-00008C090000}"/>
    <cellStyle name="SAPBEXresData 2 2 3 2" xfId="42503" xr:uid="{00000000-0005-0000-0000-00008C090000}"/>
    <cellStyle name="SAPBEXresData 2 2 4" xfId="20454" xr:uid="{00000000-0005-0000-0000-00008C090000}"/>
    <cellStyle name="SAPBEXresData 2 2 5" xfId="38852" xr:uid="{00000000-0005-0000-0000-00008C090000}"/>
    <cellStyle name="SAPBEXresData 2 3" xfId="19131" xr:uid="{00000000-0005-0000-0000-00008C090000}"/>
    <cellStyle name="SAPBEXresData 2 3 2" xfId="37539" xr:uid="{00000000-0005-0000-0000-00008C090000}"/>
    <cellStyle name="SAPBEXresData 2 4" xfId="7313" xr:uid="{00000000-0005-0000-0000-00008C090000}"/>
    <cellStyle name="SAPBEXresData 2 5" xfId="7494" xr:uid="{00000000-0005-0000-0000-00008C090000}"/>
    <cellStyle name="SAPBEXresData 3" xfId="2959" xr:uid="{00000000-0005-0000-0000-00008D090000}"/>
    <cellStyle name="SAPBEXresData 3 2" xfId="5223" xr:uid="{00000000-0005-0000-0000-00008D090000}"/>
    <cellStyle name="SAPBEXresData 3 2 2" xfId="15915" xr:uid="{00000000-0005-0000-0000-00008D090000}"/>
    <cellStyle name="SAPBEXresData 3 2 2 2" xfId="34289" xr:uid="{00000000-0005-0000-0000-00008D090000}"/>
    <cellStyle name="SAPBEXresData 3 2 2 3" xfId="52652" xr:uid="{00000000-0005-0000-0000-00008D090000}"/>
    <cellStyle name="SAPBEXresData 3 2 3" xfId="25036" xr:uid="{00000000-0005-0000-0000-00008D090000}"/>
    <cellStyle name="SAPBEXresData 3 2 3 2" xfId="43405" xr:uid="{00000000-0005-0000-0000-00008D090000}"/>
    <cellStyle name="SAPBEXresData 3 2 4" xfId="21357" xr:uid="{00000000-0005-0000-0000-00008D090000}"/>
    <cellStyle name="SAPBEXresData 3 2 5" xfId="39736" xr:uid="{00000000-0005-0000-0000-00008D090000}"/>
    <cellStyle name="SAPBEXresData 3 3" xfId="22976" xr:uid="{00000000-0005-0000-0000-00008D090000}"/>
    <cellStyle name="SAPBEXresData 3 3 2" xfId="41345" xr:uid="{00000000-0005-0000-0000-00008D090000}"/>
    <cellStyle name="SAPBEXresData 3 4" xfId="17534" xr:uid="{00000000-0005-0000-0000-00008D090000}"/>
    <cellStyle name="SAPBEXresData 3 5" xfId="35978" xr:uid="{00000000-0005-0000-0000-00008D090000}"/>
    <cellStyle name="SAPBEXresData 4" xfId="3067" xr:uid="{00000000-0005-0000-0000-00008E090000}"/>
    <cellStyle name="SAPBEXresData 4 2" xfId="5319" xr:uid="{00000000-0005-0000-0000-00008E090000}"/>
    <cellStyle name="SAPBEXresData 4 2 2" xfId="16011" xr:uid="{00000000-0005-0000-0000-00008E090000}"/>
    <cellStyle name="SAPBEXresData 4 2 2 2" xfId="34385" xr:uid="{00000000-0005-0000-0000-00008E090000}"/>
    <cellStyle name="SAPBEXresData 4 2 2 3" xfId="52748" xr:uid="{00000000-0005-0000-0000-00008E090000}"/>
    <cellStyle name="SAPBEXresData 4 2 3" xfId="25132" xr:uid="{00000000-0005-0000-0000-00008E090000}"/>
    <cellStyle name="SAPBEXresData 4 2 3 2" xfId="43501" xr:uid="{00000000-0005-0000-0000-00008E090000}"/>
    <cellStyle name="SAPBEXresData 4 2 4" xfId="21453" xr:uid="{00000000-0005-0000-0000-00008E090000}"/>
    <cellStyle name="SAPBEXresData 4 2 5" xfId="39832" xr:uid="{00000000-0005-0000-0000-00008E090000}"/>
    <cellStyle name="SAPBEXresData 4 3" xfId="23069" xr:uid="{00000000-0005-0000-0000-00008E090000}"/>
    <cellStyle name="SAPBEXresData 4 3 2" xfId="41438" xr:uid="{00000000-0005-0000-0000-00008E090000}"/>
    <cellStyle name="SAPBEXresData 4 4" xfId="17629" xr:uid="{00000000-0005-0000-0000-00008E090000}"/>
    <cellStyle name="SAPBEXresData 4 5" xfId="36071" xr:uid="{00000000-0005-0000-0000-00008E090000}"/>
    <cellStyle name="SAPBEXresData 5" xfId="3234" xr:uid="{00000000-0005-0000-0000-00008F090000}"/>
    <cellStyle name="SAPBEXresData 5 2" xfId="5436" xr:uid="{00000000-0005-0000-0000-00008F090000}"/>
    <cellStyle name="SAPBEXresData 5 2 2" xfId="16127" xr:uid="{00000000-0005-0000-0000-00008F090000}"/>
    <cellStyle name="SAPBEXresData 5 2 2 2" xfId="34499" xr:uid="{00000000-0005-0000-0000-00008F090000}"/>
    <cellStyle name="SAPBEXresData 5 2 2 3" xfId="52862" xr:uid="{00000000-0005-0000-0000-00008F090000}"/>
    <cellStyle name="SAPBEXresData 5 2 3" xfId="25246" xr:uid="{00000000-0005-0000-0000-00008F090000}"/>
    <cellStyle name="SAPBEXresData 5 2 3 2" xfId="43615" xr:uid="{00000000-0005-0000-0000-00008F090000}"/>
    <cellStyle name="SAPBEXresData 5 2 4" xfId="21567" xr:uid="{00000000-0005-0000-0000-00008F090000}"/>
    <cellStyle name="SAPBEXresData 5 2 5" xfId="39946" xr:uid="{00000000-0005-0000-0000-00008F090000}"/>
    <cellStyle name="SAPBEXresData 5 3" xfId="23175" xr:uid="{00000000-0005-0000-0000-00008F090000}"/>
    <cellStyle name="SAPBEXresData 5 3 2" xfId="41544" xr:uid="{00000000-0005-0000-0000-00008F090000}"/>
    <cellStyle name="SAPBEXresData 5 4" xfId="17757" xr:uid="{00000000-0005-0000-0000-00008F090000}"/>
    <cellStyle name="SAPBEXresData 5 5" xfId="36177" xr:uid="{00000000-0005-0000-0000-00008F090000}"/>
    <cellStyle name="SAPBEXresData 6" xfId="4111" xr:uid="{00000000-0005-0000-0000-00008B090000}"/>
    <cellStyle name="SAPBEXresData 6 2" xfId="14865" xr:uid="{00000000-0005-0000-0000-00008B090000}"/>
    <cellStyle name="SAPBEXresData 6 2 2" xfId="33271" xr:uid="{00000000-0005-0000-0000-00008B090000}"/>
    <cellStyle name="SAPBEXresData 6 2 3" xfId="51634" xr:uid="{00000000-0005-0000-0000-00008B090000}"/>
    <cellStyle name="SAPBEXresData 6 3" xfId="23996" xr:uid="{00000000-0005-0000-0000-00008B090000}"/>
    <cellStyle name="SAPBEXresData 6 3 2" xfId="42365" xr:uid="{00000000-0005-0000-0000-00008B090000}"/>
    <cellStyle name="SAPBEXresData 6 4" xfId="20319" xr:uid="{00000000-0005-0000-0000-00008B090000}"/>
    <cellStyle name="SAPBEXresData 6 5" xfId="38718" xr:uid="{00000000-0005-0000-0000-00008B090000}"/>
    <cellStyle name="SAPBEXresData 7" xfId="19472" xr:uid="{00000000-0005-0000-0000-00008B090000}"/>
    <cellStyle name="SAPBEXresData 7 2" xfId="37878" xr:uid="{00000000-0005-0000-0000-00008B090000}"/>
    <cellStyle name="SAPBEXresData 8" xfId="11706" xr:uid="{00000000-0005-0000-0000-00008B090000}"/>
    <cellStyle name="SAPBEXresData 9" xfId="11690" xr:uid="{00000000-0005-0000-0000-00008B090000}"/>
    <cellStyle name="SAPBEXresDataEmph" xfId="758" xr:uid="{00000000-0005-0000-0000-000090090000}"/>
    <cellStyle name="SAPBEXresDataEmph 2" xfId="1158" xr:uid="{00000000-0005-0000-0000-000091090000}"/>
    <cellStyle name="SAPBEXresDataEmph 2 2" xfId="4257" xr:uid="{00000000-0005-0000-0000-000091090000}"/>
    <cellStyle name="SAPBEXresDataEmph 2 2 2" xfId="15002" xr:uid="{00000000-0005-0000-0000-000091090000}"/>
    <cellStyle name="SAPBEXresDataEmph 2 2 2 2" xfId="33406" xr:uid="{00000000-0005-0000-0000-000091090000}"/>
    <cellStyle name="SAPBEXresDataEmph 2 2 2 3" xfId="51769" xr:uid="{00000000-0005-0000-0000-000091090000}"/>
    <cellStyle name="SAPBEXresDataEmph 2 2 3" xfId="24135" xr:uid="{00000000-0005-0000-0000-000091090000}"/>
    <cellStyle name="SAPBEXresDataEmph 2 2 3 2" xfId="42504" xr:uid="{00000000-0005-0000-0000-000091090000}"/>
    <cellStyle name="SAPBEXresDataEmph 2 2 4" xfId="20455" xr:uid="{00000000-0005-0000-0000-000091090000}"/>
    <cellStyle name="SAPBEXresDataEmph 2 2 5" xfId="38853" xr:uid="{00000000-0005-0000-0000-000091090000}"/>
    <cellStyle name="SAPBEXresDataEmph 2 3" xfId="18088" xr:uid="{00000000-0005-0000-0000-000091090000}"/>
    <cellStyle name="SAPBEXresDataEmph 2 3 2" xfId="36495" xr:uid="{00000000-0005-0000-0000-000091090000}"/>
    <cellStyle name="SAPBEXresDataEmph 2 4" xfId="8301" xr:uid="{00000000-0005-0000-0000-000091090000}"/>
    <cellStyle name="SAPBEXresDataEmph 2 5" xfId="8851" xr:uid="{00000000-0005-0000-0000-000091090000}"/>
    <cellStyle name="SAPBEXresDataEmph 3" xfId="2958" xr:uid="{00000000-0005-0000-0000-000092090000}"/>
    <cellStyle name="SAPBEXresDataEmph 3 2" xfId="5222" xr:uid="{00000000-0005-0000-0000-000092090000}"/>
    <cellStyle name="SAPBEXresDataEmph 3 2 2" xfId="15914" xr:uid="{00000000-0005-0000-0000-000092090000}"/>
    <cellStyle name="SAPBEXresDataEmph 3 2 2 2" xfId="34288" xr:uid="{00000000-0005-0000-0000-000092090000}"/>
    <cellStyle name="SAPBEXresDataEmph 3 2 2 3" xfId="52651" xr:uid="{00000000-0005-0000-0000-000092090000}"/>
    <cellStyle name="SAPBEXresDataEmph 3 2 3" xfId="25035" xr:uid="{00000000-0005-0000-0000-000092090000}"/>
    <cellStyle name="SAPBEXresDataEmph 3 2 3 2" xfId="43404" xr:uid="{00000000-0005-0000-0000-000092090000}"/>
    <cellStyle name="SAPBEXresDataEmph 3 2 4" xfId="21356" xr:uid="{00000000-0005-0000-0000-000092090000}"/>
    <cellStyle name="SAPBEXresDataEmph 3 2 5" xfId="39735" xr:uid="{00000000-0005-0000-0000-000092090000}"/>
    <cellStyle name="SAPBEXresDataEmph 3 3" xfId="22975" xr:uid="{00000000-0005-0000-0000-000092090000}"/>
    <cellStyle name="SAPBEXresDataEmph 3 3 2" xfId="41344" xr:uid="{00000000-0005-0000-0000-000092090000}"/>
    <cellStyle name="SAPBEXresDataEmph 3 4" xfId="17533" xr:uid="{00000000-0005-0000-0000-000092090000}"/>
    <cellStyle name="SAPBEXresDataEmph 3 5" xfId="35977" xr:uid="{00000000-0005-0000-0000-000092090000}"/>
    <cellStyle name="SAPBEXresDataEmph 4" xfId="3068" xr:uid="{00000000-0005-0000-0000-000093090000}"/>
    <cellStyle name="SAPBEXresDataEmph 4 2" xfId="5320" xr:uid="{00000000-0005-0000-0000-000093090000}"/>
    <cellStyle name="SAPBEXresDataEmph 4 2 2" xfId="16012" xr:uid="{00000000-0005-0000-0000-000093090000}"/>
    <cellStyle name="SAPBEXresDataEmph 4 2 2 2" xfId="34386" xr:uid="{00000000-0005-0000-0000-000093090000}"/>
    <cellStyle name="SAPBEXresDataEmph 4 2 2 3" xfId="52749" xr:uid="{00000000-0005-0000-0000-000093090000}"/>
    <cellStyle name="SAPBEXresDataEmph 4 2 3" xfId="25133" xr:uid="{00000000-0005-0000-0000-000093090000}"/>
    <cellStyle name="SAPBEXresDataEmph 4 2 3 2" xfId="43502" xr:uid="{00000000-0005-0000-0000-000093090000}"/>
    <cellStyle name="SAPBEXresDataEmph 4 2 4" xfId="21454" xr:uid="{00000000-0005-0000-0000-000093090000}"/>
    <cellStyle name="SAPBEXresDataEmph 4 2 5" xfId="39833" xr:uid="{00000000-0005-0000-0000-000093090000}"/>
    <cellStyle name="SAPBEXresDataEmph 4 3" xfId="23070" xr:uid="{00000000-0005-0000-0000-000093090000}"/>
    <cellStyle name="SAPBEXresDataEmph 4 3 2" xfId="41439" xr:uid="{00000000-0005-0000-0000-000093090000}"/>
    <cellStyle name="SAPBEXresDataEmph 4 4" xfId="17630" xr:uid="{00000000-0005-0000-0000-000093090000}"/>
    <cellStyle name="SAPBEXresDataEmph 4 5" xfId="36072" xr:uid="{00000000-0005-0000-0000-000093090000}"/>
    <cellStyle name="SAPBEXresDataEmph 5" xfId="3233" xr:uid="{00000000-0005-0000-0000-000094090000}"/>
    <cellStyle name="SAPBEXresDataEmph 5 2" xfId="5435" xr:uid="{00000000-0005-0000-0000-000094090000}"/>
    <cellStyle name="SAPBEXresDataEmph 5 2 2" xfId="16126" xr:uid="{00000000-0005-0000-0000-000094090000}"/>
    <cellStyle name="SAPBEXresDataEmph 5 2 2 2" xfId="34498" xr:uid="{00000000-0005-0000-0000-000094090000}"/>
    <cellStyle name="SAPBEXresDataEmph 5 2 2 3" xfId="52861" xr:uid="{00000000-0005-0000-0000-000094090000}"/>
    <cellStyle name="SAPBEXresDataEmph 5 2 3" xfId="25245" xr:uid="{00000000-0005-0000-0000-000094090000}"/>
    <cellStyle name="SAPBEXresDataEmph 5 2 3 2" xfId="43614" xr:uid="{00000000-0005-0000-0000-000094090000}"/>
    <cellStyle name="SAPBEXresDataEmph 5 2 4" xfId="21566" xr:uid="{00000000-0005-0000-0000-000094090000}"/>
    <cellStyle name="SAPBEXresDataEmph 5 2 5" xfId="39945" xr:uid="{00000000-0005-0000-0000-000094090000}"/>
    <cellStyle name="SAPBEXresDataEmph 5 3" xfId="23174" xr:uid="{00000000-0005-0000-0000-000094090000}"/>
    <cellStyle name="SAPBEXresDataEmph 5 3 2" xfId="41543" xr:uid="{00000000-0005-0000-0000-000094090000}"/>
    <cellStyle name="SAPBEXresDataEmph 5 4" xfId="17756" xr:uid="{00000000-0005-0000-0000-000094090000}"/>
    <cellStyle name="SAPBEXresDataEmph 5 5" xfId="36176" xr:uid="{00000000-0005-0000-0000-000094090000}"/>
    <cellStyle name="SAPBEXresDataEmph 6" xfId="4112" xr:uid="{00000000-0005-0000-0000-000090090000}"/>
    <cellStyle name="SAPBEXresDataEmph 6 2" xfId="14866" xr:uid="{00000000-0005-0000-0000-000090090000}"/>
    <cellStyle name="SAPBEXresDataEmph 6 2 2" xfId="33272" xr:uid="{00000000-0005-0000-0000-000090090000}"/>
    <cellStyle name="SAPBEXresDataEmph 6 2 3" xfId="51635" xr:uid="{00000000-0005-0000-0000-000090090000}"/>
    <cellStyle name="SAPBEXresDataEmph 6 3" xfId="23997" xr:uid="{00000000-0005-0000-0000-000090090000}"/>
    <cellStyle name="SAPBEXresDataEmph 6 3 2" xfId="42366" xr:uid="{00000000-0005-0000-0000-000090090000}"/>
    <cellStyle name="SAPBEXresDataEmph 6 4" xfId="20320" xr:uid="{00000000-0005-0000-0000-000090090000}"/>
    <cellStyle name="SAPBEXresDataEmph 6 5" xfId="38719" xr:uid="{00000000-0005-0000-0000-000090090000}"/>
    <cellStyle name="SAPBEXresDataEmph 7" xfId="19160" xr:uid="{00000000-0005-0000-0000-000090090000}"/>
    <cellStyle name="SAPBEXresDataEmph 7 2" xfId="37568" xr:uid="{00000000-0005-0000-0000-000090090000}"/>
    <cellStyle name="SAPBEXresDataEmph 8" xfId="8568" xr:uid="{00000000-0005-0000-0000-000090090000}"/>
    <cellStyle name="SAPBEXresDataEmph 9" xfId="8771" xr:uid="{00000000-0005-0000-0000-000090090000}"/>
    <cellStyle name="SAPBEXresItem" xfId="759" xr:uid="{00000000-0005-0000-0000-000095090000}"/>
    <cellStyle name="SAPBEXresItem 2" xfId="1159" xr:uid="{00000000-0005-0000-0000-000096090000}"/>
    <cellStyle name="SAPBEXresItem 2 2" xfId="4258" xr:uid="{00000000-0005-0000-0000-000096090000}"/>
    <cellStyle name="SAPBEXresItem 2 2 2" xfId="15003" xr:uid="{00000000-0005-0000-0000-000096090000}"/>
    <cellStyle name="SAPBEXresItem 2 2 2 2" xfId="33407" xr:uid="{00000000-0005-0000-0000-000096090000}"/>
    <cellStyle name="SAPBEXresItem 2 2 2 3" xfId="51770" xr:uid="{00000000-0005-0000-0000-000096090000}"/>
    <cellStyle name="SAPBEXresItem 2 2 3" xfId="24136" xr:uid="{00000000-0005-0000-0000-000096090000}"/>
    <cellStyle name="SAPBEXresItem 2 2 3 2" xfId="42505" xr:uid="{00000000-0005-0000-0000-000096090000}"/>
    <cellStyle name="SAPBEXresItem 2 2 4" xfId="20456" xr:uid="{00000000-0005-0000-0000-000096090000}"/>
    <cellStyle name="SAPBEXresItem 2 2 5" xfId="38854" xr:uid="{00000000-0005-0000-0000-000096090000}"/>
    <cellStyle name="SAPBEXresItem 2 3" xfId="19414" xr:uid="{00000000-0005-0000-0000-000096090000}"/>
    <cellStyle name="SAPBEXresItem 2 3 2" xfId="37820" xr:uid="{00000000-0005-0000-0000-000096090000}"/>
    <cellStyle name="SAPBEXresItem 2 4" xfId="8570" xr:uid="{00000000-0005-0000-0000-000096090000}"/>
    <cellStyle name="SAPBEXresItem 2 5" xfId="11692" xr:uid="{00000000-0005-0000-0000-000096090000}"/>
    <cellStyle name="SAPBEXresItem 3" xfId="2957" xr:uid="{00000000-0005-0000-0000-000097090000}"/>
    <cellStyle name="SAPBEXresItem 3 2" xfId="5221" xr:uid="{00000000-0005-0000-0000-000097090000}"/>
    <cellStyle name="SAPBEXresItem 3 2 2" xfId="15913" xr:uid="{00000000-0005-0000-0000-000097090000}"/>
    <cellStyle name="SAPBEXresItem 3 2 2 2" xfId="34287" xr:uid="{00000000-0005-0000-0000-000097090000}"/>
    <cellStyle name="SAPBEXresItem 3 2 2 3" xfId="52650" xr:uid="{00000000-0005-0000-0000-000097090000}"/>
    <cellStyle name="SAPBEXresItem 3 2 3" xfId="25034" xr:uid="{00000000-0005-0000-0000-000097090000}"/>
    <cellStyle name="SAPBEXresItem 3 2 3 2" xfId="43403" xr:uid="{00000000-0005-0000-0000-000097090000}"/>
    <cellStyle name="SAPBEXresItem 3 2 4" xfId="21355" xr:uid="{00000000-0005-0000-0000-000097090000}"/>
    <cellStyle name="SAPBEXresItem 3 2 5" xfId="39734" xr:uid="{00000000-0005-0000-0000-000097090000}"/>
    <cellStyle name="SAPBEXresItem 3 3" xfId="22974" xr:uid="{00000000-0005-0000-0000-000097090000}"/>
    <cellStyle name="SAPBEXresItem 3 3 2" xfId="41343" xr:uid="{00000000-0005-0000-0000-000097090000}"/>
    <cellStyle name="SAPBEXresItem 3 4" xfId="17532" xr:uid="{00000000-0005-0000-0000-000097090000}"/>
    <cellStyle name="SAPBEXresItem 3 5" xfId="35976" xr:uid="{00000000-0005-0000-0000-000097090000}"/>
    <cellStyle name="SAPBEXresItem 4" xfId="3069" xr:uid="{00000000-0005-0000-0000-000098090000}"/>
    <cellStyle name="SAPBEXresItem 4 2" xfId="5321" xr:uid="{00000000-0005-0000-0000-000098090000}"/>
    <cellStyle name="SAPBEXresItem 4 2 2" xfId="16013" xr:uid="{00000000-0005-0000-0000-000098090000}"/>
    <cellStyle name="SAPBEXresItem 4 2 2 2" xfId="34387" xr:uid="{00000000-0005-0000-0000-000098090000}"/>
    <cellStyle name="SAPBEXresItem 4 2 2 3" xfId="52750" xr:uid="{00000000-0005-0000-0000-000098090000}"/>
    <cellStyle name="SAPBEXresItem 4 2 3" xfId="25134" xr:uid="{00000000-0005-0000-0000-000098090000}"/>
    <cellStyle name="SAPBEXresItem 4 2 3 2" xfId="43503" xr:uid="{00000000-0005-0000-0000-000098090000}"/>
    <cellStyle name="SAPBEXresItem 4 2 4" xfId="21455" xr:uid="{00000000-0005-0000-0000-000098090000}"/>
    <cellStyle name="SAPBEXresItem 4 2 5" xfId="39834" xr:uid="{00000000-0005-0000-0000-000098090000}"/>
    <cellStyle name="SAPBEXresItem 4 3" xfId="23071" xr:uid="{00000000-0005-0000-0000-000098090000}"/>
    <cellStyle name="SAPBEXresItem 4 3 2" xfId="41440" xr:uid="{00000000-0005-0000-0000-000098090000}"/>
    <cellStyle name="SAPBEXresItem 4 4" xfId="17631" xr:uid="{00000000-0005-0000-0000-000098090000}"/>
    <cellStyle name="SAPBEXresItem 4 5" xfId="36073" xr:uid="{00000000-0005-0000-0000-000098090000}"/>
    <cellStyle name="SAPBEXresItem 5" xfId="3232" xr:uid="{00000000-0005-0000-0000-000099090000}"/>
    <cellStyle name="SAPBEXresItem 5 2" xfId="5434" xr:uid="{00000000-0005-0000-0000-000099090000}"/>
    <cellStyle name="SAPBEXresItem 5 2 2" xfId="16125" xr:uid="{00000000-0005-0000-0000-000099090000}"/>
    <cellStyle name="SAPBEXresItem 5 2 2 2" xfId="34497" xr:uid="{00000000-0005-0000-0000-000099090000}"/>
    <cellStyle name="SAPBEXresItem 5 2 2 3" xfId="52860" xr:uid="{00000000-0005-0000-0000-000099090000}"/>
    <cellStyle name="SAPBEXresItem 5 2 3" xfId="25244" xr:uid="{00000000-0005-0000-0000-000099090000}"/>
    <cellStyle name="SAPBEXresItem 5 2 3 2" xfId="43613" xr:uid="{00000000-0005-0000-0000-000099090000}"/>
    <cellStyle name="SAPBEXresItem 5 2 4" xfId="21565" xr:uid="{00000000-0005-0000-0000-000099090000}"/>
    <cellStyle name="SAPBEXresItem 5 2 5" xfId="39944" xr:uid="{00000000-0005-0000-0000-000099090000}"/>
    <cellStyle name="SAPBEXresItem 5 3" xfId="23173" xr:uid="{00000000-0005-0000-0000-000099090000}"/>
    <cellStyle name="SAPBEXresItem 5 3 2" xfId="41542" xr:uid="{00000000-0005-0000-0000-000099090000}"/>
    <cellStyle name="SAPBEXresItem 5 4" xfId="17755" xr:uid="{00000000-0005-0000-0000-000099090000}"/>
    <cellStyle name="SAPBEXresItem 5 5" xfId="36175" xr:uid="{00000000-0005-0000-0000-000099090000}"/>
    <cellStyle name="SAPBEXresItem 6" xfId="4113" xr:uid="{00000000-0005-0000-0000-000095090000}"/>
    <cellStyle name="SAPBEXresItem 6 2" xfId="14867" xr:uid="{00000000-0005-0000-0000-000095090000}"/>
    <cellStyle name="SAPBEXresItem 6 2 2" xfId="33273" xr:uid="{00000000-0005-0000-0000-000095090000}"/>
    <cellStyle name="SAPBEXresItem 6 2 3" xfId="51636" xr:uid="{00000000-0005-0000-0000-000095090000}"/>
    <cellStyle name="SAPBEXresItem 6 3" xfId="23998" xr:uid="{00000000-0005-0000-0000-000095090000}"/>
    <cellStyle name="SAPBEXresItem 6 3 2" xfId="42367" xr:uid="{00000000-0005-0000-0000-000095090000}"/>
    <cellStyle name="SAPBEXresItem 6 4" xfId="20321" xr:uid="{00000000-0005-0000-0000-000095090000}"/>
    <cellStyle name="SAPBEXresItem 6 5" xfId="38720" xr:uid="{00000000-0005-0000-0000-000095090000}"/>
    <cellStyle name="SAPBEXresItem 7" xfId="19247" xr:uid="{00000000-0005-0000-0000-000095090000}"/>
    <cellStyle name="SAPBEXresItem 7 2" xfId="37654" xr:uid="{00000000-0005-0000-0000-000095090000}"/>
    <cellStyle name="SAPBEXresItem 8" xfId="7420" xr:uid="{00000000-0005-0000-0000-000095090000}"/>
    <cellStyle name="SAPBEXresItem 9" xfId="7119" xr:uid="{00000000-0005-0000-0000-000095090000}"/>
    <cellStyle name="SAPBEXresItemX" xfId="760" xr:uid="{00000000-0005-0000-0000-00009A090000}"/>
    <cellStyle name="SAPBEXresItemX 10" xfId="8079" xr:uid="{00000000-0005-0000-0000-00009A090000}"/>
    <cellStyle name="SAPBEXresItemX 11" xfId="11329" xr:uid="{00000000-0005-0000-0000-00009A090000}"/>
    <cellStyle name="SAPBEXresItemX 2" xfId="1160" xr:uid="{00000000-0005-0000-0000-00009B090000}"/>
    <cellStyle name="SAPBEXresItemX 2 2" xfId="4259" xr:uid="{00000000-0005-0000-0000-00009B090000}"/>
    <cellStyle name="SAPBEXresItemX 2 2 2" xfId="15004" xr:uid="{00000000-0005-0000-0000-00009B090000}"/>
    <cellStyle name="SAPBEXresItemX 2 2 2 2" xfId="33408" xr:uid="{00000000-0005-0000-0000-00009B090000}"/>
    <cellStyle name="SAPBEXresItemX 2 2 2 3" xfId="51771" xr:uid="{00000000-0005-0000-0000-00009B090000}"/>
    <cellStyle name="SAPBEXresItemX 2 2 3" xfId="24137" xr:uid="{00000000-0005-0000-0000-00009B090000}"/>
    <cellStyle name="SAPBEXresItemX 2 2 3 2" xfId="42506" xr:uid="{00000000-0005-0000-0000-00009B090000}"/>
    <cellStyle name="SAPBEXresItemX 2 2 4" xfId="20457" xr:uid="{00000000-0005-0000-0000-00009B090000}"/>
    <cellStyle name="SAPBEXresItemX 2 2 5" xfId="38855" xr:uid="{00000000-0005-0000-0000-00009B090000}"/>
    <cellStyle name="SAPBEXresItemX 2 3" xfId="19387" xr:uid="{00000000-0005-0000-0000-00009B090000}"/>
    <cellStyle name="SAPBEXresItemX 2 3 2" xfId="37794" xr:uid="{00000000-0005-0000-0000-00009B090000}"/>
    <cellStyle name="SAPBEXresItemX 2 4" xfId="8768" xr:uid="{00000000-0005-0000-0000-00009B090000}"/>
    <cellStyle name="SAPBEXresItemX 2 5" xfId="8776" xr:uid="{00000000-0005-0000-0000-00009B090000}"/>
    <cellStyle name="SAPBEXresItemX 3" xfId="2196" xr:uid="{00000000-0005-0000-0000-00009C090000}"/>
    <cellStyle name="SAPBEXresItemX 3 2" xfId="4931" xr:uid="{00000000-0005-0000-0000-00009C090000}"/>
    <cellStyle name="SAPBEXresItemX 3 2 2" xfId="15651" xr:uid="{00000000-0005-0000-0000-00009C090000}"/>
    <cellStyle name="SAPBEXresItemX 3 2 2 2" xfId="34040" xr:uid="{00000000-0005-0000-0000-00009C090000}"/>
    <cellStyle name="SAPBEXresItemX 3 2 2 3" xfId="52403" xr:uid="{00000000-0005-0000-0000-00009C090000}"/>
    <cellStyle name="SAPBEXresItemX 3 2 3" xfId="24773" xr:uid="{00000000-0005-0000-0000-00009C090000}"/>
    <cellStyle name="SAPBEXresItemX 3 2 3 2" xfId="43142" xr:uid="{00000000-0005-0000-0000-00009C090000}"/>
    <cellStyle name="SAPBEXresItemX 3 2 4" xfId="21099" xr:uid="{00000000-0005-0000-0000-00009C090000}"/>
    <cellStyle name="SAPBEXresItemX 3 2 5" xfId="39487" xr:uid="{00000000-0005-0000-0000-00009C090000}"/>
    <cellStyle name="SAPBEXresItemX 3 3" xfId="19415" xr:uid="{00000000-0005-0000-0000-00009C090000}"/>
    <cellStyle name="SAPBEXresItemX 3 3 2" xfId="37821" xr:uid="{00000000-0005-0000-0000-00009C090000}"/>
    <cellStyle name="SAPBEXresItemX 3 4" xfId="8692" xr:uid="{00000000-0005-0000-0000-00009C090000}"/>
    <cellStyle name="SAPBEXresItemX 3 5" xfId="8518" xr:uid="{00000000-0005-0000-0000-00009C090000}"/>
    <cellStyle name="SAPBEXresItemX 4" xfId="2641" xr:uid="{00000000-0005-0000-0000-00009D090000}"/>
    <cellStyle name="SAPBEXresItemX 4 2" xfId="5094" xr:uid="{00000000-0005-0000-0000-00009D090000}"/>
    <cellStyle name="SAPBEXresItemX 4 2 2" xfId="15804" xr:uid="{00000000-0005-0000-0000-00009D090000}"/>
    <cellStyle name="SAPBEXresItemX 4 2 2 2" xfId="34189" xr:uid="{00000000-0005-0000-0000-00009D090000}"/>
    <cellStyle name="SAPBEXresItemX 4 2 2 3" xfId="52552" xr:uid="{00000000-0005-0000-0000-00009D090000}"/>
    <cellStyle name="SAPBEXresItemX 4 2 3" xfId="24925" xr:uid="{00000000-0005-0000-0000-00009D090000}"/>
    <cellStyle name="SAPBEXresItemX 4 2 3 2" xfId="43294" xr:uid="{00000000-0005-0000-0000-00009D090000}"/>
    <cellStyle name="SAPBEXresItemX 4 2 4" xfId="21251" xr:uid="{00000000-0005-0000-0000-00009D090000}"/>
    <cellStyle name="SAPBEXresItemX 4 2 5" xfId="39636" xr:uid="{00000000-0005-0000-0000-00009D090000}"/>
    <cellStyle name="SAPBEXresItemX 4 3" xfId="19314" xr:uid="{00000000-0005-0000-0000-00009D090000}"/>
    <cellStyle name="SAPBEXresItemX 4 3 2" xfId="37721" xr:uid="{00000000-0005-0000-0000-00009D090000}"/>
    <cellStyle name="SAPBEXresItemX 4 4" xfId="11489" xr:uid="{00000000-0005-0000-0000-00009D090000}"/>
    <cellStyle name="SAPBEXresItemX 4 5" xfId="35883" xr:uid="{00000000-0005-0000-0000-00009D090000}"/>
    <cellStyle name="SAPBEXresItemX 5" xfId="2956" xr:uid="{00000000-0005-0000-0000-00009E090000}"/>
    <cellStyle name="SAPBEXresItemX 5 2" xfId="5220" xr:uid="{00000000-0005-0000-0000-00009E090000}"/>
    <cellStyle name="SAPBEXresItemX 5 2 2" xfId="15912" xr:uid="{00000000-0005-0000-0000-00009E090000}"/>
    <cellStyle name="SAPBEXresItemX 5 2 2 2" xfId="34286" xr:uid="{00000000-0005-0000-0000-00009E090000}"/>
    <cellStyle name="SAPBEXresItemX 5 2 2 3" xfId="52649" xr:uid="{00000000-0005-0000-0000-00009E090000}"/>
    <cellStyle name="SAPBEXresItemX 5 2 3" xfId="25033" xr:uid="{00000000-0005-0000-0000-00009E090000}"/>
    <cellStyle name="SAPBEXresItemX 5 2 3 2" xfId="43402" xr:uid="{00000000-0005-0000-0000-00009E090000}"/>
    <cellStyle name="SAPBEXresItemX 5 2 4" xfId="21354" xr:uid="{00000000-0005-0000-0000-00009E090000}"/>
    <cellStyle name="SAPBEXresItemX 5 2 5" xfId="39733" xr:uid="{00000000-0005-0000-0000-00009E090000}"/>
    <cellStyle name="SAPBEXresItemX 5 3" xfId="22973" xr:uid="{00000000-0005-0000-0000-00009E090000}"/>
    <cellStyle name="SAPBEXresItemX 5 3 2" xfId="41342" xr:uid="{00000000-0005-0000-0000-00009E090000}"/>
    <cellStyle name="SAPBEXresItemX 5 4" xfId="17531" xr:uid="{00000000-0005-0000-0000-00009E090000}"/>
    <cellStyle name="SAPBEXresItemX 5 5" xfId="35975" xr:uid="{00000000-0005-0000-0000-00009E090000}"/>
    <cellStyle name="SAPBEXresItemX 6" xfId="3070" xr:uid="{00000000-0005-0000-0000-00009F090000}"/>
    <cellStyle name="SAPBEXresItemX 6 2" xfId="5322" xr:uid="{00000000-0005-0000-0000-00009F090000}"/>
    <cellStyle name="SAPBEXresItemX 6 2 2" xfId="16014" xr:uid="{00000000-0005-0000-0000-00009F090000}"/>
    <cellStyle name="SAPBEXresItemX 6 2 2 2" xfId="34388" xr:uid="{00000000-0005-0000-0000-00009F090000}"/>
    <cellStyle name="SAPBEXresItemX 6 2 2 3" xfId="52751" xr:uid="{00000000-0005-0000-0000-00009F090000}"/>
    <cellStyle name="SAPBEXresItemX 6 2 3" xfId="25135" xr:uid="{00000000-0005-0000-0000-00009F090000}"/>
    <cellStyle name="SAPBEXresItemX 6 2 3 2" xfId="43504" xr:uid="{00000000-0005-0000-0000-00009F090000}"/>
    <cellStyle name="SAPBEXresItemX 6 2 4" xfId="21456" xr:uid="{00000000-0005-0000-0000-00009F090000}"/>
    <cellStyle name="SAPBEXresItemX 6 2 5" xfId="39835" xr:uid="{00000000-0005-0000-0000-00009F090000}"/>
    <cellStyle name="SAPBEXresItemX 6 3" xfId="23072" xr:uid="{00000000-0005-0000-0000-00009F090000}"/>
    <cellStyle name="SAPBEXresItemX 6 3 2" xfId="41441" xr:uid="{00000000-0005-0000-0000-00009F090000}"/>
    <cellStyle name="SAPBEXresItemX 6 4" xfId="17632" xr:uid="{00000000-0005-0000-0000-00009F090000}"/>
    <cellStyle name="SAPBEXresItemX 6 5" xfId="36074" xr:uid="{00000000-0005-0000-0000-00009F090000}"/>
    <cellStyle name="SAPBEXresItemX 7" xfId="3231" xr:uid="{00000000-0005-0000-0000-0000A0090000}"/>
    <cellStyle name="SAPBEXresItemX 7 2" xfId="5433" xr:uid="{00000000-0005-0000-0000-0000A0090000}"/>
    <cellStyle name="SAPBEXresItemX 7 2 2" xfId="16124" xr:uid="{00000000-0005-0000-0000-0000A0090000}"/>
    <cellStyle name="SAPBEXresItemX 7 2 2 2" xfId="34496" xr:uid="{00000000-0005-0000-0000-0000A0090000}"/>
    <cellStyle name="SAPBEXresItemX 7 2 2 3" xfId="52859" xr:uid="{00000000-0005-0000-0000-0000A0090000}"/>
    <cellStyle name="SAPBEXresItemX 7 2 3" xfId="25243" xr:uid="{00000000-0005-0000-0000-0000A0090000}"/>
    <cellStyle name="SAPBEXresItemX 7 2 3 2" xfId="43612" xr:uid="{00000000-0005-0000-0000-0000A0090000}"/>
    <cellStyle name="SAPBEXresItemX 7 2 4" xfId="21564" xr:uid="{00000000-0005-0000-0000-0000A0090000}"/>
    <cellStyle name="SAPBEXresItemX 7 2 5" xfId="39943" xr:uid="{00000000-0005-0000-0000-0000A0090000}"/>
    <cellStyle name="SAPBEXresItemX 7 3" xfId="23172" xr:uid="{00000000-0005-0000-0000-0000A0090000}"/>
    <cellStyle name="SAPBEXresItemX 7 3 2" xfId="41541" xr:uid="{00000000-0005-0000-0000-0000A0090000}"/>
    <cellStyle name="SAPBEXresItemX 7 4" xfId="17754" xr:uid="{00000000-0005-0000-0000-0000A0090000}"/>
    <cellStyle name="SAPBEXresItemX 7 5" xfId="36174" xr:uid="{00000000-0005-0000-0000-0000A0090000}"/>
    <cellStyle name="SAPBEXresItemX 8" xfId="4114" xr:uid="{00000000-0005-0000-0000-00009A090000}"/>
    <cellStyle name="SAPBEXresItemX 8 2" xfId="14868" xr:uid="{00000000-0005-0000-0000-00009A090000}"/>
    <cellStyle name="SAPBEXresItemX 8 2 2" xfId="33274" xr:uid="{00000000-0005-0000-0000-00009A090000}"/>
    <cellStyle name="SAPBEXresItemX 8 2 3" xfId="51637" xr:uid="{00000000-0005-0000-0000-00009A090000}"/>
    <cellStyle name="SAPBEXresItemX 8 3" xfId="23999" xr:uid="{00000000-0005-0000-0000-00009A090000}"/>
    <cellStyle name="SAPBEXresItemX 8 3 2" xfId="42368" xr:uid="{00000000-0005-0000-0000-00009A090000}"/>
    <cellStyle name="SAPBEXresItemX 8 4" xfId="20322" xr:uid="{00000000-0005-0000-0000-00009A090000}"/>
    <cellStyle name="SAPBEXresItemX 8 5" xfId="38721" xr:uid="{00000000-0005-0000-0000-00009A090000}"/>
    <cellStyle name="SAPBEXresItemX 9" xfId="19540" xr:uid="{00000000-0005-0000-0000-00009A090000}"/>
    <cellStyle name="SAPBEXresItemX 9 2" xfId="37946" xr:uid="{00000000-0005-0000-0000-00009A090000}"/>
    <cellStyle name="SAPBEXstdData" xfId="761" xr:uid="{00000000-0005-0000-0000-0000A1090000}"/>
    <cellStyle name="SAPBEXstdData 2" xfId="1161" xr:uid="{00000000-0005-0000-0000-0000A2090000}"/>
    <cellStyle name="SAPBEXstdData 2 2" xfId="4260" xr:uid="{00000000-0005-0000-0000-0000A2090000}"/>
    <cellStyle name="SAPBEXstdData 2 2 2" xfId="15005" xr:uid="{00000000-0005-0000-0000-0000A2090000}"/>
    <cellStyle name="SAPBEXstdData 2 2 2 2" xfId="33409" xr:uid="{00000000-0005-0000-0000-0000A2090000}"/>
    <cellStyle name="SAPBEXstdData 2 2 2 3" xfId="51772" xr:uid="{00000000-0005-0000-0000-0000A2090000}"/>
    <cellStyle name="SAPBEXstdData 2 2 3" xfId="24138" xr:uid="{00000000-0005-0000-0000-0000A2090000}"/>
    <cellStyle name="SAPBEXstdData 2 2 3 2" xfId="42507" xr:uid="{00000000-0005-0000-0000-0000A2090000}"/>
    <cellStyle name="SAPBEXstdData 2 2 4" xfId="20458" xr:uid="{00000000-0005-0000-0000-0000A2090000}"/>
    <cellStyle name="SAPBEXstdData 2 2 5" xfId="38856" xr:uid="{00000000-0005-0000-0000-0000A2090000}"/>
    <cellStyle name="SAPBEXstdData 2 3" xfId="19161" xr:uid="{00000000-0005-0000-0000-0000A2090000}"/>
    <cellStyle name="SAPBEXstdData 2 3 2" xfId="37569" xr:uid="{00000000-0005-0000-0000-0000A2090000}"/>
    <cellStyle name="SAPBEXstdData 2 4" xfId="8937" xr:uid="{00000000-0005-0000-0000-0000A2090000}"/>
    <cellStyle name="SAPBEXstdData 2 5" xfId="7359" xr:uid="{00000000-0005-0000-0000-0000A2090000}"/>
    <cellStyle name="SAPBEXstdData 3" xfId="2955" xr:uid="{00000000-0005-0000-0000-0000A3090000}"/>
    <cellStyle name="SAPBEXstdData 3 2" xfId="5219" xr:uid="{00000000-0005-0000-0000-0000A3090000}"/>
    <cellStyle name="SAPBEXstdData 3 2 2" xfId="15911" xr:uid="{00000000-0005-0000-0000-0000A3090000}"/>
    <cellStyle name="SAPBEXstdData 3 2 2 2" xfId="34285" xr:uid="{00000000-0005-0000-0000-0000A3090000}"/>
    <cellStyle name="SAPBEXstdData 3 2 2 3" xfId="52648" xr:uid="{00000000-0005-0000-0000-0000A3090000}"/>
    <cellStyle name="SAPBEXstdData 3 2 3" xfId="25032" xr:uid="{00000000-0005-0000-0000-0000A3090000}"/>
    <cellStyle name="SAPBEXstdData 3 2 3 2" xfId="43401" xr:uid="{00000000-0005-0000-0000-0000A3090000}"/>
    <cellStyle name="SAPBEXstdData 3 2 4" xfId="21353" xr:uid="{00000000-0005-0000-0000-0000A3090000}"/>
    <cellStyle name="SAPBEXstdData 3 2 5" xfId="39732" xr:uid="{00000000-0005-0000-0000-0000A3090000}"/>
    <cellStyle name="SAPBEXstdData 3 3" xfId="22972" xr:uid="{00000000-0005-0000-0000-0000A3090000}"/>
    <cellStyle name="SAPBEXstdData 3 3 2" xfId="41341" xr:uid="{00000000-0005-0000-0000-0000A3090000}"/>
    <cellStyle name="SAPBEXstdData 3 4" xfId="17530" xr:uid="{00000000-0005-0000-0000-0000A3090000}"/>
    <cellStyle name="SAPBEXstdData 3 5" xfId="35974" xr:uid="{00000000-0005-0000-0000-0000A3090000}"/>
    <cellStyle name="SAPBEXstdData 4" xfId="3071" xr:uid="{00000000-0005-0000-0000-0000A4090000}"/>
    <cellStyle name="SAPBEXstdData 4 2" xfId="5323" xr:uid="{00000000-0005-0000-0000-0000A4090000}"/>
    <cellStyle name="SAPBEXstdData 4 2 2" xfId="16015" xr:uid="{00000000-0005-0000-0000-0000A4090000}"/>
    <cellStyle name="SAPBEXstdData 4 2 2 2" xfId="34389" xr:uid="{00000000-0005-0000-0000-0000A4090000}"/>
    <cellStyle name="SAPBEXstdData 4 2 2 3" xfId="52752" xr:uid="{00000000-0005-0000-0000-0000A4090000}"/>
    <cellStyle name="SAPBEXstdData 4 2 3" xfId="25136" xr:uid="{00000000-0005-0000-0000-0000A4090000}"/>
    <cellStyle name="SAPBEXstdData 4 2 3 2" xfId="43505" xr:uid="{00000000-0005-0000-0000-0000A4090000}"/>
    <cellStyle name="SAPBEXstdData 4 2 4" xfId="21457" xr:uid="{00000000-0005-0000-0000-0000A4090000}"/>
    <cellStyle name="SAPBEXstdData 4 2 5" xfId="39836" xr:uid="{00000000-0005-0000-0000-0000A4090000}"/>
    <cellStyle name="SAPBEXstdData 4 3" xfId="23073" xr:uid="{00000000-0005-0000-0000-0000A4090000}"/>
    <cellStyle name="SAPBEXstdData 4 3 2" xfId="41442" xr:uid="{00000000-0005-0000-0000-0000A4090000}"/>
    <cellStyle name="SAPBEXstdData 4 4" xfId="17633" xr:uid="{00000000-0005-0000-0000-0000A4090000}"/>
    <cellStyle name="SAPBEXstdData 4 5" xfId="36075" xr:uid="{00000000-0005-0000-0000-0000A4090000}"/>
    <cellStyle name="SAPBEXstdData 5" xfId="3230" xr:uid="{00000000-0005-0000-0000-0000A5090000}"/>
    <cellStyle name="SAPBEXstdData 5 2" xfId="5432" xr:uid="{00000000-0005-0000-0000-0000A5090000}"/>
    <cellStyle name="SAPBEXstdData 5 2 2" xfId="16123" xr:uid="{00000000-0005-0000-0000-0000A5090000}"/>
    <cellStyle name="SAPBEXstdData 5 2 2 2" xfId="34495" xr:uid="{00000000-0005-0000-0000-0000A5090000}"/>
    <cellStyle name="SAPBEXstdData 5 2 2 3" xfId="52858" xr:uid="{00000000-0005-0000-0000-0000A5090000}"/>
    <cellStyle name="SAPBEXstdData 5 2 3" xfId="25242" xr:uid="{00000000-0005-0000-0000-0000A5090000}"/>
    <cellStyle name="SAPBEXstdData 5 2 3 2" xfId="43611" xr:uid="{00000000-0005-0000-0000-0000A5090000}"/>
    <cellStyle name="SAPBEXstdData 5 2 4" xfId="21563" xr:uid="{00000000-0005-0000-0000-0000A5090000}"/>
    <cellStyle name="SAPBEXstdData 5 2 5" xfId="39942" xr:uid="{00000000-0005-0000-0000-0000A5090000}"/>
    <cellStyle name="SAPBEXstdData 5 3" xfId="23171" xr:uid="{00000000-0005-0000-0000-0000A5090000}"/>
    <cellStyle name="SAPBEXstdData 5 3 2" xfId="41540" xr:uid="{00000000-0005-0000-0000-0000A5090000}"/>
    <cellStyle name="SAPBEXstdData 5 4" xfId="17753" xr:uid="{00000000-0005-0000-0000-0000A5090000}"/>
    <cellStyle name="SAPBEXstdData 5 5" xfId="36173" xr:uid="{00000000-0005-0000-0000-0000A5090000}"/>
    <cellStyle name="SAPBEXstdData 6" xfId="4115" xr:uid="{00000000-0005-0000-0000-0000A1090000}"/>
    <cellStyle name="SAPBEXstdData 6 2" xfId="14869" xr:uid="{00000000-0005-0000-0000-0000A1090000}"/>
    <cellStyle name="SAPBEXstdData 6 2 2" xfId="33275" xr:uid="{00000000-0005-0000-0000-0000A1090000}"/>
    <cellStyle name="SAPBEXstdData 6 2 3" xfId="51638" xr:uid="{00000000-0005-0000-0000-0000A1090000}"/>
    <cellStyle name="SAPBEXstdData 6 3" xfId="24000" xr:uid="{00000000-0005-0000-0000-0000A1090000}"/>
    <cellStyle name="SAPBEXstdData 6 3 2" xfId="42369" xr:uid="{00000000-0005-0000-0000-0000A1090000}"/>
    <cellStyle name="SAPBEXstdData 6 4" xfId="20323" xr:uid="{00000000-0005-0000-0000-0000A1090000}"/>
    <cellStyle name="SAPBEXstdData 6 5" xfId="38722" xr:uid="{00000000-0005-0000-0000-0000A1090000}"/>
    <cellStyle name="SAPBEXstdData 7" xfId="19506" xr:uid="{00000000-0005-0000-0000-0000A1090000}"/>
    <cellStyle name="SAPBEXstdData 7 2" xfId="37912" xr:uid="{00000000-0005-0000-0000-0000A1090000}"/>
    <cellStyle name="SAPBEXstdData 8" xfId="8170" xr:uid="{00000000-0005-0000-0000-0000A1090000}"/>
    <cellStyle name="SAPBEXstdData 9" xfId="11088" xr:uid="{00000000-0005-0000-0000-0000A1090000}"/>
    <cellStyle name="SAPBEXstdDataEmph" xfId="762" xr:uid="{00000000-0005-0000-0000-0000A6090000}"/>
    <cellStyle name="SAPBEXstdDataEmph 2" xfId="1162" xr:uid="{00000000-0005-0000-0000-0000A7090000}"/>
    <cellStyle name="SAPBEXstdDataEmph 2 2" xfId="4261" xr:uid="{00000000-0005-0000-0000-0000A7090000}"/>
    <cellStyle name="SAPBEXstdDataEmph 2 2 2" xfId="15006" xr:uid="{00000000-0005-0000-0000-0000A7090000}"/>
    <cellStyle name="SAPBEXstdDataEmph 2 2 2 2" xfId="33410" xr:uid="{00000000-0005-0000-0000-0000A7090000}"/>
    <cellStyle name="SAPBEXstdDataEmph 2 2 2 3" xfId="51773" xr:uid="{00000000-0005-0000-0000-0000A7090000}"/>
    <cellStyle name="SAPBEXstdDataEmph 2 2 3" xfId="24139" xr:uid="{00000000-0005-0000-0000-0000A7090000}"/>
    <cellStyle name="SAPBEXstdDataEmph 2 2 3 2" xfId="42508" xr:uid="{00000000-0005-0000-0000-0000A7090000}"/>
    <cellStyle name="SAPBEXstdDataEmph 2 2 4" xfId="20459" xr:uid="{00000000-0005-0000-0000-0000A7090000}"/>
    <cellStyle name="SAPBEXstdDataEmph 2 2 5" xfId="38857" xr:uid="{00000000-0005-0000-0000-0000A7090000}"/>
    <cellStyle name="SAPBEXstdDataEmph 2 3" xfId="19142" xr:uid="{00000000-0005-0000-0000-0000A7090000}"/>
    <cellStyle name="SAPBEXstdDataEmph 2 3 2" xfId="37550" xr:uid="{00000000-0005-0000-0000-0000A7090000}"/>
    <cellStyle name="SAPBEXstdDataEmph 2 4" xfId="11791" xr:uid="{00000000-0005-0000-0000-0000A7090000}"/>
    <cellStyle name="SAPBEXstdDataEmph 2 5" xfId="7149" xr:uid="{00000000-0005-0000-0000-0000A7090000}"/>
    <cellStyle name="SAPBEXstdDataEmph 3" xfId="2954" xr:uid="{00000000-0005-0000-0000-0000A8090000}"/>
    <cellStyle name="SAPBEXstdDataEmph 3 2" xfId="5218" xr:uid="{00000000-0005-0000-0000-0000A8090000}"/>
    <cellStyle name="SAPBEXstdDataEmph 3 2 2" xfId="15910" xr:uid="{00000000-0005-0000-0000-0000A8090000}"/>
    <cellStyle name="SAPBEXstdDataEmph 3 2 2 2" xfId="34284" xr:uid="{00000000-0005-0000-0000-0000A8090000}"/>
    <cellStyle name="SAPBEXstdDataEmph 3 2 2 3" xfId="52647" xr:uid="{00000000-0005-0000-0000-0000A8090000}"/>
    <cellStyle name="SAPBEXstdDataEmph 3 2 3" xfId="25031" xr:uid="{00000000-0005-0000-0000-0000A8090000}"/>
    <cellStyle name="SAPBEXstdDataEmph 3 2 3 2" xfId="43400" xr:uid="{00000000-0005-0000-0000-0000A8090000}"/>
    <cellStyle name="SAPBEXstdDataEmph 3 2 4" xfId="21352" xr:uid="{00000000-0005-0000-0000-0000A8090000}"/>
    <cellStyle name="SAPBEXstdDataEmph 3 2 5" xfId="39731" xr:uid="{00000000-0005-0000-0000-0000A8090000}"/>
    <cellStyle name="SAPBEXstdDataEmph 3 3" xfId="22971" xr:uid="{00000000-0005-0000-0000-0000A8090000}"/>
    <cellStyle name="SAPBEXstdDataEmph 3 3 2" xfId="41340" xr:uid="{00000000-0005-0000-0000-0000A8090000}"/>
    <cellStyle name="SAPBEXstdDataEmph 3 4" xfId="17529" xr:uid="{00000000-0005-0000-0000-0000A8090000}"/>
    <cellStyle name="SAPBEXstdDataEmph 3 5" xfId="35973" xr:uid="{00000000-0005-0000-0000-0000A8090000}"/>
    <cellStyle name="SAPBEXstdDataEmph 4" xfId="3072" xr:uid="{00000000-0005-0000-0000-0000A9090000}"/>
    <cellStyle name="SAPBEXstdDataEmph 4 2" xfId="5324" xr:uid="{00000000-0005-0000-0000-0000A9090000}"/>
    <cellStyle name="SAPBEXstdDataEmph 4 2 2" xfId="16016" xr:uid="{00000000-0005-0000-0000-0000A9090000}"/>
    <cellStyle name="SAPBEXstdDataEmph 4 2 2 2" xfId="34390" xr:uid="{00000000-0005-0000-0000-0000A9090000}"/>
    <cellStyle name="SAPBEXstdDataEmph 4 2 2 3" xfId="52753" xr:uid="{00000000-0005-0000-0000-0000A9090000}"/>
    <cellStyle name="SAPBEXstdDataEmph 4 2 3" xfId="25137" xr:uid="{00000000-0005-0000-0000-0000A9090000}"/>
    <cellStyle name="SAPBEXstdDataEmph 4 2 3 2" xfId="43506" xr:uid="{00000000-0005-0000-0000-0000A9090000}"/>
    <cellStyle name="SAPBEXstdDataEmph 4 2 4" xfId="21458" xr:uid="{00000000-0005-0000-0000-0000A9090000}"/>
    <cellStyle name="SAPBEXstdDataEmph 4 2 5" xfId="39837" xr:uid="{00000000-0005-0000-0000-0000A9090000}"/>
    <cellStyle name="SAPBEXstdDataEmph 4 3" xfId="23074" xr:uid="{00000000-0005-0000-0000-0000A9090000}"/>
    <cellStyle name="SAPBEXstdDataEmph 4 3 2" xfId="41443" xr:uid="{00000000-0005-0000-0000-0000A9090000}"/>
    <cellStyle name="SAPBEXstdDataEmph 4 4" xfId="17634" xr:uid="{00000000-0005-0000-0000-0000A9090000}"/>
    <cellStyle name="SAPBEXstdDataEmph 4 5" xfId="36076" xr:uid="{00000000-0005-0000-0000-0000A9090000}"/>
    <cellStyle name="SAPBEXstdDataEmph 5" xfId="3229" xr:uid="{00000000-0005-0000-0000-0000AA090000}"/>
    <cellStyle name="SAPBEXstdDataEmph 5 2" xfId="5431" xr:uid="{00000000-0005-0000-0000-0000AA090000}"/>
    <cellStyle name="SAPBEXstdDataEmph 5 2 2" xfId="16122" xr:uid="{00000000-0005-0000-0000-0000AA090000}"/>
    <cellStyle name="SAPBEXstdDataEmph 5 2 2 2" xfId="34494" xr:uid="{00000000-0005-0000-0000-0000AA090000}"/>
    <cellStyle name="SAPBEXstdDataEmph 5 2 2 3" xfId="52857" xr:uid="{00000000-0005-0000-0000-0000AA090000}"/>
    <cellStyle name="SAPBEXstdDataEmph 5 2 3" xfId="25241" xr:uid="{00000000-0005-0000-0000-0000AA090000}"/>
    <cellStyle name="SAPBEXstdDataEmph 5 2 3 2" xfId="43610" xr:uid="{00000000-0005-0000-0000-0000AA090000}"/>
    <cellStyle name="SAPBEXstdDataEmph 5 2 4" xfId="21562" xr:uid="{00000000-0005-0000-0000-0000AA090000}"/>
    <cellStyle name="SAPBEXstdDataEmph 5 2 5" xfId="39941" xr:uid="{00000000-0005-0000-0000-0000AA090000}"/>
    <cellStyle name="SAPBEXstdDataEmph 5 3" xfId="23170" xr:uid="{00000000-0005-0000-0000-0000AA090000}"/>
    <cellStyle name="SAPBEXstdDataEmph 5 3 2" xfId="41539" xr:uid="{00000000-0005-0000-0000-0000AA090000}"/>
    <cellStyle name="SAPBEXstdDataEmph 5 4" xfId="17752" xr:uid="{00000000-0005-0000-0000-0000AA090000}"/>
    <cellStyle name="SAPBEXstdDataEmph 5 5" xfId="36172" xr:uid="{00000000-0005-0000-0000-0000AA090000}"/>
    <cellStyle name="SAPBEXstdDataEmph 6" xfId="4116" xr:uid="{00000000-0005-0000-0000-0000A6090000}"/>
    <cellStyle name="SAPBEXstdDataEmph 6 2" xfId="14870" xr:uid="{00000000-0005-0000-0000-0000A6090000}"/>
    <cellStyle name="SAPBEXstdDataEmph 6 2 2" xfId="33276" xr:uid="{00000000-0005-0000-0000-0000A6090000}"/>
    <cellStyle name="SAPBEXstdDataEmph 6 2 3" xfId="51639" xr:uid="{00000000-0005-0000-0000-0000A6090000}"/>
    <cellStyle name="SAPBEXstdDataEmph 6 3" xfId="24001" xr:uid="{00000000-0005-0000-0000-0000A6090000}"/>
    <cellStyle name="SAPBEXstdDataEmph 6 3 2" xfId="42370" xr:uid="{00000000-0005-0000-0000-0000A6090000}"/>
    <cellStyle name="SAPBEXstdDataEmph 6 4" xfId="20324" xr:uid="{00000000-0005-0000-0000-0000A6090000}"/>
    <cellStyle name="SAPBEXstdDataEmph 6 5" xfId="38723" xr:uid="{00000000-0005-0000-0000-0000A6090000}"/>
    <cellStyle name="SAPBEXstdDataEmph 7" xfId="19473" xr:uid="{00000000-0005-0000-0000-0000A6090000}"/>
    <cellStyle name="SAPBEXstdDataEmph 7 2" xfId="37879" xr:uid="{00000000-0005-0000-0000-0000A6090000}"/>
    <cellStyle name="SAPBEXstdDataEmph 8" xfId="8462" xr:uid="{00000000-0005-0000-0000-0000A6090000}"/>
    <cellStyle name="SAPBEXstdDataEmph 9" xfId="7553" xr:uid="{00000000-0005-0000-0000-0000A6090000}"/>
    <cellStyle name="SAPBEXstdItem" xfId="763" xr:uid="{00000000-0005-0000-0000-0000AB090000}"/>
    <cellStyle name="SAPBEXstdItem 2" xfId="1163" xr:uid="{00000000-0005-0000-0000-0000AC090000}"/>
    <cellStyle name="SAPBEXstdItem 2 2" xfId="4262" xr:uid="{00000000-0005-0000-0000-0000AC090000}"/>
    <cellStyle name="SAPBEXstdItem 2 2 2" xfId="15007" xr:uid="{00000000-0005-0000-0000-0000AC090000}"/>
    <cellStyle name="SAPBEXstdItem 2 2 2 2" xfId="33411" xr:uid="{00000000-0005-0000-0000-0000AC090000}"/>
    <cellStyle name="SAPBEXstdItem 2 2 2 3" xfId="51774" xr:uid="{00000000-0005-0000-0000-0000AC090000}"/>
    <cellStyle name="SAPBEXstdItem 2 2 3" xfId="24140" xr:uid="{00000000-0005-0000-0000-0000AC090000}"/>
    <cellStyle name="SAPBEXstdItem 2 2 3 2" xfId="42509" xr:uid="{00000000-0005-0000-0000-0000AC090000}"/>
    <cellStyle name="SAPBEXstdItem 2 2 4" xfId="20460" xr:uid="{00000000-0005-0000-0000-0000AC090000}"/>
    <cellStyle name="SAPBEXstdItem 2 2 5" xfId="38858" xr:uid="{00000000-0005-0000-0000-0000AC090000}"/>
    <cellStyle name="SAPBEXstdItem 2 3" xfId="18546" xr:uid="{00000000-0005-0000-0000-0000AC090000}"/>
    <cellStyle name="SAPBEXstdItem 2 3 2" xfId="36955" xr:uid="{00000000-0005-0000-0000-0000AC090000}"/>
    <cellStyle name="SAPBEXstdItem 2 4" xfId="7126" xr:uid="{00000000-0005-0000-0000-0000AC090000}"/>
    <cellStyle name="SAPBEXstdItem 2 5" xfId="8956" xr:uid="{00000000-0005-0000-0000-0000AC090000}"/>
    <cellStyle name="SAPBEXstdItem 3" xfId="2953" xr:uid="{00000000-0005-0000-0000-0000AD090000}"/>
    <cellStyle name="SAPBEXstdItem 3 2" xfId="5217" xr:uid="{00000000-0005-0000-0000-0000AD090000}"/>
    <cellStyle name="SAPBEXstdItem 3 2 2" xfId="15909" xr:uid="{00000000-0005-0000-0000-0000AD090000}"/>
    <cellStyle name="SAPBEXstdItem 3 2 2 2" xfId="34283" xr:uid="{00000000-0005-0000-0000-0000AD090000}"/>
    <cellStyle name="SAPBEXstdItem 3 2 2 3" xfId="52646" xr:uid="{00000000-0005-0000-0000-0000AD090000}"/>
    <cellStyle name="SAPBEXstdItem 3 2 3" xfId="25030" xr:uid="{00000000-0005-0000-0000-0000AD090000}"/>
    <cellStyle name="SAPBEXstdItem 3 2 3 2" xfId="43399" xr:uid="{00000000-0005-0000-0000-0000AD090000}"/>
    <cellStyle name="SAPBEXstdItem 3 2 4" xfId="21351" xr:uid="{00000000-0005-0000-0000-0000AD090000}"/>
    <cellStyle name="SAPBEXstdItem 3 2 5" xfId="39730" xr:uid="{00000000-0005-0000-0000-0000AD090000}"/>
    <cellStyle name="SAPBEXstdItem 3 3" xfId="22970" xr:uid="{00000000-0005-0000-0000-0000AD090000}"/>
    <cellStyle name="SAPBEXstdItem 3 3 2" xfId="41339" xr:uid="{00000000-0005-0000-0000-0000AD090000}"/>
    <cellStyle name="SAPBEXstdItem 3 4" xfId="17528" xr:uid="{00000000-0005-0000-0000-0000AD090000}"/>
    <cellStyle name="SAPBEXstdItem 3 5" xfId="35972" xr:uid="{00000000-0005-0000-0000-0000AD090000}"/>
    <cellStyle name="SAPBEXstdItem 4" xfId="3073" xr:uid="{00000000-0005-0000-0000-0000AE090000}"/>
    <cellStyle name="SAPBEXstdItem 4 2" xfId="5325" xr:uid="{00000000-0005-0000-0000-0000AE090000}"/>
    <cellStyle name="SAPBEXstdItem 4 2 2" xfId="16017" xr:uid="{00000000-0005-0000-0000-0000AE090000}"/>
    <cellStyle name="SAPBEXstdItem 4 2 2 2" xfId="34391" xr:uid="{00000000-0005-0000-0000-0000AE090000}"/>
    <cellStyle name="SAPBEXstdItem 4 2 2 3" xfId="52754" xr:uid="{00000000-0005-0000-0000-0000AE090000}"/>
    <cellStyle name="SAPBEXstdItem 4 2 3" xfId="25138" xr:uid="{00000000-0005-0000-0000-0000AE090000}"/>
    <cellStyle name="SAPBEXstdItem 4 2 3 2" xfId="43507" xr:uid="{00000000-0005-0000-0000-0000AE090000}"/>
    <cellStyle name="SAPBEXstdItem 4 2 4" xfId="21459" xr:uid="{00000000-0005-0000-0000-0000AE090000}"/>
    <cellStyle name="SAPBEXstdItem 4 2 5" xfId="39838" xr:uid="{00000000-0005-0000-0000-0000AE090000}"/>
    <cellStyle name="SAPBEXstdItem 4 3" xfId="23075" xr:uid="{00000000-0005-0000-0000-0000AE090000}"/>
    <cellStyle name="SAPBEXstdItem 4 3 2" xfId="41444" xr:uid="{00000000-0005-0000-0000-0000AE090000}"/>
    <cellStyle name="SAPBEXstdItem 4 4" xfId="17635" xr:uid="{00000000-0005-0000-0000-0000AE090000}"/>
    <cellStyle name="SAPBEXstdItem 4 5" xfId="36077" xr:uid="{00000000-0005-0000-0000-0000AE090000}"/>
    <cellStyle name="SAPBEXstdItem 5" xfId="3228" xr:uid="{00000000-0005-0000-0000-0000AF090000}"/>
    <cellStyle name="SAPBEXstdItem 5 2" xfId="5430" xr:uid="{00000000-0005-0000-0000-0000AF090000}"/>
    <cellStyle name="SAPBEXstdItem 5 2 2" xfId="16121" xr:uid="{00000000-0005-0000-0000-0000AF090000}"/>
    <cellStyle name="SAPBEXstdItem 5 2 2 2" xfId="34493" xr:uid="{00000000-0005-0000-0000-0000AF090000}"/>
    <cellStyle name="SAPBEXstdItem 5 2 2 3" xfId="52856" xr:uid="{00000000-0005-0000-0000-0000AF090000}"/>
    <cellStyle name="SAPBEXstdItem 5 2 3" xfId="25240" xr:uid="{00000000-0005-0000-0000-0000AF090000}"/>
    <cellStyle name="SAPBEXstdItem 5 2 3 2" xfId="43609" xr:uid="{00000000-0005-0000-0000-0000AF090000}"/>
    <cellStyle name="SAPBEXstdItem 5 2 4" xfId="21561" xr:uid="{00000000-0005-0000-0000-0000AF090000}"/>
    <cellStyle name="SAPBEXstdItem 5 2 5" xfId="39940" xr:uid="{00000000-0005-0000-0000-0000AF090000}"/>
    <cellStyle name="SAPBEXstdItem 5 3" xfId="23169" xr:uid="{00000000-0005-0000-0000-0000AF090000}"/>
    <cellStyle name="SAPBEXstdItem 5 3 2" xfId="41538" xr:uid="{00000000-0005-0000-0000-0000AF090000}"/>
    <cellStyle name="SAPBEXstdItem 5 4" xfId="17751" xr:uid="{00000000-0005-0000-0000-0000AF090000}"/>
    <cellStyle name="SAPBEXstdItem 5 5" xfId="36171" xr:uid="{00000000-0005-0000-0000-0000AF090000}"/>
    <cellStyle name="SAPBEXstdItem 6" xfId="4117" xr:uid="{00000000-0005-0000-0000-0000AB090000}"/>
    <cellStyle name="SAPBEXstdItem 6 2" xfId="14871" xr:uid="{00000000-0005-0000-0000-0000AB090000}"/>
    <cellStyle name="SAPBEXstdItem 6 2 2" xfId="33277" xr:uid="{00000000-0005-0000-0000-0000AB090000}"/>
    <cellStyle name="SAPBEXstdItem 6 2 3" xfId="51640" xr:uid="{00000000-0005-0000-0000-0000AB090000}"/>
    <cellStyle name="SAPBEXstdItem 6 3" xfId="24002" xr:uid="{00000000-0005-0000-0000-0000AB090000}"/>
    <cellStyle name="SAPBEXstdItem 6 3 2" xfId="42371" xr:uid="{00000000-0005-0000-0000-0000AB090000}"/>
    <cellStyle name="SAPBEXstdItem 6 4" xfId="20325" xr:uid="{00000000-0005-0000-0000-0000AB090000}"/>
    <cellStyle name="SAPBEXstdItem 6 5" xfId="38724" xr:uid="{00000000-0005-0000-0000-0000AB090000}"/>
    <cellStyle name="SAPBEXstdItem 7" xfId="19159" xr:uid="{00000000-0005-0000-0000-0000AB090000}"/>
    <cellStyle name="SAPBEXstdItem 7 2" xfId="37567" xr:uid="{00000000-0005-0000-0000-0000AB090000}"/>
    <cellStyle name="SAPBEXstdItem 8" xfId="8802" xr:uid="{00000000-0005-0000-0000-0000AB090000}"/>
    <cellStyle name="SAPBEXstdItem 9" xfId="10889" xr:uid="{00000000-0005-0000-0000-0000AB090000}"/>
    <cellStyle name="SAPBEXstdItemX" xfId="764" xr:uid="{00000000-0005-0000-0000-0000B0090000}"/>
    <cellStyle name="SAPBEXstdItemX 10" xfId="8837" xr:uid="{00000000-0005-0000-0000-0000B0090000}"/>
    <cellStyle name="SAPBEXstdItemX 11" xfId="7235" xr:uid="{00000000-0005-0000-0000-0000B0090000}"/>
    <cellStyle name="SAPBEXstdItemX 2" xfId="1164" xr:uid="{00000000-0005-0000-0000-0000B1090000}"/>
    <cellStyle name="SAPBEXstdItemX 2 2" xfId="4263" xr:uid="{00000000-0005-0000-0000-0000B1090000}"/>
    <cellStyle name="SAPBEXstdItemX 2 2 2" xfId="15008" xr:uid="{00000000-0005-0000-0000-0000B1090000}"/>
    <cellStyle name="SAPBEXstdItemX 2 2 2 2" xfId="33412" xr:uid="{00000000-0005-0000-0000-0000B1090000}"/>
    <cellStyle name="SAPBEXstdItemX 2 2 2 3" xfId="51775" xr:uid="{00000000-0005-0000-0000-0000B1090000}"/>
    <cellStyle name="SAPBEXstdItemX 2 2 3" xfId="24141" xr:uid="{00000000-0005-0000-0000-0000B1090000}"/>
    <cellStyle name="SAPBEXstdItemX 2 2 3 2" xfId="42510" xr:uid="{00000000-0005-0000-0000-0000B1090000}"/>
    <cellStyle name="SAPBEXstdItemX 2 2 4" xfId="20461" xr:uid="{00000000-0005-0000-0000-0000B1090000}"/>
    <cellStyle name="SAPBEXstdItemX 2 2 5" xfId="38859" xr:uid="{00000000-0005-0000-0000-0000B1090000}"/>
    <cellStyle name="SAPBEXstdItemX 2 3" xfId="19439" xr:uid="{00000000-0005-0000-0000-0000B1090000}"/>
    <cellStyle name="SAPBEXstdItemX 2 3 2" xfId="37845" xr:uid="{00000000-0005-0000-0000-0000B1090000}"/>
    <cellStyle name="SAPBEXstdItemX 2 4" xfId="7314" xr:uid="{00000000-0005-0000-0000-0000B1090000}"/>
    <cellStyle name="SAPBEXstdItemX 2 5" xfId="6993" xr:uid="{00000000-0005-0000-0000-0000B1090000}"/>
    <cellStyle name="SAPBEXstdItemX 3" xfId="2197" xr:uid="{00000000-0005-0000-0000-0000B2090000}"/>
    <cellStyle name="SAPBEXstdItemX 3 2" xfId="4932" xr:uid="{00000000-0005-0000-0000-0000B2090000}"/>
    <cellStyle name="SAPBEXstdItemX 3 2 2" xfId="15652" xr:uid="{00000000-0005-0000-0000-0000B2090000}"/>
    <cellStyle name="SAPBEXstdItemX 3 2 2 2" xfId="34041" xr:uid="{00000000-0005-0000-0000-0000B2090000}"/>
    <cellStyle name="SAPBEXstdItemX 3 2 2 3" xfId="52404" xr:uid="{00000000-0005-0000-0000-0000B2090000}"/>
    <cellStyle name="SAPBEXstdItemX 3 2 3" xfId="24774" xr:uid="{00000000-0005-0000-0000-0000B2090000}"/>
    <cellStyle name="SAPBEXstdItemX 3 2 3 2" xfId="43143" xr:uid="{00000000-0005-0000-0000-0000B2090000}"/>
    <cellStyle name="SAPBEXstdItemX 3 2 4" xfId="21100" xr:uid="{00000000-0005-0000-0000-0000B2090000}"/>
    <cellStyle name="SAPBEXstdItemX 3 2 5" xfId="39488" xr:uid="{00000000-0005-0000-0000-0000B2090000}"/>
    <cellStyle name="SAPBEXstdItemX 3 3" xfId="18892" xr:uid="{00000000-0005-0000-0000-0000B2090000}"/>
    <cellStyle name="SAPBEXstdItemX 3 3 2" xfId="37301" xr:uid="{00000000-0005-0000-0000-0000B2090000}"/>
    <cellStyle name="SAPBEXstdItemX 3 4" xfId="10790" xr:uid="{00000000-0005-0000-0000-0000B2090000}"/>
    <cellStyle name="SAPBEXstdItemX 3 5" xfId="8517" xr:uid="{00000000-0005-0000-0000-0000B2090000}"/>
    <cellStyle name="SAPBEXstdItemX 4" xfId="2642" xr:uid="{00000000-0005-0000-0000-0000B3090000}"/>
    <cellStyle name="SAPBEXstdItemX 4 2" xfId="5095" xr:uid="{00000000-0005-0000-0000-0000B3090000}"/>
    <cellStyle name="SAPBEXstdItemX 4 2 2" xfId="15805" xr:uid="{00000000-0005-0000-0000-0000B3090000}"/>
    <cellStyle name="SAPBEXstdItemX 4 2 2 2" xfId="34190" xr:uid="{00000000-0005-0000-0000-0000B3090000}"/>
    <cellStyle name="SAPBEXstdItemX 4 2 2 3" xfId="52553" xr:uid="{00000000-0005-0000-0000-0000B3090000}"/>
    <cellStyle name="SAPBEXstdItemX 4 2 3" xfId="24926" xr:uid="{00000000-0005-0000-0000-0000B3090000}"/>
    <cellStyle name="SAPBEXstdItemX 4 2 3 2" xfId="43295" xr:uid="{00000000-0005-0000-0000-0000B3090000}"/>
    <cellStyle name="SAPBEXstdItemX 4 2 4" xfId="21252" xr:uid="{00000000-0005-0000-0000-0000B3090000}"/>
    <cellStyle name="SAPBEXstdItemX 4 2 5" xfId="39637" xr:uid="{00000000-0005-0000-0000-0000B3090000}"/>
    <cellStyle name="SAPBEXstdItemX 4 3" xfId="18130" xr:uid="{00000000-0005-0000-0000-0000B3090000}"/>
    <cellStyle name="SAPBEXstdItemX 4 3 2" xfId="36537" xr:uid="{00000000-0005-0000-0000-0000B3090000}"/>
    <cellStyle name="SAPBEXstdItemX 4 4" xfId="15861" xr:uid="{00000000-0005-0000-0000-0000B3090000}"/>
    <cellStyle name="SAPBEXstdItemX 4 5" xfId="35884" xr:uid="{00000000-0005-0000-0000-0000B3090000}"/>
    <cellStyle name="SAPBEXstdItemX 5" xfId="2952" xr:uid="{00000000-0005-0000-0000-0000B4090000}"/>
    <cellStyle name="SAPBEXstdItemX 5 2" xfId="5216" xr:uid="{00000000-0005-0000-0000-0000B4090000}"/>
    <cellStyle name="SAPBEXstdItemX 5 2 2" xfId="15908" xr:uid="{00000000-0005-0000-0000-0000B4090000}"/>
    <cellStyle name="SAPBEXstdItemX 5 2 2 2" xfId="34282" xr:uid="{00000000-0005-0000-0000-0000B4090000}"/>
    <cellStyle name="SAPBEXstdItemX 5 2 2 3" xfId="52645" xr:uid="{00000000-0005-0000-0000-0000B4090000}"/>
    <cellStyle name="SAPBEXstdItemX 5 2 3" xfId="25029" xr:uid="{00000000-0005-0000-0000-0000B4090000}"/>
    <cellStyle name="SAPBEXstdItemX 5 2 3 2" xfId="43398" xr:uid="{00000000-0005-0000-0000-0000B4090000}"/>
    <cellStyle name="SAPBEXstdItemX 5 2 4" xfId="21350" xr:uid="{00000000-0005-0000-0000-0000B4090000}"/>
    <cellStyle name="SAPBEXstdItemX 5 2 5" xfId="39729" xr:uid="{00000000-0005-0000-0000-0000B4090000}"/>
    <cellStyle name="SAPBEXstdItemX 5 3" xfId="22969" xr:uid="{00000000-0005-0000-0000-0000B4090000}"/>
    <cellStyle name="SAPBEXstdItemX 5 3 2" xfId="41338" xr:uid="{00000000-0005-0000-0000-0000B4090000}"/>
    <cellStyle name="SAPBEXstdItemX 5 4" xfId="17527" xr:uid="{00000000-0005-0000-0000-0000B4090000}"/>
    <cellStyle name="SAPBEXstdItemX 5 5" xfId="35971" xr:uid="{00000000-0005-0000-0000-0000B4090000}"/>
    <cellStyle name="SAPBEXstdItemX 6" xfId="3074" xr:uid="{00000000-0005-0000-0000-0000B5090000}"/>
    <cellStyle name="SAPBEXstdItemX 6 2" xfId="5326" xr:uid="{00000000-0005-0000-0000-0000B5090000}"/>
    <cellStyle name="SAPBEXstdItemX 6 2 2" xfId="16018" xr:uid="{00000000-0005-0000-0000-0000B5090000}"/>
    <cellStyle name="SAPBEXstdItemX 6 2 2 2" xfId="34392" xr:uid="{00000000-0005-0000-0000-0000B5090000}"/>
    <cellStyle name="SAPBEXstdItemX 6 2 2 3" xfId="52755" xr:uid="{00000000-0005-0000-0000-0000B5090000}"/>
    <cellStyle name="SAPBEXstdItemX 6 2 3" xfId="25139" xr:uid="{00000000-0005-0000-0000-0000B5090000}"/>
    <cellStyle name="SAPBEXstdItemX 6 2 3 2" xfId="43508" xr:uid="{00000000-0005-0000-0000-0000B5090000}"/>
    <cellStyle name="SAPBEXstdItemX 6 2 4" xfId="21460" xr:uid="{00000000-0005-0000-0000-0000B5090000}"/>
    <cellStyle name="SAPBEXstdItemX 6 2 5" xfId="39839" xr:uid="{00000000-0005-0000-0000-0000B5090000}"/>
    <cellStyle name="SAPBEXstdItemX 6 3" xfId="23076" xr:uid="{00000000-0005-0000-0000-0000B5090000}"/>
    <cellStyle name="SAPBEXstdItemX 6 3 2" xfId="41445" xr:uid="{00000000-0005-0000-0000-0000B5090000}"/>
    <cellStyle name="SAPBEXstdItemX 6 4" xfId="17636" xr:uid="{00000000-0005-0000-0000-0000B5090000}"/>
    <cellStyle name="SAPBEXstdItemX 6 5" xfId="36078" xr:uid="{00000000-0005-0000-0000-0000B5090000}"/>
    <cellStyle name="SAPBEXstdItemX 7" xfId="3227" xr:uid="{00000000-0005-0000-0000-0000B6090000}"/>
    <cellStyle name="SAPBEXstdItemX 7 2" xfId="5429" xr:uid="{00000000-0005-0000-0000-0000B6090000}"/>
    <cellStyle name="SAPBEXstdItemX 7 2 2" xfId="16120" xr:uid="{00000000-0005-0000-0000-0000B6090000}"/>
    <cellStyle name="SAPBEXstdItemX 7 2 2 2" xfId="34492" xr:uid="{00000000-0005-0000-0000-0000B6090000}"/>
    <cellStyle name="SAPBEXstdItemX 7 2 2 3" xfId="52855" xr:uid="{00000000-0005-0000-0000-0000B6090000}"/>
    <cellStyle name="SAPBEXstdItemX 7 2 3" xfId="25239" xr:uid="{00000000-0005-0000-0000-0000B6090000}"/>
    <cellStyle name="SAPBEXstdItemX 7 2 3 2" xfId="43608" xr:uid="{00000000-0005-0000-0000-0000B6090000}"/>
    <cellStyle name="SAPBEXstdItemX 7 2 4" xfId="21560" xr:uid="{00000000-0005-0000-0000-0000B6090000}"/>
    <cellStyle name="SAPBEXstdItemX 7 2 5" xfId="39939" xr:uid="{00000000-0005-0000-0000-0000B6090000}"/>
    <cellStyle name="SAPBEXstdItemX 7 3" xfId="23168" xr:uid="{00000000-0005-0000-0000-0000B6090000}"/>
    <cellStyle name="SAPBEXstdItemX 7 3 2" xfId="41537" xr:uid="{00000000-0005-0000-0000-0000B6090000}"/>
    <cellStyle name="SAPBEXstdItemX 7 4" xfId="17750" xr:uid="{00000000-0005-0000-0000-0000B6090000}"/>
    <cellStyle name="SAPBEXstdItemX 7 5" xfId="36170" xr:uid="{00000000-0005-0000-0000-0000B6090000}"/>
    <cellStyle name="SAPBEXstdItemX 8" xfId="4118" xr:uid="{00000000-0005-0000-0000-0000B0090000}"/>
    <cellStyle name="SAPBEXstdItemX 8 2" xfId="14872" xr:uid="{00000000-0005-0000-0000-0000B0090000}"/>
    <cellStyle name="SAPBEXstdItemX 8 2 2" xfId="33278" xr:uid="{00000000-0005-0000-0000-0000B0090000}"/>
    <cellStyle name="SAPBEXstdItemX 8 2 3" xfId="51641" xr:uid="{00000000-0005-0000-0000-0000B0090000}"/>
    <cellStyle name="SAPBEXstdItemX 8 3" xfId="24003" xr:uid="{00000000-0005-0000-0000-0000B0090000}"/>
    <cellStyle name="SAPBEXstdItemX 8 3 2" xfId="42372" xr:uid="{00000000-0005-0000-0000-0000B0090000}"/>
    <cellStyle name="SAPBEXstdItemX 8 4" xfId="20326" xr:uid="{00000000-0005-0000-0000-0000B0090000}"/>
    <cellStyle name="SAPBEXstdItemX 8 5" xfId="38725" xr:uid="{00000000-0005-0000-0000-0000B0090000}"/>
    <cellStyle name="SAPBEXstdItemX 9" xfId="19338" xr:uid="{00000000-0005-0000-0000-0000B0090000}"/>
    <cellStyle name="SAPBEXstdItemX 9 2" xfId="37745" xr:uid="{00000000-0005-0000-0000-0000B0090000}"/>
    <cellStyle name="SAPBEXtitle" xfId="765" xr:uid="{00000000-0005-0000-0000-0000B7090000}"/>
    <cellStyle name="SAPBEXtitle 2" xfId="1165" xr:uid="{00000000-0005-0000-0000-0000B8090000}"/>
    <cellStyle name="SAPBEXtitle 2 2" xfId="4264" xr:uid="{00000000-0005-0000-0000-0000B8090000}"/>
    <cellStyle name="SAPBEXtitle 2 2 2" xfId="15009" xr:uid="{00000000-0005-0000-0000-0000B8090000}"/>
    <cellStyle name="SAPBEXtitle 2 2 2 2" xfId="33413" xr:uid="{00000000-0005-0000-0000-0000B8090000}"/>
    <cellStyle name="SAPBEXtitle 2 2 2 3" xfId="51776" xr:uid="{00000000-0005-0000-0000-0000B8090000}"/>
    <cellStyle name="SAPBEXtitle 2 2 3" xfId="24142" xr:uid="{00000000-0005-0000-0000-0000B8090000}"/>
    <cellStyle name="SAPBEXtitle 2 2 3 2" xfId="42511" xr:uid="{00000000-0005-0000-0000-0000B8090000}"/>
    <cellStyle name="SAPBEXtitle 2 2 4" xfId="20462" xr:uid="{00000000-0005-0000-0000-0000B8090000}"/>
    <cellStyle name="SAPBEXtitle 2 2 5" xfId="38860" xr:uid="{00000000-0005-0000-0000-0000B8090000}"/>
    <cellStyle name="SAPBEXtitle 2 3" xfId="19057" xr:uid="{00000000-0005-0000-0000-0000B8090000}"/>
    <cellStyle name="SAPBEXtitle 2 3 2" xfId="37466" xr:uid="{00000000-0005-0000-0000-0000B8090000}"/>
    <cellStyle name="SAPBEXtitle 2 4" xfId="8302" xr:uid="{00000000-0005-0000-0000-0000B8090000}"/>
    <cellStyle name="SAPBEXtitle 2 5" xfId="7159" xr:uid="{00000000-0005-0000-0000-0000B8090000}"/>
    <cellStyle name="SAPBEXtitle 3" xfId="2951" xr:uid="{00000000-0005-0000-0000-0000B9090000}"/>
    <cellStyle name="SAPBEXtitle 3 2" xfId="5215" xr:uid="{00000000-0005-0000-0000-0000B9090000}"/>
    <cellStyle name="SAPBEXtitle 3 2 2" xfId="15907" xr:uid="{00000000-0005-0000-0000-0000B9090000}"/>
    <cellStyle name="SAPBEXtitle 3 2 2 2" xfId="34281" xr:uid="{00000000-0005-0000-0000-0000B9090000}"/>
    <cellStyle name="SAPBEXtitle 3 2 2 3" xfId="52644" xr:uid="{00000000-0005-0000-0000-0000B9090000}"/>
    <cellStyle name="SAPBEXtitle 3 2 3" xfId="25028" xr:uid="{00000000-0005-0000-0000-0000B9090000}"/>
    <cellStyle name="SAPBEXtitle 3 2 3 2" xfId="43397" xr:uid="{00000000-0005-0000-0000-0000B9090000}"/>
    <cellStyle name="SAPBEXtitle 3 2 4" xfId="21349" xr:uid="{00000000-0005-0000-0000-0000B9090000}"/>
    <cellStyle name="SAPBEXtitle 3 2 5" xfId="39728" xr:uid="{00000000-0005-0000-0000-0000B9090000}"/>
    <cellStyle name="SAPBEXtitle 3 3" xfId="22968" xr:uid="{00000000-0005-0000-0000-0000B9090000}"/>
    <cellStyle name="SAPBEXtitle 3 3 2" xfId="41337" xr:uid="{00000000-0005-0000-0000-0000B9090000}"/>
    <cellStyle name="SAPBEXtitle 3 4" xfId="17526" xr:uid="{00000000-0005-0000-0000-0000B9090000}"/>
    <cellStyle name="SAPBEXtitle 3 5" xfId="35970" xr:uid="{00000000-0005-0000-0000-0000B9090000}"/>
    <cellStyle name="SAPBEXtitle 4" xfId="3075" xr:uid="{00000000-0005-0000-0000-0000BA090000}"/>
    <cellStyle name="SAPBEXtitle 4 2" xfId="5327" xr:uid="{00000000-0005-0000-0000-0000BA090000}"/>
    <cellStyle name="SAPBEXtitle 4 2 2" xfId="16019" xr:uid="{00000000-0005-0000-0000-0000BA090000}"/>
    <cellStyle name="SAPBEXtitle 4 2 2 2" xfId="34393" xr:uid="{00000000-0005-0000-0000-0000BA090000}"/>
    <cellStyle name="SAPBEXtitle 4 2 2 3" xfId="52756" xr:uid="{00000000-0005-0000-0000-0000BA090000}"/>
    <cellStyle name="SAPBEXtitle 4 2 3" xfId="25140" xr:uid="{00000000-0005-0000-0000-0000BA090000}"/>
    <cellStyle name="SAPBEXtitle 4 2 3 2" xfId="43509" xr:uid="{00000000-0005-0000-0000-0000BA090000}"/>
    <cellStyle name="SAPBEXtitle 4 2 4" xfId="21461" xr:uid="{00000000-0005-0000-0000-0000BA090000}"/>
    <cellStyle name="SAPBEXtitle 4 2 5" xfId="39840" xr:uid="{00000000-0005-0000-0000-0000BA090000}"/>
    <cellStyle name="SAPBEXtitle 4 3" xfId="23077" xr:uid="{00000000-0005-0000-0000-0000BA090000}"/>
    <cellStyle name="SAPBEXtitle 4 3 2" xfId="41446" xr:uid="{00000000-0005-0000-0000-0000BA090000}"/>
    <cellStyle name="SAPBEXtitle 4 4" xfId="17637" xr:uid="{00000000-0005-0000-0000-0000BA090000}"/>
    <cellStyle name="SAPBEXtitle 4 5" xfId="36079" xr:uid="{00000000-0005-0000-0000-0000BA090000}"/>
    <cellStyle name="SAPBEXtitle 5" xfId="3226" xr:uid="{00000000-0005-0000-0000-0000BB090000}"/>
    <cellStyle name="SAPBEXtitle 5 2" xfId="5428" xr:uid="{00000000-0005-0000-0000-0000BB090000}"/>
    <cellStyle name="SAPBEXtitle 5 2 2" xfId="16119" xr:uid="{00000000-0005-0000-0000-0000BB090000}"/>
    <cellStyle name="SAPBEXtitle 5 2 2 2" xfId="34491" xr:uid="{00000000-0005-0000-0000-0000BB090000}"/>
    <cellStyle name="SAPBEXtitle 5 2 2 3" xfId="52854" xr:uid="{00000000-0005-0000-0000-0000BB090000}"/>
    <cellStyle name="SAPBEXtitle 5 2 3" xfId="25238" xr:uid="{00000000-0005-0000-0000-0000BB090000}"/>
    <cellStyle name="SAPBEXtitle 5 2 3 2" xfId="43607" xr:uid="{00000000-0005-0000-0000-0000BB090000}"/>
    <cellStyle name="SAPBEXtitle 5 2 4" xfId="21559" xr:uid="{00000000-0005-0000-0000-0000BB090000}"/>
    <cellStyle name="SAPBEXtitle 5 2 5" xfId="39938" xr:uid="{00000000-0005-0000-0000-0000BB090000}"/>
    <cellStyle name="SAPBEXtitle 5 3" xfId="23167" xr:uid="{00000000-0005-0000-0000-0000BB090000}"/>
    <cellStyle name="SAPBEXtitle 5 3 2" xfId="41536" xr:uid="{00000000-0005-0000-0000-0000BB090000}"/>
    <cellStyle name="SAPBEXtitle 5 4" xfId="17749" xr:uid="{00000000-0005-0000-0000-0000BB090000}"/>
    <cellStyle name="SAPBEXtitle 5 5" xfId="36169" xr:uid="{00000000-0005-0000-0000-0000BB090000}"/>
    <cellStyle name="SAPBEXtitle 6" xfId="4119" xr:uid="{00000000-0005-0000-0000-0000B7090000}"/>
    <cellStyle name="SAPBEXtitle 6 2" xfId="14873" xr:uid="{00000000-0005-0000-0000-0000B7090000}"/>
    <cellStyle name="SAPBEXtitle 6 2 2" xfId="33279" xr:uid="{00000000-0005-0000-0000-0000B7090000}"/>
    <cellStyle name="SAPBEXtitle 6 2 3" xfId="51642" xr:uid="{00000000-0005-0000-0000-0000B7090000}"/>
    <cellStyle name="SAPBEXtitle 6 3" xfId="24004" xr:uid="{00000000-0005-0000-0000-0000B7090000}"/>
    <cellStyle name="SAPBEXtitle 6 3 2" xfId="42373" xr:uid="{00000000-0005-0000-0000-0000B7090000}"/>
    <cellStyle name="SAPBEXtitle 6 4" xfId="20327" xr:uid="{00000000-0005-0000-0000-0000B7090000}"/>
    <cellStyle name="SAPBEXtitle 6 5" xfId="38726" xr:uid="{00000000-0005-0000-0000-0000B7090000}"/>
    <cellStyle name="SAPBEXtitle 7" xfId="19541" xr:uid="{00000000-0005-0000-0000-0000B7090000}"/>
    <cellStyle name="SAPBEXtitle 7 2" xfId="37947" xr:uid="{00000000-0005-0000-0000-0000B7090000}"/>
    <cellStyle name="SAPBEXtitle 8" xfId="7304" xr:uid="{00000000-0005-0000-0000-0000B7090000}"/>
    <cellStyle name="SAPBEXtitle 9" xfId="7150" xr:uid="{00000000-0005-0000-0000-0000B7090000}"/>
    <cellStyle name="SAPBEXundefined" xfId="766" xr:uid="{00000000-0005-0000-0000-0000BC090000}"/>
    <cellStyle name="SAPBEXundefined 2" xfId="1166" xr:uid="{00000000-0005-0000-0000-0000BD090000}"/>
    <cellStyle name="SAPBEXundefined 2 2" xfId="4265" xr:uid="{00000000-0005-0000-0000-0000BD090000}"/>
    <cellStyle name="SAPBEXundefined 2 2 2" xfId="15010" xr:uid="{00000000-0005-0000-0000-0000BD090000}"/>
    <cellStyle name="SAPBEXundefined 2 2 2 2" xfId="33414" xr:uid="{00000000-0005-0000-0000-0000BD090000}"/>
    <cellStyle name="SAPBEXundefined 2 2 2 3" xfId="51777" xr:uid="{00000000-0005-0000-0000-0000BD090000}"/>
    <cellStyle name="SAPBEXundefined 2 2 3" xfId="24143" xr:uid="{00000000-0005-0000-0000-0000BD090000}"/>
    <cellStyle name="SAPBEXundefined 2 2 3 2" xfId="42512" xr:uid="{00000000-0005-0000-0000-0000BD090000}"/>
    <cellStyle name="SAPBEXundefined 2 2 4" xfId="20463" xr:uid="{00000000-0005-0000-0000-0000BD090000}"/>
    <cellStyle name="SAPBEXundefined 2 2 5" xfId="38861" xr:uid="{00000000-0005-0000-0000-0000BD090000}"/>
    <cellStyle name="SAPBEXundefined 2 3" xfId="19413" xr:uid="{00000000-0005-0000-0000-0000BD090000}"/>
    <cellStyle name="SAPBEXundefined 2 3 2" xfId="37819" xr:uid="{00000000-0005-0000-0000-0000BD090000}"/>
    <cellStyle name="SAPBEXundefined 2 4" xfId="8571" xr:uid="{00000000-0005-0000-0000-0000BD090000}"/>
    <cellStyle name="SAPBEXundefined 2 5" xfId="7085" xr:uid="{00000000-0005-0000-0000-0000BD090000}"/>
    <cellStyle name="SAPBEXundefined 3" xfId="2950" xr:uid="{00000000-0005-0000-0000-0000BE090000}"/>
    <cellStyle name="SAPBEXundefined 3 2" xfId="5214" xr:uid="{00000000-0005-0000-0000-0000BE090000}"/>
    <cellStyle name="SAPBEXundefined 3 2 2" xfId="15906" xr:uid="{00000000-0005-0000-0000-0000BE090000}"/>
    <cellStyle name="SAPBEXundefined 3 2 2 2" xfId="34280" xr:uid="{00000000-0005-0000-0000-0000BE090000}"/>
    <cellStyle name="SAPBEXundefined 3 2 2 3" xfId="52643" xr:uid="{00000000-0005-0000-0000-0000BE090000}"/>
    <cellStyle name="SAPBEXundefined 3 2 3" xfId="25027" xr:uid="{00000000-0005-0000-0000-0000BE090000}"/>
    <cellStyle name="SAPBEXundefined 3 2 3 2" xfId="43396" xr:uid="{00000000-0005-0000-0000-0000BE090000}"/>
    <cellStyle name="SAPBEXundefined 3 2 4" xfId="21348" xr:uid="{00000000-0005-0000-0000-0000BE090000}"/>
    <cellStyle name="SAPBEXundefined 3 2 5" xfId="39727" xr:uid="{00000000-0005-0000-0000-0000BE090000}"/>
    <cellStyle name="SAPBEXundefined 3 3" xfId="22967" xr:uid="{00000000-0005-0000-0000-0000BE090000}"/>
    <cellStyle name="SAPBEXundefined 3 3 2" xfId="41336" xr:uid="{00000000-0005-0000-0000-0000BE090000}"/>
    <cellStyle name="SAPBEXundefined 3 4" xfId="17525" xr:uid="{00000000-0005-0000-0000-0000BE090000}"/>
    <cellStyle name="SAPBEXundefined 3 5" xfId="35969" xr:uid="{00000000-0005-0000-0000-0000BE090000}"/>
    <cellStyle name="SAPBEXundefined 4" xfId="3076" xr:uid="{00000000-0005-0000-0000-0000BF090000}"/>
    <cellStyle name="SAPBEXundefined 4 2" xfId="5328" xr:uid="{00000000-0005-0000-0000-0000BF090000}"/>
    <cellStyle name="SAPBEXundefined 4 2 2" xfId="16020" xr:uid="{00000000-0005-0000-0000-0000BF090000}"/>
    <cellStyle name="SAPBEXundefined 4 2 2 2" xfId="34394" xr:uid="{00000000-0005-0000-0000-0000BF090000}"/>
    <cellStyle name="SAPBEXundefined 4 2 2 3" xfId="52757" xr:uid="{00000000-0005-0000-0000-0000BF090000}"/>
    <cellStyle name="SAPBEXundefined 4 2 3" xfId="25141" xr:uid="{00000000-0005-0000-0000-0000BF090000}"/>
    <cellStyle name="SAPBEXundefined 4 2 3 2" xfId="43510" xr:uid="{00000000-0005-0000-0000-0000BF090000}"/>
    <cellStyle name="SAPBEXundefined 4 2 4" xfId="21462" xr:uid="{00000000-0005-0000-0000-0000BF090000}"/>
    <cellStyle name="SAPBEXundefined 4 2 5" xfId="39841" xr:uid="{00000000-0005-0000-0000-0000BF090000}"/>
    <cellStyle name="SAPBEXundefined 4 3" xfId="23078" xr:uid="{00000000-0005-0000-0000-0000BF090000}"/>
    <cellStyle name="SAPBEXundefined 4 3 2" xfId="41447" xr:uid="{00000000-0005-0000-0000-0000BF090000}"/>
    <cellStyle name="SAPBEXundefined 4 4" xfId="17638" xr:uid="{00000000-0005-0000-0000-0000BF090000}"/>
    <cellStyle name="SAPBEXundefined 4 5" xfId="36080" xr:uid="{00000000-0005-0000-0000-0000BF090000}"/>
    <cellStyle name="SAPBEXundefined 5" xfId="3225" xr:uid="{00000000-0005-0000-0000-0000C0090000}"/>
    <cellStyle name="SAPBEXundefined 5 2" xfId="5427" xr:uid="{00000000-0005-0000-0000-0000C0090000}"/>
    <cellStyle name="SAPBEXundefined 5 2 2" xfId="16118" xr:uid="{00000000-0005-0000-0000-0000C0090000}"/>
    <cellStyle name="SAPBEXundefined 5 2 2 2" xfId="34490" xr:uid="{00000000-0005-0000-0000-0000C0090000}"/>
    <cellStyle name="SAPBEXundefined 5 2 2 3" xfId="52853" xr:uid="{00000000-0005-0000-0000-0000C0090000}"/>
    <cellStyle name="SAPBEXundefined 5 2 3" xfId="25237" xr:uid="{00000000-0005-0000-0000-0000C0090000}"/>
    <cellStyle name="SAPBEXundefined 5 2 3 2" xfId="43606" xr:uid="{00000000-0005-0000-0000-0000C0090000}"/>
    <cellStyle name="SAPBEXundefined 5 2 4" xfId="21558" xr:uid="{00000000-0005-0000-0000-0000C0090000}"/>
    <cellStyle name="SAPBEXundefined 5 2 5" xfId="39937" xr:uid="{00000000-0005-0000-0000-0000C0090000}"/>
    <cellStyle name="SAPBEXundefined 5 3" xfId="23166" xr:uid="{00000000-0005-0000-0000-0000C0090000}"/>
    <cellStyle name="SAPBEXundefined 5 3 2" xfId="41535" xr:uid="{00000000-0005-0000-0000-0000C0090000}"/>
    <cellStyle name="SAPBEXundefined 5 4" xfId="17748" xr:uid="{00000000-0005-0000-0000-0000C0090000}"/>
    <cellStyle name="SAPBEXundefined 5 5" xfId="36168" xr:uid="{00000000-0005-0000-0000-0000C0090000}"/>
    <cellStyle name="SAPBEXundefined 6" xfId="4120" xr:uid="{00000000-0005-0000-0000-0000BC090000}"/>
    <cellStyle name="SAPBEXundefined 6 2" xfId="14874" xr:uid="{00000000-0005-0000-0000-0000BC090000}"/>
    <cellStyle name="SAPBEXundefined 6 2 2" xfId="33280" xr:uid="{00000000-0005-0000-0000-0000BC090000}"/>
    <cellStyle name="SAPBEXundefined 6 2 3" xfId="51643" xr:uid="{00000000-0005-0000-0000-0000BC090000}"/>
    <cellStyle name="SAPBEXundefined 6 3" xfId="24005" xr:uid="{00000000-0005-0000-0000-0000BC090000}"/>
    <cellStyle name="SAPBEXundefined 6 3 2" xfId="42374" xr:uid="{00000000-0005-0000-0000-0000BC090000}"/>
    <cellStyle name="SAPBEXundefined 6 4" xfId="20328" xr:uid="{00000000-0005-0000-0000-0000BC090000}"/>
    <cellStyle name="SAPBEXundefined 6 5" xfId="38727" xr:uid="{00000000-0005-0000-0000-0000BC090000}"/>
    <cellStyle name="SAPBEXundefined 7" xfId="19505" xr:uid="{00000000-0005-0000-0000-0000BC090000}"/>
    <cellStyle name="SAPBEXundefined 7 2" xfId="37911" xr:uid="{00000000-0005-0000-0000-0000BC090000}"/>
    <cellStyle name="SAPBEXundefined 8" xfId="8297" xr:uid="{00000000-0005-0000-0000-0000BC090000}"/>
    <cellStyle name="SAPBEXundefined 9" xfId="7118" xr:uid="{00000000-0005-0000-0000-0000BC090000}"/>
    <cellStyle name="ScotchRule" xfId="767" xr:uid="{00000000-0005-0000-0000-0000C1090000}"/>
    <cellStyle name="ScotchRule 2" xfId="2198" xr:uid="{00000000-0005-0000-0000-0000C2090000}"/>
    <cellStyle name="ScotchRule 3" xfId="2643" xr:uid="{00000000-0005-0000-0000-0000C3090000}"/>
    <cellStyle name="SectionHeading" xfId="768" xr:uid="{00000000-0005-0000-0000-0000C4090000}"/>
    <cellStyle name="SectionHeading 2" xfId="2199" xr:uid="{00000000-0005-0000-0000-0000C5090000}"/>
    <cellStyle name="SectionHeading 3" xfId="2644" xr:uid="{00000000-0005-0000-0000-0000C6090000}"/>
    <cellStyle name="SectionHeading 4" xfId="2949" xr:uid="{00000000-0005-0000-0000-0000C7090000}"/>
    <cellStyle name="SectionHeading 5" xfId="3224" xr:uid="{00000000-0005-0000-0000-0000C8090000}"/>
    <cellStyle name="shade" xfId="769" xr:uid="{00000000-0005-0000-0000-0000C9090000}"/>
    <cellStyle name="shade 2" xfId="2200" xr:uid="{00000000-0005-0000-0000-0000CA090000}"/>
    <cellStyle name="shade 3" xfId="2645" xr:uid="{00000000-0005-0000-0000-0000CB090000}"/>
    <cellStyle name="Shaded" xfId="770" xr:uid="{00000000-0005-0000-0000-0000CC090000}"/>
    <cellStyle name="Shaded 2" xfId="2201" xr:uid="{00000000-0005-0000-0000-0000CD090000}"/>
    <cellStyle name="Shaded 3" xfId="2646" xr:uid="{00000000-0005-0000-0000-0000CE090000}"/>
    <cellStyle name="Shares" xfId="771" xr:uid="{00000000-0005-0000-0000-0000CF090000}"/>
    <cellStyle name="sharesout" xfId="772" xr:uid="{00000000-0005-0000-0000-0000D0090000}"/>
    <cellStyle name="sharesout 2" xfId="2948" xr:uid="{00000000-0005-0000-0000-0000D1090000}"/>
    <cellStyle name="sharesout 3" xfId="3223" xr:uid="{00000000-0005-0000-0000-0000D2090000}"/>
    <cellStyle name="Single Accounting" xfId="773" xr:uid="{00000000-0005-0000-0000-0000D3090000}"/>
    <cellStyle name="SPOl" xfId="774" xr:uid="{00000000-0005-0000-0000-0000D4090000}"/>
    <cellStyle name="SS Col Hdr" xfId="775" xr:uid="{00000000-0005-0000-0000-0000D5090000}"/>
    <cellStyle name="SS Col Hdr 2" xfId="2202" xr:uid="{00000000-0005-0000-0000-0000D6090000}"/>
    <cellStyle name="SS Col Hdr 3" xfId="2647" xr:uid="{00000000-0005-0000-0000-0000D7090000}"/>
    <cellStyle name="SS Dim 1 Blank" xfId="776" xr:uid="{00000000-0005-0000-0000-0000D8090000}"/>
    <cellStyle name="SS Dim 1 Blank 2" xfId="2203" xr:uid="{00000000-0005-0000-0000-0000D9090000}"/>
    <cellStyle name="SS Dim 1 Blank 3" xfId="2648" xr:uid="{00000000-0005-0000-0000-0000DA090000}"/>
    <cellStyle name="SS Dim 1 Title" xfId="777" xr:uid="{00000000-0005-0000-0000-0000DB090000}"/>
    <cellStyle name="SS Dim 1 Title 2" xfId="2204" xr:uid="{00000000-0005-0000-0000-0000DC090000}"/>
    <cellStyle name="SS Dim 1 Title 3" xfId="2649" xr:uid="{00000000-0005-0000-0000-0000DD090000}"/>
    <cellStyle name="SS Dim 1 Value" xfId="778" xr:uid="{00000000-0005-0000-0000-0000DE090000}"/>
    <cellStyle name="SS Dim 1 Value 2" xfId="2205" xr:uid="{00000000-0005-0000-0000-0000DF090000}"/>
    <cellStyle name="SS Dim 1 Value 3" xfId="2650" xr:uid="{00000000-0005-0000-0000-0000E0090000}"/>
    <cellStyle name="SS Dim 2 Blank" xfId="779" xr:uid="{00000000-0005-0000-0000-0000E1090000}"/>
    <cellStyle name="SS Dim 2 Title" xfId="780" xr:uid="{00000000-0005-0000-0000-0000E2090000}"/>
    <cellStyle name="SS Dim 2 Title 2" xfId="2206" xr:uid="{00000000-0005-0000-0000-0000E3090000}"/>
    <cellStyle name="SS Dim 2 Title 3" xfId="2651" xr:uid="{00000000-0005-0000-0000-0000E4090000}"/>
    <cellStyle name="SS Dim 2 Value" xfId="781" xr:uid="{00000000-0005-0000-0000-0000E5090000}"/>
    <cellStyle name="SS Dim 2 Value 2" xfId="2207" xr:uid="{00000000-0005-0000-0000-0000E6090000}"/>
    <cellStyle name="SS Dim 2 Value 3" xfId="2652" xr:uid="{00000000-0005-0000-0000-0000E7090000}"/>
    <cellStyle name="SS Dim 3 Blank" xfId="782" xr:uid="{00000000-0005-0000-0000-0000E8090000}"/>
    <cellStyle name="SS Dim 3 Title" xfId="783" xr:uid="{00000000-0005-0000-0000-0000E9090000}"/>
    <cellStyle name="SS Dim 3 Title 2" xfId="2208" xr:uid="{00000000-0005-0000-0000-0000EA090000}"/>
    <cellStyle name="SS Dim 3 Title 3" xfId="2653" xr:uid="{00000000-0005-0000-0000-0000EB090000}"/>
    <cellStyle name="SS Dim 3 Value" xfId="784" xr:uid="{00000000-0005-0000-0000-0000EC090000}"/>
    <cellStyle name="SS Dim 3 Value 2" xfId="2209" xr:uid="{00000000-0005-0000-0000-0000ED090000}"/>
    <cellStyle name="SS Dim 3 Value 3" xfId="2654" xr:uid="{00000000-0005-0000-0000-0000EE090000}"/>
    <cellStyle name="SS Dim 4 Blank" xfId="785" xr:uid="{00000000-0005-0000-0000-0000EF090000}"/>
    <cellStyle name="SS Dim 4 Title" xfId="786" xr:uid="{00000000-0005-0000-0000-0000F0090000}"/>
    <cellStyle name="SS Dim 4 Value" xfId="787" xr:uid="{00000000-0005-0000-0000-0000F1090000}"/>
    <cellStyle name="SS Dim 5 Blank" xfId="788" xr:uid="{00000000-0005-0000-0000-0000F2090000}"/>
    <cellStyle name="SS Dim 5 Title" xfId="789" xr:uid="{00000000-0005-0000-0000-0000F3090000}"/>
    <cellStyle name="SS Dim 5 Value" xfId="790" xr:uid="{00000000-0005-0000-0000-0000F4090000}"/>
    <cellStyle name="SS Other Measure" xfId="791" xr:uid="{00000000-0005-0000-0000-0000F5090000}"/>
    <cellStyle name="SS Other Measure 2" xfId="2210" xr:uid="{00000000-0005-0000-0000-0000F6090000}"/>
    <cellStyle name="SS Other Measure 3" xfId="2655" xr:uid="{00000000-0005-0000-0000-0000F7090000}"/>
    <cellStyle name="SS Sum Measure" xfId="792" xr:uid="{00000000-0005-0000-0000-0000F8090000}"/>
    <cellStyle name="SS Unbound Dim" xfId="793" xr:uid="{00000000-0005-0000-0000-0000F9090000}"/>
    <cellStyle name="SS Unbound Dim 2" xfId="2211" xr:uid="{00000000-0005-0000-0000-0000FA090000}"/>
    <cellStyle name="SS Unbound Dim 3" xfId="2656" xr:uid="{00000000-0005-0000-0000-0000FB090000}"/>
    <cellStyle name="SS WAvg Measure" xfId="794" xr:uid="{00000000-0005-0000-0000-0000FC090000}"/>
    <cellStyle name="SSComma0" xfId="795" xr:uid="{00000000-0005-0000-0000-0000FD090000}"/>
    <cellStyle name="SSComma0 2" xfId="1167" xr:uid="{00000000-0005-0000-0000-0000FE090000}"/>
    <cellStyle name="SSComma0 2 2" xfId="4266" xr:uid="{00000000-0005-0000-0000-0000FE090000}"/>
    <cellStyle name="SSComma0 2 2 2" xfId="15011" xr:uid="{00000000-0005-0000-0000-0000FE090000}"/>
    <cellStyle name="SSComma0 2 2 2 2" xfId="33415" xr:uid="{00000000-0005-0000-0000-0000FE090000}"/>
    <cellStyle name="SSComma0 2 2 2 3" xfId="51778" xr:uid="{00000000-0005-0000-0000-0000FE090000}"/>
    <cellStyle name="SSComma0 2 2 3" xfId="24144" xr:uid="{00000000-0005-0000-0000-0000FE090000}"/>
    <cellStyle name="SSComma0 2 2 3 2" xfId="42513" xr:uid="{00000000-0005-0000-0000-0000FE090000}"/>
    <cellStyle name="SSComma0 2 2 4" xfId="20464" xr:uid="{00000000-0005-0000-0000-0000FE090000}"/>
    <cellStyle name="SSComma0 2 2 5" xfId="38862" xr:uid="{00000000-0005-0000-0000-0000FE090000}"/>
    <cellStyle name="SSComma0 2 3" xfId="19447" xr:uid="{00000000-0005-0000-0000-0000FE090000}"/>
    <cellStyle name="SSComma0 2 3 2" xfId="37853" xr:uid="{00000000-0005-0000-0000-0000FE090000}"/>
    <cellStyle name="SSComma0 2 4" xfId="8976" xr:uid="{00000000-0005-0000-0000-0000FE090000}"/>
    <cellStyle name="SSComma0 2 5" xfId="7822" xr:uid="{00000000-0005-0000-0000-0000FE090000}"/>
    <cellStyle name="SSComma0 3" xfId="2947" xr:uid="{00000000-0005-0000-0000-0000FF090000}"/>
    <cellStyle name="SSComma0 3 2" xfId="5213" xr:uid="{00000000-0005-0000-0000-0000FF090000}"/>
    <cellStyle name="SSComma0 3 2 2" xfId="15905" xr:uid="{00000000-0005-0000-0000-0000FF090000}"/>
    <cellStyle name="SSComma0 3 2 2 2" xfId="34279" xr:uid="{00000000-0005-0000-0000-0000FF090000}"/>
    <cellStyle name="SSComma0 3 2 2 3" xfId="52642" xr:uid="{00000000-0005-0000-0000-0000FF090000}"/>
    <cellStyle name="SSComma0 3 2 3" xfId="25026" xr:uid="{00000000-0005-0000-0000-0000FF090000}"/>
    <cellStyle name="SSComma0 3 2 3 2" xfId="43395" xr:uid="{00000000-0005-0000-0000-0000FF090000}"/>
    <cellStyle name="SSComma0 3 2 4" xfId="21347" xr:uid="{00000000-0005-0000-0000-0000FF090000}"/>
    <cellStyle name="SSComma0 3 2 5" xfId="39726" xr:uid="{00000000-0005-0000-0000-0000FF090000}"/>
    <cellStyle name="SSComma0 3 3" xfId="22966" xr:uid="{00000000-0005-0000-0000-0000FF090000}"/>
    <cellStyle name="SSComma0 3 3 2" xfId="41335" xr:uid="{00000000-0005-0000-0000-0000FF090000}"/>
    <cellStyle name="SSComma0 3 4" xfId="17524" xr:uid="{00000000-0005-0000-0000-0000FF090000}"/>
    <cellStyle name="SSComma0 3 5" xfId="35968" xr:uid="{00000000-0005-0000-0000-0000FF090000}"/>
    <cellStyle name="SSComma0 4" xfId="3081" xr:uid="{00000000-0005-0000-0000-0000000A0000}"/>
    <cellStyle name="SSComma0 4 2" xfId="5333" xr:uid="{00000000-0005-0000-0000-0000000A0000}"/>
    <cellStyle name="SSComma0 4 2 2" xfId="16025" xr:uid="{00000000-0005-0000-0000-0000000A0000}"/>
    <cellStyle name="SSComma0 4 2 2 2" xfId="34399" xr:uid="{00000000-0005-0000-0000-0000000A0000}"/>
    <cellStyle name="SSComma0 4 2 2 3" xfId="52762" xr:uid="{00000000-0005-0000-0000-0000000A0000}"/>
    <cellStyle name="SSComma0 4 2 3" xfId="25146" xr:uid="{00000000-0005-0000-0000-0000000A0000}"/>
    <cellStyle name="SSComma0 4 2 3 2" xfId="43515" xr:uid="{00000000-0005-0000-0000-0000000A0000}"/>
    <cellStyle name="SSComma0 4 2 4" xfId="21467" xr:uid="{00000000-0005-0000-0000-0000000A0000}"/>
    <cellStyle name="SSComma0 4 2 5" xfId="39846" xr:uid="{00000000-0005-0000-0000-0000000A0000}"/>
    <cellStyle name="SSComma0 4 3" xfId="23083" xr:uid="{00000000-0005-0000-0000-0000000A0000}"/>
    <cellStyle name="SSComma0 4 3 2" xfId="41452" xr:uid="{00000000-0005-0000-0000-0000000A0000}"/>
    <cellStyle name="SSComma0 4 4" xfId="17643" xr:uid="{00000000-0005-0000-0000-0000000A0000}"/>
    <cellStyle name="SSComma0 4 5" xfId="36085" xr:uid="{00000000-0005-0000-0000-0000000A0000}"/>
    <cellStyle name="SSComma0 5" xfId="3222" xr:uid="{00000000-0005-0000-0000-0000010A0000}"/>
    <cellStyle name="SSComma0 5 2" xfId="5426" xr:uid="{00000000-0005-0000-0000-0000010A0000}"/>
    <cellStyle name="SSComma0 5 2 2" xfId="16117" xr:uid="{00000000-0005-0000-0000-0000010A0000}"/>
    <cellStyle name="SSComma0 5 2 2 2" xfId="34489" xr:uid="{00000000-0005-0000-0000-0000010A0000}"/>
    <cellStyle name="SSComma0 5 2 2 3" xfId="52852" xr:uid="{00000000-0005-0000-0000-0000010A0000}"/>
    <cellStyle name="SSComma0 5 2 3" xfId="25236" xr:uid="{00000000-0005-0000-0000-0000010A0000}"/>
    <cellStyle name="SSComma0 5 2 3 2" xfId="43605" xr:uid="{00000000-0005-0000-0000-0000010A0000}"/>
    <cellStyle name="SSComma0 5 2 4" xfId="21557" xr:uid="{00000000-0005-0000-0000-0000010A0000}"/>
    <cellStyle name="SSComma0 5 2 5" xfId="39936" xr:uid="{00000000-0005-0000-0000-0000010A0000}"/>
    <cellStyle name="SSComma0 5 3" xfId="23165" xr:uid="{00000000-0005-0000-0000-0000010A0000}"/>
    <cellStyle name="SSComma0 5 3 2" xfId="41534" xr:uid="{00000000-0005-0000-0000-0000010A0000}"/>
    <cellStyle name="SSComma0 5 4" xfId="17746" xr:uid="{00000000-0005-0000-0000-0000010A0000}"/>
    <cellStyle name="SSComma0 5 5" xfId="36167" xr:uid="{00000000-0005-0000-0000-0000010A0000}"/>
    <cellStyle name="SSComma0 6" xfId="4121" xr:uid="{00000000-0005-0000-0000-0000FD090000}"/>
    <cellStyle name="SSComma0 6 2" xfId="14875" xr:uid="{00000000-0005-0000-0000-0000FD090000}"/>
    <cellStyle name="SSComma0 6 2 2" xfId="33281" xr:uid="{00000000-0005-0000-0000-0000FD090000}"/>
    <cellStyle name="SSComma0 6 2 3" xfId="51644" xr:uid="{00000000-0005-0000-0000-0000FD090000}"/>
    <cellStyle name="SSComma0 6 3" xfId="24006" xr:uid="{00000000-0005-0000-0000-0000FD090000}"/>
    <cellStyle name="SSComma0 6 3 2" xfId="42375" xr:uid="{00000000-0005-0000-0000-0000FD090000}"/>
    <cellStyle name="SSComma0 6 4" xfId="20329" xr:uid="{00000000-0005-0000-0000-0000FD090000}"/>
    <cellStyle name="SSComma0 6 5" xfId="38728" xr:uid="{00000000-0005-0000-0000-0000FD090000}"/>
    <cellStyle name="SSComma0 7" xfId="19474" xr:uid="{00000000-0005-0000-0000-0000FD090000}"/>
    <cellStyle name="SSComma0 7 2" xfId="37880" xr:uid="{00000000-0005-0000-0000-0000FD090000}"/>
    <cellStyle name="SSComma0 8" xfId="8298" xr:uid="{00000000-0005-0000-0000-0000FD090000}"/>
    <cellStyle name="SSComma0 9" xfId="7544" xr:uid="{00000000-0005-0000-0000-0000FD090000}"/>
    <cellStyle name="SSComma2" xfId="796" xr:uid="{00000000-0005-0000-0000-0000020A0000}"/>
    <cellStyle name="SSComma2 2" xfId="1168" xr:uid="{00000000-0005-0000-0000-0000030A0000}"/>
    <cellStyle name="SSComma2 2 2" xfId="4267" xr:uid="{00000000-0005-0000-0000-0000030A0000}"/>
    <cellStyle name="SSComma2 2 2 2" xfId="15012" xr:uid="{00000000-0005-0000-0000-0000030A0000}"/>
    <cellStyle name="SSComma2 2 2 2 2" xfId="33416" xr:uid="{00000000-0005-0000-0000-0000030A0000}"/>
    <cellStyle name="SSComma2 2 2 2 3" xfId="51779" xr:uid="{00000000-0005-0000-0000-0000030A0000}"/>
    <cellStyle name="SSComma2 2 2 3" xfId="24145" xr:uid="{00000000-0005-0000-0000-0000030A0000}"/>
    <cellStyle name="SSComma2 2 2 3 2" xfId="42514" xr:uid="{00000000-0005-0000-0000-0000030A0000}"/>
    <cellStyle name="SSComma2 2 2 4" xfId="20465" xr:uid="{00000000-0005-0000-0000-0000030A0000}"/>
    <cellStyle name="SSComma2 2 2 5" xfId="38863" xr:uid="{00000000-0005-0000-0000-0000030A0000}"/>
    <cellStyle name="SSComma2 2 3" xfId="18823" xr:uid="{00000000-0005-0000-0000-0000030A0000}"/>
    <cellStyle name="SSComma2 2 3 2" xfId="37232" xr:uid="{00000000-0005-0000-0000-0000030A0000}"/>
    <cellStyle name="SSComma2 2 4" xfId="8798" xr:uid="{00000000-0005-0000-0000-0000030A0000}"/>
    <cellStyle name="SSComma2 2 5" xfId="7507" xr:uid="{00000000-0005-0000-0000-0000030A0000}"/>
    <cellStyle name="SSComma2 3" xfId="2946" xr:uid="{00000000-0005-0000-0000-0000040A0000}"/>
    <cellStyle name="SSComma2 3 2" xfId="5212" xr:uid="{00000000-0005-0000-0000-0000040A0000}"/>
    <cellStyle name="SSComma2 3 2 2" xfId="15904" xr:uid="{00000000-0005-0000-0000-0000040A0000}"/>
    <cellStyle name="SSComma2 3 2 2 2" xfId="34278" xr:uid="{00000000-0005-0000-0000-0000040A0000}"/>
    <cellStyle name="SSComma2 3 2 2 3" xfId="52641" xr:uid="{00000000-0005-0000-0000-0000040A0000}"/>
    <cellStyle name="SSComma2 3 2 3" xfId="25025" xr:uid="{00000000-0005-0000-0000-0000040A0000}"/>
    <cellStyle name="SSComma2 3 2 3 2" xfId="43394" xr:uid="{00000000-0005-0000-0000-0000040A0000}"/>
    <cellStyle name="SSComma2 3 2 4" xfId="21346" xr:uid="{00000000-0005-0000-0000-0000040A0000}"/>
    <cellStyle name="SSComma2 3 2 5" xfId="39725" xr:uid="{00000000-0005-0000-0000-0000040A0000}"/>
    <cellStyle name="SSComma2 3 3" xfId="22965" xr:uid="{00000000-0005-0000-0000-0000040A0000}"/>
    <cellStyle name="SSComma2 3 3 2" xfId="41334" xr:uid="{00000000-0005-0000-0000-0000040A0000}"/>
    <cellStyle name="SSComma2 3 4" xfId="17523" xr:uid="{00000000-0005-0000-0000-0000040A0000}"/>
    <cellStyle name="SSComma2 3 5" xfId="35967" xr:uid="{00000000-0005-0000-0000-0000040A0000}"/>
    <cellStyle name="SSComma2 4" xfId="3082" xr:uid="{00000000-0005-0000-0000-0000050A0000}"/>
    <cellStyle name="SSComma2 4 2" xfId="5334" xr:uid="{00000000-0005-0000-0000-0000050A0000}"/>
    <cellStyle name="SSComma2 4 2 2" xfId="16026" xr:uid="{00000000-0005-0000-0000-0000050A0000}"/>
    <cellStyle name="SSComma2 4 2 2 2" xfId="34400" xr:uid="{00000000-0005-0000-0000-0000050A0000}"/>
    <cellStyle name="SSComma2 4 2 2 3" xfId="52763" xr:uid="{00000000-0005-0000-0000-0000050A0000}"/>
    <cellStyle name="SSComma2 4 2 3" xfId="25147" xr:uid="{00000000-0005-0000-0000-0000050A0000}"/>
    <cellStyle name="SSComma2 4 2 3 2" xfId="43516" xr:uid="{00000000-0005-0000-0000-0000050A0000}"/>
    <cellStyle name="SSComma2 4 2 4" xfId="21468" xr:uid="{00000000-0005-0000-0000-0000050A0000}"/>
    <cellStyle name="SSComma2 4 2 5" xfId="39847" xr:uid="{00000000-0005-0000-0000-0000050A0000}"/>
    <cellStyle name="SSComma2 4 3" xfId="23084" xr:uid="{00000000-0005-0000-0000-0000050A0000}"/>
    <cellStyle name="SSComma2 4 3 2" xfId="41453" xr:uid="{00000000-0005-0000-0000-0000050A0000}"/>
    <cellStyle name="SSComma2 4 4" xfId="17644" xr:uid="{00000000-0005-0000-0000-0000050A0000}"/>
    <cellStyle name="SSComma2 4 5" xfId="36086" xr:uid="{00000000-0005-0000-0000-0000050A0000}"/>
    <cellStyle name="SSComma2 5" xfId="3221" xr:uid="{00000000-0005-0000-0000-0000060A0000}"/>
    <cellStyle name="SSComma2 5 2" xfId="5425" xr:uid="{00000000-0005-0000-0000-0000060A0000}"/>
    <cellStyle name="SSComma2 5 2 2" xfId="16116" xr:uid="{00000000-0005-0000-0000-0000060A0000}"/>
    <cellStyle name="SSComma2 5 2 2 2" xfId="34488" xr:uid="{00000000-0005-0000-0000-0000060A0000}"/>
    <cellStyle name="SSComma2 5 2 2 3" xfId="52851" xr:uid="{00000000-0005-0000-0000-0000060A0000}"/>
    <cellStyle name="SSComma2 5 2 3" xfId="25235" xr:uid="{00000000-0005-0000-0000-0000060A0000}"/>
    <cellStyle name="SSComma2 5 2 3 2" xfId="43604" xr:uid="{00000000-0005-0000-0000-0000060A0000}"/>
    <cellStyle name="SSComma2 5 2 4" xfId="21556" xr:uid="{00000000-0005-0000-0000-0000060A0000}"/>
    <cellStyle name="SSComma2 5 2 5" xfId="39935" xr:uid="{00000000-0005-0000-0000-0000060A0000}"/>
    <cellStyle name="SSComma2 5 3" xfId="23164" xr:uid="{00000000-0005-0000-0000-0000060A0000}"/>
    <cellStyle name="SSComma2 5 3 2" xfId="41533" xr:uid="{00000000-0005-0000-0000-0000060A0000}"/>
    <cellStyle name="SSComma2 5 4" xfId="17745" xr:uid="{00000000-0005-0000-0000-0000060A0000}"/>
    <cellStyle name="SSComma2 5 5" xfId="36166" xr:uid="{00000000-0005-0000-0000-0000060A0000}"/>
    <cellStyle name="SSComma2 6" xfId="4122" xr:uid="{00000000-0005-0000-0000-0000020A0000}"/>
    <cellStyle name="SSComma2 6 2" xfId="14876" xr:uid="{00000000-0005-0000-0000-0000020A0000}"/>
    <cellStyle name="SSComma2 6 2 2" xfId="33282" xr:uid="{00000000-0005-0000-0000-0000020A0000}"/>
    <cellStyle name="SSComma2 6 2 3" xfId="51645" xr:uid="{00000000-0005-0000-0000-0000020A0000}"/>
    <cellStyle name="SSComma2 6 3" xfId="24007" xr:uid="{00000000-0005-0000-0000-0000020A0000}"/>
    <cellStyle name="SSComma2 6 3 2" xfId="42376" xr:uid="{00000000-0005-0000-0000-0000020A0000}"/>
    <cellStyle name="SSComma2 6 4" xfId="20330" xr:uid="{00000000-0005-0000-0000-0000020A0000}"/>
    <cellStyle name="SSComma2 6 5" xfId="38729" xr:uid="{00000000-0005-0000-0000-0000020A0000}"/>
    <cellStyle name="SSComma2 7" xfId="19127" xr:uid="{00000000-0005-0000-0000-0000020A0000}"/>
    <cellStyle name="SSComma2 7 2" xfId="37535" xr:uid="{00000000-0005-0000-0000-0000020A0000}"/>
    <cellStyle name="SSComma2 8" xfId="8433" xr:uid="{00000000-0005-0000-0000-0000020A0000}"/>
    <cellStyle name="SSComma2 9" xfId="8852" xr:uid="{00000000-0005-0000-0000-0000020A0000}"/>
    <cellStyle name="SSDecs3" xfId="797" xr:uid="{00000000-0005-0000-0000-0000070A0000}"/>
    <cellStyle name="SSDecs3 2" xfId="1169" xr:uid="{00000000-0005-0000-0000-0000080A0000}"/>
    <cellStyle name="SSDecs3 2 2" xfId="4268" xr:uid="{00000000-0005-0000-0000-0000080A0000}"/>
    <cellStyle name="SSDecs3 2 2 2" xfId="15013" xr:uid="{00000000-0005-0000-0000-0000080A0000}"/>
    <cellStyle name="SSDecs3 2 2 2 2" xfId="33417" xr:uid="{00000000-0005-0000-0000-0000080A0000}"/>
    <cellStyle name="SSDecs3 2 2 2 3" xfId="51780" xr:uid="{00000000-0005-0000-0000-0000080A0000}"/>
    <cellStyle name="SSDecs3 2 2 3" xfId="24146" xr:uid="{00000000-0005-0000-0000-0000080A0000}"/>
    <cellStyle name="SSDecs3 2 2 3 2" xfId="42515" xr:uid="{00000000-0005-0000-0000-0000080A0000}"/>
    <cellStyle name="SSDecs3 2 2 4" xfId="20466" xr:uid="{00000000-0005-0000-0000-0000080A0000}"/>
    <cellStyle name="SSDecs3 2 2 5" xfId="38864" xr:uid="{00000000-0005-0000-0000-0000080A0000}"/>
    <cellStyle name="SSDecs3 2 3" xfId="16816" xr:uid="{00000000-0005-0000-0000-0000080A0000}"/>
    <cellStyle name="SSDecs3 2 3 2" xfId="8609" xr:uid="{00000000-0005-0000-0000-0000080A0000}"/>
    <cellStyle name="SSDecs3 2 4" xfId="8767" xr:uid="{00000000-0005-0000-0000-0000080A0000}"/>
    <cellStyle name="SSDecs3 2 5" xfId="8597" xr:uid="{00000000-0005-0000-0000-0000080A0000}"/>
    <cellStyle name="SSDecs3 3" xfId="2945" xr:uid="{00000000-0005-0000-0000-0000090A0000}"/>
    <cellStyle name="SSDecs3 3 2" xfId="5211" xr:uid="{00000000-0005-0000-0000-0000090A0000}"/>
    <cellStyle name="SSDecs3 3 2 2" xfId="15903" xr:uid="{00000000-0005-0000-0000-0000090A0000}"/>
    <cellStyle name="SSDecs3 3 2 2 2" xfId="34277" xr:uid="{00000000-0005-0000-0000-0000090A0000}"/>
    <cellStyle name="SSDecs3 3 2 2 3" xfId="52640" xr:uid="{00000000-0005-0000-0000-0000090A0000}"/>
    <cellStyle name="SSDecs3 3 2 3" xfId="25024" xr:uid="{00000000-0005-0000-0000-0000090A0000}"/>
    <cellStyle name="SSDecs3 3 2 3 2" xfId="43393" xr:uid="{00000000-0005-0000-0000-0000090A0000}"/>
    <cellStyle name="SSDecs3 3 2 4" xfId="21345" xr:uid="{00000000-0005-0000-0000-0000090A0000}"/>
    <cellStyle name="SSDecs3 3 2 5" xfId="39724" xr:uid="{00000000-0005-0000-0000-0000090A0000}"/>
    <cellStyle name="SSDecs3 3 3" xfId="22964" xr:uid="{00000000-0005-0000-0000-0000090A0000}"/>
    <cellStyle name="SSDecs3 3 3 2" xfId="41333" xr:uid="{00000000-0005-0000-0000-0000090A0000}"/>
    <cellStyle name="SSDecs3 3 4" xfId="17522" xr:uid="{00000000-0005-0000-0000-0000090A0000}"/>
    <cellStyle name="SSDecs3 3 5" xfId="35966" xr:uid="{00000000-0005-0000-0000-0000090A0000}"/>
    <cellStyle name="SSDecs3 4" xfId="3083" xr:uid="{00000000-0005-0000-0000-00000A0A0000}"/>
    <cellStyle name="SSDecs3 4 2" xfId="5335" xr:uid="{00000000-0005-0000-0000-00000A0A0000}"/>
    <cellStyle name="SSDecs3 4 2 2" xfId="16027" xr:uid="{00000000-0005-0000-0000-00000A0A0000}"/>
    <cellStyle name="SSDecs3 4 2 2 2" xfId="34401" xr:uid="{00000000-0005-0000-0000-00000A0A0000}"/>
    <cellStyle name="SSDecs3 4 2 2 3" xfId="52764" xr:uid="{00000000-0005-0000-0000-00000A0A0000}"/>
    <cellStyle name="SSDecs3 4 2 3" xfId="25148" xr:uid="{00000000-0005-0000-0000-00000A0A0000}"/>
    <cellStyle name="SSDecs3 4 2 3 2" xfId="43517" xr:uid="{00000000-0005-0000-0000-00000A0A0000}"/>
    <cellStyle name="SSDecs3 4 2 4" xfId="21469" xr:uid="{00000000-0005-0000-0000-00000A0A0000}"/>
    <cellStyle name="SSDecs3 4 2 5" xfId="39848" xr:uid="{00000000-0005-0000-0000-00000A0A0000}"/>
    <cellStyle name="SSDecs3 4 3" xfId="23085" xr:uid="{00000000-0005-0000-0000-00000A0A0000}"/>
    <cellStyle name="SSDecs3 4 3 2" xfId="41454" xr:uid="{00000000-0005-0000-0000-00000A0A0000}"/>
    <cellStyle name="SSDecs3 4 4" xfId="17645" xr:uid="{00000000-0005-0000-0000-00000A0A0000}"/>
    <cellStyle name="SSDecs3 4 5" xfId="36087" xr:uid="{00000000-0005-0000-0000-00000A0A0000}"/>
    <cellStyle name="SSDecs3 5" xfId="3220" xr:uid="{00000000-0005-0000-0000-00000B0A0000}"/>
    <cellStyle name="SSDecs3 5 2" xfId="5424" xr:uid="{00000000-0005-0000-0000-00000B0A0000}"/>
    <cellStyle name="SSDecs3 5 2 2" xfId="16115" xr:uid="{00000000-0005-0000-0000-00000B0A0000}"/>
    <cellStyle name="SSDecs3 5 2 2 2" xfId="34487" xr:uid="{00000000-0005-0000-0000-00000B0A0000}"/>
    <cellStyle name="SSDecs3 5 2 2 3" xfId="52850" xr:uid="{00000000-0005-0000-0000-00000B0A0000}"/>
    <cellStyle name="SSDecs3 5 2 3" xfId="25234" xr:uid="{00000000-0005-0000-0000-00000B0A0000}"/>
    <cellStyle name="SSDecs3 5 2 3 2" xfId="43603" xr:uid="{00000000-0005-0000-0000-00000B0A0000}"/>
    <cellStyle name="SSDecs3 5 2 4" xfId="21555" xr:uid="{00000000-0005-0000-0000-00000B0A0000}"/>
    <cellStyle name="SSDecs3 5 2 5" xfId="39934" xr:uid="{00000000-0005-0000-0000-00000B0A0000}"/>
    <cellStyle name="SSDecs3 5 3" xfId="23163" xr:uid="{00000000-0005-0000-0000-00000B0A0000}"/>
    <cellStyle name="SSDecs3 5 3 2" xfId="41532" xr:uid="{00000000-0005-0000-0000-00000B0A0000}"/>
    <cellStyle name="SSDecs3 5 4" xfId="17744" xr:uid="{00000000-0005-0000-0000-00000B0A0000}"/>
    <cellStyle name="SSDecs3 5 5" xfId="36165" xr:uid="{00000000-0005-0000-0000-00000B0A0000}"/>
    <cellStyle name="SSDecs3 6" xfId="4123" xr:uid="{00000000-0005-0000-0000-0000070A0000}"/>
    <cellStyle name="SSDecs3 6 2" xfId="14877" xr:uid="{00000000-0005-0000-0000-0000070A0000}"/>
    <cellStyle name="SSDecs3 6 2 2" xfId="33283" xr:uid="{00000000-0005-0000-0000-0000070A0000}"/>
    <cellStyle name="SSDecs3 6 2 3" xfId="51646" xr:uid="{00000000-0005-0000-0000-0000070A0000}"/>
    <cellStyle name="SSDecs3 6 3" xfId="24008" xr:uid="{00000000-0005-0000-0000-0000070A0000}"/>
    <cellStyle name="SSDecs3 6 3 2" xfId="42377" xr:uid="{00000000-0005-0000-0000-0000070A0000}"/>
    <cellStyle name="SSDecs3 6 4" xfId="20331" xr:uid="{00000000-0005-0000-0000-0000070A0000}"/>
    <cellStyle name="SSDecs3 6 5" xfId="38730" xr:uid="{00000000-0005-0000-0000-0000070A0000}"/>
    <cellStyle name="SSDecs3 7" xfId="18242" xr:uid="{00000000-0005-0000-0000-0000070A0000}"/>
    <cellStyle name="SSDecs3 7 2" xfId="36648" xr:uid="{00000000-0005-0000-0000-0000070A0000}"/>
    <cellStyle name="SSDecs3 8" xfId="8829" xr:uid="{00000000-0005-0000-0000-0000070A0000}"/>
    <cellStyle name="SSDecs3 9" xfId="8541" xr:uid="{00000000-0005-0000-0000-0000070A0000}"/>
    <cellStyle name="SSDflt" xfId="798" xr:uid="{00000000-0005-0000-0000-00000C0A0000}"/>
    <cellStyle name="SSDfltPct" xfId="799" xr:uid="{00000000-0005-0000-0000-00000D0A0000}"/>
    <cellStyle name="SSDfltPct 2" xfId="1170" xr:uid="{00000000-0005-0000-0000-00000E0A0000}"/>
    <cellStyle name="SSDfltPct 2 2" xfId="4269" xr:uid="{00000000-0005-0000-0000-00000E0A0000}"/>
    <cellStyle name="SSDfltPct 2 2 2" xfId="15014" xr:uid="{00000000-0005-0000-0000-00000E0A0000}"/>
    <cellStyle name="SSDfltPct 2 2 2 2" xfId="33418" xr:uid="{00000000-0005-0000-0000-00000E0A0000}"/>
    <cellStyle name="SSDfltPct 2 2 2 3" xfId="51781" xr:uid="{00000000-0005-0000-0000-00000E0A0000}"/>
    <cellStyle name="SSDfltPct 2 2 3" xfId="24147" xr:uid="{00000000-0005-0000-0000-00000E0A0000}"/>
    <cellStyle name="SSDfltPct 2 2 3 2" xfId="42516" xr:uid="{00000000-0005-0000-0000-00000E0A0000}"/>
    <cellStyle name="SSDfltPct 2 2 4" xfId="20467" xr:uid="{00000000-0005-0000-0000-00000E0A0000}"/>
    <cellStyle name="SSDfltPct 2 2 5" xfId="38865" xr:uid="{00000000-0005-0000-0000-00000E0A0000}"/>
    <cellStyle name="SSDfltPct 2 3" xfId="18430" xr:uid="{00000000-0005-0000-0000-00000E0A0000}"/>
    <cellStyle name="SSDfltPct 2 3 2" xfId="36836" xr:uid="{00000000-0005-0000-0000-00000E0A0000}"/>
    <cellStyle name="SSDfltPct 2 4" xfId="13211" xr:uid="{00000000-0005-0000-0000-00000E0A0000}"/>
    <cellStyle name="SSDfltPct 2 5" xfId="8161" xr:uid="{00000000-0005-0000-0000-00000E0A0000}"/>
    <cellStyle name="SSDfltPct 3" xfId="2944" xr:uid="{00000000-0005-0000-0000-00000F0A0000}"/>
    <cellStyle name="SSDfltPct 3 2" xfId="5210" xr:uid="{00000000-0005-0000-0000-00000F0A0000}"/>
    <cellStyle name="SSDfltPct 3 2 2" xfId="15902" xr:uid="{00000000-0005-0000-0000-00000F0A0000}"/>
    <cellStyle name="SSDfltPct 3 2 2 2" xfId="34276" xr:uid="{00000000-0005-0000-0000-00000F0A0000}"/>
    <cellStyle name="SSDfltPct 3 2 2 3" xfId="52639" xr:uid="{00000000-0005-0000-0000-00000F0A0000}"/>
    <cellStyle name="SSDfltPct 3 2 3" xfId="25023" xr:uid="{00000000-0005-0000-0000-00000F0A0000}"/>
    <cellStyle name="SSDfltPct 3 2 3 2" xfId="43392" xr:uid="{00000000-0005-0000-0000-00000F0A0000}"/>
    <cellStyle name="SSDfltPct 3 2 4" xfId="21344" xr:uid="{00000000-0005-0000-0000-00000F0A0000}"/>
    <cellStyle name="SSDfltPct 3 2 5" xfId="39723" xr:uid="{00000000-0005-0000-0000-00000F0A0000}"/>
    <cellStyle name="SSDfltPct 3 3" xfId="22963" xr:uid="{00000000-0005-0000-0000-00000F0A0000}"/>
    <cellStyle name="SSDfltPct 3 3 2" xfId="41332" xr:uid="{00000000-0005-0000-0000-00000F0A0000}"/>
    <cellStyle name="SSDfltPct 3 4" xfId="17521" xr:uid="{00000000-0005-0000-0000-00000F0A0000}"/>
    <cellStyle name="SSDfltPct 3 5" xfId="35965" xr:uid="{00000000-0005-0000-0000-00000F0A0000}"/>
    <cellStyle name="SSDfltPct 4" xfId="3084" xr:uid="{00000000-0005-0000-0000-0000100A0000}"/>
    <cellStyle name="SSDfltPct 4 2" xfId="5336" xr:uid="{00000000-0005-0000-0000-0000100A0000}"/>
    <cellStyle name="SSDfltPct 4 2 2" xfId="16028" xr:uid="{00000000-0005-0000-0000-0000100A0000}"/>
    <cellStyle name="SSDfltPct 4 2 2 2" xfId="34402" xr:uid="{00000000-0005-0000-0000-0000100A0000}"/>
    <cellStyle name="SSDfltPct 4 2 2 3" xfId="52765" xr:uid="{00000000-0005-0000-0000-0000100A0000}"/>
    <cellStyle name="SSDfltPct 4 2 3" xfId="25149" xr:uid="{00000000-0005-0000-0000-0000100A0000}"/>
    <cellStyle name="SSDfltPct 4 2 3 2" xfId="43518" xr:uid="{00000000-0005-0000-0000-0000100A0000}"/>
    <cellStyle name="SSDfltPct 4 2 4" xfId="21470" xr:uid="{00000000-0005-0000-0000-0000100A0000}"/>
    <cellStyle name="SSDfltPct 4 2 5" xfId="39849" xr:uid="{00000000-0005-0000-0000-0000100A0000}"/>
    <cellStyle name="SSDfltPct 4 3" xfId="23086" xr:uid="{00000000-0005-0000-0000-0000100A0000}"/>
    <cellStyle name="SSDfltPct 4 3 2" xfId="41455" xr:uid="{00000000-0005-0000-0000-0000100A0000}"/>
    <cellStyle name="SSDfltPct 4 4" xfId="17646" xr:uid="{00000000-0005-0000-0000-0000100A0000}"/>
    <cellStyle name="SSDfltPct 4 5" xfId="36088" xr:uid="{00000000-0005-0000-0000-0000100A0000}"/>
    <cellStyle name="SSDfltPct 5" xfId="3219" xr:uid="{00000000-0005-0000-0000-0000110A0000}"/>
    <cellStyle name="SSDfltPct 5 2" xfId="5423" xr:uid="{00000000-0005-0000-0000-0000110A0000}"/>
    <cellStyle name="SSDfltPct 5 2 2" xfId="16114" xr:uid="{00000000-0005-0000-0000-0000110A0000}"/>
    <cellStyle name="SSDfltPct 5 2 2 2" xfId="34486" xr:uid="{00000000-0005-0000-0000-0000110A0000}"/>
    <cellStyle name="SSDfltPct 5 2 2 3" xfId="52849" xr:uid="{00000000-0005-0000-0000-0000110A0000}"/>
    <cellStyle name="SSDfltPct 5 2 3" xfId="25233" xr:uid="{00000000-0005-0000-0000-0000110A0000}"/>
    <cellStyle name="SSDfltPct 5 2 3 2" xfId="43602" xr:uid="{00000000-0005-0000-0000-0000110A0000}"/>
    <cellStyle name="SSDfltPct 5 2 4" xfId="21554" xr:uid="{00000000-0005-0000-0000-0000110A0000}"/>
    <cellStyle name="SSDfltPct 5 2 5" xfId="39933" xr:uid="{00000000-0005-0000-0000-0000110A0000}"/>
    <cellStyle name="SSDfltPct 5 3" xfId="23162" xr:uid="{00000000-0005-0000-0000-0000110A0000}"/>
    <cellStyle name="SSDfltPct 5 3 2" xfId="41531" xr:uid="{00000000-0005-0000-0000-0000110A0000}"/>
    <cellStyle name="SSDfltPct 5 4" xfId="17743" xr:uid="{00000000-0005-0000-0000-0000110A0000}"/>
    <cellStyle name="SSDfltPct 5 5" xfId="36164" xr:uid="{00000000-0005-0000-0000-0000110A0000}"/>
    <cellStyle name="SSDfltPct 6" xfId="4124" xr:uid="{00000000-0005-0000-0000-00000D0A0000}"/>
    <cellStyle name="SSDfltPct 6 2" xfId="14878" xr:uid="{00000000-0005-0000-0000-00000D0A0000}"/>
    <cellStyle name="SSDfltPct 6 2 2" xfId="33284" xr:uid="{00000000-0005-0000-0000-00000D0A0000}"/>
    <cellStyle name="SSDfltPct 6 2 3" xfId="51647" xr:uid="{00000000-0005-0000-0000-00000D0A0000}"/>
    <cellStyle name="SSDfltPct 6 3" xfId="24009" xr:uid="{00000000-0005-0000-0000-00000D0A0000}"/>
    <cellStyle name="SSDfltPct 6 3 2" xfId="42378" xr:uid="{00000000-0005-0000-0000-00000D0A0000}"/>
    <cellStyle name="SSDfltPct 6 4" xfId="20332" xr:uid="{00000000-0005-0000-0000-00000D0A0000}"/>
    <cellStyle name="SSDfltPct 6 5" xfId="38731" xr:uid="{00000000-0005-0000-0000-00000D0A0000}"/>
    <cellStyle name="SSDfltPct 7" xfId="19504" xr:uid="{00000000-0005-0000-0000-00000D0A0000}"/>
    <cellStyle name="SSDfltPct 7 2" xfId="37910" xr:uid="{00000000-0005-0000-0000-00000D0A0000}"/>
    <cellStyle name="SSDfltPct 8" xfId="7514" xr:uid="{00000000-0005-0000-0000-00000D0A0000}"/>
    <cellStyle name="SSDfltPct 9" xfId="8221" xr:uid="{00000000-0005-0000-0000-00000D0A0000}"/>
    <cellStyle name="SSDfltPct0" xfId="800" xr:uid="{00000000-0005-0000-0000-0000120A0000}"/>
    <cellStyle name="SSDfltPct0 2" xfId="1171" xr:uid="{00000000-0005-0000-0000-0000130A0000}"/>
    <cellStyle name="SSDfltPct0 2 2" xfId="4270" xr:uid="{00000000-0005-0000-0000-0000130A0000}"/>
    <cellStyle name="SSDfltPct0 2 2 2" xfId="15015" xr:uid="{00000000-0005-0000-0000-0000130A0000}"/>
    <cellStyle name="SSDfltPct0 2 2 2 2" xfId="33419" xr:uid="{00000000-0005-0000-0000-0000130A0000}"/>
    <cellStyle name="SSDfltPct0 2 2 2 3" xfId="51782" xr:uid="{00000000-0005-0000-0000-0000130A0000}"/>
    <cellStyle name="SSDfltPct0 2 2 3" xfId="24148" xr:uid="{00000000-0005-0000-0000-0000130A0000}"/>
    <cellStyle name="SSDfltPct0 2 2 3 2" xfId="42517" xr:uid="{00000000-0005-0000-0000-0000130A0000}"/>
    <cellStyle name="SSDfltPct0 2 2 4" xfId="20468" xr:uid="{00000000-0005-0000-0000-0000130A0000}"/>
    <cellStyle name="SSDfltPct0 2 2 5" xfId="38866" xr:uid="{00000000-0005-0000-0000-0000130A0000}"/>
    <cellStyle name="SSDfltPct0 2 3" xfId="18818" xr:uid="{00000000-0005-0000-0000-0000130A0000}"/>
    <cellStyle name="SSDfltPct0 2 3 2" xfId="37227" xr:uid="{00000000-0005-0000-0000-0000130A0000}"/>
    <cellStyle name="SSDfltPct0 2 4" xfId="16771" xr:uid="{00000000-0005-0000-0000-0000130A0000}"/>
    <cellStyle name="SSDfltPct0 2 5" xfId="8610" xr:uid="{00000000-0005-0000-0000-0000130A0000}"/>
    <cellStyle name="SSDfltPct0 3" xfId="2943" xr:uid="{00000000-0005-0000-0000-0000140A0000}"/>
    <cellStyle name="SSDfltPct0 3 2" xfId="5209" xr:uid="{00000000-0005-0000-0000-0000140A0000}"/>
    <cellStyle name="SSDfltPct0 3 2 2" xfId="15901" xr:uid="{00000000-0005-0000-0000-0000140A0000}"/>
    <cellStyle name="SSDfltPct0 3 2 2 2" xfId="34275" xr:uid="{00000000-0005-0000-0000-0000140A0000}"/>
    <cellStyle name="SSDfltPct0 3 2 2 3" xfId="52638" xr:uid="{00000000-0005-0000-0000-0000140A0000}"/>
    <cellStyle name="SSDfltPct0 3 2 3" xfId="25022" xr:uid="{00000000-0005-0000-0000-0000140A0000}"/>
    <cellStyle name="SSDfltPct0 3 2 3 2" xfId="43391" xr:uid="{00000000-0005-0000-0000-0000140A0000}"/>
    <cellStyle name="SSDfltPct0 3 2 4" xfId="21343" xr:uid="{00000000-0005-0000-0000-0000140A0000}"/>
    <cellStyle name="SSDfltPct0 3 2 5" xfId="39722" xr:uid="{00000000-0005-0000-0000-0000140A0000}"/>
    <cellStyle name="SSDfltPct0 3 3" xfId="22962" xr:uid="{00000000-0005-0000-0000-0000140A0000}"/>
    <cellStyle name="SSDfltPct0 3 3 2" xfId="41331" xr:uid="{00000000-0005-0000-0000-0000140A0000}"/>
    <cellStyle name="SSDfltPct0 3 4" xfId="17520" xr:uid="{00000000-0005-0000-0000-0000140A0000}"/>
    <cellStyle name="SSDfltPct0 3 5" xfId="35964" xr:uid="{00000000-0005-0000-0000-0000140A0000}"/>
    <cellStyle name="SSDfltPct0 4" xfId="3085" xr:uid="{00000000-0005-0000-0000-0000150A0000}"/>
    <cellStyle name="SSDfltPct0 4 2" xfId="5337" xr:uid="{00000000-0005-0000-0000-0000150A0000}"/>
    <cellStyle name="SSDfltPct0 4 2 2" xfId="16029" xr:uid="{00000000-0005-0000-0000-0000150A0000}"/>
    <cellStyle name="SSDfltPct0 4 2 2 2" xfId="34403" xr:uid="{00000000-0005-0000-0000-0000150A0000}"/>
    <cellStyle name="SSDfltPct0 4 2 2 3" xfId="52766" xr:uid="{00000000-0005-0000-0000-0000150A0000}"/>
    <cellStyle name="SSDfltPct0 4 2 3" xfId="25150" xr:uid="{00000000-0005-0000-0000-0000150A0000}"/>
    <cellStyle name="SSDfltPct0 4 2 3 2" xfId="43519" xr:uid="{00000000-0005-0000-0000-0000150A0000}"/>
    <cellStyle name="SSDfltPct0 4 2 4" xfId="21471" xr:uid="{00000000-0005-0000-0000-0000150A0000}"/>
    <cellStyle name="SSDfltPct0 4 2 5" xfId="39850" xr:uid="{00000000-0005-0000-0000-0000150A0000}"/>
    <cellStyle name="SSDfltPct0 4 3" xfId="23087" xr:uid="{00000000-0005-0000-0000-0000150A0000}"/>
    <cellStyle name="SSDfltPct0 4 3 2" xfId="41456" xr:uid="{00000000-0005-0000-0000-0000150A0000}"/>
    <cellStyle name="SSDfltPct0 4 4" xfId="17647" xr:uid="{00000000-0005-0000-0000-0000150A0000}"/>
    <cellStyle name="SSDfltPct0 4 5" xfId="36089" xr:uid="{00000000-0005-0000-0000-0000150A0000}"/>
    <cellStyle name="SSDfltPct0 5" xfId="3218" xr:uid="{00000000-0005-0000-0000-0000160A0000}"/>
    <cellStyle name="SSDfltPct0 5 2" xfId="5422" xr:uid="{00000000-0005-0000-0000-0000160A0000}"/>
    <cellStyle name="SSDfltPct0 5 2 2" xfId="16113" xr:uid="{00000000-0005-0000-0000-0000160A0000}"/>
    <cellStyle name="SSDfltPct0 5 2 2 2" xfId="34485" xr:uid="{00000000-0005-0000-0000-0000160A0000}"/>
    <cellStyle name="SSDfltPct0 5 2 2 3" xfId="52848" xr:uid="{00000000-0005-0000-0000-0000160A0000}"/>
    <cellStyle name="SSDfltPct0 5 2 3" xfId="25232" xr:uid="{00000000-0005-0000-0000-0000160A0000}"/>
    <cellStyle name="SSDfltPct0 5 2 3 2" xfId="43601" xr:uid="{00000000-0005-0000-0000-0000160A0000}"/>
    <cellStyle name="SSDfltPct0 5 2 4" xfId="21553" xr:uid="{00000000-0005-0000-0000-0000160A0000}"/>
    <cellStyle name="SSDfltPct0 5 2 5" xfId="39932" xr:uid="{00000000-0005-0000-0000-0000160A0000}"/>
    <cellStyle name="SSDfltPct0 5 3" xfId="23161" xr:uid="{00000000-0005-0000-0000-0000160A0000}"/>
    <cellStyle name="SSDfltPct0 5 3 2" xfId="41530" xr:uid="{00000000-0005-0000-0000-0000160A0000}"/>
    <cellStyle name="SSDfltPct0 5 4" xfId="17742" xr:uid="{00000000-0005-0000-0000-0000160A0000}"/>
    <cellStyle name="SSDfltPct0 5 5" xfId="36163" xr:uid="{00000000-0005-0000-0000-0000160A0000}"/>
    <cellStyle name="SSDfltPct0 6" xfId="4125" xr:uid="{00000000-0005-0000-0000-0000120A0000}"/>
    <cellStyle name="SSDfltPct0 6 2" xfId="14879" xr:uid="{00000000-0005-0000-0000-0000120A0000}"/>
    <cellStyle name="SSDfltPct0 6 2 2" xfId="33285" xr:uid="{00000000-0005-0000-0000-0000120A0000}"/>
    <cellStyle name="SSDfltPct0 6 2 3" xfId="51648" xr:uid="{00000000-0005-0000-0000-0000120A0000}"/>
    <cellStyle name="SSDfltPct0 6 3" xfId="24010" xr:uid="{00000000-0005-0000-0000-0000120A0000}"/>
    <cellStyle name="SSDfltPct0 6 3 2" xfId="42379" xr:uid="{00000000-0005-0000-0000-0000120A0000}"/>
    <cellStyle name="SSDfltPct0 6 4" xfId="20333" xr:uid="{00000000-0005-0000-0000-0000120A0000}"/>
    <cellStyle name="SSDfltPct0 6 5" xfId="38732" xr:uid="{00000000-0005-0000-0000-0000120A0000}"/>
    <cellStyle name="SSDfltPct0 7" xfId="19475" xr:uid="{00000000-0005-0000-0000-0000120A0000}"/>
    <cellStyle name="SSDfltPct0 7 2" xfId="37881" xr:uid="{00000000-0005-0000-0000-0000120A0000}"/>
    <cellStyle name="SSDfltPct0 8" xfId="8569" xr:uid="{00000000-0005-0000-0000-0000120A0000}"/>
    <cellStyle name="SSDfltPct0 9" xfId="7584" xr:uid="{00000000-0005-0000-0000-0000120A0000}"/>
    <cellStyle name="SSFixed2" xfId="801" xr:uid="{00000000-0005-0000-0000-0000170A0000}"/>
    <cellStyle name="SSFixed2 2" xfId="1172" xr:uid="{00000000-0005-0000-0000-0000180A0000}"/>
    <cellStyle name="SSFixed2 2 2" xfId="4271" xr:uid="{00000000-0005-0000-0000-0000180A0000}"/>
    <cellStyle name="SSFixed2 2 2 2" xfId="15016" xr:uid="{00000000-0005-0000-0000-0000180A0000}"/>
    <cellStyle name="SSFixed2 2 2 2 2" xfId="33420" xr:uid="{00000000-0005-0000-0000-0000180A0000}"/>
    <cellStyle name="SSFixed2 2 2 2 3" xfId="51783" xr:uid="{00000000-0005-0000-0000-0000180A0000}"/>
    <cellStyle name="SSFixed2 2 2 3" xfId="24149" xr:uid="{00000000-0005-0000-0000-0000180A0000}"/>
    <cellStyle name="SSFixed2 2 2 3 2" xfId="42518" xr:uid="{00000000-0005-0000-0000-0000180A0000}"/>
    <cellStyle name="SSFixed2 2 2 4" xfId="20469" xr:uid="{00000000-0005-0000-0000-0000180A0000}"/>
    <cellStyle name="SSFixed2 2 2 5" xfId="38867" xr:uid="{00000000-0005-0000-0000-0000180A0000}"/>
    <cellStyle name="SSFixed2 2 3" xfId="19441" xr:uid="{00000000-0005-0000-0000-0000180A0000}"/>
    <cellStyle name="SSFixed2 2 3 2" xfId="37847" xr:uid="{00000000-0005-0000-0000-0000180A0000}"/>
    <cellStyle name="SSFixed2 2 4" xfId="16824" xr:uid="{00000000-0005-0000-0000-0000180A0000}"/>
    <cellStyle name="SSFixed2 2 5" xfId="8326" xr:uid="{00000000-0005-0000-0000-0000180A0000}"/>
    <cellStyle name="SSFixed2 3" xfId="2942" xr:uid="{00000000-0005-0000-0000-0000190A0000}"/>
    <cellStyle name="SSFixed2 3 2" xfId="5208" xr:uid="{00000000-0005-0000-0000-0000190A0000}"/>
    <cellStyle name="SSFixed2 3 2 2" xfId="15900" xr:uid="{00000000-0005-0000-0000-0000190A0000}"/>
    <cellStyle name="SSFixed2 3 2 2 2" xfId="34274" xr:uid="{00000000-0005-0000-0000-0000190A0000}"/>
    <cellStyle name="SSFixed2 3 2 2 3" xfId="52637" xr:uid="{00000000-0005-0000-0000-0000190A0000}"/>
    <cellStyle name="SSFixed2 3 2 3" xfId="25021" xr:uid="{00000000-0005-0000-0000-0000190A0000}"/>
    <cellStyle name="SSFixed2 3 2 3 2" xfId="43390" xr:uid="{00000000-0005-0000-0000-0000190A0000}"/>
    <cellStyle name="SSFixed2 3 2 4" xfId="21342" xr:uid="{00000000-0005-0000-0000-0000190A0000}"/>
    <cellStyle name="SSFixed2 3 2 5" xfId="39721" xr:uid="{00000000-0005-0000-0000-0000190A0000}"/>
    <cellStyle name="SSFixed2 3 3" xfId="22961" xr:uid="{00000000-0005-0000-0000-0000190A0000}"/>
    <cellStyle name="SSFixed2 3 3 2" xfId="41330" xr:uid="{00000000-0005-0000-0000-0000190A0000}"/>
    <cellStyle name="SSFixed2 3 4" xfId="17519" xr:uid="{00000000-0005-0000-0000-0000190A0000}"/>
    <cellStyle name="SSFixed2 3 5" xfId="35963" xr:uid="{00000000-0005-0000-0000-0000190A0000}"/>
    <cellStyle name="SSFixed2 4" xfId="3086" xr:uid="{00000000-0005-0000-0000-00001A0A0000}"/>
    <cellStyle name="SSFixed2 4 2" xfId="5338" xr:uid="{00000000-0005-0000-0000-00001A0A0000}"/>
    <cellStyle name="SSFixed2 4 2 2" xfId="16030" xr:uid="{00000000-0005-0000-0000-00001A0A0000}"/>
    <cellStyle name="SSFixed2 4 2 2 2" xfId="34404" xr:uid="{00000000-0005-0000-0000-00001A0A0000}"/>
    <cellStyle name="SSFixed2 4 2 2 3" xfId="52767" xr:uid="{00000000-0005-0000-0000-00001A0A0000}"/>
    <cellStyle name="SSFixed2 4 2 3" xfId="25151" xr:uid="{00000000-0005-0000-0000-00001A0A0000}"/>
    <cellStyle name="SSFixed2 4 2 3 2" xfId="43520" xr:uid="{00000000-0005-0000-0000-00001A0A0000}"/>
    <cellStyle name="SSFixed2 4 2 4" xfId="21472" xr:uid="{00000000-0005-0000-0000-00001A0A0000}"/>
    <cellStyle name="SSFixed2 4 2 5" xfId="39851" xr:uid="{00000000-0005-0000-0000-00001A0A0000}"/>
    <cellStyle name="SSFixed2 4 3" xfId="23088" xr:uid="{00000000-0005-0000-0000-00001A0A0000}"/>
    <cellStyle name="SSFixed2 4 3 2" xfId="41457" xr:uid="{00000000-0005-0000-0000-00001A0A0000}"/>
    <cellStyle name="SSFixed2 4 4" xfId="17648" xr:uid="{00000000-0005-0000-0000-00001A0A0000}"/>
    <cellStyle name="SSFixed2 4 5" xfId="36090" xr:uid="{00000000-0005-0000-0000-00001A0A0000}"/>
    <cellStyle name="SSFixed2 5" xfId="3217" xr:uid="{00000000-0005-0000-0000-00001B0A0000}"/>
    <cellStyle name="SSFixed2 5 2" xfId="5421" xr:uid="{00000000-0005-0000-0000-00001B0A0000}"/>
    <cellStyle name="SSFixed2 5 2 2" xfId="16112" xr:uid="{00000000-0005-0000-0000-00001B0A0000}"/>
    <cellStyle name="SSFixed2 5 2 2 2" xfId="34484" xr:uid="{00000000-0005-0000-0000-00001B0A0000}"/>
    <cellStyle name="SSFixed2 5 2 2 3" xfId="52847" xr:uid="{00000000-0005-0000-0000-00001B0A0000}"/>
    <cellStyle name="SSFixed2 5 2 3" xfId="25231" xr:uid="{00000000-0005-0000-0000-00001B0A0000}"/>
    <cellStyle name="SSFixed2 5 2 3 2" xfId="43600" xr:uid="{00000000-0005-0000-0000-00001B0A0000}"/>
    <cellStyle name="SSFixed2 5 2 4" xfId="21552" xr:uid="{00000000-0005-0000-0000-00001B0A0000}"/>
    <cellStyle name="SSFixed2 5 2 5" xfId="39931" xr:uid="{00000000-0005-0000-0000-00001B0A0000}"/>
    <cellStyle name="SSFixed2 5 3" xfId="23160" xr:uid="{00000000-0005-0000-0000-00001B0A0000}"/>
    <cellStyle name="SSFixed2 5 3 2" xfId="41529" xr:uid="{00000000-0005-0000-0000-00001B0A0000}"/>
    <cellStyle name="SSFixed2 5 4" xfId="17741" xr:uid="{00000000-0005-0000-0000-00001B0A0000}"/>
    <cellStyle name="SSFixed2 5 5" xfId="36162" xr:uid="{00000000-0005-0000-0000-00001B0A0000}"/>
    <cellStyle name="SSFixed2 6" xfId="4126" xr:uid="{00000000-0005-0000-0000-0000170A0000}"/>
    <cellStyle name="SSFixed2 6 2" xfId="14880" xr:uid="{00000000-0005-0000-0000-0000170A0000}"/>
    <cellStyle name="SSFixed2 6 2 2" xfId="33286" xr:uid="{00000000-0005-0000-0000-0000170A0000}"/>
    <cellStyle name="SSFixed2 6 2 3" xfId="51649" xr:uid="{00000000-0005-0000-0000-0000170A0000}"/>
    <cellStyle name="SSFixed2 6 3" xfId="24011" xr:uid="{00000000-0005-0000-0000-0000170A0000}"/>
    <cellStyle name="SSFixed2 6 3 2" xfId="42380" xr:uid="{00000000-0005-0000-0000-0000170A0000}"/>
    <cellStyle name="SSFixed2 6 4" xfId="20334" xr:uid="{00000000-0005-0000-0000-0000170A0000}"/>
    <cellStyle name="SSFixed2 6 5" xfId="38733" xr:uid="{00000000-0005-0000-0000-0000170A0000}"/>
    <cellStyle name="SSFixed2 7" xfId="18191" xr:uid="{00000000-0005-0000-0000-0000170A0000}"/>
    <cellStyle name="SSFixed2 7 2" xfId="36597" xr:uid="{00000000-0005-0000-0000-0000170A0000}"/>
    <cellStyle name="SSFixed2 8" xfId="8158" xr:uid="{00000000-0005-0000-0000-0000170A0000}"/>
    <cellStyle name="SSFixed2 9" xfId="11691" xr:uid="{00000000-0005-0000-0000-0000170A0000}"/>
    <cellStyle name="Standaard_TELECOM" xfId="802" xr:uid="{00000000-0005-0000-0000-00001C0A0000}"/>
    <cellStyle name="Standard_020109_IMP_DetailedDATA_Long run business plan_GS" xfId="803" xr:uid="{00000000-0005-0000-0000-00001D0A0000}"/>
    <cellStyle name="Std Currency" xfId="804" xr:uid="{00000000-0005-0000-0000-00001E0A0000}"/>
    <cellStyle name="Std Input" xfId="805" xr:uid="{00000000-0005-0000-0000-00001F0A0000}"/>
    <cellStyle name="Std Number" xfId="806" xr:uid="{00000000-0005-0000-0000-0000200A0000}"/>
    <cellStyle name="Std Percent" xfId="807" xr:uid="{00000000-0005-0000-0000-0000210A0000}"/>
    <cellStyle name="Std Text" xfId="808" xr:uid="{00000000-0005-0000-0000-0000220A0000}"/>
    <cellStyle name="Std Text 2" xfId="2212" xr:uid="{00000000-0005-0000-0000-0000230A0000}"/>
    <cellStyle name="Std Text 3" xfId="2657" xr:uid="{00000000-0005-0000-0000-0000240A0000}"/>
    <cellStyle name="Strange" xfId="809" xr:uid="{00000000-0005-0000-0000-0000250A0000}"/>
    <cellStyle name="Strange 2" xfId="2213" xr:uid="{00000000-0005-0000-0000-0000260A0000}"/>
    <cellStyle name="Strange 3" xfId="2658" xr:uid="{00000000-0005-0000-0000-0000270A0000}"/>
    <cellStyle name="STYL1 - Style1" xfId="810" xr:uid="{00000000-0005-0000-0000-0000280A0000}"/>
    <cellStyle name="STYL1 - Style1 2" xfId="2214" xr:uid="{00000000-0005-0000-0000-0000290A0000}"/>
    <cellStyle name="STYL1 - Style1 3" xfId="2659" xr:uid="{00000000-0005-0000-0000-00002A0A0000}"/>
    <cellStyle name="STYL2 - Style2" xfId="811" xr:uid="{00000000-0005-0000-0000-00002B0A0000}"/>
    <cellStyle name="STYL2 - Style2 2" xfId="2215" xr:uid="{00000000-0005-0000-0000-00002C0A0000}"/>
    <cellStyle name="STYL2 - Style2 3" xfId="2660" xr:uid="{00000000-0005-0000-0000-00002D0A0000}"/>
    <cellStyle name="STYL3 - Style3" xfId="812" xr:uid="{00000000-0005-0000-0000-00002E0A0000}"/>
    <cellStyle name="STYL3 - Style3 2" xfId="2216" xr:uid="{00000000-0005-0000-0000-00002F0A0000}"/>
    <cellStyle name="STYL3 - Style3 3" xfId="2661" xr:uid="{00000000-0005-0000-0000-0000300A0000}"/>
    <cellStyle name="STYL4 - Style4" xfId="813" xr:uid="{00000000-0005-0000-0000-0000310A0000}"/>
    <cellStyle name="STYL4 - Style4 2" xfId="2217" xr:uid="{00000000-0005-0000-0000-0000320A0000}"/>
    <cellStyle name="STYL4 - Style4 3" xfId="2662" xr:uid="{00000000-0005-0000-0000-0000330A0000}"/>
    <cellStyle name="STYL5 - Style5" xfId="814" xr:uid="{00000000-0005-0000-0000-0000340A0000}"/>
    <cellStyle name="STYL5 - Style5 2" xfId="2218" xr:uid="{00000000-0005-0000-0000-0000350A0000}"/>
    <cellStyle name="STYL5 - Style5 3" xfId="2663" xr:uid="{00000000-0005-0000-0000-0000360A0000}"/>
    <cellStyle name="Style 1" xfId="815" xr:uid="{00000000-0005-0000-0000-0000370A0000}"/>
    <cellStyle name="Style 1 2" xfId="2219" xr:uid="{00000000-0005-0000-0000-0000380A0000}"/>
    <cellStyle name="Style 1 3" xfId="2664" xr:uid="{00000000-0005-0000-0000-0000390A0000}"/>
    <cellStyle name="Style 2" xfId="816" xr:uid="{00000000-0005-0000-0000-00003A0A0000}"/>
    <cellStyle name="Style 2 2" xfId="2220" xr:uid="{00000000-0005-0000-0000-00003B0A0000}"/>
    <cellStyle name="Style 2 3" xfId="2749" xr:uid="{00000000-0005-0000-0000-00003C0A0000}"/>
    <cellStyle name="Style 21" xfId="817" xr:uid="{00000000-0005-0000-0000-00003D0A0000}"/>
    <cellStyle name="Style 21 10" xfId="18243" xr:uid="{00000000-0005-0000-0000-00003D0A0000}"/>
    <cellStyle name="Style 21 10 2" xfId="36649" xr:uid="{00000000-0005-0000-0000-00003D0A0000}"/>
    <cellStyle name="Style 21 11" xfId="8983" xr:uid="{00000000-0005-0000-0000-00003D0A0000}"/>
    <cellStyle name="Style 21 12" xfId="22315" xr:uid="{00000000-0005-0000-0000-00003D0A0000}"/>
    <cellStyle name="Style 21 2" xfId="1173" xr:uid="{00000000-0005-0000-0000-00003E0A0000}"/>
    <cellStyle name="Style 21 2 2" xfId="4272" xr:uid="{00000000-0005-0000-0000-00003E0A0000}"/>
    <cellStyle name="Style 21 2 2 2" xfId="15017" xr:uid="{00000000-0005-0000-0000-00003E0A0000}"/>
    <cellStyle name="Style 21 2 2 2 2" xfId="33421" xr:uid="{00000000-0005-0000-0000-00003E0A0000}"/>
    <cellStyle name="Style 21 2 2 2 3" xfId="51784" xr:uid="{00000000-0005-0000-0000-00003E0A0000}"/>
    <cellStyle name="Style 21 2 2 3" xfId="24150" xr:uid="{00000000-0005-0000-0000-00003E0A0000}"/>
    <cellStyle name="Style 21 2 2 3 2" xfId="42519" xr:uid="{00000000-0005-0000-0000-00003E0A0000}"/>
    <cellStyle name="Style 21 2 2 4" xfId="20470" xr:uid="{00000000-0005-0000-0000-00003E0A0000}"/>
    <cellStyle name="Style 21 2 2 5" xfId="38868" xr:uid="{00000000-0005-0000-0000-00003E0A0000}"/>
    <cellStyle name="Style 21 2 3" xfId="19444" xr:uid="{00000000-0005-0000-0000-00003E0A0000}"/>
    <cellStyle name="Style 21 2 3 2" xfId="37850" xr:uid="{00000000-0005-0000-0000-00003E0A0000}"/>
    <cellStyle name="Style 21 2 4" xfId="16774" xr:uid="{00000000-0005-0000-0000-00003E0A0000}"/>
    <cellStyle name="Style 21 2 5" xfId="8772" xr:uid="{00000000-0005-0000-0000-00003E0A0000}"/>
    <cellStyle name="Style 21 3" xfId="1847" xr:uid="{00000000-0005-0000-0000-00003F0A0000}"/>
    <cellStyle name="Style 21 3 2" xfId="4773" xr:uid="{00000000-0005-0000-0000-00003F0A0000}"/>
    <cellStyle name="Style 21 3 2 2" xfId="15499" xr:uid="{00000000-0005-0000-0000-00003F0A0000}"/>
    <cellStyle name="Style 21 3 2 2 2" xfId="33892" xr:uid="{00000000-0005-0000-0000-00003F0A0000}"/>
    <cellStyle name="Style 21 3 2 2 3" xfId="52255" xr:uid="{00000000-0005-0000-0000-00003F0A0000}"/>
    <cellStyle name="Style 21 3 2 3" xfId="24623" xr:uid="{00000000-0005-0000-0000-00003F0A0000}"/>
    <cellStyle name="Style 21 3 2 3 2" xfId="42992" xr:uid="{00000000-0005-0000-0000-00003F0A0000}"/>
    <cellStyle name="Style 21 3 2 4" xfId="20950" xr:uid="{00000000-0005-0000-0000-00003F0A0000}"/>
    <cellStyle name="Style 21 3 2 5" xfId="39339" xr:uid="{00000000-0005-0000-0000-00003F0A0000}"/>
    <cellStyle name="Style 21 3 3" xfId="18428" xr:uid="{00000000-0005-0000-0000-00003F0A0000}"/>
    <cellStyle name="Style 21 3 3 2" xfId="36834" xr:uid="{00000000-0005-0000-0000-00003F0A0000}"/>
    <cellStyle name="Style 21 3 4" xfId="8384" xr:uid="{00000000-0005-0000-0000-00003F0A0000}"/>
    <cellStyle name="Style 21 3 5" xfId="11790" xr:uid="{00000000-0005-0000-0000-00003F0A0000}"/>
    <cellStyle name="Style 21 4" xfId="2221" xr:uid="{00000000-0005-0000-0000-0000400A0000}"/>
    <cellStyle name="Style 21 4 2" xfId="4934" xr:uid="{00000000-0005-0000-0000-0000400A0000}"/>
    <cellStyle name="Style 21 4 2 2" xfId="15653" xr:uid="{00000000-0005-0000-0000-0000400A0000}"/>
    <cellStyle name="Style 21 4 2 2 2" xfId="34042" xr:uid="{00000000-0005-0000-0000-0000400A0000}"/>
    <cellStyle name="Style 21 4 2 2 3" xfId="52405" xr:uid="{00000000-0005-0000-0000-0000400A0000}"/>
    <cellStyle name="Style 21 4 2 3" xfId="24775" xr:uid="{00000000-0005-0000-0000-0000400A0000}"/>
    <cellStyle name="Style 21 4 2 3 2" xfId="43144" xr:uid="{00000000-0005-0000-0000-0000400A0000}"/>
    <cellStyle name="Style 21 4 2 4" xfId="21102" xr:uid="{00000000-0005-0000-0000-0000400A0000}"/>
    <cellStyle name="Style 21 4 2 5" xfId="39489" xr:uid="{00000000-0005-0000-0000-0000400A0000}"/>
    <cellStyle name="Style 21 4 3" xfId="17891" xr:uid="{00000000-0005-0000-0000-0000400A0000}"/>
    <cellStyle name="Style 21 4 3 2" xfId="36301" xr:uid="{00000000-0005-0000-0000-0000400A0000}"/>
    <cellStyle name="Style 21 4 4" xfId="7151" xr:uid="{00000000-0005-0000-0000-0000400A0000}"/>
    <cellStyle name="Style 21 4 5" xfId="7838" xr:uid="{00000000-0005-0000-0000-0000400A0000}"/>
    <cellStyle name="Style 21 5" xfId="2665" xr:uid="{00000000-0005-0000-0000-0000410A0000}"/>
    <cellStyle name="Style 21 5 2" xfId="5097" xr:uid="{00000000-0005-0000-0000-0000410A0000}"/>
    <cellStyle name="Style 21 5 2 2" xfId="15806" xr:uid="{00000000-0005-0000-0000-0000410A0000}"/>
    <cellStyle name="Style 21 5 2 2 2" xfId="34191" xr:uid="{00000000-0005-0000-0000-0000410A0000}"/>
    <cellStyle name="Style 21 5 2 2 3" xfId="52554" xr:uid="{00000000-0005-0000-0000-0000410A0000}"/>
    <cellStyle name="Style 21 5 2 3" xfId="24928" xr:uid="{00000000-0005-0000-0000-0000410A0000}"/>
    <cellStyle name="Style 21 5 2 3 2" xfId="43297" xr:uid="{00000000-0005-0000-0000-0000410A0000}"/>
    <cellStyle name="Style 21 5 2 4" xfId="21253" xr:uid="{00000000-0005-0000-0000-0000410A0000}"/>
    <cellStyle name="Style 21 5 2 5" xfId="39638" xr:uid="{00000000-0005-0000-0000-0000410A0000}"/>
    <cellStyle name="Style 21 5 3" xfId="18754" xr:uid="{00000000-0005-0000-0000-0000410A0000}"/>
    <cellStyle name="Style 21 5 3 2" xfId="37163" xr:uid="{00000000-0005-0000-0000-0000410A0000}"/>
    <cellStyle name="Style 21 5 4" xfId="8200" xr:uid="{00000000-0005-0000-0000-0000410A0000}"/>
    <cellStyle name="Style 21 5 5" xfId="35885" xr:uid="{00000000-0005-0000-0000-0000410A0000}"/>
    <cellStyle name="Style 21 6" xfId="2941" xr:uid="{00000000-0005-0000-0000-0000420A0000}"/>
    <cellStyle name="Style 21 6 2" xfId="5207" xr:uid="{00000000-0005-0000-0000-0000420A0000}"/>
    <cellStyle name="Style 21 6 2 2" xfId="15899" xr:uid="{00000000-0005-0000-0000-0000420A0000}"/>
    <cellStyle name="Style 21 6 2 2 2" xfId="34273" xr:uid="{00000000-0005-0000-0000-0000420A0000}"/>
    <cellStyle name="Style 21 6 2 2 3" xfId="52636" xr:uid="{00000000-0005-0000-0000-0000420A0000}"/>
    <cellStyle name="Style 21 6 2 3" xfId="25020" xr:uid="{00000000-0005-0000-0000-0000420A0000}"/>
    <cellStyle name="Style 21 6 2 3 2" xfId="43389" xr:uid="{00000000-0005-0000-0000-0000420A0000}"/>
    <cellStyle name="Style 21 6 2 4" xfId="21341" xr:uid="{00000000-0005-0000-0000-0000420A0000}"/>
    <cellStyle name="Style 21 6 2 5" xfId="39720" xr:uid="{00000000-0005-0000-0000-0000420A0000}"/>
    <cellStyle name="Style 21 6 3" xfId="22960" xr:uid="{00000000-0005-0000-0000-0000420A0000}"/>
    <cellStyle name="Style 21 6 3 2" xfId="41329" xr:uid="{00000000-0005-0000-0000-0000420A0000}"/>
    <cellStyle name="Style 21 6 4" xfId="17518" xr:uid="{00000000-0005-0000-0000-0000420A0000}"/>
    <cellStyle name="Style 21 6 5" xfId="35962" xr:uid="{00000000-0005-0000-0000-0000420A0000}"/>
    <cellStyle name="Style 21 7" xfId="3108" xr:uid="{00000000-0005-0000-0000-0000430A0000}"/>
    <cellStyle name="Style 21 7 2" xfId="5357" xr:uid="{00000000-0005-0000-0000-0000430A0000}"/>
    <cellStyle name="Style 21 7 2 2" xfId="16049" xr:uid="{00000000-0005-0000-0000-0000430A0000}"/>
    <cellStyle name="Style 21 7 2 2 2" xfId="34423" xr:uid="{00000000-0005-0000-0000-0000430A0000}"/>
    <cellStyle name="Style 21 7 2 2 3" xfId="52786" xr:uid="{00000000-0005-0000-0000-0000430A0000}"/>
    <cellStyle name="Style 21 7 2 3" xfId="25170" xr:uid="{00000000-0005-0000-0000-0000430A0000}"/>
    <cellStyle name="Style 21 7 2 3 2" xfId="43539" xr:uid="{00000000-0005-0000-0000-0000430A0000}"/>
    <cellStyle name="Style 21 7 2 4" xfId="21491" xr:uid="{00000000-0005-0000-0000-0000430A0000}"/>
    <cellStyle name="Style 21 7 2 5" xfId="39870" xr:uid="{00000000-0005-0000-0000-0000430A0000}"/>
    <cellStyle name="Style 21 7 3" xfId="23107" xr:uid="{00000000-0005-0000-0000-0000430A0000}"/>
    <cellStyle name="Style 21 7 3 2" xfId="41476" xr:uid="{00000000-0005-0000-0000-0000430A0000}"/>
    <cellStyle name="Style 21 7 4" xfId="17667" xr:uid="{00000000-0005-0000-0000-0000430A0000}"/>
    <cellStyle name="Style 21 7 5" xfId="36109" xr:uid="{00000000-0005-0000-0000-0000430A0000}"/>
    <cellStyle name="Style 21 8" xfId="3216" xr:uid="{00000000-0005-0000-0000-0000440A0000}"/>
    <cellStyle name="Style 21 8 2" xfId="5420" xr:uid="{00000000-0005-0000-0000-0000440A0000}"/>
    <cellStyle name="Style 21 8 2 2" xfId="16111" xr:uid="{00000000-0005-0000-0000-0000440A0000}"/>
    <cellStyle name="Style 21 8 2 2 2" xfId="34483" xr:uid="{00000000-0005-0000-0000-0000440A0000}"/>
    <cellStyle name="Style 21 8 2 2 3" xfId="52846" xr:uid="{00000000-0005-0000-0000-0000440A0000}"/>
    <cellStyle name="Style 21 8 2 3" xfId="25230" xr:uid="{00000000-0005-0000-0000-0000440A0000}"/>
    <cellStyle name="Style 21 8 2 3 2" xfId="43599" xr:uid="{00000000-0005-0000-0000-0000440A0000}"/>
    <cellStyle name="Style 21 8 2 4" xfId="21551" xr:uid="{00000000-0005-0000-0000-0000440A0000}"/>
    <cellStyle name="Style 21 8 2 5" xfId="39930" xr:uid="{00000000-0005-0000-0000-0000440A0000}"/>
    <cellStyle name="Style 21 8 3" xfId="23159" xr:uid="{00000000-0005-0000-0000-0000440A0000}"/>
    <cellStyle name="Style 21 8 3 2" xfId="41528" xr:uid="{00000000-0005-0000-0000-0000440A0000}"/>
    <cellStyle name="Style 21 8 4" xfId="17740" xr:uid="{00000000-0005-0000-0000-0000440A0000}"/>
    <cellStyle name="Style 21 8 5" xfId="36161" xr:uid="{00000000-0005-0000-0000-0000440A0000}"/>
    <cellStyle name="Style 21 9" xfId="4127" xr:uid="{00000000-0005-0000-0000-00003D0A0000}"/>
    <cellStyle name="Style 21 9 2" xfId="14881" xr:uid="{00000000-0005-0000-0000-00003D0A0000}"/>
    <cellStyle name="Style 21 9 2 2" xfId="33287" xr:uid="{00000000-0005-0000-0000-00003D0A0000}"/>
    <cellStyle name="Style 21 9 2 3" xfId="51650" xr:uid="{00000000-0005-0000-0000-00003D0A0000}"/>
    <cellStyle name="Style 21 9 3" xfId="24012" xr:uid="{00000000-0005-0000-0000-00003D0A0000}"/>
    <cellStyle name="Style 21 9 3 2" xfId="42381" xr:uid="{00000000-0005-0000-0000-00003D0A0000}"/>
    <cellStyle name="Style 21 9 4" xfId="20335" xr:uid="{00000000-0005-0000-0000-00003D0A0000}"/>
    <cellStyle name="Style 21 9 5" xfId="38734" xr:uid="{00000000-0005-0000-0000-00003D0A0000}"/>
    <cellStyle name="Style 22" xfId="818" xr:uid="{00000000-0005-0000-0000-0000450A0000}"/>
    <cellStyle name="Style 22 10" xfId="18970" xr:uid="{00000000-0005-0000-0000-0000450A0000}"/>
    <cellStyle name="Style 22 10 2" xfId="37379" xr:uid="{00000000-0005-0000-0000-0000450A0000}"/>
    <cellStyle name="Style 22 11" xfId="7396" xr:uid="{00000000-0005-0000-0000-0000450A0000}"/>
    <cellStyle name="Style 22 12" xfId="8471" xr:uid="{00000000-0005-0000-0000-0000450A0000}"/>
    <cellStyle name="Style 22 2" xfId="1174" xr:uid="{00000000-0005-0000-0000-0000460A0000}"/>
    <cellStyle name="Style 22 2 2" xfId="4273" xr:uid="{00000000-0005-0000-0000-0000460A0000}"/>
    <cellStyle name="Style 22 2 2 2" xfId="15018" xr:uid="{00000000-0005-0000-0000-0000460A0000}"/>
    <cellStyle name="Style 22 2 2 2 2" xfId="33422" xr:uid="{00000000-0005-0000-0000-0000460A0000}"/>
    <cellStyle name="Style 22 2 2 2 3" xfId="51785" xr:uid="{00000000-0005-0000-0000-0000460A0000}"/>
    <cellStyle name="Style 22 2 2 3" xfId="24151" xr:uid="{00000000-0005-0000-0000-0000460A0000}"/>
    <cellStyle name="Style 22 2 2 3 2" xfId="42520" xr:uid="{00000000-0005-0000-0000-0000460A0000}"/>
    <cellStyle name="Style 22 2 2 4" xfId="20471" xr:uid="{00000000-0005-0000-0000-0000460A0000}"/>
    <cellStyle name="Style 22 2 2 5" xfId="38869" xr:uid="{00000000-0005-0000-0000-0000460A0000}"/>
    <cellStyle name="Style 22 2 3" xfId="19386" xr:uid="{00000000-0005-0000-0000-0000460A0000}"/>
    <cellStyle name="Style 22 2 3 2" xfId="37793" xr:uid="{00000000-0005-0000-0000-0000460A0000}"/>
    <cellStyle name="Style 22 2 4" xfId="16804" xr:uid="{00000000-0005-0000-0000-0000460A0000}"/>
    <cellStyle name="Style 22 2 5" xfId="11756" xr:uid="{00000000-0005-0000-0000-0000460A0000}"/>
    <cellStyle name="Style 22 3" xfId="1846" xr:uid="{00000000-0005-0000-0000-0000470A0000}"/>
    <cellStyle name="Style 22 3 2" xfId="4772" xr:uid="{00000000-0005-0000-0000-0000470A0000}"/>
    <cellStyle name="Style 22 3 2 2" xfId="15498" xr:uid="{00000000-0005-0000-0000-0000470A0000}"/>
    <cellStyle name="Style 22 3 2 2 2" xfId="33891" xr:uid="{00000000-0005-0000-0000-0000470A0000}"/>
    <cellStyle name="Style 22 3 2 2 3" xfId="52254" xr:uid="{00000000-0005-0000-0000-0000470A0000}"/>
    <cellStyle name="Style 22 3 2 3" xfId="24622" xr:uid="{00000000-0005-0000-0000-0000470A0000}"/>
    <cellStyle name="Style 22 3 2 3 2" xfId="42991" xr:uid="{00000000-0005-0000-0000-0000470A0000}"/>
    <cellStyle name="Style 22 3 2 4" xfId="20949" xr:uid="{00000000-0005-0000-0000-0000470A0000}"/>
    <cellStyle name="Style 22 3 2 5" xfId="39338" xr:uid="{00000000-0005-0000-0000-0000470A0000}"/>
    <cellStyle name="Style 22 3 3" xfId="18977" xr:uid="{00000000-0005-0000-0000-0000470A0000}"/>
    <cellStyle name="Style 22 3 3 2" xfId="37386" xr:uid="{00000000-0005-0000-0000-0000470A0000}"/>
    <cellStyle name="Style 22 3 4" xfId="7468" xr:uid="{00000000-0005-0000-0000-0000470A0000}"/>
    <cellStyle name="Style 22 3 5" xfId="8345" xr:uid="{00000000-0005-0000-0000-0000470A0000}"/>
    <cellStyle name="Style 22 4" xfId="2222" xr:uid="{00000000-0005-0000-0000-0000480A0000}"/>
    <cellStyle name="Style 22 4 2" xfId="4935" xr:uid="{00000000-0005-0000-0000-0000480A0000}"/>
    <cellStyle name="Style 22 4 2 2" xfId="15654" xr:uid="{00000000-0005-0000-0000-0000480A0000}"/>
    <cellStyle name="Style 22 4 2 2 2" xfId="34043" xr:uid="{00000000-0005-0000-0000-0000480A0000}"/>
    <cellStyle name="Style 22 4 2 2 3" xfId="52406" xr:uid="{00000000-0005-0000-0000-0000480A0000}"/>
    <cellStyle name="Style 22 4 2 3" xfId="24776" xr:uid="{00000000-0005-0000-0000-0000480A0000}"/>
    <cellStyle name="Style 22 4 2 3 2" xfId="43145" xr:uid="{00000000-0005-0000-0000-0000480A0000}"/>
    <cellStyle name="Style 22 4 2 4" xfId="21103" xr:uid="{00000000-0005-0000-0000-0000480A0000}"/>
    <cellStyle name="Style 22 4 2 5" xfId="39490" xr:uid="{00000000-0005-0000-0000-0000480A0000}"/>
    <cellStyle name="Style 22 4 3" xfId="18233" xr:uid="{00000000-0005-0000-0000-0000480A0000}"/>
    <cellStyle name="Style 22 4 3 2" xfId="36639" xr:uid="{00000000-0005-0000-0000-0000480A0000}"/>
    <cellStyle name="Style 22 4 4" xfId="8599" xr:uid="{00000000-0005-0000-0000-0000480A0000}"/>
    <cellStyle name="Style 22 4 5" xfId="8954" xr:uid="{00000000-0005-0000-0000-0000480A0000}"/>
    <cellStyle name="Style 22 5" xfId="2666" xr:uid="{00000000-0005-0000-0000-0000490A0000}"/>
    <cellStyle name="Style 22 5 2" xfId="5098" xr:uid="{00000000-0005-0000-0000-0000490A0000}"/>
    <cellStyle name="Style 22 5 2 2" xfId="15807" xr:uid="{00000000-0005-0000-0000-0000490A0000}"/>
    <cellStyle name="Style 22 5 2 2 2" xfId="34192" xr:uid="{00000000-0005-0000-0000-0000490A0000}"/>
    <cellStyle name="Style 22 5 2 2 3" xfId="52555" xr:uid="{00000000-0005-0000-0000-0000490A0000}"/>
    <cellStyle name="Style 22 5 2 3" xfId="24929" xr:uid="{00000000-0005-0000-0000-0000490A0000}"/>
    <cellStyle name="Style 22 5 2 3 2" xfId="43298" xr:uid="{00000000-0005-0000-0000-0000490A0000}"/>
    <cellStyle name="Style 22 5 2 4" xfId="21254" xr:uid="{00000000-0005-0000-0000-0000490A0000}"/>
    <cellStyle name="Style 22 5 2 5" xfId="39639" xr:uid="{00000000-0005-0000-0000-0000490A0000}"/>
    <cellStyle name="Style 22 5 3" xfId="18131" xr:uid="{00000000-0005-0000-0000-0000490A0000}"/>
    <cellStyle name="Style 22 5 3 2" xfId="36538" xr:uid="{00000000-0005-0000-0000-0000490A0000}"/>
    <cellStyle name="Style 22 5 4" xfId="7361" xr:uid="{00000000-0005-0000-0000-0000490A0000}"/>
    <cellStyle name="Style 22 5 5" xfId="35886" xr:uid="{00000000-0005-0000-0000-0000490A0000}"/>
    <cellStyle name="Style 22 6" xfId="2940" xr:uid="{00000000-0005-0000-0000-00004A0A0000}"/>
    <cellStyle name="Style 22 6 2" xfId="5206" xr:uid="{00000000-0005-0000-0000-00004A0A0000}"/>
    <cellStyle name="Style 22 6 2 2" xfId="15898" xr:uid="{00000000-0005-0000-0000-00004A0A0000}"/>
    <cellStyle name="Style 22 6 2 2 2" xfId="34272" xr:uid="{00000000-0005-0000-0000-00004A0A0000}"/>
    <cellStyle name="Style 22 6 2 2 3" xfId="52635" xr:uid="{00000000-0005-0000-0000-00004A0A0000}"/>
    <cellStyle name="Style 22 6 2 3" xfId="25019" xr:uid="{00000000-0005-0000-0000-00004A0A0000}"/>
    <cellStyle name="Style 22 6 2 3 2" xfId="43388" xr:uid="{00000000-0005-0000-0000-00004A0A0000}"/>
    <cellStyle name="Style 22 6 2 4" xfId="21340" xr:uid="{00000000-0005-0000-0000-00004A0A0000}"/>
    <cellStyle name="Style 22 6 2 5" xfId="39719" xr:uid="{00000000-0005-0000-0000-00004A0A0000}"/>
    <cellStyle name="Style 22 6 3" xfId="22959" xr:uid="{00000000-0005-0000-0000-00004A0A0000}"/>
    <cellStyle name="Style 22 6 3 2" xfId="41328" xr:uid="{00000000-0005-0000-0000-00004A0A0000}"/>
    <cellStyle name="Style 22 6 4" xfId="17517" xr:uid="{00000000-0005-0000-0000-00004A0A0000}"/>
    <cellStyle name="Style 22 6 5" xfId="35961" xr:uid="{00000000-0005-0000-0000-00004A0A0000}"/>
    <cellStyle name="Style 22 7" xfId="3087" xr:uid="{00000000-0005-0000-0000-00004B0A0000}"/>
    <cellStyle name="Style 22 7 2" xfId="5339" xr:uid="{00000000-0005-0000-0000-00004B0A0000}"/>
    <cellStyle name="Style 22 7 2 2" xfId="16031" xr:uid="{00000000-0005-0000-0000-00004B0A0000}"/>
    <cellStyle name="Style 22 7 2 2 2" xfId="34405" xr:uid="{00000000-0005-0000-0000-00004B0A0000}"/>
    <cellStyle name="Style 22 7 2 2 3" xfId="52768" xr:uid="{00000000-0005-0000-0000-00004B0A0000}"/>
    <cellStyle name="Style 22 7 2 3" xfId="25152" xr:uid="{00000000-0005-0000-0000-00004B0A0000}"/>
    <cellStyle name="Style 22 7 2 3 2" xfId="43521" xr:uid="{00000000-0005-0000-0000-00004B0A0000}"/>
    <cellStyle name="Style 22 7 2 4" xfId="21473" xr:uid="{00000000-0005-0000-0000-00004B0A0000}"/>
    <cellStyle name="Style 22 7 2 5" xfId="39852" xr:uid="{00000000-0005-0000-0000-00004B0A0000}"/>
    <cellStyle name="Style 22 7 3" xfId="23089" xr:uid="{00000000-0005-0000-0000-00004B0A0000}"/>
    <cellStyle name="Style 22 7 3 2" xfId="41458" xr:uid="{00000000-0005-0000-0000-00004B0A0000}"/>
    <cellStyle name="Style 22 7 4" xfId="17649" xr:uid="{00000000-0005-0000-0000-00004B0A0000}"/>
    <cellStyle name="Style 22 7 5" xfId="36091" xr:uid="{00000000-0005-0000-0000-00004B0A0000}"/>
    <cellStyle name="Style 22 8" xfId="3215" xr:uid="{00000000-0005-0000-0000-00004C0A0000}"/>
    <cellStyle name="Style 22 8 2" xfId="5419" xr:uid="{00000000-0005-0000-0000-00004C0A0000}"/>
    <cellStyle name="Style 22 8 2 2" xfId="16110" xr:uid="{00000000-0005-0000-0000-00004C0A0000}"/>
    <cellStyle name="Style 22 8 2 2 2" xfId="34482" xr:uid="{00000000-0005-0000-0000-00004C0A0000}"/>
    <cellStyle name="Style 22 8 2 2 3" xfId="52845" xr:uid="{00000000-0005-0000-0000-00004C0A0000}"/>
    <cellStyle name="Style 22 8 2 3" xfId="25229" xr:uid="{00000000-0005-0000-0000-00004C0A0000}"/>
    <cellStyle name="Style 22 8 2 3 2" xfId="43598" xr:uid="{00000000-0005-0000-0000-00004C0A0000}"/>
    <cellStyle name="Style 22 8 2 4" xfId="21550" xr:uid="{00000000-0005-0000-0000-00004C0A0000}"/>
    <cellStyle name="Style 22 8 2 5" xfId="39929" xr:uid="{00000000-0005-0000-0000-00004C0A0000}"/>
    <cellStyle name="Style 22 8 3" xfId="23158" xr:uid="{00000000-0005-0000-0000-00004C0A0000}"/>
    <cellStyle name="Style 22 8 3 2" xfId="41527" xr:uid="{00000000-0005-0000-0000-00004C0A0000}"/>
    <cellStyle name="Style 22 8 4" xfId="17739" xr:uid="{00000000-0005-0000-0000-00004C0A0000}"/>
    <cellStyle name="Style 22 8 5" xfId="36160" xr:uid="{00000000-0005-0000-0000-00004C0A0000}"/>
    <cellStyle name="Style 22 9" xfId="4128" xr:uid="{00000000-0005-0000-0000-0000450A0000}"/>
    <cellStyle name="Style 22 9 2" xfId="14882" xr:uid="{00000000-0005-0000-0000-0000450A0000}"/>
    <cellStyle name="Style 22 9 2 2" xfId="33288" xr:uid="{00000000-0005-0000-0000-0000450A0000}"/>
    <cellStyle name="Style 22 9 2 3" xfId="51651" xr:uid="{00000000-0005-0000-0000-0000450A0000}"/>
    <cellStyle name="Style 22 9 3" xfId="24013" xr:uid="{00000000-0005-0000-0000-0000450A0000}"/>
    <cellStyle name="Style 22 9 3 2" xfId="42382" xr:uid="{00000000-0005-0000-0000-0000450A0000}"/>
    <cellStyle name="Style 22 9 4" xfId="20336" xr:uid="{00000000-0005-0000-0000-0000450A0000}"/>
    <cellStyle name="Style 22 9 5" xfId="38735" xr:uid="{00000000-0005-0000-0000-0000450A0000}"/>
    <cellStyle name="Style 23" xfId="819" xr:uid="{00000000-0005-0000-0000-00004D0A0000}"/>
    <cellStyle name="Style 24" xfId="820" xr:uid="{00000000-0005-0000-0000-00004E0A0000}"/>
    <cellStyle name="Style 24 10" xfId="7242" xr:uid="{00000000-0005-0000-0000-00004E0A0000}"/>
    <cellStyle name="Style 24 2" xfId="1175" xr:uid="{00000000-0005-0000-0000-00004F0A0000}"/>
    <cellStyle name="Style 24 2 2" xfId="4274" xr:uid="{00000000-0005-0000-0000-00004F0A0000}"/>
    <cellStyle name="Style 24 2 2 2" xfId="15019" xr:uid="{00000000-0005-0000-0000-00004F0A0000}"/>
    <cellStyle name="Style 24 2 2 2 2" xfId="33423" xr:uid="{00000000-0005-0000-0000-00004F0A0000}"/>
    <cellStyle name="Style 24 2 2 2 3" xfId="51786" xr:uid="{00000000-0005-0000-0000-00004F0A0000}"/>
    <cellStyle name="Style 24 2 2 3" xfId="24152" xr:uid="{00000000-0005-0000-0000-00004F0A0000}"/>
    <cellStyle name="Style 24 2 2 3 2" xfId="42521" xr:uid="{00000000-0005-0000-0000-00004F0A0000}"/>
    <cellStyle name="Style 24 2 2 4" xfId="20472" xr:uid="{00000000-0005-0000-0000-00004F0A0000}"/>
    <cellStyle name="Style 24 2 2 5" xfId="38870" xr:uid="{00000000-0005-0000-0000-00004F0A0000}"/>
    <cellStyle name="Style 24 2 3" xfId="19443" xr:uid="{00000000-0005-0000-0000-00004F0A0000}"/>
    <cellStyle name="Style 24 2 3 2" xfId="37849" xr:uid="{00000000-0005-0000-0000-00004F0A0000}"/>
    <cellStyle name="Style 24 2 4" xfId="16805" xr:uid="{00000000-0005-0000-0000-00004F0A0000}"/>
    <cellStyle name="Style 24 2 5" xfId="18157" xr:uid="{00000000-0005-0000-0000-00004F0A0000}"/>
    <cellStyle name="Style 24 3" xfId="1845" xr:uid="{00000000-0005-0000-0000-0000500A0000}"/>
    <cellStyle name="Style 24 3 2" xfId="4771" xr:uid="{00000000-0005-0000-0000-0000500A0000}"/>
    <cellStyle name="Style 24 3 2 2" xfId="15497" xr:uid="{00000000-0005-0000-0000-0000500A0000}"/>
    <cellStyle name="Style 24 3 2 2 2" xfId="33890" xr:uid="{00000000-0005-0000-0000-0000500A0000}"/>
    <cellStyle name="Style 24 3 2 2 3" xfId="52253" xr:uid="{00000000-0005-0000-0000-0000500A0000}"/>
    <cellStyle name="Style 24 3 2 3" xfId="24621" xr:uid="{00000000-0005-0000-0000-0000500A0000}"/>
    <cellStyle name="Style 24 3 2 3 2" xfId="42990" xr:uid="{00000000-0005-0000-0000-0000500A0000}"/>
    <cellStyle name="Style 24 3 2 4" xfId="20948" xr:uid="{00000000-0005-0000-0000-0000500A0000}"/>
    <cellStyle name="Style 24 3 2 5" xfId="39337" xr:uid="{00000000-0005-0000-0000-0000500A0000}"/>
    <cellStyle name="Style 24 3 3" xfId="18254" xr:uid="{00000000-0005-0000-0000-0000500A0000}"/>
    <cellStyle name="Style 24 3 3 2" xfId="36660" xr:uid="{00000000-0005-0000-0000-0000500A0000}"/>
    <cellStyle name="Style 24 3 4" xfId="7325" xr:uid="{00000000-0005-0000-0000-0000500A0000}"/>
    <cellStyle name="Style 24 3 5" xfId="10802" xr:uid="{00000000-0005-0000-0000-0000500A0000}"/>
    <cellStyle name="Style 24 4" xfId="2937" xr:uid="{00000000-0005-0000-0000-0000510A0000}"/>
    <cellStyle name="Style 24 4 2" xfId="5203" xr:uid="{00000000-0005-0000-0000-0000510A0000}"/>
    <cellStyle name="Style 24 4 2 2" xfId="15895" xr:uid="{00000000-0005-0000-0000-0000510A0000}"/>
    <cellStyle name="Style 24 4 2 2 2" xfId="34269" xr:uid="{00000000-0005-0000-0000-0000510A0000}"/>
    <cellStyle name="Style 24 4 2 2 3" xfId="52632" xr:uid="{00000000-0005-0000-0000-0000510A0000}"/>
    <cellStyle name="Style 24 4 2 3" xfId="25016" xr:uid="{00000000-0005-0000-0000-0000510A0000}"/>
    <cellStyle name="Style 24 4 2 3 2" xfId="43385" xr:uid="{00000000-0005-0000-0000-0000510A0000}"/>
    <cellStyle name="Style 24 4 2 4" xfId="21337" xr:uid="{00000000-0005-0000-0000-0000510A0000}"/>
    <cellStyle name="Style 24 4 2 5" xfId="39716" xr:uid="{00000000-0005-0000-0000-0000510A0000}"/>
    <cellStyle name="Style 24 4 3" xfId="22956" xr:uid="{00000000-0005-0000-0000-0000510A0000}"/>
    <cellStyle name="Style 24 4 3 2" xfId="41325" xr:uid="{00000000-0005-0000-0000-0000510A0000}"/>
    <cellStyle name="Style 24 4 4" xfId="17514" xr:uid="{00000000-0005-0000-0000-0000510A0000}"/>
    <cellStyle name="Style 24 4 5" xfId="35958" xr:uid="{00000000-0005-0000-0000-0000510A0000}"/>
    <cellStyle name="Style 24 5" xfId="3088" xr:uid="{00000000-0005-0000-0000-0000520A0000}"/>
    <cellStyle name="Style 24 5 2" xfId="5340" xr:uid="{00000000-0005-0000-0000-0000520A0000}"/>
    <cellStyle name="Style 24 5 2 2" xfId="16032" xr:uid="{00000000-0005-0000-0000-0000520A0000}"/>
    <cellStyle name="Style 24 5 2 2 2" xfId="34406" xr:uid="{00000000-0005-0000-0000-0000520A0000}"/>
    <cellStyle name="Style 24 5 2 2 3" xfId="52769" xr:uid="{00000000-0005-0000-0000-0000520A0000}"/>
    <cellStyle name="Style 24 5 2 3" xfId="25153" xr:uid="{00000000-0005-0000-0000-0000520A0000}"/>
    <cellStyle name="Style 24 5 2 3 2" xfId="43522" xr:uid="{00000000-0005-0000-0000-0000520A0000}"/>
    <cellStyle name="Style 24 5 2 4" xfId="21474" xr:uid="{00000000-0005-0000-0000-0000520A0000}"/>
    <cellStyle name="Style 24 5 2 5" xfId="39853" xr:uid="{00000000-0005-0000-0000-0000520A0000}"/>
    <cellStyle name="Style 24 5 3" xfId="23090" xr:uid="{00000000-0005-0000-0000-0000520A0000}"/>
    <cellStyle name="Style 24 5 3 2" xfId="41459" xr:uid="{00000000-0005-0000-0000-0000520A0000}"/>
    <cellStyle name="Style 24 5 4" xfId="17650" xr:uid="{00000000-0005-0000-0000-0000520A0000}"/>
    <cellStyle name="Style 24 5 5" xfId="36092" xr:uid="{00000000-0005-0000-0000-0000520A0000}"/>
    <cellStyle name="Style 24 6" xfId="3214" xr:uid="{00000000-0005-0000-0000-0000530A0000}"/>
    <cellStyle name="Style 24 6 2" xfId="5418" xr:uid="{00000000-0005-0000-0000-0000530A0000}"/>
    <cellStyle name="Style 24 6 2 2" xfId="16109" xr:uid="{00000000-0005-0000-0000-0000530A0000}"/>
    <cellStyle name="Style 24 6 2 2 2" xfId="34481" xr:uid="{00000000-0005-0000-0000-0000530A0000}"/>
    <cellStyle name="Style 24 6 2 2 3" xfId="52844" xr:uid="{00000000-0005-0000-0000-0000530A0000}"/>
    <cellStyle name="Style 24 6 2 3" xfId="25228" xr:uid="{00000000-0005-0000-0000-0000530A0000}"/>
    <cellStyle name="Style 24 6 2 3 2" xfId="43597" xr:uid="{00000000-0005-0000-0000-0000530A0000}"/>
    <cellStyle name="Style 24 6 2 4" xfId="21549" xr:uid="{00000000-0005-0000-0000-0000530A0000}"/>
    <cellStyle name="Style 24 6 2 5" xfId="39928" xr:uid="{00000000-0005-0000-0000-0000530A0000}"/>
    <cellStyle name="Style 24 6 3" xfId="23157" xr:uid="{00000000-0005-0000-0000-0000530A0000}"/>
    <cellStyle name="Style 24 6 3 2" xfId="41526" xr:uid="{00000000-0005-0000-0000-0000530A0000}"/>
    <cellStyle name="Style 24 6 4" xfId="17738" xr:uid="{00000000-0005-0000-0000-0000530A0000}"/>
    <cellStyle name="Style 24 6 5" xfId="36159" xr:uid="{00000000-0005-0000-0000-0000530A0000}"/>
    <cellStyle name="Style 24 7" xfId="4129" xr:uid="{00000000-0005-0000-0000-00004E0A0000}"/>
    <cellStyle name="Style 24 7 2" xfId="14883" xr:uid="{00000000-0005-0000-0000-00004E0A0000}"/>
    <cellStyle name="Style 24 7 2 2" xfId="33289" xr:uid="{00000000-0005-0000-0000-00004E0A0000}"/>
    <cellStyle name="Style 24 7 2 3" xfId="51652" xr:uid="{00000000-0005-0000-0000-00004E0A0000}"/>
    <cellStyle name="Style 24 7 3" xfId="24014" xr:uid="{00000000-0005-0000-0000-00004E0A0000}"/>
    <cellStyle name="Style 24 7 3 2" xfId="42383" xr:uid="{00000000-0005-0000-0000-00004E0A0000}"/>
    <cellStyle name="Style 24 7 4" xfId="20337" xr:uid="{00000000-0005-0000-0000-00004E0A0000}"/>
    <cellStyle name="Style 24 7 5" xfId="38736" xr:uid="{00000000-0005-0000-0000-00004E0A0000}"/>
    <cellStyle name="Style 24 8" xfId="19207" xr:uid="{00000000-0005-0000-0000-00004E0A0000}"/>
    <cellStyle name="Style 24 8 2" xfId="37614" xr:uid="{00000000-0005-0000-0000-00004E0A0000}"/>
    <cellStyle name="Style 24 9" xfId="7305" xr:uid="{00000000-0005-0000-0000-00004E0A0000}"/>
    <cellStyle name="Style 25" xfId="821" xr:uid="{00000000-0005-0000-0000-0000540A0000}"/>
    <cellStyle name="Style 25 10" xfId="12447" xr:uid="{00000000-0005-0000-0000-0000540A0000}"/>
    <cellStyle name="Style 25 2" xfId="1176" xr:uid="{00000000-0005-0000-0000-0000550A0000}"/>
    <cellStyle name="Style 25 2 2" xfId="4275" xr:uid="{00000000-0005-0000-0000-0000550A0000}"/>
    <cellStyle name="Style 25 2 2 2" xfId="15020" xr:uid="{00000000-0005-0000-0000-0000550A0000}"/>
    <cellStyle name="Style 25 2 2 2 2" xfId="33424" xr:uid="{00000000-0005-0000-0000-0000550A0000}"/>
    <cellStyle name="Style 25 2 2 2 3" xfId="51787" xr:uid="{00000000-0005-0000-0000-0000550A0000}"/>
    <cellStyle name="Style 25 2 2 3" xfId="24153" xr:uid="{00000000-0005-0000-0000-0000550A0000}"/>
    <cellStyle name="Style 25 2 2 3 2" xfId="42522" xr:uid="{00000000-0005-0000-0000-0000550A0000}"/>
    <cellStyle name="Style 25 2 2 4" xfId="20473" xr:uid="{00000000-0005-0000-0000-0000550A0000}"/>
    <cellStyle name="Style 25 2 2 5" xfId="38871" xr:uid="{00000000-0005-0000-0000-0000550A0000}"/>
    <cellStyle name="Style 25 2 3" xfId="18988" xr:uid="{00000000-0005-0000-0000-0000550A0000}"/>
    <cellStyle name="Style 25 2 3 2" xfId="37397" xr:uid="{00000000-0005-0000-0000-0000550A0000}"/>
    <cellStyle name="Style 25 2 4" xfId="7592" xr:uid="{00000000-0005-0000-0000-0000550A0000}"/>
    <cellStyle name="Style 25 2 5" xfId="8465" xr:uid="{00000000-0005-0000-0000-0000550A0000}"/>
    <cellStyle name="Style 25 3" xfId="1842" xr:uid="{00000000-0005-0000-0000-0000560A0000}"/>
    <cellStyle name="Style 25 3 2" xfId="4768" xr:uid="{00000000-0005-0000-0000-0000560A0000}"/>
    <cellStyle name="Style 25 3 2 2" xfId="15494" xr:uid="{00000000-0005-0000-0000-0000560A0000}"/>
    <cellStyle name="Style 25 3 2 2 2" xfId="33887" xr:uid="{00000000-0005-0000-0000-0000560A0000}"/>
    <cellStyle name="Style 25 3 2 2 3" xfId="52250" xr:uid="{00000000-0005-0000-0000-0000560A0000}"/>
    <cellStyle name="Style 25 3 2 3" xfId="24618" xr:uid="{00000000-0005-0000-0000-0000560A0000}"/>
    <cellStyle name="Style 25 3 2 3 2" xfId="42987" xr:uid="{00000000-0005-0000-0000-0000560A0000}"/>
    <cellStyle name="Style 25 3 2 4" xfId="20945" xr:uid="{00000000-0005-0000-0000-0000560A0000}"/>
    <cellStyle name="Style 25 3 2 5" xfId="39334" xr:uid="{00000000-0005-0000-0000-0000560A0000}"/>
    <cellStyle name="Style 25 3 3" xfId="18111" xr:uid="{00000000-0005-0000-0000-0000560A0000}"/>
    <cellStyle name="Style 25 3 3 2" xfId="36518" xr:uid="{00000000-0005-0000-0000-0000560A0000}"/>
    <cellStyle name="Style 25 3 4" xfId="8933" xr:uid="{00000000-0005-0000-0000-0000560A0000}"/>
    <cellStyle name="Style 25 3 5" xfId="7051" xr:uid="{00000000-0005-0000-0000-0000560A0000}"/>
    <cellStyle name="Style 25 4" xfId="2939" xr:uid="{00000000-0005-0000-0000-0000570A0000}"/>
    <cellStyle name="Style 25 4 2" xfId="5205" xr:uid="{00000000-0005-0000-0000-0000570A0000}"/>
    <cellStyle name="Style 25 4 2 2" xfId="15897" xr:uid="{00000000-0005-0000-0000-0000570A0000}"/>
    <cellStyle name="Style 25 4 2 2 2" xfId="34271" xr:uid="{00000000-0005-0000-0000-0000570A0000}"/>
    <cellStyle name="Style 25 4 2 2 3" xfId="52634" xr:uid="{00000000-0005-0000-0000-0000570A0000}"/>
    <cellStyle name="Style 25 4 2 3" xfId="25018" xr:uid="{00000000-0005-0000-0000-0000570A0000}"/>
    <cellStyle name="Style 25 4 2 3 2" xfId="43387" xr:uid="{00000000-0005-0000-0000-0000570A0000}"/>
    <cellStyle name="Style 25 4 2 4" xfId="21339" xr:uid="{00000000-0005-0000-0000-0000570A0000}"/>
    <cellStyle name="Style 25 4 2 5" xfId="39718" xr:uid="{00000000-0005-0000-0000-0000570A0000}"/>
    <cellStyle name="Style 25 4 3" xfId="22958" xr:uid="{00000000-0005-0000-0000-0000570A0000}"/>
    <cellStyle name="Style 25 4 3 2" xfId="41327" xr:uid="{00000000-0005-0000-0000-0000570A0000}"/>
    <cellStyle name="Style 25 4 4" xfId="17516" xr:uid="{00000000-0005-0000-0000-0000570A0000}"/>
    <cellStyle name="Style 25 4 5" xfId="35960" xr:uid="{00000000-0005-0000-0000-0000570A0000}"/>
    <cellStyle name="Style 25 5" xfId="3089" xr:uid="{00000000-0005-0000-0000-0000580A0000}"/>
    <cellStyle name="Style 25 5 2" xfId="5341" xr:uid="{00000000-0005-0000-0000-0000580A0000}"/>
    <cellStyle name="Style 25 5 2 2" xfId="16033" xr:uid="{00000000-0005-0000-0000-0000580A0000}"/>
    <cellStyle name="Style 25 5 2 2 2" xfId="34407" xr:uid="{00000000-0005-0000-0000-0000580A0000}"/>
    <cellStyle name="Style 25 5 2 2 3" xfId="52770" xr:uid="{00000000-0005-0000-0000-0000580A0000}"/>
    <cellStyle name="Style 25 5 2 3" xfId="25154" xr:uid="{00000000-0005-0000-0000-0000580A0000}"/>
    <cellStyle name="Style 25 5 2 3 2" xfId="43523" xr:uid="{00000000-0005-0000-0000-0000580A0000}"/>
    <cellStyle name="Style 25 5 2 4" xfId="21475" xr:uid="{00000000-0005-0000-0000-0000580A0000}"/>
    <cellStyle name="Style 25 5 2 5" xfId="39854" xr:uid="{00000000-0005-0000-0000-0000580A0000}"/>
    <cellStyle name="Style 25 5 3" xfId="23091" xr:uid="{00000000-0005-0000-0000-0000580A0000}"/>
    <cellStyle name="Style 25 5 3 2" xfId="41460" xr:uid="{00000000-0005-0000-0000-0000580A0000}"/>
    <cellStyle name="Style 25 5 4" xfId="17651" xr:uid="{00000000-0005-0000-0000-0000580A0000}"/>
    <cellStyle name="Style 25 5 5" xfId="36093" xr:uid="{00000000-0005-0000-0000-0000580A0000}"/>
    <cellStyle name="Style 25 6" xfId="3213" xr:uid="{00000000-0005-0000-0000-0000590A0000}"/>
    <cellStyle name="Style 25 6 2" xfId="5417" xr:uid="{00000000-0005-0000-0000-0000590A0000}"/>
    <cellStyle name="Style 25 6 2 2" xfId="16108" xr:uid="{00000000-0005-0000-0000-0000590A0000}"/>
    <cellStyle name="Style 25 6 2 2 2" xfId="34480" xr:uid="{00000000-0005-0000-0000-0000590A0000}"/>
    <cellStyle name="Style 25 6 2 2 3" xfId="52843" xr:uid="{00000000-0005-0000-0000-0000590A0000}"/>
    <cellStyle name="Style 25 6 2 3" xfId="25227" xr:uid="{00000000-0005-0000-0000-0000590A0000}"/>
    <cellStyle name="Style 25 6 2 3 2" xfId="43596" xr:uid="{00000000-0005-0000-0000-0000590A0000}"/>
    <cellStyle name="Style 25 6 2 4" xfId="21548" xr:uid="{00000000-0005-0000-0000-0000590A0000}"/>
    <cellStyle name="Style 25 6 2 5" xfId="39927" xr:uid="{00000000-0005-0000-0000-0000590A0000}"/>
    <cellStyle name="Style 25 6 3" xfId="23156" xr:uid="{00000000-0005-0000-0000-0000590A0000}"/>
    <cellStyle name="Style 25 6 3 2" xfId="41525" xr:uid="{00000000-0005-0000-0000-0000590A0000}"/>
    <cellStyle name="Style 25 6 4" xfId="17737" xr:uid="{00000000-0005-0000-0000-0000590A0000}"/>
    <cellStyle name="Style 25 6 5" xfId="36158" xr:uid="{00000000-0005-0000-0000-0000590A0000}"/>
    <cellStyle name="Style 25 7" xfId="4130" xr:uid="{00000000-0005-0000-0000-0000540A0000}"/>
    <cellStyle name="Style 25 7 2" xfId="14884" xr:uid="{00000000-0005-0000-0000-0000540A0000}"/>
    <cellStyle name="Style 25 7 2 2" xfId="33290" xr:uid="{00000000-0005-0000-0000-0000540A0000}"/>
    <cellStyle name="Style 25 7 2 3" xfId="51653" xr:uid="{00000000-0005-0000-0000-0000540A0000}"/>
    <cellStyle name="Style 25 7 3" xfId="24015" xr:uid="{00000000-0005-0000-0000-0000540A0000}"/>
    <cellStyle name="Style 25 7 3 2" xfId="42384" xr:uid="{00000000-0005-0000-0000-0000540A0000}"/>
    <cellStyle name="Style 25 7 4" xfId="20338" xr:uid="{00000000-0005-0000-0000-0000540A0000}"/>
    <cellStyle name="Style 25 7 5" xfId="38737" xr:uid="{00000000-0005-0000-0000-0000540A0000}"/>
    <cellStyle name="Style 25 8" xfId="17838" xr:uid="{00000000-0005-0000-0000-0000540A0000}"/>
    <cellStyle name="Style 25 8 2" xfId="36248" xr:uid="{00000000-0005-0000-0000-0000540A0000}"/>
    <cellStyle name="Style 25 9" xfId="8299" xr:uid="{00000000-0005-0000-0000-0000540A0000}"/>
    <cellStyle name="Style 26" xfId="822" xr:uid="{00000000-0005-0000-0000-00005A0A0000}"/>
    <cellStyle name="Style 26 10" xfId="7765" xr:uid="{00000000-0005-0000-0000-00005A0A0000}"/>
    <cellStyle name="Style 26 2" xfId="1177" xr:uid="{00000000-0005-0000-0000-00005B0A0000}"/>
    <cellStyle name="Style 26 2 2" xfId="4276" xr:uid="{00000000-0005-0000-0000-00005B0A0000}"/>
    <cellStyle name="Style 26 2 2 2" xfId="15021" xr:uid="{00000000-0005-0000-0000-00005B0A0000}"/>
    <cellStyle name="Style 26 2 2 2 2" xfId="33425" xr:uid="{00000000-0005-0000-0000-00005B0A0000}"/>
    <cellStyle name="Style 26 2 2 2 3" xfId="51788" xr:uid="{00000000-0005-0000-0000-00005B0A0000}"/>
    <cellStyle name="Style 26 2 2 3" xfId="24154" xr:uid="{00000000-0005-0000-0000-00005B0A0000}"/>
    <cellStyle name="Style 26 2 2 3 2" xfId="42523" xr:uid="{00000000-0005-0000-0000-00005B0A0000}"/>
    <cellStyle name="Style 26 2 2 4" xfId="20474" xr:uid="{00000000-0005-0000-0000-00005B0A0000}"/>
    <cellStyle name="Style 26 2 2 5" xfId="38872" xr:uid="{00000000-0005-0000-0000-00005B0A0000}"/>
    <cellStyle name="Style 26 2 3" xfId="19433" xr:uid="{00000000-0005-0000-0000-00005B0A0000}"/>
    <cellStyle name="Style 26 2 3 2" xfId="37839" xr:uid="{00000000-0005-0000-0000-00005B0A0000}"/>
    <cellStyle name="Style 26 2 4" xfId="8519" xr:uid="{00000000-0005-0000-0000-00005B0A0000}"/>
    <cellStyle name="Style 26 2 5" xfId="8276" xr:uid="{00000000-0005-0000-0000-00005B0A0000}"/>
    <cellStyle name="Style 26 3" xfId="1844" xr:uid="{00000000-0005-0000-0000-00005C0A0000}"/>
    <cellStyle name="Style 26 3 2" xfId="4770" xr:uid="{00000000-0005-0000-0000-00005C0A0000}"/>
    <cellStyle name="Style 26 3 2 2" xfId="15496" xr:uid="{00000000-0005-0000-0000-00005C0A0000}"/>
    <cellStyle name="Style 26 3 2 2 2" xfId="33889" xr:uid="{00000000-0005-0000-0000-00005C0A0000}"/>
    <cellStyle name="Style 26 3 2 2 3" xfId="52252" xr:uid="{00000000-0005-0000-0000-00005C0A0000}"/>
    <cellStyle name="Style 26 3 2 3" xfId="24620" xr:uid="{00000000-0005-0000-0000-00005C0A0000}"/>
    <cellStyle name="Style 26 3 2 3 2" xfId="42989" xr:uid="{00000000-0005-0000-0000-00005C0A0000}"/>
    <cellStyle name="Style 26 3 2 4" xfId="20947" xr:uid="{00000000-0005-0000-0000-00005C0A0000}"/>
    <cellStyle name="Style 26 3 2 5" xfId="39336" xr:uid="{00000000-0005-0000-0000-00005C0A0000}"/>
    <cellStyle name="Style 26 3 3" xfId="18353" xr:uid="{00000000-0005-0000-0000-00005C0A0000}"/>
    <cellStyle name="Style 26 3 3 2" xfId="36759" xr:uid="{00000000-0005-0000-0000-00005C0A0000}"/>
    <cellStyle name="Style 26 3 4" xfId="10805" xr:uid="{00000000-0005-0000-0000-00005C0A0000}"/>
    <cellStyle name="Style 26 3 5" xfId="11820" xr:uid="{00000000-0005-0000-0000-00005C0A0000}"/>
    <cellStyle name="Style 26 4" xfId="2938" xr:uid="{00000000-0005-0000-0000-00005D0A0000}"/>
    <cellStyle name="Style 26 4 2" xfId="5204" xr:uid="{00000000-0005-0000-0000-00005D0A0000}"/>
    <cellStyle name="Style 26 4 2 2" xfId="15896" xr:uid="{00000000-0005-0000-0000-00005D0A0000}"/>
    <cellStyle name="Style 26 4 2 2 2" xfId="34270" xr:uid="{00000000-0005-0000-0000-00005D0A0000}"/>
    <cellStyle name="Style 26 4 2 2 3" xfId="52633" xr:uid="{00000000-0005-0000-0000-00005D0A0000}"/>
    <cellStyle name="Style 26 4 2 3" xfId="25017" xr:uid="{00000000-0005-0000-0000-00005D0A0000}"/>
    <cellStyle name="Style 26 4 2 3 2" xfId="43386" xr:uid="{00000000-0005-0000-0000-00005D0A0000}"/>
    <cellStyle name="Style 26 4 2 4" xfId="21338" xr:uid="{00000000-0005-0000-0000-00005D0A0000}"/>
    <cellStyle name="Style 26 4 2 5" xfId="39717" xr:uid="{00000000-0005-0000-0000-00005D0A0000}"/>
    <cellStyle name="Style 26 4 3" xfId="22957" xr:uid="{00000000-0005-0000-0000-00005D0A0000}"/>
    <cellStyle name="Style 26 4 3 2" xfId="41326" xr:uid="{00000000-0005-0000-0000-00005D0A0000}"/>
    <cellStyle name="Style 26 4 4" xfId="17515" xr:uid="{00000000-0005-0000-0000-00005D0A0000}"/>
    <cellStyle name="Style 26 4 5" xfId="35959" xr:uid="{00000000-0005-0000-0000-00005D0A0000}"/>
    <cellStyle name="Style 26 5" xfId="3090" xr:uid="{00000000-0005-0000-0000-00005E0A0000}"/>
    <cellStyle name="Style 26 5 2" xfId="5342" xr:uid="{00000000-0005-0000-0000-00005E0A0000}"/>
    <cellStyle name="Style 26 5 2 2" xfId="16034" xr:uid="{00000000-0005-0000-0000-00005E0A0000}"/>
    <cellStyle name="Style 26 5 2 2 2" xfId="34408" xr:uid="{00000000-0005-0000-0000-00005E0A0000}"/>
    <cellStyle name="Style 26 5 2 2 3" xfId="52771" xr:uid="{00000000-0005-0000-0000-00005E0A0000}"/>
    <cellStyle name="Style 26 5 2 3" xfId="25155" xr:uid="{00000000-0005-0000-0000-00005E0A0000}"/>
    <cellStyle name="Style 26 5 2 3 2" xfId="43524" xr:uid="{00000000-0005-0000-0000-00005E0A0000}"/>
    <cellStyle name="Style 26 5 2 4" xfId="21476" xr:uid="{00000000-0005-0000-0000-00005E0A0000}"/>
    <cellStyle name="Style 26 5 2 5" xfId="39855" xr:uid="{00000000-0005-0000-0000-00005E0A0000}"/>
    <cellStyle name="Style 26 5 3" xfId="23092" xr:uid="{00000000-0005-0000-0000-00005E0A0000}"/>
    <cellStyle name="Style 26 5 3 2" xfId="41461" xr:uid="{00000000-0005-0000-0000-00005E0A0000}"/>
    <cellStyle name="Style 26 5 4" xfId="17652" xr:uid="{00000000-0005-0000-0000-00005E0A0000}"/>
    <cellStyle name="Style 26 5 5" xfId="36094" xr:uid="{00000000-0005-0000-0000-00005E0A0000}"/>
    <cellStyle name="Style 26 6" xfId="3211" xr:uid="{00000000-0005-0000-0000-00005F0A0000}"/>
    <cellStyle name="Style 26 6 2" xfId="5415" xr:uid="{00000000-0005-0000-0000-00005F0A0000}"/>
    <cellStyle name="Style 26 6 2 2" xfId="16106" xr:uid="{00000000-0005-0000-0000-00005F0A0000}"/>
    <cellStyle name="Style 26 6 2 2 2" xfId="34478" xr:uid="{00000000-0005-0000-0000-00005F0A0000}"/>
    <cellStyle name="Style 26 6 2 2 3" xfId="52841" xr:uid="{00000000-0005-0000-0000-00005F0A0000}"/>
    <cellStyle name="Style 26 6 2 3" xfId="25225" xr:uid="{00000000-0005-0000-0000-00005F0A0000}"/>
    <cellStyle name="Style 26 6 2 3 2" xfId="43594" xr:uid="{00000000-0005-0000-0000-00005F0A0000}"/>
    <cellStyle name="Style 26 6 2 4" xfId="21546" xr:uid="{00000000-0005-0000-0000-00005F0A0000}"/>
    <cellStyle name="Style 26 6 2 5" xfId="39925" xr:uid="{00000000-0005-0000-0000-00005F0A0000}"/>
    <cellStyle name="Style 26 6 3" xfId="23154" xr:uid="{00000000-0005-0000-0000-00005F0A0000}"/>
    <cellStyle name="Style 26 6 3 2" xfId="41523" xr:uid="{00000000-0005-0000-0000-00005F0A0000}"/>
    <cellStyle name="Style 26 6 4" xfId="17735" xr:uid="{00000000-0005-0000-0000-00005F0A0000}"/>
    <cellStyle name="Style 26 6 5" xfId="36156" xr:uid="{00000000-0005-0000-0000-00005F0A0000}"/>
    <cellStyle name="Style 26 7" xfId="4131" xr:uid="{00000000-0005-0000-0000-00005A0A0000}"/>
    <cellStyle name="Style 26 7 2" xfId="14885" xr:uid="{00000000-0005-0000-0000-00005A0A0000}"/>
    <cellStyle name="Style 26 7 2 2" xfId="33291" xr:uid="{00000000-0005-0000-0000-00005A0A0000}"/>
    <cellStyle name="Style 26 7 2 3" xfId="51654" xr:uid="{00000000-0005-0000-0000-00005A0A0000}"/>
    <cellStyle name="Style 26 7 3" xfId="24016" xr:uid="{00000000-0005-0000-0000-00005A0A0000}"/>
    <cellStyle name="Style 26 7 3 2" xfId="42385" xr:uid="{00000000-0005-0000-0000-00005A0A0000}"/>
    <cellStyle name="Style 26 7 4" xfId="20339" xr:uid="{00000000-0005-0000-0000-00005A0A0000}"/>
    <cellStyle name="Style 26 7 5" xfId="38738" xr:uid="{00000000-0005-0000-0000-00005A0A0000}"/>
    <cellStyle name="Style 26 8" xfId="18312" xr:uid="{00000000-0005-0000-0000-00005A0A0000}"/>
    <cellStyle name="Style 26 8 2" xfId="36718" xr:uid="{00000000-0005-0000-0000-00005A0A0000}"/>
    <cellStyle name="Style 26 9" xfId="8432" xr:uid="{00000000-0005-0000-0000-00005A0A0000}"/>
    <cellStyle name="Style 27" xfId="823" xr:uid="{00000000-0005-0000-0000-0000600A0000}"/>
    <cellStyle name="Style 27 10" xfId="11689" xr:uid="{00000000-0005-0000-0000-0000600A0000}"/>
    <cellStyle name="Style 27 2" xfId="1178" xr:uid="{00000000-0005-0000-0000-0000610A0000}"/>
    <cellStyle name="Style 27 2 2" xfId="4277" xr:uid="{00000000-0005-0000-0000-0000610A0000}"/>
    <cellStyle name="Style 27 2 2 2" xfId="15022" xr:uid="{00000000-0005-0000-0000-0000610A0000}"/>
    <cellStyle name="Style 27 2 2 2 2" xfId="33426" xr:uid="{00000000-0005-0000-0000-0000610A0000}"/>
    <cellStyle name="Style 27 2 2 2 3" xfId="51789" xr:uid="{00000000-0005-0000-0000-0000610A0000}"/>
    <cellStyle name="Style 27 2 2 3" xfId="24155" xr:uid="{00000000-0005-0000-0000-0000610A0000}"/>
    <cellStyle name="Style 27 2 2 3 2" xfId="42524" xr:uid="{00000000-0005-0000-0000-0000610A0000}"/>
    <cellStyle name="Style 27 2 2 4" xfId="20475" xr:uid="{00000000-0005-0000-0000-0000610A0000}"/>
    <cellStyle name="Style 27 2 2 5" xfId="38873" xr:uid="{00000000-0005-0000-0000-0000610A0000}"/>
    <cellStyle name="Style 27 2 3" xfId="19440" xr:uid="{00000000-0005-0000-0000-0000610A0000}"/>
    <cellStyle name="Style 27 2 3 2" xfId="37846" xr:uid="{00000000-0005-0000-0000-0000610A0000}"/>
    <cellStyle name="Style 27 2 4" xfId="8343" xr:uid="{00000000-0005-0000-0000-0000610A0000}"/>
    <cellStyle name="Style 27 2 5" xfId="8439" xr:uid="{00000000-0005-0000-0000-0000610A0000}"/>
    <cellStyle name="Style 27 3" xfId="1843" xr:uid="{00000000-0005-0000-0000-0000620A0000}"/>
    <cellStyle name="Style 27 3 2" xfId="4769" xr:uid="{00000000-0005-0000-0000-0000620A0000}"/>
    <cellStyle name="Style 27 3 2 2" xfId="15495" xr:uid="{00000000-0005-0000-0000-0000620A0000}"/>
    <cellStyle name="Style 27 3 2 2 2" xfId="33888" xr:uid="{00000000-0005-0000-0000-0000620A0000}"/>
    <cellStyle name="Style 27 3 2 2 3" xfId="52251" xr:uid="{00000000-0005-0000-0000-0000620A0000}"/>
    <cellStyle name="Style 27 3 2 3" xfId="24619" xr:uid="{00000000-0005-0000-0000-0000620A0000}"/>
    <cellStyle name="Style 27 3 2 3 2" xfId="42988" xr:uid="{00000000-0005-0000-0000-0000620A0000}"/>
    <cellStyle name="Style 27 3 2 4" xfId="20946" xr:uid="{00000000-0005-0000-0000-0000620A0000}"/>
    <cellStyle name="Style 27 3 2 5" xfId="39335" xr:uid="{00000000-0005-0000-0000-0000620A0000}"/>
    <cellStyle name="Style 27 3 3" xfId="18812" xr:uid="{00000000-0005-0000-0000-0000620A0000}"/>
    <cellStyle name="Style 27 3 3 2" xfId="37221" xr:uid="{00000000-0005-0000-0000-0000620A0000}"/>
    <cellStyle name="Style 27 3 4" xfId="11817" xr:uid="{00000000-0005-0000-0000-0000620A0000}"/>
    <cellStyle name="Style 27 3 5" xfId="7130" xr:uid="{00000000-0005-0000-0000-0000620A0000}"/>
    <cellStyle name="Style 27 4" xfId="2936" xr:uid="{00000000-0005-0000-0000-0000630A0000}"/>
    <cellStyle name="Style 27 4 2" xfId="5202" xr:uid="{00000000-0005-0000-0000-0000630A0000}"/>
    <cellStyle name="Style 27 4 2 2" xfId="15894" xr:uid="{00000000-0005-0000-0000-0000630A0000}"/>
    <cellStyle name="Style 27 4 2 2 2" xfId="34268" xr:uid="{00000000-0005-0000-0000-0000630A0000}"/>
    <cellStyle name="Style 27 4 2 2 3" xfId="52631" xr:uid="{00000000-0005-0000-0000-0000630A0000}"/>
    <cellStyle name="Style 27 4 2 3" xfId="25015" xr:uid="{00000000-0005-0000-0000-0000630A0000}"/>
    <cellStyle name="Style 27 4 2 3 2" xfId="43384" xr:uid="{00000000-0005-0000-0000-0000630A0000}"/>
    <cellStyle name="Style 27 4 2 4" xfId="21336" xr:uid="{00000000-0005-0000-0000-0000630A0000}"/>
    <cellStyle name="Style 27 4 2 5" xfId="39715" xr:uid="{00000000-0005-0000-0000-0000630A0000}"/>
    <cellStyle name="Style 27 4 3" xfId="22955" xr:uid="{00000000-0005-0000-0000-0000630A0000}"/>
    <cellStyle name="Style 27 4 3 2" xfId="41324" xr:uid="{00000000-0005-0000-0000-0000630A0000}"/>
    <cellStyle name="Style 27 4 4" xfId="17513" xr:uid="{00000000-0005-0000-0000-0000630A0000}"/>
    <cellStyle name="Style 27 4 5" xfId="35957" xr:uid="{00000000-0005-0000-0000-0000630A0000}"/>
    <cellStyle name="Style 27 5" xfId="3091" xr:uid="{00000000-0005-0000-0000-0000640A0000}"/>
    <cellStyle name="Style 27 5 2" xfId="5343" xr:uid="{00000000-0005-0000-0000-0000640A0000}"/>
    <cellStyle name="Style 27 5 2 2" xfId="16035" xr:uid="{00000000-0005-0000-0000-0000640A0000}"/>
    <cellStyle name="Style 27 5 2 2 2" xfId="34409" xr:uid="{00000000-0005-0000-0000-0000640A0000}"/>
    <cellStyle name="Style 27 5 2 2 3" xfId="52772" xr:uid="{00000000-0005-0000-0000-0000640A0000}"/>
    <cellStyle name="Style 27 5 2 3" xfId="25156" xr:uid="{00000000-0005-0000-0000-0000640A0000}"/>
    <cellStyle name="Style 27 5 2 3 2" xfId="43525" xr:uid="{00000000-0005-0000-0000-0000640A0000}"/>
    <cellStyle name="Style 27 5 2 4" xfId="21477" xr:uid="{00000000-0005-0000-0000-0000640A0000}"/>
    <cellStyle name="Style 27 5 2 5" xfId="39856" xr:uid="{00000000-0005-0000-0000-0000640A0000}"/>
    <cellStyle name="Style 27 5 3" xfId="23093" xr:uid="{00000000-0005-0000-0000-0000640A0000}"/>
    <cellStyle name="Style 27 5 3 2" xfId="41462" xr:uid="{00000000-0005-0000-0000-0000640A0000}"/>
    <cellStyle name="Style 27 5 4" xfId="17653" xr:uid="{00000000-0005-0000-0000-0000640A0000}"/>
    <cellStyle name="Style 27 5 5" xfId="36095" xr:uid="{00000000-0005-0000-0000-0000640A0000}"/>
    <cellStyle name="Style 27 6" xfId="3212" xr:uid="{00000000-0005-0000-0000-0000650A0000}"/>
    <cellStyle name="Style 27 6 2" xfId="5416" xr:uid="{00000000-0005-0000-0000-0000650A0000}"/>
    <cellStyle name="Style 27 6 2 2" xfId="16107" xr:uid="{00000000-0005-0000-0000-0000650A0000}"/>
    <cellStyle name="Style 27 6 2 2 2" xfId="34479" xr:uid="{00000000-0005-0000-0000-0000650A0000}"/>
    <cellStyle name="Style 27 6 2 2 3" xfId="52842" xr:uid="{00000000-0005-0000-0000-0000650A0000}"/>
    <cellStyle name="Style 27 6 2 3" xfId="25226" xr:uid="{00000000-0005-0000-0000-0000650A0000}"/>
    <cellStyle name="Style 27 6 2 3 2" xfId="43595" xr:uid="{00000000-0005-0000-0000-0000650A0000}"/>
    <cellStyle name="Style 27 6 2 4" xfId="21547" xr:uid="{00000000-0005-0000-0000-0000650A0000}"/>
    <cellStyle name="Style 27 6 2 5" xfId="39926" xr:uid="{00000000-0005-0000-0000-0000650A0000}"/>
    <cellStyle name="Style 27 6 3" xfId="23155" xr:uid="{00000000-0005-0000-0000-0000650A0000}"/>
    <cellStyle name="Style 27 6 3 2" xfId="41524" xr:uid="{00000000-0005-0000-0000-0000650A0000}"/>
    <cellStyle name="Style 27 6 4" xfId="17736" xr:uid="{00000000-0005-0000-0000-0000650A0000}"/>
    <cellStyle name="Style 27 6 5" xfId="36157" xr:uid="{00000000-0005-0000-0000-0000650A0000}"/>
    <cellStyle name="Style 27 7" xfId="4132" xr:uid="{00000000-0005-0000-0000-0000600A0000}"/>
    <cellStyle name="Style 27 7 2" xfId="14886" xr:uid="{00000000-0005-0000-0000-0000600A0000}"/>
    <cellStyle name="Style 27 7 2 2" xfId="33292" xr:uid="{00000000-0005-0000-0000-0000600A0000}"/>
    <cellStyle name="Style 27 7 2 3" xfId="51655" xr:uid="{00000000-0005-0000-0000-0000600A0000}"/>
    <cellStyle name="Style 27 7 3" xfId="24017" xr:uid="{00000000-0005-0000-0000-0000600A0000}"/>
    <cellStyle name="Style 27 7 3 2" xfId="42386" xr:uid="{00000000-0005-0000-0000-0000600A0000}"/>
    <cellStyle name="Style 27 7 4" xfId="20340" xr:uid="{00000000-0005-0000-0000-0000600A0000}"/>
    <cellStyle name="Style 27 7 5" xfId="38739" xr:uid="{00000000-0005-0000-0000-0000600A0000}"/>
    <cellStyle name="Style 27 8" xfId="19248" xr:uid="{00000000-0005-0000-0000-0000600A0000}"/>
    <cellStyle name="Style 27 8 2" xfId="37655" xr:uid="{00000000-0005-0000-0000-0000600A0000}"/>
    <cellStyle name="Style 27 9" xfId="11852" xr:uid="{00000000-0005-0000-0000-0000600A0000}"/>
    <cellStyle name="Style 28" xfId="824" xr:uid="{00000000-0005-0000-0000-0000660A0000}"/>
    <cellStyle name="Style 28 10" xfId="8862" xr:uid="{00000000-0005-0000-0000-0000660A0000}"/>
    <cellStyle name="Style 28 2" xfId="1179" xr:uid="{00000000-0005-0000-0000-0000670A0000}"/>
    <cellStyle name="Style 28 2 2" xfId="4278" xr:uid="{00000000-0005-0000-0000-0000670A0000}"/>
    <cellStyle name="Style 28 2 2 2" xfId="15023" xr:uid="{00000000-0005-0000-0000-0000670A0000}"/>
    <cellStyle name="Style 28 2 2 2 2" xfId="33427" xr:uid="{00000000-0005-0000-0000-0000670A0000}"/>
    <cellStyle name="Style 28 2 2 2 3" xfId="51790" xr:uid="{00000000-0005-0000-0000-0000670A0000}"/>
    <cellStyle name="Style 28 2 2 3" xfId="24156" xr:uid="{00000000-0005-0000-0000-0000670A0000}"/>
    <cellStyle name="Style 28 2 2 3 2" xfId="42525" xr:uid="{00000000-0005-0000-0000-0000670A0000}"/>
    <cellStyle name="Style 28 2 2 4" xfId="20476" xr:uid="{00000000-0005-0000-0000-0000670A0000}"/>
    <cellStyle name="Style 28 2 2 5" xfId="38874" xr:uid="{00000000-0005-0000-0000-0000670A0000}"/>
    <cellStyle name="Style 28 2 3" xfId="18882" xr:uid="{00000000-0005-0000-0000-0000670A0000}"/>
    <cellStyle name="Style 28 2 3 2" xfId="37291" xr:uid="{00000000-0005-0000-0000-0000670A0000}"/>
    <cellStyle name="Style 28 2 4" xfId="8936" xr:uid="{00000000-0005-0000-0000-0000670A0000}"/>
    <cellStyle name="Style 28 2 5" xfId="7379" xr:uid="{00000000-0005-0000-0000-0000670A0000}"/>
    <cellStyle name="Style 28 3" xfId="1841" xr:uid="{00000000-0005-0000-0000-0000680A0000}"/>
    <cellStyle name="Style 28 3 2" xfId="4767" xr:uid="{00000000-0005-0000-0000-0000680A0000}"/>
    <cellStyle name="Style 28 3 2 2" xfId="15493" xr:uid="{00000000-0005-0000-0000-0000680A0000}"/>
    <cellStyle name="Style 28 3 2 2 2" xfId="33886" xr:uid="{00000000-0005-0000-0000-0000680A0000}"/>
    <cellStyle name="Style 28 3 2 2 3" xfId="52249" xr:uid="{00000000-0005-0000-0000-0000680A0000}"/>
    <cellStyle name="Style 28 3 2 3" xfId="24617" xr:uid="{00000000-0005-0000-0000-0000680A0000}"/>
    <cellStyle name="Style 28 3 2 3 2" xfId="42986" xr:uid="{00000000-0005-0000-0000-0000680A0000}"/>
    <cellStyle name="Style 28 3 2 4" xfId="20944" xr:uid="{00000000-0005-0000-0000-0000680A0000}"/>
    <cellStyle name="Style 28 3 2 5" xfId="39333" xr:uid="{00000000-0005-0000-0000-0000680A0000}"/>
    <cellStyle name="Style 28 3 3" xfId="19323" xr:uid="{00000000-0005-0000-0000-0000680A0000}"/>
    <cellStyle name="Style 28 3 3 2" xfId="37730" xr:uid="{00000000-0005-0000-0000-0000680A0000}"/>
    <cellStyle name="Style 28 3 4" xfId="11779" xr:uid="{00000000-0005-0000-0000-0000680A0000}"/>
    <cellStyle name="Style 28 3 5" xfId="7052" xr:uid="{00000000-0005-0000-0000-0000680A0000}"/>
    <cellStyle name="Style 28 4" xfId="2935" xr:uid="{00000000-0005-0000-0000-0000690A0000}"/>
    <cellStyle name="Style 28 4 2" xfId="5201" xr:uid="{00000000-0005-0000-0000-0000690A0000}"/>
    <cellStyle name="Style 28 4 2 2" xfId="15893" xr:uid="{00000000-0005-0000-0000-0000690A0000}"/>
    <cellStyle name="Style 28 4 2 2 2" xfId="34267" xr:uid="{00000000-0005-0000-0000-0000690A0000}"/>
    <cellStyle name="Style 28 4 2 2 3" xfId="52630" xr:uid="{00000000-0005-0000-0000-0000690A0000}"/>
    <cellStyle name="Style 28 4 2 3" xfId="25014" xr:uid="{00000000-0005-0000-0000-0000690A0000}"/>
    <cellStyle name="Style 28 4 2 3 2" xfId="43383" xr:uid="{00000000-0005-0000-0000-0000690A0000}"/>
    <cellStyle name="Style 28 4 2 4" xfId="21335" xr:uid="{00000000-0005-0000-0000-0000690A0000}"/>
    <cellStyle name="Style 28 4 2 5" xfId="39714" xr:uid="{00000000-0005-0000-0000-0000690A0000}"/>
    <cellStyle name="Style 28 4 3" xfId="22954" xr:uid="{00000000-0005-0000-0000-0000690A0000}"/>
    <cellStyle name="Style 28 4 3 2" xfId="41323" xr:uid="{00000000-0005-0000-0000-0000690A0000}"/>
    <cellStyle name="Style 28 4 4" xfId="17512" xr:uid="{00000000-0005-0000-0000-0000690A0000}"/>
    <cellStyle name="Style 28 4 5" xfId="35956" xr:uid="{00000000-0005-0000-0000-0000690A0000}"/>
    <cellStyle name="Style 28 5" xfId="3092" xr:uid="{00000000-0005-0000-0000-00006A0A0000}"/>
    <cellStyle name="Style 28 5 2" xfId="5344" xr:uid="{00000000-0005-0000-0000-00006A0A0000}"/>
    <cellStyle name="Style 28 5 2 2" xfId="16036" xr:uid="{00000000-0005-0000-0000-00006A0A0000}"/>
    <cellStyle name="Style 28 5 2 2 2" xfId="34410" xr:uid="{00000000-0005-0000-0000-00006A0A0000}"/>
    <cellStyle name="Style 28 5 2 2 3" xfId="52773" xr:uid="{00000000-0005-0000-0000-00006A0A0000}"/>
    <cellStyle name="Style 28 5 2 3" xfId="25157" xr:uid="{00000000-0005-0000-0000-00006A0A0000}"/>
    <cellStyle name="Style 28 5 2 3 2" xfId="43526" xr:uid="{00000000-0005-0000-0000-00006A0A0000}"/>
    <cellStyle name="Style 28 5 2 4" xfId="21478" xr:uid="{00000000-0005-0000-0000-00006A0A0000}"/>
    <cellStyle name="Style 28 5 2 5" xfId="39857" xr:uid="{00000000-0005-0000-0000-00006A0A0000}"/>
    <cellStyle name="Style 28 5 3" xfId="23094" xr:uid="{00000000-0005-0000-0000-00006A0A0000}"/>
    <cellStyle name="Style 28 5 3 2" xfId="41463" xr:uid="{00000000-0005-0000-0000-00006A0A0000}"/>
    <cellStyle name="Style 28 5 4" xfId="17654" xr:uid="{00000000-0005-0000-0000-00006A0A0000}"/>
    <cellStyle name="Style 28 5 5" xfId="36096" xr:uid="{00000000-0005-0000-0000-00006A0A0000}"/>
    <cellStyle name="Style 28 6" xfId="3210" xr:uid="{00000000-0005-0000-0000-00006B0A0000}"/>
    <cellStyle name="Style 28 6 2" xfId="5414" xr:uid="{00000000-0005-0000-0000-00006B0A0000}"/>
    <cellStyle name="Style 28 6 2 2" xfId="16105" xr:uid="{00000000-0005-0000-0000-00006B0A0000}"/>
    <cellStyle name="Style 28 6 2 2 2" xfId="34477" xr:uid="{00000000-0005-0000-0000-00006B0A0000}"/>
    <cellStyle name="Style 28 6 2 2 3" xfId="52840" xr:uid="{00000000-0005-0000-0000-00006B0A0000}"/>
    <cellStyle name="Style 28 6 2 3" xfId="25224" xr:uid="{00000000-0005-0000-0000-00006B0A0000}"/>
    <cellStyle name="Style 28 6 2 3 2" xfId="43593" xr:uid="{00000000-0005-0000-0000-00006B0A0000}"/>
    <cellStyle name="Style 28 6 2 4" xfId="21545" xr:uid="{00000000-0005-0000-0000-00006B0A0000}"/>
    <cellStyle name="Style 28 6 2 5" xfId="39924" xr:uid="{00000000-0005-0000-0000-00006B0A0000}"/>
    <cellStyle name="Style 28 6 3" xfId="23153" xr:uid="{00000000-0005-0000-0000-00006B0A0000}"/>
    <cellStyle name="Style 28 6 3 2" xfId="41522" xr:uid="{00000000-0005-0000-0000-00006B0A0000}"/>
    <cellStyle name="Style 28 6 4" xfId="17734" xr:uid="{00000000-0005-0000-0000-00006B0A0000}"/>
    <cellStyle name="Style 28 6 5" xfId="36155" xr:uid="{00000000-0005-0000-0000-00006B0A0000}"/>
    <cellStyle name="Style 28 7" xfId="4133" xr:uid="{00000000-0005-0000-0000-0000660A0000}"/>
    <cellStyle name="Style 28 7 2" xfId="14887" xr:uid="{00000000-0005-0000-0000-0000660A0000}"/>
    <cellStyle name="Style 28 7 2 2" xfId="33293" xr:uid="{00000000-0005-0000-0000-0000660A0000}"/>
    <cellStyle name="Style 28 7 2 3" xfId="51656" xr:uid="{00000000-0005-0000-0000-0000660A0000}"/>
    <cellStyle name="Style 28 7 3" xfId="24018" xr:uid="{00000000-0005-0000-0000-0000660A0000}"/>
    <cellStyle name="Style 28 7 3 2" xfId="42387" xr:uid="{00000000-0005-0000-0000-0000660A0000}"/>
    <cellStyle name="Style 28 7 4" xfId="20341" xr:uid="{00000000-0005-0000-0000-0000660A0000}"/>
    <cellStyle name="Style 28 7 5" xfId="38740" xr:uid="{00000000-0005-0000-0000-0000660A0000}"/>
    <cellStyle name="Style 28 8" xfId="18804" xr:uid="{00000000-0005-0000-0000-0000660A0000}"/>
    <cellStyle name="Style 28 8 2" xfId="37213" xr:uid="{00000000-0005-0000-0000-0000660A0000}"/>
    <cellStyle name="Style 28 9" xfId="6990" xr:uid="{00000000-0005-0000-0000-0000660A0000}"/>
    <cellStyle name="Style 29" xfId="825" xr:uid="{00000000-0005-0000-0000-00006C0A0000}"/>
    <cellStyle name="Style 30" xfId="826" xr:uid="{00000000-0005-0000-0000-00006D0A0000}"/>
    <cellStyle name="Style 31" xfId="827" xr:uid="{00000000-0005-0000-0000-00006E0A0000}"/>
    <cellStyle name="Style 31 2" xfId="2223" xr:uid="{00000000-0005-0000-0000-00006F0A0000}"/>
    <cellStyle name="Style 31 3" xfId="2667" xr:uid="{00000000-0005-0000-0000-0000700A0000}"/>
    <cellStyle name="Style 31 4" xfId="2934" xr:uid="{00000000-0005-0000-0000-0000710A0000}"/>
    <cellStyle name="Style 31 5" xfId="3209" xr:uid="{00000000-0005-0000-0000-0000720A0000}"/>
    <cellStyle name="Style 32" xfId="828" xr:uid="{00000000-0005-0000-0000-0000730A0000}"/>
    <cellStyle name="Style 32 2" xfId="2224" xr:uid="{00000000-0005-0000-0000-0000740A0000}"/>
    <cellStyle name="Style 32 3" xfId="2668" xr:uid="{00000000-0005-0000-0000-0000750A0000}"/>
    <cellStyle name="Style 32 4" xfId="2933" xr:uid="{00000000-0005-0000-0000-0000760A0000}"/>
    <cellStyle name="Style 32 5" xfId="3208" xr:uid="{00000000-0005-0000-0000-0000770A0000}"/>
    <cellStyle name="Style 33" xfId="829" xr:uid="{00000000-0005-0000-0000-0000780A0000}"/>
    <cellStyle name="Style 33 2" xfId="2225" xr:uid="{00000000-0005-0000-0000-0000790A0000}"/>
    <cellStyle name="Style 33 3" xfId="2669" xr:uid="{00000000-0005-0000-0000-00007A0A0000}"/>
    <cellStyle name="Style 34" xfId="830" xr:uid="{00000000-0005-0000-0000-00007B0A0000}"/>
    <cellStyle name="Style 34 2" xfId="2226" xr:uid="{00000000-0005-0000-0000-00007C0A0000}"/>
    <cellStyle name="Style 34 3" xfId="2670" xr:uid="{00000000-0005-0000-0000-00007D0A0000}"/>
    <cellStyle name="Style 35" xfId="831" xr:uid="{00000000-0005-0000-0000-00007E0A0000}"/>
    <cellStyle name="Style 35 10" xfId="17839" xr:uid="{00000000-0005-0000-0000-00007E0A0000}"/>
    <cellStyle name="Style 35 10 2" xfId="36249" xr:uid="{00000000-0005-0000-0000-00007E0A0000}"/>
    <cellStyle name="Style 35 11" xfId="6989" xr:uid="{00000000-0005-0000-0000-00007E0A0000}"/>
    <cellStyle name="Style 35 12" xfId="22309" xr:uid="{00000000-0005-0000-0000-00007E0A0000}"/>
    <cellStyle name="Style 35 2" xfId="1180" xr:uid="{00000000-0005-0000-0000-00007F0A0000}"/>
    <cellStyle name="Style 35 2 2" xfId="4279" xr:uid="{00000000-0005-0000-0000-00007F0A0000}"/>
    <cellStyle name="Style 35 2 2 2" xfId="15024" xr:uid="{00000000-0005-0000-0000-00007F0A0000}"/>
    <cellStyle name="Style 35 2 2 2 2" xfId="33428" xr:uid="{00000000-0005-0000-0000-00007F0A0000}"/>
    <cellStyle name="Style 35 2 2 2 3" xfId="51791" xr:uid="{00000000-0005-0000-0000-00007F0A0000}"/>
    <cellStyle name="Style 35 2 2 3" xfId="24157" xr:uid="{00000000-0005-0000-0000-00007F0A0000}"/>
    <cellStyle name="Style 35 2 2 3 2" xfId="42526" xr:uid="{00000000-0005-0000-0000-00007F0A0000}"/>
    <cellStyle name="Style 35 2 2 4" xfId="20477" xr:uid="{00000000-0005-0000-0000-00007F0A0000}"/>
    <cellStyle name="Style 35 2 2 5" xfId="38875" xr:uid="{00000000-0005-0000-0000-00007F0A0000}"/>
    <cellStyle name="Style 35 2 3" xfId="18144" xr:uid="{00000000-0005-0000-0000-00007F0A0000}"/>
    <cellStyle name="Style 35 2 3 2" xfId="36551" xr:uid="{00000000-0005-0000-0000-00007F0A0000}"/>
    <cellStyle name="Style 35 2 4" xfId="7315" xr:uid="{00000000-0005-0000-0000-00007F0A0000}"/>
    <cellStyle name="Style 35 2 5" xfId="7342" xr:uid="{00000000-0005-0000-0000-00007F0A0000}"/>
    <cellStyle name="Style 35 3" xfId="1840" xr:uid="{00000000-0005-0000-0000-0000800A0000}"/>
    <cellStyle name="Style 35 3 2" xfId="4766" xr:uid="{00000000-0005-0000-0000-0000800A0000}"/>
    <cellStyle name="Style 35 3 2 2" xfId="15492" xr:uid="{00000000-0005-0000-0000-0000800A0000}"/>
    <cellStyle name="Style 35 3 2 2 2" xfId="33885" xr:uid="{00000000-0005-0000-0000-0000800A0000}"/>
    <cellStyle name="Style 35 3 2 2 3" xfId="52248" xr:uid="{00000000-0005-0000-0000-0000800A0000}"/>
    <cellStyle name="Style 35 3 2 3" xfId="24616" xr:uid="{00000000-0005-0000-0000-0000800A0000}"/>
    <cellStyle name="Style 35 3 2 3 2" xfId="42985" xr:uid="{00000000-0005-0000-0000-0000800A0000}"/>
    <cellStyle name="Style 35 3 2 4" xfId="20943" xr:uid="{00000000-0005-0000-0000-0000800A0000}"/>
    <cellStyle name="Style 35 3 2 5" xfId="39332" xr:uid="{00000000-0005-0000-0000-0000800A0000}"/>
    <cellStyle name="Style 35 3 3" xfId="18057" xr:uid="{00000000-0005-0000-0000-0000800A0000}"/>
    <cellStyle name="Style 35 3 3 2" xfId="36464" xr:uid="{00000000-0005-0000-0000-0000800A0000}"/>
    <cellStyle name="Style 35 3 4" xfId="10880" xr:uid="{00000000-0005-0000-0000-0000800A0000}"/>
    <cellStyle name="Style 35 3 5" xfId="11775" xr:uid="{00000000-0005-0000-0000-0000800A0000}"/>
    <cellStyle name="Style 35 4" xfId="2227" xr:uid="{00000000-0005-0000-0000-0000810A0000}"/>
    <cellStyle name="Style 35 4 2" xfId="4936" xr:uid="{00000000-0005-0000-0000-0000810A0000}"/>
    <cellStyle name="Style 35 4 2 2" xfId="15655" xr:uid="{00000000-0005-0000-0000-0000810A0000}"/>
    <cellStyle name="Style 35 4 2 2 2" xfId="34044" xr:uid="{00000000-0005-0000-0000-0000810A0000}"/>
    <cellStyle name="Style 35 4 2 2 3" xfId="52407" xr:uid="{00000000-0005-0000-0000-0000810A0000}"/>
    <cellStyle name="Style 35 4 2 3" xfId="24777" xr:uid="{00000000-0005-0000-0000-0000810A0000}"/>
    <cellStyle name="Style 35 4 2 3 2" xfId="43146" xr:uid="{00000000-0005-0000-0000-0000810A0000}"/>
    <cellStyle name="Style 35 4 2 4" xfId="21104" xr:uid="{00000000-0005-0000-0000-0000810A0000}"/>
    <cellStyle name="Style 35 4 2 5" xfId="39491" xr:uid="{00000000-0005-0000-0000-0000810A0000}"/>
    <cellStyle name="Style 35 4 3" xfId="18287" xr:uid="{00000000-0005-0000-0000-0000810A0000}"/>
    <cellStyle name="Style 35 4 3 2" xfId="36693" xr:uid="{00000000-0005-0000-0000-0000810A0000}"/>
    <cellStyle name="Style 35 4 4" xfId="7344" xr:uid="{00000000-0005-0000-0000-0000810A0000}"/>
    <cellStyle name="Style 35 4 5" xfId="8619" xr:uid="{00000000-0005-0000-0000-0000810A0000}"/>
    <cellStyle name="Style 35 5" xfId="2671" xr:uid="{00000000-0005-0000-0000-0000820A0000}"/>
    <cellStyle name="Style 35 5 2" xfId="5099" xr:uid="{00000000-0005-0000-0000-0000820A0000}"/>
    <cellStyle name="Style 35 5 2 2" xfId="15808" xr:uid="{00000000-0005-0000-0000-0000820A0000}"/>
    <cellStyle name="Style 35 5 2 2 2" xfId="34193" xr:uid="{00000000-0005-0000-0000-0000820A0000}"/>
    <cellStyle name="Style 35 5 2 2 3" xfId="52556" xr:uid="{00000000-0005-0000-0000-0000820A0000}"/>
    <cellStyle name="Style 35 5 2 3" xfId="24930" xr:uid="{00000000-0005-0000-0000-0000820A0000}"/>
    <cellStyle name="Style 35 5 2 3 2" xfId="43299" xr:uid="{00000000-0005-0000-0000-0000820A0000}"/>
    <cellStyle name="Style 35 5 2 4" xfId="21255" xr:uid="{00000000-0005-0000-0000-0000820A0000}"/>
    <cellStyle name="Style 35 5 2 5" xfId="39640" xr:uid="{00000000-0005-0000-0000-0000820A0000}"/>
    <cellStyle name="Style 35 5 3" xfId="19002" xr:uid="{00000000-0005-0000-0000-0000820A0000}"/>
    <cellStyle name="Style 35 5 3 2" xfId="37411" xr:uid="{00000000-0005-0000-0000-0000820A0000}"/>
    <cellStyle name="Style 35 5 4" xfId="8470" xr:uid="{00000000-0005-0000-0000-0000820A0000}"/>
    <cellStyle name="Style 35 5 5" xfId="35887" xr:uid="{00000000-0005-0000-0000-0000820A0000}"/>
    <cellStyle name="Style 35 6" xfId="2932" xr:uid="{00000000-0005-0000-0000-0000830A0000}"/>
    <cellStyle name="Style 35 6 2" xfId="5200" xr:uid="{00000000-0005-0000-0000-0000830A0000}"/>
    <cellStyle name="Style 35 6 2 2" xfId="15892" xr:uid="{00000000-0005-0000-0000-0000830A0000}"/>
    <cellStyle name="Style 35 6 2 2 2" xfId="34266" xr:uid="{00000000-0005-0000-0000-0000830A0000}"/>
    <cellStyle name="Style 35 6 2 2 3" xfId="52629" xr:uid="{00000000-0005-0000-0000-0000830A0000}"/>
    <cellStyle name="Style 35 6 2 3" xfId="25013" xr:uid="{00000000-0005-0000-0000-0000830A0000}"/>
    <cellStyle name="Style 35 6 2 3 2" xfId="43382" xr:uid="{00000000-0005-0000-0000-0000830A0000}"/>
    <cellStyle name="Style 35 6 2 4" xfId="21334" xr:uid="{00000000-0005-0000-0000-0000830A0000}"/>
    <cellStyle name="Style 35 6 2 5" xfId="39713" xr:uid="{00000000-0005-0000-0000-0000830A0000}"/>
    <cellStyle name="Style 35 6 3" xfId="22953" xr:uid="{00000000-0005-0000-0000-0000830A0000}"/>
    <cellStyle name="Style 35 6 3 2" xfId="41322" xr:uid="{00000000-0005-0000-0000-0000830A0000}"/>
    <cellStyle name="Style 35 6 4" xfId="17511" xr:uid="{00000000-0005-0000-0000-0000830A0000}"/>
    <cellStyle name="Style 35 6 5" xfId="35955" xr:uid="{00000000-0005-0000-0000-0000830A0000}"/>
    <cellStyle name="Style 35 7" xfId="3093" xr:uid="{00000000-0005-0000-0000-0000840A0000}"/>
    <cellStyle name="Style 35 7 2" xfId="5345" xr:uid="{00000000-0005-0000-0000-0000840A0000}"/>
    <cellStyle name="Style 35 7 2 2" xfId="16037" xr:uid="{00000000-0005-0000-0000-0000840A0000}"/>
    <cellStyle name="Style 35 7 2 2 2" xfId="34411" xr:uid="{00000000-0005-0000-0000-0000840A0000}"/>
    <cellStyle name="Style 35 7 2 2 3" xfId="52774" xr:uid="{00000000-0005-0000-0000-0000840A0000}"/>
    <cellStyle name="Style 35 7 2 3" xfId="25158" xr:uid="{00000000-0005-0000-0000-0000840A0000}"/>
    <cellStyle name="Style 35 7 2 3 2" xfId="43527" xr:uid="{00000000-0005-0000-0000-0000840A0000}"/>
    <cellStyle name="Style 35 7 2 4" xfId="21479" xr:uid="{00000000-0005-0000-0000-0000840A0000}"/>
    <cellStyle name="Style 35 7 2 5" xfId="39858" xr:uid="{00000000-0005-0000-0000-0000840A0000}"/>
    <cellStyle name="Style 35 7 3" xfId="23095" xr:uid="{00000000-0005-0000-0000-0000840A0000}"/>
    <cellStyle name="Style 35 7 3 2" xfId="41464" xr:uid="{00000000-0005-0000-0000-0000840A0000}"/>
    <cellStyle name="Style 35 7 4" xfId="17655" xr:uid="{00000000-0005-0000-0000-0000840A0000}"/>
    <cellStyle name="Style 35 7 5" xfId="36097" xr:uid="{00000000-0005-0000-0000-0000840A0000}"/>
    <cellStyle name="Style 35 8" xfId="3207" xr:uid="{00000000-0005-0000-0000-0000850A0000}"/>
    <cellStyle name="Style 35 8 2" xfId="5413" xr:uid="{00000000-0005-0000-0000-0000850A0000}"/>
    <cellStyle name="Style 35 8 2 2" xfId="16104" xr:uid="{00000000-0005-0000-0000-0000850A0000}"/>
    <cellStyle name="Style 35 8 2 2 2" xfId="34476" xr:uid="{00000000-0005-0000-0000-0000850A0000}"/>
    <cellStyle name="Style 35 8 2 2 3" xfId="52839" xr:uid="{00000000-0005-0000-0000-0000850A0000}"/>
    <cellStyle name="Style 35 8 2 3" xfId="25223" xr:uid="{00000000-0005-0000-0000-0000850A0000}"/>
    <cellStyle name="Style 35 8 2 3 2" xfId="43592" xr:uid="{00000000-0005-0000-0000-0000850A0000}"/>
    <cellStyle name="Style 35 8 2 4" xfId="21544" xr:uid="{00000000-0005-0000-0000-0000850A0000}"/>
    <cellStyle name="Style 35 8 2 5" xfId="39923" xr:uid="{00000000-0005-0000-0000-0000850A0000}"/>
    <cellStyle name="Style 35 8 3" xfId="23152" xr:uid="{00000000-0005-0000-0000-0000850A0000}"/>
    <cellStyle name="Style 35 8 3 2" xfId="41521" xr:uid="{00000000-0005-0000-0000-0000850A0000}"/>
    <cellStyle name="Style 35 8 4" xfId="17733" xr:uid="{00000000-0005-0000-0000-0000850A0000}"/>
    <cellStyle name="Style 35 8 5" xfId="36154" xr:uid="{00000000-0005-0000-0000-0000850A0000}"/>
    <cellStyle name="Style 35 9" xfId="4134" xr:uid="{00000000-0005-0000-0000-00007E0A0000}"/>
    <cellStyle name="Style 35 9 2" xfId="14888" xr:uid="{00000000-0005-0000-0000-00007E0A0000}"/>
    <cellStyle name="Style 35 9 2 2" xfId="33294" xr:uid="{00000000-0005-0000-0000-00007E0A0000}"/>
    <cellStyle name="Style 35 9 2 3" xfId="51657" xr:uid="{00000000-0005-0000-0000-00007E0A0000}"/>
    <cellStyle name="Style 35 9 3" xfId="24019" xr:uid="{00000000-0005-0000-0000-00007E0A0000}"/>
    <cellStyle name="Style 35 9 3 2" xfId="42388" xr:uid="{00000000-0005-0000-0000-00007E0A0000}"/>
    <cellStyle name="Style 35 9 4" xfId="20342" xr:uid="{00000000-0005-0000-0000-00007E0A0000}"/>
    <cellStyle name="Style 35 9 5" xfId="38741" xr:uid="{00000000-0005-0000-0000-00007E0A0000}"/>
    <cellStyle name="Style 36" xfId="832" xr:uid="{00000000-0005-0000-0000-0000860A0000}"/>
    <cellStyle name="Style 36 10" xfId="18557" xr:uid="{00000000-0005-0000-0000-0000860A0000}"/>
    <cellStyle name="Style 36 10 2" xfId="36966" xr:uid="{00000000-0005-0000-0000-0000860A0000}"/>
    <cellStyle name="Style 36 11" xfId="8955" xr:uid="{00000000-0005-0000-0000-0000860A0000}"/>
    <cellStyle name="Style 36 12" xfId="21235" xr:uid="{00000000-0005-0000-0000-0000860A0000}"/>
    <cellStyle name="Style 36 2" xfId="1181" xr:uid="{00000000-0005-0000-0000-0000870A0000}"/>
    <cellStyle name="Style 36 2 2" xfId="4280" xr:uid="{00000000-0005-0000-0000-0000870A0000}"/>
    <cellStyle name="Style 36 2 2 2" xfId="15025" xr:uid="{00000000-0005-0000-0000-0000870A0000}"/>
    <cellStyle name="Style 36 2 2 2 2" xfId="33429" xr:uid="{00000000-0005-0000-0000-0000870A0000}"/>
    <cellStyle name="Style 36 2 2 2 3" xfId="51792" xr:uid="{00000000-0005-0000-0000-0000870A0000}"/>
    <cellStyle name="Style 36 2 2 3" xfId="24158" xr:uid="{00000000-0005-0000-0000-0000870A0000}"/>
    <cellStyle name="Style 36 2 2 3 2" xfId="42527" xr:uid="{00000000-0005-0000-0000-0000870A0000}"/>
    <cellStyle name="Style 36 2 2 4" xfId="20478" xr:uid="{00000000-0005-0000-0000-0000870A0000}"/>
    <cellStyle name="Style 36 2 2 5" xfId="38876" xr:uid="{00000000-0005-0000-0000-0000870A0000}"/>
    <cellStyle name="Style 36 2 3" xfId="17892" xr:uid="{00000000-0005-0000-0000-0000870A0000}"/>
    <cellStyle name="Style 36 2 3 2" xfId="36302" xr:uid="{00000000-0005-0000-0000-0000870A0000}"/>
    <cellStyle name="Style 36 2 4" xfId="8303" xr:uid="{00000000-0005-0000-0000-0000870A0000}"/>
    <cellStyle name="Style 36 2 5" xfId="8172" xr:uid="{00000000-0005-0000-0000-0000870A0000}"/>
    <cellStyle name="Style 36 3" xfId="1839" xr:uid="{00000000-0005-0000-0000-0000880A0000}"/>
    <cellStyle name="Style 36 3 2" xfId="4765" xr:uid="{00000000-0005-0000-0000-0000880A0000}"/>
    <cellStyle name="Style 36 3 2 2" xfId="15491" xr:uid="{00000000-0005-0000-0000-0000880A0000}"/>
    <cellStyle name="Style 36 3 2 2 2" xfId="33884" xr:uid="{00000000-0005-0000-0000-0000880A0000}"/>
    <cellStyle name="Style 36 3 2 2 3" xfId="52247" xr:uid="{00000000-0005-0000-0000-0000880A0000}"/>
    <cellStyle name="Style 36 3 2 3" xfId="24615" xr:uid="{00000000-0005-0000-0000-0000880A0000}"/>
    <cellStyle name="Style 36 3 2 3 2" xfId="42984" xr:uid="{00000000-0005-0000-0000-0000880A0000}"/>
    <cellStyle name="Style 36 3 2 4" xfId="20942" xr:uid="{00000000-0005-0000-0000-0000880A0000}"/>
    <cellStyle name="Style 36 3 2 5" xfId="39331" xr:uid="{00000000-0005-0000-0000-0000880A0000}"/>
    <cellStyle name="Style 36 3 3" xfId="18837" xr:uid="{00000000-0005-0000-0000-0000880A0000}"/>
    <cellStyle name="Style 36 3 3 2" xfId="37246" xr:uid="{00000000-0005-0000-0000-0000880A0000}"/>
    <cellStyle name="Style 36 3 4" xfId="8344" xr:uid="{00000000-0005-0000-0000-0000880A0000}"/>
    <cellStyle name="Style 36 3 5" xfId="8857" xr:uid="{00000000-0005-0000-0000-0000880A0000}"/>
    <cellStyle name="Style 36 4" xfId="2228" xr:uid="{00000000-0005-0000-0000-0000890A0000}"/>
    <cellStyle name="Style 36 4 2" xfId="4937" xr:uid="{00000000-0005-0000-0000-0000890A0000}"/>
    <cellStyle name="Style 36 4 2 2" xfId="15656" xr:uid="{00000000-0005-0000-0000-0000890A0000}"/>
    <cellStyle name="Style 36 4 2 2 2" xfId="34045" xr:uid="{00000000-0005-0000-0000-0000890A0000}"/>
    <cellStyle name="Style 36 4 2 2 3" xfId="52408" xr:uid="{00000000-0005-0000-0000-0000890A0000}"/>
    <cellStyle name="Style 36 4 2 3" xfId="24778" xr:uid="{00000000-0005-0000-0000-0000890A0000}"/>
    <cellStyle name="Style 36 4 2 3 2" xfId="43147" xr:uid="{00000000-0005-0000-0000-0000890A0000}"/>
    <cellStyle name="Style 36 4 2 4" xfId="21105" xr:uid="{00000000-0005-0000-0000-0000890A0000}"/>
    <cellStyle name="Style 36 4 2 5" xfId="39492" xr:uid="{00000000-0005-0000-0000-0000890A0000}"/>
    <cellStyle name="Style 36 4 3" xfId="17951" xr:uid="{00000000-0005-0000-0000-0000890A0000}"/>
    <cellStyle name="Style 36 4 3 2" xfId="36359" xr:uid="{00000000-0005-0000-0000-0000890A0000}"/>
    <cellStyle name="Style 36 4 4" xfId="8600" xr:uid="{00000000-0005-0000-0000-0000890A0000}"/>
    <cellStyle name="Style 36 4 5" xfId="16065" xr:uid="{00000000-0005-0000-0000-0000890A0000}"/>
    <cellStyle name="Style 36 5" xfId="2672" xr:uid="{00000000-0005-0000-0000-00008A0A0000}"/>
    <cellStyle name="Style 36 5 2" xfId="5100" xr:uid="{00000000-0005-0000-0000-00008A0A0000}"/>
    <cellStyle name="Style 36 5 2 2" xfId="15809" xr:uid="{00000000-0005-0000-0000-00008A0A0000}"/>
    <cellStyle name="Style 36 5 2 2 2" xfId="34194" xr:uid="{00000000-0005-0000-0000-00008A0A0000}"/>
    <cellStyle name="Style 36 5 2 2 3" xfId="52557" xr:uid="{00000000-0005-0000-0000-00008A0A0000}"/>
    <cellStyle name="Style 36 5 2 3" xfId="24931" xr:uid="{00000000-0005-0000-0000-00008A0A0000}"/>
    <cellStyle name="Style 36 5 2 3 2" xfId="43300" xr:uid="{00000000-0005-0000-0000-00008A0A0000}"/>
    <cellStyle name="Style 36 5 2 4" xfId="21256" xr:uid="{00000000-0005-0000-0000-00008A0A0000}"/>
    <cellStyle name="Style 36 5 2 5" xfId="39641" xr:uid="{00000000-0005-0000-0000-00008A0A0000}"/>
    <cellStyle name="Style 36 5 3" xfId="19089" xr:uid="{00000000-0005-0000-0000-00008A0A0000}"/>
    <cellStyle name="Style 36 5 3 2" xfId="37497" xr:uid="{00000000-0005-0000-0000-00008A0A0000}"/>
    <cellStyle name="Style 36 5 4" xfId="7362" xr:uid="{00000000-0005-0000-0000-00008A0A0000}"/>
    <cellStyle name="Style 36 5 5" xfId="35888" xr:uid="{00000000-0005-0000-0000-00008A0A0000}"/>
    <cellStyle name="Style 36 6" xfId="2931" xr:uid="{00000000-0005-0000-0000-00008B0A0000}"/>
    <cellStyle name="Style 36 6 2" xfId="5199" xr:uid="{00000000-0005-0000-0000-00008B0A0000}"/>
    <cellStyle name="Style 36 6 2 2" xfId="15891" xr:uid="{00000000-0005-0000-0000-00008B0A0000}"/>
    <cellStyle name="Style 36 6 2 2 2" xfId="34265" xr:uid="{00000000-0005-0000-0000-00008B0A0000}"/>
    <cellStyle name="Style 36 6 2 2 3" xfId="52628" xr:uid="{00000000-0005-0000-0000-00008B0A0000}"/>
    <cellStyle name="Style 36 6 2 3" xfId="25012" xr:uid="{00000000-0005-0000-0000-00008B0A0000}"/>
    <cellStyle name="Style 36 6 2 3 2" xfId="43381" xr:uid="{00000000-0005-0000-0000-00008B0A0000}"/>
    <cellStyle name="Style 36 6 2 4" xfId="21333" xr:uid="{00000000-0005-0000-0000-00008B0A0000}"/>
    <cellStyle name="Style 36 6 2 5" xfId="39712" xr:uid="{00000000-0005-0000-0000-00008B0A0000}"/>
    <cellStyle name="Style 36 6 3" xfId="22952" xr:uid="{00000000-0005-0000-0000-00008B0A0000}"/>
    <cellStyle name="Style 36 6 3 2" xfId="41321" xr:uid="{00000000-0005-0000-0000-00008B0A0000}"/>
    <cellStyle name="Style 36 6 4" xfId="17510" xr:uid="{00000000-0005-0000-0000-00008B0A0000}"/>
    <cellStyle name="Style 36 6 5" xfId="35954" xr:uid="{00000000-0005-0000-0000-00008B0A0000}"/>
    <cellStyle name="Style 36 7" xfId="3094" xr:uid="{00000000-0005-0000-0000-00008C0A0000}"/>
    <cellStyle name="Style 36 7 2" xfId="5346" xr:uid="{00000000-0005-0000-0000-00008C0A0000}"/>
    <cellStyle name="Style 36 7 2 2" xfId="16038" xr:uid="{00000000-0005-0000-0000-00008C0A0000}"/>
    <cellStyle name="Style 36 7 2 2 2" xfId="34412" xr:uid="{00000000-0005-0000-0000-00008C0A0000}"/>
    <cellStyle name="Style 36 7 2 2 3" xfId="52775" xr:uid="{00000000-0005-0000-0000-00008C0A0000}"/>
    <cellStyle name="Style 36 7 2 3" xfId="25159" xr:uid="{00000000-0005-0000-0000-00008C0A0000}"/>
    <cellStyle name="Style 36 7 2 3 2" xfId="43528" xr:uid="{00000000-0005-0000-0000-00008C0A0000}"/>
    <cellStyle name="Style 36 7 2 4" xfId="21480" xr:uid="{00000000-0005-0000-0000-00008C0A0000}"/>
    <cellStyle name="Style 36 7 2 5" xfId="39859" xr:uid="{00000000-0005-0000-0000-00008C0A0000}"/>
    <cellStyle name="Style 36 7 3" xfId="23096" xr:uid="{00000000-0005-0000-0000-00008C0A0000}"/>
    <cellStyle name="Style 36 7 3 2" xfId="41465" xr:uid="{00000000-0005-0000-0000-00008C0A0000}"/>
    <cellStyle name="Style 36 7 4" xfId="17656" xr:uid="{00000000-0005-0000-0000-00008C0A0000}"/>
    <cellStyle name="Style 36 7 5" xfId="36098" xr:uid="{00000000-0005-0000-0000-00008C0A0000}"/>
    <cellStyle name="Style 36 8" xfId="3206" xr:uid="{00000000-0005-0000-0000-00008D0A0000}"/>
    <cellStyle name="Style 36 8 2" xfId="5412" xr:uid="{00000000-0005-0000-0000-00008D0A0000}"/>
    <cellStyle name="Style 36 8 2 2" xfId="16103" xr:uid="{00000000-0005-0000-0000-00008D0A0000}"/>
    <cellStyle name="Style 36 8 2 2 2" xfId="34475" xr:uid="{00000000-0005-0000-0000-00008D0A0000}"/>
    <cellStyle name="Style 36 8 2 2 3" xfId="52838" xr:uid="{00000000-0005-0000-0000-00008D0A0000}"/>
    <cellStyle name="Style 36 8 2 3" xfId="25222" xr:uid="{00000000-0005-0000-0000-00008D0A0000}"/>
    <cellStyle name="Style 36 8 2 3 2" xfId="43591" xr:uid="{00000000-0005-0000-0000-00008D0A0000}"/>
    <cellStyle name="Style 36 8 2 4" xfId="21543" xr:uid="{00000000-0005-0000-0000-00008D0A0000}"/>
    <cellStyle name="Style 36 8 2 5" xfId="39922" xr:uid="{00000000-0005-0000-0000-00008D0A0000}"/>
    <cellStyle name="Style 36 8 3" xfId="23151" xr:uid="{00000000-0005-0000-0000-00008D0A0000}"/>
    <cellStyle name="Style 36 8 3 2" xfId="41520" xr:uid="{00000000-0005-0000-0000-00008D0A0000}"/>
    <cellStyle name="Style 36 8 4" xfId="17732" xr:uid="{00000000-0005-0000-0000-00008D0A0000}"/>
    <cellStyle name="Style 36 8 5" xfId="36153" xr:uid="{00000000-0005-0000-0000-00008D0A0000}"/>
    <cellStyle name="Style 36 9" xfId="4135" xr:uid="{00000000-0005-0000-0000-0000860A0000}"/>
    <cellStyle name="Style 36 9 2" xfId="14889" xr:uid="{00000000-0005-0000-0000-0000860A0000}"/>
    <cellStyle name="Style 36 9 2 2" xfId="33295" xr:uid="{00000000-0005-0000-0000-0000860A0000}"/>
    <cellStyle name="Style 36 9 2 3" xfId="51658" xr:uid="{00000000-0005-0000-0000-0000860A0000}"/>
    <cellStyle name="Style 36 9 3" xfId="24020" xr:uid="{00000000-0005-0000-0000-0000860A0000}"/>
    <cellStyle name="Style 36 9 3 2" xfId="42389" xr:uid="{00000000-0005-0000-0000-0000860A0000}"/>
    <cellStyle name="Style 36 9 4" xfId="20343" xr:uid="{00000000-0005-0000-0000-0000860A0000}"/>
    <cellStyle name="Style 36 9 5" xfId="38742" xr:uid="{00000000-0005-0000-0000-0000860A0000}"/>
    <cellStyle name="Style 37" xfId="833" xr:uid="{00000000-0005-0000-0000-00008E0A0000}"/>
    <cellStyle name="Style 37 10" xfId="19038" xr:uid="{00000000-0005-0000-0000-00008E0A0000}"/>
    <cellStyle name="Style 37 10 2" xfId="37447" xr:uid="{00000000-0005-0000-0000-00008E0A0000}"/>
    <cellStyle name="Style 37 11" xfId="7306" xr:uid="{00000000-0005-0000-0000-00008E0A0000}"/>
    <cellStyle name="Style 37 12" xfId="7840" xr:uid="{00000000-0005-0000-0000-00008E0A0000}"/>
    <cellStyle name="Style 37 2" xfId="1182" xr:uid="{00000000-0005-0000-0000-00008F0A0000}"/>
    <cellStyle name="Style 37 2 2" xfId="4281" xr:uid="{00000000-0005-0000-0000-00008F0A0000}"/>
    <cellStyle name="Style 37 2 2 2" xfId="15026" xr:uid="{00000000-0005-0000-0000-00008F0A0000}"/>
    <cellStyle name="Style 37 2 2 2 2" xfId="33430" xr:uid="{00000000-0005-0000-0000-00008F0A0000}"/>
    <cellStyle name="Style 37 2 2 2 3" xfId="51793" xr:uid="{00000000-0005-0000-0000-00008F0A0000}"/>
    <cellStyle name="Style 37 2 2 3" xfId="24159" xr:uid="{00000000-0005-0000-0000-00008F0A0000}"/>
    <cellStyle name="Style 37 2 2 3 2" xfId="42528" xr:uid="{00000000-0005-0000-0000-00008F0A0000}"/>
    <cellStyle name="Style 37 2 2 4" xfId="20479" xr:uid="{00000000-0005-0000-0000-00008F0A0000}"/>
    <cellStyle name="Style 37 2 2 5" xfId="38877" xr:uid="{00000000-0005-0000-0000-00008F0A0000}"/>
    <cellStyle name="Style 37 2 3" xfId="19412" xr:uid="{00000000-0005-0000-0000-00008F0A0000}"/>
    <cellStyle name="Style 37 2 3 2" xfId="37818" xr:uid="{00000000-0005-0000-0000-00008F0A0000}"/>
    <cellStyle name="Style 37 2 4" xfId="8572" xr:uid="{00000000-0005-0000-0000-00008F0A0000}"/>
    <cellStyle name="Style 37 2 5" xfId="7190" xr:uid="{00000000-0005-0000-0000-00008F0A0000}"/>
    <cellStyle name="Style 37 3" xfId="1838" xr:uid="{00000000-0005-0000-0000-0000900A0000}"/>
    <cellStyle name="Style 37 3 2" xfId="4764" xr:uid="{00000000-0005-0000-0000-0000900A0000}"/>
    <cellStyle name="Style 37 3 2 2" xfId="15490" xr:uid="{00000000-0005-0000-0000-0000900A0000}"/>
    <cellStyle name="Style 37 3 2 2 2" xfId="33883" xr:uid="{00000000-0005-0000-0000-0000900A0000}"/>
    <cellStyle name="Style 37 3 2 2 3" xfId="52246" xr:uid="{00000000-0005-0000-0000-0000900A0000}"/>
    <cellStyle name="Style 37 3 2 3" xfId="24614" xr:uid="{00000000-0005-0000-0000-0000900A0000}"/>
    <cellStyle name="Style 37 3 2 3 2" xfId="42983" xr:uid="{00000000-0005-0000-0000-0000900A0000}"/>
    <cellStyle name="Style 37 3 2 4" xfId="20941" xr:uid="{00000000-0005-0000-0000-0000900A0000}"/>
    <cellStyle name="Style 37 3 2 5" xfId="39330" xr:uid="{00000000-0005-0000-0000-0000900A0000}"/>
    <cellStyle name="Style 37 3 3" xfId="19463" xr:uid="{00000000-0005-0000-0000-0000900A0000}"/>
    <cellStyle name="Style 37 3 3 2" xfId="37869" xr:uid="{00000000-0005-0000-0000-0000900A0000}"/>
    <cellStyle name="Style 37 3 4" xfId="8520" xr:uid="{00000000-0005-0000-0000-0000900A0000}"/>
    <cellStyle name="Style 37 3 5" xfId="7319" xr:uid="{00000000-0005-0000-0000-0000900A0000}"/>
    <cellStyle name="Style 37 4" xfId="2229" xr:uid="{00000000-0005-0000-0000-0000910A0000}"/>
    <cellStyle name="Style 37 4 2" xfId="4938" xr:uid="{00000000-0005-0000-0000-0000910A0000}"/>
    <cellStyle name="Style 37 4 2 2" xfId="15657" xr:uid="{00000000-0005-0000-0000-0000910A0000}"/>
    <cellStyle name="Style 37 4 2 2 2" xfId="34046" xr:uid="{00000000-0005-0000-0000-0000910A0000}"/>
    <cellStyle name="Style 37 4 2 2 3" xfId="52409" xr:uid="{00000000-0005-0000-0000-0000910A0000}"/>
    <cellStyle name="Style 37 4 2 3" xfId="24779" xr:uid="{00000000-0005-0000-0000-0000910A0000}"/>
    <cellStyle name="Style 37 4 2 3 2" xfId="43148" xr:uid="{00000000-0005-0000-0000-0000910A0000}"/>
    <cellStyle name="Style 37 4 2 4" xfId="21106" xr:uid="{00000000-0005-0000-0000-0000910A0000}"/>
    <cellStyle name="Style 37 4 2 5" xfId="39493" xr:uid="{00000000-0005-0000-0000-0000910A0000}"/>
    <cellStyle name="Style 37 4 3" xfId="18338" xr:uid="{00000000-0005-0000-0000-0000910A0000}"/>
    <cellStyle name="Style 37 4 3 2" xfId="36744" xr:uid="{00000000-0005-0000-0000-0000910A0000}"/>
    <cellStyle name="Style 37 4 4" xfId="7345" xr:uid="{00000000-0005-0000-0000-0000910A0000}"/>
    <cellStyle name="Style 37 4 5" xfId="8605" xr:uid="{00000000-0005-0000-0000-0000910A0000}"/>
    <cellStyle name="Style 37 5" xfId="2673" xr:uid="{00000000-0005-0000-0000-0000920A0000}"/>
    <cellStyle name="Style 37 5 2" xfId="5101" xr:uid="{00000000-0005-0000-0000-0000920A0000}"/>
    <cellStyle name="Style 37 5 2 2" xfId="15810" xr:uid="{00000000-0005-0000-0000-0000920A0000}"/>
    <cellStyle name="Style 37 5 2 2 2" xfId="34195" xr:uid="{00000000-0005-0000-0000-0000920A0000}"/>
    <cellStyle name="Style 37 5 2 2 3" xfId="52558" xr:uid="{00000000-0005-0000-0000-0000920A0000}"/>
    <cellStyle name="Style 37 5 2 3" xfId="24932" xr:uid="{00000000-0005-0000-0000-0000920A0000}"/>
    <cellStyle name="Style 37 5 2 3 2" xfId="43301" xr:uid="{00000000-0005-0000-0000-0000920A0000}"/>
    <cellStyle name="Style 37 5 2 4" xfId="21257" xr:uid="{00000000-0005-0000-0000-0000920A0000}"/>
    <cellStyle name="Style 37 5 2 5" xfId="39642" xr:uid="{00000000-0005-0000-0000-0000920A0000}"/>
    <cellStyle name="Style 37 5 3" xfId="19129" xr:uid="{00000000-0005-0000-0000-0000920A0000}"/>
    <cellStyle name="Style 37 5 3 2" xfId="37537" xr:uid="{00000000-0005-0000-0000-0000920A0000}"/>
    <cellStyle name="Style 37 5 4" xfId="11574" xr:uid="{00000000-0005-0000-0000-0000920A0000}"/>
    <cellStyle name="Style 37 5 5" xfId="35889" xr:uid="{00000000-0005-0000-0000-0000920A0000}"/>
    <cellStyle name="Style 37 6" xfId="2930" xr:uid="{00000000-0005-0000-0000-0000930A0000}"/>
    <cellStyle name="Style 37 6 2" xfId="5198" xr:uid="{00000000-0005-0000-0000-0000930A0000}"/>
    <cellStyle name="Style 37 6 2 2" xfId="15890" xr:uid="{00000000-0005-0000-0000-0000930A0000}"/>
    <cellStyle name="Style 37 6 2 2 2" xfId="34264" xr:uid="{00000000-0005-0000-0000-0000930A0000}"/>
    <cellStyle name="Style 37 6 2 2 3" xfId="52627" xr:uid="{00000000-0005-0000-0000-0000930A0000}"/>
    <cellStyle name="Style 37 6 2 3" xfId="25011" xr:uid="{00000000-0005-0000-0000-0000930A0000}"/>
    <cellStyle name="Style 37 6 2 3 2" xfId="43380" xr:uid="{00000000-0005-0000-0000-0000930A0000}"/>
    <cellStyle name="Style 37 6 2 4" xfId="21332" xr:uid="{00000000-0005-0000-0000-0000930A0000}"/>
    <cellStyle name="Style 37 6 2 5" xfId="39711" xr:uid="{00000000-0005-0000-0000-0000930A0000}"/>
    <cellStyle name="Style 37 6 3" xfId="22951" xr:uid="{00000000-0005-0000-0000-0000930A0000}"/>
    <cellStyle name="Style 37 6 3 2" xfId="41320" xr:uid="{00000000-0005-0000-0000-0000930A0000}"/>
    <cellStyle name="Style 37 6 4" xfId="17509" xr:uid="{00000000-0005-0000-0000-0000930A0000}"/>
    <cellStyle name="Style 37 6 5" xfId="35953" xr:uid="{00000000-0005-0000-0000-0000930A0000}"/>
    <cellStyle name="Style 37 7" xfId="3095" xr:uid="{00000000-0005-0000-0000-0000940A0000}"/>
    <cellStyle name="Style 37 7 2" xfId="5347" xr:uid="{00000000-0005-0000-0000-0000940A0000}"/>
    <cellStyle name="Style 37 7 2 2" xfId="16039" xr:uid="{00000000-0005-0000-0000-0000940A0000}"/>
    <cellStyle name="Style 37 7 2 2 2" xfId="34413" xr:uid="{00000000-0005-0000-0000-0000940A0000}"/>
    <cellStyle name="Style 37 7 2 2 3" xfId="52776" xr:uid="{00000000-0005-0000-0000-0000940A0000}"/>
    <cellStyle name="Style 37 7 2 3" xfId="25160" xr:uid="{00000000-0005-0000-0000-0000940A0000}"/>
    <cellStyle name="Style 37 7 2 3 2" xfId="43529" xr:uid="{00000000-0005-0000-0000-0000940A0000}"/>
    <cellStyle name="Style 37 7 2 4" xfId="21481" xr:uid="{00000000-0005-0000-0000-0000940A0000}"/>
    <cellStyle name="Style 37 7 2 5" xfId="39860" xr:uid="{00000000-0005-0000-0000-0000940A0000}"/>
    <cellStyle name="Style 37 7 3" xfId="23097" xr:uid="{00000000-0005-0000-0000-0000940A0000}"/>
    <cellStyle name="Style 37 7 3 2" xfId="41466" xr:uid="{00000000-0005-0000-0000-0000940A0000}"/>
    <cellStyle name="Style 37 7 4" xfId="17657" xr:uid="{00000000-0005-0000-0000-0000940A0000}"/>
    <cellStyle name="Style 37 7 5" xfId="36099" xr:uid="{00000000-0005-0000-0000-0000940A0000}"/>
    <cellStyle name="Style 37 8" xfId="3205" xr:uid="{00000000-0005-0000-0000-0000950A0000}"/>
    <cellStyle name="Style 37 8 2" xfId="5411" xr:uid="{00000000-0005-0000-0000-0000950A0000}"/>
    <cellStyle name="Style 37 8 2 2" xfId="16102" xr:uid="{00000000-0005-0000-0000-0000950A0000}"/>
    <cellStyle name="Style 37 8 2 2 2" xfId="34474" xr:uid="{00000000-0005-0000-0000-0000950A0000}"/>
    <cellStyle name="Style 37 8 2 2 3" xfId="52837" xr:uid="{00000000-0005-0000-0000-0000950A0000}"/>
    <cellStyle name="Style 37 8 2 3" xfId="25221" xr:uid="{00000000-0005-0000-0000-0000950A0000}"/>
    <cellStyle name="Style 37 8 2 3 2" xfId="43590" xr:uid="{00000000-0005-0000-0000-0000950A0000}"/>
    <cellStyle name="Style 37 8 2 4" xfId="21542" xr:uid="{00000000-0005-0000-0000-0000950A0000}"/>
    <cellStyle name="Style 37 8 2 5" xfId="39921" xr:uid="{00000000-0005-0000-0000-0000950A0000}"/>
    <cellStyle name="Style 37 8 3" xfId="23150" xr:uid="{00000000-0005-0000-0000-0000950A0000}"/>
    <cellStyle name="Style 37 8 3 2" xfId="41519" xr:uid="{00000000-0005-0000-0000-0000950A0000}"/>
    <cellStyle name="Style 37 8 4" xfId="17731" xr:uid="{00000000-0005-0000-0000-0000950A0000}"/>
    <cellStyle name="Style 37 8 5" xfId="36152" xr:uid="{00000000-0005-0000-0000-0000950A0000}"/>
    <cellStyle name="Style 37 9" xfId="4136" xr:uid="{00000000-0005-0000-0000-00008E0A0000}"/>
    <cellStyle name="Style 37 9 2" xfId="14890" xr:uid="{00000000-0005-0000-0000-00008E0A0000}"/>
    <cellStyle name="Style 37 9 2 2" xfId="33296" xr:uid="{00000000-0005-0000-0000-00008E0A0000}"/>
    <cellStyle name="Style 37 9 2 3" xfId="51659" xr:uid="{00000000-0005-0000-0000-00008E0A0000}"/>
    <cellStyle name="Style 37 9 3" xfId="24021" xr:uid="{00000000-0005-0000-0000-00008E0A0000}"/>
    <cellStyle name="Style 37 9 3 2" xfId="42390" xr:uid="{00000000-0005-0000-0000-00008E0A0000}"/>
    <cellStyle name="Style 37 9 4" xfId="20344" xr:uid="{00000000-0005-0000-0000-00008E0A0000}"/>
    <cellStyle name="Style 37 9 5" xfId="38743" xr:uid="{00000000-0005-0000-0000-00008E0A0000}"/>
    <cellStyle name="Style 38" xfId="834" xr:uid="{00000000-0005-0000-0000-0000960A0000}"/>
    <cellStyle name="Style 38 2" xfId="2230" xr:uid="{00000000-0005-0000-0000-0000970A0000}"/>
    <cellStyle name="Style 38 3" xfId="2674" xr:uid="{00000000-0005-0000-0000-0000980A0000}"/>
    <cellStyle name="Style 39" xfId="835" xr:uid="{00000000-0005-0000-0000-0000990A0000}"/>
    <cellStyle name="Style 39 2" xfId="2231" xr:uid="{00000000-0005-0000-0000-00009A0A0000}"/>
    <cellStyle name="Style 39 3" xfId="2675" xr:uid="{00000000-0005-0000-0000-00009B0A0000}"/>
    <cellStyle name="Style 40" xfId="836" xr:uid="{00000000-0005-0000-0000-00009C0A0000}"/>
    <cellStyle name="Style 40 10" xfId="17840" xr:uid="{00000000-0005-0000-0000-00009C0A0000}"/>
    <cellStyle name="Style 40 10 2" xfId="36250" xr:uid="{00000000-0005-0000-0000-00009C0A0000}"/>
    <cellStyle name="Style 40 11" xfId="6988" xr:uid="{00000000-0005-0000-0000-00009C0A0000}"/>
    <cellStyle name="Style 40 12" xfId="7368" xr:uid="{00000000-0005-0000-0000-00009C0A0000}"/>
    <cellStyle name="Style 40 2" xfId="1183" xr:uid="{00000000-0005-0000-0000-00009D0A0000}"/>
    <cellStyle name="Style 40 2 2" xfId="4282" xr:uid="{00000000-0005-0000-0000-00009D0A0000}"/>
    <cellStyle name="Style 40 2 2 2" xfId="15027" xr:uid="{00000000-0005-0000-0000-00009D0A0000}"/>
    <cellStyle name="Style 40 2 2 2 2" xfId="33431" xr:uid="{00000000-0005-0000-0000-00009D0A0000}"/>
    <cellStyle name="Style 40 2 2 2 3" xfId="51794" xr:uid="{00000000-0005-0000-0000-00009D0A0000}"/>
    <cellStyle name="Style 40 2 2 3" xfId="24160" xr:uid="{00000000-0005-0000-0000-00009D0A0000}"/>
    <cellStyle name="Style 40 2 2 3 2" xfId="42529" xr:uid="{00000000-0005-0000-0000-00009D0A0000}"/>
    <cellStyle name="Style 40 2 2 4" xfId="20480" xr:uid="{00000000-0005-0000-0000-00009D0A0000}"/>
    <cellStyle name="Style 40 2 2 5" xfId="38878" xr:uid="{00000000-0005-0000-0000-00009D0A0000}"/>
    <cellStyle name="Style 40 2 3" xfId="19438" xr:uid="{00000000-0005-0000-0000-00009D0A0000}"/>
    <cellStyle name="Style 40 2 3 2" xfId="37844" xr:uid="{00000000-0005-0000-0000-00009D0A0000}"/>
    <cellStyle name="Style 40 2 4" xfId="7316" xr:uid="{00000000-0005-0000-0000-00009D0A0000}"/>
    <cellStyle name="Style 40 2 5" xfId="7148" xr:uid="{00000000-0005-0000-0000-00009D0A0000}"/>
    <cellStyle name="Style 40 3" xfId="1837" xr:uid="{00000000-0005-0000-0000-00009E0A0000}"/>
    <cellStyle name="Style 40 3 2" xfId="4763" xr:uid="{00000000-0005-0000-0000-00009E0A0000}"/>
    <cellStyle name="Style 40 3 2 2" xfId="15489" xr:uid="{00000000-0005-0000-0000-00009E0A0000}"/>
    <cellStyle name="Style 40 3 2 2 2" xfId="33882" xr:uid="{00000000-0005-0000-0000-00009E0A0000}"/>
    <cellStyle name="Style 40 3 2 2 3" xfId="52245" xr:uid="{00000000-0005-0000-0000-00009E0A0000}"/>
    <cellStyle name="Style 40 3 2 3" xfId="24613" xr:uid="{00000000-0005-0000-0000-00009E0A0000}"/>
    <cellStyle name="Style 40 3 2 3 2" xfId="42982" xr:uid="{00000000-0005-0000-0000-00009E0A0000}"/>
    <cellStyle name="Style 40 3 2 4" xfId="20940" xr:uid="{00000000-0005-0000-0000-00009E0A0000}"/>
    <cellStyle name="Style 40 3 2 5" xfId="39329" xr:uid="{00000000-0005-0000-0000-00009E0A0000}"/>
    <cellStyle name="Style 40 3 3" xfId="19531" xr:uid="{00000000-0005-0000-0000-00009E0A0000}"/>
    <cellStyle name="Style 40 3 3 2" xfId="37937" xr:uid="{00000000-0005-0000-0000-00009E0A0000}"/>
    <cellStyle name="Style 40 3 4" xfId="14842" xr:uid="{00000000-0005-0000-0000-00009E0A0000}"/>
    <cellStyle name="Style 40 3 5" xfId="8941" xr:uid="{00000000-0005-0000-0000-00009E0A0000}"/>
    <cellStyle name="Style 40 4" xfId="2232" xr:uid="{00000000-0005-0000-0000-00009F0A0000}"/>
    <cellStyle name="Style 40 4 2" xfId="4939" xr:uid="{00000000-0005-0000-0000-00009F0A0000}"/>
    <cellStyle name="Style 40 4 2 2" xfId="15658" xr:uid="{00000000-0005-0000-0000-00009F0A0000}"/>
    <cellStyle name="Style 40 4 2 2 2" xfId="34047" xr:uid="{00000000-0005-0000-0000-00009F0A0000}"/>
    <cellStyle name="Style 40 4 2 2 3" xfId="52410" xr:uid="{00000000-0005-0000-0000-00009F0A0000}"/>
    <cellStyle name="Style 40 4 2 3" xfId="24780" xr:uid="{00000000-0005-0000-0000-00009F0A0000}"/>
    <cellStyle name="Style 40 4 2 3 2" xfId="43149" xr:uid="{00000000-0005-0000-0000-00009F0A0000}"/>
    <cellStyle name="Style 40 4 2 4" xfId="21107" xr:uid="{00000000-0005-0000-0000-00009F0A0000}"/>
    <cellStyle name="Style 40 4 2 5" xfId="39494" xr:uid="{00000000-0005-0000-0000-00009F0A0000}"/>
    <cellStyle name="Style 40 4 3" xfId="17952" xr:uid="{00000000-0005-0000-0000-00009F0A0000}"/>
    <cellStyle name="Style 40 4 3 2" xfId="36360" xr:uid="{00000000-0005-0000-0000-00009F0A0000}"/>
    <cellStyle name="Style 40 4 4" xfId="8328" xr:uid="{00000000-0005-0000-0000-00009F0A0000}"/>
    <cellStyle name="Style 40 4 5" xfId="8026" xr:uid="{00000000-0005-0000-0000-00009F0A0000}"/>
    <cellStyle name="Style 40 5" xfId="2676" xr:uid="{00000000-0005-0000-0000-0000A00A0000}"/>
    <cellStyle name="Style 40 5 2" xfId="5102" xr:uid="{00000000-0005-0000-0000-0000A00A0000}"/>
    <cellStyle name="Style 40 5 2 2" xfId="15811" xr:uid="{00000000-0005-0000-0000-0000A00A0000}"/>
    <cellStyle name="Style 40 5 2 2 2" xfId="34196" xr:uid="{00000000-0005-0000-0000-0000A00A0000}"/>
    <cellStyle name="Style 40 5 2 2 3" xfId="52559" xr:uid="{00000000-0005-0000-0000-0000A00A0000}"/>
    <cellStyle name="Style 40 5 2 3" xfId="24933" xr:uid="{00000000-0005-0000-0000-0000A00A0000}"/>
    <cellStyle name="Style 40 5 2 3 2" xfId="43302" xr:uid="{00000000-0005-0000-0000-0000A00A0000}"/>
    <cellStyle name="Style 40 5 2 4" xfId="21258" xr:uid="{00000000-0005-0000-0000-0000A00A0000}"/>
    <cellStyle name="Style 40 5 2 5" xfId="39643" xr:uid="{00000000-0005-0000-0000-0000A00A0000}"/>
    <cellStyle name="Style 40 5 3" xfId="18350" xr:uid="{00000000-0005-0000-0000-0000A00A0000}"/>
    <cellStyle name="Style 40 5 3 2" xfId="36756" xr:uid="{00000000-0005-0000-0000-0000A00A0000}"/>
    <cellStyle name="Style 40 5 4" xfId="8611" xr:uid="{00000000-0005-0000-0000-0000A00A0000}"/>
    <cellStyle name="Style 40 5 5" xfId="35890" xr:uid="{00000000-0005-0000-0000-0000A00A0000}"/>
    <cellStyle name="Style 40 6" xfId="2929" xr:uid="{00000000-0005-0000-0000-0000A10A0000}"/>
    <cellStyle name="Style 40 6 2" xfId="5197" xr:uid="{00000000-0005-0000-0000-0000A10A0000}"/>
    <cellStyle name="Style 40 6 2 2" xfId="15889" xr:uid="{00000000-0005-0000-0000-0000A10A0000}"/>
    <cellStyle name="Style 40 6 2 2 2" xfId="34263" xr:uid="{00000000-0005-0000-0000-0000A10A0000}"/>
    <cellStyle name="Style 40 6 2 2 3" xfId="52626" xr:uid="{00000000-0005-0000-0000-0000A10A0000}"/>
    <cellStyle name="Style 40 6 2 3" xfId="25010" xr:uid="{00000000-0005-0000-0000-0000A10A0000}"/>
    <cellStyle name="Style 40 6 2 3 2" xfId="43379" xr:uid="{00000000-0005-0000-0000-0000A10A0000}"/>
    <cellStyle name="Style 40 6 2 4" xfId="21331" xr:uid="{00000000-0005-0000-0000-0000A10A0000}"/>
    <cellStyle name="Style 40 6 2 5" xfId="39710" xr:uid="{00000000-0005-0000-0000-0000A10A0000}"/>
    <cellStyle name="Style 40 6 3" xfId="22950" xr:uid="{00000000-0005-0000-0000-0000A10A0000}"/>
    <cellStyle name="Style 40 6 3 2" xfId="41319" xr:uid="{00000000-0005-0000-0000-0000A10A0000}"/>
    <cellStyle name="Style 40 6 4" xfId="17508" xr:uid="{00000000-0005-0000-0000-0000A10A0000}"/>
    <cellStyle name="Style 40 6 5" xfId="35952" xr:uid="{00000000-0005-0000-0000-0000A10A0000}"/>
    <cellStyle name="Style 40 7" xfId="3096" xr:uid="{00000000-0005-0000-0000-0000A20A0000}"/>
    <cellStyle name="Style 40 7 2" xfId="5348" xr:uid="{00000000-0005-0000-0000-0000A20A0000}"/>
    <cellStyle name="Style 40 7 2 2" xfId="16040" xr:uid="{00000000-0005-0000-0000-0000A20A0000}"/>
    <cellStyle name="Style 40 7 2 2 2" xfId="34414" xr:uid="{00000000-0005-0000-0000-0000A20A0000}"/>
    <cellStyle name="Style 40 7 2 2 3" xfId="52777" xr:uid="{00000000-0005-0000-0000-0000A20A0000}"/>
    <cellStyle name="Style 40 7 2 3" xfId="25161" xr:uid="{00000000-0005-0000-0000-0000A20A0000}"/>
    <cellStyle name="Style 40 7 2 3 2" xfId="43530" xr:uid="{00000000-0005-0000-0000-0000A20A0000}"/>
    <cellStyle name="Style 40 7 2 4" xfId="21482" xr:uid="{00000000-0005-0000-0000-0000A20A0000}"/>
    <cellStyle name="Style 40 7 2 5" xfId="39861" xr:uid="{00000000-0005-0000-0000-0000A20A0000}"/>
    <cellStyle name="Style 40 7 3" xfId="23098" xr:uid="{00000000-0005-0000-0000-0000A20A0000}"/>
    <cellStyle name="Style 40 7 3 2" xfId="41467" xr:uid="{00000000-0005-0000-0000-0000A20A0000}"/>
    <cellStyle name="Style 40 7 4" xfId="17658" xr:uid="{00000000-0005-0000-0000-0000A20A0000}"/>
    <cellStyle name="Style 40 7 5" xfId="36100" xr:uid="{00000000-0005-0000-0000-0000A20A0000}"/>
    <cellStyle name="Style 40 8" xfId="3204" xr:uid="{00000000-0005-0000-0000-0000A30A0000}"/>
    <cellStyle name="Style 40 8 2" xfId="5410" xr:uid="{00000000-0005-0000-0000-0000A30A0000}"/>
    <cellStyle name="Style 40 8 2 2" xfId="16101" xr:uid="{00000000-0005-0000-0000-0000A30A0000}"/>
    <cellStyle name="Style 40 8 2 2 2" xfId="34473" xr:uid="{00000000-0005-0000-0000-0000A30A0000}"/>
    <cellStyle name="Style 40 8 2 2 3" xfId="52836" xr:uid="{00000000-0005-0000-0000-0000A30A0000}"/>
    <cellStyle name="Style 40 8 2 3" xfId="25220" xr:uid="{00000000-0005-0000-0000-0000A30A0000}"/>
    <cellStyle name="Style 40 8 2 3 2" xfId="43589" xr:uid="{00000000-0005-0000-0000-0000A30A0000}"/>
    <cellStyle name="Style 40 8 2 4" xfId="21541" xr:uid="{00000000-0005-0000-0000-0000A30A0000}"/>
    <cellStyle name="Style 40 8 2 5" xfId="39920" xr:uid="{00000000-0005-0000-0000-0000A30A0000}"/>
    <cellStyle name="Style 40 8 3" xfId="23149" xr:uid="{00000000-0005-0000-0000-0000A30A0000}"/>
    <cellStyle name="Style 40 8 3 2" xfId="41518" xr:uid="{00000000-0005-0000-0000-0000A30A0000}"/>
    <cellStyle name="Style 40 8 4" xfId="17730" xr:uid="{00000000-0005-0000-0000-0000A30A0000}"/>
    <cellStyle name="Style 40 8 5" xfId="36151" xr:uid="{00000000-0005-0000-0000-0000A30A0000}"/>
    <cellStyle name="Style 40 9" xfId="4137" xr:uid="{00000000-0005-0000-0000-00009C0A0000}"/>
    <cellStyle name="Style 40 9 2" xfId="14891" xr:uid="{00000000-0005-0000-0000-00009C0A0000}"/>
    <cellStyle name="Style 40 9 2 2" xfId="33297" xr:uid="{00000000-0005-0000-0000-00009C0A0000}"/>
    <cellStyle name="Style 40 9 2 3" xfId="51660" xr:uid="{00000000-0005-0000-0000-00009C0A0000}"/>
    <cellStyle name="Style 40 9 3" xfId="24022" xr:uid="{00000000-0005-0000-0000-00009C0A0000}"/>
    <cellStyle name="Style 40 9 3 2" xfId="42391" xr:uid="{00000000-0005-0000-0000-00009C0A0000}"/>
    <cellStyle name="Style 40 9 4" xfId="20345" xr:uid="{00000000-0005-0000-0000-00009C0A0000}"/>
    <cellStyle name="Style 40 9 5" xfId="38744" xr:uid="{00000000-0005-0000-0000-00009C0A0000}"/>
    <cellStyle name="Style 41" xfId="837" xr:uid="{00000000-0005-0000-0000-0000A40A0000}"/>
    <cellStyle name="Style 41 2" xfId="1075" xr:uid="{00000000-0005-0000-0000-0000A50A0000}"/>
    <cellStyle name="Style 41 2 2" xfId="2782" xr:uid="{00000000-0005-0000-0000-0000A60A0000}"/>
    <cellStyle name="Style 41 3" xfId="2233" xr:uid="{00000000-0005-0000-0000-0000A70A0000}"/>
    <cellStyle name="Style 41 4" xfId="2677" xr:uid="{00000000-0005-0000-0000-0000A80A0000}"/>
    <cellStyle name="Style 41_Summary" xfId="2368" xr:uid="{00000000-0005-0000-0000-0000A90A0000}"/>
    <cellStyle name="Style 42" xfId="838" xr:uid="{00000000-0005-0000-0000-0000AA0A0000}"/>
    <cellStyle name="Style 42 10" xfId="18083" xr:uid="{00000000-0005-0000-0000-0000AA0A0000}"/>
    <cellStyle name="Style 42 10 2" xfId="36490" xr:uid="{00000000-0005-0000-0000-0000AA0A0000}"/>
    <cellStyle name="Style 42 11" xfId="8300" xr:uid="{00000000-0005-0000-0000-0000AA0A0000}"/>
    <cellStyle name="Style 42 12" xfId="8240" xr:uid="{00000000-0005-0000-0000-0000AA0A0000}"/>
    <cellStyle name="Style 42 2" xfId="1184" xr:uid="{00000000-0005-0000-0000-0000AB0A0000}"/>
    <cellStyle name="Style 42 2 2" xfId="4283" xr:uid="{00000000-0005-0000-0000-0000AB0A0000}"/>
    <cellStyle name="Style 42 2 2 2" xfId="15028" xr:uid="{00000000-0005-0000-0000-0000AB0A0000}"/>
    <cellStyle name="Style 42 2 2 2 2" xfId="33432" xr:uid="{00000000-0005-0000-0000-0000AB0A0000}"/>
    <cellStyle name="Style 42 2 2 2 3" xfId="51795" xr:uid="{00000000-0005-0000-0000-0000AB0A0000}"/>
    <cellStyle name="Style 42 2 2 3" xfId="24161" xr:uid="{00000000-0005-0000-0000-0000AB0A0000}"/>
    <cellStyle name="Style 42 2 2 3 2" xfId="42530" xr:uid="{00000000-0005-0000-0000-0000AB0A0000}"/>
    <cellStyle name="Style 42 2 2 4" xfId="20481" xr:uid="{00000000-0005-0000-0000-0000AB0A0000}"/>
    <cellStyle name="Style 42 2 2 5" xfId="38879" xr:uid="{00000000-0005-0000-0000-0000AB0A0000}"/>
    <cellStyle name="Style 42 2 3" xfId="18337" xr:uid="{00000000-0005-0000-0000-0000AB0A0000}"/>
    <cellStyle name="Style 42 2 3 2" xfId="36743" xr:uid="{00000000-0005-0000-0000-0000AB0A0000}"/>
    <cellStyle name="Style 42 2 4" xfId="8304" xr:uid="{00000000-0005-0000-0000-0000AB0A0000}"/>
    <cellStyle name="Style 42 2 5" xfId="6253" xr:uid="{00000000-0005-0000-0000-0000AB0A0000}"/>
    <cellStyle name="Style 42 3" xfId="1836" xr:uid="{00000000-0005-0000-0000-0000AC0A0000}"/>
    <cellStyle name="Style 42 3 2" xfId="4762" xr:uid="{00000000-0005-0000-0000-0000AC0A0000}"/>
    <cellStyle name="Style 42 3 2 2" xfId="15488" xr:uid="{00000000-0005-0000-0000-0000AC0A0000}"/>
    <cellStyle name="Style 42 3 2 2 2" xfId="33881" xr:uid="{00000000-0005-0000-0000-0000AC0A0000}"/>
    <cellStyle name="Style 42 3 2 2 3" xfId="52244" xr:uid="{00000000-0005-0000-0000-0000AC0A0000}"/>
    <cellStyle name="Style 42 3 2 3" xfId="24612" xr:uid="{00000000-0005-0000-0000-0000AC0A0000}"/>
    <cellStyle name="Style 42 3 2 3 2" xfId="42981" xr:uid="{00000000-0005-0000-0000-0000AC0A0000}"/>
    <cellStyle name="Style 42 3 2 4" xfId="20939" xr:uid="{00000000-0005-0000-0000-0000AC0A0000}"/>
    <cellStyle name="Style 42 3 2 5" xfId="39328" xr:uid="{00000000-0005-0000-0000-0000AC0A0000}"/>
    <cellStyle name="Style 42 3 3" xfId="19262" xr:uid="{00000000-0005-0000-0000-0000AC0A0000}"/>
    <cellStyle name="Style 42 3 3 2" xfId="37669" xr:uid="{00000000-0005-0000-0000-0000AC0A0000}"/>
    <cellStyle name="Style 42 3 4" xfId="14678" xr:uid="{00000000-0005-0000-0000-0000AC0A0000}"/>
    <cellStyle name="Style 42 3 5" xfId="8957" xr:uid="{00000000-0005-0000-0000-0000AC0A0000}"/>
    <cellStyle name="Style 42 4" xfId="2234" xr:uid="{00000000-0005-0000-0000-0000AD0A0000}"/>
    <cellStyle name="Style 42 4 2" xfId="4940" xr:uid="{00000000-0005-0000-0000-0000AD0A0000}"/>
    <cellStyle name="Style 42 4 2 2" xfId="15659" xr:uid="{00000000-0005-0000-0000-0000AD0A0000}"/>
    <cellStyle name="Style 42 4 2 2 2" xfId="34048" xr:uid="{00000000-0005-0000-0000-0000AD0A0000}"/>
    <cellStyle name="Style 42 4 2 2 3" xfId="52411" xr:uid="{00000000-0005-0000-0000-0000AD0A0000}"/>
    <cellStyle name="Style 42 4 2 3" xfId="24781" xr:uid="{00000000-0005-0000-0000-0000AD0A0000}"/>
    <cellStyle name="Style 42 4 2 3 2" xfId="43150" xr:uid="{00000000-0005-0000-0000-0000AD0A0000}"/>
    <cellStyle name="Style 42 4 2 4" xfId="21108" xr:uid="{00000000-0005-0000-0000-0000AD0A0000}"/>
    <cellStyle name="Style 42 4 2 5" xfId="39495" xr:uid="{00000000-0005-0000-0000-0000AD0A0000}"/>
    <cellStyle name="Style 42 4 3" xfId="18889" xr:uid="{00000000-0005-0000-0000-0000AD0A0000}"/>
    <cellStyle name="Style 42 4 3 2" xfId="37298" xr:uid="{00000000-0005-0000-0000-0000AD0A0000}"/>
    <cellStyle name="Style 42 4 4" xfId="8815" xr:uid="{00000000-0005-0000-0000-0000AD0A0000}"/>
    <cellStyle name="Style 42 4 5" xfId="8735" xr:uid="{00000000-0005-0000-0000-0000AD0A0000}"/>
    <cellStyle name="Style 42 5" xfId="2678" xr:uid="{00000000-0005-0000-0000-0000AE0A0000}"/>
    <cellStyle name="Style 42 5 2" xfId="5103" xr:uid="{00000000-0005-0000-0000-0000AE0A0000}"/>
    <cellStyle name="Style 42 5 2 2" xfId="15812" xr:uid="{00000000-0005-0000-0000-0000AE0A0000}"/>
    <cellStyle name="Style 42 5 2 2 2" xfId="34197" xr:uid="{00000000-0005-0000-0000-0000AE0A0000}"/>
    <cellStyle name="Style 42 5 2 2 3" xfId="52560" xr:uid="{00000000-0005-0000-0000-0000AE0A0000}"/>
    <cellStyle name="Style 42 5 2 3" xfId="24934" xr:uid="{00000000-0005-0000-0000-0000AE0A0000}"/>
    <cellStyle name="Style 42 5 2 3 2" xfId="43303" xr:uid="{00000000-0005-0000-0000-0000AE0A0000}"/>
    <cellStyle name="Style 42 5 2 4" xfId="21259" xr:uid="{00000000-0005-0000-0000-0000AE0A0000}"/>
    <cellStyle name="Style 42 5 2 5" xfId="39644" xr:uid="{00000000-0005-0000-0000-0000AE0A0000}"/>
    <cellStyle name="Style 42 5 3" xfId="18132" xr:uid="{00000000-0005-0000-0000-0000AE0A0000}"/>
    <cellStyle name="Style 42 5 3 2" xfId="36539" xr:uid="{00000000-0005-0000-0000-0000AE0A0000}"/>
    <cellStyle name="Style 42 5 4" xfId="8612" xr:uid="{00000000-0005-0000-0000-0000AE0A0000}"/>
    <cellStyle name="Style 42 5 5" xfId="35891" xr:uid="{00000000-0005-0000-0000-0000AE0A0000}"/>
    <cellStyle name="Style 42 6" xfId="2928" xr:uid="{00000000-0005-0000-0000-0000AF0A0000}"/>
    <cellStyle name="Style 42 6 2" xfId="5196" xr:uid="{00000000-0005-0000-0000-0000AF0A0000}"/>
    <cellStyle name="Style 42 6 2 2" xfId="15888" xr:uid="{00000000-0005-0000-0000-0000AF0A0000}"/>
    <cellStyle name="Style 42 6 2 2 2" xfId="34262" xr:uid="{00000000-0005-0000-0000-0000AF0A0000}"/>
    <cellStyle name="Style 42 6 2 2 3" xfId="52625" xr:uid="{00000000-0005-0000-0000-0000AF0A0000}"/>
    <cellStyle name="Style 42 6 2 3" xfId="25009" xr:uid="{00000000-0005-0000-0000-0000AF0A0000}"/>
    <cellStyle name="Style 42 6 2 3 2" xfId="43378" xr:uid="{00000000-0005-0000-0000-0000AF0A0000}"/>
    <cellStyle name="Style 42 6 2 4" xfId="21330" xr:uid="{00000000-0005-0000-0000-0000AF0A0000}"/>
    <cellStyle name="Style 42 6 2 5" xfId="39709" xr:uid="{00000000-0005-0000-0000-0000AF0A0000}"/>
    <cellStyle name="Style 42 6 3" xfId="22949" xr:uid="{00000000-0005-0000-0000-0000AF0A0000}"/>
    <cellStyle name="Style 42 6 3 2" xfId="41318" xr:uid="{00000000-0005-0000-0000-0000AF0A0000}"/>
    <cellStyle name="Style 42 6 4" xfId="17507" xr:uid="{00000000-0005-0000-0000-0000AF0A0000}"/>
    <cellStyle name="Style 42 6 5" xfId="35951" xr:uid="{00000000-0005-0000-0000-0000AF0A0000}"/>
    <cellStyle name="Style 42 7" xfId="3097" xr:uid="{00000000-0005-0000-0000-0000B00A0000}"/>
    <cellStyle name="Style 42 7 2" xfId="5349" xr:uid="{00000000-0005-0000-0000-0000B00A0000}"/>
    <cellStyle name="Style 42 7 2 2" xfId="16041" xr:uid="{00000000-0005-0000-0000-0000B00A0000}"/>
    <cellStyle name="Style 42 7 2 2 2" xfId="34415" xr:uid="{00000000-0005-0000-0000-0000B00A0000}"/>
    <cellStyle name="Style 42 7 2 2 3" xfId="52778" xr:uid="{00000000-0005-0000-0000-0000B00A0000}"/>
    <cellStyle name="Style 42 7 2 3" xfId="25162" xr:uid="{00000000-0005-0000-0000-0000B00A0000}"/>
    <cellStyle name="Style 42 7 2 3 2" xfId="43531" xr:uid="{00000000-0005-0000-0000-0000B00A0000}"/>
    <cellStyle name="Style 42 7 2 4" xfId="21483" xr:uid="{00000000-0005-0000-0000-0000B00A0000}"/>
    <cellStyle name="Style 42 7 2 5" xfId="39862" xr:uid="{00000000-0005-0000-0000-0000B00A0000}"/>
    <cellStyle name="Style 42 7 3" xfId="23099" xr:uid="{00000000-0005-0000-0000-0000B00A0000}"/>
    <cellStyle name="Style 42 7 3 2" xfId="41468" xr:uid="{00000000-0005-0000-0000-0000B00A0000}"/>
    <cellStyle name="Style 42 7 4" xfId="17659" xr:uid="{00000000-0005-0000-0000-0000B00A0000}"/>
    <cellStyle name="Style 42 7 5" xfId="36101" xr:uid="{00000000-0005-0000-0000-0000B00A0000}"/>
    <cellStyle name="Style 42 8" xfId="3203" xr:uid="{00000000-0005-0000-0000-0000B10A0000}"/>
    <cellStyle name="Style 42 8 2" xfId="5409" xr:uid="{00000000-0005-0000-0000-0000B10A0000}"/>
    <cellStyle name="Style 42 8 2 2" xfId="16100" xr:uid="{00000000-0005-0000-0000-0000B10A0000}"/>
    <cellStyle name="Style 42 8 2 2 2" xfId="34472" xr:uid="{00000000-0005-0000-0000-0000B10A0000}"/>
    <cellStyle name="Style 42 8 2 2 3" xfId="52835" xr:uid="{00000000-0005-0000-0000-0000B10A0000}"/>
    <cellStyle name="Style 42 8 2 3" xfId="25219" xr:uid="{00000000-0005-0000-0000-0000B10A0000}"/>
    <cellStyle name="Style 42 8 2 3 2" xfId="43588" xr:uid="{00000000-0005-0000-0000-0000B10A0000}"/>
    <cellStyle name="Style 42 8 2 4" xfId="21540" xr:uid="{00000000-0005-0000-0000-0000B10A0000}"/>
    <cellStyle name="Style 42 8 2 5" xfId="39919" xr:uid="{00000000-0005-0000-0000-0000B10A0000}"/>
    <cellStyle name="Style 42 8 3" xfId="23148" xr:uid="{00000000-0005-0000-0000-0000B10A0000}"/>
    <cellStyle name="Style 42 8 3 2" xfId="41517" xr:uid="{00000000-0005-0000-0000-0000B10A0000}"/>
    <cellStyle name="Style 42 8 4" xfId="17729" xr:uid="{00000000-0005-0000-0000-0000B10A0000}"/>
    <cellStyle name="Style 42 8 5" xfId="36150" xr:uid="{00000000-0005-0000-0000-0000B10A0000}"/>
    <cellStyle name="Style 42 9" xfId="4138" xr:uid="{00000000-0005-0000-0000-0000AA0A0000}"/>
    <cellStyle name="Style 42 9 2" xfId="14892" xr:uid="{00000000-0005-0000-0000-0000AA0A0000}"/>
    <cellStyle name="Style 42 9 2 2" xfId="33298" xr:uid="{00000000-0005-0000-0000-0000AA0A0000}"/>
    <cellStyle name="Style 42 9 2 3" xfId="51661" xr:uid="{00000000-0005-0000-0000-0000AA0A0000}"/>
    <cellStyle name="Style 42 9 3" xfId="24023" xr:uid="{00000000-0005-0000-0000-0000AA0A0000}"/>
    <cellStyle name="Style 42 9 3 2" xfId="42392" xr:uid="{00000000-0005-0000-0000-0000AA0A0000}"/>
    <cellStyle name="Style 42 9 4" xfId="20346" xr:uid="{00000000-0005-0000-0000-0000AA0A0000}"/>
    <cellStyle name="Style 42 9 5" xfId="38745" xr:uid="{00000000-0005-0000-0000-0000AA0A0000}"/>
    <cellStyle name="Style 43" xfId="839" xr:uid="{00000000-0005-0000-0000-0000B20A0000}"/>
    <cellStyle name="Style 43 10" xfId="18244" xr:uid="{00000000-0005-0000-0000-0000B20A0000}"/>
    <cellStyle name="Style 43 10 2" xfId="36650" xr:uid="{00000000-0005-0000-0000-0000B20A0000}"/>
    <cellStyle name="Style 43 11" xfId="8431" xr:uid="{00000000-0005-0000-0000-0000B20A0000}"/>
    <cellStyle name="Style 43 12" xfId="7366" xr:uid="{00000000-0005-0000-0000-0000B20A0000}"/>
    <cellStyle name="Style 43 2" xfId="1185" xr:uid="{00000000-0005-0000-0000-0000B30A0000}"/>
    <cellStyle name="Style 43 2 2" xfId="4284" xr:uid="{00000000-0005-0000-0000-0000B30A0000}"/>
    <cellStyle name="Style 43 2 2 2" xfId="15029" xr:uid="{00000000-0005-0000-0000-0000B30A0000}"/>
    <cellStyle name="Style 43 2 2 2 2" xfId="33433" xr:uid="{00000000-0005-0000-0000-0000B30A0000}"/>
    <cellStyle name="Style 43 2 2 2 3" xfId="51796" xr:uid="{00000000-0005-0000-0000-0000B30A0000}"/>
    <cellStyle name="Style 43 2 2 3" xfId="24162" xr:uid="{00000000-0005-0000-0000-0000B30A0000}"/>
    <cellStyle name="Style 43 2 2 3 2" xfId="42531" xr:uid="{00000000-0005-0000-0000-0000B30A0000}"/>
    <cellStyle name="Style 43 2 2 4" xfId="20482" xr:uid="{00000000-0005-0000-0000-0000B30A0000}"/>
    <cellStyle name="Style 43 2 2 5" xfId="38880" xr:uid="{00000000-0005-0000-0000-0000B30A0000}"/>
    <cellStyle name="Style 43 2 3" xfId="18065" xr:uid="{00000000-0005-0000-0000-0000B30A0000}"/>
    <cellStyle name="Style 43 2 3 2" xfId="36472" xr:uid="{00000000-0005-0000-0000-0000B30A0000}"/>
    <cellStyle name="Style 43 2 4" xfId="11846" xr:uid="{00000000-0005-0000-0000-0000B30A0000}"/>
    <cellStyle name="Style 43 2 5" xfId="8434" xr:uid="{00000000-0005-0000-0000-0000B30A0000}"/>
    <cellStyle name="Style 43 3" xfId="1835" xr:uid="{00000000-0005-0000-0000-0000B40A0000}"/>
    <cellStyle name="Style 43 3 2" xfId="4761" xr:uid="{00000000-0005-0000-0000-0000B40A0000}"/>
    <cellStyle name="Style 43 3 2 2" xfId="15487" xr:uid="{00000000-0005-0000-0000-0000B40A0000}"/>
    <cellStyle name="Style 43 3 2 2 2" xfId="33880" xr:uid="{00000000-0005-0000-0000-0000B40A0000}"/>
    <cellStyle name="Style 43 3 2 2 3" xfId="52243" xr:uid="{00000000-0005-0000-0000-0000B40A0000}"/>
    <cellStyle name="Style 43 3 2 3" xfId="24611" xr:uid="{00000000-0005-0000-0000-0000B40A0000}"/>
    <cellStyle name="Style 43 3 2 3 2" xfId="42980" xr:uid="{00000000-0005-0000-0000-0000B40A0000}"/>
    <cellStyle name="Style 43 3 2 4" xfId="20938" xr:uid="{00000000-0005-0000-0000-0000B40A0000}"/>
    <cellStyle name="Style 43 3 2 5" xfId="39327" xr:uid="{00000000-0005-0000-0000-0000B40A0000}"/>
    <cellStyle name="Style 43 3 3" xfId="18552" xr:uid="{00000000-0005-0000-0000-0000B40A0000}"/>
    <cellStyle name="Style 43 3 3 2" xfId="36961" xr:uid="{00000000-0005-0000-0000-0000B40A0000}"/>
    <cellStyle name="Style 43 3 4" xfId="8860" xr:uid="{00000000-0005-0000-0000-0000B40A0000}"/>
    <cellStyle name="Style 43 3 5" xfId="17674" xr:uid="{00000000-0005-0000-0000-0000B40A0000}"/>
    <cellStyle name="Style 43 4" xfId="2235" xr:uid="{00000000-0005-0000-0000-0000B50A0000}"/>
    <cellStyle name="Style 43 4 2" xfId="4941" xr:uid="{00000000-0005-0000-0000-0000B50A0000}"/>
    <cellStyle name="Style 43 4 2 2" xfId="15660" xr:uid="{00000000-0005-0000-0000-0000B50A0000}"/>
    <cellStyle name="Style 43 4 2 2 2" xfId="34049" xr:uid="{00000000-0005-0000-0000-0000B50A0000}"/>
    <cellStyle name="Style 43 4 2 2 3" xfId="52412" xr:uid="{00000000-0005-0000-0000-0000B50A0000}"/>
    <cellStyle name="Style 43 4 2 3" xfId="24782" xr:uid="{00000000-0005-0000-0000-0000B50A0000}"/>
    <cellStyle name="Style 43 4 2 3 2" xfId="43151" xr:uid="{00000000-0005-0000-0000-0000B50A0000}"/>
    <cellStyle name="Style 43 4 2 4" xfId="21109" xr:uid="{00000000-0005-0000-0000-0000B50A0000}"/>
    <cellStyle name="Style 43 4 2 5" xfId="39496" xr:uid="{00000000-0005-0000-0000-0000B50A0000}"/>
    <cellStyle name="Style 43 4 3" xfId="18912" xr:uid="{00000000-0005-0000-0000-0000B50A0000}"/>
    <cellStyle name="Style 43 4 3 2" xfId="37321" xr:uid="{00000000-0005-0000-0000-0000B50A0000}"/>
    <cellStyle name="Style 43 4 4" xfId="8601" xr:uid="{00000000-0005-0000-0000-0000B50A0000}"/>
    <cellStyle name="Style 43 4 5" xfId="16859" xr:uid="{00000000-0005-0000-0000-0000B50A0000}"/>
    <cellStyle name="Style 43 5" xfId="2679" xr:uid="{00000000-0005-0000-0000-0000B60A0000}"/>
    <cellStyle name="Style 43 5 2" xfId="5104" xr:uid="{00000000-0005-0000-0000-0000B60A0000}"/>
    <cellStyle name="Style 43 5 2 2" xfId="15813" xr:uid="{00000000-0005-0000-0000-0000B60A0000}"/>
    <cellStyle name="Style 43 5 2 2 2" xfId="34198" xr:uid="{00000000-0005-0000-0000-0000B60A0000}"/>
    <cellStyle name="Style 43 5 2 2 3" xfId="52561" xr:uid="{00000000-0005-0000-0000-0000B60A0000}"/>
    <cellStyle name="Style 43 5 2 3" xfId="24935" xr:uid="{00000000-0005-0000-0000-0000B60A0000}"/>
    <cellStyle name="Style 43 5 2 3 2" xfId="43304" xr:uid="{00000000-0005-0000-0000-0000B60A0000}"/>
    <cellStyle name="Style 43 5 2 4" xfId="21260" xr:uid="{00000000-0005-0000-0000-0000B60A0000}"/>
    <cellStyle name="Style 43 5 2 5" xfId="39645" xr:uid="{00000000-0005-0000-0000-0000B60A0000}"/>
    <cellStyle name="Style 43 5 3" xfId="18567" xr:uid="{00000000-0005-0000-0000-0000B60A0000}"/>
    <cellStyle name="Style 43 5 3 2" xfId="36977" xr:uid="{00000000-0005-0000-0000-0000B60A0000}"/>
    <cellStyle name="Style 43 5 4" xfId="8338" xr:uid="{00000000-0005-0000-0000-0000B60A0000}"/>
    <cellStyle name="Style 43 5 5" xfId="35892" xr:uid="{00000000-0005-0000-0000-0000B60A0000}"/>
    <cellStyle name="Style 43 6" xfId="2927" xr:uid="{00000000-0005-0000-0000-0000B70A0000}"/>
    <cellStyle name="Style 43 6 2" xfId="5195" xr:uid="{00000000-0005-0000-0000-0000B70A0000}"/>
    <cellStyle name="Style 43 6 2 2" xfId="15887" xr:uid="{00000000-0005-0000-0000-0000B70A0000}"/>
    <cellStyle name="Style 43 6 2 2 2" xfId="34261" xr:uid="{00000000-0005-0000-0000-0000B70A0000}"/>
    <cellStyle name="Style 43 6 2 2 3" xfId="52624" xr:uid="{00000000-0005-0000-0000-0000B70A0000}"/>
    <cellStyle name="Style 43 6 2 3" xfId="25008" xr:uid="{00000000-0005-0000-0000-0000B70A0000}"/>
    <cellStyle name="Style 43 6 2 3 2" xfId="43377" xr:uid="{00000000-0005-0000-0000-0000B70A0000}"/>
    <cellStyle name="Style 43 6 2 4" xfId="21329" xr:uid="{00000000-0005-0000-0000-0000B70A0000}"/>
    <cellStyle name="Style 43 6 2 5" xfId="39708" xr:uid="{00000000-0005-0000-0000-0000B70A0000}"/>
    <cellStyle name="Style 43 6 3" xfId="22948" xr:uid="{00000000-0005-0000-0000-0000B70A0000}"/>
    <cellStyle name="Style 43 6 3 2" xfId="41317" xr:uid="{00000000-0005-0000-0000-0000B70A0000}"/>
    <cellStyle name="Style 43 6 4" xfId="17506" xr:uid="{00000000-0005-0000-0000-0000B70A0000}"/>
    <cellStyle name="Style 43 6 5" xfId="35950" xr:uid="{00000000-0005-0000-0000-0000B70A0000}"/>
    <cellStyle name="Style 43 7" xfId="3098" xr:uid="{00000000-0005-0000-0000-0000B80A0000}"/>
    <cellStyle name="Style 43 7 2" xfId="5350" xr:uid="{00000000-0005-0000-0000-0000B80A0000}"/>
    <cellStyle name="Style 43 7 2 2" xfId="16042" xr:uid="{00000000-0005-0000-0000-0000B80A0000}"/>
    <cellStyle name="Style 43 7 2 2 2" xfId="34416" xr:uid="{00000000-0005-0000-0000-0000B80A0000}"/>
    <cellStyle name="Style 43 7 2 2 3" xfId="52779" xr:uid="{00000000-0005-0000-0000-0000B80A0000}"/>
    <cellStyle name="Style 43 7 2 3" xfId="25163" xr:uid="{00000000-0005-0000-0000-0000B80A0000}"/>
    <cellStyle name="Style 43 7 2 3 2" xfId="43532" xr:uid="{00000000-0005-0000-0000-0000B80A0000}"/>
    <cellStyle name="Style 43 7 2 4" xfId="21484" xr:uid="{00000000-0005-0000-0000-0000B80A0000}"/>
    <cellStyle name="Style 43 7 2 5" xfId="39863" xr:uid="{00000000-0005-0000-0000-0000B80A0000}"/>
    <cellStyle name="Style 43 7 3" xfId="23100" xr:uid="{00000000-0005-0000-0000-0000B80A0000}"/>
    <cellStyle name="Style 43 7 3 2" xfId="41469" xr:uid="{00000000-0005-0000-0000-0000B80A0000}"/>
    <cellStyle name="Style 43 7 4" xfId="17660" xr:uid="{00000000-0005-0000-0000-0000B80A0000}"/>
    <cellStyle name="Style 43 7 5" xfId="36102" xr:uid="{00000000-0005-0000-0000-0000B80A0000}"/>
    <cellStyle name="Style 43 8" xfId="3202" xr:uid="{00000000-0005-0000-0000-0000B90A0000}"/>
    <cellStyle name="Style 43 8 2" xfId="5408" xr:uid="{00000000-0005-0000-0000-0000B90A0000}"/>
    <cellStyle name="Style 43 8 2 2" xfId="16099" xr:uid="{00000000-0005-0000-0000-0000B90A0000}"/>
    <cellStyle name="Style 43 8 2 2 2" xfId="34471" xr:uid="{00000000-0005-0000-0000-0000B90A0000}"/>
    <cellStyle name="Style 43 8 2 2 3" xfId="52834" xr:uid="{00000000-0005-0000-0000-0000B90A0000}"/>
    <cellStyle name="Style 43 8 2 3" xfId="25218" xr:uid="{00000000-0005-0000-0000-0000B90A0000}"/>
    <cellStyle name="Style 43 8 2 3 2" xfId="43587" xr:uid="{00000000-0005-0000-0000-0000B90A0000}"/>
    <cellStyle name="Style 43 8 2 4" xfId="21539" xr:uid="{00000000-0005-0000-0000-0000B90A0000}"/>
    <cellStyle name="Style 43 8 2 5" xfId="39918" xr:uid="{00000000-0005-0000-0000-0000B90A0000}"/>
    <cellStyle name="Style 43 8 3" xfId="23147" xr:uid="{00000000-0005-0000-0000-0000B90A0000}"/>
    <cellStyle name="Style 43 8 3 2" xfId="41516" xr:uid="{00000000-0005-0000-0000-0000B90A0000}"/>
    <cellStyle name="Style 43 8 4" xfId="17728" xr:uid="{00000000-0005-0000-0000-0000B90A0000}"/>
    <cellStyle name="Style 43 8 5" xfId="36149" xr:uid="{00000000-0005-0000-0000-0000B90A0000}"/>
    <cellStyle name="Style 43 9" xfId="4139" xr:uid="{00000000-0005-0000-0000-0000B20A0000}"/>
    <cellStyle name="Style 43 9 2" xfId="14893" xr:uid="{00000000-0005-0000-0000-0000B20A0000}"/>
    <cellStyle name="Style 43 9 2 2" xfId="33299" xr:uid="{00000000-0005-0000-0000-0000B20A0000}"/>
    <cellStyle name="Style 43 9 2 3" xfId="51662" xr:uid="{00000000-0005-0000-0000-0000B20A0000}"/>
    <cellStyle name="Style 43 9 3" xfId="24024" xr:uid="{00000000-0005-0000-0000-0000B20A0000}"/>
    <cellStyle name="Style 43 9 3 2" xfId="42393" xr:uid="{00000000-0005-0000-0000-0000B20A0000}"/>
    <cellStyle name="Style 43 9 4" xfId="20347" xr:uid="{00000000-0005-0000-0000-0000B20A0000}"/>
    <cellStyle name="Style 43 9 5" xfId="38746" xr:uid="{00000000-0005-0000-0000-0000B20A0000}"/>
    <cellStyle name="Style 44" xfId="840" xr:uid="{00000000-0005-0000-0000-0000BA0A0000}"/>
    <cellStyle name="Style 44 2" xfId="1076" xr:uid="{00000000-0005-0000-0000-0000BB0A0000}"/>
    <cellStyle name="Style 44 2 10" xfId="8842" xr:uid="{00000000-0005-0000-0000-0000BB0A0000}"/>
    <cellStyle name="Style 44 2 10 2" xfId="27652" xr:uid="{00000000-0005-0000-0000-0000BB0A0000}"/>
    <cellStyle name="Style 44 2 10 3" xfId="46015" xr:uid="{00000000-0005-0000-0000-0000BB0A0000}"/>
    <cellStyle name="Style 44 2 2" xfId="1343" xr:uid="{00000000-0005-0000-0000-0000BC0A0000}"/>
    <cellStyle name="Style 44 2 2 2" xfId="3390" xr:uid="{00000000-0005-0000-0000-0000BC0A0000}"/>
    <cellStyle name="Style 44 2 2 2 2" xfId="5565" xr:uid="{00000000-0005-0000-0000-0000BC0A0000}"/>
    <cellStyle name="Style 44 2 2 2 2 2" xfId="11929" xr:uid="{00000000-0005-0000-0000-0000BC0A0000}"/>
    <cellStyle name="Style 44 2 2 2 2 2 2" xfId="30376" xr:uid="{00000000-0005-0000-0000-0000BC0A0000}"/>
    <cellStyle name="Style 44 2 2 2 2 2 3" xfId="48739" xr:uid="{00000000-0005-0000-0000-0000BC0A0000}"/>
    <cellStyle name="Style 44 2 2 2 2 3" xfId="16255" xr:uid="{00000000-0005-0000-0000-0000BC0A0000}"/>
    <cellStyle name="Style 44 2 2 2 2 3 2" xfId="34627" xr:uid="{00000000-0005-0000-0000-0000BC0A0000}"/>
    <cellStyle name="Style 44 2 2 2 2 3 3" xfId="52990" xr:uid="{00000000-0005-0000-0000-0000BC0A0000}"/>
    <cellStyle name="Style 44 2 2 2 2 4" xfId="25374" xr:uid="{00000000-0005-0000-0000-0000BC0A0000}"/>
    <cellStyle name="Style 44 2 2 2 2 4 2" xfId="43743" xr:uid="{00000000-0005-0000-0000-0000BC0A0000}"/>
    <cellStyle name="Style 44 2 2 2 2 5" xfId="21695" xr:uid="{00000000-0005-0000-0000-0000BC0A0000}"/>
    <cellStyle name="Style 44 2 2 2 2 6" xfId="40074" xr:uid="{00000000-0005-0000-0000-0000BC0A0000}"/>
    <cellStyle name="Style 44 2 2 2 3" xfId="6389" xr:uid="{00000000-0005-0000-0000-0000BC0A0000}"/>
    <cellStyle name="Style 44 2 2 2 3 2" xfId="12680" xr:uid="{00000000-0005-0000-0000-0000BC0A0000}"/>
    <cellStyle name="Style 44 2 2 2 3 2 2" xfId="31106" xr:uid="{00000000-0005-0000-0000-0000BC0A0000}"/>
    <cellStyle name="Style 44 2 2 2 3 2 3" xfId="49469" xr:uid="{00000000-0005-0000-0000-0000BC0A0000}"/>
    <cellStyle name="Style 44 2 2 2 3 3" xfId="16991" xr:uid="{00000000-0005-0000-0000-0000BC0A0000}"/>
    <cellStyle name="Style 44 2 2 2 3 3 2" xfId="35339" xr:uid="{00000000-0005-0000-0000-0000BC0A0000}"/>
    <cellStyle name="Style 44 2 2 2 3 3 3" xfId="53702" xr:uid="{00000000-0005-0000-0000-0000BC0A0000}"/>
    <cellStyle name="Style 44 2 2 2 3 4" xfId="26124" xr:uid="{00000000-0005-0000-0000-0000BC0A0000}"/>
    <cellStyle name="Style 44 2 2 2 3 4 2" xfId="44493" xr:uid="{00000000-0005-0000-0000-0000BC0A0000}"/>
    <cellStyle name="Style 44 2 2 2 3 5" xfId="22417" xr:uid="{00000000-0005-0000-0000-0000BC0A0000}"/>
    <cellStyle name="Style 44 2 2 2 3 6" xfId="40786" xr:uid="{00000000-0005-0000-0000-0000BC0A0000}"/>
    <cellStyle name="Style 44 2 2 2 4" xfId="10103" xr:uid="{00000000-0005-0000-0000-0000BC0A0000}"/>
    <cellStyle name="Style 44 2 2 2 4 2" xfId="14160" xr:uid="{00000000-0005-0000-0000-0000BC0A0000}"/>
    <cellStyle name="Style 44 2 2 2 4 2 2" xfId="32576" xr:uid="{00000000-0005-0000-0000-0000BC0A0000}"/>
    <cellStyle name="Style 44 2 2 2 4 2 3" xfId="50939" xr:uid="{00000000-0005-0000-0000-0000BC0A0000}"/>
    <cellStyle name="Style 44 2 2 2 4 3" xfId="28814" xr:uid="{00000000-0005-0000-0000-0000BC0A0000}"/>
    <cellStyle name="Style 44 2 2 2 4 3 2" xfId="47177" xr:uid="{00000000-0005-0000-0000-0000BC0A0000}"/>
    <cellStyle name="Style 44 2 2 2 4 4" xfId="19617" xr:uid="{00000000-0005-0000-0000-0000BC0A0000}"/>
    <cellStyle name="Style 44 2 2 2 4 5" xfId="38023" xr:uid="{00000000-0005-0000-0000-0000BC0A0000}"/>
    <cellStyle name="Style 44 2 2 2 5" xfId="9290" xr:uid="{00000000-0005-0000-0000-0000BC0A0000}"/>
    <cellStyle name="Style 44 2 2 2 5 2" xfId="28009" xr:uid="{00000000-0005-0000-0000-0000BC0A0000}"/>
    <cellStyle name="Style 44 2 2 2 5 3" xfId="46372" xr:uid="{00000000-0005-0000-0000-0000BC0A0000}"/>
    <cellStyle name="Style 44 2 2 2 6" xfId="13346" xr:uid="{00000000-0005-0000-0000-0000BC0A0000}"/>
    <cellStyle name="Style 44 2 2 2 6 2" xfId="31767" xr:uid="{00000000-0005-0000-0000-0000BC0A0000}"/>
    <cellStyle name="Style 44 2 2 2 6 3" xfId="50130" xr:uid="{00000000-0005-0000-0000-0000BC0A0000}"/>
    <cellStyle name="Style 44 2 2 2 7" xfId="23298" xr:uid="{00000000-0005-0000-0000-0000BC0A0000}"/>
    <cellStyle name="Style 44 2 2 2 7 2" xfId="41667" xr:uid="{00000000-0005-0000-0000-0000BC0A0000}"/>
    <cellStyle name="Style 44 2 2 2 8" xfId="18364" xr:uid="{00000000-0005-0000-0000-0000BC0A0000}"/>
    <cellStyle name="Style 44 2 2 2 9" xfId="36770" xr:uid="{00000000-0005-0000-0000-0000BC0A0000}"/>
    <cellStyle name="Style 44 2 2 3" xfId="4379" xr:uid="{00000000-0005-0000-0000-0000BC0A0000}"/>
    <cellStyle name="Style 44 2 2 3 2" xfId="10979" xr:uid="{00000000-0005-0000-0000-0000BC0A0000}"/>
    <cellStyle name="Style 44 2 2 3 2 2" xfId="29601" xr:uid="{00000000-0005-0000-0000-0000BC0A0000}"/>
    <cellStyle name="Style 44 2 2 3 2 3" xfId="47964" xr:uid="{00000000-0005-0000-0000-0000BC0A0000}"/>
    <cellStyle name="Style 44 2 2 3 3" xfId="15115" xr:uid="{00000000-0005-0000-0000-0000BC0A0000}"/>
    <cellStyle name="Style 44 2 2 3 3 2" xfId="33512" xr:uid="{00000000-0005-0000-0000-0000BC0A0000}"/>
    <cellStyle name="Style 44 2 2 3 3 3" xfId="51875" xr:uid="{00000000-0005-0000-0000-0000BC0A0000}"/>
    <cellStyle name="Style 44 2 2 3 4" xfId="24243" xr:uid="{00000000-0005-0000-0000-0000BC0A0000}"/>
    <cellStyle name="Style 44 2 2 3 4 2" xfId="42612" xr:uid="{00000000-0005-0000-0000-0000BC0A0000}"/>
    <cellStyle name="Style 44 2 2 3 5" xfId="20566" xr:uid="{00000000-0005-0000-0000-0000BC0A0000}"/>
    <cellStyle name="Style 44 2 2 3 6" xfId="38959" xr:uid="{00000000-0005-0000-0000-0000BC0A0000}"/>
    <cellStyle name="Style 44 2 2 4" xfId="4060" xr:uid="{00000000-0005-0000-0000-0000BC0A0000}"/>
    <cellStyle name="Style 44 2 2 4 2" xfId="10761" xr:uid="{00000000-0005-0000-0000-0000BC0A0000}"/>
    <cellStyle name="Style 44 2 2 4 2 2" xfId="29464" xr:uid="{00000000-0005-0000-0000-0000BC0A0000}"/>
    <cellStyle name="Style 44 2 2 4 2 3" xfId="47827" xr:uid="{00000000-0005-0000-0000-0000BC0A0000}"/>
    <cellStyle name="Style 44 2 2 4 3" xfId="14821" xr:uid="{00000000-0005-0000-0000-0000BC0A0000}"/>
    <cellStyle name="Style 44 2 2 4 3 2" xfId="33233" xr:uid="{00000000-0005-0000-0000-0000BC0A0000}"/>
    <cellStyle name="Style 44 2 2 4 3 3" xfId="51596" xr:uid="{00000000-0005-0000-0000-0000BC0A0000}"/>
    <cellStyle name="Style 44 2 2 4 4" xfId="23957" xr:uid="{00000000-0005-0000-0000-0000BC0A0000}"/>
    <cellStyle name="Style 44 2 2 4 4 2" xfId="42326" xr:uid="{00000000-0005-0000-0000-0000BC0A0000}"/>
    <cellStyle name="Style 44 2 2 4 5" xfId="20277" xr:uid="{00000000-0005-0000-0000-0000BC0A0000}"/>
    <cellStyle name="Style 44 2 2 4 6" xfId="38680" xr:uid="{00000000-0005-0000-0000-0000BC0A0000}"/>
    <cellStyle name="Style 44 2 2 5" xfId="9847" xr:uid="{00000000-0005-0000-0000-0000BC0A0000}"/>
    <cellStyle name="Style 44 2 2 5 2" xfId="13905" xr:uid="{00000000-0005-0000-0000-0000BC0A0000}"/>
    <cellStyle name="Style 44 2 2 5 2 2" xfId="32323" xr:uid="{00000000-0005-0000-0000-0000BC0A0000}"/>
    <cellStyle name="Style 44 2 2 5 2 3" xfId="50686" xr:uid="{00000000-0005-0000-0000-0000BC0A0000}"/>
    <cellStyle name="Style 44 2 2 5 3" xfId="28561" xr:uid="{00000000-0005-0000-0000-0000BC0A0000}"/>
    <cellStyle name="Style 44 2 2 5 3 2" xfId="46924" xr:uid="{00000000-0005-0000-0000-0000BC0A0000}"/>
    <cellStyle name="Style 44 2 2 5 4" xfId="19098" xr:uid="{00000000-0005-0000-0000-0000BC0A0000}"/>
    <cellStyle name="Style 44 2 2 5 5" xfId="37506" xr:uid="{00000000-0005-0000-0000-0000BC0A0000}"/>
    <cellStyle name="Style 44 2 2 6" xfId="7640" xr:uid="{00000000-0005-0000-0000-0000BC0A0000}"/>
    <cellStyle name="Style 44 2 2 6 2" xfId="26927" xr:uid="{00000000-0005-0000-0000-0000BC0A0000}"/>
    <cellStyle name="Style 44 2 2 6 3" xfId="45292" xr:uid="{00000000-0005-0000-0000-0000BC0A0000}"/>
    <cellStyle name="Style 44 2 2 7" xfId="8272" xr:uid="{00000000-0005-0000-0000-0000BC0A0000}"/>
    <cellStyle name="Style 44 2 2 7 2" xfId="27401" xr:uid="{00000000-0005-0000-0000-0000BC0A0000}"/>
    <cellStyle name="Style 44 2 2 7 3" xfId="45766" xr:uid="{00000000-0005-0000-0000-0000BC0A0000}"/>
    <cellStyle name="Style 44 2 2 8" xfId="7250" xr:uid="{00000000-0005-0000-0000-0000BC0A0000}"/>
    <cellStyle name="Style 44 2 2 9" xfId="8740" xr:uid="{00000000-0005-0000-0000-0000BC0A0000}"/>
    <cellStyle name="Style 44 2 3" xfId="1385" xr:uid="{00000000-0005-0000-0000-0000BD0A0000}"/>
    <cellStyle name="Style 44 2 3 10" xfId="7146" xr:uid="{00000000-0005-0000-0000-0000BD0A0000}"/>
    <cellStyle name="Style 44 2 3 2" xfId="3418" xr:uid="{00000000-0005-0000-0000-0000BD0A0000}"/>
    <cellStyle name="Style 44 2 3 2 2" xfId="5593" xr:uid="{00000000-0005-0000-0000-0000BD0A0000}"/>
    <cellStyle name="Style 44 2 3 2 2 2" xfId="11957" xr:uid="{00000000-0005-0000-0000-0000BD0A0000}"/>
    <cellStyle name="Style 44 2 3 2 2 2 2" xfId="30404" xr:uid="{00000000-0005-0000-0000-0000BD0A0000}"/>
    <cellStyle name="Style 44 2 3 2 2 2 3" xfId="48767" xr:uid="{00000000-0005-0000-0000-0000BD0A0000}"/>
    <cellStyle name="Style 44 2 3 2 2 3" xfId="16283" xr:uid="{00000000-0005-0000-0000-0000BD0A0000}"/>
    <cellStyle name="Style 44 2 3 2 2 3 2" xfId="34655" xr:uid="{00000000-0005-0000-0000-0000BD0A0000}"/>
    <cellStyle name="Style 44 2 3 2 2 3 3" xfId="53018" xr:uid="{00000000-0005-0000-0000-0000BD0A0000}"/>
    <cellStyle name="Style 44 2 3 2 2 4" xfId="25402" xr:uid="{00000000-0005-0000-0000-0000BD0A0000}"/>
    <cellStyle name="Style 44 2 3 2 2 4 2" xfId="43771" xr:uid="{00000000-0005-0000-0000-0000BD0A0000}"/>
    <cellStyle name="Style 44 2 3 2 2 5" xfId="21723" xr:uid="{00000000-0005-0000-0000-0000BD0A0000}"/>
    <cellStyle name="Style 44 2 3 2 2 6" xfId="40102" xr:uid="{00000000-0005-0000-0000-0000BD0A0000}"/>
    <cellStyle name="Style 44 2 3 2 3" xfId="6417" xr:uid="{00000000-0005-0000-0000-0000BD0A0000}"/>
    <cellStyle name="Style 44 2 3 2 3 2" xfId="12708" xr:uid="{00000000-0005-0000-0000-0000BD0A0000}"/>
    <cellStyle name="Style 44 2 3 2 3 2 2" xfId="31134" xr:uid="{00000000-0005-0000-0000-0000BD0A0000}"/>
    <cellStyle name="Style 44 2 3 2 3 2 3" xfId="49497" xr:uid="{00000000-0005-0000-0000-0000BD0A0000}"/>
    <cellStyle name="Style 44 2 3 2 3 3" xfId="17019" xr:uid="{00000000-0005-0000-0000-0000BD0A0000}"/>
    <cellStyle name="Style 44 2 3 2 3 3 2" xfId="35367" xr:uid="{00000000-0005-0000-0000-0000BD0A0000}"/>
    <cellStyle name="Style 44 2 3 2 3 3 3" xfId="53730" xr:uid="{00000000-0005-0000-0000-0000BD0A0000}"/>
    <cellStyle name="Style 44 2 3 2 3 4" xfId="26152" xr:uid="{00000000-0005-0000-0000-0000BD0A0000}"/>
    <cellStyle name="Style 44 2 3 2 3 4 2" xfId="44521" xr:uid="{00000000-0005-0000-0000-0000BD0A0000}"/>
    <cellStyle name="Style 44 2 3 2 3 5" xfId="22445" xr:uid="{00000000-0005-0000-0000-0000BD0A0000}"/>
    <cellStyle name="Style 44 2 3 2 3 6" xfId="40814" xr:uid="{00000000-0005-0000-0000-0000BD0A0000}"/>
    <cellStyle name="Style 44 2 3 2 4" xfId="10131" xr:uid="{00000000-0005-0000-0000-0000BD0A0000}"/>
    <cellStyle name="Style 44 2 3 2 4 2" xfId="14188" xr:uid="{00000000-0005-0000-0000-0000BD0A0000}"/>
    <cellStyle name="Style 44 2 3 2 4 2 2" xfId="32604" xr:uid="{00000000-0005-0000-0000-0000BD0A0000}"/>
    <cellStyle name="Style 44 2 3 2 4 2 3" xfId="50967" xr:uid="{00000000-0005-0000-0000-0000BD0A0000}"/>
    <cellStyle name="Style 44 2 3 2 4 3" xfId="28842" xr:uid="{00000000-0005-0000-0000-0000BD0A0000}"/>
    <cellStyle name="Style 44 2 3 2 4 3 2" xfId="47205" xr:uid="{00000000-0005-0000-0000-0000BD0A0000}"/>
    <cellStyle name="Style 44 2 3 2 4 4" xfId="19645" xr:uid="{00000000-0005-0000-0000-0000BD0A0000}"/>
    <cellStyle name="Style 44 2 3 2 4 5" xfId="38051" xr:uid="{00000000-0005-0000-0000-0000BD0A0000}"/>
    <cellStyle name="Style 44 2 3 2 5" xfId="9318" xr:uid="{00000000-0005-0000-0000-0000BD0A0000}"/>
    <cellStyle name="Style 44 2 3 2 5 2" xfId="28037" xr:uid="{00000000-0005-0000-0000-0000BD0A0000}"/>
    <cellStyle name="Style 44 2 3 2 5 3" xfId="46400" xr:uid="{00000000-0005-0000-0000-0000BD0A0000}"/>
    <cellStyle name="Style 44 2 3 2 6" xfId="13374" xr:uid="{00000000-0005-0000-0000-0000BD0A0000}"/>
    <cellStyle name="Style 44 2 3 2 6 2" xfId="31795" xr:uid="{00000000-0005-0000-0000-0000BD0A0000}"/>
    <cellStyle name="Style 44 2 3 2 6 3" xfId="50158" xr:uid="{00000000-0005-0000-0000-0000BD0A0000}"/>
    <cellStyle name="Style 44 2 3 2 7" xfId="23326" xr:uid="{00000000-0005-0000-0000-0000BD0A0000}"/>
    <cellStyle name="Style 44 2 3 2 7 2" xfId="41695" xr:uid="{00000000-0005-0000-0000-0000BD0A0000}"/>
    <cellStyle name="Style 44 2 3 2 8" xfId="18397" xr:uid="{00000000-0005-0000-0000-0000BD0A0000}"/>
    <cellStyle name="Style 44 2 3 2 9" xfId="36803" xr:uid="{00000000-0005-0000-0000-0000BD0A0000}"/>
    <cellStyle name="Style 44 2 3 3" xfId="4411" xr:uid="{00000000-0005-0000-0000-0000BD0A0000}"/>
    <cellStyle name="Style 44 2 3 3 2" xfId="11010" xr:uid="{00000000-0005-0000-0000-0000BD0A0000}"/>
    <cellStyle name="Style 44 2 3 3 2 2" xfId="29630" xr:uid="{00000000-0005-0000-0000-0000BD0A0000}"/>
    <cellStyle name="Style 44 2 3 3 2 3" xfId="47993" xr:uid="{00000000-0005-0000-0000-0000BD0A0000}"/>
    <cellStyle name="Style 44 2 3 3 3" xfId="15145" xr:uid="{00000000-0005-0000-0000-0000BD0A0000}"/>
    <cellStyle name="Style 44 2 3 3 3 2" xfId="33542" xr:uid="{00000000-0005-0000-0000-0000BD0A0000}"/>
    <cellStyle name="Style 44 2 3 3 3 3" xfId="51905" xr:uid="{00000000-0005-0000-0000-0000BD0A0000}"/>
    <cellStyle name="Style 44 2 3 3 4" xfId="24273" xr:uid="{00000000-0005-0000-0000-0000BD0A0000}"/>
    <cellStyle name="Style 44 2 3 3 4 2" xfId="42642" xr:uid="{00000000-0005-0000-0000-0000BD0A0000}"/>
    <cellStyle name="Style 44 2 3 3 5" xfId="20596" xr:uid="{00000000-0005-0000-0000-0000BD0A0000}"/>
    <cellStyle name="Style 44 2 3 3 6" xfId="38989" xr:uid="{00000000-0005-0000-0000-0000BD0A0000}"/>
    <cellStyle name="Style 44 2 3 4" xfId="4356" xr:uid="{00000000-0005-0000-0000-0000BD0A0000}"/>
    <cellStyle name="Style 44 2 3 4 2" xfId="10959" xr:uid="{00000000-0005-0000-0000-0000BD0A0000}"/>
    <cellStyle name="Style 44 2 3 4 2 2" xfId="29584" xr:uid="{00000000-0005-0000-0000-0000BD0A0000}"/>
    <cellStyle name="Style 44 2 3 4 2 3" xfId="47947" xr:uid="{00000000-0005-0000-0000-0000BD0A0000}"/>
    <cellStyle name="Style 44 2 3 4 3" xfId="15096" xr:uid="{00000000-0005-0000-0000-0000BD0A0000}"/>
    <cellStyle name="Style 44 2 3 4 3 2" xfId="33496" xr:uid="{00000000-0005-0000-0000-0000BD0A0000}"/>
    <cellStyle name="Style 44 2 3 4 3 3" xfId="51859" xr:uid="{00000000-0005-0000-0000-0000BD0A0000}"/>
    <cellStyle name="Style 44 2 3 4 4" xfId="24226" xr:uid="{00000000-0005-0000-0000-0000BD0A0000}"/>
    <cellStyle name="Style 44 2 3 4 4 2" xfId="42595" xr:uid="{00000000-0005-0000-0000-0000BD0A0000}"/>
    <cellStyle name="Style 44 2 3 4 5" xfId="20548" xr:uid="{00000000-0005-0000-0000-0000BD0A0000}"/>
    <cellStyle name="Style 44 2 3 4 6" xfId="38943" xr:uid="{00000000-0005-0000-0000-0000BD0A0000}"/>
    <cellStyle name="Style 44 2 3 5" xfId="9778" xr:uid="{00000000-0005-0000-0000-0000BD0A0000}"/>
    <cellStyle name="Style 44 2 3 5 2" xfId="13835" xr:uid="{00000000-0005-0000-0000-0000BD0A0000}"/>
    <cellStyle name="Style 44 2 3 5 2 2" xfId="32255" xr:uid="{00000000-0005-0000-0000-0000BD0A0000}"/>
    <cellStyle name="Style 44 2 3 5 2 3" xfId="50618" xr:uid="{00000000-0005-0000-0000-0000BD0A0000}"/>
    <cellStyle name="Style 44 2 3 5 3" xfId="28493" xr:uid="{00000000-0005-0000-0000-0000BD0A0000}"/>
    <cellStyle name="Style 44 2 3 5 3 2" xfId="46856" xr:uid="{00000000-0005-0000-0000-0000BD0A0000}"/>
    <cellStyle name="Style 44 2 3 5 4" xfId="18967" xr:uid="{00000000-0005-0000-0000-0000BD0A0000}"/>
    <cellStyle name="Style 44 2 3 5 5" xfId="37376" xr:uid="{00000000-0005-0000-0000-0000BD0A0000}"/>
    <cellStyle name="Style 44 2 3 6" xfId="7677" xr:uid="{00000000-0005-0000-0000-0000BD0A0000}"/>
    <cellStyle name="Style 44 2 3 6 2" xfId="26959" xr:uid="{00000000-0005-0000-0000-0000BD0A0000}"/>
    <cellStyle name="Style 44 2 3 6 3" xfId="45324" xr:uid="{00000000-0005-0000-0000-0000BD0A0000}"/>
    <cellStyle name="Style 44 2 3 7" xfId="8352" xr:uid="{00000000-0005-0000-0000-0000BD0A0000}"/>
    <cellStyle name="Style 44 2 3 7 2" xfId="27419" xr:uid="{00000000-0005-0000-0000-0000BD0A0000}"/>
    <cellStyle name="Style 44 2 3 7 3" xfId="45783" xr:uid="{00000000-0005-0000-0000-0000BD0A0000}"/>
    <cellStyle name="Style 44 2 3 8" xfId="19456" xr:uid="{00000000-0005-0000-0000-0000BD0A0000}"/>
    <cellStyle name="Style 44 2 3 8 2" xfId="37862" xr:uid="{00000000-0005-0000-0000-0000BD0A0000}"/>
    <cellStyle name="Style 44 2 3 9" xfId="8183" xr:uid="{00000000-0005-0000-0000-0000BD0A0000}"/>
    <cellStyle name="Style 44 2 4" xfId="1920" xr:uid="{00000000-0005-0000-0000-0000BE0A0000}"/>
    <cellStyle name="Style 44 2 4 10" xfId="7036" xr:uid="{00000000-0005-0000-0000-0000BE0A0000}"/>
    <cellStyle name="Style 44 2 4 2" xfId="3738" xr:uid="{00000000-0005-0000-0000-0000BE0A0000}"/>
    <cellStyle name="Style 44 2 4 2 2" xfId="5911" xr:uid="{00000000-0005-0000-0000-0000BE0A0000}"/>
    <cellStyle name="Style 44 2 4 2 2 2" xfId="12275" xr:uid="{00000000-0005-0000-0000-0000BE0A0000}"/>
    <cellStyle name="Style 44 2 4 2 2 2 2" xfId="30722" xr:uid="{00000000-0005-0000-0000-0000BE0A0000}"/>
    <cellStyle name="Style 44 2 4 2 2 2 3" xfId="49085" xr:uid="{00000000-0005-0000-0000-0000BE0A0000}"/>
    <cellStyle name="Style 44 2 4 2 2 3" xfId="16601" xr:uid="{00000000-0005-0000-0000-0000BE0A0000}"/>
    <cellStyle name="Style 44 2 4 2 2 3 2" xfId="34973" xr:uid="{00000000-0005-0000-0000-0000BE0A0000}"/>
    <cellStyle name="Style 44 2 4 2 2 3 3" xfId="53336" xr:uid="{00000000-0005-0000-0000-0000BE0A0000}"/>
    <cellStyle name="Style 44 2 4 2 2 4" xfId="25720" xr:uid="{00000000-0005-0000-0000-0000BE0A0000}"/>
    <cellStyle name="Style 44 2 4 2 2 4 2" xfId="44089" xr:uid="{00000000-0005-0000-0000-0000BE0A0000}"/>
    <cellStyle name="Style 44 2 4 2 2 5" xfId="22041" xr:uid="{00000000-0005-0000-0000-0000BE0A0000}"/>
    <cellStyle name="Style 44 2 4 2 2 6" xfId="40420" xr:uid="{00000000-0005-0000-0000-0000BE0A0000}"/>
    <cellStyle name="Style 44 2 4 2 3" xfId="6737" xr:uid="{00000000-0005-0000-0000-0000BE0A0000}"/>
    <cellStyle name="Style 44 2 4 2 3 2" xfId="13028" xr:uid="{00000000-0005-0000-0000-0000BE0A0000}"/>
    <cellStyle name="Style 44 2 4 2 3 2 2" xfId="31454" xr:uid="{00000000-0005-0000-0000-0000BE0A0000}"/>
    <cellStyle name="Style 44 2 4 2 3 2 3" xfId="49817" xr:uid="{00000000-0005-0000-0000-0000BE0A0000}"/>
    <cellStyle name="Style 44 2 4 2 3 3" xfId="17339" xr:uid="{00000000-0005-0000-0000-0000BE0A0000}"/>
    <cellStyle name="Style 44 2 4 2 3 3 2" xfId="35687" xr:uid="{00000000-0005-0000-0000-0000BE0A0000}"/>
    <cellStyle name="Style 44 2 4 2 3 3 3" xfId="54050" xr:uid="{00000000-0005-0000-0000-0000BE0A0000}"/>
    <cellStyle name="Style 44 2 4 2 3 4" xfId="26472" xr:uid="{00000000-0005-0000-0000-0000BE0A0000}"/>
    <cellStyle name="Style 44 2 4 2 3 4 2" xfId="44841" xr:uid="{00000000-0005-0000-0000-0000BE0A0000}"/>
    <cellStyle name="Style 44 2 4 2 3 5" xfId="22765" xr:uid="{00000000-0005-0000-0000-0000BE0A0000}"/>
    <cellStyle name="Style 44 2 4 2 3 6" xfId="41134" xr:uid="{00000000-0005-0000-0000-0000BE0A0000}"/>
    <cellStyle name="Style 44 2 4 2 4" xfId="10451" xr:uid="{00000000-0005-0000-0000-0000BE0A0000}"/>
    <cellStyle name="Style 44 2 4 2 4 2" xfId="14508" xr:uid="{00000000-0005-0000-0000-0000BE0A0000}"/>
    <cellStyle name="Style 44 2 4 2 4 2 2" xfId="32924" xr:uid="{00000000-0005-0000-0000-0000BE0A0000}"/>
    <cellStyle name="Style 44 2 4 2 4 2 3" xfId="51287" xr:uid="{00000000-0005-0000-0000-0000BE0A0000}"/>
    <cellStyle name="Style 44 2 4 2 4 3" xfId="29162" xr:uid="{00000000-0005-0000-0000-0000BE0A0000}"/>
    <cellStyle name="Style 44 2 4 2 4 3 2" xfId="47525" xr:uid="{00000000-0005-0000-0000-0000BE0A0000}"/>
    <cellStyle name="Style 44 2 4 2 4 4" xfId="19965" xr:uid="{00000000-0005-0000-0000-0000BE0A0000}"/>
    <cellStyle name="Style 44 2 4 2 4 5" xfId="38371" xr:uid="{00000000-0005-0000-0000-0000BE0A0000}"/>
    <cellStyle name="Style 44 2 4 2 5" xfId="9667" xr:uid="{00000000-0005-0000-0000-0000BE0A0000}"/>
    <cellStyle name="Style 44 2 4 2 5 2" xfId="28383" xr:uid="{00000000-0005-0000-0000-0000BE0A0000}"/>
    <cellStyle name="Style 44 2 4 2 5 3" xfId="46746" xr:uid="{00000000-0005-0000-0000-0000BE0A0000}"/>
    <cellStyle name="Style 44 2 4 2 6" xfId="13724" xr:uid="{00000000-0005-0000-0000-0000BE0A0000}"/>
    <cellStyle name="Style 44 2 4 2 6 2" xfId="32145" xr:uid="{00000000-0005-0000-0000-0000BE0A0000}"/>
    <cellStyle name="Style 44 2 4 2 6 3" xfId="50508" xr:uid="{00000000-0005-0000-0000-0000BE0A0000}"/>
    <cellStyle name="Style 44 2 4 2 7" xfId="23646" xr:uid="{00000000-0005-0000-0000-0000BE0A0000}"/>
    <cellStyle name="Style 44 2 4 2 7 2" xfId="42015" xr:uid="{00000000-0005-0000-0000-0000BE0A0000}"/>
    <cellStyle name="Style 44 2 4 2 8" xfId="18792" xr:uid="{00000000-0005-0000-0000-0000BE0A0000}"/>
    <cellStyle name="Style 44 2 4 2 9" xfId="37201" xr:uid="{00000000-0005-0000-0000-0000BE0A0000}"/>
    <cellStyle name="Style 44 2 4 3" xfId="4831" xr:uid="{00000000-0005-0000-0000-0000BE0A0000}"/>
    <cellStyle name="Style 44 2 4 3 2" xfId="11392" xr:uid="{00000000-0005-0000-0000-0000BE0A0000}"/>
    <cellStyle name="Style 44 2 4 3 2 2" xfId="29984" xr:uid="{00000000-0005-0000-0000-0000BE0A0000}"/>
    <cellStyle name="Style 44 2 4 3 2 3" xfId="48347" xr:uid="{00000000-0005-0000-0000-0000BE0A0000}"/>
    <cellStyle name="Style 44 2 4 3 3" xfId="15557" xr:uid="{00000000-0005-0000-0000-0000BE0A0000}"/>
    <cellStyle name="Style 44 2 4 3 3 2" xfId="33950" xr:uid="{00000000-0005-0000-0000-0000BE0A0000}"/>
    <cellStyle name="Style 44 2 4 3 3 3" xfId="52313" xr:uid="{00000000-0005-0000-0000-0000BE0A0000}"/>
    <cellStyle name="Style 44 2 4 3 4" xfId="24681" xr:uid="{00000000-0005-0000-0000-0000BE0A0000}"/>
    <cellStyle name="Style 44 2 4 3 4 2" xfId="43050" xr:uid="{00000000-0005-0000-0000-0000BE0A0000}"/>
    <cellStyle name="Style 44 2 4 3 5" xfId="21008" xr:uid="{00000000-0005-0000-0000-0000BE0A0000}"/>
    <cellStyle name="Style 44 2 4 3 6" xfId="39397" xr:uid="{00000000-0005-0000-0000-0000BE0A0000}"/>
    <cellStyle name="Style 44 2 4 4" xfId="60" xr:uid="{00000000-0005-0000-0000-0000BE0A0000}"/>
    <cellStyle name="Style 44 2 4 4 2" xfId="9162" xr:uid="{00000000-0005-0000-0000-0000BE0A0000}"/>
    <cellStyle name="Style 44 2 4 4 2 2" xfId="27884" xr:uid="{00000000-0005-0000-0000-0000BE0A0000}"/>
    <cellStyle name="Style 44 2 4 4 2 3" xfId="46247" xr:uid="{00000000-0005-0000-0000-0000BE0A0000}"/>
    <cellStyle name="Style 44 2 4 4 3" xfId="13221" xr:uid="{00000000-0005-0000-0000-0000BE0A0000}"/>
    <cellStyle name="Style 44 2 4 4 3 2" xfId="31642" xr:uid="{00000000-0005-0000-0000-0000BE0A0000}"/>
    <cellStyle name="Style 44 2 4 4 3 3" xfId="50005" xr:uid="{00000000-0005-0000-0000-0000BE0A0000}"/>
    <cellStyle name="Style 44 2 4 4 4" xfId="18173" xr:uid="{00000000-0005-0000-0000-0000BE0A0000}"/>
    <cellStyle name="Style 44 2 4 4 4 2" xfId="36579" xr:uid="{00000000-0005-0000-0000-0000BE0A0000}"/>
    <cellStyle name="Style 44 2 4 4 5" xfId="18154" xr:uid="{00000000-0005-0000-0000-0000BE0A0000}"/>
    <cellStyle name="Style 44 2 4 4 6" xfId="36561" xr:uid="{00000000-0005-0000-0000-0000BE0A0000}"/>
    <cellStyle name="Style 44 2 4 5" xfId="9033" xr:uid="{00000000-0005-0000-0000-0000BE0A0000}"/>
    <cellStyle name="Style 44 2 4 5 2" xfId="6916" xr:uid="{00000000-0005-0000-0000-0000BE0A0000}"/>
    <cellStyle name="Style 44 2 4 5 2 2" xfId="26651" xr:uid="{00000000-0005-0000-0000-0000BE0A0000}"/>
    <cellStyle name="Style 44 2 4 5 2 3" xfId="45020" xr:uid="{00000000-0005-0000-0000-0000BE0A0000}"/>
    <cellStyle name="Style 44 2 4 5 3" xfId="27759" xr:uid="{00000000-0005-0000-0000-0000BE0A0000}"/>
    <cellStyle name="Style 44 2 4 5 3 2" xfId="46122" xr:uid="{00000000-0005-0000-0000-0000BE0A0000}"/>
    <cellStyle name="Style 44 2 4 5 4" xfId="17928" xr:uid="{00000000-0005-0000-0000-0000BE0A0000}"/>
    <cellStyle name="Style 44 2 4 5 5" xfId="36336" xr:uid="{00000000-0005-0000-0000-0000BE0A0000}"/>
    <cellStyle name="Style 44 2 4 6" xfId="8119" xr:uid="{00000000-0005-0000-0000-0000BE0A0000}"/>
    <cellStyle name="Style 44 2 4 6 2" xfId="27324" xr:uid="{00000000-0005-0000-0000-0000BE0A0000}"/>
    <cellStyle name="Style 44 2 4 6 3" xfId="45689" xr:uid="{00000000-0005-0000-0000-0000BE0A0000}"/>
    <cellStyle name="Style 44 2 4 7" xfId="7630" xr:uid="{00000000-0005-0000-0000-0000BE0A0000}"/>
    <cellStyle name="Style 44 2 4 7 2" xfId="26919" xr:uid="{00000000-0005-0000-0000-0000BE0A0000}"/>
    <cellStyle name="Style 44 2 4 7 3" xfId="45284" xr:uid="{00000000-0005-0000-0000-0000BE0A0000}"/>
    <cellStyle name="Style 44 2 4 8" xfId="19559" xr:uid="{00000000-0005-0000-0000-0000BE0A0000}"/>
    <cellStyle name="Style 44 2 4 8 2" xfId="37965" xr:uid="{00000000-0005-0000-0000-0000BE0A0000}"/>
    <cellStyle name="Style 44 2 4 9" xfId="8280" xr:uid="{00000000-0005-0000-0000-0000BE0A0000}"/>
    <cellStyle name="Style 44 2 5" xfId="2335" xr:uid="{00000000-0005-0000-0000-0000BF0A0000}"/>
    <cellStyle name="Style 44 2 5 10" xfId="20550" xr:uid="{00000000-0005-0000-0000-0000BF0A0000}"/>
    <cellStyle name="Style 44 2 5 2" xfId="3783" xr:uid="{00000000-0005-0000-0000-0000BF0A0000}"/>
    <cellStyle name="Style 44 2 5 2 2" xfId="5956" xr:uid="{00000000-0005-0000-0000-0000BF0A0000}"/>
    <cellStyle name="Style 44 2 5 2 2 2" xfId="12320" xr:uid="{00000000-0005-0000-0000-0000BF0A0000}"/>
    <cellStyle name="Style 44 2 5 2 2 2 2" xfId="30767" xr:uid="{00000000-0005-0000-0000-0000BF0A0000}"/>
    <cellStyle name="Style 44 2 5 2 2 2 3" xfId="49130" xr:uid="{00000000-0005-0000-0000-0000BF0A0000}"/>
    <cellStyle name="Style 44 2 5 2 2 3" xfId="16646" xr:uid="{00000000-0005-0000-0000-0000BF0A0000}"/>
    <cellStyle name="Style 44 2 5 2 2 3 2" xfId="35018" xr:uid="{00000000-0005-0000-0000-0000BF0A0000}"/>
    <cellStyle name="Style 44 2 5 2 2 3 3" xfId="53381" xr:uid="{00000000-0005-0000-0000-0000BF0A0000}"/>
    <cellStyle name="Style 44 2 5 2 2 4" xfId="25765" xr:uid="{00000000-0005-0000-0000-0000BF0A0000}"/>
    <cellStyle name="Style 44 2 5 2 2 4 2" xfId="44134" xr:uid="{00000000-0005-0000-0000-0000BF0A0000}"/>
    <cellStyle name="Style 44 2 5 2 2 5" xfId="22086" xr:uid="{00000000-0005-0000-0000-0000BF0A0000}"/>
    <cellStyle name="Style 44 2 5 2 2 6" xfId="40465" xr:uid="{00000000-0005-0000-0000-0000BF0A0000}"/>
    <cellStyle name="Style 44 2 5 2 3" xfId="6782" xr:uid="{00000000-0005-0000-0000-0000BF0A0000}"/>
    <cellStyle name="Style 44 2 5 2 3 2" xfId="13073" xr:uid="{00000000-0005-0000-0000-0000BF0A0000}"/>
    <cellStyle name="Style 44 2 5 2 3 2 2" xfId="31499" xr:uid="{00000000-0005-0000-0000-0000BF0A0000}"/>
    <cellStyle name="Style 44 2 5 2 3 2 3" xfId="49862" xr:uid="{00000000-0005-0000-0000-0000BF0A0000}"/>
    <cellStyle name="Style 44 2 5 2 3 3" xfId="17384" xr:uid="{00000000-0005-0000-0000-0000BF0A0000}"/>
    <cellStyle name="Style 44 2 5 2 3 3 2" xfId="35732" xr:uid="{00000000-0005-0000-0000-0000BF0A0000}"/>
    <cellStyle name="Style 44 2 5 2 3 3 3" xfId="54095" xr:uid="{00000000-0005-0000-0000-0000BF0A0000}"/>
    <cellStyle name="Style 44 2 5 2 3 4" xfId="26517" xr:uid="{00000000-0005-0000-0000-0000BF0A0000}"/>
    <cellStyle name="Style 44 2 5 2 3 4 2" xfId="44886" xr:uid="{00000000-0005-0000-0000-0000BF0A0000}"/>
    <cellStyle name="Style 44 2 5 2 3 5" xfId="22810" xr:uid="{00000000-0005-0000-0000-0000BF0A0000}"/>
    <cellStyle name="Style 44 2 5 2 3 6" xfId="41179" xr:uid="{00000000-0005-0000-0000-0000BF0A0000}"/>
    <cellStyle name="Style 44 2 5 2 4" xfId="10496" xr:uid="{00000000-0005-0000-0000-0000BF0A0000}"/>
    <cellStyle name="Style 44 2 5 2 4 2" xfId="14553" xr:uid="{00000000-0005-0000-0000-0000BF0A0000}"/>
    <cellStyle name="Style 44 2 5 2 4 2 2" xfId="32969" xr:uid="{00000000-0005-0000-0000-0000BF0A0000}"/>
    <cellStyle name="Style 44 2 5 2 4 2 3" xfId="51332" xr:uid="{00000000-0005-0000-0000-0000BF0A0000}"/>
    <cellStyle name="Style 44 2 5 2 4 3" xfId="29207" xr:uid="{00000000-0005-0000-0000-0000BF0A0000}"/>
    <cellStyle name="Style 44 2 5 2 4 3 2" xfId="47570" xr:uid="{00000000-0005-0000-0000-0000BF0A0000}"/>
    <cellStyle name="Style 44 2 5 2 4 4" xfId="20010" xr:uid="{00000000-0005-0000-0000-0000BF0A0000}"/>
    <cellStyle name="Style 44 2 5 2 4 5" xfId="38416" xr:uid="{00000000-0005-0000-0000-0000BF0A0000}"/>
    <cellStyle name="Style 44 2 5 2 5" xfId="9767" xr:uid="{00000000-0005-0000-0000-0000BF0A0000}"/>
    <cellStyle name="Style 44 2 5 2 5 2" xfId="28482" xr:uid="{00000000-0005-0000-0000-0000BF0A0000}"/>
    <cellStyle name="Style 44 2 5 2 5 3" xfId="46845" xr:uid="{00000000-0005-0000-0000-0000BF0A0000}"/>
    <cellStyle name="Style 44 2 5 2 6" xfId="13824" xr:uid="{00000000-0005-0000-0000-0000BF0A0000}"/>
    <cellStyle name="Style 44 2 5 2 6 2" xfId="32244" xr:uid="{00000000-0005-0000-0000-0000BF0A0000}"/>
    <cellStyle name="Style 44 2 5 2 6 3" xfId="50607" xr:uid="{00000000-0005-0000-0000-0000BF0A0000}"/>
    <cellStyle name="Style 44 2 5 2 7" xfId="23691" xr:uid="{00000000-0005-0000-0000-0000BF0A0000}"/>
    <cellStyle name="Style 44 2 5 2 7 2" xfId="42060" xr:uid="{00000000-0005-0000-0000-0000BF0A0000}"/>
    <cellStyle name="Style 44 2 5 2 8" xfId="18949" xr:uid="{00000000-0005-0000-0000-0000BF0A0000}"/>
    <cellStyle name="Style 44 2 5 2 9" xfId="37358" xr:uid="{00000000-0005-0000-0000-0000BF0A0000}"/>
    <cellStyle name="Style 44 2 5 3" xfId="4983" xr:uid="{00000000-0005-0000-0000-0000BF0A0000}"/>
    <cellStyle name="Style 44 2 5 3 2" xfId="11513" xr:uid="{00000000-0005-0000-0000-0000BF0A0000}"/>
    <cellStyle name="Style 44 2 5 3 2 2" xfId="30086" xr:uid="{00000000-0005-0000-0000-0000BF0A0000}"/>
    <cellStyle name="Style 44 2 5 3 2 3" xfId="48449" xr:uid="{00000000-0005-0000-0000-0000BF0A0000}"/>
    <cellStyle name="Style 44 2 5 3 3" xfId="15699" xr:uid="{00000000-0005-0000-0000-0000BF0A0000}"/>
    <cellStyle name="Style 44 2 5 3 3 2" xfId="34088" xr:uid="{00000000-0005-0000-0000-0000BF0A0000}"/>
    <cellStyle name="Style 44 2 5 3 3 3" xfId="52451" xr:uid="{00000000-0005-0000-0000-0000BF0A0000}"/>
    <cellStyle name="Style 44 2 5 3 4" xfId="24823" xr:uid="{00000000-0005-0000-0000-0000BF0A0000}"/>
    <cellStyle name="Style 44 2 5 3 4 2" xfId="43192" xr:uid="{00000000-0005-0000-0000-0000BF0A0000}"/>
    <cellStyle name="Style 44 2 5 3 5" xfId="21148" xr:uid="{00000000-0005-0000-0000-0000BF0A0000}"/>
    <cellStyle name="Style 44 2 5 3 6" xfId="39535" xr:uid="{00000000-0005-0000-0000-0000BF0A0000}"/>
    <cellStyle name="Style 44 2 5 4" xfId="6123" xr:uid="{00000000-0005-0000-0000-0000BF0A0000}"/>
    <cellStyle name="Style 44 2 5 4 2" xfId="12477" xr:uid="{00000000-0005-0000-0000-0000BF0A0000}"/>
    <cellStyle name="Style 44 2 5 4 2 2" xfId="30917" xr:uid="{00000000-0005-0000-0000-0000BF0A0000}"/>
    <cellStyle name="Style 44 2 5 4 2 3" xfId="49280" xr:uid="{00000000-0005-0000-0000-0000BF0A0000}"/>
    <cellStyle name="Style 44 2 5 4 3" xfId="16796" xr:uid="{00000000-0005-0000-0000-0000BF0A0000}"/>
    <cellStyle name="Style 44 2 5 4 3 2" xfId="35165" xr:uid="{00000000-0005-0000-0000-0000BF0A0000}"/>
    <cellStyle name="Style 44 2 5 4 3 3" xfId="53528" xr:uid="{00000000-0005-0000-0000-0000BF0A0000}"/>
    <cellStyle name="Style 44 2 5 4 4" xfId="25919" xr:uid="{00000000-0005-0000-0000-0000BF0A0000}"/>
    <cellStyle name="Style 44 2 5 4 4 2" xfId="44288" xr:uid="{00000000-0005-0000-0000-0000BF0A0000}"/>
    <cellStyle name="Style 44 2 5 4 5" xfId="22235" xr:uid="{00000000-0005-0000-0000-0000BF0A0000}"/>
    <cellStyle name="Style 44 2 5 4 6" xfId="40612" xr:uid="{00000000-0005-0000-0000-0000BF0A0000}"/>
    <cellStyle name="Style 44 2 5 5" xfId="9207" xr:uid="{00000000-0005-0000-0000-0000BF0A0000}"/>
    <cellStyle name="Style 44 2 5 5 2" xfId="13265" xr:uid="{00000000-0005-0000-0000-0000BF0A0000}"/>
    <cellStyle name="Style 44 2 5 5 2 2" xfId="31686" xr:uid="{00000000-0005-0000-0000-0000BF0A0000}"/>
    <cellStyle name="Style 44 2 5 5 2 3" xfId="50049" xr:uid="{00000000-0005-0000-0000-0000BF0A0000}"/>
    <cellStyle name="Style 44 2 5 5 3" xfId="27928" xr:uid="{00000000-0005-0000-0000-0000BF0A0000}"/>
    <cellStyle name="Style 44 2 5 5 3 2" xfId="46291" xr:uid="{00000000-0005-0000-0000-0000BF0A0000}"/>
    <cellStyle name="Style 44 2 5 5 4" xfId="18234" xr:uid="{00000000-0005-0000-0000-0000BF0A0000}"/>
    <cellStyle name="Style 44 2 5 5 5" xfId="36640" xr:uid="{00000000-0005-0000-0000-0000BF0A0000}"/>
    <cellStyle name="Style 44 2 5 6" xfId="8376" xr:uid="{00000000-0005-0000-0000-0000BF0A0000}"/>
    <cellStyle name="Style 44 2 5 6 2" xfId="27443" xr:uid="{00000000-0005-0000-0000-0000BF0A0000}"/>
    <cellStyle name="Style 44 2 5 6 3" xfId="45807" xr:uid="{00000000-0005-0000-0000-0000BF0A0000}"/>
    <cellStyle name="Style 44 2 5 7" xfId="7103" xr:uid="{00000000-0005-0000-0000-0000BF0A0000}"/>
    <cellStyle name="Style 44 2 5 7 2" xfId="26719" xr:uid="{00000000-0005-0000-0000-0000BF0A0000}"/>
    <cellStyle name="Style 44 2 5 7 3" xfId="45087" xr:uid="{00000000-0005-0000-0000-0000BF0A0000}"/>
    <cellStyle name="Style 44 2 5 8" xfId="19499" xr:uid="{00000000-0005-0000-0000-0000BF0A0000}"/>
    <cellStyle name="Style 44 2 5 8 2" xfId="37905" xr:uid="{00000000-0005-0000-0000-0000BF0A0000}"/>
    <cellStyle name="Style 44 2 5 9" xfId="11752" xr:uid="{00000000-0005-0000-0000-0000BF0A0000}"/>
    <cellStyle name="Style 44 2 6" xfId="2783" xr:uid="{00000000-0005-0000-0000-0000C00A0000}"/>
    <cellStyle name="Style 44 2 6 10" xfId="35923" xr:uid="{00000000-0005-0000-0000-0000C00A0000}"/>
    <cellStyle name="Style 44 2 6 2" xfId="3819" xr:uid="{00000000-0005-0000-0000-0000C00A0000}"/>
    <cellStyle name="Style 44 2 6 2 2" xfId="5992" xr:uid="{00000000-0005-0000-0000-0000C00A0000}"/>
    <cellStyle name="Style 44 2 6 2 2 2" xfId="12356" xr:uid="{00000000-0005-0000-0000-0000C00A0000}"/>
    <cellStyle name="Style 44 2 6 2 2 2 2" xfId="30803" xr:uid="{00000000-0005-0000-0000-0000C00A0000}"/>
    <cellStyle name="Style 44 2 6 2 2 2 3" xfId="49166" xr:uid="{00000000-0005-0000-0000-0000C00A0000}"/>
    <cellStyle name="Style 44 2 6 2 2 3" xfId="16682" xr:uid="{00000000-0005-0000-0000-0000C00A0000}"/>
    <cellStyle name="Style 44 2 6 2 2 3 2" xfId="35054" xr:uid="{00000000-0005-0000-0000-0000C00A0000}"/>
    <cellStyle name="Style 44 2 6 2 2 3 3" xfId="53417" xr:uid="{00000000-0005-0000-0000-0000C00A0000}"/>
    <cellStyle name="Style 44 2 6 2 2 4" xfId="25801" xr:uid="{00000000-0005-0000-0000-0000C00A0000}"/>
    <cellStyle name="Style 44 2 6 2 2 4 2" xfId="44170" xr:uid="{00000000-0005-0000-0000-0000C00A0000}"/>
    <cellStyle name="Style 44 2 6 2 2 5" xfId="22122" xr:uid="{00000000-0005-0000-0000-0000C00A0000}"/>
    <cellStyle name="Style 44 2 6 2 2 6" xfId="40501" xr:uid="{00000000-0005-0000-0000-0000C00A0000}"/>
    <cellStyle name="Style 44 2 6 2 3" xfId="6818" xr:uid="{00000000-0005-0000-0000-0000C00A0000}"/>
    <cellStyle name="Style 44 2 6 2 3 2" xfId="13109" xr:uid="{00000000-0005-0000-0000-0000C00A0000}"/>
    <cellStyle name="Style 44 2 6 2 3 2 2" xfId="31535" xr:uid="{00000000-0005-0000-0000-0000C00A0000}"/>
    <cellStyle name="Style 44 2 6 2 3 2 3" xfId="49898" xr:uid="{00000000-0005-0000-0000-0000C00A0000}"/>
    <cellStyle name="Style 44 2 6 2 3 3" xfId="17420" xr:uid="{00000000-0005-0000-0000-0000C00A0000}"/>
    <cellStyle name="Style 44 2 6 2 3 3 2" xfId="35768" xr:uid="{00000000-0005-0000-0000-0000C00A0000}"/>
    <cellStyle name="Style 44 2 6 2 3 3 3" xfId="54131" xr:uid="{00000000-0005-0000-0000-0000C00A0000}"/>
    <cellStyle name="Style 44 2 6 2 3 4" xfId="26553" xr:uid="{00000000-0005-0000-0000-0000C00A0000}"/>
    <cellStyle name="Style 44 2 6 2 3 4 2" xfId="44922" xr:uid="{00000000-0005-0000-0000-0000C00A0000}"/>
    <cellStyle name="Style 44 2 6 2 3 5" xfId="22846" xr:uid="{00000000-0005-0000-0000-0000C00A0000}"/>
    <cellStyle name="Style 44 2 6 2 3 6" xfId="41215" xr:uid="{00000000-0005-0000-0000-0000C00A0000}"/>
    <cellStyle name="Style 44 2 6 2 4" xfId="10532" xr:uid="{00000000-0005-0000-0000-0000C00A0000}"/>
    <cellStyle name="Style 44 2 6 2 4 2" xfId="14589" xr:uid="{00000000-0005-0000-0000-0000C00A0000}"/>
    <cellStyle name="Style 44 2 6 2 4 2 2" xfId="33005" xr:uid="{00000000-0005-0000-0000-0000C00A0000}"/>
    <cellStyle name="Style 44 2 6 2 4 2 3" xfId="51368" xr:uid="{00000000-0005-0000-0000-0000C00A0000}"/>
    <cellStyle name="Style 44 2 6 2 4 3" xfId="29243" xr:uid="{00000000-0005-0000-0000-0000C00A0000}"/>
    <cellStyle name="Style 44 2 6 2 4 3 2" xfId="47606" xr:uid="{00000000-0005-0000-0000-0000C00A0000}"/>
    <cellStyle name="Style 44 2 6 2 4 4" xfId="20046" xr:uid="{00000000-0005-0000-0000-0000C00A0000}"/>
    <cellStyle name="Style 44 2 6 2 4 5" xfId="38452" xr:uid="{00000000-0005-0000-0000-0000C00A0000}"/>
    <cellStyle name="Style 44 2 6 2 5" xfId="9865" xr:uid="{00000000-0005-0000-0000-0000C00A0000}"/>
    <cellStyle name="Style 44 2 6 2 5 2" xfId="28579" xr:uid="{00000000-0005-0000-0000-0000C00A0000}"/>
    <cellStyle name="Style 44 2 6 2 5 3" xfId="46942" xr:uid="{00000000-0005-0000-0000-0000C00A0000}"/>
    <cellStyle name="Style 44 2 6 2 6" xfId="13923" xr:uid="{00000000-0005-0000-0000-0000C00A0000}"/>
    <cellStyle name="Style 44 2 6 2 6 2" xfId="32341" xr:uid="{00000000-0005-0000-0000-0000C00A0000}"/>
    <cellStyle name="Style 44 2 6 2 6 3" xfId="50704" xr:uid="{00000000-0005-0000-0000-0000C00A0000}"/>
    <cellStyle name="Style 44 2 6 2 7" xfId="23727" xr:uid="{00000000-0005-0000-0000-0000C00A0000}"/>
    <cellStyle name="Style 44 2 6 2 7 2" xfId="42096" xr:uid="{00000000-0005-0000-0000-0000C00A0000}"/>
    <cellStyle name="Style 44 2 6 2 8" xfId="19119" xr:uid="{00000000-0005-0000-0000-0000C00A0000}"/>
    <cellStyle name="Style 44 2 6 2 9" xfId="37527" xr:uid="{00000000-0005-0000-0000-0000C00A0000}"/>
    <cellStyle name="Style 44 2 6 3" xfId="5143" xr:uid="{00000000-0005-0000-0000-0000C00A0000}"/>
    <cellStyle name="Style 44 2 6 3 2" xfId="11648" xr:uid="{00000000-0005-0000-0000-0000C00A0000}"/>
    <cellStyle name="Style 44 2 6 3 2 2" xfId="30196" xr:uid="{00000000-0005-0000-0000-0000C00A0000}"/>
    <cellStyle name="Style 44 2 6 3 2 3" xfId="48559" xr:uid="{00000000-0005-0000-0000-0000C00A0000}"/>
    <cellStyle name="Style 44 2 6 3 3" xfId="15847" xr:uid="{00000000-0005-0000-0000-0000C00A0000}"/>
    <cellStyle name="Style 44 2 6 3 3 2" xfId="34231" xr:uid="{00000000-0005-0000-0000-0000C00A0000}"/>
    <cellStyle name="Style 44 2 6 3 3 3" xfId="52594" xr:uid="{00000000-0005-0000-0000-0000C00A0000}"/>
    <cellStyle name="Style 44 2 6 3 4" xfId="24970" xr:uid="{00000000-0005-0000-0000-0000C00A0000}"/>
    <cellStyle name="Style 44 2 6 3 4 2" xfId="43339" xr:uid="{00000000-0005-0000-0000-0000C00A0000}"/>
    <cellStyle name="Style 44 2 6 3 5" xfId="21293" xr:uid="{00000000-0005-0000-0000-0000C00A0000}"/>
    <cellStyle name="Style 44 2 6 3 6" xfId="39678" xr:uid="{00000000-0005-0000-0000-0000C00A0000}"/>
    <cellStyle name="Style 44 2 6 4" xfId="6193" xr:uid="{00000000-0005-0000-0000-0000C00A0000}"/>
    <cellStyle name="Style 44 2 6 4 2" xfId="12528" xr:uid="{00000000-0005-0000-0000-0000C00A0000}"/>
    <cellStyle name="Style 44 2 6 4 2 2" xfId="30960" xr:uid="{00000000-0005-0000-0000-0000C00A0000}"/>
    <cellStyle name="Style 44 2 6 4 2 3" xfId="49323" xr:uid="{00000000-0005-0000-0000-0000C00A0000}"/>
    <cellStyle name="Style 44 2 6 4 3" xfId="16843" xr:uid="{00000000-0005-0000-0000-0000C00A0000}"/>
    <cellStyle name="Style 44 2 6 4 3 2" xfId="35203" xr:uid="{00000000-0005-0000-0000-0000C00A0000}"/>
    <cellStyle name="Style 44 2 6 4 3 3" xfId="53566" xr:uid="{00000000-0005-0000-0000-0000C00A0000}"/>
    <cellStyle name="Style 44 2 6 4 4" xfId="25970" xr:uid="{00000000-0005-0000-0000-0000C00A0000}"/>
    <cellStyle name="Style 44 2 6 4 4 2" xfId="44339" xr:uid="{00000000-0005-0000-0000-0000C00A0000}"/>
    <cellStyle name="Style 44 2 6 4 5" xfId="22277" xr:uid="{00000000-0005-0000-0000-0000C00A0000}"/>
    <cellStyle name="Style 44 2 6 4 6" xfId="40650" xr:uid="{00000000-0005-0000-0000-0000C00A0000}"/>
    <cellStyle name="Style 44 2 6 5" xfId="10025" xr:uid="{00000000-0005-0000-0000-0000C00A0000}"/>
    <cellStyle name="Style 44 2 6 5 2" xfId="14082" xr:uid="{00000000-0005-0000-0000-0000C00A0000}"/>
    <cellStyle name="Style 44 2 6 5 2 2" xfId="32498" xr:uid="{00000000-0005-0000-0000-0000C00A0000}"/>
    <cellStyle name="Style 44 2 6 5 2 3" xfId="50861" xr:uid="{00000000-0005-0000-0000-0000C00A0000}"/>
    <cellStyle name="Style 44 2 6 5 3" xfId="28736" xr:uid="{00000000-0005-0000-0000-0000C00A0000}"/>
    <cellStyle name="Style 44 2 6 5 3 2" xfId="47099" xr:uid="{00000000-0005-0000-0000-0000C00A0000}"/>
    <cellStyle name="Style 44 2 6 5 4" xfId="19404" xr:uid="{00000000-0005-0000-0000-0000C00A0000}"/>
    <cellStyle name="Style 44 2 6 5 5" xfId="37810" xr:uid="{00000000-0005-0000-0000-0000C00A0000}"/>
    <cellStyle name="Style 44 2 6 6" xfId="8652" xr:uid="{00000000-0005-0000-0000-0000C00A0000}"/>
    <cellStyle name="Style 44 2 6 6 2" xfId="27560" xr:uid="{00000000-0005-0000-0000-0000C00A0000}"/>
    <cellStyle name="Style 44 2 6 6 3" xfId="45923" xr:uid="{00000000-0005-0000-0000-0000C00A0000}"/>
    <cellStyle name="Style 44 2 6 7" xfId="7393" xr:uid="{00000000-0005-0000-0000-0000C00A0000}"/>
    <cellStyle name="Style 44 2 6 7 2" xfId="26792" xr:uid="{00000000-0005-0000-0000-0000C00A0000}"/>
    <cellStyle name="Style 44 2 6 7 3" xfId="45160" xr:uid="{00000000-0005-0000-0000-0000C00A0000}"/>
    <cellStyle name="Style 44 2 6 8" xfId="19130" xr:uid="{00000000-0005-0000-0000-0000C00A0000}"/>
    <cellStyle name="Style 44 2 6 8 2" xfId="37538" xr:uid="{00000000-0005-0000-0000-0000C00A0000}"/>
    <cellStyle name="Style 44 2 6 9" xfId="7164" xr:uid="{00000000-0005-0000-0000-0000C00A0000}"/>
    <cellStyle name="Style 44 2 7" xfId="4200" xr:uid="{00000000-0005-0000-0000-0000BB0A0000}"/>
    <cellStyle name="Style 44 2 7 2" xfId="10849" xr:uid="{00000000-0005-0000-0000-0000BB0A0000}"/>
    <cellStyle name="Style 44 2 7 2 2" xfId="29520" xr:uid="{00000000-0005-0000-0000-0000BB0A0000}"/>
    <cellStyle name="Style 44 2 7 2 3" xfId="47883" xr:uid="{00000000-0005-0000-0000-0000BB0A0000}"/>
    <cellStyle name="Style 44 2 7 3" xfId="14946" xr:uid="{00000000-0005-0000-0000-0000BB0A0000}"/>
    <cellStyle name="Style 44 2 7 3 2" xfId="33350" xr:uid="{00000000-0005-0000-0000-0000BB0A0000}"/>
    <cellStyle name="Style 44 2 7 3 3" xfId="51713" xr:uid="{00000000-0005-0000-0000-0000BB0A0000}"/>
    <cellStyle name="Style 44 2 7 4" xfId="24079" xr:uid="{00000000-0005-0000-0000-0000BB0A0000}"/>
    <cellStyle name="Style 44 2 7 4 2" xfId="42448" xr:uid="{00000000-0005-0000-0000-0000BB0A0000}"/>
    <cellStyle name="Style 44 2 7 5" xfId="20399" xr:uid="{00000000-0005-0000-0000-0000BB0A0000}"/>
    <cellStyle name="Style 44 2 7 6" xfId="38797" xr:uid="{00000000-0005-0000-0000-0000BB0A0000}"/>
    <cellStyle name="Style 44 2 8" xfId="9142" xr:uid="{00000000-0005-0000-0000-0000BB0A0000}"/>
    <cellStyle name="Style 44 2 8 2" xfId="13202" xr:uid="{00000000-0005-0000-0000-0000BB0A0000}"/>
    <cellStyle name="Style 44 2 8 2 2" xfId="31627" xr:uid="{00000000-0005-0000-0000-0000BB0A0000}"/>
    <cellStyle name="Style 44 2 8 2 3" xfId="49990" xr:uid="{00000000-0005-0000-0000-0000BB0A0000}"/>
    <cellStyle name="Style 44 2 8 3" xfId="27868" xr:uid="{00000000-0005-0000-0000-0000BB0A0000}"/>
    <cellStyle name="Style 44 2 8 3 2" xfId="46231" xr:uid="{00000000-0005-0000-0000-0000BB0A0000}"/>
    <cellStyle name="Style 44 2 8 4" xfId="18067" xr:uid="{00000000-0005-0000-0000-0000BB0A0000}"/>
    <cellStyle name="Style 44 2 8 5" xfId="36474" xr:uid="{00000000-0005-0000-0000-0000BB0A0000}"/>
    <cellStyle name="Style 44 2 9" xfId="7465" xr:uid="{00000000-0005-0000-0000-0000BB0A0000}"/>
    <cellStyle name="Style 44 2 9 2" xfId="26836" xr:uid="{00000000-0005-0000-0000-0000BB0A0000}"/>
    <cellStyle name="Style 44 2 9 3" xfId="45201" xr:uid="{00000000-0005-0000-0000-0000BB0A0000}"/>
    <cellStyle name="Style 44 3" xfId="1071" xr:uid="{00000000-0005-0000-0000-0000C10A0000}"/>
    <cellStyle name="Style 44 3 10" xfId="7273" xr:uid="{00000000-0005-0000-0000-0000C10A0000}"/>
    <cellStyle name="Style 44 3 10 2" xfId="26779" xr:uid="{00000000-0005-0000-0000-0000C10A0000}"/>
    <cellStyle name="Style 44 3 10 3" xfId="45147" xr:uid="{00000000-0005-0000-0000-0000C10A0000}"/>
    <cellStyle name="Style 44 3 2" xfId="1347" xr:uid="{00000000-0005-0000-0000-0000C20A0000}"/>
    <cellStyle name="Style 44 3 2 2" xfId="3394" xr:uid="{00000000-0005-0000-0000-0000C20A0000}"/>
    <cellStyle name="Style 44 3 2 2 2" xfId="5569" xr:uid="{00000000-0005-0000-0000-0000C20A0000}"/>
    <cellStyle name="Style 44 3 2 2 2 2" xfId="11933" xr:uid="{00000000-0005-0000-0000-0000C20A0000}"/>
    <cellStyle name="Style 44 3 2 2 2 2 2" xfId="30380" xr:uid="{00000000-0005-0000-0000-0000C20A0000}"/>
    <cellStyle name="Style 44 3 2 2 2 2 3" xfId="48743" xr:uid="{00000000-0005-0000-0000-0000C20A0000}"/>
    <cellStyle name="Style 44 3 2 2 2 3" xfId="16259" xr:uid="{00000000-0005-0000-0000-0000C20A0000}"/>
    <cellStyle name="Style 44 3 2 2 2 3 2" xfId="34631" xr:uid="{00000000-0005-0000-0000-0000C20A0000}"/>
    <cellStyle name="Style 44 3 2 2 2 3 3" xfId="52994" xr:uid="{00000000-0005-0000-0000-0000C20A0000}"/>
    <cellStyle name="Style 44 3 2 2 2 4" xfId="25378" xr:uid="{00000000-0005-0000-0000-0000C20A0000}"/>
    <cellStyle name="Style 44 3 2 2 2 4 2" xfId="43747" xr:uid="{00000000-0005-0000-0000-0000C20A0000}"/>
    <cellStyle name="Style 44 3 2 2 2 5" xfId="21699" xr:uid="{00000000-0005-0000-0000-0000C20A0000}"/>
    <cellStyle name="Style 44 3 2 2 2 6" xfId="40078" xr:uid="{00000000-0005-0000-0000-0000C20A0000}"/>
    <cellStyle name="Style 44 3 2 2 3" xfId="6393" xr:uid="{00000000-0005-0000-0000-0000C20A0000}"/>
    <cellStyle name="Style 44 3 2 2 3 2" xfId="12684" xr:uid="{00000000-0005-0000-0000-0000C20A0000}"/>
    <cellStyle name="Style 44 3 2 2 3 2 2" xfId="31110" xr:uid="{00000000-0005-0000-0000-0000C20A0000}"/>
    <cellStyle name="Style 44 3 2 2 3 2 3" xfId="49473" xr:uid="{00000000-0005-0000-0000-0000C20A0000}"/>
    <cellStyle name="Style 44 3 2 2 3 3" xfId="16995" xr:uid="{00000000-0005-0000-0000-0000C20A0000}"/>
    <cellStyle name="Style 44 3 2 2 3 3 2" xfId="35343" xr:uid="{00000000-0005-0000-0000-0000C20A0000}"/>
    <cellStyle name="Style 44 3 2 2 3 3 3" xfId="53706" xr:uid="{00000000-0005-0000-0000-0000C20A0000}"/>
    <cellStyle name="Style 44 3 2 2 3 4" xfId="26128" xr:uid="{00000000-0005-0000-0000-0000C20A0000}"/>
    <cellStyle name="Style 44 3 2 2 3 4 2" xfId="44497" xr:uid="{00000000-0005-0000-0000-0000C20A0000}"/>
    <cellStyle name="Style 44 3 2 2 3 5" xfId="22421" xr:uid="{00000000-0005-0000-0000-0000C20A0000}"/>
    <cellStyle name="Style 44 3 2 2 3 6" xfId="40790" xr:uid="{00000000-0005-0000-0000-0000C20A0000}"/>
    <cellStyle name="Style 44 3 2 2 4" xfId="10107" xr:uid="{00000000-0005-0000-0000-0000C20A0000}"/>
    <cellStyle name="Style 44 3 2 2 4 2" xfId="14164" xr:uid="{00000000-0005-0000-0000-0000C20A0000}"/>
    <cellStyle name="Style 44 3 2 2 4 2 2" xfId="32580" xr:uid="{00000000-0005-0000-0000-0000C20A0000}"/>
    <cellStyle name="Style 44 3 2 2 4 2 3" xfId="50943" xr:uid="{00000000-0005-0000-0000-0000C20A0000}"/>
    <cellStyle name="Style 44 3 2 2 4 3" xfId="28818" xr:uid="{00000000-0005-0000-0000-0000C20A0000}"/>
    <cellStyle name="Style 44 3 2 2 4 3 2" xfId="47181" xr:uid="{00000000-0005-0000-0000-0000C20A0000}"/>
    <cellStyle name="Style 44 3 2 2 4 4" xfId="19621" xr:uid="{00000000-0005-0000-0000-0000C20A0000}"/>
    <cellStyle name="Style 44 3 2 2 4 5" xfId="38027" xr:uid="{00000000-0005-0000-0000-0000C20A0000}"/>
    <cellStyle name="Style 44 3 2 2 5" xfId="9294" xr:uid="{00000000-0005-0000-0000-0000C20A0000}"/>
    <cellStyle name="Style 44 3 2 2 5 2" xfId="28013" xr:uid="{00000000-0005-0000-0000-0000C20A0000}"/>
    <cellStyle name="Style 44 3 2 2 5 3" xfId="46376" xr:uid="{00000000-0005-0000-0000-0000C20A0000}"/>
    <cellStyle name="Style 44 3 2 2 6" xfId="13350" xr:uid="{00000000-0005-0000-0000-0000C20A0000}"/>
    <cellStyle name="Style 44 3 2 2 6 2" xfId="31771" xr:uid="{00000000-0005-0000-0000-0000C20A0000}"/>
    <cellStyle name="Style 44 3 2 2 6 3" xfId="50134" xr:uid="{00000000-0005-0000-0000-0000C20A0000}"/>
    <cellStyle name="Style 44 3 2 2 7" xfId="23302" xr:uid="{00000000-0005-0000-0000-0000C20A0000}"/>
    <cellStyle name="Style 44 3 2 2 7 2" xfId="41671" xr:uid="{00000000-0005-0000-0000-0000C20A0000}"/>
    <cellStyle name="Style 44 3 2 2 8" xfId="18368" xr:uid="{00000000-0005-0000-0000-0000C20A0000}"/>
    <cellStyle name="Style 44 3 2 2 9" xfId="36774" xr:uid="{00000000-0005-0000-0000-0000C20A0000}"/>
    <cellStyle name="Style 44 3 2 3" xfId="4383" xr:uid="{00000000-0005-0000-0000-0000C20A0000}"/>
    <cellStyle name="Style 44 3 2 3 2" xfId="10983" xr:uid="{00000000-0005-0000-0000-0000C20A0000}"/>
    <cellStyle name="Style 44 3 2 3 2 2" xfId="29605" xr:uid="{00000000-0005-0000-0000-0000C20A0000}"/>
    <cellStyle name="Style 44 3 2 3 2 3" xfId="47968" xr:uid="{00000000-0005-0000-0000-0000C20A0000}"/>
    <cellStyle name="Style 44 3 2 3 3" xfId="15119" xr:uid="{00000000-0005-0000-0000-0000C20A0000}"/>
    <cellStyle name="Style 44 3 2 3 3 2" xfId="33516" xr:uid="{00000000-0005-0000-0000-0000C20A0000}"/>
    <cellStyle name="Style 44 3 2 3 3 3" xfId="51879" xr:uid="{00000000-0005-0000-0000-0000C20A0000}"/>
    <cellStyle name="Style 44 3 2 3 4" xfId="24247" xr:uid="{00000000-0005-0000-0000-0000C20A0000}"/>
    <cellStyle name="Style 44 3 2 3 4 2" xfId="42616" xr:uid="{00000000-0005-0000-0000-0000C20A0000}"/>
    <cellStyle name="Style 44 3 2 3 5" xfId="20570" xr:uid="{00000000-0005-0000-0000-0000C20A0000}"/>
    <cellStyle name="Style 44 3 2 3 6" xfId="38963" xr:uid="{00000000-0005-0000-0000-0000C20A0000}"/>
    <cellStyle name="Style 44 3 2 4" xfId="5063" xr:uid="{00000000-0005-0000-0000-0000C20A0000}"/>
    <cellStyle name="Style 44 3 2 4 2" xfId="11585" xr:uid="{00000000-0005-0000-0000-0000C20A0000}"/>
    <cellStyle name="Style 44 3 2 4 2 2" xfId="30153" xr:uid="{00000000-0005-0000-0000-0000C20A0000}"/>
    <cellStyle name="Style 44 3 2 4 2 3" xfId="48516" xr:uid="{00000000-0005-0000-0000-0000C20A0000}"/>
    <cellStyle name="Style 44 3 2 4 3" xfId="15776" xr:uid="{00000000-0005-0000-0000-0000C20A0000}"/>
    <cellStyle name="Style 44 3 2 4 3 2" xfId="34163" xr:uid="{00000000-0005-0000-0000-0000C20A0000}"/>
    <cellStyle name="Style 44 3 2 4 3 3" xfId="52526" xr:uid="{00000000-0005-0000-0000-0000C20A0000}"/>
    <cellStyle name="Style 44 3 2 4 4" xfId="24899" xr:uid="{00000000-0005-0000-0000-0000C20A0000}"/>
    <cellStyle name="Style 44 3 2 4 4 2" xfId="43268" xr:uid="{00000000-0005-0000-0000-0000C20A0000}"/>
    <cellStyle name="Style 44 3 2 4 5" xfId="21224" xr:uid="{00000000-0005-0000-0000-0000C20A0000}"/>
    <cellStyle name="Style 44 3 2 4 6" xfId="39610" xr:uid="{00000000-0005-0000-0000-0000C20A0000}"/>
    <cellStyle name="Style 44 3 2 5" xfId="9281" xr:uid="{00000000-0005-0000-0000-0000C20A0000}"/>
    <cellStyle name="Style 44 3 2 5 2" xfId="13337" xr:uid="{00000000-0005-0000-0000-0000C20A0000}"/>
    <cellStyle name="Style 44 3 2 5 2 2" xfId="31758" xr:uid="{00000000-0005-0000-0000-0000C20A0000}"/>
    <cellStyle name="Style 44 3 2 5 2 3" xfId="50121" xr:uid="{00000000-0005-0000-0000-0000C20A0000}"/>
    <cellStyle name="Style 44 3 2 5 3" xfId="28000" xr:uid="{00000000-0005-0000-0000-0000C20A0000}"/>
    <cellStyle name="Style 44 3 2 5 3 2" xfId="46363" xr:uid="{00000000-0005-0000-0000-0000C20A0000}"/>
    <cellStyle name="Style 44 3 2 5 4" xfId="18348" xr:uid="{00000000-0005-0000-0000-0000C20A0000}"/>
    <cellStyle name="Style 44 3 2 5 5" xfId="36754" xr:uid="{00000000-0005-0000-0000-0000C20A0000}"/>
    <cellStyle name="Style 44 3 2 6" xfId="7644" xr:uid="{00000000-0005-0000-0000-0000C20A0000}"/>
    <cellStyle name="Style 44 3 2 6 2" xfId="26931" xr:uid="{00000000-0005-0000-0000-0000C20A0000}"/>
    <cellStyle name="Style 44 3 2 6 3" xfId="45296" xr:uid="{00000000-0005-0000-0000-0000C20A0000}"/>
    <cellStyle name="Style 44 3 2 7" xfId="8538" xr:uid="{00000000-0005-0000-0000-0000C20A0000}"/>
    <cellStyle name="Style 44 3 2 7 2" xfId="27523" xr:uid="{00000000-0005-0000-0000-0000C20A0000}"/>
    <cellStyle name="Style 44 3 2 7 3" xfId="45887" xr:uid="{00000000-0005-0000-0000-0000C20A0000}"/>
    <cellStyle name="Style 44 3 2 8" xfId="7193" xr:uid="{00000000-0005-0000-0000-0000C20A0000}"/>
    <cellStyle name="Style 44 3 2 9" xfId="8567" xr:uid="{00000000-0005-0000-0000-0000C20A0000}"/>
    <cellStyle name="Style 44 3 3" xfId="1353" xr:uid="{00000000-0005-0000-0000-0000C30A0000}"/>
    <cellStyle name="Style 44 3 3 10" xfId="8699" xr:uid="{00000000-0005-0000-0000-0000C30A0000}"/>
    <cellStyle name="Style 44 3 3 2" xfId="3399" xr:uid="{00000000-0005-0000-0000-0000C30A0000}"/>
    <cellStyle name="Style 44 3 3 2 2" xfId="5574" xr:uid="{00000000-0005-0000-0000-0000C30A0000}"/>
    <cellStyle name="Style 44 3 3 2 2 2" xfId="11938" xr:uid="{00000000-0005-0000-0000-0000C30A0000}"/>
    <cellStyle name="Style 44 3 3 2 2 2 2" xfId="30385" xr:uid="{00000000-0005-0000-0000-0000C30A0000}"/>
    <cellStyle name="Style 44 3 3 2 2 2 3" xfId="48748" xr:uid="{00000000-0005-0000-0000-0000C30A0000}"/>
    <cellStyle name="Style 44 3 3 2 2 3" xfId="16264" xr:uid="{00000000-0005-0000-0000-0000C30A0000}"/>
    <cellStyle name="Style 44 3 3 2 2 3 2" xfId="34636" xr:uid="{00000000-0005-0000-0000-0000C30A0000}"/>
    <cellStyle name="Style 44 3 3 2 2 3 3" xfId="52999" xr:uid="{00000000-0005-0000-0000-0000C30A0000}"/>
    <cellStyle name="Style 44 3 3 2 2 4" xfId="25383" xr:uid="{00000000-0005-0000-0000-0000C30A0000}"/>
    <cellStyle name="Style 44 3 3 2 2 4 2" xfId="43752" xr:uid="{00000000-0005-0000-0000-0000C30A0000}"/>
    <cellStyle name="Style 44 3 3 2 2 5" xfId="21704" xr:uid="{00000000-0005-0000-0000-0000C30A0000}"/>
    <cellStyle name="Style 44 3 3 2 2 6" xfId="40083" xr:uid="{00000000-0005-0000-0000-0000C30A0000}"/>
    <cellStyle name="Style 44 3 3 2 3" xfId="6398" xr:uid="{00000000-0005-0000-0000-0000C30A0000}"/>
    <cellStyle name="Style 44 3 3 2 3 2" xfId="12689" xr:uid="{00000000-0005-0000-0000-0000C30A0000}"/>
    <cellStyle name="Style 44 3 3 2 3 2 2" xfId="31115" xr:uid="{00000000-0005-0000-0000-0000C30A0000}"/>
    <cellStyle name="Style 44 3 3 2 3 2 3" xfId="49478" xr:uid="{00000000-0005-0000-0000-0000C30A0000}"/>
    <cellStyle name="Style 44 3 3 2 3 3" xfId="17000" xr:uid="{00000000-0005-0000-0000-0000C30A0000}"/>
    <cellStyle name="Style 44 3 3 2 3 3 2" xfId="35348" xr:uid="{00000000-0005-0000-0000-0000C30A0000}"/>
    <cellStyle name="Style 44 3 3 2 3 3 3" xfId="53711" xr:uid="{00000000-0005-0000-0000-0000C30A0000}"/>
    <cellStyle name="Style 44 3 3 2 3 4" xfId="26133" xr:uid="{00000000-0005-0000-0000-0000C30A0000}"/>
    <cellStyle name="Style 44 3 3 2 3 4 2" xfId="44502" xr:uid="{00000000-0005-0000-0000-0000C30A0000}"/>
    <cellStyle name="Style 44 3 3 2 3 5" xfId="22426" xr:uid="{00000000-0005-0000-0000-0000C30A0000}"/>
    <cellStyle name="Style 44 3 3 2 3 6" xfId="40795" xr:uid="{00000000-0005-0000-0000-0000C30A0000}"/>
    <cellStyle name="Style 44 3 3 2 4" xfId="10112" xr:uid="{00000000-0005-0000-0000-0000C30A0000}"/>
    <cellStyle name="Style 44 3 3 2 4 2" xfId="14169" xr:uid="{00000000-0005-0000-0000-0000C30A0000}"/>
    <cellStyle name="Style 44 3 3 2 4 2 2" xfId="32585" xr:uid="{00000000-0005-0000-0000-0000C30A0000}"/>
    <cellStyle name="Style 44 3 3 2 4 2 3" xfId="50948" xr:uid="{00000000-0005-0000-0000-0000C30A0000}"/>
    <cellStyle name="Style 44 3 3 2 4 3" xfId="28823" xr:uid="{00000000-0005-0000-0000-0000C30A0000}"/>
    <cellStyle name="Style 44 3 3 2 4 3 2" xfId="47186" xr:uid="{00000000-0005-0000-0000-0000C30A0000}"/>
    <cellStyle name="Style 44 3 3 2 4 4" xfId="19626" xr:uid="{00000000-0005-0000-0000-0000C30A0000}"/>
    <cellStyle name="Style 44 3 3 2 4 5" xfId="38032" xr:uid="{00000000-0005-0000-0000-0000C30A0000}"/>
    <cellStyle name="Style 44 3 3 2 5" xfId="9299" xr:uid="{00000000-0005-0000-0000-0000C30A0000}"/>
    <cellStyle name="Style 44 3 3 2 5 2" xfId="28018" xr:uid="{00000000-0005-0000-0000-0000C30A0000}"/>
    <cellStyle name="Style 44 3 3 2 5 3" xfId="46381" xr:uid="{00000000-0005-0000-0000-0000C30A0000}"/>
    <cellStyle name="Style 44 3 3 2 6" xfId="13355" xr:uid="{00000000-0005-0000-0000-0000C30A0000}"/>
    <cellStyle name="Style 44 3 3 2 6 2" xfId="31776" xr:uid="{00000000-0005-0000-0000-0000C30A0000}"/>
    <cellStyle name="Style 44 3 3 2 6 3" xfId="50139" xr:uid="{00000000-0005-0000-0000-0000C30A0000}"/>
    <cellStyle name="Style 44 3 3 2 7" xfId="23307" xr:uid="{00000000-0005-0000-0000-0000C30A0000}"/>
    <cellStyle name="Style 44 3 3 2 7 2" xfId="41676" xr:uid="{00000000-0005-0000-0000-0000C30A0000}"/>
    <cellStyle name="Style 44 3 3 2 8" xfId="18374" xr:uid="{00000000-0005-0000-0000-0000C30A0000}"/>
    <cellStyle name="Style 44 3 3 2 9" xfId="36780" xr:uid="{00000000-0005-0000-0000-0000C30A0000}"/>
    <cellStyle name="Style 44 3 3 3" xfId="4388" xr:uid="{00000000-0005-0000-0000-0000C30A0000}"/>
    <cellStyle name="Style 44 3 3 3 2" xfId="10988" xr:uid="{00000000-0005-0000-0000-0000C30A0000}"/>
    <cellStyle name="Style 44 3 3 3 2 2" xfId="29610" xr:uid="{00000000-0005-0000-0000-0000C30A0000}"/>
    <cellStyle name="Style 44 3 3 3 2 3" xfId="47973" xr:uid="{00000000-0005-0000-0000-0000C30A0000}"/>
    <cellStyle name="Style 44 3 3 3 3" xfId="15124" xr:uid="{00000000-0005-0000-0000-0000C30A0000}"/>
    <cellStyle name="Style 44 3 3 3 3 2" xfId="33521" xr:uid="{00000000-0005-0000-0000-0000C30A0000}"/>
    <cellStyle name="Style 44 3 3 3 3 3" xfId="51884" xr:uid="{00000000-0005-0000-0000-0000C30A0000}"/>
    <cellStyle name="Style 44 3 3 3 4" xfId="24252" xr:uid="{00000000-0005-0000-0000-0000C30A0000}"/>
    <cellStyle name="Style 44 3 3 3 4 2" xfId="42621" xr:uid="{00000000-0005-0000-0000-0000C30A0000}"/>
    <cellStyle name="Style 44 3 3 3 5" xfId="20575" xr:uid="{00000000-0005-0000-0000-0000C30A0000}"/>
    <cellStyle name="Style 44 3 3 3 6" xfId="38968" xr:uid="{00000000-0005-0000-0000-0000C30A0000}"/>
    <cellStyle name="Style 44 3 3 4" xfId="5061" xr:uid="{00000000-0005-0000-0000-0000C30A0000}"/>
    <cellStyle name="Style 44 3 3 4 2" xfId="11583" xr:uid="{00000000-0005-0000-0000-0000C30A0000}"/>
    <cellStyle name="Style 44 3 3 4 2 2" xfId="30151" xr:uid="{00000000-0005-0000-0000-0000C30A0000}"/>
    <cellStyle name="Style 44 3 3 4 2 3" xfId="48514" xr:uid="{00000000-0005-0000-0000-0000C30A0000}"/>
    <cellStyle name="Style 44 3 3 4 3" xfId="15774" xr:uid="{00000000-0005-0000-0000-0000C30A0000}"/>
    <cellStyle name="Style 44 3 3 4 3 2" xfId="34161" xr:uid="{00000000-0005-0000-0000-0000C30A0000}"/>
    <cellStyle name="Style 44 3 3 4 3 3" xfId="52524" xr:uid="{00000000-0005-0000-0000-0000C30A0000}"/>
    <cellStyle name="Style 44 3 3 4 4" xfId="24897" xr:uid="{00000000-0005-0000-0000-0000C30A0000}"/>
    <cellStyle name="Style 44 3 3 4 4 2" xfId="43266" xr:uid="{00000000-0005-0000-0000-0000C30A0000}"/>
    <cellStyle name="Style 44 3 3 4 5" xfId="21222" xr:uid="{00000000-0005-0000-0000-0000C30A0000}"/>
    <cellStyle name="Style 44 3 3 4 6" xfId="39608" xr:uid="{00000000-0005-0000-0000-0000C30A0000}"/>
    <cellStyle name="Style 44 3 3 5" xfId="9846" xr:uid="{00000000-0005-0000-0000-0000C30A0000}"/>
    <cellStyle name="Style 44 3 3 5 2" xfId="13904" xr:uid="{00000000-0005-0000-0000-0000C30A0000}"/>
    <cellStyle name="Style 44 3 3 5 2 2" xfId="32322" xr:uid="{00000000-0005-0000-0000-0000C30A0000}"/>
    <cellStyle name="Style 44 3 3 5 2 3" xfId="50685" xr:uid="{00000000-0005-0000-0000-0000C30A0000}"/>
    <cellStyle name="Style 44 3 3 5 3" xfId="28560" xr:uid="{00000000-0005-0000-0000-0000C30A0000}"/>
    <cellStyle name="Style 44 3 3 5 3 2" xfId="46923" xr:uid="{00000000-0005-0000-0000-0000C30A0000}"/>
    <cellStyle name="Style 44 3 3 5 4" xfId="19096" xr:uid="{00000000-0005-0000-0000-0000C30A0000}"/>
    <cellStyle name="Style 44 3 3 5 5" xfId="37504" xr:uid="{00000000-0005-0000-0000-0000C30A0000}"/>
    <cellStyle name="Style 44 3 3 6" xfId="7650" xr:uid="{00000000-0005-0000-0000-0000C30A0000}"/>
    <cellStyle name="Style 44 3 3 6 2" xfId="26936" xr:uid="{00000000-0005-0000-0000-0000C30A0000}"/>
    <cellStyle name="Style 44 3 3 6 3" xfId="45301" xr:uid="{00000000-0005-0000-0000-0000C30A0000}"/>
    <cellStyle name="Style 44 3 3 7" xfId="7222" xr:uid="{00000000-0005-0000-0000-0000C30A0000}"/>
    <cellStyle name="Style 44 3 3 7 2" xfId="26765" xr:uid="{00000000-0005-0000-0000-0000C30A0000}"/>
    <cellStyle name="Style 44 3 3 7 3" xfId="45133" xr:uid="{00000000-0005-0000-0000-0000C30A0000}"/>
    <cellStyle name="Style 44 3 3 8" xfId="19445" xr:uid="{00000000-0005-0000-0000-0000C30A0000}"/>
    <cellStyle name="Style 44 3 3 8 2" xfId="37851" xr:uid="{00000000-0005-0000-0000-0000C30A0000}"/>
    <cellStyle name="Style 44 3 3 9" xfId="8250" xr:uid="{00000000-0005-0000-0000-0000C30A0000}"/>
    <cellStyle name="Style 44 3 4" xfId="1916" xr:uid="{00000000-0005-0000-0000-0000C40A0000}"/>
    <cellStyle name="Style 44 3 4 10" xfId="7671" xr:uid="{00000000-0005-0000-0000-0000C40A0000}"/>
    <cellStyle name="Style 44 3 4 2" xfId="3734" xr:uid="{00000000-0005-0000-0000-0000C40A0000}"/>
    <cellStyle name="Style 44 3 4 2 2" xfId="5907" xr:uid="{00000000-0005-0000-0000-0000C40A0000}"/>
    <cellStyle name="Style 44 3 4 2 2 2" xfId="12271" xr:uid="{00000000-0005-0000-0000-0000C40A0000}"/>
    <cellStyle name="Style 44 3 4 2 2 2 2" xfId="30718" xr:uid="{00000000-0005-0000-0000-0000C40A0000}"/>
    <cellStyle name="Style 44 3 4 2 2 2 3" xfId="49081" xr:uid="{00000000-0005-0000-0000-0000C40A0000}"/>
    <cellStyle name="Style 44 3 4 2 2 3" xfId="16597" xr:uid="{00000000-0005-0000-0000-0000C40A0000}"/>
    <cellStyle name="Style 44 3 4 2 2 3 2" xfId="34969" xr:uid="{00000000-0005-0000-0000-0000C40A0000}"/>
    <cellStyle name="Style 44 3 4 2 2 3 3" xfId="53332" xr:uid="{00000000-0005-0000-0000-0000C40A0000}"/>
    <cellStyle name="Style 44 3 4 2 2 4" xfId="25716" xr:uid="{00000000-0005-0000-0000-0000C40A0000}"/>
    <cellStyle name="Style 44 3 4 2 2 4 2" xfId="44085" xr:uid="{00000000-0005-0000-0000-0000C40A0000}"/>
    <cellStyle name="Style 44 3 4 2 2 5" xfId="22037" xr:uid="{00000000-0005-0000-0000-0000C40A0000}"/>
    <cellStyle name="Style 44 3 4 2 2 6" xfId="40416" xr:uid="{00000000-0005-0000-0000-0000C40A0000}"/>
    <cellStyle name="Style 44 3 4 2 3" xfId="6733" xr:uid="{00000000-0005-0000-0000-0000C40A0000}"/>
    <cellStyle name="Style 44 3 4 2 3 2" xfId="13024" xr:uid="{00000000-0005-0000-0000-0000C40A0000}"/>
    <cellStyle name="Style 44 3 4 2 3 2 2" xfId="31450" xr:uid="{00000000-0005-0000-0000-0000C40A0000}"/>
    <cellStyle name="Style 44 3 4 2 3 2 3" xfId="49813" xr:uid="{00000000-0005-0000-0000-0000C40A0000}"/>
    <cellStyle name="Style 44 3 4 2 3 3" xfId="17335" xr:uid="{00000000-0005-0000-0000-0000C40A0000}"/>
    <cellStyle name="Style 44 3 4 2 3 3 2" xfId="35683" xr:uid="{00000000-0005-0000-0000-0000C40A0000}"/>
    <cellStyle name="Style 44 3 4 2 3 3 3" xfId="54046" xr:uid="{00000000-0005-0000-0000-0000C40A0000}"/>
    <cellStyle name="Style 44 3 4 2 3 4" xfId="26468" xr:uid="{00000000-0005-0000-0000-0000C40A0000}"/>
    <cellStyle name="Style 44 3 4 2 3 4 2" xfId="44837" xr:uid="{00000000-0005-0000-0000-0000C40A0000}"/>
    <cellStyle name="Style 44 3 4 2 3 5" xfId="22761" xr:uid="{00000000-0005-0000-0000-0000C40A0000}"/>
    <cellStyle name="Style 44 3 4 2 3 6" xfId="41130" xr:uid="{00000000-0005-0000-0000-0000C40A0000}"/>
    <cellStyle name="Style 44 3 4 2 4" xfId="10447" xr:uid="{00000000-0005-0000-0000-0000C40A0000}"/>
    <cellStyle name="Style 44 3 4 2 4 2" xfId="14504" xr:uid="{00000000-0005-0000-0000-0000C40A0000}"/>
    <cellStyle name="Style 44 3 4 2 4 2 2" xfId="32920" xr:uid="{00000000-0005-0000-0000-0000C40A0000}"/>
    <cellStyle name="Style 44 3 4 2 4 2 3" xfId="51283" xr:uid="{00000000-0005-0000-0000-0000C40A0000}"/>
    <cellStyle name="Style 44 3 4 2 4 3" xfId="29158" xr:uid="{00000000-0005-0000-0000-0000C40A0000}"/>
    <cellStyle name="Style 44 3 4 2 4 3 2" xfId="47521" xr:uid="{00000000-0005-0000-0000-0000C40A0000}"/>
    <cellStyle name="Style 44 3 4 2 4 4" xfId="19961" xr:uid="{00000000-0005-0000-0000-0000C40A0000}"/>
    <cellStyle name="Style 44 3 4 2 4 5" xfId="38367" xr:uid="{00000000-0005-0000-0000-0000C40A0000}"/>
    <cellStyle name="Style 44 3 4 2 5" xfId="9663" xr:uid="{00000000-0005-0000-0000-0000C40A0000}"/>
    <cellStyle name="Style 44 3 4 2 5 2" xfId="28379" xr:uid="{00000000-0005-0000-0000-0000C40A0000}"/>
    <cellStyle name="Style 44 3 4 2 5 3" xfId="46742" xr:uid="{00000000-0005-0000-0000-0000C40A0000}"/>
    <cellStyle name="Style 44 3 4 2 6" xfId="13720" xr:uid="{00000000-0005-0000-0000-0000C40A0000}"/>
    <cellStyle name="Style 44 3 4 2 6 2" xfId="32141" xr:uid="{00000000-0005-0000-0000-0000C40A0000}"/>
    <cellStyle name="Style 44 3 4 2 6 3" xfId="50504" xr:uid="{00000000-0005-0000-0000-0000C40A0000}"/>
    <cellStyle name="Style 44 3 4 2 7" xfId="23642" xr:uid="{00000000-0005-0000-0000-0000C40A0000}"/>
    <cellStyle name="Style 44 3 4 2 7 2" xfId="42011" xr:uid="{00000000-0005-0000-0000-0000C40A0000}"/>
    <cellStyle name="Style 44 3 4 2 8" xfId="18788" xr:uid="{00000000-0005-0000-0000-0000C40A0000}"/>
    <cellStyle name="Style 44 3 4 2 9" xfId="37197" xr:uid="{00000000-0005-0000-0000-0000C40A0000}"/>
    <cellStyle name="Style 44 3 4 3" xfId="4827" xr:uid="{00000000-0005-0000-0000-0000C40A0000}"/>
    <cellStyle name="Style 44 3 4 3 2" xfId="11388" xr:uid="{00000000-0005-0000-0000-0000C40A0000}"/>
    <cellStyle name="Style 44 3 4 3 2 2" xfId="29980" xr:uid="{00000000-0005-0000-0000-0000C40A0000}"/>
    <cellStyle name="Style 44 3 4 3 2 3" xfId="48343" xr:uid="{00000000-0005-0000-0000-0000C40A0000}"/>
    <cellStyle name="Style 44 3 4 3 3" xfId="15553" xr:uid="{00000000-0005-0000-0000-0000C40A0000}"/>
    <cellStyle name="Style 44 3 4 3 3 2" xfId="33946" xr:uid="{00000000-0005-0000-0000-0000C40A0000}"/>
    <cellStyle name="Style 44 3 4 3 3 3" xfId="52309" xr:uid="{00000000-0005-0000-0000-0000C40A0000}"/>
    <cellStyle name="Style 44 3 4 3 4" xfId="24677" xr:uid="{00000000-0005-0000-0000-0000C40A0000}"/>
    <cellStyle name="Style 44 3 4 3 4 2" xfId="43046" xr:uid="{00000000-0005-0000-0000-0000C40A0000}"/>
    <cellStyle name="Style 44 3 4 3 5" xfId="21004" xr:uid="{00000000-0005-0000-0000-0000C40A0000}"/>
    <cellStyle name="Style 44 3 4 3 6" xfId="39393" xr:uid="{00000000-0005-0000-0000-0000C40A0000}"/>
    <cellStyle name="Style 44 3 4 4" xfId="71" xr:uid="{00000000-0005-0000-0000-0000C40A0000}"/>
    <cellStyle name="Style 44 3 4 4 2" xfId="9154" xr:uid="{00000000-0005-0000-0000-0000C40A0000}"/>
    <cellStyle name="Style 44 3 4 4 2 2" xfId="27876" xr:uid="{00000000-0005-0000-0000-0000C40A0000}"/>
    <cellStyle name="Style 44 3 4 4 2 3" xfId="46239" xr:uid="{00000000-0005-0000-0000-0000C40A0000}"/>
    <cellStyle name="Style 44 3 4 4 3" xfId="13212" xr:uid="{00000000-0005-0000-0000-0000C40A0000}"/>
    <cellStyle name="Style 44 3 4 4 3 2" xfId="31634" xr:uid="{00000000-0005-0000-0000-0000C40A0000}"/>
    <cellStyle name="Style 44 3 4 4 3 3" xfId="49997" xr:uid="{00000000-0005-0000-0000-0000C40A0000}"/>
    <cellStyle name="Style 44 3 4 4 4" xfId="18800" xr:uid="{00000000-0005-0000-0000-0000C40A0000}"/>
    <cellStyle name="Style 44 3 4 4 4 2" xfId="37209" xr:uid="{00000000-0005-0000-0000-0000C40A0000}"/>
    <cellStyle name="Style 44 3 4 4 5" xfId="18146" xr:uid="{00000000-0005-0000-0000-0000C40A0000}"/>
    <cellStyle name="Style 44 3 4 4 6" xfId="36553" xr:uid="{00000000-0005-0000-0000-0000C40A0000}"/>
    <cellStyle name="Style 44 3 4 5" xfId="9037" xr:uid="{00000000-0005-0000-0000-0000C40A0000}"/>
    <cellStyle name="Style 44 3 4 5 2" xfId="6912" xr:uid="{00000000-0005-0000-0000-0000C40A0000}"/>
    <cellStyle name="Style 44 3 4 5 2 2" xfId="26647" xr:uid="{00000000-0005-0000-0000-0000C40A0000}"/>
    <cellStyle name="Style 44 3 4 5 2 3" xfId="45016" xr:uid="{00000000-0005-0000-0000-0000C40A0000}"/>
    <cellStyle name="Style 44 3 4 5 3" xfId="27763" xr:uid="{00000000-0005-0000-0000-0000C40A0000}"/>
    <cellStyle name="Style 44 3 4 5 3 2" xfId="46126" xr:uid="{00000000-0005-0000-0000-0000C40A0000}"/>
    <cellStyle name="Style 44 3 4 5 4" xfId="17932" xr:uid="{00000000-0005-0000-0000-0000C40A0000}"/>
    <cellStyle name="Style 44 3 4 5 5" xfId="36340" xr:uid="{00000000-0005-0000-0000-0000C40A0000}"/>
    <cellStyle name="Style 44 3 4 6" xfId="8115" xr:uid="{00000000-0005-0000-0000-0000C40A0000}"/>
    <cellStyle name="Style 44 3 4 6 2" xfId="27320" xr:uid="{00000000-0005-0000-0000-0000C40A0000}"/>
    <cellStyle name="Style 44 3 4 6 3" xfId="45685" xr:uid="{00000000-0005-0000-0000-0000C40A0000}"/>
    <cellStyle name="Style 44 3 4 7" xfId="8694" xr:uid="{00000000-0005-0000-0000-0000C40A0000}"/>
    <cellStyle name="Style 44 3 4 7 2" xfId="27588" xr:uid="{00000000-0005-0000-0000-0000C40A0000}"/>
    <cellStyle name="Style 44 3 4 7 3" xfId="45951" xr:uid="{00000000-0005-0000-0000-0000C40A0000}"/>
    <cellStyle name="Style 44 3 4 8" xfId="18868" xr:uid="{00000000-0005-0000-0000-0000C40A0000}"/>
    <cellStyle name="Style 44 3 4 8 2" xfId="37277" xr:uid="{00000000-0005-0000-0000-0000C40A0000}"/>
    <cellStyle name="Style 44 3 4 9" xfId="7535" xr:uid="{00000000-0005-0000-0000-0000C40A0000}"/>
    <cellStyle name="Style 44 3 5" xfId="2331" xr:uid="{00000000-0005-0000-0000-0000C50A0000}"/>
    <cellStyle name="Style 44 3 5 10" xfId="8919" xr:uid="{00000000-0005-0000-0000-0000C50A0000}"/>
    <cellStyle name="Style 44 3 5 2" xfId="3779" xr:uid="{00000000-0005-0000-0000-0000C50A0000}"/>
    <cellStyle name="Style 44 3 5 2 2" xfId="5952" xr:uid="{00000000-0005-0000-0000-0000C50A0000}"/>
    <cellStyle name="Style 44 3 5 2 2 2" xfId="12316" xr:uid="{00000000-0005-0000-0000-0000C50A0000}"/>
    <cellStyle name="Style 44 3 5 2 2 2 2" xfId="30763" xr:uid="{00000000-0005-0000-0000-0000C50A0000}"/>
    <cellStyle name="Style 44 3 5 2 2 2 3" xfId="49126" xr:uid="{00000000-0005-0000-0000-0000C50A0000}"/>
    <cellStyle name="Style 44 3 5 2 2 3" xfId="16642" xr:uid="{00000000-0005-0000-0000-0000C50A0000}"/>
    <cellStyle name="Style 44 3 5 2 2 3 2" xfId="35014" xr:uid="{00000000-0005-0000-0000-0000C50A0000}"/>
    <cellStyle name="Style 44 3 5 2 2 3 3" xfId="53377" xr:uid="{00000000-0005-0000-0000-0000C50A0000}"/>
    <cellStyle name="Style 44 3 5 2 2 4" xfId="25761" xr:uid="{00000000-0005-0000-0000-0000C50A0000}"/>
    <cellStyle name="Style 44 3 5 2 2 4 2" xfId="44130" xr:uid="{00000000-0005-0000-0000-0000C50A0000}"/>
    <cellStyle name="Style 44 3 5 2 2 5" xfId="22082" xr:uid="{00000000-0005-0000-0000-0000C50A0000}"/>
    <cellStyle name="Style 44 3 5 2 2 6" xfId="40461" xr:uid="{00000000-0005-0000-0000-0000C50A0000}"/>
    <cellStyle name="Style 44 3 5 2 3" xfId="6778" xr:uid="{00000000-0005-0000-0000-0000C50A0000}"/>
    <cellStyle name="Style 44 3 5 2 3 2" xfId="13069" xr:uid="{00000000-0005-0000-0000-0000C50A0000}"/>
    <cellStyle name="Style 44 3 5 2 3 2 2" xfId="31495" xr:uid="{00000000-0005-0000-0000-0000C50A0000}"/>
    <cellStyle name="Style 44 3 5 2 3 2 3" xfId="49858" xr:uid="{00000000-0005-0000-0000-0000C50A0000}"/>
    <cellStyle name="Style 44 3 5 2 3 3" xfId="17380" xr:uid="{00000000-0005-0000-0000-0000C50A0000}"/>
    <cellStyle name="Style 44 3 5 2 3 3 2" xfId="35728" xr:uid="{00000000-0005-0000-0000-0000C50A0000}"/>
    <cellStyle name="Style 44 3 5 2 3 3 3" xfId="54091" xr:uid="{00000000-0005-0000-0000-0000C50A0000}"/>
    <cellStyle name="Style 44 3 5 2 3 4" xfId="26513" xr:uid="{00000000-0005-0000-0000-0000C50A0000}"/>
    <cellStyle name="Style 44 3 5 2 3 4 2" xfId="44882" xr:uid="{00000000-0005-0000-0000-0000C50A0000}"/>
    <cellStyle name="Style 44 3 5 2 3 5" xfId="22806" xr:uid="{00000000-0005-0000-0000-0000C50A0000}"/>
    <cellStyle name="Style 44 3 5 2 3 6" xfId="41175" xr:uid="{00000000-0005-0000-0000-0000C50A0000}"/>
    <cellStyle name="Style 44 3 5 2 4" xfId="10492" xr:uid="{00000000-0005-0000-0000-0000C50A0000}"/>
    <cellStyle name="Style 44 3 5 2 4 2" xfId="14549" xr:uid="{00000000-0005-0000-0000-0000C50A0000}"/>
    <cellStyle name="Style 44 3 5 2 4 2 2" xfId="32965" xr:uid="{00000000-0005-0000-0000-0000C50A0000}"/>
    <cellStyle name="Style 44 3 5 2 4 2 3" xfId="51328" xr:uid="{00000000-0005-0000-0000-0000C50A0000}"/>
    <cellStyle name="Style 44 3 5 2 4 3" xfId="29203" xr:uid="{00000000-0005-0000-0000-0000C50A0000}"/>
    <cellStyle name="Style 44 3 5 2 4 3 2" xfId="47566" xr:uid="{00000000-0005-0000-0000-0000C50A0000}"/>
    <cellStyle name="Style 44 3 5 2 4 4" xfId="20006" xr:uid="{00000000-0005-0000-0000-0000C50A0000}"/>
    <cellStyle name="Style 44 3 5 2 4 5" xfId="38412" xr:uid="{00000000-0005-0000-0000-0000C50A0000}"/>
    <cellStyle name="Style 44 3 5 2 5" xfId="9763" xr:uid="{00000000-0005-0000-0000-0000C50A0000}"/>
    <cellStyle name="Style 44 3 5 2 5 2" xfId="28478" xr:uid="{00000000-0005-0000-0000-0000C50A0000}"/>
    <cellStyle name="Style 44 3 5 2 5 3" xfId="46841" xr:uid="{00000000-0005-0000-0000-0000C50A0000}"/>
    <cellStyle name="Style 44 3 5 2 6" xfId="13820" xr:uid="{00000000-0005-0000-0000-0000C50A0000}"/>
    <cellStyle name="Style 44 3 5 2 6 2" xfId="32240" xr:uid="{00000000-0005-0000-0000-0000C50A0000}"/>
    <cellStyle name="Style 44 3 5 2 6 3" xfId="50603" xr:uid="{00000000-0005-0000-0000-0000C50A0000}"/>
    <cellStyle name="Style 44 3 5 2 7" xfId="23687" xr:uid="{00000000-0005-0000-0000-0000C50A0000}"/>
    <cellStyle name="Style 44 3 5 2 7 2" xfId="42056" xr:uid="{00000000-0005-0000-0000-0000C50A0000}"/>
    <cellStyle name="Style 44 3 5 2 8" xfId="18945" xr:uid="{00000000-0005-0000-0000-0000C50A0000}"/>
    <cellStyle name="Style 44 3 5 2 9" xfId="37354" xr:uid="{00000000-0005-0000-0000-0000C50A0000}"/>
    <cellStyle name="Style 44 3 5 3" xfId="4979" xr:uid="{00000000-0005-0000-0000-0000C50A0000}"/>
    <cellStyle name="Style 44 3 5 3 2" xfId="11509" xr:uid="{00000000-0005-0000-0000-0000C50A0000}"/>
    <cellStyle name="Style 44 3 5 3 2 2" xfId="30082" xr:uid="{00000000-0005-0000-0000-0000C50A0000}"/>
    <cellStyle name="Style 44 3 5 3 2 3" xfId="48445" xr:uid="{00000000-0005-0000-0000-0000C50A0000}"/>
    <cellStyle name="Style 44 3 5 3 3" xfId="15695" xr:uid="{00000000-0005-0000-0000-0000C50A0000}"/>
    <cellStyle name="Style 44 3 5 3 3 2" xfId="34084" xr:uid="{00000000-0005-0000-0000-0000C50A0000}"/>
    <cellStyle name="Style 44 3 5 3 3 3" xfId="52447" xr:uid="{00000000-0005-0000-0000-0000C50A0000}"/>
    <cellStyle name="Style 44 3 5 3 4" xfId="24819" xr:uid="{00000000-0005-0000-0000-0000C50A0000}"/>
    <cellStyle name="Style 44 3 5 3 4 2" xfId="43188" xr:uid="{00000000-0005-0000-0000-0000C50A0000}"/>
    <cellStyle name="Style 44 3 5 3 5" xfId="21144" xr:uid="{00000000-0005-0000-0000-0000C50A0000}"/>
    <cellStyle name="Style 44 3 5 3 6" xfId="39531" xr:uid="{00000000-0005-0000-0000-0000C50A0000}"/>
    <cellStyle name="Style 44 3 5 4" xfId="6119" xr:uid="{00000000-0005-0000-0000-0000C50A0000}"/>
    <cellStyle name="Style 44 3 5 4 2" xfId="12473" xr:uid="{00000000-0005-0000-0000-0000C50A0000}"/>
    <cellStyle name="Style 44 3 5 4 2 2" xfId="30913" xr:uid="{00000000-0005-0000-0000-0000C50A0000}"/>
    <cellStyle name="Style 44 3 5 4 2 3" xfId="49276" xr:uid="{00000000-0005-0000-0000-0000C50A0000}"/>
    <cellStyle name="Style 44 3 5 4 3" xfId="16792" xr:uid="{00000000-0005-0000-0000-0000C50A0000}"/>
    <cellStyle name="Style 44 3 5 4 3 2" xfId="35161" xr:uid="{00000000-0005-0000-0000-0000C50A0000}"/>
    <cellStyle name="Style 44 3 5 4 3 3" xfId="53524" xr:uid="{00000000-0005-0000-0000-0000C50A0000}"/>
    <cellStyle name="Style 44 3 5 4 4" xfId="25915" xr:uid="{00000000-0005-0000-0000-0000C50A0000}"/>
    <cellStyle name="Style 44 3 5 4 4 2" xfId="44284" xr:uid="{00000000-0005-0000-0000-0000C50A0000}"/>
    <cellStyle name="Style 44 3 5 4 5" xfId="22231" xr:uid="{00000000-0005-0000-0000-0000C50A0000}"/>
    <cellStyle name="Style 44 3 5 4 6" xfId="40608" xr:uid="{00000000-0005-0000-0000-0000C50A0000}"/>
    <cellStyle name="Style 44 3 5 5" xfId="9934" xr:uid="{00000000-0005-0000-0000-0000C50A0000}"/>
    <cellStyle name="Style 44 3 5 5 2" xfId="13991" xr:uid="{00000000-0005-0000-0000-0000C50A0000}"/>
    <cellStyle name="Style 44 3 5 5 2 2" xfId="32408" xr:uid="{00000000-0005-0000-0000-0000C50A0000}"/>
    <cellStyle name="Style 44 3 5 5 2 3" xfId="50771" xr:uid="{00000000-0005-0000-0000-0000C50A0000}"/>
    <cellStyle name="Style 44 3 5 5 3" xfId="28646" xr:uid="{00000000-0005-0000-0000-0000C50A0000}"/>
    <cellStyle name="Style 44 3 5 5 3 2" xfId="47009" xr:uid="{00000000-0005-0000-0000-0000C50A0000}"/>
    <cellStyle name="Style 44 3 5 5 4" xfId="19240" xr:uid="{00000000-0005-0000-0000-0000C50A0000}"/>
    <cellStyle name="Style 44 3 5 5 5" xfId="37647" xr:uid="{00000000-0005-0000-0000-0000C50A0000}"/>
    <cellStyle name="Style 44 3 5 6" xfId="8372" xr:uid="{00000000-0005-0000-0000-0000C50A0000}"/>
    <cellStyle name="Style 44 3 5 6 2" xfId="27439" xr:uid="{00000000-0005-0000-0000-0000C50A0000}"/>
    <cellStyle name="Style 44 3 5 6 3" xfId="45803" xr:uid="{00000000-0005-0000-0000-0000C50A0000}"/>
    <cellStyle name="Style 44 3 5 7" xfId="8209" xr:uid="{00000000-0005-0000-0000-0000C50A0000}"/>
    <cellStyle name="Style 44 3 5 7 2" xfId="27372" xr:uid="{00000000-0005-0000-0000-0000C50A0000}"/>
    <cellStyle name="Style 44 3 5 7 3" xfId="45737" xr:uid="{00000000-0005-0000-0000-0000C50A0000}"/>
    <cellStyle name="Style 44 3 5 8" xfId="17887" xr:uid="{00000000-0005-0000-0000-0000C50A0000}"/>
    <cellStyle name="Style 44 3 5 8 2" xfId="36297" xr:uid="{00000000-0005-0000-0000-0000C50A0000}"/>
    <cellStyle name="Style 44 3 5 9" xfId="7256" xr:uid="{00000000-0005-0000-0000-0000C50A0000}"/>
    <cellStyle name="Style 44 3 6" xfId="2778" xr:uid="{00000000-0005-0000-0000-0000C60A0000}"/>
    <cellStyle name="Style 44 3 6 10" xfId="35919" xr:uid="{00000000-0005-0000-0000-0000C60A0000}"/>
    <cellStyle name="Style 44 3 6 2" xfId="3815" xr:uid="{00000000-0005-0000-0000-0000C60A0000}"/>
    <cellStyle name="Style 44 3 6 2 2" xfId="5988" xr:uid="{00000000-0005-0000-0000-0000C60A0000}"/>
    <cellStyle name="Style 44 3 6 2 2 2" xfId="12352" xr:uid="{00000000-0005-0000-0000-0000C60A0000}"/>
    <cellStyle name="Style 44 3 6 2 2 2 2" xfId="30799" xr:uid="{00000000-0005-0000-0000-0000C60A0000}"/>
    <cellStyle name="Style 44 3 6 2 2 2 3" xfId="49162" xr:uid="{00000000-0005-0000-0000-0000C60A0000}"/>
    <cellStyle name="Style 44 3 6 2 2 3" xfId="16678" xr:uid="{00000000-0005-0000-0000-0000C60A0000}"/>
    <cellStyle name="Style 44 3 6 2 2 3 2" xfId="35050" xr:uid="{00000000-0005-0000-0000-0000C60A0000}"/>
    <cellStyle name="Style 44 3 6 2 2 3 3" xfId="53413" xr:uid="{00000000-0005-0000-0000-0000C60A0000}"/>
    <cellStyle name="Style 44 3 6 2 2 4" xfId="25797" xr:uid="{00000000-0005-0000-0000-0000C60A0000}"/>
    <cellStyle name="Style 44 3 6 2 2 4 2" xfId="44166" xr:uid="{00000000-0005-0000-0000-0000C60A0000}"/>
    <cellStyle name="Style 44 3 6 2 2 5" xfId="22118" xr:uid="{00000000-0005-0000-0000-0000C60A0000}"/>
    <cellStyle name="Style 44 3 6 2 2 6" xfId="40497" xr:uid="{00000000-0005-0000-0000-0000C60A0000}"/>
    <cellStyle name="Style 44 3 6 2 3" xfId="6814" xr:uid="{00000000-0005-0000-0000-0000C60A0000}"/>
    <cellStyle name="Style 44 3 6 2 3 2" xfId="13105" xr:uid="{00000000-0005-0000-0000-0000C60A0000}"/>
    <cellStyle name="Style 44 3 6 2 3 2 2" xfId="31531" xr:uid="{00000000-0005-0000-0000-0000C60A0000}"/>
    <cellStyle name="Style 44 3 6 2 3 2 3" xfId="49894" xr:uid="{00000000-0005-0000-0000-0000C60A0000}"/>
    <cellStyle name="Style 44 3 6 2 3 3" xfId="17416" xr:uid="{00000000-0005-0000-0000-0000C60A0000}"/>
    <cellStyle name="Style 44 3 6 2 3 3 2" xfId="35764" xr:uid="{00000000-0005-0000-0000-0000C60A0000}"/>
    <cellStyle name="Style 44 3 6 2 3 3 3" xfId="54127" xr:uid="{00000000-0005-0000-0000-0000C60A0000}"/>
    <cellStyle name="Style 44 3 6 2 3 4" xfId="26549" xr:uid="{00000000-0005-0000-0000-0000C60A0000}"/>
    <cellStyle name="Style 44 3 6 2 3 4 2" xfId="44918" xr:uid="{00000000-0005-0000-0000-0000C60A0000}"/>
    <cellStyle name="Style 44 3 6 2 3 5" xfId="22842" xr:uid="{00000000-0005-0000-0000-0000C60A0000}"/>
    <cellStyle name="Style 44 3 6 2 3 6" xfId="41211" xr:uid="{00000000-0005-0000-0000-0000C60A0000}"/>
    <cellStyle name="Style 44 3 6 2 4" xfId="10528" xr:uid="{00000000-0005-0000-0000-0000C60A0000}"/>
    <cellStyle name="Style 44 3 6 2 4 2" xfId="14585" xr:uid="{00000000-0005-0000-0000-0000C60A0000}"/>
    <cellStyle name="Style 44 3 6 2 4 2 2" xfId="33001" xr:uid="{00000000-0005-0000-0000-0000C60A0000}"/>
    <cellStyle name="Style 44 3 6 2 4 2 3" xfId="51364" xr:uid="{00000000-0005-0000-0000-0000C60A0000}"/>
    <cellStyle name="Style 44 3 6 2 4 3" xfId="29239" xr:uid="{00000000-0005-0000-0000-0000C60A0000}"/>
    <cellStyle name="Style 44 3 6 2 4 3 2" xfId="47602" xr:uid="{00000000-0005-0000-0000-0000C60A0000}"/>
    <cellStyle name="Style 44 3 6 2 4 4" xfId="20042" xr:uid="{00000000-0005-0000-0000-0000C60A0000}"/>
    <cellStyle name="Style 44 3 6 2 4 5" xfId="38448" xr:uid="{00000000-0005-0000-0000-0000C60A0000}"/>
    <cellStyle name="Style 44 3 6 2 5" xfId="9861" xr:uid="{00000000-0005-0000-0000-0000C60A0000}"/>
    <cellStyle name="Style 44 3 6 2 5 2" xfId="28575" xr:uid="{00000000-0005-0000-0000-0000C60A0000}"/>
    <cellStyle name="Style 44 3 6 2 5 3" xfId="46938" xr:uid="{00000000-0005-0000-0000-0000C60A0000}"/>
    <cellStyle name="Style 44 3 6 2 6" xfId="13919" xr:uid="{00000000-0005-0000-0000-0000C60A0000}"/>
    <cellStyle name="Style 44 3 6 2 6 2" xfId="32337" xr:uid="{00000000-0005-0000-0000-0000C60A0000}"/>
    <cellStyle name="Style 44 3 6 2 6 3" xfId="50700" xr:uid="{00000000-0005-0000-0000-0000C60A0000}"/>
    <cellStyle name="Style 44 3 6 2 7" xfId="23723" xr:uid="{00000000-0005-0000-0000-0000C60A0000}"/>
    <cellStyle name="Style 44 3 6 2 7 2" xfId="42092" xr:uid="{00000000-0005-0000-0000-0000C60A0000}"/>
    <cellStyle name="Style 44 3 6 2 8" xfId="19115" xr:uid="{00000000-0005-0000-0000-0000C60A0000}"/>
    <cellStyle name="Style 44 3 6 2 9" xfId="37523" xr:uid="{00000000-0005-0000-0000-0000C60A0000}"/>
    <cellStyle name="Style 44 3 6 3" xfId="5139" xr:uid="{00000000-0005-0000-0000-0000C60A0000}"/>
    <cellStyle name="Style 44 3 6 3 2" xfId="11644" xr:uid="{00000000-0005-0000-0000-0000C60A0000}"/>
    <cellStyle name="Style 44 3 6 3 2 2" xfId="30192" xr:uid="{00000000-0005-0000-0000-0000C60A0000}"/>
    <cellStyle name="Style 44 3 6 3 2 3" xfId="48555" xr:uid="{00000000-0005-0000-0000-0000C60A0000}"/>
    <cellStyle name="Style 44 3 6 3 3" xfId="15843" xr:uid="{00000000-0005-0000-0000-0000C60A0000}"/>
    <cellStyle name="Style 44 3 6 3 3 2" xfId="34227" xr:uid="{00000000-0005-0000-0000-0000C60A0000}"/>
    <cellStyle name="Style 44 3 6 3 3 3" xfId="52590" xr:uid="{00000000-0005-0000-0000-0000C60A0000}"/>
    <cellStyle name="Style 44 3 6 3 4" xfId="24966" xr:uid="{00000000-0005-0000-0000-0000C60A0000}"/>
    <cellStyle name="Style 44 3 6 3 4 2" xfId="43335" xr:uid="{00000000-0005-0000-0000-0000C60A0000}"/>
    <cellStyle name="Style 44 3 6 3 5" xfId="21289" xr:uid="{00000000-0005-0000-0000-0000C60A0000}"/>
    <cellStyle name="Style 44 3 6 3 6" xfId="39674" xr:uid="{00000000-0005-0000-0000-0000C60A0000}"/>
    <cellStyle name="Style 44 3 6 4" xfId="6189" xr:uid="{00000000-0005-0000-0000-0000C60A0000}"/>
    <cellStyle name="Style 44 3 6 4 2" xfId="12524" xr:uid="{00000000-0005-0000-0000-0000C60A0000}"/>
    <cellStyle name="Style 44 3 6 4 2 2" xfId="30956" xr:uid="{00000000-0005-0000-0000-0000C60A0000}"/>
    <cellStyle name="Style 44 3 6 4 2 3" xfId="49319" xr:uid="{00000000-0005-0000-0000-0000C60A0000}"/>
    <cellStyle name="Style 44 3 6 4 3" xfId="16839" xr:uid="{00000000-0005-0000-0000-0000C60A0000}"/>
    <cellStyle name="Style 44 3 6 4 3 2" xfId="35199" xr:uid="{00000000-0005-0000-0000-0000C60A0000}"/>
    <cellStyle name="Style 44 3 6 4 3 3" xfId="53562" xr:uid="{00000000-0005-0000-0000-0000C60A0000}"/>
    <cellStyle name="Style 44 3 6 4 4" xfId="25966" xr:uid="{00000000-0005-0000-0000-0000C60A0000}"/>
    <cellStyle name="Style 44 3 6 4 4 2" xfId="44335" xr:uid="{00000000-0005-0000-0000-0000C60A0000}"/>
    <cellStyle name="Style 44 3 6 4 5" xfId="22273" xr:uid="{00000000-0005-0000-0000-0000C60A0000}"/>
    <cellStyle name="Style 44 3 6 4 6" xfId="40646" xr:uid="{00000000-0005-0000-0000-0000C60A0000}"/>
    <cellStyle name="Style 44 3 6 5" xfId="10021" xr:uid="{00000000-0005-0000-0000-0000C60A0000}"/>
    <cellStyle name="Style 44 3 6 5 2" xfId="14078" xr:uid="{00000000-0005-0000-0000-0000C60A0000}"/>
    <cellStyle name="Style 44 3 6 5 2 2" xfId="32494" xr:uid="{00000000-0005-0000-0000-0000C60A0000}"/>
    <cellStyle name="Style 44 3 6 5 2 3" xfId="50857" xr:uid="{00000000-0005-0000-0000-0000C60A0000}"/>
    <cellStyle name="Style 44 3 6 5 3" xfId="28732" xr:uid="{00000000-0005-0000-0000-0000C60A0000}"/>
    <cellStyle name="Style 44 3 6 5 3 2" xfId="47095" xr:uid="{00000000-0005-0000-0000-0000C60A0000}"/>
    <cellStyle name="Style 44 3 6 5 4" xfId="19400" xr:uid="{00000000-0005-0000-0000-0000C60A0000}"/>
    <cellStyle name="Style 44 3 6 5 5" xfId="37806" xr:uid="{00000000-0005-0000-0000-0000C60A0000}"/>
    <cellStyle name="Style 44 3 6 6" xfId="8648" xr:uid="{00000000-0005-0000-0000-0000C60A0000}"/>
    <cellStyle name="Style 44 3 6 6 2" xfId="27556" xr:uid="{00000000-0005-0000-0000-0000C60A0000}"/>
    <cellStyle name="Style 44 3 6 6 3" xfId="45919" xr:uid="{00000000-0005-0000-0000-0000C60A0000}"/>
    <cellStyle name="Style 44 3 6 7" xfId="8876" xr:uid="{00000000-0005-0000-0000-0000C60A0000}"/>
    <cellStyle name="Style 44 3 6 7 2" xfId="27663" xr:uid="{00000000-0005-0000-0000-0000C60A0000}"/>
    <cellStyle name="Style 44 3 6 7 3" xfId="46026" xr:uid="{00000000-0005-0000-0000-0000C60A0000}"/>
    <cellStyle name="Style 44 3 6 8" xfId="18762" xr:uid="{00000000-0005-0000-0000-0000C60A0000}"/>
    <cellStyle name="Style 44 3 6 8 2" xfId="37171" xr:uid="{00000000-0005-0000-0000-0000C60A0000}"/>
    <cellStyle name="Style 44 3 6 9" xfId="10902" xr:uid="{00000000-0005-0000-0000-0000C60A0000}"/>
    <cellStyle name="Style 44 3 7" xfId="4196" xr:uid="{00000000-0005-0000-0000-0000C10A0000}"/>
    <cellStyle name="Style 44 3 7 2" xfId="10845" xr:uid="{00000000-0005-0000-0000-0000C10A0000}"/>
    <cellStyle name="Style 44 3 7 2 2" xfId="29516" xr:uid="{00000000-0005-0000-0000-0000C10A0000}"/>
    <cellStyle name="Style 44 3 7 2 3" xfId="47879" xr:uid="{00000000-0005-0000-0000-0000C10A0000}"/>
    <cellStyle name="Style 44 3 7 3" xfId="14942" xr:uid="{00000000-0005-0000-0000-0000C10A0000}"/>
    <cellStyle name="Style 44 3 7 3 2" xfId="33346" xr:uid="{00000000-0005-0000-0000-0000C10A0000}"/>
    <cellStyle name="Style 44 3 7 3 3" xfId="51709" xr:uid="{00000000-0005-0000-0000-0000C10A0000}"/>
    <cellStyle name="Style 44 3 7 4" xfId="24075" xr:uid="{00000000-0005-0000-0000-0000C10A0000}"/>
    <cellStyle name="Style 44 3 7 4 2" xfId="42444" xr:uid="{00000000-0005-0000-0000-0000C10A0000}"/>
    <cellStyle name="Style 44 3 7 5" xfId="20395" xr:uid="{00000000-0005-0000-0000-0000C10A0000}"/>
    <cellStyle name="Style 44 3 7 6" xfId="38793" xr:uid="{00000000-0005-0000-0000-0000C10A0000}"/>
    <cellStyle name="Style 44 3 8" xfId="9912" xr:uid="{00000000-0005-0000-0000-0000C10A0000}"/>
    <cellStyle name="Style 44 3 8 2" xfId="13969" xr:uid="{00000000-0005-0000-0000-0000C10A0000}"/>
    <cellStyle name="Style 44 3 8 2 2" xfId="32386" xr:uid="{00000000-0005-0000-0000-0000C10A0000}"/>
    <cellStyle name="Style 44 3 8 2 3" xfId="50749" xr:uid="{00000000-0005-0000-0000-0000C10A0000}"/>
    <cellStyle name="Style 44 3 8 3" xfId="28624" xr:uid="{00000000-0005-0000-0000-0000C10A0000}"/>
    <cellStyle name="Style 44 3 8 3 2" xfId="46987" xr:uid="{00000000-0005-0000-0000-0000C10A0000}"/>
    <cellStyle name="Style 44 3 8 4" xfId="19215" xr:uid="{00000000-0005-0000-0000-0000C10A0000}"/>
    <cellStyle name="Style 44 3 8 5" xfId="37622" xr:uid="{00000000-0005-0000-0000-0000C10A0000}"/>
    <cellStyle name="Style 44 3 9" xfId="7460" xr:uid="{00000000-0005-0000-0000-0000C10A0000}"/>
    <cellStyle name="Style 44 3 9 2" xfId="26835" xr:uid="{00000000-0005-0000-0000-0000C10A0000}"/>
    <cellStyle name="Style 44 3 9 3" xfId="45200" xr:uid="{00000000-0005-0000-0000-0000C10A0000}"/>
    <cellStyle name="Style 44 4" xfId="1205" xr:uid="{00000000-0005-0000-0000-0000C70A0000}"/>
    <cellStyle name="Style 44 4 2" xfId="1628" xr:uid="{00000000-0005-0000-0000-0000C80A0000}"/>
    <cellStyle name="Style 44 4 2 10" xfId="8057" xr:uid="{00000000-0005-0000-0000-0000C80A0000}"/>
    <cellStyle name="Style 44 4 2 11" xfId="7001" xr:uid="{00000000-0005-0000-0000-0000C80A0000}"/>
    <cellStyle name="Style 44 4 2 2" xfId="1711" xr:uid="{00000000-0005-0000-0000-0000C90A0000}"/>
    <cellStyle name="Style 44 4 2 2 2" xfId="3608" xr:uid="{00000000-0005-0000-0000-0000C90A0000}"/>
    <cellStyle name="Style 44 4 2 2 2 2" xfId="5781" xr:uid="{00000000-0005-0000-0000-0000C90A0000}"/>
    <cellStyle name="Style 44 4 2 2 2 2 2" xfId="12145" xr:uid="{00000000-0005-0000-0000-0000C90A0000}"/>
    <cellStyle name="Style 44 4 2 2 2 2 2 2" xfId="30592" xr:uid="{00000000-0005-0000-0000-0000C90A0000}"/>
    <cellStyle name="Style 44 4 2 2 2 2 2 3" xfId="48955" xr:uid="{00000000-0005-0000-0000-0000C90A0000}"/>
    <cellStyle name="Style 44 4 2 2 2 2 3" xfId="16471" xr:uid="{00000000-0005-0000-0000-0000C90A0000}"/>
    <cellStyle name="Style 44 4 2 2 2 2 3 2" xfId="34843" xr:uid="{00000000-0005-0000-0000-0000C90A0000}"/>
    <cellStyle name="Style 44 4 2 2 2 2 3 3" xfId="53206" xr:uid="{00000000-0005-0000-0000-0000C90A0000}"/>
    <cellStyle name="Style 44 4 2 2 2 2 4" xfId="25590" xr:uid="{00000000-0005-0000-0000-0000C90A0000}"/>
    <cellStyle name="Style 44 4 2 2 2 2 4 2" xfId="43959" xr:uid="{00000000-0005-0000-0000-0000C90A0000}"/>
    <cellStyle name="Style 44 4 2 2 2 2 5" xfId="21911" xr:uid="{00000000-0005-0000-0000-0000C90A0000}"/>
    <cellStyle name="Style 44 4 2 2 2 2 6" xfId="40290" xr:uid="{00000000-0005-0000-0000-0000C90A0000}"/>
    <cellStyle name="Style 44 4 2 2 2 3" xfId="6607" xr:uid="{00000000-0005-0000-0000-0000C90A0000}"/>
    <cellStyle name="Style 44 4 2 2 2 3 2" xfId="12898" xr:uid="{00000000-0005-0000-0000-0000C90A0000}"/>
    <cellStyle name="Style 44 4 2 2 2 3 2 2" xfId="31324" xr:uid="{00000000-0005-0000-0000-0000C90A0000}"/>
    <cellStyle name="Style 44 4 2 2 2 3 2 3" xfId="49687" xr:uid="{00000000-0005-0000-0000-0000C90A0000}"/>
    <cellStyle name="Style 44 4 2 2 2 3 3" xfId="17209" xr:uid="{00000000-0005-0000-0000-0000C90A0000}"/>
    <cellStyle name="Style 44 4 2 2 2 3 3 2" xfId="35557" xr:uid="{00000000-0005-0000-0000-0000C90A0000}"/>
    <cellStyle name="Style 44 4 2 2 2 3 3 3" xfId="53920" xr:uid="{00000000-0005-0000-0000-0000C90A0000}"/>
    <cellStyle name="Style 44 4 2 2 2 3 4" xfId="26342" xr:uid="{00000000-0005-0000-0000-0000C90A0000}"/>
    <cellStyle name="Style 44 4 2 2 2 3 4 2" xfId="44711" xr:uid="{00000000-0005-0000-0000-0000C90A0000}"/>
    <cellStyle name="Style 44 4 2 2 2 3 5" xfId="22635" xr:uid="{00000000-0005-0000-0000-0000C90A0000}"/>
    <cellStyle name="Style 44 4 2 2 2 3 6" xfId="41004" xr:uid="{00000000-0005-0000-0000-0000C90A0000}"/>
    <cellStyle name="Style 44 4 2 2 2 4" xfId="10321" xr:uid="{00000000-0005-0000-0000-0000C90A0000}"/>
    <cellStyle name="Style 44 4 2 2 2 4 2" xfId="14378" xr:uid="{00000000-0005-0000-0000-0000C90A0000}"/>
    <cellStyle name="Style 44 4 2 2 2 4 2 2" xfId="32794" xr:uid="{00000000-0005-0000-0000-0000C90A0000}"/>
    <cellStyle name="Style 44 4 2 2 2 4 2 3" xfId="51157" xr:uid="{00000000-0005-0000-0000-0000C90A0000}"/>
    <cellStyle name="Style 44 4 2 2 2 4 3" xfId="29032" xr:uid="{00000000-0005-0000-0000-0000C90A0000}"/>
    <cellStyle name="Style 44 4 2 2 2 4 3 2" xfId="47395" xr:uid="{00000000-0005-0000-0000-0000C90A0000}"/>
    <cellStyle name="Style 44 4 2 2 2 4 4" xfId="19835" xr:uid="{00000000-0005-0000-0000-0000C90A0000}"/>
    <cellStyle name="Style 44 4 2 2 2 4 5" xfId="38241" xr:uid="{00000000-0005-0000-0000-0000C90A0000}"/>
    <cellStyle name="Style 44 4 2 2 2 5" xfId="9529" xr:uid="{00000000-0005-0000-0000-0000C90A0000}"/>
    <cellStyle name="Style 44 4 2 2 2 5 2" xfId="28246" xr:uid="{00000000-0005-0000-0000-0000C90A0000}"/>
    <cellStyle name="Style 44 4 2 2 2 5 3" xfId="46609" xr:uid="{00000000-0005-0000-0000-0000C90A0000}"/>
    <cellStyle name="Style 44 4 2 2 2 6" xfId="13587" xr:uid="{00000000-0005-0000-0000-0000C90A0000}"/>
    <cellStyle name="Style 44 4 2 2 2 6 2" xfId="32008" xr:uid="{00000000-0005-0000-0000-0000C90A0000}"/>
    <cellStyle name="Style 44 4 2 2 2 6 3" xfId="50371" xr:uid="{00000000-0005-0000-0000-0000C90A0000}"/>
    <cellStyle name="Style 44 4 2 2 2 7" xfId="23516" xr:uid="{00000000-0005-0000-0000-0000C90A0000}"/>
    <cellStyle name="Style 44 4 2 2 2 7 2" xfId="41885" xr:uid="{00000000-0005-0000-0000-0000C90A0000}"/>
    <cellStyle name="Style 44 4 2 2 2 8" xfId="18628" xr:uid="{00000000-0005-0000-0000-0000C90A0000}"/>
    <cellStyle name="Style 44 4 2 2 2 9" xfId="37038" xr:uid="{00000000-0005-0000-0000-0000C90A0000}"/>
    <cellStyle name="Style 44 4 2 2 3" xfId="4648" xr:uid="{00000000-0005-0000-0000-0000C90A0000}"/>
    <cellStyle name="Style 44 4 2 2 3 2" xfId="11232" xr:uid="{00000000-0005-0000-0000-0000C90A0000}"/>
    <cellStyle name="Style 44 4 2 2 3 2 2" xfId="29844" xr:uid="{00000000-0005-0000-0000-0000C90A0000}"/>
    <cellStyle name="Style 44 4 2 2 3 2 3" xfId="48207" xr:uid="{00000000-0005-0000-0000-0000C90A0000}"/>
    <cellStyle name="Style 44 4 2 2 3 3" xfId="15374" xr:uid="{00000000-0005-0000-0000-0000C90A0000}"/>
    <cellStyle name="Style 44 4 2 2 3 3 2" xfId="33767" xr:uid="{00000000-0005-0000-0000-0000C90A0000}"/>
    <cellStyle name="Style 44 4 2 2 3 3 3" xfId="52130" xr:uid="{00000000-0005-0000-0000-0000C90A0000}"/>
    <cellStyle name="Style 44 4 2 2 3 4" xfId="24498" xr:uid="{00000000-0005-0000-0000-0000C90A0000}"/>
    <cellStyle name="Style 44 4 2 2 3 4 2" xfId="42867" xr:uid="{00000000-0005-0000-0000-0000C90A0000}"/>
    <cellStyle name="Style 44 4 2 2 3 5" xfId="20825" xr:uid="{00000000-0005-0000-0000-0000C90A0000}"/>
    <cellStyle name="Style 44 4 2 2 3 6" xfId="39214" xr:uid="{00000000-0005-0000-0000-0000C90A0000}"/>
    <cellStyle name="Style 44 4 2 2 4" xfId="5360" xr:uid="{00000000-0005-0000-0000-0000C90A0000}"/>
    <cellStyle name="Style 44 4 2 2 4 2" xfId="11783" xr:uid="{00000000-0005-0000-0000-0000C90A0000}"/>
    <cellStyle name="Style 44 4 2 2 4 2 2" xfId="30260" xr:uid="{00000000-0005-0000-0000-0000C90A0000}"/>
    <cellStyle name="Style 44 4 2 2 4 2 3" xfId="48623" xr:uid="{00000000-0005-0000-0000-0000C90A0000}"/>
    <cellStyle name="Style 44 4 2 2 4 3" xfId="16052" xr:uid="{00000000-0005-0000-0000-0000C90A0000}"/>
    <cellStyle name="Style 44 4 2 2 4 3 2" xfId="34426" xr:uid="{00000000-0005-0000-0000-0000C90A0000}"/>
    <cellStyle name="Style 44 4 2 2 4 3 3" xfId="52789" xr:uid="{00000000-0005-0000-0000-0000C90A0000}"/>
    <cellStyle name="Style 44 4 2 2 4 4" xfId="25173" xr:uid="{00000000-0005-0000-0000-0000C90A0000}"/>
    <cellStyle name="Style 44 4 2 2 4 4 2" xfId="43542" xr:uid="{00000000-0005-0000-0000-0000C90A0000}"/>
    <cellStyle name="Style 44 4 2 2 4 5" xfId="21494" xr:uid="{00000000-0005-0000-0000-0000C90A0000}"/>
    <cellStyle name="Style 44 4 2 2 4 6" xfId="39873" xr:uid="{00000000-0005-0000-0000-0000C90A0000}"/>
    <cellStyle name="Style 44 4 2 2 5" xfId="9086" xr:uid="{00000000-0005-0000-0000-0000C90A0000}"/>
    <cellStyle name="Style 44 4 2 2 5 2" xfId="6081" xr:uid="{00000000-0005-0000-0000-0000C90A0000}"/>
    <cellStyle name="Style 44 4 2 2 5 2 2" xfId="25889" xr:uid="{00000000-0005-0000-0000-0000C90A0000}"/>
    <cellStyle name="Style 44 4 2 2 5 2 3" xfId="44258" xr:uid="{00000000-0005-0000-0000-0000C90A0000}"/>
    <cellStyle name="Style 44 4 2 2 5 3" xfId="27812" xr:uid="{00000000-0005-0000-0000-0000C90A0000}"/>
    <cellStyle name="Style 44 4 2 2 5 3 2" xfId="46175" xr:uid="{00000000-0005-0000-0000-0000C90A0000}"/>
    <cellStyle name="Style 44 4 2 2 5 4" xfId="17986" xr:uid="{00000000-0005-0000-0000-0000C90A0000}"/>
    <cellStyle name="Style 44 4 2 2 5 5" xfId="36394" xr:uid="{00000000-0005-0000-0000-0000C90A0000}"/>
    <cellStyle name="Style 44 4 2 2 6" xfId="7942" xr:uid="{00000000-0005-0000-0000-0000C90A0000}"/>
    <cellStyle name="Style 44 4 2 2 6 2" xfId="27172" xr:uid="{00000000-0005-0000-0000-0000C90A0000}"/>
    <cellStyle name="Style 44 4 2 2 6 3" xfId="45537" xr:uid="{00000000-0005-0000-0000-0000C90A0000}"/>
    <cellStyle name="Style 44 4 2 2 7" xfId="7479" xr:uid="{00000000-0005-0000-0000-0000C90A0000}"/>
    <cellStyle name="Style 44 4 2 2 7 2" xfId="26845" xr:uid="{00000000-0005-0000-0000-0000C90A0000}"/>
    <cellStyle name="Style 44 4 2 2 7 3" xfId="45210" xr:uid="{00000000-0005-0000-0000-0000C90A0000}"/>
    <cellStyle name="Style 44 4 2 2 8" xfId="11777" xr:uid="{00000000-0005-0000-0000-0000C90A0000}"/>
    <cellStyle name="Style 44 4 2 2 9" xfId="10836" xr:uid="{00000000-0005-0000-0000-0000C90A0000}"/>
    <cellStyle name="Style 44 4 2 3" xfId="1743" xr:uid="{00000000-0005-0000-0000-0000CA0A0000}"/>
    <cellStyle name="Style 44 4 2 3 10" xfId="8889" xr:uid="{00000000-0005-0000-0000-0000CA0A0000}"/>
    <cellStyle name="Style 44 4 2 3 2" xfId="3640" xr:uid="{00000000-0005-0000-0000-0000CA0A0000}"/>
    <cellStyle name="Style 44 4 2 3 2 2" xfId="5813" xr:uid="{00000000-0005-0000-0000-0000CA0A0000}"/>
    <cellStyle name="Style 44 4 2 3 2 2 2" xfId="12177" xr:uid="{00000000-0005-0000-0000-0000CA0A0000}"/>
    <cellStyle name="Style 44 4 2 3 2 2 2 2" xfId="30624" xr:uid="{00000000-0005-0000-0000-0000CA0A0000}"/>
    <cellStyle name="Style 44 4 2 3 2 2 2 3" xfId="48987" xr:uid="{00000000-0005-0000-0000-0000CA0A0000}"/>
    <cellStyle name="Style 44 4 2 3 2 2 3" xfId="16503" xr:uid="{00000000-0005-0000-0000-0000CA0A0000}"/>
    <cellStyle name="Style 44 4 2 3 2 2 3 2" xfId="34875" xr:uid="{00000000-0005-0000-0000-0000CA0A0000}"/>
    <cellStyle name="Style 44 4 2 3 2 2 3 3" xfId="53238" xr:uid="{00000000-0005-0000-0000-0000CA0A0000}"/>
    <cellStyle name="Style 44 4 2 3 2 2 4" xfId="25622" xr:uid="{00000000-0005-0000-0000-0000CA0A0000}"/>
    <cellStyle name="Style 44 4 2 3 2 2 4 2" xfId="43991" xr:uid="{00000000-0005-0000-0000-0000CA0A0000}"/>
    <cellStyle name="Style 44 4 2 3 2 2 5" xfId="21943" xr:uid="{00000000-0005-0000-0000-0000CA0A0000}"/>
    <cellStyle name="Style 44 4 2 3 2 2 6" xfId="40322" xr:uid="{00000000-0005-0000-0000-0000CA0A0000}"/>
    <cellStyle name="Style 44 4 2 3 2 3" xfId="6639" xr:uid="{00000000-0005-0000-0000-0000CA0A0000}"/>
    <cellStyle name="Style 44 4 2 3 2 3 2" xfId="12930" xr:uid="{00000000-0005-0000-0000-0000CA0A0000}"/>
    <cellStyle name="Style 44 4 2 3 2 3 2 2" xfId="31356" xr:uid="{00000000-0005-0000-0000-0000CA0A0000}"/>
    <cellStyle name="Style 44 4 2 3 2 3 2 3" xfId="49719" xr:uid="{00000000-0005-0000-0000-0000CA0A0000}"/>
    <cellStyle name="Style 44 4 2 3 2 3 3" xfId="17241" xr:uid="{00000000-0005-0000-0000-0000CA0A0000}"/>
    <cellStyle name="Style 44 4 2 3 2 3 3 2" xfId="35589" xr:uid="{00000000-0005-0000-0000-0000CA0A0000}"/>
    <cellStyle name="Style 44 4 2 3 2 3 3 3" xfId="53952" xr:uid="{00000000-0005-0000-0000-0000CA0A0000}"/>
    <cellStyle name="Style 44 4 2 3 2 3 4" xfId="26374" xr:uid="{00000000-0005-0000-0000-0000CA0A0000}"/>
    <cellStyle name="Style 44 4 2 3 2 3 4 2" xfId="44743" xr:uid="{00000000-0005-0000-0000-0000CA0A0000}"/>
    <cellStyle name="Style 44 4 2 3 2 3 5" xfId="22667" xr:uid="{00000000-0005-0000-0000-0000CA0A0000}"/>
    <cellStyle name="Style 44 4 2 3 2 3 6" xfId="41036" xr:uid="{00000000-0005-0000-0000-0000CA0A0000}"/>
    <cellStyle name="Style 44 4 2 3 2 4" xfId="10353" xr:uid="{00000000-0005-0000-0000-0000CA0A0000}"/>
    <cellStyle name="Style 44 4 2 3 2 4 2" xfId="14410" xr:uid="{00000000-0005-0000-0000-0000CA0A0000}"/>
    <cellStyle name="Style 44 4 2 3 2 4 2 2" xfId="32826" xr:uid="{00000000-0005-0000-0000-0000CA0A0000}"/>
    <cellStyle name="Style 44 4 2 3 2 4 2 3" xfId="51189" xr:uid="{00000000-0005-0000-0000-0000CA0A0000}"/>
    <cellStyle name="Style 44 4 2 3 2 4 3" xfId="29064" xr:uid="{00000000-0005-0000-0000-0000CA0A0000}"/>
    <cellStyle name="Style 44 4 2 3 2 4 3 2" xfId="47427" xr:uid="{00000000-0005-0000-0000-0000CA0A0000}"/>
    <cellStyle name="Style 44 4 2 3 2 4 4" xfId="19867" xr:uid="{00000000-0005-0000-0000-0000CA0A0000}"/>
    <cellStyle name="Style 44 4 2 3 2 4 5" xfId="38273" xr:uid="{00000000-0005-0000-0000-0000CA0A0000}"/>
    <cellStyle name="Style 44 4 2 3 2 5" xfId="9561" xr:uid="{00000000-0005-0000-0000-0000CA0A0000}"/>
    <cellStyle name="Style 44 4 2 3 2 5 2" xfId="28278" xr:uid="{00000000-0005-0000-0000-0000CA0A0000}"/>
    <cellStyle name="Style 44 4 2 3 2 5 3" xfId="46641" xr:uid="{00000000-0005-0000-0000-0000CA0A0000}"/>
    <cellStyle name="Style 44 4 2 3 2 6" xfId="13619" xr:uid="{00000000-0005-0000-0000-0000CA0A0000}"/>
    <cellStyle name="Style 44 4 2 3 2 6 2" xfId="32040" xr:uid="{00000000-0005-0000-0000-0000CA0A0000}"/>
    <cellStyle name="Style 44 4 2 3 2 6 3" xfId="50403" xr:uid="{00000000-0005-0000-0000-0000CA0A0000}"/>
    <cellStyle name="Style 44 4 2 3 2 7" xfId="23548" xr:uid="{00000000-0005-0000-0000-0000CA0A0000}"/>
    <cellStyle name="Style 44 4 2 3 2 7 2" xfId="41917" xr:uid="{00000000-0005-0000-0000-0000CA0A0000}"/>
    <cellStyle name="Style 44 4 2 3 2 8" xfId="18660" xr:uid="{00000000-0005-0000-0000-0000CA0A0000}"/>
    <cellStyle name="Style 44 4 2 3 2 9" xfId="37070" xr:uid="{00000000-0005-0000-0000-0000CA0A0000}"/>
    <cellStyle name="Style 44 4 2 3 3" xfId="4680" xr:uid="{00000000-0005-0000-0000-0000CA0A0000}"/>
    <cellStyle name="Style 44 4 2 3 3 2" xfId="11264" xr:uid="{00000000-0005-0000-0000-0000CA0A0000}"/>
    <cellStyle name="Style 44 4 2 3 3 2 2" xfId="29876" xr:uid="{00000000-0005-0000-0000-0000CA0A0000}"/>
    <cellStyle name="Style 44 4 2 3 3 2 3" xfId="48239" xr:uid="{00000000-0005-0000-0000-0000CA0A0000}"/>
    <cellStyle name="Style 44 4 2 3 3 3" xfId="15406" xr:uid="{00000000-0005-0000-0000-0000CA0A0000}"/>
    <cellStyle name="Style 44 4 2 3 3 3 2" xfId="33799" xr:uid="{00000000-0005-0000-0000-0000CA0A0000}"/>
    <cellStyle name="Style 44 4 2 3 3 3 3" xfId="52162" xr:uid="{00000000-0005-0000-0000-0000CA0A0000}"/>
    <cellStyle name="Style 44 4 2 3 3 4" xfId="24530" xr:uid="{00000000-0005-0000-0000-0000CA0A0000}"/>
    <cellStyle name="Style 44 4 2 3 3 4 2" xfId="42899" xr:uid="{00000000-0005-0000-0000-0000CA0A0000}"/>
    <cellStyle name="Style 44 4 2 3 3 5" xfId="20857" xr:uid="{00000000-0005-0000-0000-0000CA0A0000}"/>
    <cellStyle name="Style 44 4 2 3 3 6" xfId="39246" xr:uid="{00000000-0005-0000-0000-0000CA0A0000}"/>
    <cellStyle name="Style 44 4 2 3 4" xfId="3960" xr:uid="{00000000-0005-0000-0000-0000CA0A0000}"/>
    <cellStyle name="Style 44 4 2 3 4 2" xfId="10665" xr:uid="{00000000-0005-0000-0000-0000CA0A0000}"/>
    <cellStyle name="Style 44 4 2 3 4 2 2" xfId="29371" xr:uid="{00000000-0005-0000-0000-0000CA0A0000}"/>
    <cellStyle name="Style 44 4 2 3 4 2 3" xfId="47734" xr:uid="{00000000-0005-0000-0000-0000CA0A0000}"/>
    <cellStyle name="Style 44 4 2 3 4 3" xfId="14723" xr:uid="{00000000-0005-0000-0000-0000CA0A0000}"/>
    <cellStyle name="Style 44 4 2 3 4 3 2" xfId="33135" xr:uid="{00000000-0005-0000-0000-0000CA0A0000}"/>
    <cellStyle name="Style 44 4 2 3 4 3 3" xfId="51498" xr:uid="{00000000-0005-0000-0000-0000CA0A0000}"/>
    <cellStyle name="Style 44 4 2 3 4 4" xfId="23859" xr:uid="{00000000-0005-0000-0000-0000CA0A0000}"/>
    <cellStyle name="Style 44 4 2 3 4 4 2" xfId="42228" xr:uid="{00000000-0005-0000-0000-0000CA0A0000}"/>
    <cellStyle name="Style 44 4 2 3 4 5" xfId="20177" xr:uid="{00000000-0005-0000-0000-0000CA0A0000}"/>
    <cellStyle name="Style 44 4 2 3 4 6" xfId="38582" xr:uid="{00000000-0005-0000-0000-0000CA0A0000}"/>
    <cellStyle name="Style 44 4 2 3 5" xfId="9635" xr:uid="{00000000-0005-0000-0000-0000CA0A0000}"/>
    <cellStyle name="Style 44 4 2 3 5 2" xfId="13692" xr:uid="{00000000-0005-0000-0000-0000CA0A0000}"/>
    <cellStyle name="Style 44 4 2 3 5 2 2" xfId="32113" xr:uid="{00000000-0005-0000-0000-0000CA0A0000}"/>
    <cellStyle name="Style 44 4 2 3 5 2 3" xfId="50476" xr:uid="{00000000-0005-0000-0000-0000CA0A0000}"/>
    <cellStyle name="Style 44 4 2 3 5 3" xfId="28351" xr:uid="{00000000-0005-0000-0000-0000CA0A0000}"/>
    <cellStyle name="Style 44 4 2 3 5 3 2" xfId="46714" xr:uid="{00000000-0005-0000-0000-0000CA0A0000}"/>
    <cellStyle name="Style 44 4 2 3 5 4" xfId="18749" xr:uid="{00000000-0005-0000-0000-0000CA0A0000}"/>
    <cellStyle name="Style 44 4 2 3 5 5" xfId="37158" xr:uid="{00000000-0005-0000-0000-0000CA0A0000}"/>
    <cellStyle name="Style 44 4 2 3 6" xfId="7974" xr:uid="{00000000-0005-0000-0000-0000CA0A0000}"/>
    <cellStyle name="Style 44 4 2 3 6 2" xfId="27204" xr:uid="{00000000-0005-0000-0000-0000CA0A0000}"/>
    <cellStyle name="Style 44 4 2 3 6 3" xfId="45569" xr:uid="{00000000-0005-0000-0000-0000CA0A0000}"/>
    <cellStyle name="Style 44 4 2 3 7" xfId="8045" xr:uid="{00000000-0005-0000-0000-0000CA0A0000}"/>
    <cellStyle name="Style 44 4 2 3 7 2" xfId="27270" xr:uid="{00000000-0005-0000-0000-0000CA0A0000}"/>
    <cellStyle name="Style 44 4 2 3 7 3" xfId="45635" xr:uid="{00000000-0005-0000-0000-0000CA0A0000}"/>
    <cellStyle name="Style 44 4 2 3 8" xfId="18901" xr:uid="{00000000-0005-0000-0000-0000CA0A0000}"/>
    <cellStyle name="Style 44 4 2 3 8 2" xfId="37310" xr:uid="{00000000-0005-0000-0000-0000CA0A0000}"/>
    <cellStyle name="Style 44 4 2 3 9" xfId="8157" xr:uid="{00000000-0005-0000-0000-0000CA0A0000}"/>
    <cellStyle name="Style 44 4 2 4" xfId="1771" xr:uid="{00000000-0005-0000-0000-0000CB0A0000}"/>
    <cellStyle name="Style 44 4 2 4 10" xfId="13891" xr:uid="{00000000-0005-0000-0000-0000CB0A0000}"/>
    <cellStyle name="Style 44 4 2 4 2" xfId="3668" xr:uid="{00000000-0005-0000-0000-0000CB0A0000}"/>
    <cellStyle name="Style 44 4 2 4 2 2" xfId="5841" xr:uid="{00000000-0005-0000-0000-0000CB0A0000}"/>
    <cellStyle name="Style 44 4 2 4 2 2 2" xfId="12205" xr:uid="{00000000-0005-0000-0000-0000CB0A0000}"/>
    <cellStyle name="Style 44 4 2 4 2 2 2 2" xfId="30652" xr:uid="{00000000-0005-0000-0000-0000CB0A0000}"/>
    <cellStyle name="Style 44 4 2 4 2 2 2 3" xfId="49015" xr:uid="{00000000-0005-0000-0000-0000CB0A0000}"/>
    <cellStyle name="Style 44 4 2 4 2 2 3" xfId="16531" xr:uid="{00000000-0005-0000-0000-0000CB0A0000}"/>
    <cellStyle name="Style 44 4 2 4 2 2 3 2" xfId="34903" xr:uid="{00000000-0005-0000-0000-0000CB0A0000}"/>
    <cellStyle name="Style 44 4 2 4 2 2 3 3" xfId="53266" xr:uid="{00000000-0005-0000-0000-0000CB0A0000}"/>
    <cellStyle name="Style 44 4 2 4 2 2 4" xfId="25650" xr:uid="{00000000-0005-0000-0000-0000CB0A0000}"/>
    <cellStyle name="Style 44 4 2 4 2 2 4 2" xfId="44019" xr:uid="{00000000-0005-0000-0000-0000CB0A0000}"/>
    <cellStyle name="Style 44 4 2 4 2 2 5" xfId="21971" xr:uid="{00000000-0005-0000-0000-0000CB0A0000}"/>
    <cellStyle name="Style 44 4 2 4 2 2 6" xfId="40350" xr:uid="{00000000-0005-0000-0000-0000CB0A0000}"/>
    <cellStyle name="Style 44 4 2 4 2 3" xfId="6667" xr:uid="{00000000-0005-0000-0000-0000CB0A0000}"/>
    <cellStyle name="Style 44 4 2 4 2 3 2" xfId="12958" xr:uid="{00000000-0005-0000-0000-0000CB0A0000}"/>
    <cellStyle name="Style 44 4 2 4 2 3 2 2" xfId="31384" xr:uid="{00000000-0005-0000-0000-0000CB0A0000}"/>
    <cellStyle name="Style 44 4 2 4 2 3 2 3" xfId="49747" xr:uid="{00000000-0005-0000-0000-0000CB0A0000}"/>
    <cellStyle name="Style 44 4 2 4 2 3 3" xfId="17269" xr:uid="{00000000-0005-0000-0000-0000CB0A0000}"/>
    <cellStyle name="Style 44 4 2 4 2 3 3 2" xfId="35617" xr:uid="{00000000-0005-0000-0000-0000CB0A0000}"/>
    <cellStyle name="Style 44 4 2 4 2 3 3 3" xfId="53980" xr:uid="{00000000-0005-0000-0000-0000CB0A0000}"/>
    <cellStyle name="Style 44 4 2 4 2 3 4" xfId="26402" xr:uid="{00000000-0005-0000-0000-0000CB0A0000}"/>
    <cellStyle name="Style 44 4 2 4 2 3 4 2" xfId="44771" xr:uid="{00000000-0005-0000-0000-0000CB0A0000}"/>
    <cellStyle name="Style 44 4 2 4 2 3 5" xfId="22695" xr:uid="{00000000-0005-0000-0000-0000CB0A0000}"/>
    <cellStyle name="Style 44 4 2 4 2 3 6" xfId="41064" xr:uid="{00000000-0005-0000-0000-0000CB0A0000}"/>
    <cellStyle name="Style 44 4 2 4 2 4" xfId="10381" xr:uid="{00000000-0005-0000-0000-0000CB0A0000}"/>
    <cellStyle name="Style 44 4 2 4 2 4 2" xfId="14438" xr:uid="{00000000-0005-0000-0000-0000CB0A0000}"/>
    <cellStyle name="Style 44 4 2 4 2 4 2 2" xfId="32854" xr:uid="{00000000-0005-0000-0000-0000CB0A0000}"/>
    <cellStyle name="Style 44 4 2 4 2 4 2 3" xfId="51217" xr:uid="{00000000-0005-0000-0000-0000CB0A0000}"/>
    <cellStyle name="Style 44 4 2 4 2 4 3" xfId="29092" xr:uid="{00000000-0005-0000-0000-0000CB0A0000}"/>
    <cellStyle name="Style 44 4 2 4 2 4 3 2" xfId="47455" xr:uid="{00000000-0005-0000-0000-0000CB0A0000}"/>
    <cellStyle name="Style 44 4 2 4 2 4 4" xfId="19895" xr:uid="{00000000-0005-0000-0000-0000CB0A0000}"/>
    <cellStyle name="Style 44 4 2 4 2 4 5" xfId="38301" xr:uid="{00000000-0005-0000-0000-0000CB0A0000}"/>
    <cellStyle name="Style 44 4 2 4 2 5" xfId="9589" xr:uid="{00000000-0005-0000-0000-0000CB0A0000}"/>
    <cellStyle name="Style 44 4 2 4 2 5 2" xfId="28306" xr:uid="{00000000-0005-0000-0000-0000CB0A0000}"/>
    <cellStyle name="Style 44 4 2 4 2 5 3" xfId="46669" xr:uid="{00000000-0005-0000-0000-0000CB0A0000}"/>
    <cellStyle name="Style 44 4 2 4 2 6" xfId="13647" xr:uid="{00000000-0005-0000-0000-0000CB0A0000}"/>
    <cellStyle name="Style 44 4 2 4 2 6 2" xfId="32068" xr:uid="{00000000-0005-0000-0000-0000CB0A0000}"/>
    <cellStyle name="Style 44 4 2 4 2 6 3" xfId="50431" xr:uid="{00000000-0005-0000-0000-0000CB0A0000}"/>
    <cellStyle name="Style 44 4 2 4 2 7" xfId="23576" xr:uid="{00000000-0005-0000-0000-0000CB0A0000}"/>
    <cellStyle name="Style 44 4 2 4 2 7 2" xfId="41945" xr:uid="{00000000-0005-0000-0000-0000CB0A0000}"/>
    <cellStyle name="Style 44 4 2 4 2 8" xfId="18688" xr:uid="{00000000-0005-0000-0000-0000CB0A0000}"/>
    <cellStyle name="Style 44 4 2 4 2 9" xfId="37098" xr:uid="{00000000-0005-0000-0000-0000CB0A0000}"/>
    <cellStyle name="Style 44 4 2 4 3" xfId="4708" xr:uid="{00000000-0005-0000-0000-0000CB0A0000}"/>
    <cellStyle name="Style 44 4 2 4 3 2" xfId="11292" xr:uid="{00000000-0005-0000-0000-0000CB0A0000}"/>
    <cellStyle name="Style 44 4 2 4 3 2 2" xfId="29904" xr:uid="{00000000-0005-0000-0000-0000CB0A0000}"/>
    <cellStyle name="Style 44 4 2 4 3 2 3" xfId="48267" xr:uid="{00000000-0005-0000-0000-0000CB0A0000}"/>
    <cellStyle name="Style 44 4 2 4 3 3" xfId="15434" xr:uid="{00000000-0005-0000-0000-0000CB0A0000}"/>
    <cellStyle name="Style 44 4 2 4 3 3 2" xfId="33827" xr:uid="{00000000-0005-0000-0000-0000CB0A0000}"/>
    <cellStyle name="Style 44 4 2 4 3 3 3" xfId="52190" xr:uid="{00000000-0005-0000-0000-0000CB0A0000}"/>
    <cellStyle name="Style 44 4 2 4 3 4" xfId="24558" xr:uid="{00000000-0005-0000-0000-0000CB0A0000}"/>
    <cellStyle name="Style 44 4 2 4 3 4 2" xfId="42927" xr:uid="{00000000-0005-0000-0000-0000CB0A0000}"/>
    <cellStyle name="Style 44 4 2 4 3 5" xfId="20885" xr:uid="{00000000-0005-0000-0000-0000CB0A0000}"/>
    <cellStyle name="Style 44 4 2 4 3 6" xfId="39274" xr:uid="{00000000-0005-0000-0000-0000CB0A0000}"/>
    <cellStyle name="Style 44 4 2 4 4" xfId="5022" xr:uid="{00000000-0005-0000-0000-0000CB0A0000}"/>
    <cellStyle name="Style 44 4 2 4 4 2" xfId="11545" xr:uid="{00000000-0005-0000-0000-0000CB0A0000}"/>
    <cellStyle name="Style 44 4 2 4 4 2 2" xfId="30117" xr:uid="{00000000-0005-0000-0000-0000CB0A0000}"/>
    <cellStyle name="Style 44 4 2 4 4 2 3" xfId="48480" xr:uid="{00000000-0005-0000-0000-0000CB0A0000}"/>
    <cellStyle name="Style 44 4 2 4 4 3" xfId="15735" xr:uid="{00000000-0005-0000-0000-0000CB0A0000}"/>
    <cellStyle name="Style 44 4 2 4 4 3 2" xfId="34123" xr:uid="{00000000-0005-0000-0000-0000CB0A0000}"/>
    <cellStyle name="Style 44 4 2 4 4 3 3" xfId="52486" xr:uid="{00000000-0005-0000-0000-0000CB0A0000}"/>
    <cellStyle name="Style 44 4 2 4 4 4" xfId="24859" xr:uid="{00000000-0005-0000-0000-0000CB0A0000}"/>
    <cellStyle name="Style 44 4 2 4 4 4 2" xfId="43228" xr:uid="{00000000-0005-0000-0000-0000CB0A0000}"/>
    <cellStyle name="Style 44 4 2 4 4 5" xfId="21183" xr:uid="{00000000-0005-0000-0000-0000CB0A0000}"/>
    <cellStyle name="Style 44 4 2 4 4 6" xfId="39570" xr:uid="{00000000-0005-0000-0000-0000CB0A0000}"/>
    <cellStyle name="Style 44 4 2 4 5" xfId="9695" xr:uid="{00000000-0005-0000-0000-0000CB0A0000}"/>
    <cellStyle name="Style 44 4 2 4 5 2" xfId="13752" xr:uid="{00000000-0005-0000-0000-0000CB0A0000}"/>
    <cellStyle name="Style 44 4 2 4 5 2 2" xfId="32173" xr:uid="{00000000-0005-0000-0000-0000CB0A0000}"/>
    <cellStyle name="Style 44 4 2 4 5 2 3" xfId="50536" xr:uid="{00000000-0005-0000-0000-0000CB0A0000}"/>
    <cellStyle name="Style 44 4 2 4 5 3" xfId="28411" xr:uid="{00000000-0005-0000-0000-0000CB0A0000}"/>
    <cellStyle name="Style 44 4 2 4 5 3 2" xfId="46774" xr:uid="{00000000-0005-0000-0000-0000CB0A0000}"/>
    <cellStyle name="Style 44 4 2 4 5 4" xfId="18842" xr:uid="{00000000-0005-0000-0000-0000CB0A0000}"/>
    <cellStyle name="Style 44 4 2 4 5 5" xfId="37251" xr:uid="{00000000-0005-0000-0000-0000CB0A0000}"/>
    <cellStyle name="Style 44 4 2 4 6" xfId="8002" xr:uid="{00000000-0005-0000-0000-0000CB0A0000}"/>
    <cellStyle name="Style 44 4 2 4 6 2" xfId="27232" xr:uid="{00000000-0005-0000-0000-0000CB0A0000}"/>
    <cellStyle name="Style 44 4 2 4 6 3" xfId="45597" xr:uid="{00000000-0005-0000-0000-0000CB0A0000}"/>
    <cellStyle name="Style 44 4 2 4 7" xfId="12627" xr:uid="{00000000-0005-0000-0000-0000CB0A0000}"/>
    <cellStyle name="Style 44 4 2 4 7 2" xfId="31053" xr:uid="{00000000-0005-0000-0000-0000CB0A0000}"/>
    <cellStyle name="Style 44 4 2 4 7 3" xfId="49416" xr:uid="{00000000-0005-0000-0000-0000CB0A0000}"/>
    <cellStyle name="Style 44 4 2 4 8" xfId="19075" xr:uid="{00000000-0005-0000-0000-0000CB0A0000}"/>
    <cellStyle name="Style 44 4 2 4 8 2" xfId="37483" xr:uid="{00000000-0005-0000-0000-0000CB0A0000}"/>
    <cellStyle name="Style 44 4 2 4 9" xfId="7322" xr:uid="{00000000-0005-0000-0000-0000CB0A0000}"/>
    <cellStyle name="Style 44 4 2 5" xfId="3544" xr:uid="{00000000-0005-0000-0000-0000C80A0000}"/>
    <cellStyle name="Style 44 4 2 5 2" xfId="5718" xr:uid="{00000000-0005-0000-0000-0000C80A0000}"/>
    <cellStyle name="Style 44 4 2 5 2 2" xfId="12082" xr:uid="{00000000-0005-0000-0000-0000C80A0000}"/>
    <cellStyle name="Style 44 4 2 5 2 2 2" xfId="30529" xr:uid="{00000000-0005-0000-0000-0000C80A0000}"/>
    <cellStyle name="Style 44 4 2 5 2 2 3" xfId="48892" xr:uid="{00000000-0005-0000-0000-0000C80A0000}"/>
    <cellStyle name="Style 44 4 2 5 2 3" xfId="16408" xr:uid="{00000000-0005-0000-0000-0000C80A0000}"/>
    <cellStyle name="Style 44 4 2 5 2 3 2" xfId="34780" xr:uid="{00000000-0005-0000-0000-0000C80A0000}"/>
    <cellStyle name="Style 44 4 2 5 2 3 3" xfId="53143" xr:uid="{00000000-0005-0000-0000-0000C80A0000}"/>
    <cellStyle name="Style 44 4 2 5 2 4" xfId="25527" xr:uid="{00000000-0005-0000-0000-0000C80A0000}"/>
    <cellStyle name="Style 44 4 2 5 2 4 2" xfId="43896" xr:uid="{00000000-0005-0000-0000-0000C80A0000}"/>
    <cellStyle name="Style 44 4 2 5 2 5" xfId="21848" xr:uid="{00000000-0005-0000-0000-0000C80A0000}"/>
    <cellStyle name="Style 44 4 2 5 2 6" xfId="40227" xr:uid="{00000000-0005-0000-0000-0000C80A0000}"/>
    <cellStyle name="Style 44 4 2 5 3" xfId="6543" xr:uid="{00000000-0005-0000-0000-0000C80A0000}"/>
    <cellStyle name="Style 44 4 2 5 3 2" xfId="12834" xr:uid="{00000000-0005-0000-0000-0000C80A0000}"/>
    <cellStyle name="Style 44 4 2 5 3 2 2" xfId="31260" xr:uid="{00000000-0005-0000-0000-0000C80A0000}"/>
    <cellStyle name="Style 44 4 2 5 3 2 3" xfId="49623" xr:uid="{00000000-0005-0000-0000-0000C80A0000}"/>
    <cellStyle name="Style 44 4 2 5 3 3" xfId="17145" xr:uid="{00000000-0005-0000-0000-0000C80A0000}"/>
    <cellStyle name="Style 44 4 2 5 3 3 2" xfId="35493" xr:uid="{00000000-0005-0000-0000-0000C80A0000}"/>
    <cellStyle name="Style 44 4 2 5 3 3 3" xfId="53856" xr:uid="{00000000-0005-0000-0000-0000C80A0000}"/>
    <cellStyle name="Style 44 4 2 5 3 4" xfId="26278" xr:uid="{00000000-0005-0000-0000-0000C80A0000}"/>
    <cellStyle name="Style 44 4 2 5 3 4 2" xfId="44647" xr:uid="{00000000-0005-0000-0000-0000C80A0000}"/>
    <cellStyle name="Style 44 4 2 5 3 5" xfId="22571" xr:uid="{00000000-0005-0000-0000-0000C80A0000}"/>
    <cellStyle name="Style 44 4 2 5 3 6" xfId="40940" xr:uid="{00000000-0005-0000-0000-0000C80A0000}"/>
    <cellStyle name="Style 44 4 2 5 4" xfId="10257" xr:uid="{00000000-0005-0000-0000-0000C80A0000}"/>
    <cellStyle name="Style 44 4 2 5 4 2" xfId="14314" xr:uid="{00000000-0005-0000-0000-0000C80A0000}"/>
    <cellStyle name="Style 44 4 2 5 4 2 2" xfId="32730" xr:uid="{00000000-0005-0000-0000-0000C80A0000}"/>
    <cellStyle name="Style 44 4 2 5 4 2 3" xfId="51093" xr:uid="{00000000-0005-0000-0000-0000C80A0000}"/>
    <cellStyle name="Style 44 4 2 5 4 3" xfId="28968" xr:uid="{00000000-0005-0000-0000-0000C80A0000}"/>
    <cellStyle name="Style 44 4 2 5 4 3 2" xfId="47331" xr:uid="{00000000-0005-0000-0000-0000C80A0000}"/>
    <cellStyle name="Style 44 4 2 5 4 4" xfId="19771" xr:uid="{00000000-0005-0000-0000-0000C80A0000}"/>
    <cellStyle name="Style 44 4 2 5 4 5" xfId="38177" xr:uid="{00000000-0005-0000-0000-0000C80A0000}"/>
    <cellStyle name="Style 44 4 2 5 5" xfId="9466" xr:uid="{00000000-0005-0000-0000-0000C80A0000}"/>
    <cellStyle name="Style 44 4 2 5 5 2" xfId="28183" xr:uid="{00000000-0005-0000-0000-0000C80A0000}"/>
    <cellStyle name="Style 44 4 2 5 5 3" xfId="46546" xr:uid="{00000000-0005-0000-0000-0000C80A0000}"/>
    <cellStyle name="Style 44 4 2 5 6" xfId="13523" xr:uid="{00000000-0005-0000-0000-0000C80A0000}"/>
    <cellStyle name="Style 44 4 2 5 6 2" xfId="31944" xr:uid="{00000000-0005-0000-0000-0000C80A0000}"/>
    <cellStyle name="Style 44 4 2 5 6 3" xfId="50307" xr:uid="{00000000-0005-0000-0000-0000C80A0000}"/>
    <cellStyle name="Style 44 4 2 5 7" xfId="23452" xr:uid="{00000000-0005-0000-0000-0000C80A0000}"/>
    <cellStyle name="Style 44 4 2 5 7 2" xfId="41821" xr:uid="{00000000-0005-0000-0000-0000C80A0000}"/>
    <cellStyle name="Style 44 4 2 5 8" xfId="18562" xr:uid="{00000000-0005-0000-0000-0000C80A0000}"/>
    <cellStyle name="Style 44 4 2 5 9" xfId="36971" xr:uid="{00000000-0005-0000-0000-0000C80A0000}"/>
    <cellStyle name="Style 44 4 2 6" xfId="4573" xr:uid="{00000000-0005-0000-0000-0000C80A0000}"/>
    <cellStyle name="Style 44 4 2 6 2" xfId="11158" xr:uid="{00000000-0005-0000-0000-0000C80A0000}"/>
    <cellStyle name="Style 44 4 2 6 2 2" xfId="29772" xr:uid="{00000000-0005-0000-0000-0000C80A0000}"/>
    <cellStyle name="Style 44 4 2 6 2 3" xfId="48135" xr:uid="{00000000-0005-0000-0000-0000C80A0000}"/>
    <cellStyle name="Style 44 4 2 6 3" xfId="15299" xr:uid="{00000000-0005-0000-0000-0000C80A0000}"/>
    <cellStyle name="Style 44 4 2 6 3 2" xfId="33693" xr:uid="{00000000-0005-0000-0000-0000C80A0000}"/>
    <cellStyle name="Style 44 4 2 6 3 3" xfId="52056" xr:uid="{00000000-0005-0000-0000-0000C80A0000}"/>
    <cellStyle name="Style 44 4 2 6 4" xfId="24424" xr:uid="{00000000-0005-0000-0000-0000C80A0000}"/>
    <cellStyle name="Style 44 4 2 6 4 2" xfId="42793" xr:uid="{00000000-0005-0000-0000-0000C80A0000}"/>
    <cellStyle name="Style 44 4 2 6 5" xfId="20750" xr:uid="{00000000-0005-0000-0000-0000C80A0000}"/>
    <cellStyle name="Style 44 4 2 6 6" xfId="39140" xr:uid="{00000000-0005-0000-0000-0000C80A0000}"/>
    <cellStyle name="Style 44 4 2 7" xfId="9715" xr:uid="{00000000-0005-0000-0000-0000C80A0000}"/>
    <cellStyle name="Style 44 4 2 7 2" xfId="13772" xr:uid="{00000000-0005-0000-0000-0000C80A0000}"/>
    <cellStyle name="Style 44 4 2 7 2 2" xfId="32193" xr:uid="{00000000-0005-0000-0000-0000C80A0000}"/>
    <cellStyle name="Style 44 4 2 7 2 3" xfId="50556" xr:uid="{00000000-0005-0000-0000-0000C80A0000}"/>
    <cellStyle name="Style 44 4 2 7 3" xfId="28431" xr:uid="{00000000-0005-0000-0000-0000C80A0000}"/>
    <cellStyle name="Style 44 4 2 7 3 2" xfId="46794" xr:uid="{00000000-0005-0000-0000-0000C80A0000}"/>
    <cellStyle name="Style 44 4 2 7 4" xfId="18864" xr:uid="{00000000-0005-0000-0000-0000C80A0000}"/>
    <cellStyle name="Style 44 4 2 7 5" xfId="37273" xr:uid="{00000000-0005-0000-0000-0000C80A0000}"/>
    <cellStyle name="Style 44 4 2 8" xfId="7870" xr:uid="{00000000-0005-0000-0000-0000C80A0000}"/>
    <cellStyle name="Style 44 4 2 8 2" xfId="27113" xr:uid="{00000000-0005-0000-0000-0000C80A0000}"/>
    <cellStyle name="Style 44 4 2 8 3" xfId="45478" xr:uid="{00000000-0005-0000-0000-0000C80A0000}"/>
    <cellStyle name="Style 44 4 2 9" xfId="6256" xr:uid="{00000000-0005-0000-0000-0000C80A0000}"/>
    <cellStyle name="Style 44 4 2 9 2" xfId="26011" xr:uid="{00000000-0005-0000-0000-0000C80A0000}"/>
    <cellStyle name="Style 44 4 2 9 3" xfId="44380" xr:uid="{00000000-0005-0000-0000-0000C80A0000}"/>
    <cellStyle name="Style 44 4 3" xfId="1529" xr:uid="{00000000-0005-0000-0000-0000CC0A0000}"/>
    <cellStyle name="Style 44 4 3 10" xfId="8777" xr:uid="{00000000-0005-0000-0000-0000CC0A0000}"/>
    <cellStyle name="Style 44 4 3 11" xfId="10918" xr:uid="{00000000-0005-0000-0000-0000CC0A0000}"/>
    <cellStyle name="Style 44 4 3 2" xfId="1695" xr:uid="{00000000-0005-0000-0000-0000CD0A0000}"/>
    <cellStyle name="Style 44 4 3 2 10" xfId="18737" xr:uid="{00000000-0005-0000-0000-0000CD0A0000}"/>
    <cellStyle name="Style 44 4 3 2 2" xfId="3593" xr:uid="{00000000-0005-0000-0000-0000CD0A0000}"/>
    <cellStyle name="Style 44 4 3 2 2 2" xfId="5766" xr:uid="{00000000-0005-0000-0000-0000CD0A0000}"/>
    <cellStyle name="Style 44 4 3 2 2 2 2" xfId="12130" xr:uid="{00000000-0005-0000-0000-0000CD0A0000}"/>
    <cellStyle name="Style 44 4 3 2 2 2 2 2" xfId="30577" xr:uid="{00000000-0005-0000-0000-0000CD0A0000}"/>
    <cellStyle name="Style 44 4 3 2 2 2 2 3" xfId="48940" xr:uid="{00000000-0005-0000-0000-0000CD0A0000}"/>
    <cellStyle name="Style 44 4 3 2 2 2 3" xfId="16456" xr:uid="{00000000-0005-0000-0000-0000CD0A0000}"/>
    <cellStyle name="Style 44 4 3 2 2 2 3 2" xfId="34828" xr:uid="{00000000-0005-0000-0000-0000CD0A0000}"/>
    <cellStyle name="Style 44 4 3 2 2 2 3 3" xfId="53191" xr:uid="{00000000-0005-0000-0000-0000CD0A0000}"/>
    <cellStyle name="Style 44 4 3 2 2 2 4" xfId="25575" xr:uid="{00000000-0005-0000-0000-0000CD0A0000}"/>
    <cellStyle name="Style 44 4 3 2 2 2 4 2" xfId="43944" xr:uid="{00000000-0005-0000-0000-0000CD0A0000}"/>
    <cellStyle name="Style 44 4 3 2 2 2 5" xfId="21896" xr:uid="{00000000-0005-0000-0000-0000CD0A0000}"/>
    <cellStyle name="Style 44 4 3 2 2 2 6" xfId="40275" xr:uid="{00000000-0005-0000-0000-0000CD0A0000}"/>
    <cellStyle name="Style 44 4 3 2 2 3" xfId="6592" xr:uid="{00000000-0005-0000-0000-0000CD0A0000}"/>
    <cellStyle name="Style 44 4 3 2 2 3 2" xfId="12883" xr:uid="{00000000-0005-0000-0000-0000CD0A0000}"/>
    <cellStyle name="Style 44 4 3 2 2 3 2 2" xfId="31309" xr:uid="{00000000-0005-0000-0000-0000CD0A0000}"/>
    <cellStyle name="Style 44 4 3 2 2 3 2 3" xfId="49672" xr:uid="{00000000-0005-0000-0000-0000CD0A0000}"/>
    <cellStyle name="Style 44 4 3 2 2 3 3" xfId="17194" xr:uid="{00000000-0005-0000-0000-0000CD0A0000}"/>
    <cellStyle name="Style 44 4 3 2 2 3 3 2" xfId="35542" xr:uid="{00000000-0005-0000-0000-0000CD0A0000}"/>
    <cellStyle name="Style 44 4 3 2 2 3 3 3" xfId="53905" xr:uid="{00000000-0005-0000-0000-0000CD0A0000}"/>
    <cellStyle name="Style 44 4 3 2 2 3 4" xfId="26327" xr:uid="{00000000-0005-0000-0000-0000CD0A0000}"/>
    <cellStyle name="Style 44 4 3 2 2 3 4 2" xfId="44696" xr:uid="{00000000-0005-0000-0000-0000CD0A0000}"/>
    <cellStyle name="Style 44 4 3 2 2 3 5" xfId="22620" xr:uid="{00000000-0005-0000-0000-0000CD0A0000}"/>
    <cellStyle name="Style 44 4 3 2 2 3 6" xfId="40989" xr:uid="{00000000-0005-0000-0000-0000CD0A0000}"/>
    <cellStyle name="Style 44 4 3 2 2 4" xfId="10306" xr:uid="{00000000-0005-0000-0000-0000CD0A0000}"/>
    <cellStyle name="Style 44 4 3 2 2 4 2" xfId="14363" xr:uid="{00000000-0005-0000-0000-0000CD0A0000}"/>
    <cellStyle name="Style 44 4 3 2 2 4 2 2" xfId="32779" xr:uid="{00000000-0005-0000-0000-0000CD0A0000}"/>
    <cellStyle name="Style 44 4 3 2 2 4 2 3" xfId="51142" xr:uid="{00000000-0005-0000-0000-0000CD0A0000}"/>
    <cellStyle name="Style 44 4 3 2 2 4 3" xfId="29017" xr:uid="{00000000-0005-0000-0000-0000CD0A0000}"/>
    <cellStyle name="Style 44 4 3 2 2 4 3 2" xfId="47380" xr:uid="{00000000-0005-0000-0000-0000CD0A0000}"/>
    <cellStyle name="Style 44 4 3 2 2 4 4" xfId="19820" xr:uid="{00000000-0005-0000-0000-0000CD0A0000}"/>
    <cellStyle name="Style 44 4 3 2 2 4 5" xfId="38226" xr:uid="{00000000-0005-0000-0000-0000CD0A0000}"/>
    <cellStyle name="Style 44 4 3 2 2 5" xfId="9514" xr:uid="{00000000-0005-0000-0000-0000CD0A0000}"/>
    <cellStyle name="Style 44 4 3 2 2 5 2" xfId="28231" xr:uid="{00000000-0005-0000-0000-0000CD0A0000}"/>
    <cellStyle name="Style 44 4 3 2 2 5 3" xfId="46594" xr:uid="{00000000-0005-0000-0000-0000CD0A0000}"/>
    <cellStyle name="Style 44 4 3 2 2 6" xfId="13572" xr:uid="{00000000-0005-0000-0000-0000CD0A0000}"/>
    <cellStyle name="Style 44 4 3 2 2 6 2" xfId="31993" xr:uid="{00000000-0005-0000-0000-0000CD0A0000}"/>
    <cellStyle name="Style 44 4 3 2 2 6 3" xfId="50356" xr:uid="{00000000-0005-0000-0000-0000CD0A0000}"/>
    <cellStyle name="Style 44 4 3 2 2 7" xfId="23501" xr:uid="{00000000-0005-0000-0000-0000CD0A0000}"/>
    <cellStyle name="Style 44 4 3 2 2 7 2" xfId="41870" xr:uid="{00000000-0005-0000-0000-0000CD0A0000}"/>
    <cellStyle name="Style 44 4 3 2 2 8" xfId="18612" xr:uid="{00000000-0005-0000-0000-0000CD0A0000}"/>
    <cellStyle name="Style 44 4 3 2 2 9" xfId="37022" xr:uid="{00000000-0005-0000-0000-0000CD0A0000}"/>
    <cellStyle name="Style 44 4 3 2 3" xfId="4633" xr:uid="{00000000-0005-0000-0000-0000CD0A0000}"/>
    <cellStyle name="Style 44 4 3 2 3 2" xfId="11217" xr:uid="{00000000-0005-0000-0000-0000CD0A0000}"/>
    <cellStyle name="Style 44 4 3 2 3 2 2" xfId="29829" xr:uid="{00000000-0005-0000-0000-0000CD0A0000}"/>
    <cellStyle name="Style 44 4 3 2 3 2 3" xfId="48192" xr:uid="{00000000-0005-0000-0000-0000CD0A0000}"/>
    <cellStyle name="Style 44 4 3 2 3 3" xfId="15359" xr:uid="{00000000-0005-0000-0000-0000CD0A0000}"/>
    <cellStyle name="Style 44 4 3 2 3 3 2" xfId="33752" xr:uid="{00000000-0005-0000-0000-0000CD0A0000}"/>
    <cellStyle name="Style 44 4 3 2 3 3 3" xfId="52115" xr:uid="{00000000-0005-0000-0000-0000CD0A0000}"/>
    <cellStyle name="Style 44 4 3 2 3 4" xfId="24483" xr:uid="{00000000-0005-0000-0000-0000CD0A0000}"/>
    <cellStyle name="Style 44 4 3 2 3 4 2" xfId="42852" xr:uid="{00000000-0005-0000-0000-0000CD0A0000}"/>
    <cellStyle name="Style 44 4 3 2 3 5" xfId="20810" xr:uid="{00000000-0005-0000-0000-0000CD0A0000}"/>
    <cellStyle name="Style 44 4 3 2 3 6" xfId="39199" xr:uid="{00000000-0005-0000-0000-0000CD0A0000}"/>
    <cellStyle name="Style 44 4 3 2 4" xfId="4607" xr:uid="{00000000-0005-0000-0000-0000CD0A0000}"/>
    <cellStyle name="Style 44 4 3 2 4 2" xfId="11191" xr:uid="{00000000-0005-0000-0000-0000CD0A0000}"/>
    <cellStyle name="Style 44 4 3 2 4 2 2" xfId="29803" xr:uid="{00000000-0005-0000-0000-0000CD0A0000}"/>
    <cellStyle name="Style 44 4 3 2 4 2 3" xfId="48166" xr:uid="{00000000-0005-0000-0000-0000CD0A0000}"/>
    <cellStyle name="Style 44 4 3 2 4 3" xfId="15333" xr:uid="{00000000-0005-0000-0000-0000CD0A0000}"/>
    <cellStyle name="Style 44 4 3 2 4 3 2" xfId="33726" xr:uid="{00000000-0005-0000-0000-0000CD0A0000}"/>
    <cellStyle name="Style 44 4 3 2 4 3 3" xfId="52089" xr:uid="{00000000-0005-0000-0000-0000CD0A0000}"/>
    <cellStyle name="Style 44 4 3 2 4 4" xfId="24457" xr:uid="{00000000-0005-0000-0000-0000CD0A0000}"/>
    <cellStyle name="Style 44 4 3 2 4 4 2" xfId="42826" xr:uid="{00000000-0005-0000-0000-0000CD0A0000}"/>
    <cellStyle name="Style 44 4 3 2 4 5" xfId="20784" xr:uid="{00000000-0005-0000-0000-0000CD0A0000}"/>
    <cellStyle name="Style 44 4 3 2 4 6" xfId="39173" xr:uid="{00000000-0005-0000-0000-0000CD0A0000}"/>
    <cellStyle name="Style 44 4 3 2 5" xfId="9093" xr:uid="{00000000-0005-0000-0000-0000CD0A0000}"/>
    <cellStyle name="Style 44 4 3 2 5 2" xfId="6157" xr:uid="{00000000-0005-0000-0000-0000CD0A0000}"/>
    <cellStyle name="Style 44 4 3 2 5 2 2" xfId="25945" xr:uid="{00000000-0005-0000-0000-0000CD0A0000}"/>
    <cellStyle name="Style 44 4 3 2 5 2 3" xfId="44314" xr:uid="{00000000-0005-0000-0000-0000CD0A0000}"/>
    <cellStyle name="Style 44 4 3 2 5 3" xfId="27819" xr:uid="{00000000-0005-0000-0000-0000CD0A0000}"/>
    <cellStyle name="Style 44 4 3 2 5 3 2" xfId="46182" xr:uid="{00000000-0005-0000-0000-0000CD0A0000}"/>
    <cellStyle name="Style 44 4 3 2 5 4" xfId="17993" xr:uid="{00000000-0005-0000-0000-0000CD0A0000}"/>
    <cellStyle name="Style 44 4 3 2 5 5" xfId="36401" xr:uid="{00000000-0005-0000-0000-0000CD0A0000}"/>
    <cellStyle name="Style 44 4 3 2 6" xfId="7927" xr:uid="{00000000-0005-0000-0000-0000CD0A0000}"/>
    <cellStyle name="Style 44 4 3 2 6 2" xfId="27158" xr:uid="{00000000-0005-0000-0000-0000CD0A0000}"/>
    <cellStyle name="Style 44 4 3 2 6 3" xfId="45523" xr:uid="{00000000-0005-0000-0000-0000CD0A0000}"/>
    <cellStyle name="Style 44 4 3 2 7" xfId="8659" xr:uid="{00000000-0005-0000-0000-0000CD0A0000}"/>
    <cellStyle name="Style 44 4 3 2 7 2" xfId="27566" xr:uid="{00000000-0005-0000-0000-0000CD0A0000}"/>
    <cellStyle name="Style 44 4 3 2 7 3" xfId="45929" xr:uid="{00000000-0005-0000-0000-0000CD0A0000}"/>
    <cellStyle name="Style 44 4 3 2 8" xfId="18101" xr:uid="{00000000-0005-0000-0000-0000CD0A0000}"/>
    <cellStyle name="Style 44 4 3 2 8 2" xfId="36508" xr:uid="{00000000-0005-0000-0000-0000CD0A0000}"/>
    <cellStyle name="Style 44 4 3 2 9" xfId="8788" xr:uid="{00000000-0005-0000-0000-0000CD0A0000}"/>
    <cellStyle name="Style 44 4 3 3" xfId="1413" xr:uid="{00000000-0005-0000-0000-0000CE0A0000}"/>
    <cellStyle name="Style 44 4 3 3 10" xfId="7357" xr:uid="{00000000-0005-0000-0000-0000CE0A0000}"/>
    <cellStyle name="Style 44 4 3 3 2" xfId="3446" xr:uid="{00000000-0005-0000-0000-0000CE0A0000}"/>
    <cellStyle name="Style 44 4 3 3 2 2" xfId="5621" xr:uid="{00000000-0005-0000-0000-0000CE0A0000}"/>
    <cellStyle name="Style 44 4 3 3 2 2 2" xfId="11985" xr:uid="{00000000-0005-0000-0000-0000CE0A0000}"/>
    <cellStyle name="Style 44 4 3 3 2 2 2 2" xfId="30432" xr:uid="{00000000-0005-0000-0000-0000CE0A0000}"/>
    <cellStyle name="Style 44 4 3 3 2 2 2 3" xfId="48795" xr:uid="{00000000-0005-0000-0000-0000CE0A0000}"/>
    <cellStyle name="Style 44 4 3 3 2 2 3" xfId="16311" xr:uid="{00000000-0005-0000-0000-0000CE0A0000}"/>
    <cellStyle name="Style 44 4 3 3 2 2 3 2" xfId="34683" xr:uid="{00000000-0005-0000-0000-0000CE0A0000}"/>
    <cellStyle name="Style 44 4 3 3 2 2 3 3" xfId="53046" xr:uid="{00000000-0005-0000-0000-0000CE0A0000}"/>
    <cellStyle name="Style 44 4 3 3 2 2 4" xfId="25430" xr:uid="{00000000-0005-0000-0000-0000CE0A0000}"/>
    <cellStyle name="Style 44 4 3 3 2 2 4 2" xfId="43799" xr:uid="{00000000-0005-0000-0000-0000CE0A0000}"/>
    <cellStyle name="Style 44 4 3 3 2 2 5" xfId="21751" xr:uid="{00000000-0005-0000-0000-0000CE0A0000}"/>
    <cellStyle name="Style 44 4 3 3 2 2 6" xfId="40130" xr:uid="{00000000-0005-0000-0000-0000CE0A0000}"/>
    <cellStyle name="Style 44 4 3 3 2 3" xfId="6445" xr:uid="{00000000-0005-0000-0000-0000CE0A0000}"/>
    <cellStyle name="Style 44 4 3 3 2 3 2" xfId="12736" xr:uid="{00000000-0005-0000-0000-0000CE0A0000}"/>
    <cellStyle name="Style 44 4 3 3 2 3 2 2" xfId="31162" xr:uid="{00000000-0005-0000-0000-0000CE0A0000}"/>
    <cellStyle name="Style 44 4 3 3 2 3 2 3" xfId="49525" xr:uid="{00000000-0005-0000-0000-0000CE0A0000}"/>
    <cellStyle name="Style 44 4 3 3 2 3 3" xfId="17047" xr:uid="{00000000-0005-0000-0000-0000CE0A0000}"/>
    <cellStyle name="Style 44 4 3 3 2 3 3 2" xfId="35395" xr:uid="{00000000-0005-0000-0000-0000CE0A0000}"/>
    <cellStyle name="Style 44 4 3 3 2 3 3 3" xfId="53758" xr:uid="{00000000-0005-0000-0000-0000CE0A0000}"/>
    <cellStyle name="Style 44 4 3 3 2 3 4" xfId="26180" xr:uid="{00000000-0005-0000-0000-0000CE0A0000}"/>
    <cellStyle name="Style 44 4 3 3 2 3 4 2" xfId="44549" xr:uid="{00000000-0005-0000-0000-0000CE0A0000}"/>
    <cellStyle name="Style 44 4 3 3 2 3 5" xfId="22473" xr:uid="{00000000-0005-0000-0000-0000CE0A0000}"/>
    <cellStyle name="Style 44 4 3 3 2 3 6" xfId="40842" xr:uid="{00000000-0005-0000-0000-0000CE0A0000}"/>
    <cellStyle name="Style 44 4 3 3 2 4" xfId="10159" xr:uid="{00000000-0005-0000-0000-0000CE0A0000}"/>
    <cellStyle name="Style 44 4 3 3 2 4 2" xfId="14216" xr:uid="{00000000-0005-0000-0000-0000CE0A0000}"/>
    <cellStyle name="Style 44 4 3 3 2 4 2 2" xfId="32632" xr:uid="{00000000-0005-0000-0000-0000CE0A0000}"/>
    <cellStyle name="Style 44 4 3 3 2 4 2 3" xfId="50995" xr:uid="{00000000-0005-0000-0000-0000CE0A0000}"/>
    <cellStyle name="Style 44 4 3 3 2 4 3" xfId="28870" xr:uid="{00000000-0005-0000-0000-0000CE0A0000}"/>
    <cellStyle name="Style 44 4 3 3 2 4 3 2" xfId="47233" xr:uid="{00000000-0005-0000-0000-0000CE0A0000}"/>
    <cellStyle name="Style 44 4 3 3 2 4 4" xfId="19673" xr:uid="{00000000-0005-0000-0000-0000CE0A0000}"/>
    <cellStyle name="Style 44 4 3 3 2 4 5" xfId="38079" xr:uid="{00000000-0005-0000-0000-0000CE0A0000}"/>
    <cellStyle name="Style 44 4 3 3 2 5" xfId="9346" xr:uid="{00000000-0005-0000-0000-0000CE0A0000}"/>
    <cellStyle name="Style 44 4 3 3 2 5 2" xfId="28065" xr:uid="{00000000-0005-0000-0000-0000CE0A0000}"/>
    <cellStyle name="Style 44 4 3 3 2 5 3" xfId="46428" xr:uid="{00000000-0005-0000-0000-0000CE0A0000}"/>
    <cellStyle name="Style 44 4 3 3 2 6" xfId="13402" xr:uid="{00000000-0005-0000-0000-0000CE0A0000}"/>
    <cellStyle name="Style 44 4 3 3 2 6 2" xfId="31823" xr:uid="{00000000-0005-0000-0000-0000CE0A0000}"/>
    <cellStyle name="Style 44 4 3 3 2 6 3" xfId="50186" xr:uid="{00000000-0005-0000-0000-0000CE0A0000}"/>
    <cellStyle name="Style 44 4 3 3 2 7" xfId="23354" xr:uid="{00000000-0005-0000-0000-0000CE0A0000}"/>
    <cellStyle name="Style 44 4 3 3 2 7 2" xfId="41723" xr:uid="{00000000-0005-0000-0000-0000CE0A0000}"/>
    <cellStyle name="Style 44 4 3 3 2 8" xfId="18425" xr:uid="{00000000-0005-0000-0000-0000CE0A0000}"/>
    <cellStyle name="Style 44 4 3 3 2 9" xfId="36831" xr:uid="{00000000-0005-0000-0000-0000CE0A0000}"/>
    <cellStyle name="Style 44 4 3 3 3" xfId="4439" xr:uid="{00000000-0005-0000-0000-0000CE0A0000}"/>
    <cellStyle name="Style 44 4 3 3 3 2" xfId="11038" xr:uid="{00000000-0005-0000-0000-0000CE0A0000}"/>
    <cellStyle name="Style 44 4 3 3 3 2 2" xfId="29658" xr:uid="{00000000-0005-0000-0000-0000CE0A0000}"/>
    <cellStyle name="Style 44 4 3 3 3 2 3" xfId="48021" xr:uid="{00000000-0005-0000-0000-0000CE0A0000}"/>
    <cellStyle name="Style 44 4 3 3 3 3" xfId="15173" xr:uid="{00000000-0005-0000-0000-0000CE0A0000}"/>
    <cellStyle name="Style 44 4 3 3 3 3 2" xfId="33570" xr:uid="{00000000-0005-0000-0000-0000CE0A0000}"/>
    <cellStyle name="Style 44 4 3 3 3 3 3" xfId="51933" xr:uid="{00000000-0005-0000-0000-0000CE0A0000}"/>
    <cellStyle name="Style 44 4 3 3 3 4" xfId="24301" xr:uid="{00000000-0005-0000-0000-0000CE0A0000}"/>
    <cellStyle name="Style 44 4 3 3 3 4 2" xfId="42670" xr:uid="{00000000-0005-0000-0000-0000CE0A0000}"/>
    <cellStyle name="Style 44 4 3 3 3 5" xfId="20624" xr:uid="{00000000-0005-0000-0000-0000CE0A0000}"/>
    <cellStyle name="Style 44 4 3 3 3 6" xfId="39017" xr:uid="{00000000-0005-0000-0000-0000CE0A0000}"/>
    <cellStyle name="Style 44 4 3 3 4" xfId="4037" xr:uid="{00000000-0005-0000-0000-0000CE0A0000}"/>
    <cellStyle name="Style 44 4 3 3 4 2" xfId="10738" xr:uid="{00000000-0005-0000-0000-0000CE0A0000}"/>
    <cellStyle name="Style 44 4 3 3 4 2 2" xfId="29441" xr:uid="{00000000-0005-0000-0000-0000CE0A0000}"/>
    <cellStyle name="Style 44 4 3 3 4 2 3" xfId="47804" xr:uid="{00000000-0005-0000-0000-0000CE0A0000}"/>
    <cellStyle name="Style 44 4 3 3 4 3" xfId="14798" xr:uid="{00000000-0005-0000-0000-0000CE0A0000}"/>
    <cellStyle name="Style 44 4 3 3 4 3 2" xfId="33210" xr:uid="{00000000-0005-0000-0000-0000CE0A0000}"/>
    <cellStyle name="Style 44 4 3 3 4 3 3" xfId="51573" xr:uid="{00000000-0005-0000-0000-0000CE0A0000}"/>
    <cellStyle name="Style 44 4 3 3 4 4" xfId="23934" xr:uid="{00000000-0005-0000-0000-0000CE0A0000}"/>
    <cellStyle name="Style 44 4 3 3 4 4 2" xfId="42303" xr:uid="{00000000-0005-0000-0000-0000CE0A0000}"/>
    <cellStyle name="Style 44 4 3 3 4 5" xfId="20254" xr:uid="{00000000-0005-0000-0000-0000CE0A0000}"/>
    <cellStyle name="Style 44 4 3 3 4 6" xfId="38657" xr:uid="{00000000-0005-0000-0000-0000CE0A0000}"/>
    <cellStyle name="Style 44 4 3 3 5" xfId="9948" xr:uid="{00000000-0005-0000-0000-0000CE0A0000}"/>
    <cellStyle name="Style 44 4 3 3 5 2" xfId="14005" xr:uid="{00000000-0005-0000-0000-0000CE0A0000}"/>
    <cellStyle name="Style 44 4 3 3 5 2 2" xfId="32422" xr:uid="{00000000-0005-0000-0000-0000CE0A0000}"/>
    <cellStyle name="Style 44 4 3 3 5 2 3" xfId="50785" xr:uid="{00000000-0005-0000-0000-0000CE0A0000}"/>
    <cellStyle name="Style 44 4 3 3 5 3" xfId="28660" xr:uid="{00000000-0005-0000-0000-0000CE0A0000}"/>
    <cellStyle name="Style 44 4 3 3 5 3 2" xfId="47023" xr:uid="{00000000-0005-0000-0000-0000CE0A0000}"/>
    <cellStyle name="Style 44 4 3 3 5 4" xfId="19278" xr:uid="{00000000-0005-0000-0000-0000CE0A0000}"/>
    <cellStyle name="Style 44 4 3 3 5 5" xfId="37685" xr:uid="{00000000-0005-0000-0000-0000CE0A0000}"/>
    <cellStyle name="Style 44 4 3 3 6" xfId="7705" xr:uid="{00000000-0005-0000-0000-0000CE0A0000}"/>
    <cellStyle name="Style 44 4 3 3 6 2" xfId="26987" xr:uid="{00000000-0005-0000-0000-0000CE0A0000}"/>
    <cellStyle name="Style 44 4 3 3 6 3" xfId="45352" xr:uid="{00000000-0005-0000-0000-0000CE0A0000}"/>
    <cellStyle name="Style 44 4 3 3 7" xfId="7389" xr:uid="{00000000-0005-0000-0000-0000CE0A0000}"/>
    <cellStyle name="Style 44 4 3 3 7 2" xfId="26789" xr:uid="{00000000-0005-0000-0000-0000CE0A0000}"/>
    <cellStyle name="Style 44 4 3 3 7 3" xfId="45157" xr:uid="{00000000-0005-0000-0000-0000CE0A0000}"/>
    <cellStyle name="Style 44 4 3 3 8" xfId="19095" xr:uid="{00000000-0005-0000-0000-0000CE0A0000}"/>
    <cellStyle name="Style 44 4 3 3 8 2" xfId="37503" xr:uid="{00000000-0005-0000-0000-0000CE0A0000}"/>
    <cellStyle name="Style 44 4 3 3 9" xfId="7016" xr:uid="{00000000-0005-0000-0000-0000CE0A0000}"/>
    <cellStyle name="Style 44 4 3 4" xfId="1499" xr:uid="{00000000-0005-0000-0000-0000CF0A0000}"/>
    <cellStyle name="Style 44 4 3 4 10" xfId="6147" xr:uid="{00000000-0005-0000-0000-0000CF0A0000}"/>
    <cellStyle name="Style 44 4 3 4 2" xfId="3508" xr:uid="{00000000-0005-0000-0000-0000CF0A0000}"/>
    <cellStyle name="Style 44 4 3 4 2 2" xfId="5682" xr:uid="{00000000-0005-0000-0000-0000CF0A0000}"/>
    <cellStyle name="Style 44 4 3 4 2 2 2" xfId="12046" xr:uid="{00000000-0005-0000-0000-0000CF0A0000}"/>
    <cellStyle name="Style 44 4 3 4 2 2 2 2" xfId="30493" xr:uid="{00000000-0005-0000-0000-0000CF0A0000}"/>
    <cellStyle name="Style 44 4 3 4 2 2 2 3" xfId="48856" xr:uid="{00000000-0005-0000-0000-0000CF0A0000}"/>
    <cellStyle name="Style 44 4 3 4 2 2 3" xfId="16372" xr:uid="{00000000-0005-0000-0000-0000CF0A0000}"/>
    <cellStyle name="Style 44 4 3 4 2 2 3 2" xfId="34744" xr:uid="{00000000-0005-0000-0000-0000CF0A0000}"/>
    <cellStyle name="Style 44 4 3 4 2 2 3 3" xfId="53107" xr:uid="{00000000-0005-0000-0000-0000CF0A0000}"/>
    <cellStyle name="Style 44 4 3 4 2 2 4" xfId="25491" xr:uid="{00000000-0005-0000-0000-0000CF0A0000}"/>
    <cellStyle name="Style 44 4 3 4 2 2 4 2" xfId="43860" xr:uid="{00000000-0005-0000-0000-0000CF0A0000}"/>
    <cellStyle name="Style 44 4 3 4 2 2 5" xfId="21812" xr:uid="{00000000-0005-0000-0000-0000CF0A0000}"/>
    <cellStyle name="Style 44 4 3 4 2 2 6" xfId="40191" xr:uid="{00000000-0005-0000-0000-0000CF0A0000}"/>
    <cellStyle name="Style 44 4 3 4 2 3" xfId="6507" xr:uid="{00000000-0005-0000-0000-0000CF0A0000}"/>
    <cellStyle name="Style 44 4 3 4 2 3 2" xfId="12798" xr:uid="{00000000-0005-0000-0000-0000CF0A0000}"/>
    <cellStyle name="Style 44 4 3 4 2 3 2 2" xfId="31224" xr:uid="{00000000-0005-0000-0000-0000CF0A0000}"/>
    <cellStyle name="Style 44 4 3 4 2 3 2 3" xfId="49587" xr:uid="{00000000-0005-0000-0000-0000CF0A0000}"/>
    <cellStyle name="Style 44 4 3 4 2 3 3" xfId="17109" xr:uid="{00000000-0005-0000-0000-0000CF0A0000}"/>
    <cellStyle name="Style 44 4 3 4 2 3 3 2" xfId="35457" xr:uid="{00000000-0005-0000-0000-0000CF0A0000}"/>
    <cellStyle name="Style 44 4 3 4 2 3 3 3" xfId="53820" xr:uid="{00000000-0005-0000-0000-0000CF0A0000}"/>
    <cellStyle name="Style 44 4 3 4 2 3 4" xfId="26242" xr:uid="{00000000-0005-0000-0000-0000CF0A0000}"/>
    <cellStyle name="Style 44 4 3 4 2 3 4 2" xfId="44611" xr:uid="{00000000-0005-0000-0000-0000CF0A0000}"/>
    <cellStyle name="Style 44 4 3 4 2 3 5" xfId="22535" xr:uid="{00000000-0005-0000-0000-0000CF0A0000}"/>
    <cellStyle name="Style 44 4 3 4 2 3 6" xfId="40904" xr:uid="{00000000-0005-0000-0000-0000CF0A0000}"/>
    <cellStyle name="Style 44 4 3 4 2 4" xfId="10221" xr:uid="{00000000-0005-0000-0000-0000CF0A0000}"/>
    <cellStyle name="Style 44 4 3 4 2 4 2" xfId="14278" xr:uid="{00000000-0005-0000-0000-0000CF0A0000}"/>
    <cellStyle name="Style 44 4 3 4 2 4 2 2" xfId="32694" xr:uid="{00000000-0005-0000-0000-0000CF0A0000}"/>
    <cellStyle name="Style 44 4 3 4 2 4 2 3" xfId="51057" xr:uid="{00000000-0005-0000-0000-0000CF0A0000}"/>
    <cellStyle name="Style 44 4 3 4 2 4 3" xfId="28932" xr:uid="{00000000-0005-0000-0000-0000CF0A0000}"/>
    <cellStyle name="Style 44 4 3 4 2 4 3 2" xfId="47295" xr:uid="{00000000-0005-0000-0000-0000CF0A0000}"/>
    <cellStyle name="Style 44 4 3 4 2 4 4" xfId="19735" xr:uid="{00000000-0005-0000-0000-0000CF0A0000}"/>
    <cellStyle name="Style 44 4 3 4 2 4 5" xfId="38141" xr:uid="{00000000-0005-0000-0000-0000CF0A0000}"/>
    <cellStyle name="Style 44 4 3 4 2 5" xfId="9416" xr:uid="{00000000-0005-0000-0000-0000CF0A0000}"/>
    <cellStyle name="Style 44 4 3 4 2 5 2" xfId="28133" xr:uid="{00000000-0005-0000-0000-0000CF0A0000}"/>
    <cellStyle name="Style 44 4 3 4 2 5 3" xfId="46496" xr:uid="{00000000-0005-0000-0000-0000CF0A0000}"/>
    <cellStyle name="Style 44 4 3 4 2 6" xfId="13473" xr:uid="{00000000-0005-0000-0000-0000CF0A0000}"/>
    <cellStyle name="Style 44 4 3 4 2 6 2" xfId="31894" xr:uid="{00000000-0005-0000-0000-0000CF0A0000}"/>
    <cellStyle name="Style 44 4 3 4 2 6 3" xfId="50257" xr:uid="{00000000-0005-0000-0000-0000CF0A0000}"/>
    <cellStyle name="Style 44 4 3 4 2 7" xfId="23416" xr:uid="{00000000-0005-0000-0000-0000CF0A0000}"/>
    <cellStyle name="Style 44 4 3 4 2 7 2" xfId="41785" xr:uid="{00000000-0005-0000-0000-0000CF0A0000}"/>
    <cellStyle name="Style 44 4 3 4 2 8" xfId="18498" xr:uid="{00000000-0005-0000-0000-0000CF0A0000}"/>
    <cellStyle name="Style 44 4 3 4 2 9" xfId="36907" xr:uid="{00000000-0005-0000-0000-0000CF0A0000}"/>
    <cellStyle name="Style 44 4 3 4 3" xfId="4510" xr:uid="{00000000-0005-0000-0000-0000CF0A0000}"/>
    <cellStyle name="Style 44 4 3 4 3 2" xfId="11103" xr:uid="{00000000-0005-0000-0000-0000CF0A0000}"/>
    <cellStyle name="Style 44 4 3 4 3 2 2" xfId="29721" xr:uid="{00000000-0005-0000-0000-0000CF0A0000}"/>
    <cellStyle name="Style 44 4 3 4 3 2 3" xfId="48084" xr:uid="{00000000-0005-0000-0000-0000CF0A0000}"/>
    <cellStyle name="Style 44 4 3 4 3 3" xfId="15241" xr:uid="{00000000-0005-0000-0000-0000CF0A0000}"/>
    <cellStyle name="Style 44 4 3 4 3 3 2" xfId="33635" xr:uid="{00000000-0005-0000-0000-0000CF0A0000}"/>
    <cellStyle name="Style 44 4 3 4 3 3 3" xfId="51998" xr:uid="{00000000-0005-0000-0000-0000CF0A0000}"/>
    <cellStyle name="Style 44 4 3 4 3 4" xfId="24366" xr:uid="{00000000-0005-0000-0000-0000CF0A0000}"/>
    <cellStyle name="Style 44 4 3 4 3 4 2" xfId="42735" xr:uid="{00000000-0005-0000-0000-0000CF0A0000}"/>
    <cellStyle name="Style 44 4 3 4 3 5" xfId="20690" xr:uid="{00000000-0005-0000-0000-0000CF0A0000}"/>
    <cellStyle name="Style 44 4 3 4 3 6" xfId="39082" xr:uid="{00000000-0005-0000-0000-0000CF0A0000}"/>
    <cellStyle name="Style 44 4 3 4 4" xfId="3999" xr:uid="{00000000-0005-0000-0000-0000CF0A0000}"/>
    <cellStyle name="Style 44 4 3 4 4 2" xfId="10703" xr:uid="{00000000-0005-0000-0000-0000CF0A0000}"/>
    <cellStyle name="Style 44 4 3 4 4 2 2" xfId="29407" xr:uid="{00000000-0005-0000-0000-0000CF0A0000}"/>
    <cellStyle name="Style 44 4 3 4 4 2 3" xfId="47770" xr:uid="{00000000-0005-0000-0000-0000CF0A0000}"/>
    <cellStyle name="Style 44 4 3 4 4 3" xfId="14760" xr:uid="{00000000-0005-0000-0000-0000CF0A0000}"/>
    <cellStyle name="Style 44 4 3 4 4 3 2" xfId="33172" xr:uid="{00000000-0005-0000-0000-0000CF0A0000}"/>
    <cellStyle name="Style 44 4 3 4 4 3 3" xfId="51535" xr:uid="{00000000-0005-0000-0000-0000CF0A0000}"/>
    <cellStyle name="Style 44 4 3 4 4 4" xfId="23896" xr:uid="{00000000-0005-0000-0000-0000CF0A0000}"/>
    <cellStyle name="Style 44 4 3 4 4 4 2" xfId="42265" xr:uid="{00000000-0005-0000-0000-0000CF0A0000}"/>
    <cellStyle name="Style 44 4 3 4 4 5" xfId="20216" xr:uid="{00000000-0005-0000-0000-0000CF0A0000}"/>
    <cellStyle name="Style 44 4 3 4 4 6" xfId="38619" xr:uid="{00000000-0005-0000-0000-0000CF0A0000}"/>
    <cellStyle name="Style 44 4 3 4 5" xfId="9194" xr:uid="{00000000-0005-0000-0000-0000CF0A0000}"/>
    <cellStyle name="Style 44 4 3 4 5 2" xfId="13252" xr:uid="{00000000-0005-0000-0000-0000CF0A0000}"/>
    <cellStyle name="Style 44 4 3 4 5 2 2" xfId="31673" xr:uid="{00000000-0005-0000-0000-0000CF0A0000}"/>
    <cellStyle name="Style 44 4 3 4 5 2 3" xfId="50036" xr:uid="{00000000-0005-0000-0000-0000CF0A0000}"/>
    <cellStyle name="Style 44 4 3 4 5 3" xfId="27915" xr:uid="{00000000-0005-0000-0000-0000CF0A0000}"/>
    <cellStyle name="Style 44 4 3 4 5 3 2" xfId="46278" xr:uid="{00000000-0005-0000-0000-0000CF0A0000}"/>
    <cellStyle name="Style 44 4 3 4 5 4" xfId="18209" xr:uid="{00000000-0005-0000-0000-0000CF0A0000}"/>
    <cellStyle name="Style 44 4 3 4 5 5" xfId="36615" xr:uid="{00000000-0005-0000-0000-0000CF0A0000}"/>
    <cellStyle name="Style 44 4 3 4 6" xfId="7779" xr:uid="{00000000-0005-0000-0000-0000CF0A0000}"/>
    <cellStyle name="Style 44 4 3 4 6 2" xfId="27052" xr:uid="{00000000-0005-0000-0000-0000CF0A0000}"/>
    <cellStyle name="Style 44 4 3 4 6 3" xfId="45417" xr:uid="{00000000-0005-0000-0000-0000CF0A0000}"/>
    <cellStyle name="Style 44 4 3 4 7" xfId="8262" xr:uid="{00000000-0005-0000-0000-0000CF0A0000}"/>
    <cellStyle name="Style 44 4 3 4 7 2" xfId="27392" xr:uid="{00000000-0005-0000-0000-0000CF0A0000}"/>
    <cellStyle name="Style 44 4 3 4 7 3" xfId="45757" xr:uid="{00000000-0005-0000-0000-0000CF0A0000}"/>
    <cellStyle name="Style 44 4 3 4 8" xfId="17859" xr:uid="{00000000-0005-0000-0000-0000CF0A0000}"/>
    <cellStyle name="Style 44 4 3 4 8 2" xfId="36269" xr:uid="{00000000-0005-0000-0000-0000CF0A0000}"/>
    <cellStyle name="Style 44 4 3 4 9" xfId="7248" xr:uid="{00000000-0005-0000-0000-0000CF0A0000}"/>
    <cellStyle name="Style 44 4 3 5" xfId="3532" xr:uid="{00000000-0005-0000-0000-0000CC0A0000}"/>
    <cellStyle name="Style 44 4 3 5 2" xfId="5706" xr:uid="{00000000-0005-0000-0000-0000CC0A0000}"/>
    <cellStyle name="Style 44 4 3 5 2 2" xfId="12070" xr:uid="{00000000-0005-0000-0000-0000CC0A0000}"/>
    <cellStyle name="Style 44 4 3 5 2 2 2" xfId="30517" xr:uid="{00000000-0005-0000-0000-0000CC0A0000}"/>
    <cellStyle name="Style 44 4 3 5 2 2 3" xfId="48880" xr:uid="{00000000-0005-0000-0000-0000CC0A0000}"/>
    <cellStyle name="Style 44 4 3 5 2 3" xfId="16396" xr:uid="{00000000-0005-0000-0000-0000CC0A0000}"/>
    <cellStyle name="Style 44 4 3 5 2 3 2" xfId="34768" xr:uid="{00000000-0005-0000-0000-0000CC0A0000}"/>
    <cellStyle name="Style 44 4 3 5 2 3 3" xfId="53131" xr:uid="{00000000-0005-0000-0000-0000CC0A0000}"/>
    <cellStyle name="Style 44 4 3 5 2 4" xfId="25515" xr:uid="{00000000-0005-0000-0000-0000CC0A0000}"/>
    <cellStyle name="Style 44 4 3 5 2 4 2" xfId="43884" xr:uid="{00000000-0005-0000-0000-0000CC0A0000}"/>
    <cellStyle name="Style 44 4 3 5 2 5" xfId="21836" xr:uid="{00000000-0005-0000-0000-0000CC0A0000}"/>
    <cellStyle name="Style 44 4 3 5 2 6" xfId="40215" xr:uid="{00000000-0005-0000-0000-0000CC0A0000}"/>
    <cellStyle name="Style 44 4 3 5 3" xfId="6531" xr:uid="{00000000-0005-0000-0000-0000CC0A0000}"/>
    <cellStyle name="Style 44 4 3 5 3 2" xfId="12822" xr:uid="{00000000-0005-0000-0000-0000CC0A0000}"/>
    <cellStyle name="Style 44 4 3 5 3 2 2" xfId="31248" xr:uid="{00000000-0005-0000-0000-0000CC0A0000}"/>
    <cellStyle name="Style 44 4 3 5 3 2 3" xfId="49611" xr:uid="{00000000-0005-0000-0000-0000CC0A0000}"/>
    <cellStyle name="Style 44 4 3 5 3 3" xfId="17133" xr:uid="{00000000-0005-0000-0000-0000CC0A0000}"/>
    <cellStyle name="Style 44 4 3 5 3 3 2" xfId="35481" xr:uid="{00000000-0005-0000-0000-0000CC0A0000}"/>
    <cellStyle name="Style 44 4 3 5 3 3 3" xfId="53844" xr:uid="{00000000-0005-0000-0000-0000CC0A0000}"/>
    <cellStyle name="Style 44 4 3 5 3 4" xfId="26266" xr:uid="{00000000-0005-0000-0000-0000CC0A0000}"/>
    <cellStyle name="Style 44 4 3 5 3 4 2" xfId="44635" xr:uid="{00000000-0005-0000-0000-0000CC0A0000}"/>
    <cellStyle name="Style 44 4 3 5 3 5" xfId="22559" xr:uid="{00000000-0005-0000-0000-0000CC0A0000}"/>
    <cellStyle name="Style 44 4 3 5 3 6" xfId="40928" xr:uid="{00000000-0005-0000-0000-0000CC0A0000}"/>
    <cellStyle name="Style 44 4 3 5 4" xfId="10245" xr:uid="{00000000-0005-0000-0000-0000CC0A0000}"/>
    <cellStyle name="Style 44 4 3 5 4 2" xfId="14302" xr:uid="{00000000-0005-0000-0000-0000CC0A0000}"/>
    <cellStyle name="Style 44 4 3 5 4 2 2" xfId="32718" xr:uid="{00000000-0005-0000-0000-0000CC0A0000}"/>
    <cellStyle name="Style 44 4 3 5 4 2 3" xfId="51081" xr:uid="{00000000-0005-0000-0000-0000CC0A0000}"/>
    <cellStyle name="Style 44 4 3 5 4 3" xfId="28956" xr:uid="{00000000-0005-0000-0000-0000CC0A0000}"/>
    <cellStyle name="Style 44 4 3 5 4 3 2" xfId="47319" xr:uid="{00000000-0005-0000-0000-0000CC0A0000}"/>
    <cellStyle name="Style 44 4 3 5 4 4" xfId="19759" xr:uid="{00000000-0005-0000-0000-0000CC0A0000}"/>
    <cellStyle name="Style 44 4 3 5 4 5" xfId="38165" xr:uid="{00000000-0005-0000-0000-0000CC0A0000}"/>
    <cellStyle name="Style 44 4 3 5 5" xfId="9441" xr:uid="{00000000-0005-0000-0000-0000CC0A0000}"/>
    <cellStyle name="Style 44 4 3 5 5 2" xfId="28158" xr:uid="{00000000-0005-0000-0000-0000CC0A0000}"/>
    <cellStyle name="Style 44 4 3 5 5 3" xfId="46521" xr:uid="{00000000-0005-0000-0000-0000CC0A0000}"/>
    <cellStyle name="Style 44 4 3 5 6" xfId="13498" xr:uid="{00000000-0005-0000-0000-0000CC0A0000}"/>
    <cellStyle name="Style 44 4 3 5 6 2" xfId="31919" xr:uid="{00000000-0005-0000-0000-0000CC0A0000}"/>
    <cellStyle name="Style 44 4 3 5 6 3" xfId="50282" xr:uid="{00000000-0005-0000-0000-0000CC0A0000}"/>
    <cellStyle name="Style 44 4 3 5 7" xfId="23440" xr:uid="{00000000-0005-0000-0000-0000CC0A0000}"/>
    <cellStyle name="Style 44 4 3 5 7 2" xfId="41809" xr:uid="{00000000-0005-0000-0000-0000CC0A0000}"/>
    <cellStyle name="Style 44 4 3 5 8" xfId="18526" xr:uid="{00000000-0005-0000-0000-0000CC0A0000}"/>
    <cellStyle name="Style 44 4 3 5 9" xfId="36935" xr:uid="{00000000-0005-0000-0000-0000CC0A0000}"/>
    <cellStyle name="Style 44 4 3 6" xfId="4536" xr:uid="{00000000-0005-0000-0000-0000CC0A0000}"/>
    <cellStyle name="Style 44 4 3 6 2" xfId="11127" xr:uid="{00000000-0005-0000-0000-0000CC0A0000}"/>
    <cellStyle name="Style 44 4 3 6 2 2" xfId="29745" xr:uid="{00000000-0005-0000-0000-0000CC0A0000}"/>
    <cellStyle name="Style 44 4 3 6 2 3" xfId="48108" xr:uid="{00000000-0005-0000-0000-0000CC0A0000}"/>
    <cellStyle name="Style 44 4 3 6 3" xfId="15265" xr:uid="{00000000-0005-0000-0000-0000CC0A0000}"/>
    <cellStyle name="Style 44 4 3 6 3 2" xfId="33659" xr:uid="{00000000-0005-0000-0000-0000CC0A0000}"/>
    <cellStyle name="Style 44 4 3 6 3 3" xfId="52022" xr:uid="{00000000-0005-0000-0000-0000CC0A0000}"/>
    <cellStyle name="Style 44 4 3 6 4" xfId="24390" xr:uid="{00000000-0005-0000-0000-0000CC0A0000}"/>
    <cellStyle name="Style 44 4 3 6 4 2" xfId="42759" xr:uid="{00000000-0005-0000-0000-0000CC0A0000}"/>
    <cellStyle name="Style 44 4 3 6 5" xfId="20714" xr:uid="{00000000-0005-0000-0000-0000CC0A0000}"/>
    <cellStyle name="Style 44 4 3 6 6" xfId="39106" xr:uid="{00000000-0005-0000-0000-0000CC0A0000}"/>
    <cellStyle name="Style 44 4 3 7" xfId="5038" xr:uid="{00000000-0005-0000-0000-0000CC0A0000}"/>
    <cellStyle name="Style 44 4 3 7 2" xfId="11561" xr:uid="{00000000-0005-0000-0000-0000CC0A0000}"/>
    <cellStyle name="Style 44 4 3 7 2 2" xfId="30133" xr:uid="{00000000-0005-0000-0000-0000CC0A0000}"/>
    <cellStyle name="Style 44 4 3 7 2 3" xfId="48496" xr:uid="{00000000-0005-0000-0000-0000CC0A0000}"/>
    <cellStyle name="Style 44 4 3 7 3" xfId="15751" xr:uid="{00000000-0005-0000-0000-0000CC0A0000}"/>
    <cellStyle name="Style 44 4 3 7 3 2" xfId="34139" xr:uid="{00000000-0005-0000-0000-0000CC0A0000}"/>
    <cellStyle name="Style 44 4 3 7 3 3" xfId="52502" xr:uid="{00000000-0005-0000-0000-0000CC0A0000}"/>
    <cellStyle name="Style 44 4 3 7 4" xfId="24875" xr:uid="{00000000-0005-0000-0000-0000CC0A0000}"/>
    <cellStyle name="Style 44 4 3 7 4 2" xfId="43244" xr:uid="{00000000-0005-0000-0000-0000CC0A0000}"/>
    <cellStyle name="Style 44 4 3 7 5" xfId="21199" xr:uid="{00000000-0005-0000-0000-0000CC0A0000}"/>
    <cellStyle name="Style 44 4 3 7 6" xfId="39586" xr:uid="{00000000-0005-0000-0000-0000CC0A0000}"/>
    <cellStyle name="Style 44 4 3 8" xfId="7806" xr:uid="{00000000-0005-0000-0000-0000CC0A0000}"/>
    <cellStyle name="Style 44 4 3 8 2" xfId="27076" xr:uid="{00000000-0005-0000-0000-0000CC0A0000}"/>
    <cellStyle name="Style 44 4 3 8 3" xfId="45441" xr:uid="{00000000-0005-0000-0000-0000CC0A0000}"/>
    <cellStyle name="Style 44 4 3 9" xfId="8254" xr:uid="{00000000-0005-0000-0000-0000CC0A0000}"/>
    <cellStyle name="Style 44 4 3 9 2" xfId="27384" xr:uid="{00000000-0005-0000-0000-0000CC0A0000}"/>
    <cellStyle name="Style 44 4 3 9 3" xfId="45749" xr:uid="{00000000-0005-0000-0000-0000CC0A0000}"/>
    <cellStyle name="Style 44 4 4" xfId="1484" xr:uid="{00000000-0005-0000-0000-0000D00A0000}"/>
    <cellStyle name="Style 44 4 4 2" xfId="3497" xr:uid="{00000000-0005-0000-0000-0000D00A0000}"/>
    <cellStyle name="Style 44 4 4 2 2" xfId="5672" xr:uid="{00000000-0005-0000-0000-0000D00A0000}"/>
    <cellStyle name="Style 44 4 4 2 2 2" xfId="12036" xr:uid="{00000000-0005-0000-0000-0000D00A0000}"/>
    <cellStyle name="Style 44 4 4 2 2 2 2" xfId="30483" xr:uid="{00000000-0005-0000-0000-0000D00A0000}"/>
    <cellStyle name="Style 44 4 4 2 2 2 3" xfId="48846" xr:uid="{00000000-0005-0000-0000-0000D00A0000}"/>
    <cellStyle name="Style 44 4 4 2 2 3" xfId="16362" xr:uid="{00000000-0005-0000-0000-0000D00A0000}"/>
    <cellStyle name="Style 44 4 4 2 2 3 2" xfId="34734" xr:uid="{00000000-0005-0000-0000-0000D00A0000}"/>
    <cellStyle name="Style 44 4 4 2 2 3 3" xfId="53097" xr:uid="{00000000-0005-0000-0000-0000D00A0000}"/>
    <cellStyle name="Style 44 4 4 2 2 4" xfId="25481" xr:uid="{00000000-0005-0000-0000-0000D00A0000}"/>
    <cellStyle name="Style 44 4 4 2 2 4 2" xfId="43850" xr:uid="{00000000-0005-0000-0000-0000D00A0000}"/>
    <cellStyle name="Style 44 4 4 2 2 5" xfId="21802" xr:uid="{00000000-0005-0000-0000-0000D00A0000}"/>
    <cellStyle name="Style 44 4 4 2 2 6" xfId="40181" xr:uid="{00000000-0005-0000-0000-0000D00A0000}"/>
    <cellStyle name="Style 44 4 4 2 3" xfId="6496" xr:uid="{00000000-0005-0000-0000-0000D00A0000}"/>
    <cellStyle name="Style 44 4 4 2 3 2" xfId="12787" xr:uid="{00000000-0005-0000-0000-0000D00A0000}"/>
    <cellStyle name="Style 44 4 4 2 3 2 2" xfId="31213" xr:uid="{00000000-0005-0000-0000-0000D00A0000}"/>
    <cellStyle name="Style 44 4 4 2 3 2 3" xfId="49576" xr:uid="{00000000-0005-0000-0000-0000D00A0000}"/>
    <cellStyle name="Style 44 4 4 2 3 3" xfId="17098" xr:uid="{00000000-0005-0000-0000-0000D00A0000}"/>
    <cellStyle name="Style 44 4 4 2 3 3 2" xfId="35446" xr:uid="{00000000-0005-0000-0000-0000D00A0000}"/>
    <cellStyle name="Style 44 4 4 2 3 3 3" xfId="53809" xr:uid="{00000000-0005-0000-0000-0000D00A0000}"/>
    <cellStyle name="Style 44 4 4 2 3 4" xfId="26231" xr:uid="{00000000-0005-0000-0000-0000D00A0000}"/>
    <cellStyle name="Style 44 4 4 2 3 4 2" xfId="44600" xr:uid="{00000000-0005-0000-0000-0000D00A0000}"/>
    <cellStyle name="Style 44 4 4 2 3 5" xfId="22524" xr:uid="{00000000-0005-0000-0000-0000D00A0000}"/>
    <cellStyle name="Style 44 4 4 2 3 6" xfId="40893" xr:uid="{00000000-0005-0000-0000-0000D00A0000}"/>
    <cellStyle name="Style 44 4 4 2 4" xfId="10210" xr:uid="{00000000-0005-0000-0000-0000D00A0000}"/>
    <cellStyle name="Style 44 4 4 2 4 2" xfId="14267" xr:uid="{00000000-0005-0000-0000-0000D00A0000}"/>
    <cellStyle name="Style 44 4 4 2 4 2 2" xfId="32683" xr:uid="{00000000-0005-0000-0000-0000D00A0000}"/>
    <cellStyle name="Style 44 4 4 2 4 2 3" xfId="51046" xr:uid="{00000000-0005-0000-0000-0000D00A0000}"/>
    <cellStyle name="Style 44 4 4 2 4 3" xfId="28921" xr:uid="{00000000-0005-0000-0000-0000D00A0000}"/>
    <cellStyle name="Style 44 4 4 2 4 3 2" xfId="47284" xr:uid="{00000000-0005-0000-0000-0000D00A0000}"/>
    <cellStyle name="Style 44 4 4 2 4 4" xfId="19724" xr:uid="{00000000-0005-0000-0000-0000D00A0000}"/>
    <cellStyle name="Style 44 4 4 2 4 5" xfId="38130" xr:uid="{00000000-0005-0000-0000-0000D00A0000}"/>
    <cellStyle name="Style 44 4 4 2 5" xfId="9404" xr:uid="{00000000-0005-0000-0000-0000D00A0000}"/>
    <cellStyle name="Style 44 4 4 2 5 2" xfId="28123" xr:uid="{00000000-0005-0000-0000-0000D00A0000}"/>
    <cellStyle name="Style 44 4 4 2 5 3" xfId="46486" xr:uid="{00000000-0005-0000-0000-0000D00A0000}"/>
    <cellStyle name="Style 44 4 4 2 6" xfId="13460" xr:uid="{00000000-0005-0000-0000-0000D00A0000}"/>
    <cellStyle name="Style 44 4 4 2 6 2" xfId="31881" xr:uid="{00000000-0005-0000-0000-0000D00A0000}"/>
    <cellStyle name="Style 44 4 4 2 6 3" xfId="50244" xr:uid="{00000000-0005-0000-0000-0000D00A0000}"/>
    <cellStyle name="Style 44 4 4 2 7" xfId="23405" xr:uid="{00000000-0005-0000-0000-0000D00A0000}"/>
    <cellStyle name="Style 44 4 4 2 7 2" xfId="41774" xr:uid="{00000000-0005-0000-0000-0000D00A0000}"/>
    <cellStyle name="Style 44 4 4 2 8" xfId="18487" xr:uid="{00000000-0005-0000-0000-0000D00A0000}"/>
    <cellStyle name="Style 44 4 4 2 9" xfId="36893" xr:uid="{00000000-0005-0000-0000-0000D00A0000}"/>
    <cellStyle name="Style 44 4 4 3" xfId="4498" xr:uid="{00000000-0005-0000-0000-0000D00A0000}"/>
    <cellStyle name="Style 44 4 4 3 2" xfId="11092" xr:uid="{00000000-0005-0000-0000-0000D00A0000}"/>
    <cellStyle name="Style 44 4 4 3 2 2" xfId="29711" xr:uid="{00000000-0005-0000-0000-0000D00A0000}"/>
    <cellStyle name="Style 44 4 4 3 2 3" xfId="48074" xr:uid="{00000000-0005-0000-0000-0000D00A0000}"/>
    <cellStyle name="Style 44 4 4 3 3" xfId="15230" xr:uid="{00000000-0005-0000-0000-0000D00A0000}"/>
    <cellStyle name="Style 44 4 4 3 3 2" xfId="33625" xr:uid="{00000000-0005-0000-0000-0000D00A0000}"/>
    <cellStyle name="Style 44 4 4 3 3 3" xfId="51988" xr:uid="{00000000-0005-0000-0000-0000D00A0000}"/>
    <cellStyle name="Style 44 4 4 3 4" xfId="24356" xr:uid="{00000000-0005-0000-0000-0000D00A0000}"/>
    <cellStyle name="Style 44 4 4 3 4 2" xfId="42725" xr:uid="{00000000-0005-0000-0000-0000D00A0000}"/>
    <cellStyle name="Style 44 4 4 3 5" xfId="20680" xr:uid="{00000000-0005-0000-0000-0000D00A0000}"/>
    <cellStyle name="Style 44 4 4 3 6" xfId="39072" xr:uid="{00000000-0005-0000-0000-0000D00A0000}"/>
    <cellStyle name="Style 44 4 4 4" xfId="4003" xr:uid="{00000000-0005-0000-0000-0000D00A0000}"/>
    <cellStyle name="Style 44 4 4 4 2" xfId="10707" xr:uid="{00000000-0005-0000-0000-0000D00A0000}"/>
    <cellStyle name="Style 44 4 4 4 2 2" xfId="29411" xr:uid="{00000000-0005-0000-0000-0000D00A0000}"/>
    <cellStyle name="Style 44 4 4 4 2 3" xfId="47774" xr:uid="{00000000-0005-0000-0000-0000D00A0000}"/>
    <cellStyle name="Style 44 4 4 4 3" xfId="14764" xr:uid="{00000000-0005-0000-0000-0000D00A0000}"/>
    <cellStyle name="Style 44 4 4 4 3 2" xfId="33176" xr:uid="{00000000-0005-0000-0000-0000D00A0000}"/>
    <cellStyle name="Style 44 4 4 4 3 3" xfId="51539" xr:uid="{00000000-0005-0000-0000-0000D00A0000}"/>
    <cellStyle name="Style 44 4 4 4 4" xfId="23900" xr:uid="{00000000-0005-0000-0000-0000D00A0000}"/>
    <cellStyle name="Style 44 4 4 4 4 2" xfId="42269" xr:uid="{00000000-0005-0000-0000-0000D00A0000}"/>
    <cellStyle name="Style 44 4 4 4 5" xfId="20220" xr:uid="{00000000-0005-0000-0000-0000D00A0000}"/>
    <cellStyle name="Style 44 4 4 4 6" xfId="38623" xr:uid="{00000000-0005-0000-0000-0000D00A0000}"/>
    <cellStyle name="Style 44 4 4 5" xfId="9121" xr:uid="{00000000-0005-0000-0000-0000D00A0000}"/>
    <cellStyle name="Style 44 4 4 5 2" xfId="6153" xr:uid="{00000000-0005-0000-0000-0000D00A0000}"/>
    <cellStyle name="Style 44 4 4 5 2 2" xfId="25942" xr:uid="{00000000-0005-0000-0000-0000D00A0000}"/>
    <cellStyle name="Style 44 4 4 5 2 3" xfId="44311" xr:uid="{00000000-0005-0000-0000-0000D00A0000}"/>
    <cellStyle name="Style 44 4 4 5 3" xfId="27847" xr:uid="{00000000-0005-0000-0000-0000D00A0000}"/>
    <cellStyle name="Style 44 4 4 5 3 2" xfId="46210" xr:uid="{00000000-0005-0000-0000-0000D00A0000}"/>
    <cellStyle name="Style 44 4 4 5 4" xfId="18033" xr:uid="{00000000-0005-0000-0000-0000D00A0000}"/>
    <cellStyle name="Style 44 4 4 5 5" xfId="36441" xr:uid="{00000000-0005-0000-0000-0000D00A0000}"/>
    <cellStyle name="Style 44 4 4 6" xfId="7769" xr:uid="{00000000-0005-0000-0000-0000D00A0000}"/>
    <cellStyle name="Style 44 4 4 6 2" xfId="27044" xr:uid="{00000000-0005-0000-0000-0000D00A0000}"/>
    <cellStyle name="Style 44 4 4 6 3" xfId="45409" xr:uid="{00000000-0005-0000-0000-0000D00A0000}"/>
    <cellStyle name="Style 44 4 4 7" xfId="8532" xr:uid="{00000000-0005-0000-0000-0000D00A0000}"/>
    <cellStyle name="Style 44 4 4 7 2" xfId="27518" xr:uid="{00000000-0005-0000-0000-0000D00A0000}"/>
    <cellStyle name="Style 44 4 4 7 3" xfId="45882" xr:uid="{00000000-0005-0000-0000-0000D00A0000}"/>
    <cellStyle name="Style 44 4 4 8" xfId="7258" xr:uid="{00000000-0005-0000-0000-0000D00A0000}"/>
    <cellStyle name="Style 44 4 4 9" xfId="7029" xr:uid="{00000000-0005-0000-0000-0000D00A0000}"/>
    <cellStyle name="Style 44 4 5" xfId="1419" xr:uid="{00000000-0005-0000-0000-0000D10A0000}"/>
    <cellStyle name="Style 44 4 5 2" xfId="3450" xr:uid="{00000000-0005-0000-0000-0000D10A0000}"/>
    <cellStyle name="Style 44 4 5 2 2" xfId="5625" xr:uid="{00000000-0005-0000-0000-0000D10A0000}"/>
    <cellStyle name="Style 44 4 5 2 2 2" xfId="11989" xr:uid="{00000000-0005-0000-0000-0000D10A0000}"/>
    <cellStyle name="Style 44 4 5 2 2 2 2" xfId="30436" xr:uid="{00000000-0005-0000-0000-0000D10A0000}"/>
    <cellStyle name="Style 44 4 5 2 2 2 3" xfId="48799" xr:uid="{00000000-0005-0000-0000-0000D10A0000}"/>
    <cellStyle name="Style 44 4 5 2 2 3" xfId="16315" xr:uid="{00000000-0005-0000-0000-0000D10A0000}"/>
    <cellStyle name="Style 44 4 5 2 2 3 2" xfId="34687" xr:uid="{00000000-0005-0000-0000-0000D10A0000}"/>
    <cellStyle name="Style 44 4 5 2 2 3 3" xfId="53050" xr:uid="{00000000-0005-0000-0000-0000D10A0000}"/>
    <cellStyle name="Style 44 4 5 2 2 4" xfId="25434" xr:uid="{00000000-0005-0000-0000-0000D10A0000}"/>
    <cellStyle name="Style 44 4 5 2 2 4 2" xfId="43803" xr:uid="{00000000-0005-0000-0000-0000D10A0000}"/>
    <cellStyle name="Style 44 4 5 2 2 5" xfId="21755" xr:uid="{00000000-0005-0000-0000-0000D10A0000}"/>
    <cellStyle name="Style 44 4 5 2 2 6" xfId="40134" xr:uid="{00000000-0005-0000-0000-0000D10A0000}"/>
    <cellStyle name="Style 44 4 5 2 3" xfId="6449" xr:uid="{00000000-0005-0000-0000-0000D10A0000}"/>
    <cellStyle name="Style 44 4 5 2 3 2" xfId="12740" xr:uid="{00000000-0005-0000-0000-0000D10A0000}"/>
    <cellStyle name="Style 44 4 5 2 3 2 2" xfId="31166" xr:uid="{00000000-0005-0000-0000-0000D10A0000}"/>
    <cellStyle name="Style 44 4 5 2 3 2 3" xfId="49529" xr:uid="{00000000-0005-0000-0000-0000D10A0000}"/>
    <cellStyle name="Style 44 4 5 2 3 3" xfId="17051" xr:uid="{00000000-0005-0000-0000-0000D10A0000}"/>
    <cellStyle name="Style 44 4 5 2 3 3 2" xfId="35399" xr:uid="{00000000-0005-0000-0000-0000D10A0000}"/>
    <cellStyle name="Style 44 4 5 2 3 3 3" xfId="53762" xr:uid="{00000000-0005-0000-0000-0000D10A0000}"/>
    <cellStyle name="Style 44 4 5 2 3 4" xfId="26184" xr:uid="{00000000-0005-0000-0000-0000D10A0000}"/>
    <cellStyle name="Style 44 4 5 2 3 4 2" xfId="44553" xr:uid="{00000000-0005-0000-0000-0000D10A0000}"/>
    <cellStyle name="Style 44 4 5 2 3 5" xfId="22477" xr:uid="{00000000-0005-0000-0000-0000D10A0000}"/>
    <cellStyle name="Style 44 4 5 2 3 6" xfId="40846" xr:uid="{00000000-0005-0000-0000-0000D10A0000}"/>
    <cellStyle name="Style 44 4 5 2 4" xfId="10163" xr:uid="{00000000-0005-0000-0000-0000D10A0000}"/>
    <cellStyle name="Style 44 4 5 2 4 2" xfId="14220" xr:uid="{00000000-0005-0000-0000-0000D10A0000}"/>
    <cellStyle name="Style 44 4 5 2 4 2 2" xfId="32636" xr:uid="{00000000-0005-0000-0000-0000D10A0000}"/>
    <cellStyle name="Style 44 4 5 2 4 2 3" xfId="50999" xr:uid="{00000000-0005-0000-0000-0000D10A0000}"/>
    <cellStyle name="Style 44 4 5 2 4 3" xfId="28874" xr:uid="{00000000-0005-0000-0000-0000D10A0000}"/>
    <cellStyle name="Style 44 4 5 2 4 3 2" xfId="47237" xr:uid="{00000000-0005-0000-0000-0000D10A0000}"/>
    <cellStyle name="Style 44 4 5 2 4 4" xfId="19677" xr:uid="{00000000-0005-0000-0000-0000D10A0000}"/>
    <cellStyle name="Style 44 4 5 2 4 5" xfId="38083" xr:uid="{00000000-0005-0000-0000-0000D10A0000}"/>
    <cellStyle name="Style 44 4 5 2 5" xfId="9350" xr:uid="{00000000-0005-0000-0000-0000D10A0000}"/>
    <cellStyle name="Style 44 4 5 2 5 2" xfId="28069" xr:uid="{00000000-0005-0000-0000-0000D10A0000}"/>
    <cellStyle name="Style 44 4 5 2 5 3" xfId="46432" xr:uid="{00000000-0005-0000-0000-0000D10A0000}"/>
    <cellStyle name="Style 44 4 5 2 6" xfId="13406" xr:uid="{00000000-0005-0000-0000-0000D10A0000}"/>
    <cellStyle name="Style 44 4 5 2 6 2" xfId="31827" xr:uid="{00000000-0005-0000-0000-0000D10A0000}"/>
    <cellStyle name="Style 44 4 5 2 6 3" xfId="50190" xr:uid="{00000000-0005-0000-0000-0000D10A0000}"/>
    <cellStyle name="Style 44 4 5 2 7" xfId="23358" xr:uid="{00000000-0005-0000-0000-0000D10A0000}"/>
    <cellStyle name="Style 44 4 5 2 7 2" xfId="41727" xr:uid="{00000000-0005-0000-0000-0000D10A0000}"/>
    <cellStyle name="Style 44 4 5 2 8" xfId="18431" xr:uid="{00000000-0005-0000-0000-0000D10A0000}"/>
    <cellStyle name="Style 44 4 5 2 9" xfId="36837" xr:uid="{00000000-0005-0000-0000-0000D10A0000}"/>
    <cellStyle name="Style 44 4 5 3" xfId="4444" xr:uid="{00000000-0005-0000-0000-0000D10A0000}"/>
    <cellStyle name="Style 44 4 5 3 2" xfId="11042" xr:uid="{00000000-0005-0000-0000-0000D10A0000}"/>
    <cellStyle name="Style 44 4 5 3 2 2" xfId="29662" xr:uid="{00000000-0005-0000-0000-0000D10A0000}"/>
    <cellStyle name="Style 44 4 5 3 2 3" xfId="48025" xr:uid="{00000000-0005-0000-0000-0000D10A0000}"/>
    <cellStyle name="Style 44 4 5 3 3" xfId="15178" xr:uid="{00000000-0005-0000-0000-0000D10A0000}"/>
    <cellStyle name="Style 44 4 5 3 3 2" xfId="33575" xr:uid="{00000000-0005-0000-0000-0000D10A0000}"/>
    <cellStyle name="Style 44 4 5 3 3 3" xfId="51938" xr:uid="{00000000-0005-0000-0000-0000D10A0000}"/>
    <cellStyle name="Style 44 4 5 3 4" xfId="24306" xr:uid="{00000000-0005-0000-0000-0000D10A0000}"/>
    <cellStyle name="Style 44 4 5 3 4 2" xfId="42675" xr:uid="{00000000-0005-0000-0000-0000D10A0000}"/>
    <cellStyle name="Style 44 4 5 3 5" xfId="20629" xr:uid="{00000000-0005-0000-0000-0000D10A0000}"/>
    <cellStyle name="Style 44 4 5 3 6" xfId="39022" xr:uid="{00000000-0005-0000-0000-0000D10A0000}"/>
    <cellStyle name="Style 44 4 5 4" xfId="4031" xr:uid="{00000000-0005-0000-0000-0000D10A0000}"/>
    <cellStyle name="Style 44 4 5 4 2" xfId="10734" xr:uid="{00000000-0005-0000-0000-0000D10A0000}"/>
    <cellStyle name="Style 44 4 5 4 2 2" xfId="29437" xr:uid="{00000000-0005-0000-0000-0000D10A0000}"/>
    <cellStyle name="Style 44 4 5 4 2 3" xfId="47800" xr:uid="{00000000-0005-0000-0000-0000D10A0000}"/>
    <cellStyle name="Style 44 4 5 4 3" xfId="14792" xr:uid="{00000000-0005-0000-0000-0000D10A0000}"/>
    <cellStyle name="Style 44 4 5 4 3 2" xfId="33204" xr:uid="{00000000-0005-0000-0000-0000D10A0000}"/>
    <cellStyle name="Style 44 4 5 4 3 3" xfId="51567" xr:uid="{00000000-0005-0000-0000-0000D10A0000}"/>
    <cellStyle name="Style 44 4 5 4 4" xfId="23928" xr:uid="{00000000-0005-0000-0000-0000D10A0000}"/>
    <cellStyle name="Style 44 4 5 4 4 2" xfId="42297" xr:uid="{00000000-0005-0000-0000-0000D10A0000}"/>
    <cellStyle name="Style 44 4 5 4 5" xfId="20248" xr:uid="{00000000-0005-0000-0000-0000D10A0000}"/>
    <cellStyle name="Style 44 4 5 4 6" xfId="38651" xr:uid="{00000000-0005-0000-0000-0000D10A0000}"/>
    <cellStyle name="Style 44 4 5 5" xfId="9256" xr:uid="{00000000-0005-0000-0000-0000D10A0000}"/>
    <cellStyle name="Style 44 4 5 5 2" xfId="13313" xr:uid="{00000000-0005-0000-0000-0000D10A0000}"/>
    <cellStyle name="Style 44 4 5 5 2 2" xfId="31734" xr:uid="{00000000-0005-0000-0000-0000D10A0000}"/>
    <cellStyle name="Style 44 4 5 5 2 3" xfId="50097" xr:uid="{00000000-0005-0000-0000-0000D10A0000}"/>
    <cellStyle name="Style 44 4 5 5 3" xfId="27976" xr:uid="{00000000-0005-0000-0000-0000D10A0000}"/>
    <cellStyle name="Style 44 4 5 5 3 2" xfId="46339" xr:uid="{00000000-0005-0000-0000-0000D10A0000}"/>
    <cellStyle name="Style 44 4 5 5 4" xfId="18316" xr:uid="{00000000-0005-0000-0000-0000D10A0000}"/>
    <cellStyle name="Style 44 4 5 5 5" xfId="36722" xr:uid="{00000000-0005-0000-0000-0000D10A0000}"/>
    <cellStyle name="Style 44 4 5 6" xfId="7710" xr:uid="{00000000-0005-0000-0000-0000D10A0000}"/>
    <cellStyle name="Style 44 4 5 6 2" xfId="26991" xr:uid="{00000000-0005-0000-0000-0000D10A0000}"/>
    <cellStyle name="Style 44 4 5 6 3" xfId="45356" xr:uid="{00000000-0005-0000-0000-0000D10A0000}"/>
    <cellStyle name="Style 44 4 5 7" xfId="7845" xr:uid="{00000000-0005-0000-0000-0000D10A0000}"/>
    <cellStyle name="Style 44 4 5 7 2" xfId="27100" xr:uid="{00000000-0005-0000-0000-0000D10A0000}"/>
    <cellStyle name="Style 44 4 5 7 3" xfId="45465" xr:uid="{00000000-0005-0000-0000-0000D10A0000}"/>
    <cellStyle name="Style 44 4 5 8" xfId="8545" xr:uid="{00000000-0005-0000-0000-0000D10A0000}"/>
    <cellStyle name="Style 44 4 5 9" xfId="20134" xr:uid="{00000000-0005-0000-0000-0000D10A0000}"/>
    <cellStyle name="Style 44 4 6" xfId="3359" xr:uid="{00000000-0005-0000-0000-0000C70A0000}"/>
    <cellStyle name="Style 44 4 6 2" xfId="5534" xr:uid="{00000000-0005-0000-0000-0000C70A0000}"/>
    <cellStyle name="Style 44 4 6 2 2" xfId="11898" xr:uid="{00000000-0005-0000-0000-0000C70A0000}"/>
    <cellStyle name="Style 44 4 6 2 2 2" xfId="30345" xr:uid="{00000000-0005-0000-0000-0000C70A0000}"/>
    <cellStyle name="Style 44 4 6 2 2 3" xfId="48708" xr:uid="{00000000-0005-0000-0000-0000C70A0000}"/>
    <cellStyle name="Style 44 4 6 2 3" xfId="16224" xr:uid="{00000000-0005-0000-0000-0000C70A0000}"/>
    <cellStyle name="Style 44 4 6 2 3 2" xfId="34596" xr:uid="{00000000-0005-0000-0000-0000C70A0000}"/>
    <cellStyle name="Style 44 4 6 2 3 3" xfId="52959" xr:uid="{00000000-0005-0000-0000-0000C70A0000}"/>
    <cellStyle name="Style 44 4 6 2 4" xfId="25343" xr:uid="{00000000-0005-0000-0000-0000C70A0000}"/>
    <cellStyle name="Style 44 4 6 2 4 2" xfId="43712" xr:uid="{00000000-0005-0000-0000-0000C70A0000}"/>
    <cellStyle name="Style 44 4 6 2 5" xfId="21664" xr:uid="{00000000-0005-0000-0000-0000C70A0000}"/>
    <cellStyle name="Style 44 4 6 2 6" xfId="40043" xr:uid="{00000000-0005-0000-0000-0000C70A0000}"/>
    <cellStyle name="Style 44 4 6 3" xfId="6358" xr:uid="{00000000-0005-0000-0000-0000C70A0000}"/>
    <cellStyle name="Style 44 4 6 3 2" xfId="12649" xr:uid="{00000000-0005-0000-0000-0000C70A0000}"/>
    <cellStyle name="Style 44 4 6 3 2 2" xfId="31075" xr:uid="{00000000-0005-0000-0000-0000C70A0000}"/>
    <cellStyle name="Style 44 4 6 3 2 3" xfId="49438" xr:uid="{00000000-0005-0000-0000-0000C70A0000}"/>
    <cellStyle name="Style 44 4 6 3 3" xfId="16960" xr:uid="{00000000-0005-0000-0000-0000C70A0000}"/>
    <cellStyle name="Style 44 4 6 3 3 2" xfId="35308" xr:uid="{00000000-0005-0000-0000-0000C70A0000}"/>
    <cellStyle name="Style 44 4 6 3 3 3" xfId="53671" xr:uid="{00000000-0005-0000-0000-0000C70A0000}"/>
    <cellStyle name="Style 44 4 6 3 4" xfId="26093" xr:uid="{00000000-0005-0000-0000-0000C70A0000}"/>
    <cellStyle name="Style 44 4 6 3 4 2" xfId="44462" xr:uid="{00000000-0005-0000-0000-0000C70A0000}"/>
    <cellStyle name="Style 44 4 6 3 5" xfId="22386" xr:uid="{00000000-0005-0000-0000-0000C70A0000}"/>
    <cellStyle name="Style 44 4 6 3 6" xfId="40755" xr:uid="{00000000-0005-0000-0000-0000C70A0000}"/>
    <cellStyle name="Style 44 4 6 4" xfId="10072" xr:uid="{00000000-0005-0000-0000-0000C70A0000}"/>
    <cellStyle name="Style 44 4 6 4 2" xfId="14129" xr:uid="{00000000-0005-0000-0000-0000C70A0000}"/>
    <cellStyle name="Style 44 4 6 4 2 2" xfId="32545" xr:uid="{00000000-0005-0000-0000-0000C70A0000}"/>
    <cellStyle name="Style 44 4 6 4 2 3" xfId="50908" xr:uid="{00000000-0005-0000-0000-0000C70A0000}"/>
    <cellStyle name="Style 44 4 6 4 3" xfId="28783" xr:uid="{00000000-0005-0000-0000-0000C70A0000}"/>
    <cellStyle name="Style 44 4 6 4 3 2" xfId="47146" xr:uid="{00000000-0005-0000-0000-0000C70A0000}"/>
    <cellStyle name="Style 44 4 6 4 4" xfId="19586" xr:uid="{00000000-0005-0000-0000-0000C70A0000}"/>
    <cellStyle name="Style 44 4 6 4 5" xfId="37992" xr:uid="{00000000-0005-0000-0000-0000C70A0000}"/>
    <cellStyle name="Style 44 4 6 5" xfId="9219" xr:uid="{00000000-0005-0000-0000-0000C70A0000}"/>
    <cellStyle name="Style 44 4 6 5 2" xfId="27939" xr:uid="{00000000-0005-0000-0000-0000C70A0000}"/>
    <cellStyle name="Style 44 4 6 5 3" xfId="46302" xr:uid="{00000000-0005-0000-0000-0000C70A0000}"/>
    <cellStyle name="Style 44 4 6 6" xfId="13276" xr:uid="{00000000-0005-0000-0000-0000C70A0000}"/>
    <cellStyle name="Style 44 4 6 6 2" xfId="31697" xr:uid="{00000000-0005-0000-0000-0000C70A0000}"/>
    <cellStyle name="Style 44 4 6 6 3" xfId="50060" xr:uid="{00000000-0005-0000-0000-0000C70A0000}"/>
    <cellStyle name="Style 44 4 6 7" xfId="23267" xr:uid="{00000000-0005-0000-0000-0000C70A0000}"/>
    <cellStyle name="Style 44 4 6 7 2" xfId="41636" xr:uid="{00000000-0005-0000-0000-0000C70A0000}"/>
    <cellStyle name="Style 44 4 6 8" xfId="18266" xr:uid="{00000000-0005-0000-0000-0000C70A0000}"/>
    <cellStyle name="Style 44 4 6 9" xfId="36672" xr:uid="{00000000-0005-0000-0000-0000C70A0000}"/>
    <cellStyle name="Style 44 4 7" xfId="8066" xr:uid="{00000000-0005-0000-0000-0000C70A0000}"/>
    <cellStyle name="Style 44 4 8" xfId="6969" xr:uid="{00000000-0005-0000-0000-0000C70A0000}"/>
    <cellStyle name="Style 44 5" xfId="1804" xr:uid="{00000000-0005-0000-0000-0000D20A0000}"/>
    <cellStyle name="Style 44 5 10" xfId="7364" xr:uid="{00000000-0005-0000-0000-0000D20A0000}"/>
    <cellStyle name="Style 44 5 2" xfId="3697" xr:uid="{00000000-0005-0000-0000-0000D20A0000}"/>
    <cellStyle name="Style 44 5 2 2" xfId="5870" xr:uid="{00000000-0005-0000-0000-0000D20A0000}"/>
    <cellStyle name="Style 44 5 2 2 2" xfId="12234" xr:uid="{00000000-0005-0000-0000-0000D20A0000}"/>
    <cellStyle name="Style 44 5 2 2 2 2" xfId="30681" xr:uid="{00000000-0005-0000-0000-0000D20A0000}"/>
    <cellStyle name="Style 44 5 2 2 2 3" xfId="49044" xr:uid="{00000000-0005-0000-0000-0000D20A0000}"/>
    <cellStyle name="Style 44 5 2 2 3" xfId="16560" xr:uid="{00000000-0005-0000-0000-0000D20A0000}"/>
    <cellStyle name="Style 44 5 2 2 3 2" xfId="34932" xr:uid="{00000000-0005-0000-0000-0000D20A0000}"/>
    <cellStyle name="Style 44 5 2 2 3 3" xfId="53295" xr:uid="{00000000-0005-0000-0000-0000D20A0000}"/>
    <cellStyle name="Style 44 5 2 2 4" xfId="25679" xr:uid="{00000000-0005-0000-0000-0000D20A0000}"/>
    <cellStyle name="Style 44 5 2 2 4 2" xfId="44048" xr:uid="{00000000-0005-0000-0000-0000D20A0000}"/>
    <cellStyle name="Style 44 5 2 2 5" xfId="22000" xr:uid="{00000000-0005-0000-0000-0000D20A0000}"/>
    <cellStyle name="Style 44 5 2 2 6" xfId="40379" xr:uid="{00000000-0005-0000-0000-0000D20A0000}"/>
    <cellStyle name="Style 44 5 2 3" xfId="6696" xr:uid="{00000000-0005-0000-0000-0000D20A0000}"/>
    <cellStyle name="Style 44 5 2 3 2" xfId="12987" xr:uid="{00000000-0005-0000-0000-0000D20A0000}"/>
    <cellStyle name="Style 44 5 2 3 2 2" xfId="31413" xr:uid="{00000000-0005-0000-0000-0000D20A0000}"/>
    <cellStyle name="Style 44 5 2 3 2 3" xfId="49776" xr:uid="{00000000-0005-0000-0000-0000D20A0000}"/>
    <cellStyle name="Style 44 5 2 3 3" xfId="17298" xr:uid="{00000000-0005-0000-0000-0000D20A0000}"/>
    <cellStyle name="Style 44 5 2 3 3 2" xfId="35646" xr:uid="{00000000-0005-0000-0000-0000D20A0000}"/>
    <cellStyle name="Style 44 5 2 3 3 3" xfId="54009" xr:uid="{00000000-0005-0000-0000-0000D20A0000}"/>
    <cellStyle name="Style 44 5 2 3 4" xfId="26431" xr:uid="{00000000-0005-0000-0000-0000D20A0000}"/>
    <cellStyle name="Style 44 5 2 3 4 2" xfId="44800" xr:uid="{00000000-0005-0000-0000-0000D20A0000}"/>
    <cellStyle name="Style 44 5 2 3 5" xfId="22724" xr:uid="{00000000-0005-0000-0000-0000D20A0000}"/>
    <cellStyle name="Style 44 5 2 3 6" xfId="41093" xr:uid="{00000000-0005-0000-0000-0000D20A0000}"/>
    <cellStyle name="Style 44 5 2 4" xfId="10410" xr:uid="{00000000-0005-0000-0000-0000D20A0000}"/>
    <cellStyle name="Style 44 5 2 4 2" xfId="14467" xr:uid="{00000000-0005-0000-0000-0000D20A0000}"/>
    <cellStyle name="Style 44 5 2 4 2 2" xfId="32883" xr:uid="{00000000-0005-0000-0000-0000D20A0000}"/>
    <cellStyle name="Style 44 5 2 4 2 3" xfId="51246" xr:uid="{00000000-0005-0000-0000-0000D20A0000}"/>
    <cellStyle name="Style 44 5 2 4 3" xfId="29121" xr:uid="{00000000-0005-0000-0000-0000D20A0000}"/>
    <cellStyle name="Style 44 5 2 4 3 2" xfId="47484" xr:uid="{00000000-0005-0000-0000-0000D20A0000}"/>
    <cellStyle name="Style 44 5 2 4 4" xfId="19924" xr:uid="{00000000-0005-0000-0000-0000D20A0000}"/>
    <cellStyle name="Style 44 5 2 4 5" xfId="38330" xr:uid="{00000000-0005-0000-0000-0000D20A0000}"/>
    <cellStyle name="Style 44 5 2 5" xfId="9618" xr:uid="{00000000-0005-0000-0000-0000D20A0000}"/>
    <cellStyle name="Style 44 5 2 5 2" xfId="28335" xr:uid="{00000000-0005-0000-0000-0000D20A0000}"/>
    <cellStyle name="Style 44 5 2 5 3" xfId="46698" xr:uid="{00000000-0005-0000-0000-0000D20A0000}"/>
    <cellStyle name="Style 44 5 2 6" xfId="13676" xr:uid="{00000000-0005-0000-0000-0000D20A0000}"/>
    <cellStyle name="Style 44 5 2 6 2" xfId="32097" xr:uid="{00000000-0005-0000-0000-0000D20A0000}"/>
    <cellStyle name="Style 44 5 2 6 3" xfId="50460" xr:uid="{00000000-0005-0000-0000-0000D20A0000}"/>
    <cellStyle name="Style 44 5 2 7" xfId="23605" xr:uid="{00000000-0005-0000-0000-0000D20A0000}"/>
    <cellStyle name="Style 44 5 2 7 2" xfId="41974" xr:uid="{00000000-0005-0000-0000-0000D20A0000}"/>
    <cellStyle name="Style 44 5 2 8" xfId="18718" xr:uid="{00000000-0005-0000-0000-0000D20A0000}"/>
    <cellStyle name="Style 44 5 2 9" xfId="37128" xr:uid="{00000000-0005-0000-0000-0000D20A0000}"/>
    <cellStyle name="Style 44 5 3" xfId="4738" xr:uid="{00000000-0005-0000-0000-0000D20A0000}"/>
    <cellStyle name="Style 44 5 3 2" xfId="11322" xr:uid="{00000000-0005-0000-0000-0000D20A0000}"/>
    <cellStyle name="Style 44 5 3 2 2" xfId="29934" xr:uid="{00000000-0005-0000-0000-0000D20A0000}"/>
    <cellStyle name="Style 44 5 3 2 3" xfId="48297" xr:uid="{00000000-0005-0000-0000-0000D20A0000}"/>
    <cellStyle name="Style 44 5 3 3" xfId="15464" xr:uid="{00000000-0005-0000-0000-0000D20A0000}"/>
    <cellStyle name="Style 44 5 3 3 2" xfId="33857" xr:uid="{00000000-0005-0000-0000-0000D20A0000}"/>
    <cellStyle name="Style 44 5 3 3 3" xfId="52220" xr:uid="{00000000-0005-0000-0000-0000D20A0000}"/>
    <cellStyle name="Style 44 5 3 4" xfId="24588" xr:uid="{00000000-0005-0000-0000-0000D20A0000}"/>
    <cellStyle name="Style 44 5 3 4 2" xfId="42957" xr:uid="{00000000-0005-0000-0000-0000D20A0000}"/>
    <cellStyle name="Style 44 5 3 5" xfId="20915" xr:uid="{00000000-0005-0000-0000-0000D20A0000}"/>
    <cellStyle name="Style 44 5 3 6" xfId="39304" xr:uid="{00000000-0005-0000-0000-0000D20A0000}"/>
    <cellStyle name="Style 44 5 4" xfId="3938" xr:uid="{00000000-0005-0000-0000-0000D20A0000}"/>
    <cellStyle name="Style 44 5 4 2" xfId="10643" xr:uid="{00000000-0005-0000-0000-0000D20A0000}"/>
    <cellStyle name="Style 44 5 4 2 2" xfId="29349" xr:uid="{00000000-0005-0000-0000-0000D20A0000}"/>
    <cellStyle name="Style 44 5 4 2 3" xfId="47712" xr:uid="{00000000-0005-0000-0000-0000D20A0000}"/>
    <cellStyle name="Style 44 5 4 3" xfId="14701" xr:uid="{00000000-0005-0000-0000-0000D20A0000}"/>
    <cellStyle name="Style 44 5 4 3 2" xfId="33113" xr:uid="{00000000-0005-0000-0000-0000D20A0000}"/>
    <cellStyle name="Style 44 5 4 3 3" xfId="51476" xr:uid="{00000000-0005-0000-0000-0000D20A0000}"/>
    <cellStyle name="Style 44 5 4 4" xfId="23837" xr:uid="{00000000-0005-0000-0000-0000D20A0000}"/>
    <cellStyle name="Style 44 5 4 4 2" xfId="42206" xr:uid="{00000000-0005-0000-0000-0000D20A0000}"/>
    <cellStyle name="Style 44 5 4 5" xfId="20155" xr:uid="{00000000-0005-0000-0000-0000D20A0000}"/>
    <cellStyle name="Style 44 5 4 6" xfId="38560" xr:uid="{00000000-0005-0000-0000-0000D20A0000}"/>
    <cellStyle name="Style 44 5 5" xfId="9263" xr:uid="{00000000-0005-0000-0000-0000D20A0000}"/>
    <cellStyle name="Style 44 5 5 2" xfId="13320" xr:uid="{00000000-0005-0000-0000-0000D20A0000}"/>
    <cellStyle name="Style 44 5 5 2 2" xfId="31741" xr:uid="{00000000-0005-0000-0000-0000D20A0000}"/>
    <cellStyle name="Style 44 5 5 2 3" xfId="50104" xr:uid="{00000000-0005-0000-0000-0000D20A0000}"/>
    <cellStyle name="Style 44 5 5 3" xfId="27983" xr:uid="{00000000-0005-0000-0000-0000D20A0000}"/>
    <cellStyle name="Style 44 5 5 3 2" xfId="46346" xr:uid="{00000000-0005-0000-0000-0000D20A0000}"/>
    <cellStyle name="Style 44 5 5 4" xfId="18323" xr:uid="{00000000-0005-0000-0000-0000D20A0000}"/>
    <cellStyle name="Style 44 5 5 5" xfId="36729" xr:uid="{00000000-0005-0000-0000-0000D20A0000}"/>
    <cellStyle name="Style 44 5 6" xfId="8034" xr:uid="{00000000-0005-0000-0000-0000D20A0000}"/>
    <cellStyle name="Style 44 5 6 2" xfId="27263" xr:uid="{00000000-0005-0000-0000-0000D20A0000}"/>
    <cellStyle name="Style 44 5 6 3" xfId="45628" xr:uid="{00000000-0005-0000-0000-0000D20A0000}"/>
    <cellStyle name="Style 44 5 7" xfId="7391" xr:uid="{00000000-0005-0000-0000-0000D20A0000}"/>
    <cellStyle name="Style 44 5 7 2" xfId="26791" xr:uid="{00000000-0005-0000-0000-0000D20A0000}"/>
    <cellStyle name="Style 44 5 7 3" xfId="45159" xr:uid="{00000000-0005-0000-0000-0000D20A0000}"/>
    <cellStyle name="Style 44 5 8" xfId="17878" xr:uid="{00000000-0005-0000-0000-0000D20A0000}"/>
    <cellStyle name="Style 44 5 8 2" xfId="36288" xr:uid="{00000000-0005-0000-0000-0000D20A0000}"/>
    <cellStyle name="Style 44 5 9" xfId="8899" xr:uid="{00000000-0005-0000-0000-0000D20A0000}"/>
    <cellStyle name="Style 44 6" xfId="2236" xr:uid="{00000000-0005-0000-0000-0000D30A0000}"/>
    <cellStyle name="Style 44 6 10" xfId="21305" xr:uid="{00000000-0005-0000-0000-0000D30A0000}"/>
    <cellStyle name="Style 44 6 2" xfId="3756" xr:uid="{00000000-0005-0000-0000-0000D30A0000}"/>
    <cellStyle name="Style 44 6 2 2" xfId="5929" xr:uid="{00000000-0005-0000-0000-0000D30A0000}"/>
    <cellStyle name="Style 44 6 2 2 2" xfId="12293" xr:uid="{00000000-0005-0000-0000-0000D30A0000}"/>
    <cellStyle name="Style 44 6 2 2 2 2" xfId="30740" xr:uid="{00000000-0005-0000-0000-0000D30A0000}"/>
    <cellStyle name="Style 44 6 2 2 2 3" xfId="49103" xr:uid="{00000000-0005-0000-0000-0000D30A0000}"/>
    <cellStyle name="Style 44 6 2 2 3" xfId="16619" xr:uid="{00000000-0005-0000-0000-0000D30A0000}"/>
    <cellStyle name="Style 44 6 2 2 3 2" xfId="34991" xr:uid="{00000000-0005-0000-0000-0000D30A0000}"/>
    <cellStyle name="Style 44 6 2 2 3 3" xfId="53354" xr:uid="{00000000-0005-0000-0000-0000D30A0000}"/>
    <cellStyle name="Style 44 6 2 2 4" xfId="25738" xr:uid="{00000000-0005-0000-0000-0000D30A0000}"/>
    <cellStyle name="Style 44 6 2 2 4 2" xfId="44107" xr:uid="{00000000-0005-0000-0000-0000D30A0000}"/>
    <cellStyle name="Style 44 6 2 2 5" xfId="22059" xr:uid="{00000000-0005-0000-0000-0000D30A0000}"/>
    <cellStyle name="Style 44 6 2 2 6" xfId="40438" xr:uid="{00000000-0005-0000-0000-0000D30A0000}"/>
    <cellStyle name="Style 44 6 2 3" xfId="6755" xr:uid="{00000000-0005-0000-0000-0000D30A0000}"/>
    <cellStyle name="Style 44 6 2 3 2" xfId="13046" xr:uid="{00000000-0005-0000-0000-0000D30A0000}"/>
    <cellStyle name="Style 44 6 2 3 2 2" xfId="31472" xr:uid="{00000000-0005-0000-0000-0000D30A0000}"/>
    <cellStyle name="Style 44 6 2 3 2 3" xfId="49835" xr:uid="{00000000-0005-0000-0000-0000D30A0000}"/>
    <cellStyle name="Style 44 6 2 3 3" xfId="17357" xr:uid="{00000000-0005-0000-0000-0000D30A0000}"/>
    <cellStyle name="Style 44 6 2 3 3 2" xfId="35705" xr:uid="{00000000-0005-0000-0000-0000D30A0000}"/>
    <cellStyle name="Style 44 6 2 3 3 3" xfId="54068" xr:uid="{00000000-0005-0000-0000-0000D30A0000}"/>
    <cellStyle name="Style 44 6 2 3 4" xfId="26490" xr:uid="{00000000-0005-0000-0000-0000D30A0000}"/>
    <cellStyle name="Style 44 6 2 3 4 2" xfId="44859" xr:uid="{00000000-0005-0000-0000-0000D30A0000}"/>
    <cellStyle name="Style 44 6 2 3 5" xfId="22783" xr:uid="{00000000-0005-0000-0000-0000D30A0000}"/>
    <cellStyle name="Style 44 6 2 3 6" xfId="41152" xr:uid="{00000000-0005-0000-0000-0000D30A0000}"/>
    <cellStyle name="Style 44 6 2 4" xfId="10469" xr:uid="{00000000-0005-0000-0000-0000D30A0000}"/>
    <cellStyle name="Style 44 6 2 4 2" xfId="14526" xr:uid="{00000000-0005-0000-0000-0000D30A0000}"/>
    <cellStyle name="Style 44 6 2 4 2 2" xfId="32942" xr:uid="{00000000-0005-0000-0000-0000D30A0000}"/>
    <cellStyle name="Style 44 6 2 4 2 3" xfId="51305" xr:uid="{00000000-0005-0000-0000-0000D30A0000}"/>
    <cellStyle name="Style 44 6 2 4 3" xfId="29180" xr:uid="{00000000-0005-0000-0000-0000D30A0000}"/>
    <cellStyle name="Style 44 6 2 4 3 2" xfId="47543" xr:uid="{00000000-0005-0000-0000-0000D30A0000}"/>
    <cellStyle name="Style 44 6 2 4 4" xfId="19983" xr:uid="{00000000-0005-0000-0000-0000D30A0000}"/>
    <cellStyle name="Style 44 6 2 4 5" xfId="38389" xr:uid="{00000000-0005-0000-0000-0000D30A0000}"/>
    <cellStyle name="Style 44 6 2 5" xfId="9736" xr:uid="{00000000-0005-0000-0000-0000D30A0000}"/>
    <cellStyle name="Style 44 6 2 5 2" xfId="28451" xr:uid="{00000000-0005-0000-0000-0000D30A0000}"/>
    <cellStyle name="Style 44 6 2 5 3" xfId="46814" xr:uid="{00000000-0005-0000-0000-0000D30A0000}"/>
    <cellStyle name="Style 44 6 2 6" xfId="13793" xr:uid="{00000000-0005-0000-0000-0000D30A0000}"/>
    <cellStyle name="Style 44 6 2 6 2" xfId="32213" xr:uid="{00000000-0005-0000-0000-0000D30A0000}"/>
    <cellStyle name="Style 44 6 2 6 3" xfId="50576" xr:uid="{00000000-0005-0000-0000-0000D30A0000}"/>
    <cellStyle name="Style 44 6 2 7" xfId="23664" xr:uid="{00000000-0005-0000-0000-0000D30A0000}"/>
    <cellStyle name="Style 44 6 2 7 2" xfId="42033" xr:uid="{00000000-0005-0000-0000-0000D30A0000}"/>
    <cellStyle name="Style 44 6 2 8" xfId="18909" xr:uid="{00000000-0005-0000-0000-0000D30A0000}"/>
    <cellStyle name="Style 44 6 2 9" xfId="37318" xr:uid="{00000000-0005-0000-0000-0000D30A0000}"/>
    <cellStyle name="Style 44 6 3" xfId="4942" xr:uid="{00000000-0005-0000-0000-0000D30A0000}"/>
    <cellStyle name="Style 44 6 3 2" xfId="11480" xr:uid="{00000000-0005-0000-0000-0000D30A0000}"/>
    <cellStyle name="Style 44 6 3 2 2" xfId="30058" xr:uid="{00000000-0005-0000-0000-0000D30A0000}"/>
    <cellStyle name="Style 44 6 3 2 3" xfId="48421" xr:uid="{00000000-0005-0000-0000-0000D30A0000}"/>
    <cellStyle name="Style 44 6 3 3" xfId="15661" xr:uid="{00000000-0005-0000-0000-0000D30A0000}"/>
    <cellStyle name="Style 44 6 3 3 2" xfId="34050" xr:uid="{00000000-0005-0000-0000-0000D30A0000}"/>
    <cellStyle name="Style 44 6 3 3 3" xfId="52413" xr:uid="{00000000-0005-0000-0000-0000D30A0000}"/>
    <cellStyle name="Style 44 6 3 4" xfId="24783" xr:uid="{00000000-0005-0000-0000-0000D30A0000}"/>
    <cellStyle name="Style 44 6 3 4 2" xfId="43152" xr:uid="{00000000-0005-0000-0000-0000D30A0000}"/>
    <cellStyle name="Style 44 6 3 5" xfId="21110" xr:uid="{00000000-0005-0000-0000-0000D30A0000}"/>
    <cellStyle name="Style 44 6 3 6" xfId="39497" xr:uid="{00000000-0005-0000-0000-0000D30A0000}"/>
    <cellStyle name="Style 44 6 4" xfId="6084" xr:uid="{00000000-0005-0000-0000-0000D30A0000}"/>
    <cellStyle name="Style 44 6 4 2" xfId="12441" xr:uid="{00000000-0005-0000-0000-0000D30A0000}"/>
    <cellStyle name="Style 44 6 4 2 2" xfId="30888" xr:uid="{00000000-0005-0000-0000-0000D30A0000}"/>
    <cellStyle name="Style 44 6 4 2 3" xfId="49251" xr:uid="{00000000-0005-0000-0000-0000D30A0000}"/>
    <cellStyle name="Style 44 6 4 3" xfId="16766" xr:uid="{00000000-0005-0000-0000-0000D30A0000}"/>
    <cellStyle name="Style 44 6 4 3 2" xfId="35138" xr:uid="{00000000-0005-0000-0000-0000D30A0000}"/>
    <cellStyle name="Style 44 6 4 3 3" xfId="53501" xr:uid="{00000000-0005-0000-0000-0000D30A0000}"/>
    <cellStyle name="Style 44 6 4 4" xfId="25892" xr:uid="{00000000-0005-0000-0000-0000D30A0000}"/>
    <cellStyle name="Style 44 6 4 4 2" xfId="44261" xr:uid="{00000000-0005-0000-0000-0000D30A0000}"/>
    <cellStyle name="Style 44 6 4 5" xfId="22206" xr:uid="{00000000-0005-0000-0000-0000D30A0000}"/>
    <cellStyle name="Style 44 6 4 6" xfId="40585" xr:uid="{00000000-0005-0000-0000-0000D30A0000}"/>
    <cellStyle name="Style 44 6 5" xfId="9788" xr:uid="{00000000-0005-0000-0000-0000D30A0000}"/>
    <cellStyle name="Style 44 6 5 2" xfId="13845" xr:uid="{00000000-0005-0000-0000-0000D30A0000}"/>
    <cellStyle name="Style 44 6 5 2 2" xfId="32265" xr:uid="{00000000-0005-0000-0000-0000D30A0000}"/>
    <cellStyle name="Style 44 6 5 2 3" xfId="50628" xr:uid="{00000000-0005-0000-0000-0000D30A0000}"/>
    <cellStyle name="Style 44 6 5 3" xfId="28503" xr:uid="{00000000-0005-0000-0000-0000D30A0000}"/>
    <cellStyle name="Style 44 6 5 3 2" xfId="46866" xr:uid="{00000000-0005-0000-0000-0000D30A0000}"/>
    <cellStyle name="Style 44 6 5 4" xfId="18994" xr:uid="{00000000-0005-0000-0000-0000D30A0000}"/>
    <cellStyle name="Style 44 6 5 5" xfId="37403" xr:uid="{00000000-0005-0000-0000-0000D30A0000}"/>
    <cellStyle name="Style 44 6 6" xfId="8312" xr:uid="{00000000-0005-0000-0000-0000D30A0000}"/>
    <cellStyle name="Style 44 6 6 2" xfId="27408" xr:uid="{00000000-0005-0000-0000-0000D30A0000}"/>
    <cellStyle name="Style 44 6 6 3" xfId="45773" xr:uid="{00000000-0005-0000-0000-0000D30A0000}"/>
    <cellStyle name="Style 44 6 7" xfId="11630" xr:uid="{00000000-0005-0000-0000-0000D30A0000}"/>
    <cellStyle name="Style 44 6 7 2" xfId="30179" xr:uid="{00000000-0005-0000-0000-0000D30A0000}"/>
    <cellStyle name="Style 44 6 7 3" xfId="48542" xr:uid="{00000000-0005-0000-0000-0000D30A0000}"/>
    <cellStyle name="Style 44 6 8" xfId="18860" xr:uid="{00000000-0005-0000-0000-0000D30A0000}"/>
    <cellStyle name="Style 44 6 8 2" xfId="37269" xr:uid="{00000000-0005-0000-0000-0000D30A0000}"/>
    <cellStyle name="Style 44 6 9" xfId="8811" xr:uid="{00000000-0005-0000-0000-0000D30A0000}"/>
    <cellStyle name="Style 44 7" xfId="2680" xr:uid="{00000000-0005-0000-0000-0000D40A0000}"/>
    <cellStyle name="Style 44 7 10" xfId="35893" xr:uid="{00000000-0005-0000-0000-0000D40A0000}"/>
    <cellStyle name="Style 44 7 2" xfId="3800" xr:uid="{00000000-0005-0000-0000-0000D40A0000}"/>
    <cellStyle name="Style 44 7 2 2" xfId="5973" xr:uid="{00000000-0005-0000-0000-0000D40A0000}"/>
    <cellStyle name="Style 44 7 2 2 2" xfId="12337" xr:uid="{00000000-0005-0000-0000-0000D40A0000}"/>
    <cellStyle name="Style 44 7 2 2 2 2" xfId="30784" xr:uid="{00000000-0005-0000-0000-0000D40A0000}"/>
    <cellStyle name="Style 44 7 2 2 2 3" xfId="49147" xr:uid="{00000000-0005-0000-0000-0000D40A0000}"/>
    <cellStyle name="Style 44 7 2 2 3" xfId="16663" xr:uid="{00000000-0005-0000-0000-0000D40A0000}"/>
    <cellStyle name="Style 44 7 2 2 3 2" xfId="35035" xr:uid="{00000000-0005-0000-0000-0000D40A0000}"/>
    <cellStyle name="Style 44 7 2 2 3 3" xfId="53398" xr:uid="{00000000-0005-0000-0000-0000D40A0000}"/>
    <cellStyle name="Style 44 7 2 2 4" xfId="25782" xr:uid="{00000000-0005-0000-0000-0000D40A0000}"/>
    <cellStyle name="Style 44 7 2 2 4 2" xfId="44151" xr:uid="{00000000-0005-0000-0000-0000D40A0000}"/>
    <cellStyle name="Style 44 7 2 2 5" xfId="22103" xr:uid="{00000000-0005-0000-0000-0000D40A0000}"/>
    <cellStyle name="Style 44 7 2 2 6" xfId="40482" xr:uid="{00000000-0005-0000-0000-0000D40A0000}"/>
    <cellStyle name="Style 44 7 2 3" xfId="6799" xr:uid="{00000000-0005-0000-0000-0000D40A0000}"/>
    <cellStyle name="Style 44 7 2 3 2" xfId="13090" xr:uid="{00000000-0005-0000-0000-0000D40A0000}"/>
    <cellStyle name="Style 44 7 2 3 2 2" xfId="31516" xr:uid="{00000000-0005-0000-0000-0000D40A0000}"/>
    <cellStyle name="Style 44 7 2 3 2 3" xfId="49879" xr:uid="{00000000-0005-0000-0000-0000D40A0000}"/>
    <cellStyle name="Style 44 7 2 3 3" xfId="17401" xr:uid="{00000000-0005-0000-0000-0000D40A0000}"/>
    <cellStyle name="Style 44 7 2 3 3 2" xfId="35749" xr:uid="{00000000-0005-0000-0000-0000D40A0000}"/>
    <cellStyle name="Style 44 7 2 3 3 3" xfId="54112" xr:uid="{00000000-0005-0000-0000-0000D40A0000}"/>
    <cellStyle name="Style 44 7 2 3 4" xfId="26534" xr:uid="{00000000-0005-0000-0000-0000D40A0000}"/>
    <cellStyle name="Style 44 7 2 3 4 2" xfId="44903" xr:uid="{00000000-0005-0000-0000-0000D40A0000}"/>
    <cellStyle name="Style 44 7 2 3 5" xfId="22827" xr:uid="{00000000-0005-0000-0000-0000D40A0000}"/>
    <cellStyle name="Style 44 7 2 3 6" xfId="41196" xr:uid="{00000000-0005-0000-0000-0000D40A0000}"/>
    <cellStyle name="Style 44 7 2 4" xfId="10513" xr:uid="{00000000-0005-0000-0000-0000D40A0000}"/>
    <cellStyle name="Style 44 7 2 4 2" xfId="14570" xr:uid="{00000000-0005-0000-0000-0000D40A0000}"/>
    <cellStyle name="Style 44 7 2 4 2 2" xfId="32986" xr:uid="{00000000-0005-0000-0000-0000D40A0000}"/>
    <cellStyle name="Style 44 7 2 4 2 3" xfId="51349" xr:uid="{00000000-0005-0000-0000-0000D40A0000}"/>
    <cellStyle name="Style 44 7 2 4 3" xfId="29224" xr:uid="{00000000-0005-0000-0000-0000D40A0000}"/>
    <cellStyle name="Style 44 7 2 4 3 2" xfId="47587" xr:uid="{00000000-0005-0000-0000-0000D40A0000}"/>
    <cellStyle name="Style 44 7 2 4 4" xfId="20027" xr:uid="{00000000-0005-0000-0000-0000D40A0000}"/>
    <cellStyle name="Style 44 7 2 4 5" xfId="38433" xr:uid="{00000000-0005-0000-0000-0000D40A0000}"/>
    <cellStyle name="Style 44 7 2 5" xfId="9839" xr:uid="{00000000-0005-0000-0000-0000D40A0000}"/>
    <cellStyle name="Style 44 7 2 5 2" xfId="28553" xr:uid="{00000000-0005-0000-0000-0000D40A0000}"/>
    <cellStyle name="Style 44 7 2 5 3" xfId="46916" xr:uid="{00000000-0005-0000-0000-0000D40A0000}"/>
    <cellStyle name="Style 44 7 2 6" xfId="13897" xr:uid="{00000000-0005-0000-0000-0000D40A0000}"/>
    <cellStyle name="Style 44 7 2 6 2" xfId="32315" xr:uid="{00000000-0005-0000-0000-0000D40A0000}"/>
    <cellStyle name="Style 44 7 2 6 3" xfId="50678" xr:uid="{00000000-0005-0000-0000-0000D40A0000}"/>
    <cellStyle name="Style 44 7 2 7" xfId="23708" xr:uid="{00000000-0005-0000-0000-0000D40A0000}"/>
    <cellStyle name="Style 44 7 2 7 2" xfId="42077" xr:uid="{00000000-0005-0000-0000-0000D40A0000}"/>
    <cellStyle name="Style 44 7 2 8" xfId="19081" xr:uid="{00000000-0005-0000-0000-0000D40A0000}"/>
    <cellStyle name="Style 44 7 2 9" xfId="37489" xr:uid="{00000000-0005-0000-0000-0000D40A0000}"/>
    <cellStyle name="Style 44 7 3" xfId="5105" xr:uid="{00000000-0005-0000-0000-0000D40A0000}"/>
    <cellStyle name="Style 44 7 3 2" xfId="11616" xr:uid="{00000000-0005-0000-0000-0000D40A0000}"/>
    <cellStyle name="Style 44 7 3 2 2" xfId="30172" xr:uid="{00000000-0005-0000-0000-0000D40A0000}"/>
    <cellStyle name="Style 44 7 3 2 3" xfId="48535" xr:uid="{00000000-0005-0000-0000-0000D40A0000}"/>
    <cellStyle name="Style 44 7 3 3" xfId="15814" xr:uid="{00000000-0005-0000-0000-0000D40A0000}"/>
    <cellStyle name="Style 44 7 3 3 2" xfId="34199" xr:uid="{00000000-0005-0000-0000-0000D40A0000}"/>
    <cellStyle name="Style 44 7 3 3 3" xfId="52562" xr:uid="{00000000-0005-0000-0000-0000D40A0000}"/>
    <cellStyle name="Style 44 7 3 4" xfId="24936" xr:uid="{00000000-0005-0000-0000-0000D40A0000}"/>
    <cellStyle name="Style 44 7 3 4 2" xfId="43305" xr:uid="{00000000-0005-0000-0000-0000D40A0000}"/>
    <cellStyle name="Style 44 7 3 5" xfId="21261" xr:uid="{00000000-0005-0000-0000-0000D40A0000}"/>
    <cellStyle name="Style 44 7 3 6" xfId="39646" xr:uid="{00000000-0005-0000-0000-0000D40A0000}"/>
    <cellStyle name="Style 44 7 4" xfId="6163" xr:uid="{00000000-0005-0000-0000-0000D40A0000}"/>
    <cellStyle name="Style 44 7 4 2" xfId="12500" xr:uid="{00000000-0005-0000-0000-0000D40A0000}"/>
    <cellStyle name="Style 44 7 4 2 2" xfId="30937" xr:uid="{00000000-0005-0000-0000-0000D40A0000}"/>
    <cellStyle name="Style 44 7 4 2 3" xfId="49300" xr:uid="{00000000-0005-0000-0000-0000D40A0000}"/>
    <cellStyle name="Style 44 7 4 3" xfId="16818" xr:uid="{00000000-0005-0000-0000-0000D40A0000}"/>
    <cellStyle name="Style 44 7 4 3 2" xfId="35183" xr:uid="{00000000-0005-0000-0000-0000D40A0000}"/>
    <cellStyle name="Style 44 7 4 3 3" xfId="53546" xr:uid="{00000000-0005-0000-0000-0000D40A0000}"/>
    <cellStyle name="Style 44 7 4 4" xfId="25950" xr:uid="{00000000-0005-0000-0000-0000D40A0000}"/>
    <cellStyle name="Style 44 7 4 4 2" xfId="44319" xr:uid="{00000000-0005-0000-0000-0000D40A0000}"/>
    <cellStyle name="Style 44 7 4 5" xfId="22255" xr:uid="{00000000-0005-0000-0000-0000D40A0000}"/>
    <cellStyle name="Style 44 7 4 6" xfId="40630" xr:uid="{00000000-0005-0000-0000-0000D40A0000}"/>
    <cellStyle name="Style 44 7 5" xfId="9676" xr:uid="{00000000-0005-0000-0000-0000D40A0000}"/>
    <cellStyle name="Style 44 7 5 2" xfId="13733" xr:uid="{00000000-0005-0000-0000-0000D40A0000}"/>
    <cellStyle name="Style 44 7 5 2 2" xfId="32154" xr:uid="{00000000-0005-0000-0000-0000D40A0000}"/>
    <cellStyle name="Style 44 7 5 2 3" xfId="50517" xr:uid="{00000000-0005-0000-0000-0000D40A0000}"/>
    <cellStyle name="Style 44 7 5 3" xfId="28392" xr:uid="{00000000-0005-0000-0000-0000D40A0000}"/>
    <cellStyle name="Style 44 7 5 3 2" xfId="46755" xr:uid="{00000000-0005-0000-0000-0000D40A0000}"/>
    <cellStyle name="Style 44 7 5 4" xfId="18803" xr:uid="{00000000-0005-0000-0000-0000D40A0000}"/>
    <cellStyle name="Style 44 7 5 5" xfId="37212" xr:uid="{00000000-0005-0000-0000-0000D40A0000}"/>
    <cellStyle name="Style 44 7 6" xfId="8581" xr:uid="{00000000-0005-0000-0000-0000D40A0000}"/>
    <cellStyle name="Style 44 7 6 2" xfId="27527" xr:uid="{00000000-0005-0000-0000-0000D40A0000}"/>
    <cellStyle name="Style 44 7 6 3" xfId="45891" xr:uid="{00000000-0005-0000-0000-0000D40A0000}"/>
    <cellStyle name="Style 44 7 7" xfId="8354" xr:uid="{00000000-0005-0000-0000-0000D40A0000}"/>
    <cellStyle name="Style 44 7 7 2" xfId="27421" xr:uid="{00000000-0005-0000-0000-0000D40A0000}"/>
    <cellStyle name="Style 44 7 7 3" xfId="45785" xr:uid="{00000000-0005-0000-0000-0000D40A0000}"/>
    <cellStyle name="Style 44 7 8" xfId="19354" xr:uid="{00000000-0005-0000-0000-0000D40A0000}"/>
    <cellStyle name="Style 44 7 8 2" xfId="37761" xr:uid="{00000000-0005-0000-0000-0000D40A0000}"/>
    <cellStyle name="Style 44 7 9" xfId="16900" xr:uid="{00000000-0005-0000-0000-0000D40A0000}"/>
    <cellStyle name="Style 44 8" xfId="3077" xr:uid="{00000000-0005-0000-0000-0000D50A0000}"/>
    <cellStyle name="Style 44 8 10" xfId="36081" xr:uid="{00000000-0005-0000-0000-0000D50A0000}"/>
    <cellStyle name="Style 44 8 2" xfId="3851" xr:uid="{00000000-0005-0000-0000-0000D50A0000}"/>
    <cellStyle name="Style 44 8 2 2" xfId="6024" xr:uid="{00000000-0005-0000-0000-0000D50A0000}"/>
    <cellStyle name="Style 44 8 2 2 2" xfId="12388" xr:uid="{00000000-0005-0000-0000-0000D50A0000}"/>
    <cellStyle name="Style 44 8 2 2 2 2" xfId="30835" xr:uid="{00000000-0005-0000-0000-0000D50A0000}"/>
    <cellStyle name="Style 44 8 2 2 2 3" xfId="49198" xr:uid="{00000000-0005-0000-0000-0000D50A0000}"/>
    <cellStyle name="Style 44 8 2 2 3" xfId="16714" xr:uid="{00000000-0005-0000-0000-0000D50A0000}"/>
    <cellStyle name="Style 44 8 2 2 3 2" xfId="35086" xr:uid="{00000000-0005-0000-0000-0000D50A0000}"/>
    <cellStyle name="Style 44 8 2 2 3 3" xfId="53449" xr:uid="{00000000-0005-0000-0000-0000D50A0000}"/>
    <cellStyle name="Style 44 8 2 2 4" xfId="25833" xr:uid="{00000000-0005-0000-0000-0000D50A0000}"/>
    <cellStyle name="Style 44 8 2 2 4 2" xfId="44202" xr:uid="{00000000-0005-0000-0000-0000D50A0000}"/>
    <cellStyle name="Style 44 8 2 2 5" xfId="22154" xr:uid="{00000000-0005-0000-0000-0000D50A0000}"/>
    <cellStyle name="Style 44 8 2 2 6" xfId="40533" xr:uid="{00000000-0005-0000-0000-0000D50A0000}"/>
    <cellStyle name="Style 44 8 2 3" xfId="6850" xr:uid="{00000000-0005-0000-0000-0000D50A0000}"/>
    <cellStyle name="Style 44 8 2 3 2" xfId="13141" xr:uid="{00000000-0005-0000-0000-0000D50A0000}"/>
    <cellStyle name="Style 44 8 2 3 2 2" xfId="31567" xr:uid="{00000000-0005-0000-0000-0000D50A0000}"/>
    <cellStyle name="Style 44 8 2 3 2 3" xfId="49930" xr:uid="{00000000-0005-0000-0000-0000D50A0000}"/>
    <cellStyle name="Style 44 8 2 3 3" xfId="17452" xr:uid="{00000000-0005-0000-0000-0000D50A0000}"/>
    <cellStyle name="Style 44 8 2 3 3 2" xfId="35800" xr:uid="{00000000-0005-0000-0000-0000D50A0000}"/>
    <cellStyle name="Style 44 8 2 3 3 3" xfId="54163" xr:uid="{00000000-0005-0000-0000-0000D50A0000}"/>
    <cellStyle name="Style 44 8 2 3 4" xfId="26585" xr:uid="{00000000-0005-0000-0000-0000D50A0000}"/>
    <cellStyle name="Style 44 8 2 3 4 2" xfId="44954" xr:uid="{00000000-0005-0000-0000-0000D50A0000}"/>
    <cellStyle name="Style 44 8 2 3 5" xfId="22878" xr:uid="{00000000-0005-0000-0000-0000D50A0000}"/>
    <cellStyle name="Style 44 8 2 3 6" xfId="41247" xr:uid="{00000000-0005-0000-0000-0000D50A0000}"/>
    <cellStyle name="Style 44 8 2 4" xfId="10564" xr:uid="{00000000-0005-0000-0000-0000D50A0000}"/>
    <cellStyle name="Style 44 8 2 4 2" xfId="14621" xr:uid="{00000000-0005-0000-0000-0000D50A0000}"/>
    <cellStyle name="Style 44 8 2 4 2 2" xfId="33037" xr:uid="{00000000-0005-0000-0000-0000D50A0000}"/>
    <cellStyle name="Style 44 8 2 4 2 3" xfId="51400" xr:uid="{00000000-0005-0000-0000-0000D50A0000}"/>
    <cellStyle name="Style 44 8 2 4 3" xfId="29275" xr:uid="{00000000-0005-0000-0000-0000D50A0000}"/>
    <cellStyle name="Style 44 8 2 4 3 2" xfId="47638" xr:uid="{00000000-0005-0000-0000-0000D50A0000}"/>
    <cellStyle name="Style 44 8 2 4 4" xfId="20078" xr:uid="{00000000-0005-0000-0000-0000D50A0000}"/>
    <cellStyle name="Style 44 8 2 4 5" xfId="38484" xr:uid="{00000000-0005-0000-0000-0000D50A0000}"/>
    <cellStyle name="Style 44 8 2 5" xfId="9938" xr:uid="{00000000-0005-0000-0000-0000D50A0000}"/>
    <cellStyle name="Style 44 8 2 5 2" xfId="28650" xr:uid="{00000000-0005-0000-0000-0000D50A0000}"/>
    <cellStyle name="Style 44 8 2 5 3" xfId="47013" xr:uid="{00000000-0005-0000-0000-0000D50A0000}"/>
    <cellStyle name="Style 44 8 2 6" xfId="13995" xr:uid="{00000000-0005-0000-0000-0000D50A0000}"/>
    <cellStyle name="Style 44 8 2 6 2" xfId="32412" xr:uid="{00000000-0005-0000-0000-0000D50A0000}"/>
    <cellStyle name="Style 44 8 2 6 3" xfId="50775" xr:uid="{00000000-0005-0000-0000-0000D50A0000}"/>
    <cellStyle name="Style 44 8 2 7" xfId="23759" xr:uid="{00000000-0005-0000-0000-0000D50A0000}"/>
    <cellStyle name="Style 44 8 2 7 2" xfId="42128" xr:uid="{00000000-0005-0000-0000-0000D50A0000}"/>
    <cellStyle name="Style 44 8 2 8" xfId="19254" xr:uid="{00000000-0005-0000-0000-0000D50A0000}"/>
    <cellStyle name="Style 44 8 2 9" xfId="37661" xr:uid="{00000000-0005-0000-0000-0000D50A0000}"/>
    <cellStyle name="Style 44 8 3" xfId="5329" xr:uid="{00000000-0005-0000-0000-0000D50A0000}"/>
    <cellStyle name="Style 44 8 3 2" xfId="11764" xr:uid="{00000000-0005-0000-0000-0000D50A0000}"/>
    <cellStyle name="Style 44 8 3 2 2" xfId="30254" xr:uid="{00000000-0005-0000-0000-0000D50A0000}"/>
    <cellStyle name="Style 44 8 3 2 3" xfId="48617" xr:uid="{00000000-0005-0000-0000-0000D50A0000}"/>
    <cellStyle name="Style 44 8 3 3" xfId="16021" xr:uid="{00000000-0005-0000-0000-0000D50A0000}"/>
    <cellStyle name="Style 44 8 3 3 2" xfId="34395" xr:uid="{00000000-0005-0000-0000-0000D50A0000}"/>
    <cellStyle name="Style 44 8 3 3 3" xfId="52758" xr:uid="{00000000-0005-0000-0000-0000D50A0000}"/>
    <cellStyle name="Style 44 8 3 4" xfId="25142" xr:uid="{00000000-0005-0000-0000-0000D50A0000}"/>
    <cellStyle name="Style 44 8 3 4 2" xfId="43511" xr:uid="{00000000-0005-0000-0000-0000D50A0000}"/>
    <cellStyle name="Style 44 8 3 5" xfId="21463" xr:uid="{00000000-0005-0000-0000-0000D50A0000}"/>
    <cellStyle name="Style 44 8 3 6" xfId="39842" xr:uid="{00000000-0005-0000-0000-0000D50A0000}"/>
    <cellStyle name="Style 44 8 4" xfId="6259" xr:uid="{00000000-0005-0000-0000-0000D50A0000}"/>
    <cellStyle name="Style 44 8 4 2" xfId="12563" xr:uid="{00000000-0005-0000-0000-0000D50A0000}"/>
    <cellStyle name="Style 44 8 4 2 2" xfId="30994" xr:uid="{00000000-0005-0000-0000-0000D50A0000}"/>
    <cellStyle name="Style 44 8 4 2 3" xfId="49357" xr:uid="{00000000-0005-0000-0000-0000D50A0000}"/>
    <cellStyle name="Style 44 8 4 3" xfId="16880" xr:uid="{00000000-0005-0000-0000-0000D50A0000}"/>
    <cellStyle name="Style 44 8 4 3 2" xfId="35235" xr:uid="{00000000-0005-0000-0000-0000D50A0000}"/>
    <cellStyle name="Style 44 8 4 3 3" xfId="53598" xr:uid="{00000000-0005-0000-0000-0000D50A0000}"/>
    <cellStyle name="Style 44 8 4 4" xfId="26014" xr:uid="{00000000-0005-0000-0000-0000D50A0000}"/>
    <cellStyle name="Style 44 8 4 4 2" xfId="44383" xr:uid="{00000000-0005-0000-0000-0000D50A0000}"/>
    <cellStyle name="Style 44 8 4 5" xfId="22311" xr:uid="{00000000-0005-0000-0000-0000D50A0000}"/>
    <cellStyle name="Style 44 8 4 6" xfId="40682" xr:uid="{00000000-0005-0000-0000-0000D50A0000}"/>
    <cellStyle name="Style 44 8 5" xfId="10047" xr:uid="{00000000-0005-0000-0000-0000D50A0000}"/>
    <cellStyle name="Style 44 8 5 2" xfId="14104" xr:uid="{00000000-0005-0000-0000-0000D50A0000}"/>
    <cellStyle name="Style 44 8 5 2 2" xfId="32520" xr:uid="{00000000-0005-0000-0000-0000D50A0000}"/>
    <cellStyle name="Style 44 8 5 2 3" xfId="50883" xr:uid="{00000000-0005-0000-0000-0000D50A0000}"/>
    <cellStyle name="Style 44 8 5 3" xfId="28758" xr:uid="{00000000-0005-0000-0000-0000D50A0000}"/>
    <cellStyle name="Style 44 8 5 3 2" xfId="47121" xr:uid="{00000000-0005-0000-0000-0000D50A0000}"/>
    <cellStyle name="Style 44 8 5 4" xfId="19511" xr:uid="{00000000-0005-0000-0000-0000D50A0000}"/>
    <cellStyle name="Style 44 8 5 5" xfId="37917" xr:uid="{00000000-0005-0000-0000-0000D50A0000}"/>
    <cellStyle name="Style 44 8 6" xfId="8847" xr:uid="{00000000-0005-0000-0000-0000D50A0000}"/>
    <cellStyle name="Style 44 8 6 2" xfId="27653" xr:uid="{00000000-0005-0000-0000-0000D50A0000}"/>
    <cellStyle name="Style 44 8 6 3" xfId="46016" xr:uid="{00000000-0005-0000-0000-0000D50A0000}"/>
    <cellStyle name="Style 44 8 7" xfId="6982" xr:uid="{00000000-0005-0000-0000-0000D50A0000}"/>
    <cellStyle name="Style 44 8 7 2" xfId="26695" xr:uid="{00000000-0005-0000-0000-0000D50A0000}"/>
    <cellStyle name="Style 44 8 7 3" xfId="45064" xr:uid="{00000000-0005-0000-0000-0000D50A0000}"/>
    <cellStyle name="Style 44 8 8" xfId="23079" xr:uid="{00000000-0005-0000-0000-0000D50A0000}"/>
    <cellStyle name="Style 44 8 8 2" xfId="41448" xr:uid="{00000000-0005-0000-0000-0000D50A0000}"/>
    <cellStyle name="Style 44 8 9" xfId="17639" xr:uid="{00000000-0005-0000-0000-0000D50A0000}"/>
    <cellStyle name="Style 44 9" xfId="2926" xr:uid="{00000000-0005-0000-0000-0000D60A0000}"/>
    <cellStyle name="Style 44 9 2" xfId="3832" xr:uid="{00000000-0005-0000-0000-0000D60A0000}"/>
    <cellStyle name="Style 44 9 2 2" xfId="6005" xr:uid="{00000000-0005-0000-0000-0000D60A0000}"/>
    <cellStyle name="Style 44 9 2 2 2" xfId="12369" xr:uid="{00000000-0005-0000-0000-0000D60A0000}"/>
    <cellStyle name="Style 44 9 2 2 2 2" xfId="30816" xr:uid="{00000000-0005-0000-0000-0000D60A0000}"/>
    <cellStyle name="Style 44 9 2 2 2 3" xfId="49179" xr:uid="{00000000-0005-0000-0000-0000D60A0000}"/>
    <cellStyle name="Style 44 9 2 2 3" xfId="16695" xr:uid="{00000000-0005-0000-0000-0000D60A0000}"/>
    <cellStyle name="Style 44 9 2 2 3 2" xfId="35067" xr:uid="{00000000-0005-0000-0000-0000D60A0000}"/>
    <cellStyle name="Style 44 9 2 2 3 3" xfId="53430" xr:uid="{00000000-0005-0000-0000-0000D60A0000}"/>
    <cellStyle name="Style 44 9 2 2 4" xfId="25814" xr:uid="{00000000-0005-0000-0000-0000D60A0000}"/>
    <cellStyle name="Style 44 9 2 2 4 2" xfId="44183" xr:uid="{00000000-0005-0000-0000-0000D60A0000}"/>
    <cellStyle name="Style 44 9 2 2 5" xfId="22135" xr:uid="{00000000-0005-0000-0000-0000D60A0000}"/>
    <cellStyle name="Style 44 9 2 2 6" xfId="40514" xr:uid="{00000000-0005-0000-0000-0000D60A0000}"/>
    <cellStyle name="Style 44 9 2 3" xfId="6831" xr:uid="{00000000-0005-0000-0000-0000D60A0000}"/>
    <cellStyle name="Style 44 9 2 3 2" xfId="13122" xr:uid="{00000000-0005-0000-0000-0000D60A0000}"/>
    <cellStyle name="Style 44 9 2 3 2 2" xfId="31548" xr:uid="{00000000-0005-0000-0000-0000D60A0000}"/>
    <cellStyle name="Style 44 9 2 3 2 3" xfId="49911" xr:uid="{00000000-0005-0000-0000-0000D60A0000}"/>
    <cellStyle name="Style 44 9 2 3 3" xfId="17433" xr:uid="{00000000-0005-0000-0000-0000D60A0000}"/>
    <cellStyle name="Style 44 9 2 3 3 2" xfId="35781" xr:uid="{00000000-0005-0000-0000-0000D60A0000}"/>
    <cellStyle name="Style 44 9 2 3 3 3" xfId="54144" xr:uid="{00000000-0005-0000-0000-0000D60A0000}"/>
    <cellStyle name="Style 44 9 2 3 4" xfId="26566" xr:uid="{00000000-0005-0000-0000-0000D60A0000}"/>
    <cellStyle name="Style 44 9 2 3 4 2" xfId="44935" xr:uid="{00000000-0005-0000-0000-0000D60A0000}"/>
    <cellStyle name="Style 44 9 2 3 5" xfId="22859" xr:uid="{00000000-0005-0000-0000-0000D60A0000}"/>
    <cellStyle name="Style 44 9 2 3 6" xfId="41228" xr:uid="{00000000-0005-0000-0000-0000D60A0000}"/>
    <cellStyle name="Style 44 9 2 4" xfId="10545" xr:uid="{00000000-0005-0000-0000-0000D60A0000}"/>
    <cellStyle name="Style 44 9 2 4 2" xfId="14602" xr:uid="{00000000-0005-0000-0000-0000D60A0000}"/>
    <cellStyle name="Style 44 9 2 4 2 2" xfId="33018" xr:uid="{00000000-0005-0000-0000-0000D60A0000}"/>
    <cellStyle name="Style 44 9 2 4 2 3" xfId="51381" xr:uid="{00000000-0005-0000-0000-0000D60A0000}"/>
    <cellStyle name="Style 44 9 2 4 3" xfId="29256" xr:uid="{00000000-0005-0000-0000-0000D60A0000}"/>
    <cellStyle name="Style 44 9 2 4 3 2" xfId="47619" xr:uid="{00000000-0005-0000-0000-0000D60A0000}"/>
    <cellStyle name="Style 44 9 2 4 4" xfId="20059" xr:uid="{00000000-0005-0000-0000-0000D60A0000}"/>
    <cellStyle name="Style 44 9 2 4 5" xfId="38465" xr:uid="{00000000-0005-0000-0000-0000D60A0000}"/>
    <cellStyle name="Style 44 9 2 5" xfId="9906" xr:uid="{00000000-0005-0000-0000-0000D60A0000}"/>
    <cellStyle name="Style 44 9 2 5 2" xfId="28618" xr:uid="{00000000-0005-0000-0000-0000D60A0000}"/>
    <cellStyle name="Style 44 9 2 5 3" xfId="46981" xr:uid="{00000000-0005-0000-0000-0000D60A0000}"/>
    <cellStyle name="Style 44 9 2 6" xfId="13963" xr:uid="{00000000-0005-0000-0000-0000D60A0000}"/>
    <cellStyle name="Style 44 9 2 6 2" xfId="32380" xr:uid="{00000000-0005-0000-0000-0000D60A0000}"/>
    <cellStyle name="Style 44 9 2 6 3" xfId="50743" xr:uid="{00000000-0005-0000-0000-0000D60A0000}"/>
    <cellStyle name="Style 44 9 2 7" xfId="23740" xr:uid="{00000000-0005-0000-0000-0000D60A0000}"/>
    <cellStyle name="Style 44 9 2 7 2" xfId="42109" xr:uid="{00000000-0005-0000-0000-0000D60A0000}"/>
    <cellStyle name="Style 44 9 2 8" xfId="19190" xr:uid="{00000000-0005-0000-0000-0000D60A0000}"/>
    <cellStyle name="Style 44 9 2 9" xfId="37597" xr:uid="{00000000-0005-0000-0000-0000D60A0000}"/>
    <cellStyle name="Style 44 9 3" xfId="6212" xr:uid="{00000000-0005-0000-0000-0000D60A0000}"/>
    <cellStyle name="Style 44 9 3 2" xfId="12541" xr:uid="{00000000-0005-0000-0000-0000D60A0000}"/>
    <cellStyle name="Style 44 9 3 2 2" xfId="30973" xr:uid="{00000000-0005-0000-0000-0000D60A0000}"/>
    <cellStyle name="Style 44 9 3 2 3" xfId="49336" xr:uid="{00000000-0005-0000-0000-0000D60A0000}"/>
    <cellStyle name="Style 44 9 3 3" xfId="16857" xr:uid="{00000000-0005-0000-0000-0000D60A0000}"/>
    <cellStyle name="Style 44 9 3 3 2" xfId="35216" xr:uid="{00000000-0005-0000-0000-0000D60A0000}"/>
    <cellStyle name="Style 44 9 3 3 3" xfId="53579" xr:uid="{00000000-0005-0000-0000-0000D60A0000}"/>
    <cellStyle name="Style 44 9 3 4" xfId="25985" xr:uid="{00000000-0005-0000-0000-0000D60A0000}"/>
    <cellStyle name="Style 44 9 3 4 2" xfId="44354" xr:uid="{00000000-0005-0000-0000-0000D60A0000}"/>
    <cellStyle name="Style 44 9 3 5" xfId="22290" xr:uid="{00000000-0005-0000-0000-0000D60A0000}"/>
    <cellStyle name="Style 44 9 3 6" xfId="40663" xr:uid="{00000000-0005-0000-0000-0000D60A0000}"/>
    <cellStyle name="Style 44 9 4" xfId="8763" xr:uid="{00000000-0005-0000-0000-0000D60A0000}"/>
    <cellStyle name="Style 44 9 4 2" xfId="27628" xr:uid="{00000000-0005-0000-0000-0000D60A0000}"/>
    <cellStyle name="Style 44 9 4 3" xfId="45991" xr:uid="{00000000-0005-0000-0000-0000D60A0000}"/>
    <cellStyle name="Style 44 9 5" xfId="6999" xr:uid="{00000000-0005-0000-0000-0000D60A0000}"/>
    <cellStyle name="Style 44 9 5 2" xfId="26698" xr:uid="{00000000-0005-0000-0000-0000D60A0000}"/>
    <cellStyle name="Style 44 9 5 3" xfId="45067" xr:uid="{00000000-0005-0000-0000-0000D60A0000}"/>
    <cellStyle name="Style 44 9 6" xfId="22947" xr:uid="{00000000-0005-0000-0000-0000D60A0000}"/>
    <cellStyle name="Style 44 9 6 2" xfId="41316" xr:uid="{00000000-0005-0000-0000-0000D60A0000}"/>
    <cellStyle name="Style 44 9 7" xfId="17505" xr:uid="{00000000-0005-0000-0000-0000D60A0000}"/>
    <cellStyle name="Style 44 9 8" xfId="35949" xr:uid="{00000000-0005-0000-0000-0000D60A0000}"/>
    <cellStyle name="Style 44_Summary" xfId="2369" xr:uid="{00000000-0005-0000-0000-0000D70A0000}"/>
    <cellStyle name="Style 45" xfId="841" xr:uid="{00000000-0005-0000-0000-0000D80A0000}"/>
    <cellStyle name="Style 45 2" xfId="1077" xr:uid="{00000000-0005-0000-0000-0000D90A0000}"/>
    <cellStyle name="Style 45 2 2" xfId="1341" xr:uid="{00000000-0005-0000-0000-0000DA0A0000}"/>
    <cellStyle name="Style 45 2 2 2" xfId="3388" xr:uid="{00000000-0005-0000-0000-0000DA0A0000}"/>
    <cellStyle name="Style 45 2 2 2 2" xfId="5563" xr:uid="{00000000-0005-0000-0000-0000DA0A0000}"/>
    <cellStyle name="Style 45 2 2 2 2 2" xfId="11927" xr:uid="{00000000-0005-0000-0000-0000DA0A0000}"/>
    <cellStyle name="Style 45 2 2 2 2 2 2" xfId="30374" xr:uid="{00000000-0005-0000-0000-0000DA0A0000}"/>
    <cellStyle name="Style 45 2 2 2 2 2 3" xfId="48737" xr:uid="{00000000-0005-0000-0000-0000DA0A0000}"/>
    <cellStyle name="Style 45 2 2 2 2 3" xfId="16253" xr:uid="{00000000-0005-0000-0000-0000DA0A0000}"/>
    <cellStyle name="Style 45 2 2 2 2 3 2" xfId="34625" xr:uid="{00000000-0005-0000-0000-0000DA0A0000}"/>
    <cellStyle name="Style 45 2 2 2 2 3 3" xfId="52988" xr:uid="{00000000-0005-0000-0000-0000DA0A0000}"/>
    <cellStyle name="Style 45 2 2 2 2 4" xfId="25372" xr:uid="{00000000-0005-0000-0000-0000DA0A0000}"/>
    <cellStyle name="Style 45 2 2 2 2 4 2" xfId="43741" xr:uid="{00000000-0005-0000-0000-0000DA0A0000}"/>
    <cellStyle name="Style 45 2 2 2 2 5" xfId="21693" xr:uid="{00000000-0005-0000-0000-0000DA0A0000}"/>
    <cellStyle name="Style 45 2 2 2 2 6" xfId="40072" xr:uid="{00000000-0005-0000-0000-0000DA0A0000}"/>
    <cellStyle name="Style 45 2 2 2 3" xfId="6387" xr:uid="{00000000-0005-0000-0000-0000DA0A0000}"/>
    <cellStyle name="Style 45 2 2 2 3 2" xfId="12678" xr:uid="{00000000-0005-0000-0000-0000DA0A0000}"/>
    <cellStyle name="Style 45 2 2 2 3 2 2" xfId="31104" xr:uid="{00000000-0005-0000-0000-0000DA0A0000}"/>
    <cellStyle name="Style 45 2 2 2 3 2 3" xfId="49467" xr:uid="{00000000-0005-0000-0000-0000DA0A0000}"/>
    <cellStyle name="Style 45 2 2 2 3 3" xfId="16989" xr:uid="{00000000-0005-0000-0000-0000DA0A0000}"/>
    <cellStyle name="Style 45 2 2 2 3 3 2" xfId="35337" xr:uid="{00000000-0005-0000-0000-0000DA0A0000}"/>
    <cellStyle name="Style 45 2 2 2 3 3 3" xfId="53700" xr:uid="{00000000-0005-0000-0000-0000DA0A0000}"/>
    <cellStyle name="Style 45 2 2 2 3 4" xfId="26122" xr:uid="{00000000-0005-0000-0000-0000DA0A0000}"/>
    <cellStyle name="Style 45 2 2 2 3 4 2" xfId="44491" xr:uid="{00000000-0005-0000-0000-0000DA0A0000}"/>
    <cellStyle name="Style 45 2 2 2 3 5" xfId="22415" xr:uid="{00000000-0005-0000-0000-0000DA0A0000}"/>
    <cellStyle name="Style 45 2 2 2 3 6" xfId="40784" xr:uid="{00000000-0005-0000-0000-0000DA0A0000}"/>
    <cellStyle name="Style 45 2 2 2 4" xfId="10101" xr:uid="{00000000-0005-0000-0000-0000DA0A0000}"/>
    <cellStyle name="Style 45 2 2 2 4 2" xfId="14158" xr:uid="{00000000-0005-0000-0000-0000DA0A0000}"/>
    <cellStyle name="Style 45 2 2 2 4 2 2" xfId="32574" xr:uid="{00000000-0005-0000-0000-0000DA0A0000}"/>
    <cellStyle name="Style 45 2 2 2 4 2 3" xfId="50937" xr:uid="{00000000-0005-0000-0000-0000DA0A0000}"/>
    <cellStyle name="Style 45 2 2 2 4 3" xfId="28812" xr:uid="{00000000-0005-0000-0000-0000DA0A0000}"/>
    <cellStyle name="Style 45 2 2 2 4 3 2" xfId="47175" xr:uid="{00000000-0005-0000-0000-0000DA0A0000}"/>
    <cellStyle name="Style 45 2 2 2 4 4" xfId="19615" xr:uid="{00000000-0005-0000-0000-0000DA0A0000}"/>
    <cellStyle name="Style 45 2 2 2 4 5" xfId="38021" xr:uid="{00000000-0005-0000-0000-0000DA0A0000}"/>
    <cellStyle name="Style 45 2 2 2 5" xfId="9288" xr:uid="{00000000-0005-0000-0000-0000DA0A0000}"/>
    <cellStyle name="Style 45 2 2 2 5 2" xfId="28007" xr:uid="{00000000-0005-0000-0000-0000DA0A0000}"/>
    <cellStyle name="Style 45 2 2 2 5 3" xfId="46370" xr:uid="{00000000-0005-0000-0000-0000DA0A0000}"/>
    <cellStyle name="Style 45 2 2 2 6" xfId="13344" xr:uid="{00000000-0005-0000-0000-0000DA0A0000}"/>
    <cellStyle name="Style 45 2 2 2 6 2" xfId="31765" xr:uid="{00000000-0005-0000-0000-0000DA0A0000}"/>
    <cellStyle name="Style 45 2 2 2 6 3" xfId="50128" xr:uid="{00000000-0005-0000-0000-0000DA0A0000}"/>
    <cellStyle name="Style 45 2 2 2 7" xfId="23296" xr:uid="{00000000-0005-0000-0000-0000DA0A0000}"/>
    <cellStyle name="Style 45 2 2 2 7 2" xfId="41665" xr:uid="{00000000-0005-0000-0000-0000DA0A0000}"/>
    <cellStyle name="Style 45 2 2 2 8" xfId="18362" xr:uid="{00000000-0005-0000-0000-0000DA0A0000}"/>
    <cellStyle name="Style 45 2 2 2 9" xfId="36768" xr:uid="{00000000-0005-0000-0000-0000DA0A0000}"/>
    <cellStyle name="Style 45 2 2 3" xfId="4377" xr:uid="{00000000-0005-0000-0000-0000DA0A0000}"/>
    <cellStyle name="Style 45 2 2 3 2" xfId="10977" xr:uid="{00000000-0005-0000-0000-0000DA0A0000}"/>
    <cellStyle name="Style 45 2 2 3 2 2" xfId="29599" xr:uid="{00000000-0005-0000-0000-0000DA0A0000}"/>
    <cellStyle name="Style 45 2 2 3 2 3" xfId="47962" xr:uid="{00000000-0005-0000-0000-0000DA0A0000}"/>
    <cellStyle name="Style 45 2 2 3 3" xfId="15113" xr:uid="{00000000-0005-0000-0000-0000DA0A0000}"/>
    <cellStyle name="Style 45 2 2 3 3 2" xfId="33510" xr:uid="{00000000-0005-0000-0000-0000DA0A0000}"/>
    <cellStyle name="Style 45 2 2 3 3 3" xfId="51873" xr:uid="{00000000-0005-0000-0000-0000DA0A0000}"/>
    <cellStyle name="Style 45 2 2 3 4" xfId="24241" xr:uid="{00000000-0005-0000-0000-0000DA0A0000}"/>
    <cellStyle name="Style 45 2 2 3 4 2" xfId="42610" xr:uid="{00000000-0005-0000-0000-0000DA0A0000}"/>
    <cellStyle name="Style 45 2 2 3 5" xfId="20564" xr:uid="{00000000-0005-0000-0000-0000DA0A0000}"/>
    <cellStyle name="Style 45 2 2 3 6" xfId="38957" xr:uid="{00000000-0005-0000-0000-0000DA0A0000}"/>
    <cellStyle name="Style 45 2 2 4" xfId="5065" xr:uid="{00000000-0005-0000-0000-0000DA0A0000}"/>
    <cellStyle name="Style 45 2 2 4 2" xfId="11587" xr:uid="{00000000-0005-0000-0000-0000DA0A0000}"/>
    <cellStyle name="Style 45 2 2 4 2 2" xfId="30155" xr:uid="{00000000-0005-0000-0000-0000DA0A0000}"/>
    <cellStyle name="Style 45 2 2 4 2 3" xfId="48518" xr:uid="{00000000-0005-0000-0000-0000DA0A0000}"/>
    <cellStyle name="Style 45 2 2 4 3" xfId="15778" xr:uid="{00000000-0005-0000-0000-0000DA0A0000}"/>
    <cellStyle name="Style 45 2 2 4 3 2" xfId="34165" xr:uid="{00000000-0005-0000-0000-0000DA0A0000}"/>
    <cellStyle name="Style 45 2 2 4 3 3" xfId="52528" xr:uid="{00000000-0005-0000-0000-0000DA0A0000}"/>
    <cellStyle name="Style 45 2 2 4 4" xfId="24901" xr:uid="{00000000-0005-0000-0000-0000DA0A0000}"/>
    <cellStyle name="Style 45 2 2 4 4 2" xfId="43270" xr:uid="{00000000-0005-0000-0000-0000DA0A0000}"/>
    <cellStyle name="Style 45 2 2 4 5" xfId="21226" xr:uid="{00000000-0005-0000-0000-0000DA0A0000}"/>
    <cellStyle name="Style 45 2 2 4 6" xfId="39612" xr:uid="{00000000-0005-0000-0000-0000DA0A0000}"/>
    <cellStyle name="Style 45 2 2 5" xfId="9887" xr:uid="{00000000-0005-0000-0000-0000DA0A0000}"/>
    <cellStyle name="Style 45 2 2 5 2" xfId="13945" xr:uid="{00000000-0005-0000-0000-0000DA0A0000}"/>
    <cellStyle name="Style 45 2 2 5 2 2" xfId="32363" xr:uid="{00000000-0005-0000-0000-0000DA0A0000}"/>
    <cellStyle name="Style 45 2 2 5 2 3" xfId="50726" xr:uid="{00000000-0005-0000-0000-0000DA0A0000}"/>
    <cellStyle name="Style 45 2 2 5 3" xfId="28601" xr:uid="{00000000-0005-0000-0000-0000DA0A0000}"/>
    <cellStyle name="Style 45 2 2 5 3 2" xfId="46964" xr:uid="{00000000-0005-0000-0000-0000DA0A0000}"/>
    <cellStyle name="Style 45 2 2 5 4" xfId="19163" xr:uid="{00000000-0005-0000-0000-0000DA0A0000}"/>
    <cellStyle name="Style 45 2 2 5 5" xfId="37571" xr:uid="{00000000-0005-0000-0000-0000DA0A0000}"/>
    <cellStyle name="Style 45 2 2 6" xfId="7638" xr:uid="{00000000-0005-0000-0000-0000DA0A0000}"/>
    <cellStyle name="Style 45 2 2 6 2" xfId="26925" xr:uid="{00000000-0005-0000-0000-0000DA0A0000}"/>
    <cellStyle name="Style 45 2 2 6 3" xfId="45290" xr:uid="{00000000-0005-0000-0000-0000DA0A0000}"/>
    <cellStyle name="Style 45 2 2 7" xfId="7228" xr:uid="{00000000-0005-0000-0000-0000DA0A0000}"/>
    <cellStyle name="Style 45 2 2 7 2" xfId="26771" xr:uid="{00000000-0005-0000-0000-0000DA0A0000}"/>
    <cellStyle name="Style 45 2 2 7 3" xfId="45139" xr:uid="{00000000-0005-0000-0000-0000DA0A0000}"/>
    <cellStyle name="Style 45 2 2 8" xfId="7859" xr:uid="{00000000-0005-0000-0000-0000DA0A0000}"/>
    <cellStyle name="Style 45 2 2 9" xfId="12508" xr:uid="{00000000-0005-0000-0000-0000DA0A0000}"/>
    <cellStyle name="Style 45 2 3" xfId="1386" xr:uid="{00000000-0005-0000-0000-0000DB0A0000}"/>
    <cellStyle name="Style 45 2 3 10" xfId="8162" xr:uid="{00000000-0005-0000-0000-0000DB0A0000}"/>
    <cellStyle name="Style 45 2 3 2" xfId="3419" xr:uid="{00000000-0005-0000-0000-0000DB0A0000}"/>
    <cellStyle name="Style 45 2 3 2 2" xfId="5594" xr:uid="{00000000-0005-0000-0000-0000DB0A0000}"/>
    <cellStyle name="Style 45 2 3 2 2 2" xfId="11958" xr:uid="{00000000-0005-0000-0000-0000DB0A0000}"/>
    <cellStyle name="Style 45 2 3 2 2 2 2" xfId="30405" xr:uid="{00000000-0005-0000-0000-0000DB0A0000}"/>
    <cellStyle name="Style 45 2 3 2 2 2 3" xfId="48768" xr:uid="{00000000-0005-0000-0000-0000DB0A0000}"/>
    <cellStyle name="Style 45 2 3 2 2 3" xfId="16284" xr:uid="{00000000-0005-0000-0000-0000DB0A0000}"/>
    <cellStyle name="Style 45 2 3 2 2 3 2" xfId="34656" xr:uid="{00000000-0005-0000-0000-0000DB0A0000}"/>
    <cellStyle name="Style 45 2 3 2 2 3 3" xfId="53019" xr:uid="{00000000-0005-0000-0000-0000DB0A0000}"/>
    <cellStyle name="Style 45 2 3 2 2 4" xfId="25403" xr:uid="{00000000-0005-0000-0000-0000DB0A0000}"/>
    <cellStyle name="Style 45 2 3 2 2 4 2" xfId="43772" xr:uid="{00000000-0005-0000-0000-0000DB0A0000}"/>
    <cellStyle name="Style 45 2 3 2 2 5" xfId="21724" xr:uid="{00000000-0005-0000-0000-0000DB0A0000}"/>
    <cellStyle name="Style 45 2 3 2 2 6" xfId="40103" xr:uid="{00000000-0005-0000-0000-0000DB0A0000}"/>
    <cellStyle name="Style 45 2 3 2 3" xfId="6418" xr:uid="{00000000-0005-0000-0000-0000DB0A0000}"/>
    <cellStyle name="Style 45 2 3 2 3 2" xfId="12709" xr:uid="{00000000-0005-0000-0000-0000DB0A0000}"/>
    <cellStyle name="Style 45 2 3 2 3 2 2" xfId="31135" xr:uid="{00000000-0005-0000-0000-0000DB0A0000}"/>
    <cellStyle name="Style 45 2 3 2 3 2 3" xfId="49498" xr:uid="{00000000-0005-0000-0000-0000DB0A0000}"/>
    <cellStyle name="Style 45 2 3 2 3 3" xfId="17020" xr:uid="{00000000-0005-0000-0000-0000DB0A0000}"/>
    <cellStyle name="Style 45 2 3 2 3 3 2" xfId="35368" xr:uid="{00000000-0005-0000-0000-0000DB0A0000}"/>
    <cellStyle name="Style 45 2 3 2 3 3 3" xfId="53731" xr:uid="{00000000-0005-0000-0000-0000DB0A0000}"/>
    <cellStyle name="Style 45 2 3 2 3 4" xfId="26153" xr:uid="{00000000-0005-0000-0000-0000DB0A0000}"/>
    <cellStyle name="Style 45 2 3 2 3 4 2" xfId="44522" xr:uid="{00000000-0005-0000-0000-0000DB0A0000}"/>
    <cellStyle name="Style 45 2 3 2 3 5" xfId="22446" xr:uid="{00000000-0005-0000-0000-0000DB0A0000}"/>
    <cellStyle name="Style 45 2 3 2 3 6" xfId="40815" xr:uid="{00000000-0005-0000-0000-0000DB0A0000}"/>
    <cellStyle name="Style 45 2 3 2 4" xfId="10132" xr:uid="{00000000-0005-0000-0000-0000DB0A0000}"/>
    <cellStyle name="Style 45 2 3 2 4 2" xfId="14189" xr:uid="{00000000-0005-0000-0000-0000DB0A0000}"/>
    <cellStyle name="Style 45 2 3 2 4 2 2" xfId="32605" xr:uid="{00000000-0005-0000-0000-0000DB0A0000}"/>
    <cellStyle name="Style 45 2 3 2 4 2 3" xfId="50968" xr:uid="{00000000-0005-0000-0000-0000DB0A0000}"/>
    <cellStyle name="Style 45 2 3 2 4 3" xfId="28843" xr:uid="{00000000-0005-0000-0000-0000DB0A0000}"/>
    <cellStyle name="Style 45 2 3 2 4 3 2" xfId="47206" xr:uid="{00000000-0005-0000-0000-0000DB0A0000}"/>
    <cellStyle name="Style 45 2 3 2 4 4" xfId="19646" xr:uid="{00000000-0005-0000-0000-0000DB0A0000}"/>
    <cellStyle name="Style 45 2 3 2 4 5" xfId="38052" xr:uid="{00000000-0005-0000-0000-0000DB0A0000}"/>
    <cellStyle name="Style 45 2 3 2 5" xfId="9319" xr:uid="{00000000-0005-0000-0000-0000DB0A0000}"/>
    <cellStyle name="Style 45 2 3 2 5 2" xfId="28038" xr:uid="{00000000-0005-0000-0000-0000DB0A0000}"/>
    <cellStyle name="Style 45 2 3 2 5 3" xfId="46401" xr:uid="{00000000-0005-0000-0000-0000DB0A0000}"/>
    <cellStyle name="Style 45 2 3 2 6" xfId="13375" xr:uid="{00000000-0005-0000-0000-0000DB0A0000}"/>
    <cellStyle name="Style 45 2 3 2 6 2" xfId="31796" xr:uid="{00000000-0005-0000-0000-0000DB0A0000}"/>
    <cellStyle name="Style 45 2 3 2 6 3" xfId="50159" xr:uid="{00000000-0005-0000-0000-0000DB0A0000}"/>
    <cellStyle name="Style 45 2 3 2 7" xfId="23327" xr:uid="{00000000-0005-0000-0000-0000DB0A0000}"/>
    <cellStyle name="Style 45 2 3 2 7 2" xfId="41696" xr:uid="{00000000-0005-0000-0000-0000DB0A0000}"/>
    <cellStyle name="Style 45 2 3 2 8" xfId="18398" xr:uid="{00000000-0005-0000-0000-0000DB0A0000}"/>
    <cellStyle name="Style 45 2 3 2 9" xfId="36804" xr:uid="{00000000-0005-0000-0000-0000DB0A0000}"/>
    <cellStyle name="Style 45 2 3 3" xfId="4412" xr:uid="{00000000-0005-0000-0000-0000DB0A0000}"/>
    <cellStyle name="Style 45 2 3 3 2" xfId="11011" xr:uid="{00000000-0005-0000-0000-0000DB0A0000}"/>
    <cellStyle name="Style 45 2 3 3 2 2" xfId="29631" xr:uid="{00000000-0005-0000-0000-0000DB0A0000}"/>
    <cellStyle name="Style 45 2 3 3 2 3" xfId="47994" xr:uid="{00000000-0005-0000-0000-0000DB0A0000}"/>
    <cellStyle name="Style 45 2 3 3 3" xfId="15146" xr:uid="{00000000-0005-0000-0000-0000DB0A0000}"/>
    <cellStyle name="Style 45 2 3 3 3 2" xfId="33543" xr:uid="{00000000-0005-0000-0000-0000DB0A0000}"/>
    <cellStyle name="Style 45 2 3 3 3 3" xfId="51906" xr:uid="{00000000-0005-0000-0000-0000DB0A0000}"/>
    <cellStyle name="Style 45 2 3 3 4" xfId="24274" xr:uid="{00000000-0005-0000-0000-0000DB0A0000}"/>
    <cellStyle name="Style 45 2 3 3 4 2" xfId="42643" xr:uid="{00000000-0005-0000-0000-0000DB0A0000}"/>
    <cellStyle name="Style 45 2 3 3 5" xfId="20597" xr:uid="{00000000-0005-0000-0000-0000DB0A0000}"/>
    <cellStyle name="Style 45 2 3 3 6" xfId="38990" xr:uid="{00000000-0005-0000-0000-0000DB0A0000}"/>
    <cellStyle name="Style 45 2 3 4" xfId="4354" xr:uid="{00000000-0005-0000-0000-0000DB0A0000}"/>
    <cellStyle name="Style 45 2 3 4 2" xfId="10957" xr:uid="{00000000-0005-0000-0000-0000DB0A0000}"/>
    <cellStyle name="Style 45 2 3 4 2 2" xfId="29583" xr:uid="{00000000-0005-0000-0000-0000DB0A0000}"/>
    <cellStyle name="Style 45 2 3 4 2 3" xfId="47946" xr:uid="{00000000-0005-0000-0000-0000DB0A0000}"/>
    <cellStyle name="Style 45 2 3 4 3" xfId="15094" xr:uid="{00000000-0005-0000-0000-0000DB0A0000}"/>
    <cellStyle name="Style 45 2 3 4 3 2" xfId="33494" xr:uid="{00000000-0005-0000-0000-0000DB0A0000}"/>
    <cellStyle name="Style 45 2 3 4 3 3" xfId="51857" xr:uid="{00000000-0005-0000-0000-0000DB0A0000}"/>
    <cellStyle name="Style 45 2 3 4 4" xfId="24224" xr:uid="{00000000-0005-0000-0000-0000DB0A0000}"/>
    <cellStyle name="Style 45 2 3 4 4 2" xfId="42593" xr:uid="{00000000-0005-0000-0000-0000DB0A0000}"/>
    <cellStyle name="Style 45 2 3 4 5" xfId="20546" xr:uid="{00000000-0005-0000-0000-0000DB0A0000}"/>
    <cellStyle name="Style 45 2 3 4 6" xfId="38941" xr:uid="{00000000-0005-0000-0000-0000DB0A0000}"/>
    <cellStyle name="Style 45 2 3 5" xfId="9675" xr:uid="{00000000-0005-0000-0000-0000DB0A0000}"/>
    <cellStyle name="Style 45 2 3 5 2" xfId="13732" xr:uid="{00000000-0005-0000-0000-0000DB0A0000}"/>
    <cellStyle name="Style 45 2 3 5 2 2" xfId="32153" xr:uid="{00000000-0005-0000-0000-0000DB0A0000}"/>
    <cellStyle name="Style 45 2 3 5 2 3" xfId="50516" xr:uid="{00000000-0005-0000-0000-0000DB0A0000}"/>
    <cellStyle name="Style 45 2 3 5 3" xfId="28391" xr:uid="{00000000-0005-0000-0000-0000DB0A0000}"/>
    <cellStyle name="Style 45 2 3 5 3 2" xfId="46754" xr:uid="{00000000-0005-0000-0000-0000DB0A0000}"/>
    <cellStyle name="Style 45 2 3 5 4" xfId="18802" xr:uid="{00000000-0005-0000-0000-0000DB0A0000}"/>
    <cellStyle name="Style 45 2 3 5 5" xfId="37211" xr:uid="{00000000-0005-0000-0000-0000DB0A0000}"/>
    <cellStyle name="Style 45 2 3 6" xfId="7678" xr:uid="{00000000-0005-0000-0000-0000DB0A0000}"/>
    <cellStyle name="Style 45 2 3 6 2" xfId="26960" xr:uid="{00000000-0005-0000-0000-0000DB0A0000}"/>
    <cellStyle name="Style 45 2 3 6 3" xfId="45325" xr:uid="{00000000-0005-0000-0000-0000DB0A0000}"/>
    <cellStyle name="Style 45 2 3 7" xfId="8133" xr:uid="{00000000-0005-0000-0000-0000DB0A0000}"/>
    <cellStyle name="Style 45 2 3 7 2" xfId="27337" xr:uid="{00000000-0005-0000-0000-0000DB0A0000}"/>
    <cellStyle name="Style 45 2 3 7 3" xfId="45702" xr:uid="{00000000-0005-0000-0000-0000DB0A0000}"/>
    <cellStyle name="Style 45 2 3 8" xfId="19457" xr:uid="{00000000-0005-0000-0000-0000DB0A0000}"/>
    <cellStyle name="Style 45 2 3 8 2" xfId="37863" xr:uid="{00000000-0005-0000-0000-0000DB0A0000}"/>
    <cellStyle name="Style 45 2 3 9" xfId="7824" xr:uid="{00000000-0005-0000-0000-0000DB0A0000}"/>
    <cellStyle name="Style 45 2 4" xfId="1921" xr:uid="{00000000-0005-0000-0000-0000DC0A0000}"/>
    <cellStyle name="Style 45 2 4 10" xfId="8290" xr:uid="{00000000-0005-0000-0000-0000DC0A0000}"/>
    <cellStyle name="Style 45 2 4 2" xfId="3739" xr:uid="{00000000-0005-0000-0000-0000DC0A0000}"/>
    <cellStyle name="Style 45 2 4 2 2" xfId="5912" xr:uid="{00000000-0005-0000-0000-0000DC0A0000}"/>
    <cellStyle name="Style 45 2 4 2 2 2" xfId="12276" xr:uid="{00000000-0005-0000-0000-0000DC0A0000}"/>
    <cellStyle name="Style 45 2 4 2 2 2 2" xfId="30723" xr:uid="{00000000-0005-0000-0000-0000DC0A0000}"/>
    <cellStyle name="Style 45 2 4 2 2 2 3" xfId="49086" xr:uid="{00000000-0005-0000-0000-0000DC0A0000}"/>
    <cellStyle name="Style 45 2 4 2 2 3" xfId="16602" xr:uid="{00000000-0005-0000-0000-0000DC0A0000}"/>
    <cellStyle name="Style 45 2 4 2 2 3 2" xfId="34974" xr:uid="{00000000-0005-0000-0000-0000DC0A0000}"/>
    <cellStyle name="Style 45 2 4 2 2 3 3" xfId="53337" xr:uid="{00000000-0005-0000-0000-0000DC0A0000}"/>
    <cellStyle name="Style 45 2 4 2 2 4" xfId="25721" xr:uid="{00000000-0005-0000-0000-0000DC0A0000}"/>
    <cellStyle name="Style 45 2 4 2 2 4 2" xfId="44090" xr:uid="{00000000-0005-0000-0000-0000DC0A0000}"/>
    <cellStyle name="Style 45 2 4 2 2 5" xfId="22042" xr:uid="{00000000-0005-0000-0000-0000DC0A0000}"/>
    <cellStyle name="Style 45 2 4 2 2 6" xfId="40421" xr:uid="{00000000-0005-0000-0000-0000DC0A0000}"/>
    <cellStyle name="Style 45 2 4 2 3" xfId="6738" xr:uid="{00000000-0005-0000-0000-0000DC0A0000}"/>
    <cellStyle name="Style 45 2 4 2 3 2" xfId="13029" xr:uid="{00000000-0005-0000-0000-0000DC0A0000}"/>
    <cellStyle name="Style 45 2 4 2 3 2 2" xfId="31455" xr:uid="{00000000-0005-0000-0000-0000DC0A0000}"/>
    <cellStyle name="Style 45 2 4 2 3 2 3" xfId="49818" xr:uid="{00000000-0005-0000-0000-0000DC0A0000}"/>
    <cellStyle name="Style 45 2 4 2 3 3" xfId="17340" xr:uid="{00000000-0005-0000-0000-0000DC0A0000}"/>
    <cellStyle name="Style 45 2 4 2 3 3 2" xfId="35688" xr:uid="{00000000-0005-0000-0000-0000DC0A0000}"/>
    <cellStyle name="Style 45 2 4 2 3 3 3" xfId="54051" xr:uid="{00000000-0005-0000-0000-0000DC0A0000}"/>
    <cellStyle name="Style 45 2 4 2 3 4" xfId="26473" xr:uid="{00000000-0005-0000-0000-0000DC0A0000}"/>
    <cellStyle name="Style 45 2 4 2 3 4 2" xfId="44842" xr:uid="{00000000-0005-0000-0000-0000DC0A0000}"/>
    <cellStyle name="Style 45 2 4 2 3 5" xfId="22766" xr:uid="{00000000-0005-0000-0000-0000DC0A0000}"/>
    <cellStyle name="Style 45 2 4 2 3 6" xfId="41135" xr:uid="{00000000-0005-0000-0000-0000DC0A0000}"/>
    <cellStyle name="Style 45 2 4 2 4" xfId="10452" xr:uid="{00000000-0005-0000-0000-0000DC0A0000}"/>
    <cellStyle name="Style 45 2 4 2 4 2" xfId="14509" xr:uid="{00000000-0005-0000-0000-0000DC0A0000}"/>
    <cellStyle name="Style 45 2 4 2 4 2 2" xfId="32925" xr:uid="{00000000-0005-0000-0000-0000DC0A0000}"/>
    <cellStyle name="Style 45 2 4 2 4 2 3" xfId="51288" xr:uid="{00000000-0005-0000-0000-0000DC0A0000}"/>
    <cellStyle name="Style 45 2 4 2 4 3" xfId="29163" xr:uid="{00000000-0005-0000-0000-0000DC0A0000}"/>
    <cellStyle name="Style 45 2 4 2 4 3 2" xfId="47526" xr:uid="{00000000-0005-0000-0000-0000DC0A0000}"/>
    <cellStyle name="Style 45 2 4 2 4 4" xfId="19966" xr:uid="{00000000-0005-0000-0000-0000DC0A0000}"/>
    <cellStyle name="Style 45 2 4 2 4 5" xfId="38372" xr:uid="{00000000-0005-0000-0000-0000DC0A0000}"/>
    <cellStyle name="Style 45 2 4 2 5" xfId="9668" xr:uid="{00000000-0005-0000-0000-0000DC0A0000}"/>
    <cellStyle name="Style 45 2 4 2 5 2" xfId="28384" xr:uid="{00000000-0005-0000-0000-0000DC0A0000}"/>
    <cellStyle name="Style 45 2 4 2 5 3" xfId="46747" xr:uid="{00000000-0005-0000-0000-0000DC0A0000}"/>
    <cellStyle name="Style 45 2 4 2 6" xfId="13725" xr:uid="{00000000-0005-0000-0000-0000DC0A0000}"/>
    <cellStyle name="Style 45 2 4 2 6 2" xfId="32146" xr:uid="{00000000-0005-0000-0000-0000DC0A0000}"/>
    <cellStyle name="Style 45 2 4 2 6 3" xfId="50509" xr:uid="{00000000-0005-0000-0000-0000DC0A0000}"/>
    <cellStyle name="Style 45 2 4 2 7" xfId="23647" xr:uid="{00000000-0005-0000-0000-0000DC0A0000}"/>
    <cellStyle name="Style 45 2 4 2 7 2" xfId="42016" xr:uid="{00000000-0005-0000-0000-0000DC0A0000}"/>
    <cellStyle name="Style 45 2 4 2 8" xfId="18793" xr:uid="{00000000-0005-0000-0000-0000DC0A0000}"/>
    <cellStyle name="Style 45 2 4 2 9" xfId="37202" xr:uid="{00000000-0005-0000-0000-0000DC0A0000}"/>
    <cellStyle name="Style 45 2 4 3" xfId="4832" xr:uid="{00000000-0005-0000-0000-0000DC0A0000}"/>
    <cellStyle name="Style 45 2 4 3 2" xfId="11393" xr:uid="{00000000-0005-0000-0000-0000DC0A0000}"/>
    <cellStyle name="Style 45 2 4 3 2 2" xfId="29985" xr:uid="{00000000-0005-0000-0000-0000DC0A0000}"/>
    <cellStyle name="Style 45 2 4 3 2 3" xfId="48348" xr:uid="{00000000-0005-0000-0000-0000DC0A0000}"/>
    <cellStyle name="Style 45 2 4 3 3" xfId="15558" xr:uid="{00000000-0005-0000-0000-0000DC0A0000}"/>
    <cellStyle name="Style 45 2 4 3 3 2" xfId="33951" xr:uid="{00000000-0005-0000-0000-0000DC0A0000}"/>
    <cellStyle name="Style 45 2 4 3 3 3" xfId="52314" xr:uid="{00000000-0005-0000-0000-0000DC0A0000}"/>
    <cellStyle name="Style 45 2 4 3 4" xfId="24682" xr:uid="{00000000-0005-0000-0000-0000DC0A0000}"/>
    <cellStyle name="Style 45 2 4 3 4 2" xfId="43051" xr:uid="{00000000-0005-0000-0000-0000DC0A0000}"/>
    <cellStyle name="Style 45 2 4 3 5" xfId="21009" xr:uid="{00000000-0005-0000-0000-0000DC0A0000}"/>
    <cellStyle name="Style 45 2 4 3 6" xfId="39398" xr:uid="{00000000-0005-0000-0000-0000DC0A0000}"/>
    <cellStyle name="Style 45 2 4 4" xfId="4566" xr:uid="{00000000-0005-0000-0000-0000DC0A0000}"/>
    <cellStyle name="Style 45 2 4 4 2" xfId="11151" xr:uid="{00000000-0005-0000-0000-0000DC0A0000}"/>
    <cellStyle name="Style 45 2 4 4 2 2" xfId="29765" xr:uid="{00000000-0005-0000-0000-0000DC0A0000}"/>
    <cellStyle name="Style 45 2 4 4 2 3" xfId="48128" xr:uid="{00000000-0005-0000-0000-0000DC0A0000}"/>
    <cellStyle name="Style 45 2 4 4 3" xfId="15292" xr:uid="{00000000-0005-0000-0000-0000DC0A0000}"/>
    <cellStyle name="Style 45 2 4 4 3 2" xfId="33686" xr:uid="{00000000-0005-0000-0000-0000DC0A0000}"/>
    <cellStyle name="Style 45 2 4 4 3 3" xfId="52049" xr:uid="{00000000-0005-0000-0000-0000DC0A0000}"/>
    <cellStyle name="Style 45 2 4 4 4" xfId="24417" xr:uid="{00000000-0005-0000-0000-0000DC0A0000}"/>
    <cellStyle name="Style 45 2 4 4 4 2" xfId="42786" xr:uid="{00000000-0005-0000-0000-0000DC0A0000}"/>
    <cellStyle name="Style 45 2 4 4 5" xfId="20743" xr:uid="{00000000-0005-0000-0000-0000DC0A0000}"/>
    <cellStyle name="Style 45 2 4 4 6" xfId="39133" xr:uid="{00000000-0005-0000-0000-0000DC0A0000}"/>
    <cellStyle name="Style 45 2 4 5" xfId="9032" xr:uid="{00000000-0005-0000-0000-0000DC0A0000}"/>
    <cellStyle name="Style 45 2 4 5 2" xfId="6917" xr:uid="{00000000-0005-0000-0000-0000DC0A0000}"/>
    <cellStyle name="Style 45 2 4 5 2 2" xfId="26652" xr:uid="{00000000-0005-0000-0000-0000DC0A0000}"/>
    <cellStyle name="Style 45 2 4 5 2 3" xfId="45021" xr:uid="{00000000-0005-0000-0000-0000DC0A0000}"/>
    <cellStyle name="Style 45 2 4 5 3" xfId="27758" xr:uid="{00000000-0005-0000-0000-0000DC0A0000}"/>
    <cellStyle name="Style 45 2 4 5 3 2" xfId="46121" xr:uid="{00000000-0005-0000-0000-0000DC0A0000}"/>
    <cellStyle name="Style 45 2 4 5 4" xfId="17927" xr:uid="{00000000-0005-0000-0000-0000DC0A0000}"/>
    <cellStyle name="Style 45 2 4 5 5" xfId="36335" xr:uid="{00000000-0005-0000-0000-0000DC0A0000}"/>
    <cellStyle name="Style 45 2 4 6" xfId="8120" xr:uid="{00000000-0005-0000-0000-0000DC0A0000}"/>
    <cellStyle name="Style 45 2 4 6 2" xfId="27325" xr:uid="{00000000-0005-0000-0000-0000DC0A0000}"/>
    <cellStyle name="Style 45 2 4 6 3" xfId="45690" xr:uid="{00000000-0005-0000-0000-0000DC0A0000}"/>
    <cellStyle name="Style 45 2 4 7" xfId="7720" xr:uid="{00000000-0005-0000-0000-0000DC0A0000}"/>
    <cellStyle name="Style 45 2 4 7 2" xfId="26998" xr:uid="{00000000-0005-0000-0000-0000DC0A0000}"/>
    <cellStyle name="Style 45 2 4 7 3" xfId="45363" xr:uid="{00000000-0005-0000-0000-0000DC0A0000}"/>
    <cellStyle name="Style 45 2 4 8" xfId="19551" xr:uid="{00000000-0005-0000-0000-0000DC0A0000}"/>
    <cellStyle name="Style 45 2 4 8 2" xfId="37957" xr:uid="{00000000-0005-0000-0000-0000DC0A0000}"/>
    <cellStyle name="Style 45 2 4 9" xfId="7855" xr:uid="{00000000-0005-0000-0000-0000DC0A0000}"/>
    <cellStyle name="Style 45 2 5" xfId="2336" xr:uid="{00000000-0005-0000-0000-0000DD0A0000}"/>
    <cellStyle name="Style 45 2 5 10" xfId="22212" xr:uid="{00000000-0005-0000-0000-0000DD0A0000}"/>
    <cellStyle name="Style 45 2 5 2" xfId="3784" xr:uid="{00000000-0005-0000-0000-0000DD0A0000}"/>
    <cellStyle name="Style 45 2 5 2 2" xfId="5957" xr:uid="{00000000-0005-0000-0000-0000DD0A0000}"/>
    <cellStyle name="Style 45 2 5 2 2 2" xfId="12321" xr:uid="{00000000-0005-0000-0000-0000DD0A0000}"/>
    <cellStyle name="Style 45 2 5 2 2 2 2" xfId="30768" xr:uid="{00000000-0005-0000-0000-0000DD0A0000}"/>
    <cellStyle name="Style 45 2 5 2 2 2 3" xfId="49131" xr:uid="{00000000-0005-0000-0000-0000DD0A0000}"/>
    <cellStyle name="Style 45 2 5 2 2 3" xfId="16647" xr:uid="{00000000-0005-0000-0000-0000DD0A0000}"/>
    <cellStyle name="Style 45 2 5 2 2 3 2" xfId="35019" xr:uid="{00000000-0005-0000-0000-0000DD0A0000}"/>
    <cellStyle name="Style 45 2 5 2 2 3 3" xfId="53382" xr:uid="{00000000-0005-0000-0000-0000DD0A0000}"/>
    <cellStyle name="Style 45 2 5 2 2 4" xfId="25766" xr:uid="{00000000-0005-0000-0000-0000DD0A0000}"/>
    <cellStyle name="Style 45 2 5 2 2 4 2" xfId="44135" xr:uid="{00000000-0005-0000-0000-0000DD0A0000}"/>
    <cellStyle name="Style 45 2 5 2 2 5" xfId="22087" xr:uid="{00000000-0005-0000-0000-0000DD0A0000}"/>
    <cellStyle name="Style 45 2 5 2 2 6" xfId="40466" xr:uid="{00000000-0005-0000-0000-0000DD0A0000}"/>
    <cellStyle name="Style 45 2 5 2 3" xfId="6783" xr:uid="{00000000-0005-0000-0000-0000DD0A0000}"/>
    <cellStyle name="Style 45 2 5 2 3 2" xfId="13074" xr:uid="{00000000-0005-0000-0000-0000DD0A0000}"/>
    <cellStyle name="Style 45 2 5 2 3 2 2" xfId="31500" xr:uid="{00000000-0005-0000-0000-0000DD0A0000}"/>
    <cellStyle name="Style 45 2 5 2 3 2 3" xfId="49863" xr:uid="{00000000-0005-0000-0000-0000DD0A0000}"/>
    <cellStyle name="Style 45 2 5 2 3 3" xfId="17385" xr:uid="{00000000-0005-0000-0000-0000DD0A0000}"/>
    <cellStyle name="Style 45 2 5 2 3 3 2" xfId="35733" xr:uid="{00000000-0005-0000-0000-0000DD0A0000}"/>
    <cellStyle name="Style 45 2 5 2 3 3 3" xfId="54096" xr:uid="{00000000-0005-0000-0000-0000DD0A0000}"/>
    <cellStyle name="Style 45 2 5 2 3 4" xfId="26518" xr:uid="{00000000-0005-0000-0000-0000DD0A0000}"/>
    <cellStyle name="Style 45 2 5 2 3 4 2" xfId="44887" xr:uid="{00000000-0005-0000-0000-0000DD0A0000}"/>
    <cellStyle name="Style 45 2 5 2 3 5" xfId="22811" xr:uid="{00000000-0005-0000-0000-0000DD0A0000}"/>
    <cellStyle name="Style 45 2 5 2 3 6" xfId="41180" xr:uid="{00000000-0005-0000-0000-0000DD0A0000}"/>
    <cellStyle name="Style 45 2 5 2 4" xfId="10497" xr:uid="{00000000-0005-0000-0000-0000DD0A0000}"/>
    <cellStyle name="Style 45 2 5 2 4 2" xfId="14554" xr:uid="{00000000-0005-0000-0000-0000DD0A0000}"/>
    <cellStyle name="Style 45 2 5 2 4 2 2" xfId="32970" xr:uid="{00000000-0005-0000-0000-0000DD0A0000}"/>
    <cellStyle name="Style 45 2 5 2 4 2 3" xfId="51333" xr:uid="{00000000-0005-0000-0000-0000DD0A0000}"/>
    <cellStyle name="Style 45 2 5 2 4 3" xfId="29208" xr:uid="{00000000-0005-0000-0000-0000DD0A0000}"/>
    <cellStyle name="Style 45 2 5 2 4 3 2" xfId="47571" xr:uid="{00000000-0005-0000-0000-0000DD0A0000}"/>
    <cellStyle name="Style 45 2 5 2 4 4" xfId="20011" xr:uid="{00000000-0005-0000-0000-0000DD0A0000}"/>
    <cellStyle name="Style 45 2 5 2 4 5" xfId="38417" xr:uid="{00000000-0005-0000-0000-0000DD0A0000}"/>
    <cellStyle name="Style 45 2 5 2 5" xfId="9768" xr:uid="{00000000-0005-0000-0000-0000DD0A0000}"/>
    <cellStyle name="Style 45 2 5 2 5 2" xfId="28483" xr:uid="{00000000-0005-0000-0000-0000DD0A0000}"/>
    <cellStyle name="Style 45 2 5 2 5 3" xfId="46846" xr:uid="{00000000-0005-0000-0000-0000DD0A0000}"/>
    <cellStyle name="Style 45 2 5 2 6" xfId="13825" xr:uid="{00000000-0005-0000-0000-0000DD0A0000}"/>
    <cellStyle name="Style 45 2 5 2 6 2" xfId="32245" xr:uid="{00000000-0005-0000-0000-0000DD0A0000}"/>
    <cellStyle name="Style 45 2 5 2 6 3" xfId="50608" xr:uid="{00000000-0005-0000-0000-0000DD0A0000}"/>
    <cellStyle name="Style 45 2 5 2 7" xfId="23692" xr:uid="{00000000-0005-0000-0000-0000DD0A0000}"/>
    <cellStyle name="Style 45 2 5 2 7 2" xfId="42061" xr:uid="{00000000-0005-0000-0000-0000DD0A0000}"/>
    <cellStyle name="Style 45 2 5 2 8" xfId="18950" xr:uid="{00000000-0005-0000-0000-0000DD0A0000}"/>
    <cellStyle name="Style 45 2 5 2 9" xfId="37359" xr:uid="{00000000-0005-0000-0000-0000DD0A0000}"/>
    <cellStyle name="Style 45 2 5 3" xfId="4984" xr:uid="{00000000-0005-0000-0000-0000DD0A0000}"/>
    <cellStyle name="Style 45 2 5 3 2" xfId="11514" xr:uid="{00000000-0005-0000-0000-0000DD0A0000}"/>
    <cellStyle name="Style 45 2 5 3 2 2" xfId="30087" xr:uid="{00000000-0005-0000-0000-0000DD0A0000}"/>
    <cellStyle name="Style 45 2 5 3 2 3" xfId="48450" xr:uid="{00000000-0005-0000-0000-0000DD0A0000}"/>
    <cellStyle name="Style 45 2 5 3 3" xfId="15700" xr:uid="{00000000-0005-0000-0000-0000DD0A0000}"/>
    <cellStyle name="Style 45 2 5 3 3 2" xfId="34089" xr:uid="{00000000-0005-0000-0000-0000DD0A0000}"/>
    <cellStyle name="Style 45 2 5 3 3 3" xfId="52452" xr:uid="{00000000-0005-0000-0000-0000DD0A0000}"/>
    <cellStyle name="Style 45 2 5 3 4" xfId="24824" xr:uid="{00000000-0005-0000-0000-0000DD0A0000}"/>
    <cellStyle name="Style 45 2 5 3 4 2" xfId="43193" xr:uid="{00000000-0005-0000-0000-0000DD0A0000}"/>
    <cellStyle name="Style 45 2 5 3 5" xfId="21149" xr:uid="{00000000-0005-0000-0000-0000DD0A0000}"/>
    <cellStyle name="Style 45 2 5 3 6" xfId="39536" xr:uid="{00000000-0005-0000-0000-0000DD0A0000}"/>
    <cellStyle name="Style 45 2 5 4" xfId="6124" xr:uid="{00000000-0005-0000-0000-0000DD0A0000}"/>
    <cellStyle name="Style 45 2 5 4 2" xfId="12478" xr:uid="{00000000-0005-0000-0000-0000DD0A0000}"/>
    <cellStyle name="Style 45 2 5 4 2 2" xfId="30918" xr:uid="{00000000-0005-0000-0000-0000DD0A0000}"/>
    <cellStyle name="Style 45 2 5 4 2 3" xfId="49281" xr:uid="{00000000-0005-0000-0000-0000DD0A0000}"/>
    <cellStyle name="Style 45 2 5 4 3" xfId="16797" xr:uid="{00000000-0005-0000-0000-0000DD0A0000}"/>
    <cellStyle name="Style 45 2 5 4 3 2" xfId="35166" xr:uid="{00000000-0005-0000-0000-0000DD0A0000}"/>
    <cellStyle name="Style 45 2 5 4 3 3" xfId="53529" xr:uid="{00000000-0005-0000-0000-0000DD0A0000}"/>
    <cellStyle name="Style 45 2 5 4 4" xfId="25920" xr:uid="{00000000-0005-0000-0000-0000DD0A0000}"/>
    <cellStyle name="Style 45 2 5 4 4 2" xfId="44289" xr:uid="{00000000-0005-0000-0000-0000DD0A0000}"/>
    <cellStyle name="Style 45 2 5 4 5" xfId="22236" xr:uid="{00000000-0005-0000-0000-0000DD0A0000}"/>
    <cellStyle name="Style 45 2 5 4 6" xfId="40613" xr:uid="{00000000-0005-0000-0000-0000DD0A0000}"/>
    <cellStyle name="Style 45 2 5 5" xfId="9016" xr:uid="{00000000-0005-0000-0000-0000DD0A0000}"/>
    <cellStyle name="Style 45 2 5 5 2" xfId="6934" xr:uid="{00000000-0005-0000-0000-0000DD0A0000}"/>
    <cellStyle name="Style 45 2 5 5 2 2" xfId="26667" xr:uid="{00000000-0005-0000-0000-0000DD0A0000}"/>
    <cellStyle name="Style 45 2 5 5 2 3" xfId="45036" xr:uid="{00000000-0005-0000-0000-0000DD0A0000}"/>
    <cellStyle name="Style 45 2 5 5 3" xfId="27743" xr:uid="{00000000-0005-0000-0000-0000DD0A0000}"/>
    <cellStyle name="Style 45 2 5 5 3 2" xfId="46106" xr:uid="{00000000-0005-0000-0000-0000DD0A0000}"/>
    <cellStyle name="Style 45 2 5 5 4" xfId="17893" xr:uid="{00000000-0005-0000-0000-0000DD0A0000}"/>
    <cellStyle name="Style 45 2 5 5 5" xfId="36303" xr:uid="{00000000-0005-0000-0000-0000DD0A0000}"/>
    <cellStyle name="Style 45 2 5 6" xfId="8377" xr:uid="{00000000-0005-0000-0000-0000DD0A0000}"/>
    <cellStyle name="Style 45 2 5 6 2" xfId="27444" xr:uid="{00000000-0005-0000-0000-0000DD0A0000}"/>
    <cellStyle name="Style 45 2 5 6 3" xfId="45808" xr:uid="{00000000-0005-0000-0000-0000DD0A0000}"/>
    <cellStyle name="Style 45 2 5 7" xfId="8476" xr:uid="{00000000-0005-0000-0000-0000DD0A0000}"/>
    <cellStyle name="Style 45 2 5 7 2" xfId="27498" xr:uid="{00000000-0005-0000-0000-0000DD0A0000}"/>
    <cellStyle name="Style 45 2 5 7 3" xfId="45862" xr:uid="{00000000-0005-0000-0000-0000DD0A0000}"/>
    <cellStyle name="Style 45 2 5 8" xfId="17888" xr:uid="{00000000-0005-0000-0000-0000DD0A0000}"/>
    <cellStyle name="Style 45 2 5 8 2" xfId="36298" xr:uid="{00000000-0005-0000-0000-0000DD0A0000}"/>
    <cellStyle name="Style 45 2 5 9" xfId="10783" xr:uid="{00000000-0005-0000-0000-0000DD0A0000}"/>
    <cellStyle name="Style 45 2 6" xfId="2784" xr:uid="{00000000-0005-0000-0000-0000DE0A0000}"/>
    <cellStyle name="Style 45 2 6 10" xfId="35924" xr:uid="{00000000-0005-0000-0000-0000DE0A0000}"/>
    <cellStyle name="Style 45 2 6 2" xfId="3820" xr:uid="{00000000-0005-0000-0000-0000DE0A0000}"/>
    <cellStyle name="Style 45 2 6 2 2" xfId="5993" xr:uid="{00000000-0005-0000-0000-0000DE0A0000}"/>
    <cellStyle name="Style 45 2 6 2 2 2" xfId="12357" xr:uid="{00000000-0005-0000-0000-0000DE0A0000}"/>
    <cellStyle name="Style 45 2 6 2 2 2 2" xfId="30804" xr:uid="{00000000-0005-0000-0000-0000DE0A0000}"/>
    <cellStyle name="Style 45 2 6 2 2 2 3" xfId="49167" xr:uid="{00000000-0005-0000-0000-0000DE0A0000}"/>
    <cellStyle name="Style 45 2 6 2 2 3" xfId="16683" xr:uid="{00000000-0005-0000-0000-0000DE0A0000}"/>
    <cellStyle name="Style 45 2 6 2 2 3 2" xfId="35055" xr:uid="{00000000-0005-0000-0000-0000DE0A0000}"/>
    <cellStyle name="Style 45 2 6 2 2 3 3" xfId="53418" xr:uid="{00000000-0005-0000-0000-0000DE0A0000}"/>
    <cellStyle name="Style 45 2 6 2 2 4" xfId="25802" xr:uid="{00000000-0005-0000-0000-0000DE0A0000}"/>
    <cellStyle name="Style 45 2 6 2 2 4 2" xfId="44171" xr:uid="{00000000-0005-0000-0000-0000DE0A0000}"/>
    <cellStyle name="Style 45 2 6 2 2 5" xfId="22123" xr:uid="{00000000-0005-0000-0000-0000DE0A0000}"/>
    <cellStyle name="Style 45 2 6 2 2 6" xfId="40502" xr:uid="{00000000-0005-0000-0000-0000DE0A0000}"/>
    <cellStyle name="Style 45 2 6 2 3" xfId="6819" xr:uid="{00000000-0005-0000-0000-0000DE0A0000}"/>
    <cellStyle name="Style 45 2 6 2 3 2" xfId="13110" xr:uid="{00000000-0005-0000-0000-0000DE0A0000}"/>
    <cellStyle name="Style 45 2 6 2 3 2 2" xfId="31536" xr:uid="{00000000-0005-0000-0000-0000DE0A0000}"/>
    <cellStyle name="Style 45 2 6 2 3 2 3" xfId="49899" xr:uid="{00000000-0005-0000-0000-0000DE0A0000}"/>
    <cellStyle name="Style 45 2 6 2 3 3" xfId="17421" xr:uid="{00000000-0005-0000-0000-0000DE0A0000}"/>
    <cellStyle name="Style 45 2 6 2 3 3 2" xfId="35769" xr:uid="{00000000-0005-0000-0000-0000DE0A0000}"/>
    <cellStyle name="Style 45 2 6 2 3 3 3" xfId="54132" xr:uid="{00000000-0005-0000-0000-0000DE0A0000}"/>
    <cellStyle name="Style 45 2 6 2 3 4" xfId="26554" xr:uid="{00000000-0005-0000-0000-0000DE0A0000}"/>
    <cellStyle name="Style 45 2 6 2 3 4 2" xfId="44923" xr:uid="{00000000-0005-0000-0000-0000DE0A0000}"/>
    <cellStyle name="Style 45 2 6 2 3 5" xfId="22847" xr:uid="{00000000-0005-0000-0000-0000DE0A0000}"/>
    <cellStyle name="Style 45 2 6 2 3 6" xfId="41216" xr:uid="{00000000-0005-0000-0000-0000DE0A0000}"/>
    <cellStyle name="Style 45 2 6 2 4" xfId="10533" xr:uid="{00000000-0005-0000-0000-0000DE0A0000}"/>
    <cellStyle name="Style 45 2 6 2 4 2" xfId="14590" xr:uid="{00000000-0005-0000-0000-0000DE0A0000}"/>
    <cellStyle name="Style 45 2 6 2 4 2 2" xfId="33006" xr:uid="{00000000-0005-0000-0000-0000DE0A0000}"/>
    <cellStyle name="Style 45 2 6 2 4 2 3" xfId="51369" xr:uid="{00000000-0005-0000-0000-0000DE0A0000}"/>
    <cellStyle name="Style 45 2 6 2 4 3" xfId="29244" xr:uid="{00000000-0005-0000-0000-0000DE0A0000}"/>
    <cellStyle name="Style 45 2 6 2 4 3 2" xfId="47607" xr:uid="{00000000-0005-0000-0000-0000DE0A0000}"/>
    <cellStyle name="Style 45 2 6 2 4 4" xfId="20047" xr:uid="{00000000-0005-0000-0000-0000DE0A0000}"/>
    <cellStyle name="Style 45 2 6 2 4 5" xfId="38453" xr:uid="{00000000-0005-0000-0000-0000DE0A0000}"/>
    <cellStyle name="Style 45 2 6 2 5" xfId="9866" xr:uid="{00000000-0005-0000-0000-0000DE0A0000}"/>
    <cellStyle name="Style 45 2 6 2 5 2" xfId="28580" xr:uid="{00000000-0005-0000-0000-0000DE0A0000}"/>
    <cellStyle name="Style 45 2 6 2 5 3" xfId="46943" xr:uid="{00000000-0005-0000-0000-0000DE0A0000}"/>
    <cellStyle name="Style 45 2 6 2 6" xfId="13924" xr:uid="{00000000-0005-0000-0000-0000DE0A0000}"/>
    <cellStyle name="Style 45 2 6 2 6 2" xfId="32342" xr:uid="{00000000-0005-0000-0000-0000DE0A0000}"/>
    <cellStyle name="Style 45 2 6 2 6 3" xfId="50705" xr:uid="{00000000-0005-0000-0000-0000DE0A0000}"/>
    <cellStyle name="Style 45 2 6 2 7" xfId="23728" xr:uid="{00000000-0005-0000-0000-0000DE0A0000}"/>
    <cellStyle name="Style 45 2 6 2 7 2" xfId="42097" xr:uid="{00000000-0005-0000-0000-0000DE0A0000}"/>
    <cellStyle name="Style 45 2 6 2 8" xfId="19120" xr:uid="{00000000-0005-0000-0000-0000DE0A0000}"/>
    <cellStyle name="Style 45 2 6 2 9" xfId="37528" xr:uid="{00000000-0005-0000-0000-0000DE0A0000}"/>
    <cellStyle name="Style 45 2 6 3" xfId="5144" xr:uid="{00000000-0005-0000-0000-0000DE0A0000}"/>
    <cellStyle name="Style 45 2 6 3 2" xfId="11649" xr:uid="{00000000-0005-0000-0000-0000DE0A0000}"/>
    <cellStyle name="Style 45 2 6 3 2 2" xfId="30197" xr:uid="{00000000-0005-0000-0000-0000DE0A0000}"/>
    <cellStyle name="Style 45 2 6 3 2 3" xfId="48560" xr:uid="{00000000-0005-0000-0000-0000DE0A0000}"/>
    <cellStyle name="Style 45 2 6 3 3" xfId="15848" xr:uid="{00000000-0005-0000-0000-0000DE0A0000}"/>
    <cellStyle name="Style 45 2 6 3 3 2" xfId="34232" xr:uid="{00000000-0005-0000-0000-0000DE0A0000}"/>
    <cellStyle name="Style 45 2 6 3 3 3" xfId="52595" xr:uid="{00000000-0005-0000-0000-0000DE0A0000}"/>
    <cellStyle name="Style 45 2 6 3 4" xfId="24971" xr:uid="{00000000-0005-0000-0000-0000DE0A0000}"/>
    <cellStyle name="Style 45 2 6 3 4 2" xfId="43340" xr:uid="{00000000-0005-0000-0000-0000DE0A0000}"/>
    <cellStyle name="Style 45 2 6 3 5" xfId="21294" xr:uid="{00000000-0005-0000-0000-0000DE0A0000}"/>
    <cellStyle name="Style 45 2 6 3 6" xfId="39679" xr:uid="{00000000-0005-0000-0000-0000DE0A0000}"/>
    <cellStyle name="Style 45 2 6 4" xfId="6194" xr:uid="{00000000-0005-0000-0000-0000DE0A0000}"/>
    <cellStyle name="Style 45 2 6 4 2" xfId="12529" xr:uid="{00000000-0005-0000-0000-0000DE0A0000}"/>
    <cellStyle name="Style 45 2 6 4 2 2" xfId="30961" xr:uid="{00000000-0005-0000-0000-0000DE0A0000}"/>
    <cellStyle name="Style 45 2 6 4 2 3" xfId="49324" xr:uid="{00000000-0005-0000-0000-0000DE0A0000}"/>
    <cellStyle name="Style 45 2 6 4 3" xfId="16844" xr:uid="{00000000-0005-0000-0000-0000DE0A0000}"/>
    <cellStyle name="Style 45 2 6 4 3 2" xfId="35204" xr:uid="{00000000-0005-0000-0000-0000DE0A0000}"/>
    <cellStyle name="Style 45 2 6 4 3 3" xfId="53567" xr:uid="{00000000-0005-0000-0000-0000DE0A0000}"/>
    <cellStyle name="Style 45 2 6 4 4" xfId="25971" xr:uid="{00000000-0005-0000-0000-0000DE0A0000}"/>
    <cellStyle name="Style 45 2 6 4 4 2" xfId="44340" xr:uid="{00000000-0005-0000-0000-0000DE0A0000}"/>
    <cellStyle name="Style 45 2 6 4 5" xfId="22278" xr:uid="{00000000-0005-0000-0000-0000DE0A0000}"/>
    <cellStyle name="Style 45 2 6 4 6" xfId="40651" xr:uid="{00000000-0005-0000-0000-0000DE0A0000}"/>
    <cellStyle name="Style 45 2 6 5" xfId="10026" xr:uid="{00000000-0005-0000-0000-0000DE0A0000}"/>
    <cellStyle name="Style 45 2 6 5 2" xfId="14083" xr:uid="{00000000-0005-0000-0000-0000DE0A0000}"/>
    <cellStyle name="Style 45 2 6 5 2 2" xfId="32499" xr:uid="{00000000-0005-0000-0000-0000DE0A0000}"/>
    <cellStyle name="Style 45 2 6 5 2 3" xfId="50862" xr:uid="{00000000-0005-0000-0000-0000DE0A0000}"/>
    <cellStyle name="Style 45 2 6 5 3" xfId="28737" xr:uid="{00000000-0005-0000-0000-0000DE0A0000}"/>
    <cellStyle name="Style 45 2 6 5 3 2" xfId="47100" xr:uid="{00000000-0005-0000-0000-0000DE0A0000}"/>
    <cellStyle name="Style 45 2 6 5 4" xfId="19405" xr:uid="{00000000-0005-0000-0000-0000DE0A0000}"/>
    <cellStyle name="Style 45 2 6 5 5" xfId="37811" xr:uid="{00000000-0005-0000-0000-0000DE0A0000}"/>
    <cellStyle name="Style 45 2 6 6" xfId="8653" xr:uid="{00000000-0005-0000-0000-0000DE0A0000}"/>
    <cellStyle name="Style 45 2 6 6 2" xfId="27561" xr:uid="{00000000-0005-0000-0000-0000DE0A0000}"/>
    <cellStyle name="Style 45 2 6 6 3" xfId="45924" xr:uid="{00000000-0005-0000-0000-0000DE0A0000}"/>
    <cellStyle name="Style 45 2 6 7" xfId="8397" xr:uid="{00000000-0005-0000-0000-0000DE0A0000}"/>
    <cellStyle name="Style 45 2 6 7 2" xfId="27460" xr:uid="{00000000-0005-0000-0000-0000DE0A0000}"/>
    <cellStyle name="Style 45 2 6 7 3" xfId="45824" xr:uid="{00000000-0005-0000-0000-0000DE0A0000}"/>
    <cellStyle name="Style 45 2 6 8" xfId="18834" xr:uid="{00000000-0005-0000-0000-0000DE0A0000}"/>
    <cellStyle name="Style 45 2 6 8 2" xfId="37243" xr:uid="{00000000-0005-0000-0000-0000DE0A0000}"/>
    <cellStyle name="Style 45 2 6 9" xfId="11401" xr:uid="{00000000-0005-0000-0000-0000DE0A0000}"/>
    <cellStyle name="Style 45 2 7" xfId="4201" xr:uid="{00000000-0005-0000-0000-0000D90A0000}"/>
    <cellStyle name="Style 45 2 7 2" xfId="10850" xr:uid="{00000000-0005-0000-0000-0000D90A0000}"/>
    <cellStyle name="Style 45 2 7 2 2" xfId="29521" xr:uid="{00000000-0005-0000-0000-0000D90A0000}"/>
    <cellStyle name="Style 45 2 7 2 3" xfId="47884" xr:uid="{00000000-0005-0000-0000-0000D90A0000}"/>
    <cellStyle name="Style 45 2 7 3" xfId="14947" xr:uid="{00000000-0005-0000-0000-0000D90A0000}"/>
    <cellStyle name="Style 45 2 7 3 2" xfId="33351" xr:uid="{00000000-0005-0000-0000-0000D90A0000}"/>
    <cellStyle name="Style 45 2 7 3 3" xfId="51714" xr:uid="{00000000-0005-0000-0000-0000D90A0000}"/>
    <cellStyle name="Style 45 2 7 4" xfId="24080" xr:uid="{00000000-0005-0000-0000-0000D90A0000}"/>
    <cellStyle name="Style 45 2 7 4 2" xfId="42449" xr:uid="{00000000-0005-0000-0000-0000D90A0000}"/>
    <cellStyle name="Style 45 2 7 5" xfId="20400" xr:uid="{00000000-0005-0000-0000-0000D90A0000}"/>
    <cellStyle name="Style 45 2 7 6" xfId="38798" xr:uid="{00000000-0005-0000-0000-0000D90A0000}"/>
    <cellStyle name="Style 45 2 8" xfId="9141" xr:uid="{00000000-0005-0000-0000-0000D90A0000}"/>
    <cellStyle name="Style 45 2 8 2" xfId="13201" xr:uid="{00000000-0005-0000-0000-0000D90A0000}"/>
    <cellStyle name="Style 45 2 8 2 2" xfId="31626" xr:uid="{00000000-0005-0000-0000-0000D90A0000}"/>
    <cellStyle name="Style 45 2 8 2 3" xfId="49989" xr:uid="{00000000-0005-0000-0000-0000D90A0000}"/>
    <cellStyle name="Style 45 2 8 3" xfId="27867" xr:uid="{00000000-0005-0000-0000-0000D90A0000}"/>
    <cellStyle name="Style 45 2 8 3 2" xfId="46230" xr:uid="{00000000-0005-0000-0000-0000D90A0000}"/>
    <cellStyle name="Style 45 2 8 4" xfId="18066" xr:uid="{00000000-0005-0000-0000-0000D90A0000}"/>
    <cellStyle name="Style 45 2 8 5" xfId="36473" xr:uid="{00000000-0005-0000-0000-0000D90A0000}"/>
    <cellStyle name="Style 45 2 9" xfId="11702" xr:uid="{00000000-0005-0000-0000-0000D90A0000}"/>
    <cellStyle name="Style 45 2 9 2" xfId="30222" xr:uid="{00000000-0005-0000-0000-0000D90A0000}"/>
    <cellStyle name="Style 45 2 9 3" xfId="48585" xr:uid="{00000000-0005-0000-0000-0000D90A0000}"/>
    <cellStyle name="Style 45 3" xfId="1072" xr:uid="{00000000-0005-0000-0000-0000DF0A0000}"/>
    <cellStyle name="Style 45 3 2" xfId="1346" xr:uid="{00000000-0005-0000-0000-0000E00A0000}"/>
    <cellStyle name="Style 45 3 2 2" xfId="3393" xr:uid="{00000000-0005-0000-0000-0000E00A0000}"/>
    <cellStyle name="Style 45 3 2 2 2" xfId="5568" xr:uid="{00000000-0005-0000-0000-0000E00A0000}"/>
    <cellStyle name="Style 45 3 2 2 2 2" xfId="11932" xr:uid="{00000000-0005-0000-0000-0000E00A0000}"/>
    <cellStyle name="Style 45 3 2 2 2 2 2" xfId="30379" xr:uid="{00000000-0005-0000-0000-0000E00A0000}"/>
    <cellStyle name="Style 45 3 2 2 2 2 3" xfId="48742" xr:uid="{00000000-0005-0000-0000-0000E00A0000}"/>
    <cellStyle name="Style 45 3 2 2 2 3" xfId="16258" xr:uid="{00000000-0005-0000-0000-0000E00A0000}"/>
    <cellStyle name="Style 45 3 2 2 2 3 2" xfId="34630" xr:uid="{00000000-0005-0000-0000-0000E00A0000}"/>
    <cellStyle name="Style 45 3 2 2 2 3 3" xfId="52993" xr:uid="{00000000-0005-0000-0000-0000E00A0000}"/>
    <cellStyle name="Style 45 3 2 2 2 4" xfId="25377" xr:uid="{00000000-0005-0000-0000-0000E00A0000}"/>
    <cellStyle name="Style 45 3 2 2 2 4 2" xfId="43746" xr:uid="{00000000-0005-0000-0000-0000E00A0000}"/>
    <cellStyle name="Style 45 3 2 2 2 5" xfId="21698" xr:uid="{00000000-0005-0000-0000-0000E00A0000}"/>
    <cellStyle name="Style 45 3 2 2 2 6" xfId="40077" xr:uid="{00000000-0005-0000-0000-0000E00A0000}"/>
    <cellStyle name="Style 45 3 2 2 3" xfId="6392" xr:uid="{00000000-0005-0000-0000-0000E00A0000}"/>
    <cellStyle name="Style 45 3 2 2 3 2" xfId="12683" xr:uid="{00000000-0005-0000-0000-0000E00A0000}"/>
    <cellStyle name="Style 45 3 2 2 3 2 2" xfId="31109" xr:uid="{00000000-0005-0000-0000-0000E00A0000}"/>
    <cellStyle name="Style 45 3 2 2 3 2 3" xfId="49472" xr:uid="{00000000-0005-0000-0000-0000E00A0000}"/>
    <cellStyle name="Style 45 3 2 2 3 3" xfId="16994" xr:uid="{00000000-0005-0000-0000-0000E00A0000}"/>
    <cellStyle name="Style 45 3 2 2 3 3 2" xfId="35342" xr:uid="{00000000-0005-0000-0000-0000E00A0000}"/>
    <cellStyle name="Style 45 3 2 2 3 3 3" xfId="53705" xr:uid="{00000000-0005-0000-0000-0000E00A0000}"/>
    <cellStyle name="Style 45 3 2 2 3 4" xfId="26127" xr:uid="{00000000-0005-0000-0000-0000E00A0000}"/>
    <cellStyle name="Style 45 3 2 2 3 4 2" xfId="44496" xr:uid="{00000000-0005-0000-0000-0000E00A0000}"/>
    <cellStyle name="Style 45 3 2 2 3 5" xfId="22420" xr:uid="{00000000-0005-0000-0000-0000E00A0000}"/>
    <cellStyle name="Style 45 3 2 2 3 6" xfId="40789" xr:uid="{00000000-0005-0000-0000-0000E00A0000}"/>
    <cellStyle name="Style 45 3 2 2 4" xfId="10106" xr:uid="{00000000-0005-0000-0000-0000E00A0000}"/>
    <cellStyle name="Style 45 3 2 2 4 2" xfId="14163" xr:uid="{00000000-0005-0000-0000-0000E00A0000}"/>
    <cellStyle name="Style 45 3 2 2 4 2 2" xfId="32579" xr:uid="{00000000-0005-0000-0000-0000E00A0000}"/>
    <cellStyle name="Style 45 3 2 2 4 2 3" xfId="50942" xr:uid="{00000000-0005-0000-0000-0000E00A0000}"/>
    <cellStyle name="Style 45 3 2 2 4 3" xfId="28817" xr:uid="{00000000-0005-0000-0000-0000E00A0000}"/>
    <cellStyle name="Style 45 3 2 2 4 3 2" xfId="47180" xr:uid="{00000000-0005-0000-0000-0000E00A0000}"/>
    <cellStyle name="Style 45 3 2 2 4 4" xfId="19620" xr:uid="{00000000-0005-0000-0000-0000E00A0000}"/>
    <cellStyle name="Style 45 3 2 2 4 5" xfId="38026" xr:uid="{00000000-0005-0000-0000-0000E00A0000}"/>
    <cellStyle name="Style 45 3 2 2 5" xfId="9293" xr:uid="{00000000-0005-0000-0000-0000E00A0000}"/>
    <cellStyle name="Style 45 3 2 2 5 2" xfId="28012" xr:uid="{00000000-0005-0000-0000-0000E00A0000}"/>
    <cellStyle name="Style 45 3 2 2 5 3" xfId="46375" xr:uid="{00000000-0005-0000-0000-0000E00A0000}"/>
    <cellStyle name="Style 45 3 2 2 6" xfId="13349" xr:uid="{00000000-0005-0000-0000-0000E00A0000}"/>
    <cellStyle name="Style 45 3 2 2 6 2" xfId="31770" xr:uid="{00000000-0005-0000-0000-0000E00A0000}"/>
    <cellStyle name="Style 45 3 2 2 6 3" xfId="50133" xr:uid="{00000000-0005-0000-0000-0000E00A0000}"/>
    <cellStyle name="Style 45 3 2 2 7" xfId="23301" xr:uid="{00000000-0005-0000-0000-0000E00A0000}"/>
    <cellStyle name="Style 45 3 2 2 7 2" xfId="41670" xr:uid="{00000000-0005-0000-0000-0000E00A0000}"/>
    <cellStyle name="Style 45 3 2 2 8" xfId="18367" xr:uid="{00000000-0005-0000-0000-0000E00A0000}"/>
    <cellStyle name="Style 45 3 2 2 9" xfId="36773" xr:uid="{00000000-0005-0000-0000-0000E00A0000}"/>
    <cellStyle name="Style 45 3 2 3" xfId="4382" xr:uid="{00000000-0005-0000-0000-0000E00A0000}"/>
    <cellStyle name="Style 45 3 2 3 2" xfId="10982" xr:uid="{00000000-0005-0000-0000-0000E00A0000}"/>
    <cellStyle name="Style 45 3 2 3 2 2" xfId="29604" xr:uid="{00000000-0005-0000-0000-0000E00A0000}"/>
    <cellStyle name="Style 45 3 2 3 2 3" xfId="47967" xr:uid="{00000000-0005-0000-0000-0000E00A0000}"/>
    <cellStyle name="Style 45 3 2 3 3" xfId="15118" xr:uid="{00000000-0005-0000-0000-0000E00A0000}"/>
    <cellStyle name="Style 45 3 2 3 3 2" xfId="33515" xr:uid="{00000000-0005-0000-0000-0000E00A0000}"/>
    <cellStyle name="Style 45 3 2 3 3 3" xfId="51878" xr:uid="{00000000-0005-0000-0000-0000E00A0000}"/>
    <cellStyle name="Style 45 3 2 3 4" xfId="24246" xr:uid="{00000000-0005-0000-0000-0000E00A0000}"/>
    <cellStyle name="Style 45 3 2 3 4 2" xfId="42615" xr:uid="{00000000-0005-0000-0000-0000E00A0000}"/>
    <cellStyle name="Style 45 3 2 3 5" xfId="20569" xr:uid="{00000000-0005-0000-0000-0000E00A0000}"/>
    <cellStyle name="Style 45 3 2 3 6" xfId="38962" xr:uid="{00000000-0005-0000-0000-0000E00A0000}"/>
    <cellStyle name="Style 45 3 2 4" xfId="4059" xr:uid="{00000000-0005-0000-0000-0000E00A0000}"/>
    <cellStyle name="Style 45 3 2 4 2" xfId="10760" xr:uid="{00000000-0005-0000-0000-0000E00A0000}"/>
    <cellStyle name="Style 45 3 2 4 2 2" xfId="29463" xr:uid="{00000000-0005-0000-0000-0000E00A0000}"/>
    <cellStyle name="Style 45 3 2 4 2 3" xfId="47826" xr:uid="{00000000-0005-0000-0000-0000E00A0000}"/>
    <cellStyle name="Style 45 3 2 4 3" xfId="14820" xr:uid="{00000000-0005-0000-0000-0000E00A0000}"/>
    <cellStyle name="Style 45 3 2 4 3 2" xfId="33232" xr:uid="{00000000-0005-0000-0000-0000E00A0000}"/>
    <cellStyle name="Style 45 3 2 4 3 3" xfId="51595" xr:uid="{00000000-0005-0000-0000-0000E00A0000}"/>
    <cellStyle name="Style 45 3 2 4 4" xfId="23956" xr:uid="{00000000-0005-0000-0000-0000E00A0000}"/>
    <cellStyle name="Style 45 3 2 4 4 2" xfId="42325" xr:uid="{00000000-0005-0000-0000-0000E00A0000}"/>
    <cellStyle name="Style 45 3 2 4 5" xfId="20276" xr:uid="{00000000-0005-0000-0000-0000E00A0000}"/>
    <cellStyle name="Style 45 3 2 4 6" xfId="38679" xr:uid="{00000000-0005-0000-0000-0000E00A0000}"/>
    <cellStyle name="Style 45 3 2 5" xfId="9882" xr:uid="{00000000-0005-0000-0000-0000E00A0000}"/>
    <cellStyle name="Style 45 3 2 5 2" xfId="13940" xr:uid="{00000000-0005-0000-0000-0000E00A0000}"/>
    <cellStyle name="Style 45 3 2 5 2 2" xfId="32358" xr:uid="{00000000-0005-0000-0000-0000E00A0000}"/>
    <cellStyle name="Style 45 3 2 5 2 3" xfId="50721" xr:uid="{00000000-0005-0000-0000-0000E00A0000}"/>
    <cellStyle name="Style 45 3 2 5 3" xfId="28596" xr:uid="{00000000-0005-0000-0000-0000E00A0000}"/>
    <cellStyle name="Style 45 3 2 5 3 2" xfId="46959" xr:uid="{00000000-0005-0000-0000-0000E00A0000}"/>
    <cellStyle name="Style 45 3 2 5 4" xfId="19145" xr:uid="{00000000-0005-0000-0000-0000E00A0000}"/>
    <cellStyle name="Style 45 3 2 5 5" xfId="37553" xr:uid="{00000000-0005-0000-0000-0000E00A0000}"/>
    <cellStyle name="Style 45 3 2 6" xfId="7643" xr:uid="{00000000-0005-0000-0000-0000E00A0000}"/>
    <cellStyle name="Style 45 3 2 6 2" xfId="26930" xr:uid="{00000000-0005-0000-0000-0000E00A0000}"/>
    <cellStyle name="Style 45 3 2 6 3" xfId="45295" xr:uid="{00000000-0005-0000-0000-0000E00A0000}"/>
    <cellStyle name="Style 45 3 2 7" xfId="7225" xr:uid="{00000000-0005-0000-0000-0000E00A0000}"/>
    <cellStyle name="Style 45 3 2 7 2" xfId="26768" xr:uid="{00000000-0005-0000-0000-0000E00A0000}"/>
    <cellStyle name="Style 45 3 2 7 3" xfId="45136" xr:uid="{00000000-0005-0000-0000-0000E00A0000}"/>
    <cellStyle name="Style 45 3 2 8" xfId="7185" xr:uid="{00000000-0005-0000-0000-0000E00A0000}"/>
    <cellStyle name="Style 45 3 2 9" xfId="8235" xr:uid="{00000000-0005-0000-0000-0000E00A0000}"/>
    <cellStyle name="Style 45 3 3" xfId="1383" xr:uid="{00000000-0005-0000-0000-0000E10A0000}"/>
    <cellStyle name="Style 45 3 3 10" xfId="3910" xr:uid="{00000000-0005-0000-0000-0000E10A0000}"/>
    <cellStyle name="Style 45 3 3 2" xfId="3416" xr:uid="{00000000-0005-0000-0000-0000E10A0000}"/>
    <cellStyle name="Style 45 3 3 2 2" xfId="5591" xr:uid="{00000000-0005-0000-0000-0000E10A0000}"/>
    <cellStyle name="Style 45 3 3 2 2 2" xfId="11955" xr:uid="{00000000-0005-0000-0000-0000E10A0000}"/>
    <cellStyle name="Style 45 3 3 2 2 2 2" xfId="30402" xr:uid="{00000000-0005-0000-0000-0000E10A0000}"/>
    <cellStyle name="Style 45 3 3 2 2 2 3" xfId="48765" xr:uid="{00000000-0005-0000-0000-0000E10A0000}"/>
    <cellStyle name="Style 45 3 3 2 2 3" xfId="16281" xr:uid="{00000000-0005-0000-0000-0000E10A0000}"/>
    <cellStyle name="Style 45 3 3 2 2 3 2" xfId="34653" xr:uid="{00000000-0005-0000-0000-0000E10A0000}"/>
    <cellStyle name="Style 45 3 3 2 2 3 3" xfId="53016" xr:uid="{00000000-0005-0000-0000-0000E10A0000}"/>
    <cellStyle name="Style 45 3 3 2 2 4" xfId="25400" xr:uid="{00000000-0005-0000-0000-0000E10A0000}"/>
    <cellStyle name="Style 45 3 3 2 2 4 2" xfId="43769" xr:uid="{00000000-0005-0000-0000-0000E10A0000}"/>
    <cellStyle name="Style 45 3 3 2 2 5" xfId="21721" xr:uid="{00000000-0005-0000-0000-0000E10A0000}"/>
    <cellStyle name="Style 45 3 3 2 2 6" xfId="40100" xr:uid="{00000000-0005-0000-0000-0000E10A0000}"/>
    <cellStyle name="Style 45 3 3 2 3" xfId="6415" xr:uid="{00000000-0005-0000-0000-0000E10A0000}"/>
    <cellStyle name="Style 45 3 3 2 3 2" xfId="12706" xr:uid="{00000000-0005-0000-0000-0000E10A0000}"/>
    <cellStyle name="Style 45 3 3 2 3 2 2" xfId="31132" xr:uid="{00000000-0005-0000-0000-0000E10A0000}"/>
    <cellStyle name="Style 45 3 3 2 3 2 3" xfId="49495" xr:uid="{00000000-0005-0000-0000-0000E10A0000}"/>
    <cellStyle name="Style 45 3 3 2 3 3" xfId="17017" xr:uid="{00000000-0005-0000-0000-0000E10A0000}"/>
    <cellStyle name="Style 45 3 3 2 3 3 2" xfId="35365" xr:uid="{00000000-0005-0000-0000-0000E10A0000}"/>
    <cellStyle name="Style 45 3 3 2 3 3 3" xfId="53728" xr:uid="{00000000-0005-0000-0000-0000E10A0000}"/>
    <cellStyle name="Style 45 3 3 2 3 4" xfId="26150" xr:uid="{00000000-0005-0000-0000-0000E10A0000}"/>
    <cellStyle name="Style 45 3 3 2 3 4 2" xfId="44519" xr:uid="{00000000-0005-0000-0000-0000E10A0000}"/>
    <cellStyle name="Style 45 3 3 2 3 5" xfId="22443" xr:uid="{00000000-0005-0000-0000-0000E10A0000}"/>
    <cellStyle name="Style 45 3 3 2 3 6" xfId="40812" xr:uid="{00000000-0005-0000-0000-0000E10A0000}"/>
    <cellStyle name="Style 45 3 3 2 4" xfId="10129" xr:uid="{00000000-0005-0000-0000-0000E10A0000}"/>
    <cellStyle name="Style 45 3 3 2 4 2" xfId="14186" xr:uid="{00000000-0005-0000-0000-0000E10A0000}"/>
    <cellStyle name="Style 45 3 3 2 4 2 2" xfId="32602" xr:uid="{00000000-0005-0000-0000-0000E10A0000}"/>
    <cellStyle name="Style 45 3 3 2 4 2 3" xfId="50965" xr:uid="{00000000-0005-0000-0000-0000E10A0000}"/>
    <cellStyle name="Style 45 3 3 2 4 3" xfId="28840" xr:uid="{00000000-0005-0000-0000-0000E10A0000}"/>
    <cellStyle name="Style 45 3 3 2 4 3 2" xfId="47203" xr:uid="{00000000-0005-0000-0000-0000E10A0000}"/>
    <cellStyle name="Style 45 3 3 2 4 4" xfId="19643" xr:uid="{00000000-0005-0000-0000-0000E10A0000}"/>
    <cellStyle name="Style 45 3 3 2 4 5" xfId="38049" xr:uid="{00000000-0005-0000-0000-0000E10A0000}"/>
    <cellStyle name="Style 45 3 3 2 5" xfId="9316" xr:uid="{00000000-0005-0000-0000-0000E10A0000}"/>
    <cellStyle name="Style 45 3 3 2 5 2" xfId="28035" xr:uid="{00000000-0005-0000-0000-0000E10A0000}"/>
    <cellStyle name="Style 45 3 3 2 5 3" xfId="46398" xr:uid="{00000000-0005-0000-0000-0000E10A0000}"/>
    <cellStyle name="Style 45 3 3 2 6" xfId="13372" xr:uid="{00000000-0005-0000-0000-0000E10A0000}"/>
    <cellStyle name="Style 45 3 3 2 6 2" xfId="31793" xr:uid="{00000000-0005-0000-0000-0000E10A0000}"/>
    <cellStyle name="Style 45 3 3 2 6 3" xfId="50156" xr:uid="{00000000-0005-0000-0000-0000E10A0000}"/>
    <cellStyle name="Style 45 3 3 2 7" xfId="23324" xr:uid="{00000000-0005-0000-0000-0000E10A0000}"/>
    <cellStyle name="Style 45 3 3 2 7 2" xfId="41693" xr:uid="{00000000-0005-0000-0000-0000E10A0000}"/>
    <cellStyle name="Style 45 3 3 2 8" xfId="18395" xr:uid="{00000000-0005-0000-0000-0000E10A0000}"/>
    <cellStyle name="Style 45 3 3 2 9" xfId="36801" xr:uid="{00000000-0005-0000-0000-0000E10A0000}"/>
    <cellStyle name="Style 45 3 3 3" xfId="4409" xr:uid="{00000000-0005-0000-0000-0000E10A0000}"/>
    <cellStyle name="Style 45 3 3 3 2" xfId="11008" xr:uid="{00000000-0005-0000-0000-0000E10A0000}"/>
    <cellStyle name="Style 45 3 3 3 2 2" xfId="29628" xr:uid="{00000000-0005-0000-0000-0000E10A0000}"/>
    <cellStyle name="Style 45 3 3 3 2 3" xfId="47991" xr:uid="{00000000-0005-0000-0000-0000E10A0000}"/>
    <cellStyle name="Style 45 3 3 3 3" xfId="15143" xr:uid="{00000000-0005-0000-0000-0000E10A0000}"/>
    <cellStyle name="Style 45 3 3 3 3 2" xfId="33540" xr:uid="{00000000-0005-0000-0000-0000E10A0000}"/>
    <cellStyle name="Style 45 3 3 3 3 3" xfId="51903" xr:uid="{00000000-0005-0000-0000-0000E10A0000}"/>
    <cellStyle name="Style 45 3 3 3 4" xfId="24271" xr:uid="{00000000-0005-0000-0000-0000E10A0000}"/>
    <cellStyle name="Style 45 3 3 3 4 2" xfId="42640" xr:uid="{00000000-0005-0000-0000-0000E10A0000}"/>
    <cellStyle name="Style 45 3 3 3 5" xfId="20594" xr:uid="{00000000-0005-0000-0000-0000E10A0000}"/>
    <cellStyle name="Style 45 3 3 3 6" xfId="38987" xr:uid="{00000000-0005-0000-0000-0000E10A0000}"/>
    <cellStyle name="Style 45 3 3 4" xfId="4347" xr:uid="{00000000-0005-0000-0000-0000E10A0000}"/>
    <cellStyle name="Style 45 3 3 4 2" xfId="10951" xr:uid="{00000000-0005-0000-0000-0000E10A0000}"/>
    <cellStyle name="Style 45 3 3 4 2 2" xfId="29578" xr:uid="{00000000-0005-0000-0000-0000E10A0000}"/>
    <cellStyle name="Style 45 3 3 4 2 3" xfId="47941" xr:uid="{00000000-0005-0000-0000-0000E10A0000}"/>
    <cellStyle name="Style 45 3 3 4 3" xfId="15088" xr:uid="{00000000-0005-0000-0000-0000E10A0000}"/>
    <cellStyle name="Style 45 3 3 4 3 2" xfId="33488" xr:uid="{00000000-0005-0000-0000-0000E10A0000}"/>
    <cellStyle name="Style 45 3 3 4 3 3" xfId="51851" xr:uid="{00000000-0005-0000-0000-0000E10A0000}"/>
    <cellStyle name="Style 45 3 3 4 4" xfId="24217" xr:uid="{00000000-0005-0000-0000-0000E10A0000}"/>
    <cellStyle name="Style 45 3 3 4 4 2" xfId="42586" xr:uid="{00000000-0005-0000-0000-0000E10A0000}"/>
    <cellStyle name="Style 45 3 3 4 5" xfId="20540" xr:uid="{00000000-0005-0000-0000-0000E10A0000}"/>
    <cellStyle name="Style 45 3 3 4 6" xfId="38935" xr:uid="{00000000-0005-0000-0000-0000E10A0000}"/>
    <cellStyle name="Style 45 3 3 5" xfId="9874" xr:uid="{00000000-0005-0000-0000-0000E10A0000}"/>
    <cellStyle name="Style 45 3 3 5 2" xfId="13932" xr:uid="{00000000-0005-0000-0000-0000E10A0000}"/>
    <cellStyle name="Style 45 3 3 5 2 2" xfId="32350" xr:uid="{00000000-0005-0000-0000-0000E10A0000}"/>
    <cellStyle name="Style 45 3 3 5 2 3" xfId="50713" xr:uid="{00000000-0005-0000-0000-0000E10A0000}"/>
    <cellStyle name="Style 45 3 3 5 3" xfId="28588" xr:uid="{00000000-0005-0000-0000-0000E10A0000}"/>
    <cellStyle name="Style 45 3 3 5 3 2" xfId="46951" xr:uid="{00000000-0005-0000-0000-0000E10A0000}"/>
    <cellStyle name="Style 45 3 3 5 4" xfId="19134" xr:uid="{00000000-0005-0000-0000-0000E10A0000}"/>
    <cellStyle name="Style 45 3 3 5 5" xfId="37542" xr:uid="{00000000-0005-0000-0000-0000E10A0000}"/>
    <cellStyle name="Style 45 3 3 6" xfId="7675" xr:uid="{00000000-0005-0000-0000-0000E10A0000}"/>
    <cellStyle name="Style 45 3 3 6 2" xfId="26957" xr:uid="{00000000-0005-0000-0000-0000E10A0000}"/>
    <cellStyle name="Style 45 3 3 6 3" xfId="45322" xr:uid="{00000000-0005-0000-0000-0000E10A0000}"/>
    <cellStyle name="Style 45 3 3 7" xfId="8401" xr:uid="{00000000-0005-0000-0000-0000E10A0000}"/>
    <cellStyle name="Style 45 3 3 7 2" xfId="27464" xr:uid="{00000000-0005-0000-0000-0000E10A0000}"/>
    <cellStyle name="Style 45 3 3 7 3" xfId="45828" xr:uid="{00000000-0005-0000-0000-0000E10A0000}"/>
    <cellStyle name="Style 45 3 3 8" xfId="19458" xr:uid="{00000000-0005-0000-0000-0000E10A0000}"/>
    <cellStyle name="Style 45 3 3 8 2" xfId="37864" xr:uid="{00000000-0005-0000-0000-0000E10A0000}"/>
    <cellStyle name="Style 45 3 3 9" xfId="7255" xr:uid="{00000000-0005-0000-0000-0000E10A0000}"/>
    <cellStyle name="Style 45 3 4" xfId="1917" xr:uid="{00000000-0005-0000-0000-0000E20A0000}"/>
    <cellStyle name="Style 45 3 4 10" xfId="8559" xr:uid="{00000000-0005-0000-0000-0000E20A0000}"/>
    <cellStyle name="Style 45 3 4 2" xfId="3735" xr:uid="{00000000-0005-0000-0000-0000E20A0000}"/>
    <cellStyle name="Style 45 3 4 2 2" xfId="5908" xr:uid="{00000000-0005-0000-0000-0000E20A0000}"/>
    <cellStyle name="Style 45 3 4 2 2 2" xfId="12272" xr:uid="{00000000-0005-0000-0000-0000E20A0000}"/>
    <cellStyle name="Style 45 3 4 2 2 2 2" xfId="30719" xr:uid="{00000000-0005-0000-0000-0000E20A0000}"/>
    <cellStyle name="Style 45 3 4 2 2 2 3" xfId="49082" xr:uid="{00000000-0005-0000-0000-0000E20A0000}"/>
    <cellStyle name="Style 45 3 4 2 2 3" xfId="16598" xr:uid="{00000000-0005-0000-0000-0000E20A0000}"/>
    <cellStyle name="Style 45 3 4 2 2 3 2" xfId="34970" xr:uid="{00000000-0005-0000-0000-0000E20A0000}"/>
    <cellStyle name="Style 45 3 4 2 2 3 3" xfId="53333" xr:uid="{00000000-0005-0000-0000-0000E20A0000}"/>
    <cellStyle name="Style 45 3 4 2 2 4" xfId="25717" xr:uid="{00000000-0005-0000-0000-0000E20A0000}"/>
    <cellStyle name="Style 45 3 4 2 2 4 2" xfId="44086" xr:uid="{00000000-0005-0000-0000-0000E20A0000}"/>
    <cellStyle name="Style 45 3 4 2 2 5" xfId="22038" xr:uid="{00000000-0005-0000-0000-0000E20A0000}"/>
    <cellStyle name="Style 45 3 4 2 2 6" xfId="40417" xr:uid="{00000000-0005-0000-0000-0000E20A0000}"/>
    <cellStyle name="Style 45 3 4 2 3" xfId="6734" xr:uid="{00000000-0005-0000-0000-0000E20A0000}"/>
    <cellStyle name="Style 45 3 4 2 3 2" xfId="13025" xr:uid="{00000000-0005-0000-0000-0000E20A0000}"/>
    <cellStyle name="Style 45 3 4 2 3 2 2" xfId="31451" xr:uid="{00000000-0005-0000-0000-0000E20A0000}"/>
    <cellStyle name="Style 45 3 4 2 3 2 3" xfId="49814" xr:uid="{00000000-0005-0000-0000-0000E20A0000}"/>
    <cellStyle name="Style 45 3 4 2 3 3" xfId="17336" xr:uid="{00000000-0005-0000-0000-0000E20A0000}"/>
    <cellStyle name="Style 45 3 4 2 3 3 2" xfId="35684" xr:uid="{00000000-0005-0000-0000-0000E20A0000}"/>
    <cellStyle name="Style 45 3 4 2 3 3 3" xfId="54047" xr:uid="{00000000-0005-0000-0000-0000E20A0000}"/>
    <cellStyle name="Style 45 3 4 2 3 4" xfId="26469" xr:uid="{00000000-0005-0000-0000-0000E20A0000}"/>
    <cellStyle name="Style 45 3 4 2 3 4 2" xfId="44838" xr:uid="{00000000-0005-0000-0000-0000E20A0000}"/>
    <cellStyle name="Style 45 3 4 2 3 5" xfId="22762" xr:uid="{00000000-0005-0000-0000-0000E20A0000}"/>
    <cellStyle name="Style 45 3 4 2 3 6" xfId="41131" xr:uid="{00000000-0005-0000-0000-0000E20A0000}"/>
    <cellStyle name="Style 45 3 4 2 4" xfId="10448" xr:uid="{00000000-0005-0000-0000-0000E20A0000}"/>
    <cellStyle name="Style 45 3 4 2 4 2" xfId="14505" xr:uid="{00000000-0005-0000-0000-0000E20A0000}"/>
    <cellStyle name="Style 45 3 4 2 4 2 2" xfId="32921" xr:uid="{00000000-0005-0000-0000-0000E20A0000}"/>
    <cellStyle name="Style 45 3 4 2 4 2 3" xfId="51284" xr:uid="{00000000-0005-0000-0000-0000E20A0000}"/>
    <cellStyle name="Style 45 3 4 2 4 3" xfId="29159" xr:uid="{00000000-0005-0000-0000-0000E20A0000}"/>
    <cellStyle name="Style 45 3 4 2 4 3 2" xfId="47522" xr:uid="{00000000-0005-0000-0000-0000E20A0000}"/>
    <cellStyle name="Style 45 3 4 2 4 4" xfId="19962" xr:uid="{00000000-0005-0000-0000-0000E20A0000}"/>
    <cellStyle name="Style 45 3 4 2 4 5" xfId="38368" xr:uid="{00000000-0005-0000-0000-0000E20A0000}"/>
    <cellStyle name="Style 45 3 4 2 5" xfId="9664" xr:uid="{00000000-0005-0000-0000-0000E20A0000}"/>
    <cellStyle name="Style 45 3 4 2 5 2" xfId="28380" xr:uid="{00000000-0005-0000-0000-0000E20A0000}"/>
    <cellStyle name="Style 45 3 4 2 5 3" xfId="46743" xr:uid="{00000000-0005-0000-0000-0000E20A0000}"/>
    <cellStyle name="Style 45 3 4 2 6" xfId="13721" xr:uid="{00000000-0005-0000-0000-0000E20A0000}"/>
    <cellStyle name="Style 45 3 4 2 6 2" xfId="32142" xr:uid="{00000000-0005-0000-0000-0000E20A0000}"/>
    <cellStyle name="Style 45 3 4 2 6 3" xfId="50505" xr:uid="{00000000-0005-0000-0000-0000E20A0000}"/>
    <cellStyle name="Style 45 3 4 2 7" xfId="23643" xr:uid="{00000000-0005-0000-0000-0000E20A0000}"/>
    <cellStyle name="Style 45 3 4 2 7 2" xfId="42012" xr:uid="{00000000-0005-0000-0000-0000E20A0000}"/>
    <cellStyle name="Style 45 3 4 2 8" xfId="18789" xr:uid="{00000000-0005-0000-0000-0000E20A0000}"/>
    <cellStyle name="Style 45 3 4 2 9" xfId="37198" xr:uid="{00000000-0005-0000-0000-0000E20A0000}"/>
    <cellStyle name="Style 45 3 4 3" xfId="4828" xr:uid="{00000000-0005-0000-0000-0000E20A0000}"/>
    <cellStyle name="Style 45 3 4 3 2" xfId="11389" xr:uid="{00000000-0005-0000-0000-0000E20A0000}"/>
    <cellStyle name="Style 45 3 4 3 2 2" xfId="29981" xr:uid="{00000000-0005-0000-0000-0000E20A0000}"/>
    <cellStyle name="Style 45 3 4 3 2 3" xfId="48344" xr:uid="{00000000-0005-0000-0000-0000E20A0000}"/>
    <cellStyle name="Style 45 3 4 3 3" xfId="15554" xr:uid="{00000000-0005-0000-0000-0000E20A0000}"/>
    <cellStyle name="Style 45 3 4 3 3 2" xfId="33947" xr:uid="{00000000-0005-0000-0000-0000E20A0000}"/>
    <cellStyle name="Style 45 3 4 3 3 3" xfId="52310" xr:uid="{00000000-0005-0000-0000-0000E20A0000}"/>
    <cellStyle name="Style 45 3 4 3 4" xfId="24678" xr:uid="{00000000-0005-0000-0000-0000E20A0000}"/>
    <cellStyle name="Style 45 3 4 3 4 2" xfId="43047" xr:uid="{00000000-0005-0000-0000-0000E20A0000}"/>
    <cellStyle name="Style 45 3 4 3 5" xfId="21005" xr:uid="{00000000-0005-0000-0000-0000E20A0000}"/>
    <cellStyle name="Style 45 3 4 3 6" xfId="39394" xr:uid="{00000000-0005-0000-0000-0000E20A0000}"/>
    <cellStyle name="Style 45 3 4 4" xfId="4598" xr:uid="{00000000-0005-0000-0000-0000E20A0000}"/>
    <cellStyle name="Style 45 3 4 4 2" xfId="11183" xr:uid="{00000000-0005-0000-0000-0000E20A0000}"/>
    <cellStyle name="Style 45 3 4 4 2 2" xfId="29797" xr:uid="{00000000-0005-0000-0000-0000E20A0000}"/>
    <cellStyle name="Style 45 3 4 4 2 3" xfId="48160" xr:uid="{00000000-0005-0000-0000-0000E20A0000}"/>
    <cellStyle name="Style 45 3 4 4 3" xfId="15324" xr:uid="{00000000-0005-0000-0000-0000E20A0000}"/>
    <cellStyle name="Style 45 3 4 4 3 2" xfId="33718" xr:uid="{00000000-0005-0000-0000-0000E20A0000}"/>
    <cellStyle name="Style 45 3 4 4 3 3" xfId="52081" xr:uid="{00000000-0005-0000-0000-0000E20A0000}"/>
    <cellStyle name="Style 45 3 4 4 4" xfId="24449" xr:uid="{00000000-0005-0000-0000-0000E20A0000}"/>
    <cellStyle name="Style 45 3 4 4 4 2" xfId="42818" xr:uid="{00000000-0005-0000-0000-0000E20A0000}"/>
    <cellStyle name="Style 45 3 4 4 5" xfId="20775" xr:uid="{00000000-0005-0000-0000-0000E20A0000}"/>
    <cellStyle name="Style 45 3 4 4 6" xfId="39165" xr:uid="{00000000-0005-0000-0000-0000E20A0000}"/>
    <cellStyle name="Style 45 3 4 5" xfId="9036" xr:uid="{00000000-0005-0000-0000-0000E20A0000}"/>
    <cellStyle name="Style 45 3 4 5 2" xfId="6913" xr:uid="{00000000-0005-0000-0000-0000E20A0000}"/>
    <cellStyle name="Style 45 3 4 5 2 2" xfId="26648" xr:uid="{00000000-0005-0000-0000-0000E20A0000}"/>
    <cellStyle name="Style 45 3 4 5 2 3" xfId="45017" xr:uid="{00000000-0005-0000-0000-0000E20A0000}"/>
    <cellStyle name="Style 45 3 4 5 3" xfId="27762" xr:uid="{00000000-0005-0000-0000-0000E20A0000}"/>
    <cellStyle name="Style 45 3 4 5 3 2" xfId="46125" xr:uid="{00000000-0005-0000-0000-0000E20A0000}"/>
    <cellStyle name="Style 45 3 4 5 4" xfId="17931" xr:uid="{00000000-0005-0000-0000-0000E20A0000}"/>
    <cellStyle name="Style 45 3 4 5 5" xfId="36339" xr:uid="{00000000-0005-0000-0000-0000E20A0000}"/>
    <cellStyle name="Style 45 3 4 6" xfId="8116" xr:uid="{00000000-0005-0000-0000-0000E20A0000}"/>
    <cellStyle name="Style 45 3 4 6 2" xfId="27321" xr:uid="{00000000-0005-0000-0000-0000E20A0000}"/>
    <cellStyle name="Style 45 3 4 6 3" xfId="45686" xr:uid="{00000000-0005-0000-0000-0000E20A0000}"/>
    <cellStyle name="Style 45 3 4 7" xfId="7746" xr:uid="{00000000-0005-0000-0000-0000E20A0000}"/>
    <cellStyle name="Style 45 3 4 7 2" xfId="27023" xr:uid="{00000000-0005-0000-0000-0000E20A0000}"/>
    <cellStyle name="Style 45 3 4 7 3" xfId="45388" xr:uid="{00000000-0005-0000-0000-0000E20A0000}"/>
    <cellStyle name="Style 45 3 4 8" xfId="18962" xr:uid="{00000000-0005-0000-0000-0000E20A0000}"/>
    <cellStyle name="Style 45 3 4 8 2" xfId="37371" xr:uid="{00000000-0005-0000-0000-0000E20A0000}"/>
    <cellStyle name="Style 45 3 4 9" xfId="10868" xr:uid="{00000000-0005-0000-0000-0000E20A0000}"/>
    <cellStyle name="Style 45 3 5" xfId="2332" xr:uid="{00000000-0005-0000-0000-0000E30A0000}"/>
    <cellStyle name="Style 45 3 5 10" xfId="7895" xr:uid="{00000000-0005-0000-0000-0000E30A0000}"/>
    <cellStyle name="Style 45 3 5 2" xfId="3780" xr:uid="{00000000-0005-0000-0000-0000E30A0000}"/>
    <cellStyle name="Style 45 3 5 2 2" xfId="5953" xr:uid="{00000000-0005-0000-0000-0000E30A0000}"/>
    <cellStyle name="Style 45 3 5 2 2 2" xfId="12317" xr:uid="{00000000-0005-0000-0000-0000E30A0000}"/>
    <cellStyle name="Style 45 3 5 2 2 2 2" xfId="30764" xr:uid="{00000000-0005-0000-0000-0000E30A0000}"/>
    <cellStyle name="Style 45 3 5 2 2 2 3" xfId="49127" xr:uid="{00000000-0005-0000-0000-0000E30A0000}"/>
    <cellStyle name="Style 45 3 5 2 2 3" xfId="16643" xr:uid="{00000000-0005-0000-0000-0000E30A0000}"/>
    <cellStyle name="Style 45 3 5 2 2 3 2" xfId="35015" xr:uid="{00000000-0005-0000-0000-0000E30A0000}"/>
    <cellStyle name="Style 45 3 5 2 2 3 3" xfId="53378" xr:uid="{00000000-0005-0000-0000-0000E30A0000}"/>
    <cellStyle name="Style 45 3 5 2 2 4" xfId="25762" xr:uid="{00000000-0005-0000-0000-0000E30A0000}"/>
    <cellStyle name="Style 45 3 5 2 2 4 2" xfId="44131" xr:uid="{00000000-0005-0000-0000-0000E30A0000}"/>
    <cellStyle name="Style 45 3 5 2 2 5" xfId="22083" xr:uid="{00000000-0005-0000-0000-0000E30A0000}"/>
    <cellStyle name="Style 45 3 5 2 2 6" xfId="40462" xr:uid="{00000000-0005-0000-0000-0000E30A0000}"/>
    <cellStyle name="Style 45 3 5 2 3" xfId="6779" xr:uid="{00000000-0005-0000-0000-0000E30A0000}"/>
    <cellStyle name="Style 45 3 5 2 3 2" xfId="13070" xr:uid="{00000000-0005-0000-0000-0000E30A0000}"/>
    <cellStyle name="Style 45 3 5 2 3 2 2" xfId="31496" xr:uid="{00000000-0005-0000-0000-0000E30A0000}"/>
    <cellStyle name="Style 45 3 5 2 3 2 3" xfId="49859" xr:uid="{00000000-0005-0000-0000-0000E30A0000}"/>
    <cellStyle name="Style 45 3 5 2 3 3" xfId="17381" xr:uid="{00000000-0005-0000-0000-0000E30A0000}"/>
    <cellStyle name="Style 45 3 5 2 3 3 2" xfId="35729" xr:uid="{00000000-0005-0000-0000-0000E30A0000}"/>
    <cellStyle name="Style 45 3 5 2 3 3 3" xfId="54092" xr:uid="{00000000-0005-0000-0000-0000E30A0000}"/>
    <cellStyle name="Style 45 3 5 2 3 4" xfId="26514" xr:uid="{00000000-0005-0000-0000-0000E30A0000}"/>
    <cellStyle name="Style 45 3 5 2 3 4 2" xfId="44883" xr:uid="{00000000-0005-0000-0000-0000E30A0000}"/>
    <cellStyle name="Style 45 3 5 2 3 5" xfId="22807" xr:uid="{00000000-0005-0000-0000-0000E30A0000}"/>
    <cellStyle name="Style 45 3 5 2 3 6" xfId="41176" xr:uid="{00000000-0005-0000-0000-0000E30A0000}"/>
    <cellStyle name="Style 45 3 5 2 4" xfId="10493" xr:uid="{00000000-0005-0000-0000-0000E30A0000}"/>
    <cellStyle name="Style 45 3 5 2 4 2" xfId="14550" xr:uid="{00000000-0005-0000-0000-0000E30A0000}"/>
    <cellStyle name="Style 45 3 5 2 4 2 2" xfId="32966" xr:uid="{00000000-0005-0000-0000-0000E30A0000}"/>
    <cellStyle name="Style 45 3 5 2 4 2 3" xfId="51329" xr:uid="{00000000-0005-0000-0000-0000E30A0000}"/>
    <cellStyle name="Style 45 3 5 2 4 3" xfId="29204" xr:uid="{00000000-0005-0000-0000-0000E30A0000}"/>
    <cellStyle name="Style 45 3 5 2 4 3 2" xfId="47567" xr:uid="{00000000-0005-0000-0000-0000E30A0000}"/>
    <cellStyle name="Style 45 3 5 2 4 4" xfId="20007" xr:uid="{00000000-0005-0000-0000-0000E30A0000}"/>
    <cellStyle name="Style 45 3 5 2 4 5" xfId="38413" xr:uid="{00000000-0005-0000-0000-0000E30A0000}"/>
    <cellStyle name="Style 45 3 5 2 5" xfId="9764" xr:uid="{00000000-0005-0000-0000-0000E30A0000}"/>
    <cellStyle name="Style 45 3 5 2 5 2" xfId="28479" xr:uid="{00000000-0005-0000-0000-0000E30A0000}"/>
    <cellStyle name="Style 45 3 5 2 5 3" xfId="46842" xr:uid="{00000000-0005-0000-0000-0000E30A0000}"/>
    <cellStyle name="Style 45 3 5 2 6" xfId="13821" xr:uid="{00000000-0005-0000-0000-0000E30A0000}"/>
    <cellStyle name="Style 45 3 5 2 6 2" xfId="32241" xr:uid="{00000000-0005-0000-0000-0000E30A0000}"/>
    <cellStyle name="Style 45 3 5 2 6 3" xfId="50604" xr:uid="{00000000-0005-0000-0000-0000E30A0000}"/>
    <cellStyle name="Style 45 3 5 2 7" xfId="23688" xr:uid="{00000000-0005-0000-0000-0000E30A0000}"/>
    <cellStyle name="Style 45 3 5 2 7 2" xfId="42057" xr:uid="{00000000-0005-0000-0000-0000E30A0000}"/>
    <cellStyle name="Style 45 3 5 2 8" xfId="18946" xr:uid="{00000000-0005-0000-0000-0000E30A0000}"/>
    <cellStyle name="Style 45 3 5 2 9" xfId="37355" xr:uid="{00000000-0005-0000-0000-0000E30A0000}"/>
    <cellStyle name="Style 45 3 5 3" xfId="4980" xr:uid="{00000000-0005-0000-0000-0000E30A0000}"/>
    <cellStyle name="Style 45 3 5 3 2" xfId="11510" xr:uid="{00000000-0005-0000-0000-0000E30A0000}"/>
    <cellStyle name="Style 45 3 5 3 2 2" xfId="30083" xr:uid="{00000000-0005-0000-0000-0000E30A0000}"/>
    <cellStyle name="Style 45 3 5 3 2 3" xfId="48446" xr:uid="{00000000-0005-0000-0000-0000E30A0000}"/>
    <cellStyle name="Style 45 3 5 3 3" xfId="15696" xr:uid="{00000000-0005-0000-0000-0000E30A0000}"/>
    <cellStyle name="Style 45 3 5 3 3 2" xfId="34085" xr:uid="{00000000-0005-0000-0000-0000E30A0000}"/>
    <cellStyle name="Style 45 3 5 3 3 3" xfId="52448" xr:uid="{00000000-0005-0000-0000-0000E30A0000}"/>
    <cellStyle name="Style 45 3 5 3 4" xfId="24820" xr:uid="{00000000-0005-0000-0000-0000E30A0000}"/>
    <cellStyle name="Style 45 3 5 3 4 2" xfId="43189" xr:uid="{00000000-0005-0000-0000-0000E30A0000}"/>
    <cellStyle name="Style 45 3 5 3 5" xfId="21145" xr:uid="{00000000-0005-0000-0000-0000E30A0000}"/>
    <cellStyle name="Style 45 3 5 3 6" xfId="39532" xr:uid="{00000000-0005-0000-0000-0000E30A0000}"/>
    <cellStyle name="Style 45 3 5 4" xfId="6120" xr:uid="{00000000-0005-0000-0000-0000E30A0000}"/>
    <cellStyle name="Style 45 3 5 4 2" xfId="12474" xr:uid="{00000000-0005-0000-0000-0000E30A0000}"/>
    <cellStyle name="Style 45 3 5 4 2 2" xfId="30914" xr:uid="{00000000-0005-0000-0000-0000E30A0000}"/>
    <cellStyle name="Style 45 3 5 4 2 3" xfId="49277" xr:uid="{00000000-0005-0000-0000-0000E30A0000}"/>
    <cellStyle name="Style 45 3 5 4 3" xfId="16793" xr:uid="{00000000-0005-0000-0000-0000E30A0000}"/>
    <cellStyle name="Style 45 3 5 4 3 2" xfId="35162" xr:uid="{00000000-0005-0000-0000-0000E30A0000}"/>
    <cellStyle name="Style 45 3 5 4 3 3" xfId="53525" xr:uid="{00000000-0005-0000-0000-0000E30A0000}"/>
    <cellStyle name="Style 45 3 5 4 4" xfId="25916" xr:uid="{00000000-0005-0000-0000-0000E30A0000}"/>
    <cellStyle name="Style 45 3 5 4 4 2" xfId="44285" xr:uid="{00000000-0005-0000-0000-0000E30A0000}"/>
    <cellStyle name="Style 45 3 5 4 5" xfId="22232" xr:uid="{00000000-0005-0000-0000-0000E30A0000}"/>
    <cellStyle name="Style 45 3 5 4 6" xfId="40609" xr:uid="{00000000-0005-0000-0000-0000E30A0000}"/>
    <cellStyle name="Style 45 3 5 5" xfId="9783" xr:uid="{00000000-0005-0000-0000-0000E30A0000}"/>
    <cellStyle name="Style 45 3 5 5 2" xfId="13840" xr:uid="{00000000-0005-0000-0000-0000E30A0000}"/>
    <cellStyle name="Style 45 3 5 5 2 2" xfId="32260" xr:uid="{00000000-0005-0000-0000-0000E30A0000}"/>
    <cellStyle name="Style 45 3 5 5 2 3" xfId="50623" xr:uid="{00000000-0005-0000-0000-0000E30A0000}"/>
    <cellStyle name="Style 45 3 5 5 3" xfId="28498" xr:uid="{00000000-0005-0000-0000-0000E30A0000}"/>
    <cellStyle name="Style 45 3 5 5 3 2" xfId="46861" xr:uid="{00000000-0005-0000-0000-0000E30A0000}"/>
    <cellStyle name="Style 45 3 5 5 4" xfId="18985" xr:uid="{00000000-0005-0000-0000-0000E30A0000}"/>
    <cellStyle name="Style 45 3 5 5 5" xfId="37394" xr:uid="{00000000-0005-0000-0000-0000E30A0000}"/>
    <cellStyle name="Style 45 3 5 6" xfId="8373" xr:uid="{00000000-0005-0000-0000-0000E30A0000}"/>
    <cellStyle name="Style 45 3 5 6 2" xfId="27440" xr:uid="{00000000-0005-0000-0000-0000E30A0000}"/>
    <cellStyle name="Style 45 3 5 6 3" xfId="45804" xr:uid="{00000000-0005-0000-0000-0000E30A0000}"/>
    <cellStyle name="Style 45 3 5 7" xfId="7104" xr:uid="{00000000-0005-0000-0000-0000E30A0000}"/>
    <cellStyle name="Style 45 3 5 7 2" xfId="26720" xr:uid="{00000000-0005-0000-0000-0000E30A0000}"/>
    <cellStyle name="Style 45 3 5 7 3" xfId="45088" xr:uid="{00000000-0005-0000-0000-0000E30A0000}"/>
    <cellStyle name="Style 45 3 5 8" xfId="17914" xr:uid="{00000000-0005-0000-0000-0000E30A0000}"/>
    <cellStyle name="Style 45 3 5 8 2" xfId="36322" xr:uid="{00000000-0005-0000-0000-0000E30A0000}"/>
    <cellStyle name="Style 45 3 5 9" xfId="7260" xr:uid="{00000000-0005-0000-0000-0000E30A0000}"/>
    <cellStyle name="Style 45 3 6" xfId="2779" xr:uid="{00000000-0005-0000-0000-0000E40A0000}"/>
    <cellStyle name="Style 45 3 6 10" xfId="35920" xr:uid="{00000000-0005-0000-0000-0000E40A0000}"/>
    <cellStyle name="Style 45 3 6 2" xfId="3816" xr:uid="{00000000-0005-0000-0000-0000E40A0000}"/>
    <cellStyle name="Style 45 3 6 2 2" xfId="5989" xr:uid="{00000000-0005-0000-0000-0000E40A0000}"/>
    <cellStyle name="Style 45 3 6 2 2 2" xfId="12353" xr:uid="{00000000-0005-0000-0000-0000E40A0000}"/>
    <cellStyle name="Style 45 3 6 2 2 2 2" xfId="30800" xr:uid="{00000000-0005-0000-0000-0000E40A0000}"/>
    <cellStyle name="Style 45 3 6 2 2 2 3" xfId="49163" xr:uid="{00000000-0005-0000-0000-0000E40A0000}"/>
    <cellStyle name="Style 45 3 6 2 2 3" xfId="16679" xr:uid="{00000000-0005-0000-0000-0000E40A0000}"/>
    <cellStyle name="Style 45 3 6 2 2 3 2" xfId="35051" xr:uid="{00000000-0005-0000-0000-0000E40A0000}"/>
    <cellStyle name="Style 45 3 6 2 2 3 3" xfId="53414" xr:uid="{00000000-0005-0000-0000-0000E40A0000}"/>
    <cellStyle name="Style 45 3 6 2 2 4" xfId="25798" xr:uid="{00000000-0005-0000-0000-0000E40A0000}"/>
    <cellStyle name="Style 45 3 6 2 2 4 2" xfId="44167" xr:uid="{00000000-0005-0000-0000-0000E40A0000}"/>
    <cellStyle name="Style 45 3 6 2 2 5" xfId="22119" xr:uid="{00000000-0005-0000-0000-0000E40A0000}"/>
    <cellStyle name="Style 45 3 6 2 2 6" xfId="40498" xr:uid="{00000000-0005-0000-0000-0000E40A0000}"/>
    <cellStyle name="Style 45 3 6 2 3" xfId="6815" xr:uid="{00000000-0005-0000-0000-0000E40A0000}"/>
    <cellStyle name="Style 45 3 6 2 3 2" xfId="13106" xr:uid="{00000000-0005-0000-0000-0000E40A0000}"/>
    <cellStyle name="Style 45 3 6 2 3 2 2" xfId="31532" xr:uid="{00000000-0005-0000-0000-0000E40A0000}"/>
    <cellStyle name="Style 45 3 6 2 3 2 3" xfId="49895" xr:uid="{00000000-0005-0000-0000-0000E40A0000}"/>
    <cellStyle name="Style 45 3 6 2 3 3" xfId="17417" xr:uid="{00000000-0005-0000-0000-0000E40A0000}"/>
    <cellStyle name="Style 45 3 6 2 3 3 2" xfId="35765" xr:uid="{00000000-0005-0000-0000-0000E40A0000}"/>
    <cellStyle name="Style 45 3 6 2 3 3 3" xfId="54128" xr:uid="{00000000-0005-0000-0000-0000E40A0000}"/>
    <cellStyle name="Style 45 3 6 2 3 4" xfId="26550" xr:uid="{00000000-0005-0000-0000-0000E40A0000}"/>
    <cellStyle name="Style 45 3 6 2 3 4 2" xfId="44919" xr:uid="{00000000-0005-0000-0000-0000E40A0000}"/>
    <cellStyle name="Style 45 3 6 2 3 5" xfId="22843" xr:uid="{00000000-0005-0000-0000-0000E40A0000}"/>
    <cellStyle name="Style 45 3 6 2 3 6" xfId="41212" xr:uid="{00000000-0005-0000-0000-0000E40A0000}"/>
    <cellStyle name="Style 45 3 6 2 4" xfId="10529" xr:uid="{00000000-0005-0000-0000-0000E40A0000}"/>
    <cellStyle name="Style 45 3 6 2 4 2" xfId="14586" xr:uid="{00000000-0005-0000-0000-0000E40A0000}"/>
    <cellStyle name="Style 45 3 6 2 4 2 2" xfId="33002" xr:uid="{00000000-0005-0000-0000-0000E40A0000}"/>
    <cellStyle name="Style 45 3 6 2 4 2 3" xfId="51365" xr:uid="{00000000-0005-0000-0000-0000E40A0000}"/>
    <cellStyle name="Style 45 3 6 2 4 3" xfId="29240" xr:uid="{00000000-0005-0000-0000-0000E40A0000}"/>
    <cellStyle name="Style 45 3 6 2 4 3 2" xfId="47603" xr:uid="{00000000-0005-0000-0000-0000E40A0000}"/>
    <cellStyle name="Style 45 3 6 2 4 4" xfId="20043" xr:uid="{00000000-0005-0000-0000-0000E40A0000}"/>
    <cellStyle name="Style 45 3 6 2 4 5" xfId="38449" xr:uid="{00000000-0005-0000-0000-0000E40A0000}"/>
    <cellStyle name="Style 45 3 6 2 5" xfId="9862" xr:uid="{00000000-0005-0000-0000-0000E40A0000}"/>
    <cellStyle name="Style 45 3 6 2 5 2" xfId="28576" xr:uid="{00000000-0005-0000-0000-0000E40A0000}"/>
    <cellStyle name="Style 45 3 6 2 5 3" xfId="46939" xr:uid="{00000000-0005-0000-0000-0000E40A0000}"/>
    <cellStyle name="Style 45 3 6 2 6" xfId="13920" xr:uid="{00000000-0005-0000-0000-0000E40A0000}"/>
    <cellStyle name="Style 45 3 6 2 6 2" xfId="32338" xr:uid="{00000000-0005-0000-0000-0000E40A0000}"/>
    <cellStyle name="Style 45 3 6 2 6 3" xfId="50701" xr:uid="{00000000-0005-0000-0000-0000E40A0000}"/>
    <cellStyle name="Style 45 3 6 2 7" xfId="23724" xr:uid="{00000000-0005-0000-0000-0000E40A0000}"/>
    <cellStyle name="Style 45 3 6 2 7 2" xfId="42093" xr:uid="{00000000-0005-0000-0000-0000E40A0000}"/>
    <cellStyle name="Style 45 3 6 2 8" xfId="19116" xr:uid="{00000000-0005-0000-0000-0000E40A0000}"/>
    <cellStyle name="Style 45 3 6 2 9" xfId="37524" xr:uid="{00000000-0005-0000-0000-0000E40A0000}"/>
    <cellStyle name="Style 45 3 6 3" xfId="5140" xr:uid="{00000000-0005-0000-0000-0000E40A0000}"/>
    <cellStyle name="Style 45 3 6 3 2" xfId="11645" xr:uid="{00000000-0005-0000-0000-0000E40A0000}"/>
    <cellStyle name="Style 45 3 6 3 2 2" xfId="30193" xr:uid="{00000000-0005-0000-0000-0000E40A0000}"/>
    <cellStyle name="Style 45 3 6 3 2 3" xfId="48556" xr:uid="{00000000-0005-0000-0000-0000E40A0000}"/>
    <cellStyle name="Style 45 3 6 3 3" xfId="15844" xr:uid="{00000000-0005-0000-0000-0000E40A0000}"/>
    <cellStyle name="Style 45 3 6 3 3 2" xfId="34228" xr:uid="{00000000-0005-0000-0000-0000E40A0000}"/>
    <cellStyle name="Style 45 3 6 3 3 3" xfId="52591" xr:uid="{00000000-0005-0000-0000-0000E40A0000}"/>
    <cellStyle name="Style 45 3 6 3 4" xfId="24967" xr:uid="{00000000-0005-0000-0000-0000E40A0000}"/>
    <cellStyle name="Style 45 3 6 3 4 2" xfId="43336" xr:uid="{00000000-0005-0000-0000-0000E40A0000}"/>
    <cellStyle name="Style 45 3 6 3 5" xfId="21290" xr:uid="{00000000-0005-0000-0000-0000E40A0000}"/>
    <cellStyle name="Style 45 3 6 3 6" xfId="39675" xr:uid="{00000000-0005-0000-0000-0000E40A0000}"/>
    <cellStyle name="Style 45 3 6 4" xfId="6190" xr:uid="{00000000-0005-0000-0000-0000E40A0000}"/>
    <cellStyle name="Style 45 3 6 4 2" xfId="12525" xr:uid="{00000000-0005-0000-0000-0000E40A0000}"/>
    <cellStyle name="Style 45 3 6 4 2 2" xfId="30957" xr:uid="{00000000-0005-0000-0000-0000E40A0000}"/>
    <cellStyle name="Style 45 3 6 4 2 3" xfId="49320" xr:uid="{00000000-0005-0000-0000-0000E40A0000}"/>
    <cellStyle name="Style 45 3 6 4 3" xfId="16840" xr:uid="{00000000-0005-0000-0000-0000E40A0000}"/>
    <cellStyle name="Style 45 3 6 4 3 2" xfId="35200" xr:uid="{00000000-0005-0000-0000-0000E40A0000}"/>
    <cellStyle name="Style 45 3 6 4 3 3" xfId="53563" xr:uid="{00000000-0005-0000-0000-0000E40A0000}"/>
    <cellStyle name="Style 45 3 6 4 4" xfId="25967" xr:uid="{00000000-0005-0000-0000-0000E40A0000}"/>
    <cellStyle name="Style 45 3 6 4 4 2" xfId="44336" xr:uid="{00000000-0005-0000-0000-0000E40A0000}"/>
    <cellStyle name="Style 45 3 6 4 5" xfId="22274" xr:uid="{00000000-0005-0000-0000-0000E40A0000}"/>
    <cellStyle name="Style 45 3 6 4 6" xfId="40647" xr:uid="{00000000-0005-0000-0000-0000E40A0000}"/>
    <cellStyle name="Style 45 3 6 5" xfId="10022" xr:uid="{00000000-0005-0000-0000-0000E40A0000}"/>
    <cellStyle name="Style 45 3 6 5 2" xfId="14079" xr:uid="{00000000-0005-0000-0000-0000E40A0000}"/>
    <cellStyle name="Style 45 3 6 5 2 2" xfId="32495" xr:uid="{00000000-0005-0000-0000-0000E40A0000}"/>
    <cellStyle name="Style 45 3 6 5 2 3" xfId="50858" xr:uid="{00000000-0005-0000-0000-0000E40A0000}"/>
    <cellStyle name="Style 45 3 6 5 3" xfId="28733" xr:uid="{00000000-0005-0000-0000-0000E40A0000}"/>
    <cellStyle name="Style 45 3 6 5 3 2" xfId="47096" xr:uid="{00000000-0005-0000-0000-0000E40A0000}"/>
    <cellStyle name="Style 45 3 6 5 4" xfId="19401" xr:uid="{00000000-0005-0000-0000-0000E40A0000}"/>
    <cellStyle name="Style 45 3 6 5 5" xfId="37807" xr:uid="{00000000-0005-0000-0000-0000E40A0000}"/>
    <cellStyle name="Style 45 3 6 6" xfId="8649" xr:uid="{00000000-0005-0000-0000-0000E40A0000}"/>
    <cellStyle name="Style 45 3 6 6 2" xfId="27557" xr:uid="{00000000-0005-0000-0000-0000E40A0000}"/>
    <cellStyle name="Style 45 3 6 6 3" xfId="45920" xr:uid="{00000000-0005-0000-0000-0000E40A0000}"/>
    <cellStyle name="Style 45 3 6 7" xfId="7621" xr:uid="{00000000-0005-0000-0000-0000E40A0000}"/>
    <cellStyle name="Style 45 3 6 7 2" xfId="26916" xr:uid="{00000000-0005-0000-0000-0000E40A0000}"/>
    <cellStyle name="Style 45 3 6 7 3" xfId="45281" xr:uid="{00000000-0005-0000-0000-0000E40A0000}"/>
    <cellStyle name="Style 45 3 6 8" xfId="18732" xr:uid="{00000000-0005-0000-0000-0000E40A0000}"/>
    <cellStyle name="Style 45 3 6 8 2" xfId="37142" xr:uid="{00000000-0005-0000-0000-0000E40A0000}"/>
    <cellStyle name="Style 45 3 6 9" xfId="8472" xr:uid="{00000000-0005-0000-0000-0000E40A0000}"/>
    <cellStyle name="Style 45 3 7" xfId="4197" xr:uid="{00000000-0005-0000-0000-0000DF0A0000}"/>
    <cellStyle name="Style 45 3 7 2" xfId="10846" xr:uid="{00000000-0005-0000-0000-0000DF0A0000}"/>
    <cellStyle name="Style 45 3 7 2 2" xfId="29517" xr:uid="{00000000-0005-0000-0000-0000DF0A0000}"/>
    <cellStyle name="Style 45 3 7 2 3" xfId="47880" xr:uid="{00000000-0005-0000-0000-0000DF0A0000}"/>
    <cellStyle name="Style 45 3 7 3" xfId="14943" xr:uid="{00000000-0005-0000-0000-0000DF0A0000}"/>
    <cellStyle name="Style 45 3 7 3 2" xfId="33347" xr:uid="{00000000-0005-0000-0000-0000DF0A0000}"/>
    <cellStyle name="Style 45 3 7 3 3" xfId="51710" xr:uid="{00000000-0005-0000-0000-0000DF0A0000}"/>
    <cellStyle name="Style 45 3 7 4" xfId="24076" xr:uid="{00000000-0005-0000-0000-0000DF0A0000}"/>
    <cellStyle name="Style 45 3 7 4 2" xfId="42445" xr:uid="{00000000-0005-0000-0000-0000DF0A0000}"/>
    <cellStyle name="Style 45 3 7 5" xfId="20396" xr:uid="{00000000-0005-0000-0000-0000DF0A0000}"/>
    <cellStyle name="Style 45 3 7 6" xfId="38794" xr:uid="{00000000-0005-0000-0000-0000DF0A0000}"/>
    <cellStyle name="Style 45 3 8" xfId="9833" xr:uid="{00000000-0005-0000-0000-0000DF0A0000}"/>
    <cellStyle name="Style 45 3 8 2" xfId="13890" xr:uid="{00000000-0005-0000-0000-0000DF0A0000}"/>
    <cellStyle name="Style 45 3 8 2 2" xfId="32310" xr:uid="{00000000-0005-0000-0000-0000DF0A0000}"/>
    <cellStyle name="Style 45 3 8 2 3" xfId="50673" xr:uid="{00000000-0005-0000-0000-0000DF0A0000}"/>
    <cellStyle name="Style 45 3 8 3" xfId="28548" xr:uid="{00000000-0005-0000-0000-0000DF0A0000}"/>
    <cellStyle name="Style 45 3 8 3 2" xfId="46911" xr:uid="{00000000-0005-0000-0000-0000DF0A0000}"/>
    <cellStyle name="Style 45 3 8 4" xfId="19053" xr:uid="{00000000-0005-0000-0000-0000DF0A0000}"/>
    <cellStyle name="Style 45 3 8 5" xfId="37462" xr:uid="{00000000-0005-0000-0000-0000DF0A0000}"/>
    <cellStyle name="Style 45 3 9" xfId="10788" xr:uid="{00000000-0005-0000-0000-0000DF0A0000}"/>
    <cellStyle name="Style 45 3 9 2" xfId="29480" xr:uid="{00000000-0005-0000-0000-0000DF0A0000}"/>
    <cellStyle name="Style 45 3 9 3" xfId="47843" xr:uid="{00000000-0005-0000-0000-0000DF0A0000}"/>
    <cellStyle name="Style 45 4" xfId="1204" xr:uid="{00000000-0005-0000-0000-0000E50A0000}"/>
    <cellStyle name="Style 45 4 2" xfId="1627" xr:uid="{00000000-0005-0000-0000-0000E60A0000}"/>
    <cellStyle name="Style 45 4 2 10" xfId="8496" xr:uid="{00000000-0005-0000-0000-0000E60A0000}"/>
    <cellStyle name="Style 45 4 2 11" xfId="7511" xr:uid="{00000000-0005-0000-0000-0000E60A0000}"/>
    <cellStyle name="Style 45 4 2 2" xfId="1710" xr:uid="{00000000-0005-0000-0000-0000E70A0000}"/>
    <cellStyle name="Style 45 4 2 2 2" xfId="3607" xr:uid="{00000000-0005-0000-0000-0000E70A0000}"/>
    <cellStyle name="Style 45 4 2 2 2 2" xfId="5780" xr:uid="{00000000-0005-0000-0000-0000E70A0000}"/>
    <cellStyle name="Style 45 4 2 2 2 2 2" xfId="12144" xr:uid="{00000000-0005-0000-0000-0000E70A0000}"/>
    <cellStyle name="Style 45 4 2 2 2 2 2 2" xfId="30591" xr:uid="{00000000-0005-0000-0000-0000E70A0000}"/>
    <cellStyle name="Style 45 4 2 2 2 2 2 3" xfId="48954" xr:uid="{00000000-0005-0000-0000-0000E70A0000}"/>
    <cellStyle name="Style 45 4 2 2 2 2 3" xfId="16470" xr:uid="{00000000-0005-0000-0000-0000E70A0000}"/>
    <cellStyle name="Style 45 4 2 2 2 2 3 2" xfId="34842" xr:uid="{00000000-0005-0000-0000-0000E70A0000}"/>
    <cellStyle name="Style 45 4 2 2 2 2 3 3" xfId="53205" xr:uid="{00000000-0005-0000-0000-0000E70A0000}"/>
    <cellStyle name="Style 45 4 2 2 2 2 4" xfId="25589" xr:uid="{00000000-0005-0000-0000-0000E70A0000}"/>
    <cellStyle name="Style 45 4 2 2 2 2 4 2" xfId="43958" xr:uid="{00000000-0005-0000-0000-0000E70A0000}"/>
    <cellStyle name="Style 45 4 2 2 2 2 5" xfId="21910" xr:uid="{00000000-0005-0000-0000-0000E70A0000}"/>
    <cellStyle name="Style 45 4 2 2 2 2 6" xfId="40289" xr:uid="{00000000-0005-0000-0000-0000E70A0000}"/>
    <cellStyle name="Style 45 4 2 2 2 3" xfId="6606" xr:uid="{00000000-0005-0000-0000-0000E70A0000}"/>
    <cellStyle name="Style 45 4 2 2 2 3 2" xfId="12897" xr:uid="{00000000-0005-0000-0000-0000E70A0000}"/>
    <cellStyle name="Style 45 4 2 2 2 3 2 2" xfId="31323" xr:uid="{00000000-0005-0000-0000-0000E70A0000}"/>
    <cellStyle name="Style 45 4 2 2 2 3 2 3" xfId="49686" xr:uid="{00000000-0005-0000-0000-0000E70A0000}"/>
    <cellStyle name="Style 45 4 2 2 2 3 3" xfId="17208" xr:uid="{00000000-0005-0000-0000-0000E70A0000}"/>
    <cellStyle name="Style 45 4 2 2 2 3 3 2" xfId="35556" xr:uid="{00000000-0005-0000-0000-0000E70A0000}"/>
    <cellStyle name="Style 45 4 2 2 2 3 3 3" xfId="53919" xr:uid="{00000000-0005-0000-0000-0000E70A0000}"/>
    <cellStyle name="Style 45 4 2 2 2 3 4" xfId="26341" xr:uid="{00000000-0005-0000-0000-0000E70A0000}"/>
    <cellStyle name="Style 45 4 2 2 2 3 4 2" xfId="44710" xr:uid="{00000000-0005-0000-0000-0000E70A0000}"/>
    <cellStyle name="Style 45 4 2 2 2 3 5" xfId="22634" xr:uid="{00000000-0005-0000-0000-0000E70A0000}"/>
    <cellStyle name="Style 45 4 2 2 2 3 6" xfId="41003" xr:uid="{00000000-0005-0000-0000-0000E70A0000}"/>
    <cellStyle name="Style 45 4 2 2 2 4" xfId="10320" xr:uid="{00000000-0005-0000-0000-0000E70A0000}"/>
    <cellStyle name="Style 45 4 2 2 2 4 2" xfId="14377" xr:uid="{00000000-0005-0000-0000-0000E70A0000}"/>
    <cellStyle name="Style 45 4 2 2 2 4 2 2" xfId="32793" xr:uid="{00000000-0005-0000-0000-0000E70A0000}"/>
    <cellStyle name="Style 45 4 2 2 2 4 2 3" xfId="51156" xr:uid="{00000000-0005-0000-0000-0000E70A0000}"/>
    <cellStyle name="Style 45 4 2 2 2 4 3" xfId="29031" xr:uid="{00000000-0005-0000-0000-0000E70A0000}"/>
    <cellStyle name="Style 45 4 2 2 2 4 3 2" xfId="47394" xr:uid="{00000000-0005-0000-0000-0000E70A0000}"/>
    <cellStyle name="Style 45 4 2 2 2 4 4" xfId="19834" xr:uid="{00000000-0005-0000-0000-0000E70A0000}"/>
    <cellStyle name="Style 45 4 2 2 2 4 5" xfId="38240" xr:uid="{00000000-0005-0000-0000-0000E70A0000}"/>
    <cellStyle name="Style 45 4 2 2 2 5" xfId="9528" xr:uid="{00000000-0005-0000-0000-0000E70A0000}"/>
    <cellStyle name="Style 45 4 2 2 2 5 2" xfId="28245" xr:uid="{00000000-0005-0000-0000-0000E70A0000}"/>
    <cellStyle name="Style 45 4 2 2 2 5 3" xfId="46608" xr:uid="{00000000-0005-0000-0000-0000E70A0000}"/>
    <cellStyle name="Style 45 4 2 2 2 6" xfId="13586" xr:uid="{00000000-0005-0000-0000-0000E70A0000}"/>
    <cellStyle name="Style 45 4 2 2 2 6 2" xfId="32007" xr:uid="{00000000-0005-0000-0000-0000E70A0000}"/>
    <cellStyle name="Style 45 4 2 2 2 6 3" xfId="50370" xr:uid="{00000000-0005-0000-0000-0000E70A0000}"/>
    <cellStyle name="Style 45 4 2 2 2 7" xfId="23515" xr:uid="{00000000-0005-0000-0000-0000E70A0000}"/>
    <cellStyle name="Style 45 4 2 2 2 7 2" xfId="41884" xr:uid="{00000000-0005-0000-0000-0000E70A0000}"/>
    <cellStyle name="Style 45 4 2 2 2 8" xfId="18627" xr:uid="{00000000-0005-0000-0000-0000E70A0000}"/>
    <cellStyle name="Style 45 4 2 2 2 9" xfId="37037" xr:uid="{00000000-0005-0000-0000-0000E70A0000}"/>
    <cellStyle name="Style 45 4 2 2 3" xfId="4647" xr:uid="{00000000-0005-0000-0000-0000E70A0000}"/>
    <cellStyle name="Style 45 4 2 2 3 2" xfId="11231" xr:uid="{00000000-0005-0000-0000-0000E70A0000}"/>
    <cellStyle name="Style 45 4 2 2 3 2 2" xfId="29843" xr:uid="{00000000-0005-0000-0000-0000E70A0000}"/>
    <cellStyle name="Style 45 4 2 2 3 2 3" xfId="48206" xr:uid="{00000000-0005-0000-0000-0000E70A0000}"/>
    <cellStyle name="Style 45 4 2 2 3 3" xfId="15373" xr:uid="{00000000-0005-0000-0000-0000E70A0000}"/>
    <cellStyle name="Style 45 4 2 2 3 3 2" xfId="33766" xr:uid="{00000000-0005-0000-0000-0000E70A0000}"/>
    <cellStyle name="Style 45 4 2 2 3 3 3" xfId="52129" xr:uid="{00000000-0005-0000-0000-0000E70A0000}"/>
    <cellStyle name="Style 45 4 2 2 3 4" xfId="24497" xr:uid="{00000000-0005-0000-0000-0000E70A0000}"/>
    <cellStyle name="Style 45 4 2 2 3 4 2" xfId="42866" xr:uid="{00000000-0005-0000-0000-0000E70A0000}"/>
    <cellStyle name="Style 45 4 2 2 3 5" xfId="20824" xr:uid="{00000000-0005-0000-0000-0000E70A0000}"/>
    <cellStyle name="Style 45 4 2 2 3 6" xfId="39213" xr:uid="{00000000-0005-0000-0000-0000E70A0000}"/>
    <cellStyle name="Style 45 4 2 2 4" xfId="4357" xr:uid="{00000000-0005-0000-0000-0000E70A0000}"/>
    <cellStyle name="Style 45 4 2 2 4 2" xfId="10960" xr:uid="{00000000-0005-0000-0000-0000E70A0000}"/>
    <cellStyle name="Style 45 4 2 2 4 2 2" xfId="29585" xr:uid="{00000000-0005-0000-0000-0000E70A0000}"/>
    <cellStyle name="Style 45 4 2 2 4 2 3" xfId="47948" xr:uid="{00000000-0005-0000-0000-0000E70A0000}"/>
    <cellStyle name="Style 45 4 2 2 4 3" xfId="15097" xr:uid="{00000000-0005-0000-0000-0000E70A0000}"/>
    <cellStyle name="Style 45 4 2 2 4 3 2" xfId="33497" xr:uid="{00000000-0005-0000-0000-0000E70A0000}"/>
    <cellStyle name="Style 45 4 2 2 4 3 3" xfId="51860" xr:uid="{00000000-0005-0000-0000-0000E70A0000}"/>
    <cellStyle name="Style 45 4 2 2 4 4" xfId="24227" xr:uid="{00000000-0005-0000-0000-0000E70A0000}"/>
    <cellStyle name="Style 45 4 2 2 4 4 2" xfId="42596" xr:uid="{00000000-0005-0000-0000-0000E70A0000}"/>
    <cellStyle name="Style 45 4 2 2 4 5" xfId="20549" xr:uid="{00000000-0005-0000-0000-0000E70A0000}"/>
    <cellStyle name="Style 45 4 2 2 4 6" xfId="38944" xr:uid="{00000000-0005-0000-0000-0000E70A0000}"/>
    <cellStyle name="Style 45 4 2 2 5" xfId="9172" xr:uid="{00000000-0005-0000-0000-0000E70A0000}"/>
    <cellStyle name="Style 45 4 2 2 5 2" xfId="13230" xr:uid="{00000000-0005-0000-0000-0000E70A0000}"/>
    <cellStyle name="Style 45 4 2 2 5 2 2" xfId="31651" xr:uid="{00000000-0005-0000-0000-0000E70A0000}"/>
    <cellStyle name="Style 45 4 2 2 5 2 3" xfId="50014" xr:uid="{00000000-0005-0000-0000-0000E70A0000}"/>
    <cellStyle name="Style 45 4 2 2 5 3" xfId="27893" xr:uid="{00000000-0005-0000-0000-0000E70A0000}"/>
    <cellStyle name="Style 45 4 2 2 5 3 2" xfId="46256" xr:uid="{00000000-0005-0000-0000-0000E70A0000}"/>
    <cellStyle name="Style 45 4 2 2 5 4" xfId="18178" xr:uid="{00000000-0005-0000-0000-0000E70A0000}"/>
    <cellStyle name="Style 45 4 2 2 5 5" xfId="36584" xr:uid="{00000000-0005-0000-0000-0000E70A0000}"/>
    <cellStyle name="Style 45 4 2 2 6" xfId="7941" xr:uid="{00000000-0005-0000-0000-0000E70A0000}"/>
    <cellStyle name="Style 45 4 2 2 6 2" xfId="27171" xr:uid="{00000000-0005-0000-0000-0000E70A0000}"/>
    <cellStyle name="Style 45 4 2 2 6 3" xfId="45536" xr:uid="{00000000-0005-0000-0000-0000E70A0000}"/>
    <cellStyle name="Style 45 4 2 2 7" xfId="8661" xr:uid="{00000000-0005-0000-0000-0000E70A0000}"/>
    <cellStyle name="Style 45 4 2 2 7 2" xfId="27568" xr:uid="{00000000-0005-0000-0000-0000E70A0000}"/>
    <cellStyle name="Style 45 4 2 2 7 3" xfId="45931" xr:uid="{00000000-0005-0000-0000-0000E70A0000}"/>
    <cellStyle name="Style 45 4 2 2 8" xfId="7133" xr:uid="{00000000-0005-0000-0000-0000E70A0000}"/>
    <cellStyle name="Style 45 4 2 2 9" xfId="7554" xr:uid="{00000000-0005-0000-0000-0000E70A0000}"/>
    <cellStyle name="Style 45 4 2 3" xfId="1742" xr:uid="{00000000-0005-0000-0000-0000E80A0000}"/>
    <cellStyle name="Style 45 4 2 3 10" xfId="7624" xr:uid="{00000000-0005-0000-0000-0000E80A0000}"/>
    <cellStyle name="Style 45 4 2 3 2" xfId="3639" xr:uid="{00000000-0005-0000-0000-0000E80A0000}"/>
    <cellStyle name="Style 45 4 2 3 2 2" xfId="5812" xr:uid="{00000000-0005-0000-0000-0000E80A0000}"/>
    <cellStyle name="Style 45 4 2 3 2 2 2" xfId="12176" xr:uid="{00000000-0005-0000-0000-0000E80A0000}"/>
    <cellStyle name="Style 45 4 2 3 2 2 2 2" xfId="30623" xr:uid="{00000000-0005-0000-0000-0000E80A0000}"/>
    <cellStyle name="Style 45 4 2 3 2 2 2 3" xfId="48986" xr:uid="{00000000-0005-0000-0000-0000E80A0000}"/>
    <cellStyle name="Style 45 4 2 3 2 2 3" xfId="16502" xr:uid="{00000000-0005-0000-0000-0000E80A0000}"/>
    <cellStyle name="Style 45 4 2 3 2 2 3 2" xfId="34874" xr:uid="{00000000-0005-0000-0000-0000E80A0000}"/>
    <cellStyle name="Style 45 4 2 3 2 2 3 3" xfId="53237" xr:uid="{00000000-0005-0000-0000-0000E80A0000}"/>
    <cellStyle name="Style 45 4 2 3 2 2 4" xfId="25621" xr:uid="{00000000-0005-0000-0000-0000E80A0000}"/>
    <cellStyle name="Style 45 4 2 3 2 2 4 2" xfId="43990" xr:uid="{00000000-0005-0000-0000-0000E80A0000}"/>
    <cellStyle name="Style 45 4 2 3 2 2 5" xfId="21942" xr:uid="{00000000-0005-0000-0000-0000E80A0000}"/>
    <cellStyle name="Style 45 4 2 3 2 2 6" xfId="40321" xr:uid="{00000000-0005-0000-0000-0000E80A0000}"/>
    <cellStyle name="Style 45 4 2 3 2 3" xfId="6638" xr:uid="{00000000-0005-0000-0000-0000E80A0000}"/>
    <cellStyle name="Style 45 4 2 3 2 3 2" xfId="12929" xr:uid="{00000000-0005-0000-0000-0000E80A0000}"/>
    <cellStyle name="Style 45 4 2 3 2 3 2 2" xfId="31355" xr:uid="{00000000-0005-0000-0000-0000E80A0000}"/>
    <cellStyle name="Style 45 4 2 3 2 3 2 3" xfId="49718" xr:uid="{00000000-0005-0000-0000-0000E80A0000}"/>
    <cellStyle name="Style 45 4 2 3 2 3 3" xfId="17240" xr:uid="{00000000-0005-0000-0000-0000E80A0000}"/>
    <cellStyle name="Style 45 4 2 3 2 3 3 2" xfId="35588" xr:uid="{00000000-0005-0000-0000-0000E80A0000}"/>
    <cellStyle name="Style 45 4 2 3 2 3 3 3" xfId="53951" xr:uid="{00000000-0005-0000-0000-0000E80A0000}"/>
    <cellStyle name="Style 45 4 2 3 2 3 4" xfId="26373" xr:uid="{00000000-0005-0000-0000-0000E80A0000}"/>
    <cellStyle name="Style 45 4 2 3 2 3 4 2" xfId="44742" xr:uid="{00000000-0005-0000-0000-0000E80A0000}"/>
    <cellStyle name="Style 45 4 2 3 2 3 5" xfId="22666" xr:uid="{00000000-0005-0000-0000-0000E80A0000}"/>
    <cellStyle name="Style 45 4 2 3 2 3 6" xfId="41035" xr:uid="{00000000-0005-0000-0000-0000E80A0000}"/>
    <cellStyle name="Style 45 4 2 3 2 4" xfId="10352" xr:uid="{00000000-0005-0000-0000-0000E80A0000}"/>
    <cellStyle name="Style 45 4 2 3 2 4 2" xfId="14409" xr:uid="{00000000-0005-0000-0000-0000E80A0000}"/>
    <cellStyle name="Style 45 4 2 3 2 4 2 2" xfId="32825" xr:uid="{00000000-0005-0000-0000-0000E80A0000}"/>
    <cellStyle name="Style 45 4 2 3 2 4 2 3" xfId="51188" xr:uid="{00000000-0005-0000-0000-0000E80A0000}"/>
    <cellStyle name="Style 45 4 2 3 2 4 3" xfId="29063" xr:uid="{00000000-0005-0000-0000-0000E80A0000}"/>
    <cellStyle name="Style 45 4 2 3 2 4 3 2" xfId="47426" xr:uid="{00000000-0005-0000-0000-0000E80A0000}"/>
    <cellStyle name="Style 45 4 2 3 2 4 4" xfId="19866" xr:uid="{00000000-0005-0000-0000-0000E80A0000}"/>
    <cellStyle name="Style 45 4 2 3 2 4 5" xfId="38272" xr:uid="{00000000-0005-0000-0000-0000E80A0000}"/>
    <cellStyle name="Style 45 4 2 3 2 5" xfId="9560" xr:uid="{00000000-0005-0000-0000-0000E80A0000}"/>
    <cellStyle name="Style 45 4 2 3 2 5 2" xfId="28277" xr:uid="{00000000-0005-0000-0000-0000E80A0000}"/>
    <cellStyle name="Style 45 4 2 3 2 5 3" xfId="46640" xr:uid="{00000000-0005-0000-0000-0000E80A0000}"/>
    <cellStyle name="Style 45 4 2 3 2 6" xfId="13618" xr:uid="{00000000-0005-0000-0000-0000E80A0000}"/>
    <cellStyle name="Style 45 4 2 3 2 6 2" xfId="32039" xr:uid="{00000000-0005-0000-0000-0000E80A0000}"/>
    <cellStyle name="Style 45 4 2 3 2 6 3" xfId="50402" xr:uid="{00000000-0005-0000-0000-0000E80A0000}"/>
    <cellStyle name="Style 45 4 2 3 2 7" xfId="23547" xr:uid="{00000000-0005-0000-0000-0000E80A0000}"/>
    <cellStyle name="Style 45 4 2 3 2 7 2" xfId="41916" xr:uid="{00000000-0005-0000-0000-0000E80A0000}"/>
    <cellStyle name="Style 45 4 2 3 2 8" xfId="18659" xr:uid="{00000000-0005-0000-0000-0000E80A0000}"/>
    <cellStyle name="Style 45 4 2 3 2 9" xfId="37069" xr:uid="{00000000-0005-0000-0000-0000E80A0000}"/>
    <cellStyle name="Style 45 4 2 3 3" xfId="4679" xr:uid="{00000000-0005-0000-0000-0000E80A0000}"/>
    <cellStyle name="Style 45 4 2 3 3 2" xfId="11263" xr:uid="{00000000-0005-0000-0000-0000E80A0000}"/>
    <cellStyle name="Style 45 4 2 3 3 2 2" xfId="29875" xr:uid="{00000000-0005-0000-0000-0000E80A0000}"/>
    <cellStyle name="Style 45 4 2 3 3 2 3" xfId="48238" xr:uid="{00000000-0005-0000-0000-0000E80A0000}"/>
    <cellStyle name="Style 45 4 2 3 3 3" xfId="15405" xr:uid="{00000000-0005-0000-0000-0000E80A0000}"/>
    <cellStyle name="Style 45 4 2 3 3 3 2" xfId="33798" xr:uid="{00000000-0005-0000-0000-0000E80A0000}"/>
    <cellStyle name="Style 45 4 2 3 3 3 3" xfId="52161" xr:uid="{00000000-0005-0000-0000-0000E80A0000}"/>
    <cellStyle name="Style 45 4 2 3 3 4" xfId="24529" xr:uid="{00000000-0005-0000-0000-0000E80A0000}"/>
    <cellStyle name="Style 45 4 2 3 3 4 2" xfId="42898" xr:uid="{00000000-0005-0000-0000-0000E80A0000}"/>
    <cellStyle name="Style 45 4 2 3 3 5" xfId="20856" xr:uid="{00000000-0005-0000-0000-0000E80A0000}"/>
    <cellStyle name="Style 45 4 2 3 3 6" xfId="39245" xr:uid="{00000000-0005-0000-0000-0000E80A0000}"/>
    <cellStyle name="Style 45 4 2 3 4" xfId="4871" xr:uid="{00000000-0005-0000-0000-0000E80A0000}"/>
    <cellStyle name="Style 45 4 2 3 4 2" xfId="11429" xr:uid="{00000000-0005-0000-0000-0000E80A0000}"/>
    <cellStyle name="Style 45 4 2 3 4 2 2" xfId="30019" xr:uid="{00000000-0005-0000-0000-0000E80A0000}"/>
    <cellStyle name="Style 45 4 2 3 4 2 3" xfId="48382" xr:uid="{00000000-0005-0000-0000-0000E80A0000}"/>
    <cellStyle name="Style 45 4 2 3 4 3" xfId="15597" xr:uid="{00000000-0005-0000-0000-0000E80A0000}"/>
    <cellStyle name="Style 45 4 2 3 4 3 2" xfId="33988" xr:uid="{00000000-0005-0000-0000-0000E80A0000}"/>
    <cellStyle name="Style 45 4 2 3 4 3 3" xfId="52351" xr:uid="{00000000-0005-0000-0000-0000E80A0000}"/>
    <cellStyle name="Style 45 4 2 3 4 4" xfId="24719" xr:uid="{00000000-0005-0000-0000-0000E80A0000}"/>
    <cellStyle name="Style 45 4 2 3 4 4 2" xfId="43088" xr:uid="{00000000-0005-0000-0000-0000E80A0000}"/>
    <cellStyle name="Style 45 4 2 3 4 5" xfId="21046" xr:uid="{00000000-0005-0000-0000-0000E80A0000}"/>
    <cellStyle name="Style 45 4 2 3 4 6" xfId="39435" xr:uid="{00000000-0005-0000-0000-0000E80A0000}"/>
    <cellStyle name="Style 45 4 2 3 5" xfId="9704" xr:uid="{00000000-0005-0000-0000-0000E80A0000}"/>
    <cellStyle name="Style 45 4 2 3 5 2" xfId="13761" xr:uid="{00000000-0005-0000-0000-0000E80A0000}"/>
    <cellStyle name="Style 45 4 2 3 5 2 2" xfId="32182" xr:uid="{00000000-0005-0000-0000-0000E80A0000}"/>
    <cellStyle name="Style 45 4 2 3 5 2 3" xfId="50545" xr:uid="{00000000-0005-0000-0000-0000E80A0000}"/>
    <cellStyle name="Style 45 4 2 3 5 3" xfId="28420" xr:uid="{00000000-0005-0000-0000-0000E80A0000}"/>
    <cellStyle name="Style 45 4 2 3 5 3 2" xfId="46783" xr:uid="{00000000-0005-0000-0000-0000E80A0000}"/>
    <cellStyle name="Style 45 4 2 3 5 4" xfId="18851" xr:uid="{00000000-0005-0000-0000-0000E80A0000}"/>
    <cellStyle name="Style 45 4 2 3 5 5" xfId="37260" xr:uid="{00000000-0005-0000-0000-0000E80A0000}"/>
    <cellStyle name="Style 45 4 2 3 6" xfId="7973" xr:uid="{00000000-0005-0000-0000-0000E80A0000}"/>
    <cellStyle name="Style 45 4 2 3 6 2" xfId="27203" xr:uid="{00000000-0005-0000-0000-0000E80A0000}"/>
    <cellStyle name="Style 45 4 2 3 6 3" xfId="45568" xr:uid="{00000000-0005-0000-0000-0000E80A0000}"/>
    <cellStyle name="Style 45 4 2 3 7" xfId="8085" xr:uid="{00000000-0005-0000-0000-0000E80A0000}"/>
    <cellStyle name="Style 45 4 2 3 7 2" xfId="27292" xr:uid="{00000000-0005-0000-0000-0000E80A0000}"/>
    <cellStyle name="Style 45 4 2 3 7 3" xfId="45657" xr:uid="{00000000-0005-0000-0000-0000E80A0000}"/>
    <cellStyle name="Style 45 4 2 3 8" xfId="19287" xr:uid="{00000000-0005-0000-0000-0000E80A0000}"/>
    <cellStyle name="Style 45 4 2 3 8 2" xfId="37694" xr:uid="{00000000-0005-0000-0000-0000E80A0000}"/>
    <cellStyle name="Style 45 4 2 3 9" xfId="7186" xr:uid="{00000000-0005-0000-0000-0000E80A0000}"/>
    <cellStyle name="Style 45 4 2 4" xfId="1770" xr:uid="{00000000-0005-0000-0000-0000E90A0000}"/>
    <cellStyle name="Style 45 4 2 4 10" xfId="8509" xr:uid="{00000000-0005-0000-0000-0000E90A0000}"/>
    <cellStyle name="Style 45 4 2 4 2" xfId="3667" xr:uid="{00000000-0005-0000-0000-0000E90A0000}"/>
    <cellStyle name="Style 45 4 2 4 2 2" xfId="5840" xr:uid="{00000000-0005-0000-0000-0000E90A0000}"/>
    <cellStyle name="Style 45 4 2 4 2 2 2" xfId="12204" xr:uid="{00000000-0005-0000-0000-0000E90A0000}"/>
    <cellStyle name="Style 45 4 2 4 2 2 2 2" xfId="30651" xr:uid="{00000000-0005-0000-0000-0000E90A0000}"/>
    <cellStyle name="Style 45 4 2 4 2 2 2 3" xfId="49014" xr:uid="{00000000-0005-0000-0000-0000E90A0000}"/>
    <cellStyle name="Style 45 4 2 4 2 2 3" xfId="16530" xr:uid="{00000000-0005-0000-0000-0000E90A0000}"/>
    <cellStyle name="Style 45 4 2 4 2 2 3 2" xfId="34902" xr:uid="{00000000-0005-0000-0000-0000E90A0000}"/>
    <cellStyle name="Style 45 4 2 4 2 2 3 3" xfId="53265" xr:uid="{00000000-0005-0000-0000-0000E90A0000}"/>
    <cellStyle name="Style 45 4 2 4 2 2 4" xfId="25649" xr:uid="{00000000-0005-0000-0000-0000E90A0000}"/>
    <cellStyle name="Style 45 4 2 4 2 2 4 2" xfId="44018" xr:uid="{00000000-0005-0000-0000-0000E90A0000}"/>
    <cellStyle name="Style 45 4 2 4 2 2 5" xfId="21970" xr:uid="{00000000-0005-0000-0000-0000E90A0000}"/>
    <cellStyle name="Style 45 4 2 4 2 2 6" xfId="40349" xr:uid="{00000000-0005-0000-0000-0000E90A0000}"/>
    <cellStyle name="Style 45 4 2 4 2 3" xfId="6666" xr:uid="{00000000-0005-0000-0000-0000E90A0000}"/>
    <cellStyle name="Style 45 4 2 4 2 3 2" xfId="12957" xr:uid="{00000000-0005-0000-0000-0000E90A0000}"/>
    <cellStyle name="Style 45 4 2 4 2 3 2 2" xfId="31383" xr:uid="{00000000-0005-0000-0000-0000E90A0000}"/>
    <cellStyle name="Style 45 4 2 4 2 3 2 3" xfId="49746" xr:uid="{00000000-0005-0000-0000-0000E90A0000}"/>
    <cellStyle name="Style 45 4 2 4 2 3 3" xfId="17268" xr:uid="{00000000-0005-0000-0000-0000E90A0000}"/>
    <cellStyle name="Style 45 4 2 4 2 3 3 2" xfId="35616" xr:uid="{00000000-0005-0000-0000-0000E90A0000}"/>
    <cellStyle name="Style 45 4 2 4 2 3 3 3" xfId="53979" xr:uid="{00000000-0005-0000-0000-0000E90A0000}"/>
    <cellStyle name="Style 45 4 2 4 2 3 4" xfId="26401" xr:uid="{00000000-0005-0000-0000-0000E90A0000}"/>
    <cellStyle name="Style 45 4 2 4 2 3 4 2" xfId="44770" xr:uid="{00000000-0005-0000-0000-0000E90A0000}"/>
    <cellStyle name="Style 45 4 2 4 2 3 5" xfId="22694" xr:uid="{00000000-0005-0000-0000-0000E90A0000}"/>
    <cellStyle name="Style 45 4 2 4 2 3 6" xfId="41063" xr:uid="{00000000-0005-0000-0000-0000E90A0000}"/>
    <cellStyle name="Style 45 4 2 4 2 4" xfId="10380" xr:uid="{00000000-0005-0000-0000-0000E90A0000}"/>
    <cellStyle name="Style 45 4 2 4 2 4 2" xfId="14437" xr:uid="{00000000-0005-0000-0000-0000E90A0000}"/>
    <cellStyle name="Style 45 4 2 4 2 4 2 2" xfId="32853" xr:uid="{00000000-0005-0000-0000-0000E90A0000}"/>
    <cellStyle name="Style 45 4 2 4 2 4 2 3" xfId="51216" xr:uid="{00000000-0005-0000-0000-0000E90A0000}"/>
    <cellStyle name="Style 45 4 2 4 2 4 3" xfId="29091" xr:uid="{00000000-0005-0000-0000-0000E90A0000}"/>
    <cellStyle name="Style 45 4 2 4 2 4 3 2" xfId="47454" xr:uid="{00000000-0005-0000-0000-0000E90A0000}"/>
    <cellStyle name="Style 45 4 2 4 2 4 4" xfId="19894" xr:uid="{00000000-0005-0000-0000-0000E90A0000}"/>
    <cellStyle name="Style 45 4 2 4 2 4 5" xfId="38300" xr:uid="{00000000-0005-0000-0000-0000E90A0000}"/>
    <cellStyle name="Style 45 4 2 4 2 5" xfId="9588" xr:uid="{00000000-0005-0000-0000-0000E90A0000}"/>
    <cellStyle name="Style 45 4 2 4 2 5 2" xfId="28305" xr:uid="{00000000-0005-0000-0000-0000E90A0000}"/>
    <cellStyle name="Style 45 4 2 4 2 5 3" xfId="46668" xr:uid="{00000000-0005-0000-0000-0000E90A0000}"/>
    <cellStyle name="Style 45 4 2 4 2 6" xfId="13646" xr:uid="{00000000-0005-0000-0000-0000E90A0000}"/>
    <cellStyle name="Style 45 4 2 4 2 6 2" xfId="32067" xr:uid="{00000000-0005-0000-0000-0000E90A0000}"/>
    <cellStyle name="Style 45 4 2 4 2 6 3" xfId="50430" xr:uid="{00000000-0005-0000-0000-0000E90A0000}"/>
    <cellStyle name="Style 45 4 2 4 2 7" xfId="23575" xr:uid="{00000000-0005-0000-0000-0000E90A0000}"/>
    <cellStyle name="Style 45 4 2 4 2 7 2" xfId="41944" xr:uid="{00000000-0005-0000-0000-0000E90A0000}"/>
    <cellStyle name="Style 45 4 2 4 2 8" xfId="18687" xr:uid="{00000000-0005-0000-0000-0000E90A0000}"/>
    <cellStyle name="Style 45 4 2 4 2 9" xfId="37097" xr:uid="{00000000-0005-0000-0000-0000E90A0000}"/>
    <cellStyle name="Style 45 4 2 4 3" xfId="4707" xr:uid="{00000000-0005-0000-0000-0000E90A0000}"/>
    <cellStyle name="Style 45 4 2 4 3 2" xfId="11291" xr:uid="{00000000-0005-0000-0000-0000E90A0000}"/>
    <cellStyle name="Style 45 4 2 4 3 2 2" xfId="29903" xr:uid="{00000000-0005-0000-0000-0000E90A0000}"/>
    <cellStyle name="Style 45 4 2 4 3 2 3" xfId="48266" xr:uid="{00000000-0005-0000-0000-0000E90A0000}"/>
    <cellStyle name="Style 45 4 2 4 3 3" xfId="15433" xr:uid="{00000000-0005-0000-0000-0000E90A0000}"/>
    <cellStyle name="Style 45 4 2 4 3 3 2" xfId="33826" xr:uid="{00000000-0005-0000-0000-0000E90A0000}"/>
    <cellStyle name="Style 45 4 2 4 3 3 3" xfId="52189" xr:uid="{00000000-0005-0000-0000-0000E90A0000}"/>
    <cellStyle name="Style 45 4 2 4 3 4" xfId="24557" xr:uid="{00000000-0005-0000-0000-0000E90A0000}"/>
    <cellStyle name="Style 45 4 2 4 3 4 2" xfId="42926" xr:uid="{00000000-0005-0000-0000-0000E90A0000}"/>
    <cellStyle name="Style 45 4 2 4 3 5" xfId="20884" xr:uid="{00000000-0005-0000-0000-0000E90A0000}"/>
    <cellStyle name="Style 45 4 2 4 3 6" xfId="39273" xr:uid="{00000000-0005-0000-0000-0000E90A0000}"/>
    <cellStyle name="Style 45 4 2 4 4" xfId="3948" xr:uid="{00000000-0005-0000-0000-0000E90A0000}"/>
    <cellStyle name="Style 45 4 2 4 4 2" xfId="10653" xr:uid="{00000000-0005-0000-0000-0000E90A0000}"/>
    <cellStyle name="Style 45 4 2 4 4 2 2" xfId="29359" xr:uid="{00000000-0005-0000-0000-0000E90A0000}"/>
    <cellStyle name="Style 45 4 2 4 4 2 3" xfId="47722" xr:uid="{00000000-0005-0000-0000-0000E90A0000}"/>
    <cellStyle name="Style 45 4 2 4 4 3" xfId="14711" xr:uid="{00000000-0005-0000-0000-0000E90A0000}"/>
    <cellStyle name="Style 45 4 2 4 4 3 2" xfId="33123" xr:uid="{00000000-0005-0000-0000-0000E90A0000}"/>
    <cellStyle name="Style 45 4 2 4 4 3 3" xfId="51486" xr:uid="{00000000-0005-0000-0000-0000E90A0000}"/>
    <cellStyle name="Style 45 4 2 4 4 4" xfId="23847" xr:uid="{00000000-0005-0000-0000-0000E90A0000}"/>
    <cellStyle name="Style 45 4 2 4 4 4 2" xfId="42216" xr:uid="{00000000-0005-0000-0000-0000E90A0000}"/>
    <cellStyle name="Style 45 4 2 4 4 5" xfId="20165" xr:uid="{00000000-0005-0000-0000-0000E90A0000}"/>
    <cellStyle name="Style 45 4 2 4 4 6" xfId="38570" xr:uid="{00000000-0005-0000-0000-0000E90A0000}"/>
    <cellStyle name="Style 45 4 2 4 5" xfId="9797" xr:uid="{00000000-0005-0000-0000-0000E90A0000}"/>
    <cellStyle name="Style 45 4 2 4 5 2" xfId="13854" xr:uid="{00000000-0005-0000-0000-0000E90A0000}"/>
    <cellStyle name="Style 45 4 2 4 5 2 2" xfId="32274" xr:uid="{00000000-0005-0000-0000-0000E90A0000}"/>
    <cellStyle name="Style 45 4 2 4 5 2 3" xfId="50637" xr:uid="{00000000-0005-0000-0000-0000E90A0000}"/>
    <cellStyle name="Style 45 4 2 4 5 3" xfId="28512" xr:uid="{00000000-0005-0000-0000-0000E90A0000}"/>
    <cellStyle name="Style 45 4 2 4 5 3 2" xfId="46875" xr:uid="{00000000-0005-0000-0000-0000E90A0000}"/>
    <cellStyle name="Style 45 4 2 4 5 4" xfId="19012" xr:uid="{00000000-0005-0000-0000-0000E90A0000}"/>
    <cellStyle name="Style 45 4 2 4 5 5" xfId="37421" xr:uid="{00000000-0005-0000-0000-0000E90A0000}"/>
    <cellStyle name="Style 45 4 2 4 6" xfId="8001" xr:uid="{00000000-0005-0000-0000-0000E90A0000}"/>
    <cellStyle name="Style 45 4 2 4 6 2" xfId="27231" xr:uid="{00000000-0005-0000-0000-0000E90A0000}"/>
    <cellStyle name="Style 45 4 2 4 6 3" xfId="45596" xr:uid="{00000000-0005-0000-0000-0000E90A0000}"/>
    <cellStyle name="Style 45 4 2 4 7" xfId="7842" xr:uid="{00000000-0005-0000-0000-0000E90A0000}"/>
    <cellStyle name="Style 45 4 2 4 7 2" xfId="27098" xr:uid="{00000000-0005-0000-0000-0000E90A0000}"/>
    <cellStyle name="Style 45 4 2 4 7 3" xfId="45463" xr:uid="{00000000-0005-0000-0000-0000E90A0000}"/>
    <cellStyle name="Style 45 4 2 4 8" xfId="18905" xr:uid="{00000000-0005-0000-0000-0000E90A0000}"/>
    <cellStyle name="Style 45 4 2 4 8 2" xfId="37314" xr:uid="{00000000-0005-0000-0000-0000E90A0000}"/>
    <cellStyle name="Style 45 4 2 4 9" xfId="8229" xr:uid="{00000000-0005-0000-0000-0000E90A0000}"/>
    <cellStyle name="Style 45 4 2 5" xfId="3543" xr:uid="{00000000-0005-0000-0000-0000E60A0000}"/>
    <cellStyle name="Style 45 4 2 5 2" xfId="5717" xr:uid="{00000000-0005-0000-0000-0000E60A0000}"/>
    <cellStyle name="Style 45 4 2 5 2 2" xfId="12081" xr:uid="{00000000-0005-0000-0000-0000E60A0000}"/>
    <cellStyle name="Style 45 4 2 5 2 2 2" xfId="30528" xr:uid="{00000000-0005-0000-0000-0000E60A0000}"/>
    <cellStyle name="Style 45 4 2 5 2 2 3" xfId="48891" xr:uid="{00000000-0005-0000-0000-0000E60A0000}"/>
    <cellStyle name="Style 45 4 2 5 2 3" xfId="16407" xr:uid="{00000000-0005-0000-0000-0000E60A0000}"/>
    <cellStyle name="Style 45 4 2 5 2 3 2" xfId="34779" xr:uid="{00000000-0005-0000-0000-0000E60A0000}"/>
    <cellStyle name="Style 45 4 2 5 2 3 3" xfId="53142" xr:uid="{00000000-0005-0000-0000-0000E60A0000}"/>
    <cellStyle name="Style 45 4 2 5 2 4" xfId="25526" xr:uid="{00000000-0005-0000-0000-0000E60A0000}"/>
    <cellStyle name="Style 45 4 2 5 2 4 2" xfId="43895" xr:uid="{00000000-0005-0000-0000-0000E60A0000}"/>
    <cellStyle name="Style 45 4 2 5 2 5" xfId="21847" xr:uid="{00000000-0005-0000-0000-0000E60A0000}"/>
    <cellStyle name="Style 45 4 2 5 2 6" xfId="40226" xr:uid="{00000000-0005-0000-0000-0000E60A0000}"/>
    <cellStyle name="Style 45 4 2 5 3" xfId="6542" xr:uid="{00000000-0005-0000-0000-0000E60A0000}"/>
    <cellStyle name="Style 45 4 2 5 3 2" xfId="12833" xr:uid="{00000000-0005-0000-0000-0000E60A0000}"/>
    <cellStyle name="Style 45 4 2 5 3 2 2" xfId="31259" xr:uid="{00000000-0005-0000-0000-0000E60A0000}"/>
    <cellStyle name="Style 45 4 2 5 3 2 3" xfId="49622" xr:uid="{00000000-0005-0000-0000-0000E60A0000}"/>
    <cellStyle name="Style 45 4 2 5 3 3" xfId="17144" xr:uid="{00000000-0005-0000-0000-0000E60A0000}"/>
    <cellStyle name="Style 45 4 2 5 3 3 2" xfId="35492" xr:uid="{00000000-0005-0000-0000-0000E60A0000}"/>
    <cellStyle name="Style 45 4 2 5 3 3 3" xfId="53855" xr:uid="{00000000-0005-0000-0000-0000E60A0000}"/>
    <cellStyle name="Style 45 4 2 5 3 4" xfId="26277" xr:uid="{00000000-0005-0000-0000-0000E60A0000}"/>
    <cellStyle name="Style 45 4 2 5 3 4 2" xfId="44646" xr:uid="{00000000-0005-0000-0000-0000E60A0000}"/>
    <cellStyle name="Style 45 4 2 5 3 5" xfId="22570" xr:uid="{00000000-0005-0000-0000-0000E60A0000}"/>
    <cellStyle name="Style 45 4 2 5 3 6" xfId="40939" xr:uid="{00000000-0005-0000-0000-0000E60A0000}"/>
    <cellStyle name="Style 45 4 2 5 4" xfId="10256" xr:uid="{00000000-0005-0000-0000-0000E60A0000}"/>
    <cellStyle name="Style 45 4 2 5 4 2" xfId="14313" xr:uid="{00000000-0005-0000-0000-0000E60A0000}"/>
    <cellStyle name="Style 45 4 2 5 4 2 2" xfId="32729" xr:uid="{00000000-0005-0000-0000-0000E60A0000}"/>
    <cellStyle name="Style 45 4 2 5 4 2 3" xfId="51092" xr:uid="{00000000-0005-0000-0000-0000E60A0000}"/>
    <cellStyle name="Style 45 4 2 5 4 3" xfId="28967" xr:uid="{00000000-0005-0000-0000-0000E60A0000}"/>
    <cellStyle name="Style 45 4 2 5 4 3 2" xfId="47330" xr:uid="{00000000-0005-0000-0000-0000E60A0000}"/>
    <cellStyle name="Style 45 4 2 5 4 4" xfId="19770" xr:uid="{00000000-0005-0000-0000-0000E60A0000}"/>
    <cellStyle name="Style 45 4 2 5 4 5" xfId="38176" xr:uid="{00000000-0005-0000-0000-0000E60A0000}"/>
    <cellStyle name="Style 45 4 2 5 5" xfId="9465" xr:uid="{00000000-0005-0000-0000-0000E60A0000}"/>
    <cellStyle name="Style 45 4 2 5 5 2" xfId="28182" xr:uid="{00000000-0005-0000-0000-0000E60A0000}"/>
    <cellStyle name="Style 45 4 2 5 5 3" xfId="46545" xr:uid="{00000000-0005-0000-0000-0000E60A0000}"/>
    <cellStyle name="Style 45 4 2 5 6" xfId="13522" xr:uid="{00000000-0005-0000-0000-0000E60A0000}"/>
    <cellStyle name="Style 45 4 2 5 6 2" xfId="31943" xr:uid="{00000000-0005-0000-0000-0000E60A0000}"/>
    <cellStyle name="Style 45 4 2 5 6 3" xfId="50306" xr:uid="{00000000-0005-0000-0000-0000E60A0000}"/>
    <cellStyle name="Style 45 4 2 5 7" xfId="23451" xr:uid="{00000000-0005-0000-0000-0000E60A0000}"/>
    <cellStyle name="Style 45 4 2 5 7 2" xfId="41820" xr:uid="{00000000-0005-0000-0000-0000E60A0000}"/>
    <cellStyle name="Style 45 4 2 5 8" xfId="18561" xr:uid="{00000000-0005-0000-0000-0000E60A0000}"/>
    <cellStyle name="Style 45 4 2 5 9" xfId="36970" xr:uid="{00000000-0005-0000-0000-0000E60A0000}"/>
    <cellStyle name="Style 45 4 2 6" xfId="4572" xr:uid="{00000000-0005-0000-0000-0000E60A0000}"/>
    <cellStyle name="Style 45 4 2 6 2" xfId="11157" xr:uid="{00000000-0005-0000-0000-0000E60A0000}"/>
    <cellStyle name="Style 45 4 2 6 2 2" xfId="29771" xr:uid="{00000000-0005-0000-0000-0000E60A0000}"/>
    <cellStyle name="Style 45 4 2 6 2 3" xfId="48134" xr:uid="{00000000-0005-0000-0000-0000E60A0000}"/>
    <cellStyle name="Style 45 4 2 6 3" xfId="15298" xr:uid="{00000000-0005-0000-0000-0000E60A0000}"/>
    <cellStyle name="Style 45 4 2 6 3 2" xfId="33692" xr:uid="{00000000-0005-0000-0000-0000E60A0000}"/>
    <cellStyle name="Style 45 4 2 6 3 3" xfId="52055" xr:uid="{00000000-0005-0000-0000-0000E60A0000}"/>
    <cellStyle name="Style 45 4 2 6 4" xfId="24423" xr:uid="{00000000-0005-0000-0000-0000E60A0000}"/>
    <cellStyle name="Style 45 4 2 6 4 2" xfId="42792" xr:uid="{00000000-0005-0000-0000-0000E60A0000}"/>
    <cellStyle name="Style 45 4 2 6 5" xfId="20749" xr:uid="{00000000-0005-0000-0000-0000E60A0000}"/>
    <cellStyle name="Style 45 4 2 6 6" xfId="39139" xr:uid="{00000000-0005-0000-0000-0000E60A0000}"/>
    <cellStyle name="Style 45 4 2 7" xfId="9818" xr:uid="{00000000-0005-0000-0000-0000E60A0000}"/>
    <cellStyle name="Style 45 4 2 7 2" xfId="13875" xr:uid="{00000000-0005-0000-0000-0000E60A0000}"/>
    <cellStyle name="Style 45 4 2 7 2 2" xfId="32295" xr:uid="{00000000-0005-0000-0000-0000E60A0000}"/>
    <cellStyle name="Style 45 4 2 7 2 3" xfId="50658" xr:uid="{00000000-0005-0000-0000-0000E60A0000}"/>
    <cellStyle name="Style 45 4 2 7 3" xfId="28533" xr:uid="{00000000-0005-0000-0000-0000E60A0000}"/>
    <cellStyle name="Style 45 4 2 7 3 2" xfId="46896" xr:uid="{00000000-0005-0000-0000-0000E60A0000}"/>
    <cellStyle name="Style 45 4 2 7 4" xfId="19035" xr:uid="{00000000-0005-0000-0000-0000E60A0000}"/>
    <cellStyle name="Style 45 4 2 7 5" xfId="37444" xr:uid="{00000000-0005-0000-0000-0000E60A0000}"/>
    <cellStyle name="Style 45 4 2 8" xfId="7869" xr:uid="{00000000-0005-0000-0000-0000E60A0000}"/>
    <cellStyle name="Style 45 4 2 8 2" xfId="27112" xr:uid="{00000000-0005-0000-0000-0000E60A0000}"/>
    <cellStyle name="Style 45 4 2 8 3" xfId="45477" xr:uid="{00000000-0005-0000-0000-0000E60A0000}"/>
    <cellStyle name="Style 45 4 2 9" xfId="7415" xr:uid="{00000000-0005-0000-0000-0000E60A0000}"/>
    <cellStyle name="Style 45 4 2 9 2" xfId="26806" xr:uid="{00000000-0005-0000-0000-0000E60A0000}"/>
    <cellStyle name="Style 45 4 2 9 3" xfId="45174" xr:uid="{00000000-0005-0000-0000-0000E60A0000}"/>
    <cellStyle name="Style 45 4 3" xfId="1530" xr:uid="{00000000-0005-0000-0000-0000EA0A0000}"/>
    <cellStyle name="Style 45 4 3 10" xfId="13199" xr:uid="{00000000-0005-0000-0000-0000EA0A0000}"/>
    <cellStyle name="Style 45 4 3 11" xfId="6973" xr:uid="{00000000-0005-0000-0000-0000EA0A0000}"/>
    <cellStyle name="Style 45 4 3 2" xfId="1696" xr:uid="{00000000-0005-0000-0000-0000EB0A0000}"/>
    <cellStyle name="Style 45 4 3 2 10" xfId="21101" xr:uid="{00000000-0005-0000-0000-0000EB0A0000}"/>
    <cellStyle name="Style 45 4 3 2 2" xfId="3594" xr:uid="{00000000-0005-0000-0000-0000EB0A0000}"/>
    <cellStyle name="Style 45 4 3 2 2 2" xfId="5767" xr:uid="{00000000-0005-0000-0000-0000EB0A0000}"/>
    <cellStyle name="Style 45 4 3 2 2 2 2" xfId="12131" xr:uid="{00000000-0005-0000-0000-0000EB0A0000}"/>
    <cellStyle name="Style 45 4 3 2 2 2 2 2" xfId="30578" xr:uid="{00000000-0005-0000-0000-0000EB0A0000}"/>
    <cellStyle name="Style 45 4 3 2 2 2 2 3" xfId="48941" xr:uid="{00000000-0005-0000-0000-0000EB0A0000}"/>
    <cellStyle name="Style 45 4 3 2 2 2 3" xfId="16457" xr:uid="{00000000-0005-0000-0000-0000EB0A0000}"/>
    <cellStyle name="Style 45 4 3 2 2 2 3 2" xfId="34829" xr:uid="{00000000-0005-0000-0000-0000EB0A0000}"/>
    <cellStyle name="Style 45 4 3 2 2 2 3 3" xfId="53192" xr:uid="{00000000-0005-0000-0000-0000EB0A0000}"/>
    <cellStyle name="Style 45 4 3 2 2 2 4" xfId="25576" xr:uid="{00000000-0005-0000-0000-0000EB0A0000}"/>
    <cellStyle name="Style 45 4 3 2 2 2 4 2" xfId="43945" xr:uid="{00000000-0005-0000-0000-0000EB0A0000}"/>
    <cellStyle name="Style 45 4 3 2 2 2 5" xfId="21897" xr:uid="{00000000-0005-0000-0000-0000EB0A0000}"/>
    <cellStyle name="Style 45 4 3 2 2 2 6" xfId="40276" xr:uid="{00000000-0005-0000-0000-0000EB0A0000}"/>
    <cellStyle name="Style 45 4 3 2 2 3" xfId="6593" xr:uid="{00000000-0005-0000-0000-0000EB0A0000}"/>
    <cellStyle name="Style 45 4 3 2 2 3 2" xfId="12884" xr:uid="{00000000-0005-0000-0000-0000EB0A0000}"/>
    <cellStyle name="Style 45 4 3 2 2 3 2 2" xfId="31310" xr:uid="{00000000-0005-0000-0000-0000EB0A0000}"/>
    <cellStyle name="Style 45 4 3 2 2 3 2 3" xfId="49673" xr:uid="{00000000-0005-0000-0000-0000EB0A0000}"/>
    <cellStyle name="Style 45 4 3 2 2 3 3" xfId="17195" xr:uid="{00000000-0005-0000-0000-0000EB0A0000}"/>
    <cellStyle name="Style 45 4 3 2 2 3 3 2" xfId="35543" xr:uid="{00000000-0005-0000-0000-0000EB0A0000}"/>
    <cellStyle name="Style 45 4 3 2 2 3 3 3" xfId="53906" xr:uid="{00000000-0005-0000-0000-0000EB0A0000}"/>
    <cellStyle name="Style 45 4 3 2 2 3 4" xfId="26328" xr:uid="{00000000-0005-0000-0000-0000EB0A0000}"/>
    <cellStyle name="Style 45 4 3 2 2 3 4 2" xfId="44697" xr:uid="{00000000-0005-0000-0000-0000EB0A0000}"/>
    <cellStyle name="Style 45 4 3 2 2 3 5" xfId="22621" xr:uid="{00000000-0005-0000-0000-0000EB0A0000}"/>
    <cellStyle name="Style 45 4 3 2 2 3 6" xfId="40990" xr:uid="{00000000-0005-0000-0000-0000EB0A0000}"/>
    <cellStyle name="Style 45 4 3 2 2 4" xfId="10307" xr:uid="{00000000-0005-0000-0000-0000EB0A0000}"/>
    <cellStyle name="Style 45 4 3 2 2 4 2" xfId="14364" xr:uid="{00000000-0005-0000-0000-0000EB0A0000}"/>
    <cellStyle name="Style 45 4 3 2 2 4 2 2" xfId="32780" xr:uid="{00000000-0005-0000-0000-0000EB0A0000}"/>
    <cellStyle name="Style 45 4 3 2 2 4 2 3" xfId="51143" xr:uid="{00000000-0005-0000-0000-0000EB0A0000}"/>
    <cellStyle name="Style 45 4 3 2 2 4 3" xfId="29018" xr:uid="{00000000-0005-0000-0000-0000EB0A0000}"/>
    <cellStyle name="Style 45 4 3 2 2 4 3 2" xfId="47381" xr:uid="{00000000-0005-0000-0000-0000EB0A0000}"/>
    <cellStyle name="Style 45 4 3 2 2 4 4" xfId="19821" xr:uid="{00000000-0005-0000-0000-0000EB0A0000}"/>
    <cellStyle name="Style 45 4 3 2 2 4 5" xfId="38227" xr:uid="{00000000-0005-0000-0000-0000EB0A0000}"/>
    <cellStyle name="Style 45 4 3 2 2 5" xfId="9515" xr:uid="{00000000-0005-0000-0000-0000EB0A0000}"/>
    <cellStyle name="Style 45 4 3 2 2 5 2" xfId="28232" xr:uid="{00000000-0005-0000-0000-0000EB0A0000}"/>
    <cellStyle name="Style 45 4 3 2 2 5 3" xfId="46595" xr:uid="{00000000-0005-0000-0000-0000EB0A0000}"/>
    <cellStyle name="Style 45 4 3 2 2 6" xfId="13573" xr:uid="{00000000-0005-0000-0000-0000EB0A0000}"/>
    <cellStyle name="Style 45 4 3 2 2 6 2" xfId="31994" xr:uid="{00000000-0005-0000-0000-0000EB0A0000}"/>
    <cellStyle name="Style 45 4 3 2 2 6 3" xfId="50357" xr:uid="{00000000-0005-0000-0000-0000EB0A0000}"/>
    <cellStyle name="Style 45 4 3 2 2 7" xfId="23502" xr:uid="{00000000-0005-0000-0000-0000EB0A0000}"/>
    <cellStyle name="Style 45 4 3 2 2 7 2" xfId="41871" xr:uid="{00000000-0005-0000-0000-0000EB0A0000}"/>
    <cellStyle name="Style 45 4 3 2 2 8" xfId="18613" xr:uid="{00000000-0005-0000-0000-0000EB0A0000}"/>
    <cellStyle name="Style 45 4 3 2 2 9" xfId="37023" xr:uid="{00000000-0005-0000-0000-0000EB0A0000}"/>
    <cellStyle name="Style 45 4 3 2 3" xfId="4634" xr:uid="{00000000-0005-0000-0000-0000EB0A0000}"/>
    <cellStyle name="Style 45 4 3 2 3 2" xfId="11218" xr:uid="{00000000-0005-0000-0000-0000EB0A0000}"/>
    <cellStyle name="Style 45 4 3 2 3 2 2" xfId="29830" xr:uid="{00000000-0005-0000-0000-0000EB0A0000}"/>
    <cellStyle name="Style 45 4 3 2 3 2 3" xfId="48193" xr:uid="{00000000-0005-0000-0000-0000EB0A0000}"/>
    <cellStyle name="Style 45 4 3 2 3 3" xfId="15360" xr:uid="{00000000-0005-0000-0000-0000EB0A0000}"/>
    <cellStyle name="Style 45 4 3 2 3 3 2" xfId="33753" xr:uid="{00000000-0005-0000-0000-0000EB0A0000}"/>
    <cellStyle name="Style 45 4 3 2 3 3 3" xfId="52116" xr:uid="{00000000-0005-0000-0000-0000EB0A0000}"/>
    <cellStyle name="Style 45 4 3 2 3 4" xfId="24484" xr:uid="{00000000-0005-0000-0000-0000EB0A0000}"/>
    <cellStyle name="Style 45 4 3 2 3 4 2" xfId="42853" xr:uid="{00000000-0005-0000-0000-0000EB0A0000}"/>
    <cellStyle name="Style 45 4 3 2 3 5" xfId="20811" xr:uid="{00000000-0005-0000-0000-0000EB0A0000}"/>
    <cellStyle name="Style 45 4 3 2 3 6" xfId="39200" xr:uid="{00000000-0005-0000-0000-0000EB0A0000}"/>
    <cellStyle name="Style 45 4 3 2 4" xfId="4605" xr:uid="{00000000-0005-0000-0000-0000EB0A0000}"/>
    <cellStyle name="Style 45 4 3 2 4 2" xfId="11189" xr:uid="{00000000-0005-0000-0000-0000EB0A0000}"/>
    <cellStyle name="Style 45 4 3 2 4 2 2" xfId="29801" xr:uid="{00000000-0005-0000-0000-0000EB0A0000}"/>
    <cellStyle name="Style 45 4 3 2 4 2 3" xfId="48164" xr:uid="{00000000-0005-0000-0000-0000EB0A0000}"/>
    <cellStyle name="Style 45 4 3 2 4 3" xfId="15331" xr:uid="{00000000-0005-0000-0000-0000EB0A0000}"/>
    <cellStyle name="Style 45 4 3 2 4 3 2" xfId="33724" xr:uid="{00000000-0005-0000-0000-0000EB0A0000}"/>
    <cellStyle name="Style 45 4 3 2 4 3 3" xfId="52087" xr:uid="{00000000-0005-0000-0000-0000EB0A0000}"/>
    <cellStyle name="Style 45 4 3 2 4 4" xfId="24455" xr:uid="{00000000-0005-0000-0000-0000EB0A0000}"/>
    <cellStyle name="Style 45 4 3 2 4 4 2" xfId="42824" xr:uid="{00000000-0005-0000-0000-0000EB0A0000}"/>
    <cellStyle name="Style 45 4 3 2 4 5" xfId="20782" xr:uid="{00000000-0005-0000-0000-0000EB0A0000}"/>
    <cellStyle name="Style 45 4 3 2 4 6" xfId="39171" xr:uid="{00000000-0005-0000-0000-0000EB0A0000}"/>
    <cellStyle name="Style 45 4 3 2 5" xfId="9947" xr:uid="{00000000-0005-0000-0000-0000EB0A0000}"/>
    <cellStyle name="Style 45 4 3 2 5 2" xfId="14004" xr:uid="{00000000-0005-0000-0000-0000EB0A0000}"/>
    <cellStyle name="Style 45 4 3 2 5 2 2" xfId="32421" xr:uid="{00000000-0005-0000-0000-0000EB0A0000}"/>
    <cellStyle name="Style 45 4 3 2 5 2 3" xfId="50784" xr:uid="{00000000-0005-0000-0000-0000EB0A0000}"/>
    <cellStyle name="Style 45 4 3 2 5 3" xfId="28659" xr:uid="{00000000-0005-0000-0000-0000EB0A0000}"/>
    <cellStyle name="Style 45 4 3 2 5 3 2" xfId="47022" xr:uid="{00000000-0005-0000-0000-0000EB0A0000}"/>
    <cellStyle name="Style 45 4 3 2 5 4" xfId="19277" xr:uid="{00000000-0005-0000-0000-0000EB0A0000}"/>
    <cellStyle name="Style 45 4 3 2 5 5" xfId="37684" xr:uid="{00000000-0005-0000-0000-0000EB0A0000}"/>
    <cellStyle name="Style 45 4 3 2 6" xfId="7928" xr:uid="{00000000-0005-0000-0000-0000EB0A0000}"/>
    <cellStyle name="Style 45 4 3 2 6 2" xfId="27159" xr:uid="{00000000-0005-0000-0000-0000EB0A0000}"/>
    <cellStyle name="Style 45 4 3 2 6 3" xfId="45524" xr:uid="{00000000-0005-0000-0000-0000EB0A0000}"/>
    <cellStyle name="Style 45 4 3 2 7" xfId="7475" xr:uid="{00000000-0005-0000-0000-0000EB0A0000}"/>
    <cellStyle name="Style 45 4 3 2 7 2" xfId="26841" xr:uid="{00000000-0005-0000-0000-0000EB0A0000}"/>
    <cellStyle name="Style 45 4 3 2 7 3" xfId="45206" xr:uid="{00000000-0005-0000-0000-0000EB0A0000}"/>
    <cellStyle name="Style 45 4 3 2 8" xfId="17867" xr:uid="{00000000-0005-0000-0000-0000EB0A0000}"/>
    <cellStyle name="Style 45 4 3 2 8 2" xfId="36277" xr:uid="{00000000-0005-0000-0000-0000EB0A0000}"/>
    <cellStyle name="Style 45 4 3 2 9" xfId="8579" xr:uid="{00000000-0005-0000-0000-0000EB0A0000}"/>
    <cellStyle name="Style 45 4 3 3" xfId="1454" xr:uid="{00000000-0005-0000-0000-0000EC0A0000}"/>
    <cellStyle name="Style 45 4 3 3 10" xfId="7079" xr:uid="{00000000-0005-0000-0000-0000EC0A0000}"/>
    <cellStyle name="Style 45 4 3 3 2" xfId="3473" xr:uid="{00000000-0005-0000-0000-0000EC0A0000}"/>
    <cellStyle name="Style 45 4 3 3 2 2" xfId="5648" xr:uid="{00000000-0005-0000-0000-0000EC0A0000}"/>
    <cellStyle name="Style 45 4 3 3 2 2 2" xfId="12012" xr:uid="{00000000-0005-0000-0000-0000EC0A0000}"/>
    <cellStyle name="Style 45 4 3 3 2 2 2 2" xfId="30459" xr:uid="{00000000-0005-0000-0000-0000EC0A0000}"/>
    <cellStyle name="Style 45 4 3 3 2 2 2 3" xfId="48822" xr:uid="{00000000-0005-0000-0000-0000EC0A0000}"/>
    <cellStyle name="Style 45 4 3 3 2 2 3" xfId="16338" xr:uid="{00000000-0005-0000-0000-0000EC0A0000}"/>
    <cellStyle name="Style 45 4 3 3 2 2 3 2" xfId="34710" xr:uid="{00000000-0005-0000-0000-0000EC0A0000}"/>
    <cellStyle name="Style 45 4 3 3 2 2 3 3" xfId="53073" xr:uid="{00000000-0005-0000-0000-0000EC0A0000}"/>
    <cellStyle name="Style 45 4 3 3 2 2 4" xfId="25457" xr:uid="{00000000-0005-0000-0000-0000EC0A0000}"/>
    <cellStyle name="Style 45 4 3 3 2 2 4 2" xfId="43826" xr:uid="{00000000-0005-0000-0000-0000EC0A0000}"/>
    <cellStyle name="Style 45 4 3 3 2 2 5" xfId="21778" xr:uid="{00000000-0005-0000-0000-0000EC0A0000}"/>
    <cellStyle name="Style 45 4 3 3 2 2 6" xfId="40157" xr:uid="{00000000-0005-0000-0000-0000EC0A0000}"/>
    <cellStyle name="Style 45 4 3 3 2 3" xfId="6472" xr:uid="{00000000-0005-0000-0000-0000EC0A0000}"/>
    <cellStyle name="Style 45 4 3 3 2 3 2" xfId="12763" xr:uid="{00000000-0005-0000-0000-0000EC0A0000}"/>
    <cellStyle name="Style 45 4 3 3 2 3 2 2" xfId="31189" xr:uid="{00000000-0005-0000-0000-0000EC0A0000}"/>
    <cellStyle name="Style 45 4 3 3 2 3 2 3" xfId="49552" xr:uid="{00000000-0005-0000-0000-0000EC0A0000}"/>
    <cellStyle name="Style 45 4 3 3 2 3 3" xfId="17074" xr:uid="{00000000-0005-0000-0000-0000EC0A0000}"/>
    <cellStyle name="Style 45 4 3 3 2 3 3 2" xfId="35422" xr:uid="{00000000-0005-0000-0000-0000EC0A0000}"/>
    <cellStyle name="Style 45 4 3 3 2 3 3 3" xfId="53785" xr:uid="{00000000-0005-0000-0000-0000EC0A0000}"/>
    <cellStyle name="Style 45 4 3 3 2 3 4" xfId="26207" xr:uid="{00000000-0005-0000-0000-0000EC0A0000}"/>
    <cellStyle name="Style 45 4 3 3 2 3 4 2" xfId="44576" xr:uid="{00000000-0005-0000-0000-0000EC0A0000}"/>
    <cellStyle name="Style 45 4 3 3 2 3 5" xfId="22500" xr:uid="{00000000-0005-0000-0000-0000EC0A0000}"/>
    <cellStyle name="Style 45 4 3 3 2 3 6" xfId="40869" xr:uid="{00000000-0005-0000-0000-0000EC0A0000}"/>
    <cellStyle name="Style 45 4 3 3 2 4" xfId="10186" xr:uid="{00000000-0005-0000-0000-0000EC0A0000}"/>
    <cellStyle name="Style 45 4 3 3 2 4 2" xfId="14243" xr:uid="{00000000-0005-0000-0000-0000EC0A0000}"/>
    <cellStyle name="Style 45 4 3 3 2 4 2 2" xfId="32659" xr:uid="{00000000-0005-0000-0000-0000EC0A0000}"/>
    <cellStyle name="Style 45 4 3 3 2 4 2 3" xfId="51022" xr:uid="{00000000-0005-0000-0000-0000EC0A0000}"/>
    <cellStyle name="Style 45 4 3 3 2 4 3" xfId="28897" xr:uid="{00000000-0005-0000-0000-0000EC0A0000}"/>
    <cellStyle name="Style 45 4 3 3 2 4 3 2" xfId="47260" xr:uid="{00000000-0005-0000-0000-0000EC0A0000}"/>
    <cellStyle name="Style 45 4 3 3 2 4 4" xfId="19700" xr:uid="{00000000-0005-0000-0000-0000EC0A0000}"/>
    <cellStyle name="Style 45 4 3 3 2 4 5" xfId="38106" xr:uid="{00000000-0005-0000-0000-0000EC0A0000}"/>
    <cellStyle name="Style 45 4 3 3 2 5" xfId="9377" xr:uid="{00000000-0005-0000-0000-0000EC0A0000}"/>
    <cellStyle name="Style 45 4 3 3 2 5 2" xfId="28096" xr:uid="{00000000-0005-0000-0000-0000EC0A0000}"/>
    <cellStyle name="Style 45 4 3 3 2 5 3" xfId="46459" xr:uid="{00000000-0005-0000-0000-0000EC0A0000}"/>
    <cellStyle name="Style 45 4 3 3 2 6" xfId="13433" xr:uid="{00000000-0005-0000-0000-0000EC0A0000}"/>
    <cellStyle name="Style 45 4 3 3 2 6 2" xfId="31854" xr:uid="{00000000-0005-0000-0000-0000EC0A0000}"/>
    <cellStyle name="Style 45 4 3 3 2 6 3" xfId="50217" xr:uid="{00000000-0005-0000-0000-0000EC0A0000}"/>
    <cellStyle name="Style 45 4 3 3 2 7" xfId="23381" xr:uid="{00000000-0005-0000-0000-0000EC0A0000}"/>
    <cellStyle name="Style 45 4 3 3 2 7 2" xfId="41750" xr:uid="{00000000-0005-0000-0000-0000EC0A0000}"/>
    <cellStyle name="Style 45 4 3 3 2 8" xfId="18459" xr:uid="{00000000-0005-0000-0000-0000EC0A0000}"/>
    <cellStyle name="Style 45 4 3 3 2 9" xfId="36865" xr:uid="{00000000-0005-0000-0000-0000EC0A0000}"/>
    <cellStyle name="Style 45 4 3 3 3" xfId="4471" xr:uid="{00000000-0005-0000-0000-0000EC0A0000}"/>
    <cellStyle name="Style 45 4 3 3 3 2" xfId="11067" xr:uid="{00000000-0005-0000-0000-0000EC0A0000}"/>
    <cellStyle name="Style 45 4 3 3 3 2 2" xfId="29687" xr:uid="{00000000-0005-0000-0000-0000EC0A0000}"/>
    <cellStyle name="Style 45 4 3 3 3 2 3" xfId="48050" xr:uid="{00000000-0005-0000-0000-0000EC0A0000}"/>
    <cellStyle name="Style 45 4 3 3 3 3" xfId="15205" xr:uid="{00000000-0005-0000-0000-0000EC0A0000}"/>
    <cellStyle name="Style 45 4 3 3 3 3 2" xfId="33600" xr:uid="{00000000-0005-0000-0000-0000EC0A0000}"/>
    <cellStyle name="Style 45 4 3 3 3 3 3" xfId="51963" xr:uid="{00000000-0005-0000-0000-0000EC0A0000}"/>
    <cellStyle name="Style 45 4 3 3 3 4" xfId="24331" xr:uid="{00000000-0005-0000-0000-0000EC0A0000}"/>
    <cellStyle name="Style 45 4 3 3 3 4 2" xfId="42700" xr:uid="{00000000-0005-0000-0000-0000EC0A0000}"/>
    <cellStyle name="Style 45 4 3 3 3 5" xfId="20655" xr:uid="{00000000-0005-0000-0000-0000EC0A0000}"/>
    <cellStyle name="Style 45 4 3 3 3 6" xfId="39047" xr:uid="{00000000-0005-0000-0000-0000EC0A0000}"/>
    <cellStyle name="Style 45 4 3 3 4" xfId="4177" xr:uid="{00000000-0005-0000-0000-0000EC0A0000}"/>
    <cellStyle name="Style 45 4 3 3 4 2" xfId="10829" xr:uid="{00000000-0005-0000-0000-0000EC0A0000}"/>
    <cellStyle name="Style 45 4 3 3 4 2 2" xfId="29501" xr:uid="{00000000-0005-0000-0000-0000EC0A0000}"/>
    <cellStyle name="Style 45 4 3 3 4 2 3" xfId="47864" xr:uid="{00000000-0005-0000-0000-0000EC0A0000}"/>
    <cellStyle name="Style 45 4 3 3 4 3" xfId="14923" xr:uid="{00000000-0005-0000-0000-0000EC0A0000}"/>
    <cellStyle name="Style 45 4 3 3 4 3 2" xfId="33327" xr:uid="{00000000-0005-0000-0000-0000EC0A0000}"/>
    <cellStyle name="Style 45 4 3 3 4 3 3" xfId="51690" xr:uid="{00000000-0005-0000-0000-0000EC0A0000}"/>
    <cellStyle name="Style 45 4 3 3 4 4" xfId="24056" xr:uid="{00000000-0005-0000-0000-0000EC0A0000}"/>
    <cellStyle name="Style 45 4 3 3 4 4 2" xfId="42425" xr:uid="{00000000-0005-0000-0000-0000EC0A0000}"/>
    <cellStyle name="Style 45 4 3 3 4 5" xfId="20376" xr:uid="{00000000-0005-0000-0000-0000EC0A0000}"/>
    <cellStyle name="Style 45 4 3 3 4 6" xfId="38774" xr:uid="{00000000-0005-0000-0000-0000EC0A0000}"/>
    <cellStyle name="Style 45 4 3 3 5" xfId="9132" xr:uid="{00000000-0005-0000-0000-0000EC0A0000}"/>
    <cellStyle name="Style 45 4 3 3 5 2" xfId="7425" xr:uid="{00000000-0005-0000-0000-0000EC0A0000}"/>
    <cellStyle name="Style 45 4 3 3 5 2 2" xfId="26813" xr:uid="{00000000-0005-0000-0000-0000EC0A0000}"/>
    <cellStyle name="Style 45 4 3 3 5 2 3" xfId="45181" xr:uid="{00000000-0005-0000-0000-0000EC0A0000}"/>
    <cellStyle name="Style 45 4 3 3 5 3" xfId="27858" xr:uid="{00000000-0005-0000-0000-0000EC0A0000}"/>
    <cellStyle name="Style 45 4 3 3 5 3 2" xfId="46221" xr:uid="{00000000-0005-0000-0000-0000EC0A0000}"/>
    <cellStyle name="Style 45 4 3 3 5 4" xfId="18045" xr:uid="{00000000-0005-0000-0000-0000EC0A0000}"/>
    <cellStyle name="Style 45 4 3 3 5 5" xfId="36453" xr:uid="{00000000-0005-0000-0000-0000EC0A0000}"/>
    <cellStyle name="Style 45 4 3 3 6" xfId="7741" xr:uid="{00000000-0005-0000-0000-0000EC0A0000}"/>
    <cellStyle name="Style 45 4 3 3 6 2" xfId="27018" xr:uid="{00000000-0005-0000-0000-0000EC0A0000}"/>
    <cellStyle name="Style 45 4 3 3 6 3" xfId="45383" xr:uid="{00000000-0005-0000-0000-0000EC0A0000}"/>
    <cellStyle name="Style 45 4 3 3 7" xfId="7217" xr:uid="{00000000-0005-0000-0000-0000EC0A0000}"/>
    <cellStyle name="Style 45 4 3 3 7 2" xfId="26760" xr:uid="{00000000-0005-0000-0000-0000EC0A0000}"/>
    <cellStyle name="Style 45 4 3 3 7 3" xfId="45128" xr:uid="{00000000-0005-0000-0000-0000EC0A0000}"/>
    <cellStyle name="Style 45 4 3 3 8" xfId="17940" xr:uid="{00000000-0005-0000-0000-0000EC0A0000}"/>
    <cellStyle name="Style 45 4 3 3 8 2" xfId="36348" xr:uid="{00000000-0005-0000-0000-0000EC0A0000}"/>
    <cellStyle name="Style 45 4 3 3 9" xfId="7014" xr:uid="{00000000-0005-0000-0000-0000EC0A0000}"/>
    <cellStyle name="Style 45 4 3 4" xfId="1460" xr:uid="{00000000-0005-0000-0000-0000ED0A0000}"/>
    <cellStyle name="Style 45 4 3 4 10" xfId="7145" xr:uid="{00000000-0005-0000-0000-0000ED0A0000}"/>
    <cellStyle name="Style 45 4 3 4 2" xfId="3478" xr:uid="{00000000-0005-0000-0000-0000ED0A0000}"/>
    <cellStyle name="Style 45 4 3 4 2 2" xfId="5653" xr:uid="{00000000-0005-0000-0000-0000ED0A0000}"/>
    <cellStyle name="Style 45 4 3 4 2 2 2" xfId="12017" xr:uid="{00000000-0005-0000-0000-0000ED0A0000}"/>
    <cellStyle name="Style 45 4 3 4 2 2 2 2" xfId="30464" xr:uid="{00000000-0005-0000-0000-0000ED0A0000}"/>
    <cellStyle name="Style 45 4 3 4 2 2 2 3" xfId="48827" xr:uid="{00000000-0005-0000-0000-0000ED0A0000}"/>
    <cellStyle name="Style 45 4 3 4 2 2 3" xfId="16343" xr:uid="{00000000-0005-0000-0000-0000ED0A0000}"/>
    <cellStyle name="Style 45 4 3 4 2 2 3 2" xfId="34715" xr:uid="{00000000-0005-0000-0000-0000ED0A0000}"/>
    <cellStyle name="Style 45 4 3 4 2 2 3 3" xfId="53078" xr:uid="{00000000-0005-0000-0000-0000ED0A0000}"/>
    <cellStyle name="Style 45 4 3 4 2 2 4" xfId="25462" xr:uid="{00000000-0005-0000-0000-0000ED0A0000}"/>
    <cellStyle name="Style 45 4 3 4 2 2 4 2" xfId="43831" xr:uid="{00000000-0005-0000-0000-0000ED0A0000}"/>
    <cellStyle name="Style 45 4 3 4 2 2 5" xfId="21783" xr:uid="{00000000-0005-0000-0000-0000ED0A0000}"/>
    <cellStyle name="Style 45 4 3 4 2 2 6" xfId="40162" xr:uid="{00000000-0005-0000-0000-0000ED0A0000}"/>
    <cellStyle name="Style 45 4 3 4 2 3" xfId="6477" xr:uid="{00000000-0005-0000-0000-0000ED0A0000}"/>
    <cellStyle name="Style 45 4 3 4 2 3 2" xfId="12768" xr:uid="{00000000-0005-0000-0000-0000ED0A0000}"/>
    <cellStyle name="Style 45 4 3 4 2 3 2 2" xfId="31194" xr:uid="{00000000-0005-0000-0000-0000ED0A0000}"/>
    <cellStyle name="Style 45 4 3 4 2 3 2 3" xfId="49557" xr:uid="{00000000-0005-0000-0000-0000ED0A0000}"/>
    <cellStyle name="Style 45 4 3 4 2 3 3" xfId="17079" xr:uid="{00000000-0005-0000-0000-0000ED0A0000}"/>
    <cellStyle name="Style 45 4 3 4 2 3 3 2" xfId="35427" xr:uid="{00000000-0005-0000-0000-0000ED0A0000}"/>
    <cellStyle name="Style 45 4 3 4 2 3 3 3" xfId="53790" xr:uid="{00000000-0005-0000-0000-0000ED0A0000}"/>
    <cellStyle name="Style 45 4 3 4 2 3 4" xfId="26212" xr:uid="{00000000-0005-0000-0000-0000ED0A0000}"/>
    <cellStyle name="Style 45 4 3 4 2 3 4 2" xfId="44581" xr:uid="{00000000-0005-0000-0000-0000ED0A0000}"/>
    <cellStyle name="Style 45 4 3 4 2 3 5" xfId="22505" xr:uid="{00000000-0005-0000-0000-0000ED0A0000}"/>
    <cellStyle name="Style 45 4 3 4 2 3 6" xfId="40874" xr:uid="{00000000-0005-0000-0000-0000ED0A0000}"/>
    <cellStyle name="Style 45 4 3 4 2 4" xfId="10191" xr:uid="{00000000-0005-0000-0000-0000ED0A0000}"/>
    <cellStyle name="Style 45 4 3 4 2 4 2" xfId="14248" xr:uid="{00000000-0005-0000-0000-0000ED0A0000}"/>
    <cellStyle name="Style 45 4 3 4 2 4 2 2" xfId="32664" xr:uid="{00000000-0005-0000-0000-0000ED0A0000}"/>
    <cellStyle name="Style 45 4 3 4 2 4 2 3" xfId="51027" xr:uid="{00000000-0005-0000-0000-0000ED0A0000}"/>
    <cellStyle name="Style 45 4 3 4 2 4 3" xfId="28902" xr:uid="{00000000-0005-0000-0000-0000ED0A0000}"/>
    <cellStyle name="Style 45 4 3 4 2 4 3 2" xfId="47265" xr:uid="{00000000-0005-0000-0000-0000ED0A0000}"/>
    <cellStyle name="Style 45 4 3 4 2 4 4" xfId="19705" xr:uid="{00000000-0005-0000-0000-0000ED0A0000}"/>
    <cellStyle name="Style 45 4 3 4 2 4 5" xfId="38111" xr:uid="{00000000-0005-0000-0000-0000ED0A0000}"/>
    <cellStyle name="Style 45 4 3 4 2 5" xfId="9383" xr:uid="{00000000-0005-0000-0000-0000ED0A0000}"/>
    <cellStyle name="Style 45 4 3 4 2 5 2" xfId="28102" xr:uid="{00000000-0005-0000-0000-0000ED0A0000}"/>
    <cellStyle name="Style 45 4 3 4 2 5 3" xfId="46465" xr:uid="{00000000-0005-0000-0000-0000ED0A0000}"/>
    <cellStyle name="Style 45 4 3 4 2 6" xfId="13439" xr:uid="{00000000-0005-0000-0000-0000ED0A0000}"/>
    <cellStyle name="Style 45 4 3 4 2 6 2" xfId="31860" xr:uid="{00000000-0005-0000-0000-0000ED0A0000}"/>
    <cellStyle name="Style 45 4 3 4 2 6 3" xfId="50223" xr:uid="{00000000-0005-0000-0000-0000ED0A0000}"/>
    <cellStyle name="Style 45 4 3 4 2 7" xfId="23386" xr:uid="{00000000-0005-0000-0000-0000ED0A0000}"/>
    <cellStyle name="Style 45 4 3 4 2 7 2" xfId="41755" xr:uid="{00000000-0005-0000-0000-0000ED0A0000}"/>
    <cellStyle name="Style 45 4 3 4 2 8" xfId="18465" xr:uid="{00000000-0005-0000-0000-0000ED0A0000}"/>
    <cellStyle name="Style 45 4 3 4 2 9" xfId="36871" xr:uid="{00000000-0005-0000-0000-0000ED0A0000}"/>
    <cellStyle name="Style 45 4 3 4 3" xfId="4476" xr:uid="{00000000-0005-0000-0000-0000ED0A0000}"/>
    <cellStyle name="Style 45 4 3 4 3 2" xfId="11072" xr:uid="{00000000-0005-0000-0000-0000ED0A0000}"/>
    <cellStyle name="Style 45 4 3 4 3 2 2" xfId="29692" xr:uid="{00000000-0005-0000-0000-0000ED0A0000}"/>
    <cellStyle name="Style 45 4 3 4 3 2 3" xfId="48055" xr:uid="{00000000-0005-0000-0000-0000ED0A0000}"/>
    <cellStyle name="Style 45 4 3 4 3 3" xfId="15210" xr:uid="{00000000-0005-0000-0000-0000ED0A0000}"/>
    <cellStyle name="Style 45 4 3 4 3 3 2" xfId="33605" xr:uid="{00000000-0005-0000-0000-0000ED0A0000}"/>
    <cellStyle name="Style 45 4 3 4 3 3 3" xfId="51968" xr:uid="{00000000-0005-0000-0000-0000ED0A0000}"/>
    <cellStyle name="Style 45 4 3 4 3 4" xfId="24336" xr:uid="{00000000-0005-0000-0000-0000ED0A0000}"/>
    <cellStyle name="Style 45 4 3 4 3 4 2" xfId="42705" xr:uid="{00000000-0005-0000-0000-0000ED0A0000}"/>
    <cellStyle name="Style 45 4 3 4 3 5" xfId="20660" xr:uid="{00000000-0005-0000-0000-0000ED0A0000}"/>
    <cellStyle name="Style 45 4 3 4 3 6" xfId="39052" xr:uid="{00000000-0005-0000-0000-0000ED0A0000}"/>
    <cellStyle name="Style 45 4 3 4 4" xfId="4318" xr:uid="{00000000-0005-0000-0000-0000ED0A0000}"/>
    <cellStyle name="Style 45 4 3 4 4 2" xfId="10926" xr:uid="{00000000-0005-0000-0000-0000ED0A0000}"/>
    <cellStyle name="Style 45 4 3 4 4 2 2" xfId="29556" xr:uid="{00000000-0005-0000-0000-0000ED0A0000}"/>
    <cellStyle name="Style 45 4 3 4 4 2 3" xfId="47919" xr:uid="{00000000-0005-0000-0000-0000ED0A0000}"/>
    <cellStyle name="Style 45 4 3 4 4 3" xfId="15062" xr:uid="{00000000-0005-0000-0000-0000ED0A0000}"/>
    <cellStyle name="Style 45 4 3 4 4 3 2" xfId="33464" xr:uid="{00000000-0005-0000-0000-0000ED0A0000}"/>
    <cellStyle name="Style 45 4 3 4 4 3 3" xfId="51827" xr:uid="{00000000-0005-0000-0000-0000ED0A0000}"/>
    <cellStyle name="Style 45 4 3 4 4 4" xfId="24193" xr:uid="{00000000-0005-0000-0000-0000ED0A0000}"/>
    <cellStyle name="Style 45 4 3 4 4 4 2" xfId="42562" xr:uid="{00000000-0005-0000-0000-0000ED0A0000}"/>
    <cellStyle name="Style 45 4 3 4 4 5" xfId="20514" xr:uid="{00000000-0005-0000-0000-0000ED0A0000}"/>
    <cellStyle name="Style 45 4 3 4 4 6" xfId="38911" xr:uid="{00000000-0005-0000-0000-0000ED0A0000}"/>
    <cellStyle name="Style 45 4 3 4 5" xfId="9130" xr:uid="{00000000-0005-0000-0000-0000ED0A0000}"/>
    <cellStyle name="Style 45 4 3 4 5 2" xfId="4912" xr:uid="{00000000-0005-0000-0000-0000ED0A0000}"/>
    <cellStyle name="Style 45 4 3 4 5 2 2" xfId="24758" xr:uid="{00000000-0005-0000-0000-0000ED0A0000}"/>
    <cellStyle name="Style 45 4 3 4 5 2 3" xfId="43127" xr:uid="{00000000-0005-0000-0000-0000ED0A0000}"/>
    <cellStyle name="Style 45 4 3 4 5 3" xfId="27856" xr:uid="{00000000-0005-0000-0000-0000ED0A0000}"/>
    <cellStyle name="Style 45 4 3 4 5 3 2" xfId="46219" xr:uid="{00000000-0005-0000-0000-0000ED0A0000}"/>
    <cellStyle name="Style 45 4 3 4 5 4" xfId="18043" xr:uid="{00000000-0005-0000-0000-0000ED0A0000}"/>
    <cellStyle name="Style 45 4 3 4 5 5" xfId="36451" xr:uid="{00000000-0005-0000-0000-0000ED0A0000}"/>
    <cellStyle name="Style 45 4 3 4 6" xfId="7747" xr:uid="{00000000-0005-0000-0000-0000ED0A0000}"/>
    <cellStyle name="Style 45 4 3 4 6 2" xfId="27024" xr:uid="{00000000-0005-0000-0000-0000ED0A0000}"/>
    <cellStyle name="Style 45 4 3 4 6 3" xfId="45389" xr:uid="{00000000-0005-0000-0000-0000ED0A0000}"/>
    <cellStyle name="Style 45 4 3 4 7" xfId="8268" xr:uid="{00000000-0005-0000-0000-0000ED0A0000}"/>
    <cellStyle name="Style 45 4 3 4 7 2" xfId="27398" xr:uid="{00000000-0005-0000-0000-0000ED0A0000}"/>
    <cellStyle name="Style 45 4 3 4 7 3" xfId="45763" xr:uid="{00000000-0005-0000-0000-0000ED0A0000}"/>
    <cellStyle name="Style 45 4 3 4 8" xfId="18076" xr:uid="{00000000-0005-0000-0000-0000ED0A0000}"/>
    <cellStyle name="Style 45 4 3 4 8 2" xfId="36483" xr:uid="{00000000-0005-0000-0000-0000ED0A0000}"/>
    <cellStyle name="Style 45 4 3 4 9" xfId="6218" xr:uid="{00000000-0005-0000-0000-0000ED0A0000}"/>
    <cellStyle name="Style 45 4 3 5" xfId="3533" xr:uid="{00000000-0005-0000-0000-0000EA0A0000}"/>
    <cellStyle name="Style 45 4 3 5 2" xfId="5707" xr:uid="{00000000-0005-0000-0000-0000EA0A0000}"/>
    <cellStyle name="Style 45 4 3 5 2 2" xfId="12071" xr:uid="{00000000-0005-0000-0000-0000EA0A0000}"/>
    <cellStyle name="Style 45 4 3 5 2 2 2" xfId="30518" xr:uid="{00000000-0005-0000-0000-0000EA0A0000}"/>
    <cellStyle name="Style 45 4 3 5 2 2 3" xfId="48881" xr:uid="{00000000-0005-0000-0000-0000EA0A0000}"/>
    <cellStyle name="Style 45 4 3 5 2 3" xfId="16397" xr:uid="{00000000-0005-0000-0000-0000EA0A0000}"/>
    <cellStyle name="Style 45 4 3 5 2 3 2" xfId="34769" xr:uid="{00000000-0005-0000-0000-0000EA0A0000}"/>
    <cellStyle name="Style 45 4 3 5 2 3 3" xfId="53132" xr:uid="{00000000-0005-0000-0000-0000EA0A0000}"/>
    <cellStyle name="Style 45 4 3 5 2 4" xfId="25516" xr:uid="{00000000-0005-0000-0000-0000EA0A0000}"/>
    <cellStyle name="Style 45 4 3 5 2 4 2" xfId="43885" xr:uid="{00000000-0005-0000-0000-0000EA0A0000}"/>
    <cellStyle name="Style 45 4 3 5 2 5" xfId="21837" xr:uid="{00000000-0005-0000-0000-0000EA0A0000}"/>
    <cellStyle name="Style 45 4 3 5 2 6" xfId="40216" xr:uid="{00000000-0005-0000-0000-0000EA0A0000}"/>
    <cellStyle name="Style 45 4 3 5 3" xfId="6532" xr:uid="{00000000-0005-0000-0000-0000EA0A0000}"/>
    <cellStyle name="Style 45 4 3 5 3 2" xfId="12823" xr:uid="{00000000-0005-0000-0000-0000EA0A0000}"/>
    <cellStyle name="Style 45 4 3 5 3 2 2" xfId="31249" xr:uid="{00000000-0005-0000-0000-0000EA0A0000}"/>
    <cellStyle name="Style 45 4 3 5 3 2 3" xfId="49612" xr:uid="{00000000-0005-0000-0000-0000EA0A0000}"/>
    <cellStyle name="Style 45 4 3 5 3 3" xfId="17134" xr:uid="{00000000-0005-0000-0000-0000EA0A0000}"/>
    <cellStyle name="Style 45 4 3 5 3 3 2" xfId="35482" xr:uid="{00000000-0005-0000-0000-0000EA0A0000}"/>
    <cellStyle name="Style 45 4 3 5 3 3 3" xfId="53845" xr:uid="{00000000-0005-0000-0000-0000EA0A0000}"/>
    <cellStyle name="Style 45 4 3 5 3 4" xfId="26267" xr:uid="{00000000-0005-0000-0000-0000EA0A0000}"/>
    <cellStyle name="Style 45 4 3 5 3 4 2" xfId="44636" xr:uid="{00000000-0005-0000-0000-0000EA0A0000}"/>
    <cellStyle name="Style 45 4 3 5 3 5" xfId="22560" xr:uid="{00000000-0005-0000-0000-0000EA0A0000}"/>
    <cellStyle name="Style 45 4 3 5 3 6" xfId="40929" xr:uid="{00000000-0005-0000-0000-0000EA0A0000}"/>
    <cellStyle name="Style 45 4 3 5 4" xfId="10246" xr:uid="{00000000-0005-0000-0000-0000EA0A0000}"/>
    <cellStyle name="Style 45 4 3 5 4 2" xfId="14303" xr:uid="{00000000-0005-0000-0000-0000EA0A0000}"/>
    <cellStyle name="Style 45 4 3 5 4 2 2" xfId="32719" xr:uid="{00000000-0005-0000-0000-0000EA0A0000}"/>
    <cellStyle name="Style 45 4 3 5 4 2 3" xfId="51082" xr:uid="{00000000-0005-0000-0000-0000EA0A0000}"/>
    <cellStyle name="Style 45 4 3 5 4 3" xfId="28957" xr:uid="{00000000-0005-0000-0000-0000EA0A0000}"/>
    <cellStyle name="Style 45 4 3 5 4 3 2" xfId="47320" xr:uid="{00000000-0005-0000-0000-0000EA0A0000}"/>
    <cellStyle name="Style 45 4 3 5 4 4" xfId="19760" xr:uid="{00000000-0005-0000-0000-0000EA0A0000}"/>
    <cellStyle name="Style 45 4 3 5 4 5" xfId="38166" xr:uid="{00000000-0005-0000-0000-0000EA0A0000}"/>
    <cellStyle name="Style 45 4 3 5 5" xfId="9442" xr:uid="{00000000-0005-0000-0000-0000EA0A0000}"/>
    <cellStyle name="Style 45 4 3 5 5 2" xfId="28159" xr:uid="{00000000-0005-0000-0000-0000EA0A0000}"/>
    <cellStyle name="Style 45 4 3 5 5 3" xfId="46522" xr:uid="{00000000-0005-0000-0000-0000EA0A0000}"/>
    <cellStyle name="Style 45 4 3 5 6" xfId="13499" xr:uid="{00000000-0005-0000-0000-0000EA0A0000}"/>
    <cellStyle name="Style 45 4 3 5 6 2" xfId="31920" xr:uid="{00000000-0005-0000-0000-0000EA0A0000}"/>
    <cellStyle name="Style 45 4 3 5 6 3" xfId="50283" xr:uid="{00000000-0005-0000-0000-0000EA0A0000}"/>
    <cellStyle name="Style 45 4 3 5 7" xfId="23441" xr:uid="{00000000-0005-0000-0000-0000EA0A0000}"/>
    <cellStyle name="Style 45 4 3 5 7 2" xfId="41810" xr:uid="{00000000-0005-0000-0000-0000EA0A0000}"/>
    <cellStyle name="Style 45 4 3 5 8" xfId="18527" xr:uid="{00000000-0005-0000-0000-0000EA0A0000}"/>
    <cellStyle name="Style 45 4 3 5 9" xfId="36936" xr:uid="{00000000-0005-0000-0000-0000EA0A0000}"/>
    <cellStyle name="Style 45 4 3 6" xfId="4537" xr:uid="{00000000-0005-0000-0000-0000EA0A0000}"/>
    <cellStyle name="Style 45 4 3 6 2" xfId="11128" xr:uid="{00000000-0005-0000-0000-0000EA0A0000}"/>
    <cellStyle name="Style 45 4 3 6 2 2" xfId="29746" xr:uid="{00000000-0005-0000-0000-0000EA0A0000}"/>
    <cellStyle name="Style 45 4 3 6 2 3" xfId="48109" xr:uid="{00000000-0005-0000-0000-0000EA0A0000}"/>
    <cellStyle name="Style 45 4 3 6 3" xfId="15266" xr:uid="{00000000-0005-0000-0000-0000EA0A0000}"/>
    <cellStyle name="Style 45 4 3 6 3 2" xfId="33660" xr:uid="{00000000-0005-0000-0000-0000EA0A0000}"/>
    <cellStyle name="Style 45 4 3 6 3 3" xfId="52023" xr:uid="{00000000-0005-0000-0000-0000EA0A0000}"/>
    <cellStyle name="Style 45 4 3 6 4" xfId="24391" xr:uid="{00000000-0005-0000-0000-0000EA0A0000}"/>
    <cellStyle name="Style 45 4 3 6 4 2" xfId="42760" xr:uid="{00000000-0005-0000-0000-0000EA0A0000}"/>
    <cellStyle name="Style 45 4 3 6 5" xfId="20715" xr:uid="{00000000-0005-0000-0000-0000EA0A0000}"/>
    <cellStyle name="Style 45 4 3 6 6" xfId="39107" xr:uid="{00000000-0005-0000-0000-0000EA0A0000}"/>
    <cellStyle name="Style 45 4 3 7" xfId="4875" xr:uid="{00000000-0005-0000-0000-0000EA0A0000}"/>
    <cellStyle name="Style 45 4 3 7 2" xfId="11433" xr:uid="{00000000-0005-0000-0000-0000EA0A0000}"/>
    <cellStyle name="Style 45 4 3 7 2 2" xfId="30023" xr:uid="{00000000-0005-0000-0000-0000EA0A0000}"/>
    <cellStyle name="Style 45 4 3 7 2 3" xfId="48386" xr:uid="{00000000-0005-0000-0000-0000EA0A0000}"/>
    <cellStyle name="Style 45 4 3 7 3" xfId="15601" xr:uid="{00000000-0005-0000-0000-0000EA0A0000}"/>
    <cellStyle name="Style 45 4 3 7 3 2" xfId="33992" xr:uid="{00000000-0005-0000-0000-0000EA0A0000}"/>
    <cellStyle name="Style 45 4 3 7 3 3" xfId="52355" xr:uid="{00000000-0005-0000-0000-0000EA0A0000}"/>
    <cellStyle name="Style 45 4 3 7 4" xfId="24723" xr:uid="{00000000-0005-0000-0000-0000EA0A0000}"/>
    <cellStyle name="Style 45 4 3 7 4 2" xfId="43092" xr:uid="{00000000-0005-0000-0000-0000EA0A0000}"/>
    <cellStyle name="Style 45 4 3 7 5" xfId="21050" xr:uid="{00000000-0005-0000-0000-0000EA0A0000}"/>
    <cellStyle name="Style 45 4 3 7 6" xfId="39439" xr:uid="{00000000-0005-0000-0000-0000EA0A0000}"/>
    <cellStyle name="Style 45 4 3 8" xfId="7807" xr:uid="{00000000-0005-0000-0000-0000EA0A0000}"/>
    <cellStyle name="Style 45 4 3 8 2" xfId="27077" xr:uid="{00000000-0005-0000-0000-0000EA0A0000}"/>
    <cellStyle name="Style 45 4 3 8 3" xfId="45442" xr:uid="{00000000-0005-0000-0000-0000EA0A0000}"/>
    <cellStyle name="Style 45 4 3 9" xfId="7194" xr:uid="{00000000-0005-0000-0000-0000EA0A0000}"/>
    <cellStyle name="Style 45 4 3 9 2" xfId="26738" xr:uid="{00000000-0005-0000-0000-0000EA0A0000}"/>
    <cellStyle name="Style 45 4 3 9 3" xfId="45106" xr:uid="{00000000-0005-0000-0000-0000EA0A0000}"/>
    <cellStyle name="Style 45 4 4" xfId="1483" xr:uid="{00000000-0005-0000-0000-0000EE0A0000}"/>
    <cellStyle name="Style 45 4 4 2" xfId="3496" xr:uid="{00000000-0005-0000-0000-0000EE0A0000}"/>
    <cellStyle name="Style 45 4 4 2 2" xfId="5671" xr:uid="{00000000-0005-0000-0000-0000EE0A0000}"/>
    <cellStyle name="Style 45 4 4 2 2 2" xfId="12035" xr:uid="{00000000-0005-0000-0000-0000EE0A0000}"/>
    <cellStyle name="Style 45 4 4 2 2 2 2" xfId="30482" xr:uid="{00000000-0005-0000-0000-0000EE0A0000}"/>
    <cellStyle name="Style 45 4 4 2 2 2 3" xfId="48845" xr:uid="{00000000-0005-0000-0000-0000EE0A0000}"/>
    <cellStyle name="Style 45 4 4 2 2 3" xfId="16361" xr:uid="{00000000-0005-0000-0000-0000EE0A0000}"/>
    <cellStyle name="Style 45 4 4 2 2 3 2" xfId="34733" xr:uid="{00000000-0005-0000-0000-0000EE0A0000}"/>
    <cellStyle name="Style 45 4 4 2 2 3 3" xfId="53096" xr:uid="{00000000-0005-0000-0000-0000EE0A0000}"/>
    <cellStyle name="Style 45 4 4 2 2 4" xfId="25480" xr:uid="{00000000-0005-0000-0000-0000EE0A0000}"/>
    <cellStyle name="Style 45 4 4 2 2 4 2" xfId="43849" xr:uid="{00000000-0005-0000-0000-0000EE0A0000}"/>
    <cellStyle name="Style 45 4 4 2 2 5" xfId="21801" xr:uid="{00000000-0005-0000-0000-0000EE0A0000}"/>
    <cellStyle name="Style 45 4 4 2 2 6" xfId="40180" xr:uid="{00000000-0005-0000-0000-0000EE0A0000}"/>
    <cellStyle name="Style 45 4 4 2 3" xfId="6495" xr:uid="{00000000-0005-0000-0000-0000EE0A0000}"/>
    <cellStyle name="Style 45 4 4 2 3 2" xfId="12786" xr:uid="{00000000-0005-0000-0000-0000EE0A0000}"/>
    <cellStyle name="Style 45 4 4 2 3 2 2" xfId="31212" xr:uid="{00000000-0005-0000-0000-0000EE0A0000}"/>
    <cellStyle name="Style 45 4 4 2 3 2 3" xfId="49575" xr:uid="{00000000-0005-0000-0000-0000EE0A0000}"/>
    <cellStyle name="Style 45 4 4 2 3 3" xfId="17097" xr:uid="{00000000-0005-0000-0000-0000EE0A0000}"/>
    <cellStyle name="Style 45 4 4 2 3 3 2" xfId="35445" xr:uid="{00000000-0005-0000-0000-0000EE0A0000}"/>
    <cellStyle name="Style 45 4 4 2 3 3 3" xfId="53808" xr:uid="{00000000-0005-0000-0000-0000EE0A0000}"/>
    <cellStyle name="Style 45 4 4 2 3 4" xfId="26230" xr:uid="{00000000-0005-0000-0000-0000EE0A0000}"/>
    <cellStyle name="Style 45 4 4 2 3 4 2" xfId="44599" xr:uid="{00000000-0005-0000-0000-0000EE0A0000}"/>
    <cellStyle name="Style 45 4 4 2 3 5" xfId="22523" xr:uid="{00000000-0005-0000-0000-0000EE0A0000}"/>
    <cellStyle name="Style 45 4 4 2 3 6" xfId="40892" xr:uid="{00000000-0005-0000-0000-0000EE0A0000}"/>
    <cellStyle name="Style 45 4 4 2 4" xfId="10209" xr:uid="{00000000-0005-0000-0000-0000EE0A0000}"/>
    <cellStyle name="Style 45 4 4 2 4 2" xfId="14266" xr:uid="{00000000-0005-0000-0000-0000EE0A0000}"/>
    <cellStyle name="Style 45 4 4 2 4 2 2" xfId="32682" xr:uid="{00000000-0005-0000-0000-0000EE0A0000}"/>
    <cellStyle name="Style 45 4 4 2 4 2 3" xfId="51045" xr:uid="{00000000-0005-0000-0000-0000EE0A0000}"/>
    <cellStyle name="Style 45 4 4 2 4 3" xfId="28920" xr:uid="{00000000-0005-0000-0000-0000EE0A0000}"/>
    <cellStyle name="Style 45 4 4 2 4 3 2" xfId="47283" xr:uid="{00000000-0005-0000-0000-0000EE0A0000}"/>
    <cellStyle name="Style 45 4 4 2 4 4" xfId="19723" xr:uid="{00000000-0005-0000-0000-0000EE0A0000}"/>
    <cellStyle name="Style 45 4 4 2 4 5" xfId="38129" xr:uid="{00000000-0005-0000-0000-0000EE0A0000}"/>
    <cellStyle name="Style 45 4 4 2 5" xfId="9403" xr:uid="{00000000-0005-0000-0000-0000EE0A0000}"/>
    <cellStyle name="Style 45 4 4 2 5 2" xfId="28122" xr:uid="{00000000-0005-0000-0000-0000EE0A0000}"/>
    <cellStyle name="Style 45 4 4 2 5 3" xfId="46485" xr:uid="{00000000-0005-0000-0000-0000EE0A0000}"/>
    <cellStyle name="Style 45 4 4 2 6" xfId="13459" xr:uid="{00000000-0005-0000-0000-0000EE0A0000}"/>
    <cellStyle name="Style 45 4 4 2 6 2" xfId="31880" xr:uid="{00000000-0005-0000-0000-0000EE0A0000}"/>
    <cellStyle name="Style 45 4 4 2 6 3" xfId="50243" xr:uid="{00000000-0005-0000-0000-0000EE0A0000}"/>
    <cellStyle name="Style 45 4 4 2 7" xfId="23404" xr:uid="{00000000-0005-0000-0000-0000EE0A0000}"/>
    <cellStyle name="Style 45 4 4 2 7 2" xfId="41773" xr:uid="{00000000-0005-0000-0000-0000EE0A0000}"/>
    <cellStyle name="Style 45 4 4 2 8" xfId="18486" xr:uid="{00000000-0005-0000-0000-0000EE0A0000}"/>
    <cellStyle name="Style 45 4 4 2 9" xfId="36892" xr:uid="{00000000-0005-0000-0000-0000EE0A0000}"/>
    <cellStyle name="Style 45 4 4 3" xfId="4497" xr:uid="{00000000-0005-0000-0000-0000EE0A0000}"/>
    <cellStyle name="Style 45 4 4 3 2" xfId="11091" xr:uid="{00000000-0005-0000-0000-0000EE0A0000}"/>
    <cellStyle name="Style 45 4 4 3 2 2" xfId="29710" xr:uid="{00000000-0005-0000-0000-0000EE0A0000}"/>
    <cellStyle name="Style 45 4 4 3 2 3" xfId="48073" xr:uid="{00000000-0005-0000-0000-0000EE0A0000}"/>
    <cellStyle name="Style 45 4 4 3 3" xfId="15229" xr:uid="{00000000-0005-0000-0000-0000EE0A0000}"/>
    <cellStyle name="Style 45 4 4 3 3 2" xfId="33624" xr:uid="{00000000-0005-0000-0000-0000EE0A0000}"/>
    <cellStyle name="Style 45 4 4 3 3 3" xfId="51987" xr:uid="{00000000-0005-0000-0000-0000EE0A0000}"/>
    <cellStyle name="Style 45 4 4 3 4" xfId="24355" xr:uid="{00000000-0005-0000-0000-0000EE0A0000}"/>
    <cellStyle name="Style 45 4 4 3 4 2" xfId="42724" xr:uid="{00000000-0005-0000-0000-0000EE0A0000}"/>
    <cellStyle name="Style 45 4 4 3 5" xfId="20679" xr:uid="{00000000-0005-0000-0000-0000EE0A0000}"/>
    <cellStyle name="Style 45 4 4 3 6" xfId="39071" xr:uid="{00000000-0005-0000-0000-0000EE0A0000}"/>
    <cellStyle name="Style 45 4 4 4" xfId="4882" xr:uid="{00000000-0005-0000-0000-0000EE0A0000}"/>
    <cellStyle name="Style 45 4 4 4 2" xfId="11439" xr:uid="{00000000-0005-0000-0000-0000EE0A0000}"/>
    <cellStyle name="Style 45 4 4 4 2 2" xfId="30028" xr:uid="{00000000-0005-0000-0000-0000EE0A0000}"/>
    <cellStyle name="Style 45 4 4 4 2 3" xfId="48391" xr:uid="{00000000-0005-0000-0000-0000EE0A0000}"/>
    <cellStyle name="Style 45 4 4 4 3" xfId="15608" xr:uid="{00000000-0005-0000-0000-0000EE0A0000}"/>
    <cellStyle name="Style 45 4 4 4 3 2" xfId="33999" xr:uid="{00000000-0005-0000-0000-0000EE0A0000}"/>
    <cellStyle name="Style 45 4 4 4 3 3" xfId="52362" xr:uid="{00000000-0005-0000-0000-0000EE0A0000}"/>
    <cellStyle name="Style 45 4 4 4 4" xfId="24730" xr:uid="{00000000-0005-0000-0000-0000EE0A0000}"/>
    <cellStyle name="Style 45 4 4 4 4 2" xfId="43099" xr:uid="{00000000-0005-0000-0000-0000EE0A0000}"/>
    <cellStyle name="Style 45 4 4 4 5" xfId="21057" xr:uid="{00000000-0005-0000-0000-0000EE0A0000}"/>
    <cellStyle name="Style 45 4 4 4 6" xfId="39446" xr:uid="{00000000-0005-0000-0000-0000EE0A0000}"/>
    <cellStyle name="Style 45 4 4 5" xfId="9122" xr:uid="{00000000-0005-0000-0000-0000EE0A0000}"/>
    <cellStyle name="Style 45 4 4 5 2" xfId="8407" xr:uid="{00000000-0005-0000-0000-0000EE0A0000}"/>
    <cellStyle name="Style 45 4 4 5 2 2" xfId="27468" xr:uid="{00000000-0005-0000-0000-0000EE0A0000}"/>
    <cellStyle name="Style 45 4 4 5 2 3" xfId="45832" xr:uid="{00000000-0005-0000-0000-0000EE0A0000}"/>
    <cellStyle name="Style 45 4 4 5 3" xfId="27848" xr:uid="{00000000-0005-0000-0000-0000EE0A0000}"/>
    <cellStyle name="Style 45 4 4 5 3 2" xfId="46211" xr:uid="{00000000-0005-0000-0000-0000EE0A0000}"/>
    <cellStyle name="Style 45 4 4 5 4" xfId="18034" xr:uid="{00000000-0005-0000-0000-0000EE0A0000}"/>
    <cellStyle name="Style 45 4 4 5 5" xfId="36442" xr:uid="{00000000-0005-0000-0000-0000EE0A0000}"/>
    <cellStyle name="Style 45 4 4 6" xfId="7768" xr:uid="{00000000-0005-0000-0000-0000EE0A0000}"/>
    <cellStyle name="Style 45 4 4 6 2" xfId="27043" xr:uid="{00000000-0005-0000-0000-0000EE0A0000}"/>
    <cellStyle name="Style 45 4 4 6 3" xfId="45408" xr:uid="{00000000-0005-0000-0000-0000EE0A0000}"/>
    <cellStyle name="Style 45 4 4 7" xfId="7208" xr:uid="{00000000-0005-0000-0000-0000EE0A0000}"/>
    <cellStyle name="Style 45 4 4 7 2" xfId="26751" xr:uid="{00000000-0005-0000-0000-0000EE0A0000}"/>
    <cellStyle name="Style 45 4 4 7 3" xfId="45119" xr:uid="{00000000-0005-0000-0000-0000EE0A0000}"/>
    <cellStyle name="Style 45 4 4 8" xfId="8552" xr:uid="{00000000-0005-0000-0000-0000EE0A0000}"/>
    <cellStyle name="Style 45 4 4 9" xfId="10787" xr:uid="{00000000-0005-0000-0000-0000EE0A0000}"/>
    <cellStyle name="Style 45 4 5" xfId="1712" xr:uid="{00000000-0005-0000-0000-0000EF0A0000}"/>
    <cellStyle name="Style 45 4 5 2" xfId="3609" xr:uid="{00000000-0005-0000-0000-0000EF0A0000}"/>
    <cellStyle name="Style 45 4 5 2 2" xfId="5782" xr:uid="{00000000-0005-0000-0000-0000EF0A0000}"/>
    <cellStyle name="Style 45 4 5 2 2 2" xfId="12146" xr:uid="{00000000-0005-0000-0000-0000EF0A0000}"/>
    <cellStyle name="Style 45 4 5 2 2 2 2" xfId="30593" xr:uid="{00000000-0005-0000-0000-0000EF0A0000}"/>
    <cellStyle name="Style 45 4 5 2 2 2 3" xfId="48956" xr:uid="{00000000-0005-0000-0000-0000EF0A0000}"/>
    <cellStyle name="Style 45 4 5 2 2 3" xfId="16472" xr:uid="{00000000-0005-0000-0000-0000EF0A0000}"/>
    <cellStyle name="Style 45 4 5 2 2 3 2" xfId="34844" xr:uid="{00000000-0005-0000-0000-0000EF0A0000}"/>
    <cellStyle name="Style 45 4 5 2 2 3 3" xfId="53207" xr:uid="{00000000-0005-0000-0000-0000EF0A0000}"/>
    <cellStyle name="Style 45 4 5 2 2 4" xfId="25591" xr:uid="{00000000-0005-0000-0000-0000EF0A0000}"/>
    <cellStyle name="Style 45 4 5 2 2 4 2" xfId="43960" xr:uid="{00000000-0005-0000-0000-0000EF0A0000}"/>
    <cellStyle name="Style 45 4 5 2 2 5" xfId="21912" xr:uid="{00000000-0005-0000-0000-0000EF0A0000}"/>
    <cellStyle name="Style 45 4 5 2 2 6" xfId="40291" xr:uid="{00000000-0005-0000-0000-0000EF0A0000}"/>
    <cellStyle name="Style 45 4 5 2 3" xfId="6608" xr:uid="{00000000-0005-0000-0000-0000EF0A0000}"/>
    <cellStyle name="Style 45 4 5 2 3 2" xfId="12899" xr:uid="{00000000-0005-0000-0000-0000EF0A0000}"/>
    <cellStyle name="Style 45 4 5 2 3 2 2" xfId="31325" xr:uid="{00000000-0005-0000-0000-0000EF0A0000}"/>
    <cellStyle name="Style 45 4 5 2 3 2 3" xfId="49688" xr:uid="{00000000-0005-0000-0000-0000EF0A0000}"/>
    <cellStyle name="Style 45 4 5 2 3 3" xfId="17210" xr:uid="{00000000-0005-0000-0000-0000EF0A0000}"/>
    <cellStyle name="Style 45 4 5 2 3 3 2" xfId="35558" xr:uid="{00000000-0005-0000-0000-0000EF0A0000}"/>
    <cellStyle name="Style 45 4 5 2 3 3 3" xfId="53921" xr:uid="{00000000-0005-0000-0000-0000EF0A0000}"/>
    <cellStyle name="Style 45 4 5 2 3 4" xfId="26343" xr:uid="{00000000-0005-0000-0000-0000EF0A0000}"/>
    <cellStyle name="Style 45 4 5 2 3 4 2" xfId="44712" xr:uid="{00000000-0005-0000-0000-0000EF0A0000}"/>
    <cellStyle name="Style 45 4 5 2 3 5" xfId="22636" xr:uid="{00000000-0005-0000-0000-0000EF0A0000}"/>
    <cellStyle name="Style 45 4 5 2 3 6" xfId="41005" xr:uid="{00000000-0005-0000-0000-0000EF0A0000}"/>
    <cellStyle name="Style 45 4 5 2 4" xfId="10322" xr:uid="{00000000-0005-0000-0000-0000EF0A0000}"/>
    <cellStyle name="Style 45 4 5 2 4 2" xfId="14379" xr:uid="{00000000-0005-0000-0000-0000EF0A0000}"/>
    <cellStyle name="Style 45 4 5 2 4 2 2" xfId="32795" xr:uid="{00000000-0005-0000-0000-0000EF0A0000}"/>
    <cellStyle name="Style 45 4 5 2 4 2 3" xfId="51158" xr:uid="{00000000-0005-0000-0000-0000EF0A0000}"/>
    <cellStyle name="Style 45 4 5 2 4 3" xfId="29033" xr:uid="{00000000-0005-0000-0000-0000EF0A0000}"/>
    <cellStyle name="Style 45 4 5 2 4 3 2" xfId="47396" xr:uid="{00000000-0005-0000-0000-0000EF0A0000}"/>
    <cellStyle name="Style 45 4 5 2 4 4" xfId="19836" xr:uid="{00000000-0005-0000-0000-0000EF0A0000}"/>
    <cellStyle name="Style 45 4 5 2 4 5" xfId="38242" xr:uid="{00000000-0005-0000-0000-0000EF0A0000}"/>
    <cellStyle name="Style 45 4 5 2 5" xfId="9530" xr:uid="{00000000-0005-0000-0000-0000EF0A0000}"/>
    <cellStyle name="Style 45 4 5 2 5 2" xfId="28247" xr:uid="{00000000-0005-0000-0000-0000EF0A0000}"/>
    <cellStyle name="Style 45 4 5 2 5 3" xfId="46610" xr:uid="{00000000-0005-0000-0000-0000EF0A0000}"/>
    <cellStyle name="Style 45 4 5 2 6" xfId="13588" xr:uid="{00000000-0005-0000-0000-0000EF0A0000}"/>
    <cellStyle name="Style 45 4 5 2 6 2" xfId="32009" xr:uid="{00000000-0005-0000-0000-0000EF0A0000}"/>
    <cellStyle name="Style 45 4 5 2 6 3" xfId="50372" xr:uid="{00000000-0005-0000-0000-0000EF0A0000}"/>
    <cellStyle name="Style 45 4 5 2 7" xfId="23517" xr:uid="{00000000-0005-0000-0000-0000EF0A0000}"/>
    <cellStyle name="Style 45 4 5 2 7 2" xfId="41886" xr:uid="{00000000-0005-0000-0000-0000EF0A0000}"/>
    <cellStyle name="Style 45 4 5 2 8" xfId="18629" xr:uid="{00000000-0005-0000-0000-0000EF0A0000}"/>
    <cellStyle name="Style 45 4 5 2 9" xfId="37039" xr:uid="{00000000-0005-0000-0000-0000EF0A0000}"/>
    <cellStyle name="Style 45 4 5 3" xfId="4649" xr:uid="{00000000-0005-0000-0000-0000EF0A0000}"/>
    <cellStyle name="Style 45 4 5 3 2" xfId="11233" xr:uid="{00000000-0005-0000-0000-0000EF0A0000}"/>
    <cellStyle name="Style 45 4 5 3 2 2" xfId="29845" xr:uid="{00000000-0005-0000-0000-0000EF0A0000}"/>
    <cellStyle name="Style 45 4 5 3 2 3" xfId="48208" xr:uid="{00000000-0005-0000-0000-0000EF0A0000}"/>
    <cellStyle name="Style 45 4 5 3 3" xfId="15375" xr:uid="{00000000-0005-0000-0000-0000EF0A0000}"/>
    <cellStyle name="Style 45 4 5 3 3 2" xfId="33768" xr:uid="{00000000-0005-0000-0000-0000EF0A0000}"/>
    <cellStyle name="Style 45 4 5 3 3 3" xfId="52131" xr:uid="{00000000-0005-0000-0000-0000EF0A0000}"/>
    <cellStyle name="Style 45 4 5 3 4" xfId="24499" xr:uid="{00000000-0005-0000-0000-0000EF0A0000}"/>
    <cellStyle name="Style 45 4 5 3 4 2" xfId="42868" xr:uid="{00000000-0005-0000-0000-0000EF0A0000}"/>
    <cellStyle name="Style 45 4 5 3 5" xfId="20826" xr:uid="{00000000-0005-0000-0000-0000EF0A0000}"/>
    <cellStyle name="Style 45 4 5 3 6" xfId="39215" xr:uid="{00000000-0005-0000-0000-0000EF0A0000}"/>
    <cellStyle name="Style 45 4 5 4" xfId="5362" xr:uid="{00000000-0005-0000-0000-0000EF0A0000}"/>
    <cellStyle name="Style 45 4 5 4 2" xfId="11785" xr:uid="{00000000-0005-0000-0000-0000EF0A0000}"/>
    <cellStyle name="Style 45 4 5 4 2 2" xfId="30262" xr:uid="{00000000-0005-0000-0000-0000EF0A0000}"/>
    <cellStyle name="Style 45 4 5 4 2 3" xfId="48625" xr:uid="{00000000-0005-0000-0000-0000EF0A0000}"/>
    <cellStyle name="Style 45 4 5 4 3" xfId="16054" xr:uid="{00000000-0005-0000-0000-0000EF0A0000}"/>
    <cellStyle name="Style 45 4 5 4 3 2" xfId="34428" xr:uid="{00000000-0005-0000-0000-0000EF0A0000}"/>
    <cellStyle name="Style 45 4 5 4 3 3" xfId="52791" xr:uid="{00000000-0005-0000-0000-0000EF0A0000}"/>
    <cellStyle name="Style 45 4 5 4 4" xfId="25175" xr:uid="{00000000-0005-0000-0000-0000EF0A0000}"/>
    <cellStyle name="Style 45 4 5 4 4 2" xfId="43544" xr:uid="{00000000-0005-0000-0000-0000EF0A0000}"/>
    <cellStyle name="Style 45 4 5 4 5" xfId="21496" xr:uid="{00000000-0005-0000-0000-0000EF0A0000}"/>
    <cellStyle name="Style 45 4 5 4 6" xfId="39875" xr:uid="{00000000-0005-0000-0000-0000EF0A0000}"/>
    <cellStyle name="Style 45 4 5 5" xfId="9809" xr:uid="{00000000-0005-0000-0000-0000EF0A0000}"/>
    <cellStyle name="Style 45 4 5 5 2" xfId="13866" xr:uid="{00000000-0005-0000-0000-0000EF0A0000}"/>
    <cellStyle name="Style 45 4 5 5 2 2" xfId="32286" xr:uid="{00000000-0005-0000-0000-0000EF0A0000}"/>
    <cellStyle name="Style 45 4 5 5 2 3" xfId="50649" xr:uid="{00000000-0005-0000-0000-0000EF0A0000}"/>
    <cellStyle name="Style 45 4 5 5 3" xfId="28524" xr:uid="{00000000-0005-0000-0000-0000EF0A0000}"/>
    <cellStyle name="Style 45 4 5 5 3 2" xfId="46887" xr:uid="{00000000-0005-0000-0000-0000EF0A0000}"/>
    <cellStyle name="Style 45 4 5 5 4" xfId="19024" xr:uid="{00000000-0005-0000-0000-0000EF0A0000}"/>
    <cellStyle name="Style 45 4 5 5 5" xfId="37433" xr:uid="{00000000-0005-0000-0000-0000EF0A0000}"/>
    <cellStyle name="Style 45 4 5 6" xfId="7943" xr:uid="{00000000-0005-0000-0000-0000EF0A0000}"/>
    <cellStyle name="Style 45 4 5 6 2" xfId="27173" xr:uid="{00000000-0005-0000-0000-0000EF0A0000}"/>
    <cellStyle name="Style 45 4 5 6 3" xfId="45538" xr:uid="{00000000-0005-0000-0000-0000EF0A0000}"/>
    <cellStyle name="Style 45 4 5 7" xfId="8389" xr:uid="{00000000-0005-0000-0000-0000EF0A0000}"/>
    <cellStyle name="Style 45 4 5 7 2" xfId="27454" xr:uid="{00000000-0005-0000-0000-0000EF0A0000}"/>
    <cellStyle name="Style 45 4 5 7 3" xfId="45818" xr:uid="{00000000-0005-0000-0000-0000EF0A0000}"/>
    <cellStyle name="Style 45 4 5 8" xfId="8468" xr:uid="{00000000-0005-0000-0000-0000EF0A0000}"/>
    <cellStyle name="Style 45 4 5 9" xfId="7370" xr:uid="{00000000-0005-0000-0000-0000EF0A0000}"/>
    <cellStyle name="Style 45 4 6" xfId="3358" xr:uid="{00000000-0005-0000-0000-0000E50A0000}"/>
    <cellStyle name="Style 45 4 6 2" xfId="5533" xr:uid="{00000000-0005-0000-0000-0000E50A0000}"/>
    <cellStyle name="Style 45 4 6 2 2" xfId="11897" xr:uid="{00000000-0005-0000-0000-0000E50A0000}"/>
    <cellStyle name="Style 45 4 6 2 2 2" xfId="30344" xr:uid="{00000000-0005-0000-0000-0000E50A0000}"/>
    <cellStyle name="Style 45 4 6 2 2 3" xfId="48707" xr:uid="{00000000-0005-0000-0000-0000E50A0000}"/>
    <cellStyle name="Style 45 4 6 2 3" xfId="16223" xr:uid="{00000000-0005-0000-0000-0000E50A0000}"/>
    <cellStyle name="Style 45 4 6 2 3 2" xfId="34595" xr:uid="{00000000-0005-0000-0000-0000E50A0000}"/>
    <cellStyle name="Style 45 4 6 2 3 3" xfId="52958" xr:uid="{00000000-0005-0000-0000-0000E50A0000}"/>
    <cellStyle name="Style 45 4 6 2 4" xfId="25342" xr:uid="{00000000-0005-0000-0000-0000E50A0000}"/>
    <cellStyle name="Style 45 4 6 2 4 2" xfId="43711" xr:uid="{00000000-0005-0000-0000-0000E50A0000}"/>
    <cellStyle name="Style 45 4 6 2 5" xfId="21663" xr:uid="{00000000-0005-0000-0000-0000E50A0000}"/>
    <cellStyle name="Style 45 4 6 2 6" xfId="40042" xr:uid="{00000000-0005-0000-0000-0000E50A0000}"/>
    <cellStyle name="Style 45 4 6 3" xfId="6357" xr:uid="{00000000-0005-0000-0000-0000E50A0000}"/>
    <cellStyle name="Style 45 4 6 3 2" xfId="12648" xr:uid="{00000000-0005-0000-0000-0000E50A0000}"/>
    <cellStyle name="Style 45 4 6 3 2 2" xfId="31074" xr:uid="{00000000-0005-0000-0000-0000E50A0000}"/>
    <cellStyle name="Style 45 4 6 3 2 3" xfId="49437" xr:uid="{00000000-0005-0000-0000-0000E50A0000}"/>
    <cellStyle name="Style 45 4 6 3 3" xfId="16959" xr:uid="{00000000-0005-0000-0000-0000E50A0000}"/>
    <cellStyle name="Style 45 4 6 3 3 2" xfId="35307" xr:uid="{00000000-0005-0000-0000-0000E50A0000}"/>
    <cellStyle name="Style 45 4 6 3 3 3" xfId="53670" xr:uid="{00000000-0005-0000-0000-0000E50A0000}"/>
    <cellStyle name="Style 45 4 6 3 4" xfId="26092" xr:uid="{00000000-0005-0000-0000-0000E50A0000}"/>
    <cellStyle name="Style 45 4 6 3 4 2" xfId="44461" xr:uid="{00000000-0005-0000-0000-0000E50A0000}"/>
    <cellStyle name="Style 45 4 6 3 5" xfId="22385" xr:uid="{00000000-0005-0000-0000-0000E50A0000}"/>
    <cellStyle name="Style 45 4 6 3 6" xfId="40754" xr:uid="{00000000-0005-0000-0000-0000E50A0000}"/>
    <cellStyle name="Style 45 4 6 4" xfId="10071" xr:uid="{00000000-0005-0000-0000-0000E50A0000}"/>
    <cellStyle name="Style 45 4 6 4 2" xfId="14128" xr:uid="{00000000-0005-0000-0000-0000E50A0000}"/>
    <cellStyle name="Style 45 4 6 4 2 2" xfId="32544" xr:uid="{00000000-0005-0000-0000-0000E50A0000}"/>
    <cellStyle name="Style 45 4 6 4 2 3" xfId="50907" xr:uid="{00000000-0005-0000-0000-0000E50A0000}"/>
    <cellStyle name="Style 45 4 6 4 3" xfId="28782" xr:uid="{00000000-0005-0000-0000-0000E50A0000}"/>
    <cellStyle name="Style 45 4 6 4 3 2" xfId="47145" xr:uid="{00000000-0005-0000-0000-0000E50A0000}"/>
    <cellStyle name="Style 45 4 6 4 4" xfId="19585" xr:uid="{00000000-0005-0000-0000-0000E50A0000}"/>
    <cellStyle name="Style 45 4 6 4 5" xfId="37991" xr:uid="{00000000-0005-0000-0000-0000E50A0000}"/>
    <cellStyle name="Style 45 4 6 5" xfId="9218" xr:uid="{00000000-0005-0000-0000-0000E50A0000}"/>
    <cellStyle name="Style 45 4 6 5 2" xfId="27938" xr:uid="{00000000-0005-0000-0000-0000E50A0000}"/>
    <cellStyle name="Style 45 4 6 5 3" xfId="46301" xr:uid="{00000000-0005-0000-0000-0000E50A0000}"/>
    <cellStyle name="Style 45 4 6 6" xfId="13275" xr:uid="{00000000-0005-0000-0000-0000E50A0000}"/>
    <cellStyle name="Style 45 4 6 6 2" xfId="31696" xr:uid="{00000000-0005-0000-0000-0000E50A0000}"/>
    <cellStyle name="Style 45 4 6 6 3" xfId="50059" xr:uid="{00000000-0005-0000-0000-0000E50A0000}"/>
    <cellStyle name="Style 45 4 6 7" xfId="23266" xr:uid="{00000000-0005-0000-0000-0000E50A0000}"/>
    <cellStyle name="Style 45 4 6 7 2" xfId="41635" xr:uid="{00000000-0005-0000-0000-0000E50A0000}"/>
    <cellStyle name="Style 45 4 6 8" xfId="18265" xr:uid="{00000000-0005-0000-0000-0000E50A0000}"/>
    <cellStyle name="Style 45 4 6 9" xfId="36671" xr:uid="{00000000-0005-0000-0000-0000E50A0000}"/>
    <cellStyle name="Style 45 4 7" xfId="7547" xr:uid="{00000000-0005-0000-0000-0000E50A0000}"/>
    <cellStyle name="Style 45 4 7 2" xfId="26870" xr:uid="{00000000-0005-0000-0000-0000E50A0000}"/>
    <cellStyle name="Style 45 4 7 3" xfId="45235" xr:uid="{00000000-0005-0000-0000-0000E50A0000}"/>
    <cellStyle name="Style 45 4 8" xfId="8073" xr:uid="{00000000-0005-0000-0000-0000E50A0000}"/>
    <cellStyle name="Style 45 4 9" xfId="7821" xr:uid="{00000000-0005-0000-0000-0000E50A0000}"/>
    <cellStyle name="Style 45 5" xfId="1805" xr:uid="{00000000-0005-0000-0000-0000F00A0000}"/>
    <cellStyle name="Style 45 5 10" xfId="8514" xr:uid="{00000000-0005-0000-0000-0000F00A0000}"/>
    <cellStyle name="Style 45 5 2" xfId="3698" xr:uid="{00000000-0005-0000-0000-0000F00A0000}"/>
    <cellStyle name="Style 45 5 2 2" xfId="5871" xr:uid="{00000000-0005-0000-0000-0000F00A0000}"/>
    <cellStyle name="Style 45 5 2 2 2" xfId="12235" xr:uid="{00000000-0005-0000-0000-0000F00A0000}"/>
    <cellStyle name="Style 45 5 2 2 2 2" xfId="30682" xr:uid="{00000000-0005-0000-0000-0000F00A0000}"/>
    <cellStyle name="Style 45 5 2 2 2 3" xfId="49045" xr:uid="{00000000-0005-0000-0000-0000F00A0000}"/>
    <cellStyle name="Style 45 5 2 2 3" xfId="16561" xr:uid="{00000000-0005-0000-0000-0000F00A0000}"/>
    <cellStyle name="Style 45 5 2 2 3 2" xfId="34933" xr:uid="{00000000-0005-0000-0000-0000F00A0000}"/>
    <cellStyle name="Style 45 5 2 2 3 3" xfId="53296" xr:uid="{00000000-0005-0000-0000-0000F00A0000}"/>
    <cellStyle name="Style 45 5 2 2 4" xfId="25680" xr:uid="{00000000-0005-0000-0000-0000F00A0000}"/>
    <cellStyle name="Style 45 5 2 2 4 2" xfId="44049" xr:uid="{00000000-0005-0000-0000-0000F00A0000}"/>
    <cellStyle name="Style 45 5 2 2 5" xfId="22001" xr:uid="{00000000-0005-0000-0000-0000F00A0000}"/>
    <cellStyle name="Style 45 5 2 2 6" xfId="40380" xr:uid="{00000000-0005-0000-0000-0000F00A0000}"/>
    <cellStyle name="Style 45 5 2 3" xfId="6697" xr:uid="{00000000-0005-0000-0000-0000F00A0000}"/>
    <cellStyle name="Style 45 5 2 3 2" xfId="12988" xr:uid="{00000000-0005-0000-0000-0000F00A0000}"/>
    <cellStyle name="Style 45 5 2 3 2 2" xfId="31414" xr:uid="{00000000-0005-0000-0000-0000F00A0000}"/>
    <cellStyle name="Style 45 5 2 3 2 3" xfId="49777" xr:uid="{00000000-0005-0000-0000-0000F00A0000}"/>
    <cellStyle name="Style 45 5 2 3 3" xfId="17299" xr:uid="{00000000-0005-0000-0000-0000F00A0000}"/>
    <cellStyle name="Style 45 5 2 3 3 2" xfId="35647" xr:uid="{00000000-0005-0000-0000-0000F00A0000}"/>
    <cellStyle name="Style 45 5 2 3 3 3" xfId="54010" xr:uid="{00000000-0005-0000-0000-0000F00A0000}"/>
    <cellStyle name="Style 45 5 2 3 4" xfId="26432" xr:uid="{00000000-0005-0000-0000-0000F00A0000}"/>
    <cellStyle name="Style 45 5 2 3 4 2" xfId="44801" xr:uid="{00000000-0005-0000-0000-0000F00A0000}"/>
    <cellStyle name="Style 45 5 2 3 5" xfId="22725" xr:uid="{00000000-0005-0000-0000-0000F00A0000}"/>
    <cellStyle name="Style 45 5 2 3 6" xfId="41094" xr:uid="{00000000-0005-0000-0000-0000F00A0000}"/>
    <cellStyle name="Style 45 5 2 4" xfId="10411" xr:uid="{00000000-0005-0000-0000-0000F00A0000}"/>
    <cellStyle name="Style 45 5 2 4 2" xfId="14468" xr:uid="{00000000-0005-0000-0000-0000F00A0000}"/>
    <cellStyle name="Style 45 5 2 4 2 2" xfId="32884" xr:uid="{00000000-0005-0000-0000-0000F00A0000}"/>
    <cellStyle name="Style 45 5 2 4 2 3" xfId="51247" xr:uid="{00000000-0005-0000-0000-0000F00A0000}"/>
    <cellStyle name="Style 45 5 2 4 3" xfId="29122" xr:uid="{00000000-0005-0000-0000-0000F00A0000}"/>
    <cellStyle name="Style 45 5 2 4 3 2" xfId="47485" xr:uid="{00000000-0005-0000-0000-0000F00A0000}"/>
    <cellStyle name="Style 45 5 2 4 4" xfId="19925" xr:uid="{00000000-0005-0000-0000-0000F00A0000}"/>
    <cellStyle name="Style 45 5 2 4 5" xfId="38331" xr:uid="{00000000-0005-0000-0000-0000F00A0000}"/>
    <cellStyle name="Style 45 5 2 5" xfId="9619" xr:uid="{00000000-0005-0000-0000-0000F00A0000}"/>
    <cellStyle name="Style 45 5 2 5 2" xfId="28336" xr:uid="{00000000-0005-0000-0000-0000F00A0000}"/>
    <cellStyle name="Style 45 5 2 5 3" xfId="46699" xr:uid="{00000000-0005-0000-0000-0000F00A0000}"/>
    <cellStyle name="Style 45 5 2 6" xfId="13677" xr:uid="{00000000-0005-0000-0000-0000F00A0000}"/>
    <cellStyle name="Style 45 5 2 6 2" xfId="32098" xr:uid="{00000000-0005-0000-0000-0000F00A0000}"/>
    <cellStyle name="Style 45 5 2 6 3" xfId="50461" xr:uid="{00000000-0005-0000-0000-0000F00A0000}"/>
    <cellStyle name="Style 45 5 2 7" xfId="23606" xr:uid="{00000000-0005-0000-0000-0000F00A0000}"/>
    <cellStyle name="Style 45 5 2 7 2" xfId="41975" xr:uid="{00000000-0005-0000-0000-0000F00A0000}"/>
    <cellStyle name="Style 45 5 2 8" xfId="18719" xr:uid="{00000000-0005-0000-0000-0000F00A0000}"/>
    <cellStyle name="Style 45 5 2 9" xfId="37129" xr:uid="{00000000-0005-0000-0000-0000F00A0000}"/>
    <cellStyle name="Style 45 5 3" xfId="4739" xr:uid="{00000000-0005-0000-0000-0000F00A0000}"/>
    <cellStyle name="Style 45 5 3 2" xfId="11323" xr:uid="{00000000-0005-0000-0000-0000F00A0000}"/>
    <cellStyle name="Style 45 5 3 2 2" xfId="29935" xr:uid="{00000000-0005-0000-0000-0000F00A0000}"/>
    <cellStyle name="Style 45 5 3 2 3" xfId="48298" xr:uid="{00000000-0005-0000-0000-0000F00A0000}"/>
    <cellStyle name="Style 45 5 3 3" xfId="15465" xr:uid="{00000000-0005-0000-0000-0000F00A0000}"/>
    <cellStyle name="Style 45 5 3 3 2" xfId="33858" xr:uid="{00000000-0005-0000-0000-0000F00A0000}"/>
    <cellStyle name="Style 45 5 3 3 3" xfId="52221" xr:uid="{00000000-0005-0000-0000-0000F00A0000}"/>
    <cellStyle name="Style 45 5 3 4" xfId="24589" xr:uid="{00000000-0005-0000-0000-0000F00A0000}"/>
    <cellStyle name="Style 45 5 3 4 2" xfId="42958" xr:uid="{00000000-0005-0000-0000-0000F00A0000}"/>
    <cellStyle name="Style 45 5 3 5" xfId="20916" xr:uid="{00000000-0005-0000-0000-0000F00A0000}"/>
    <cellStyle name="Style 45 5 3 6" xfId="39305" xr:uid="{00000000-0005-0000-0000-0000F00A0000}"/>
    <cellStyle name="Style 45 5 4" xfId="3937" xr:uid="{00000000-0005-0000-0000-0000F00A0000}"/>
    <cellStyle name="Style 45 5 4 2" xfId="10642" xr:uid="{00000000-0005-0000-0000-0000F00A0000}"/>
    <cellStyle name="Style 45 5 4 2 2" xfId="29348" xr:uid="{00000000-0005-0000-0000-0000F00A0000}"/>
    <cellStyle name="Style 45 5 4 2 3" xfId="47711" xr:uid="{00000000-0005-0000-0000-0000F00A0000}"/>
    <cellStyle name="Style 45 5 4 3" xfId="14700" xr:uid="{00000000-0005-0000-0000-0000F00A0000}"/>
    <cellStyle name="Style 45 5 4 3 2" xfId="33112" xr:uid="{00000000-0005-0000-0000-0000F00A0000}"/>
    <cellStyle name="Style 45 5 4 3 3" xfId="51475" xr:uid="{00000000-0005-0000-0000-0000F00A0000}"/>
    <cellStyle name="Style 45 5 4 4" xfId="23836" xr:uid="{00000000-0005-0000-0000-0000F00A0000}"/>
    <cellStyle name="Style 45 5 4 4 2" xfId="42205" xr:uid="{00000000-0005-0000-0000-0000F00A0000}"/>
    <cellStyle name="Style 45 5 4 5" xfId="20154" xr:uid="{00000000-0005-0000-0000-0000F00A0000}"/>
    <cellStyle name="Style 45 5 4 6" xfId="38559" xr:uid="{00000000-0005-0000-0000-0000F00A0000}"/>
    <cellStyle name="Style 45 5 5" xfId="9265" xr:uid="{00000000-0005-0000-0000-0000F00A0000}"/>
    <cellStyle name="Style 45 5 5 2" xfId="13322" xr:uid="{00000000-0005-0000-0000-0000F00A0000}"/>
    <cellStyle name="Style 45 5 5 2 2" xfId="31743" xr:uid="{00000000-0005-0000-0000-0000F00A0000}"/>
    <cellStyle name="Style 45 5 5 2 3" xfId="50106" xr:uid="{00000000-0005-0000-0000-0000F00A0000}"/>
    <cellStyle name="Style 45 5 5 3" xfId="27985" xr:uid="{00000000-0005-0000-0000-0000F00A0000}"/>
    <cellStyle name="Style 45 5 5 3 2" xfId="46348" xr:uid="{00000000-0005-0000-0000-0000F00A0000}"/>
    <cellStyle name="Style 45 5 5 4" xfId="18325" xr:uid="{00000000-0005-0000-0000-0000F00A0000}"/>
    <cellStyle name="Style 45 5 5 5" xfId="36731" xr:uid="{00000000-0005-0000-0000-0000F00A0000}"/>
    <cellStyle name="Style 45 5 6" xfId="8035" xr:uid="{00000000-0005-0000-0000-0000F00A0000}"/>
    <cellStyle name="Style 45 5 6 2" xfId="27264" xr:uid="{00000000-0005-0000-0000-0000F00A0000}"/>
    <cellStyle name="Style 45 5 6 3" xfId="45629" xr:uid="{00000000-0005-0000-0000-0000F00A0000}"/>
    <cellStyle name="Style 45 5 7" xfId="7169" xr:uid="{00000000-0005-0000-0000-0000F00A0000}"/>
    <cellStyle name="Style 45 5 7 2" xfId="26733" xr:uid="{00000000-0005-0000-0000-0000F00A0000}"/>
    <cellStyle name="Style 45 5 7 3" xfId="45101" xr:uid="{00000000-0005-0000-0000-0000F00A0000}"/>
    <cellStyle name="Style 45 5 8" xfId="18712" xr:uid="{00000000-0005-0000-0000-0000F00A0000}"/>
    <cellStyle name="Style 45 5 8 2" xfId="37122" xr:uid="{00000000-0005-0000-0000-0000F00A0000}"/>
    <cellStyle name="Style 45 5 9" xfId="7519" xr:uid="{00000000-0005-0000-0000-0000F00A0000}"/>
    <cellStyle name="Style 45 6" xfId="2237" xr:uid="{00000000-0005-0000-0000-0000F10A0000}"/>
    <cellStyle name="Style 45 6 10" xfId="8334" xr:uid="{00000000-0005-0000-0000-0000F10A0000}"/>
    <cellStyle name="Style 45 6 2" xfId="3757" xr:uid="{00000000-0005-0000-0000-0000F10A0000}"/>
    <cellStyle name="Style 45 6 2 2" xfId="5930" xr:uid="{00000000-0005-0000-0000-0000F10A0000}"/>
    <cellStyle name="Style 45 6 2 2 2" xfId="12294" xr:uid="{00000000-0005-0000-0000-0000F10A0000}"/>
    <cellStyle name="Style 45 6 2 2 2 2" xfId="30741" xr:uid="{00000000-0005-0000-0000-0000F10A0000}"/>
    <cellStyle name="Style 45 6 2 2 2 3" xfId="49104" xr:uid="{00000000-0005-0000-0000-0000F10A0000}"/>
    <cellStyle name="Style 45 6 2 2 3" xfId="16620" xr:uid="{00000000-0005-0000-0000-0000F10A0000}"/>
    <cellStyle name="Style 45 6 2 2 3 2" xfId="34992" xr:uid="{00000000-0005-0000-0000-0000F10A0000}"/>
    <cellStyle name="Style 45 6 2 2 3 3" xfId="53355" xr:uid="{00000000-0005-0000-0000-0000F10A0000}"/>
    <cellStyle name="Style 45 6 2 2 4" xfId="25739" xr:uid="{00000000-0005-0000-0000-0000F10A0000}"/>
    <cellStyle name="Style 45 6 2 2 4 2" xfId="44108" xr:uid="{00000000-0005-0000-0000-0000F10A0000}"/>
    <cellStyle name="Style 45 6 2 2 5" xfId="22060" xr:uid="{00000000-0005-0000-0000-0000F10A0000}"/>
    <cellStyle name="Style 45 6 2 2 6" xfId="40439" xr:uid="{00000000-0005-0000-0000-0000F10A0000}"/>
    <cellStyle name="Style 45 6 2 3" xfId="6756" xr:uid="{00000000-0005-0000-0000-0000F10A0000}"/>
    <cellStyle name="Style 45 6 2 3 2" xfId="13047" xr:uid="{00000000-0005-0000-0000-0000F10A0000}"/>
    <cellStyle name="Style 45 6 2 3 2 2" xfId="31473" xr:uid="{00000000-0005-0000-0000-0000F10A0000}"/>
    <cellStyle name="Style 45 6 2 3 2 3" xfId="49836" xr:uid="{00000000-0005-0000-0000-0000F10A0000}"/>
    <cellStyle name="Style 45 6 2 3 3" xfId="17358" xr:uid="{00000000-0005-0000-0000-0000F10A0000}"/>
    <cellStyle name="Style 45 6 2 3 3 2" xfId="35706" xr:uid="{00000000-0005-0000-0000-0000F10A0000}"/>
    <cellStyle name="Style 45 6 2 3 3 3" xfId="54069" xr:uid="{00000000-0005-0000-0000-0000F10A0000}"/>
    <cellStyle name="Style 45 6 2 3 4" xfId="26491" xr:uid="{00000000-0005-0000-0000-0000F10A0000}"/>
    <cellStyle name="Style 45 6 2 3 4 2" xfId="44860" xr:uid="{00000000-0005-0000-0000-0000F10A0000}"/>
    <cellStyle name="Style 45 6 2 3 5" xfId="22784" xr:uid="{00000000-0005-0000-0000-0000F10A0000}"/>
    <cellStyle name="Style 45 6 2 3 6" xfId="41153" xr:uid="{00000000-0005-0000-0000-0000F10A0000}"/>
    <cellStyle name="Style 45 6 2 4" xfId="10470" xr:uid="{00000000-0005-0000-0000-0000F10A0000}"/>
    <cellStyle name="Style 45 6 2 4 2" xfId="14527" xr:uid="{00000000-0005-0000-0000-0000F10A0000}"/>
    <cellStyle name="Style 45 6 2 4 2 2" xfId="32943" xr:uid="{00000000-0005-0000-0000-0000F10A0000}"/>
    <cellStyle name="Style 45 6 2 4 2 3" xfId="51306" xr:uid="{00000000-0005-0000-0000-0000F10A0000}"/>
    <cellStyle name="Style 45 6 2 4 3" xfId="29181" xr:uid="{00000000-0005-0000-0000-0000F10A0000}"/>
    <cellStyle name="Style 45 6 2 4 3 2" xfId="47544" xr:uid="{00000000-0005-0000-0000-0000F10A0000}"/>
    <cellStyle name="Style 45 6 2 4 4" xfId="19984" xr:uid="{00000000-0005-0000-0000-0000F10A0000}"/>
    <cellStyle name="Style 45 6 2 4 5" xfId="38390" xr:uid="{00000000-0005-0000-0000-0000F10A0000}"/>
    <cellStyle name="Style 45 6 2 5" xfId="9737" xr:uid="{00000000-0005-0000-0000-0000F10A0000}"/>
    <cellStyle name="Style 45 6 2 5 2" xfId="28452" xr:uid="{00000000-0005-0000-0000-0000F10A0000}"/>
    <cellStyle name="Style 45 6 2 5 3" xfId="46815" xr:uid="{00000000-0005-0000-0000-0000F10A0000}"/>
    <cellStyle name="Style 45 6 2 6" xfId="13794" xr:uid="{00000000-0005-0000-0000-0000F10A0000}"/>
    <cellStyle name="Style 45 6 2 6 2" xfId="32214" xr:uid="{00000000-0005-0000-0000-0000F10A0000}"/>
    <cellStyle name="Style 45 6 2 6 3" xfId="50577" xr:uid="{00000000-0005-0000-0000-0000F10A0000}"/>
    <cellStyle name="Style 45 6 2 7" xfId="23665" xr:uid="{00000000-0005-0000-0000-0000F10A0000}"/>
    <cellStyle name="Style 45 6 2 7 2" xfId="42034" xr:uid="{00000000-0005-0000-0000-0000F10A0000}"/>
    <cellStyle name="Style 45 6 2 8" xfId="18910" xr:uid="{00000000-0005-0000-0000-0000F10A0000}"/>
    <cellStyle name="Style 45 6 2 9" xfId="37319" xr:uid="{00000000-0005-0000-0000-0000F10A0000}"/>
    <cellStyle name="Style 45 6 3" xfId="4943" xr:uid="{00000000-0005-0000-0000-0000F10A0000}"/>
    <cellStyle name="Style 45 6 3 2" xfId="11481" xr:uid="{00000000-0005-0000-0000-0000F10A0000}"/>
    <cellStyle name="Style 45 6 3 2 2" xfId="30059" xr:uid="{00000000-0005-0000-0000-0000F10A0000}"/>
    <cellStyle name="Style 45 6 3 2 3" xfId="48422" xr:uid="{00000000-0005-0000-0000-0000F10A0000}"/>
    <cellStyle name="Style 45 6 3 3" xfId="15662" xr:uid="{00000000-0005-0000-0000-0000F10A0000}"/>
    <cellStyle name="Style 45 6 3 3 2" xfId="34051" xr:uid="{00000000-0005-0000-0000-0000F10A0000}"/>
    <cellStyle name="Style 45 6 3 3 3" xfId="52414" xr:uid="{00000000-0005-0000-0000-0000F10A0000}"/>
    <cellStyle name="Style 45 6 3 4" xfId="24784" xr:uid="{00000000-0005-0000-0000-0000F10A0000}"/>
    <cellStyle name="Style 45 6 3 4 2" xfId="43153" xr:uid="{00000000-0005-0000-0000-0000F10A0000}"/>
    <cellStyle name="Style 45 6 3 5" xfId="21111" xr:uid="{00000000-0005-0000-0000-0000F10A0000}"/>
    <cellStyle name="Style 45 6 3 6" xfId="39498" xr:uid="{00000000-0005-0000-0000-0000F10A0000}"/>
    <cellStyle name="Style 45 6 4" xfId="6085" xr:uid="{00000000-0005-0000-0000-0000F10A0000}"/>
    <cellStyle name="Style 45 6 4 2" xfId="12442" xr:uid="{00000000-0005-0000-0000-0000F10A0000}"/>
    <cellStyle name="Style 45 6 4 2 2" xfId="30889" xr:uid="{00000000-0005-0000-0000-0000F10A0000}"/>
    <cellStyle name="Style 45 6 4 2 3" xfId="49252" xr:uid="{00000000-0005-0000-0000-0000F10A0000}"/>
    <cellStyle name="Style 45 6 4 3" xfId="16767" xr:uid="{00000000-0005-0000-0000-0000F10A0000}"/>
    <cellStyle name="Style 45 6 4 3 2" xfId="35139" xr:uid="{00000000-0005-0000-0000-0000F10A0000}"/>
    <cellStyle name="Style 45 6 4 3 3" xfId="53502" xr:uid="{00000000-0005-0000-0000-0000F10A0000}"/>
    <cellStyle name="Style 45 6 4 4" xfId="25893" xr:uid="{00000000-0005-0000-0000-0000F10A0000}"/>
    <cellStyle name="Style 45 6 4 4 2" xfId="44262" xr:uid="{00000000-0005-0000-0000-0000F10A0000}"/>
    <cellStyle name="Style 45 6 4 5" xfId="22207" xr:uid="{00000000-0005-0000-0000-0000F10A0000}"/>
    <cellStyle name="Style 45 6 4 6" xfId="40586" xr:uid="{00000000-0005-0000-0000-0000F10A0000}"/>
    <cellStyle name="Style 45 6 5" xfId="9685" xr:uid="{00000000-0005-0000-0000-0000F10A0000}"/>
    <cellStyle name="Style 45 6 5 2" xfId="13742" xr:uid="{00000000-0005-0000-0000-0000F10A0000}"/>
    <cellStyle name="Style 45 6 5 2 2" xfId="32163" xr:uid="{00000000-0005-0000-0000-0000F10A0000}"/>
    <cellStyle name="Style 45 6 5 2 3" xfId="50526" xr:uid="{00000000-0005-0000-0000-0000F10A0000}"/>
    <cellStyle name="Style 45 6 5 3" xfId="28401" xr:uid="{00000000-0005-0000-0000-0000F10A0000}"/>
    <cellStyle name="Style 45 6 5 3 2" xfId="46764" xr:uid="{00000000-0005-0000-0000-0000F10A0000}"/>
    <cellStyle name="Style 45 6 5 4" xfId="18827" xr:uid="{00000000-0005-0000-0000-0000F10A0000}"/>
    <cellStyle name="Style 45 6 5 5" xfId="37236" xr:uid="{00000000-0005-0000-0000-0000F10A0000}"/>
    <cellStyle name="Style 45 6 6" xfId="8313" xr:uid="{00000000-0005-0000-0000-0000F10A0000}"/>
    <cellStyle name="Style 45 6 6 2" xfId="27409" xr:uid="{00000000-0005-0000-0000-0000F10A0000}"/>
    <cellStyle name="Style 45 6 6 3" xfId="45774" xr:uid="{00000000-0005-0000-0000-0000F10A0000}"/>
    <cellStyle name="Style 45 6 7" xfId="7825" xr:uid="{00000000-0005-0000-0000-0000F10A0000}"/>
    <cellStyle name="Style 45 6 7 2" xfId="27086" xr:uid="{00000000-0005-0000-0000-0000F10A0000}"/>
    <cellStyle name="Style 45 6 7 3" xfId="45451" xr:uid="{00000000-0005-0000-0000-0000F10A0000}"/>
    <cellStyle name="Style 45 6 8" xfId="18010" xr:uid="{00000000-0005-0000-0000-0000F10A0000}"/>
    <cellStyle name="Style 45 6 8 2" xfId="36418" xr:uid="{00000000-0005-0000-0000-0000F10A0000}"/>
    <cellStyle name="Style 45 6 9" xfId="11734" xr:uid="{00000000-0005-0000-0000-0000F10A0000}"/>
    <cellStyle name="Style 45 7" xfId="2681" xr:uid="{00000000-0005-0000-0000-0000F20A0000}"/>
    <cellStyle name="Style 45 7 10" xfId="35894" xr:uid="{00000000-0005-0000-0000-0000F20A0000}"/>
    <cellStyle name="Style 45 7 2" xfId="3801" xr:uid="{00000000-0005-0000-0000-0000F20A0000}"/>
    <cellStyle name="Style 45 7 2 2" xfId="5974" xr:uid="{00000000-0005-0000-0000-0000F20A0000}"/>
    <cellStyle name="Style 45 7 2 2 2" xfId="12338" xr:uid="{00000000-0005-0000-0000-0000F20A0000}"/>
    <cellStyle name="Style 45 7 2 2 2 2" xfId="30785" xr:uid="{00000000-0005-0000-0000-0000F20A0000}"/>
    <cellStyle name="Style 45 7 2 2 2 3" xfId="49148" xr:uid="{00000000-0005-0000-0000-0000F20A0000}"/>
    <cellStyle name="Style 45 7 2 2 3" xfId="16664" xr:uid="{00000000-0005-0000-0000-0000F20A0000}"/>
    <cellStyle name="Style 45 7 2 2 3 2" xfId="35036" xr:uid="{00000000-0005-0000-0000-0000F20A0000}"/>
    <cellStyle name="Style 45 7 2 2 3 3" xfId="53399" xr:uid="{00000000-0005-0000-0000-0000F20A0000}"/>
    <cellStyle name="Style 45 7 2 2 4" xfId="25783" xr:uid="{00000000-0005-0000-0000-0000F20A0000}"/>
    <cellStyle name="Style 45 7 2 2 4 2" xfId="44152" xr:uid="{00000000-0005-0000-0000-0000F20A0000}"/>
    <cellStyle name="Style 45 7 2 2 5" xfId="22104" xr:uid="{00000000-0005-0000-0000-0000F20A0000}"/>
    <cellStyle name="Style 45 7 2 2 6" xfId="40483" xr:uid="{00000000-0005-0000-0000-0000F20A0000}"/>
    <cellStyle name="Style 45 7 2 3" xfId="6800" xr:uid="{00000000-0005-0000-0000-0000F20A0000}"/>
    <cellStyle name="Style 45 7 2 3 2" xfId="13091" xr:uid="{00000000-0005-0000-0000-0000F20A0000}"/>
    <cellStyle name="Style 45 7 2 3 2 2" xfId="31517" xr:uid="{00000000-0005-0000-0000-0000F20A0000}"/>
    <cellStyle name="Style 45 7 2 3 2 3" xfId="49880" xr:uid="{00000000-0005-0000-0000-0000F20A0000}"/>
    <cellStyle name="Style 45 7 2 3 3" xfId="17402" xr:uid="{00000000-0005-0000-0000-0000F20A0000}"/>
    <cellStyle name="Style 45 7 2 3 3 2" xfId="35750" xr:uid="{00000000-0005-0000-0000-0000F20A0000}"/>
    <cellStyle name="Style 45 7 2 3 3 3" xfId="54113" xr:uid="{00000000-0005-0000-0000-0000F20A0000}"/>
    <cellStyle name="Style 45 7 2 3 4" xfId="26535" xr:uid="{00000000-0005-0000-0000-0000F20A0000}"/>
    <cellStyle name="Style 45 7 2 3 4 2" xfId="44904" xr:uid="{00000000-0005-0000-0000-0000F20A0000}"/>
    <cellStyle name="Style 45 7 2 3 5" xfId="22828" xr:uid="{00000000-0005-0000-0000-0000F20A0000}"/>
    <cellStyle name="Style 45 7 2 3 6" xfId="41197" xr:uid="{00000000-0005-0000-0000-0000F20A0000}"/>
    <cellStyle name="Style 45 7 2 4" xfId="10514" xr:uid="{00000000-0005-0000-0000-0000F20A0000}"/>
    <cellStyle name="Style 45 7 2 4 2" xfId="14571" xr:uid="{00000000-0005-0000-0000-0000F20A0000}"/>
    <cellStyle name="Style 45 7 2 4 2 2" xfId="32987" xr:uid="{00000000-0005-0000-0000-0000F20A0000}"/>
    <cellStyle name="Style 45 7 2 4 2 3" xfId="51350" xr:uid="{00000000-0005-0000-0000-0000F20A0000}"/>
    <cellStyle name="Style 45 7 2 4 3" xfId="29225" xr:uid="{00000000-0005-0000-0000-0000F20A0000}"/>
    <cellStyle name="Style 45 7 2 4 3 2" xfId="47588" xr:uid="{00000000-0005-0000-0000-0000F20A0000}"/>
    <cellStyle name="Style 45 7 2 4 4" xfId="20028" xr:uid="{00000000-0005-0000-0000-0000F20A0000}"/>
    <cellStyle name="Style 45 7 2 4 5" xfId="38434" xr:uid="{00000000-0005-0000-0000-0000F20A0000}"/>
    <cellStyle name="Style 45 7 2 5" xfId="9840" xr:uid="{00000000-0005-0000-0000-0000F20A0000}"/>
    <cellStyle name="Style 45 7 2 5 2" xfId="28554" xr:uid="{00000000-0005-0000-0000-0000F20A0000}"/>
    <cellStyle name="Style 45 7 2 5 3" xfId="46917" xr:uid="{00000000-0005-0000-0000-0000F20A0000}"/>
    <cellStyle name="Style 45 7 2 6" xfId="13898" xr:uid="{00000000-0005-0000-0000-0000F20A0000}"/>
    <cellStyle name="Style 45 7 2 6 2" xfId="32316" xr:uid="{00000000-0005-0000-0000-0000F20A0000}"/>
    <cellStyle name="Style 45 7 2 6 3" xfId="50679" xr:uid="{00000000-0005-0000-0000-0000F20A0000}"/>
    <cellStyle name="Style 45 7 2 7" xfId="23709" xr:uid="{00000000-0005-0000-0000-0000F20A0000}"/>
    <cellStyle name="Style 45 7 2 7 2" xfId="42078" xr:uid="{00000000-0005-0000-0000-0000F20A0000}"/>
    <cellStyle name="Style 45 7 2 8" xfId="19082" xr:uid="{00000000-0005-0000-0000-0000F20A0000}"/>
    <cellStyle name="Style 45 7 2 9" xfId="37490" xr:uid="{00000000-0005-0000-0000-0000F20A0000}"/>
    <cellStyle name="Style 45 7 3" xfId="5106" xr:uid="{00000000-0005-0000-0000-0000F20A0000}"/>
    <cellStyle name="Style 45 7 3 2" xfId="11617" xr:uid="{00000000-0005-0000-0000-0000F20A0000}"/>
    <cellStyle name="Style 45 7 3 2 2" xfId="30173" xr:uid="{00000000-0005-0000-0000-0000F20A0000}"/>
    <cellStyle name="Style 45 7 3 2 3" xfId="48536" xr:uid="{00000000-0005-0000-0000-0000F20A0000}"/>
    <cellStyle name="Style 45 7 3 3" xfId="15815" xr:uid="{00000000-0005-0000-0000-0000F20A0000}"/>
    <cellStyle name="Style 45 7 3 3 2" xfId="34200" xr:uid="{00000000-0005-0000-0000-0000F20A0000}"/>
    <cellStyle name="Style 45 7 3 3 3" xfId="52563" xr:uid="{00000000-0005-0000-0000-0000F20A0000}"/>
    <cellStyle name="Style 45 7 3 4" xfId="24937" xr:uid="{00000000-0005-0000-0000-0000F20A0000}"/>
    <cellStyle name="Style 45 7 3 4 2" xfId="43306" xr:uid="{00000000-0005-0000-0000-0000F20A0000}"/>
    <cellStyle name="Style 45 7 3 5" xfId="21262" xr:uid="{00000000-0005-0000-0000-0000F20A0000}"/>
    <cellStyle name="Style 45 7 3 6" xfId="39647" xr:uid="{00000000-0005-0000-0000-0000F20A0000}"/>
    <cellStyle name="Style 45 7 4" xfId="6164" xr:uid="{00000000-0005-0000-0000-0000F20A0000}"/>
    <cellStyle name="Style 45 7 4 2" xfId="12501" xr:uid="{00000000-0005-0000-0000-0000F20A0000}"/>
    <cellStyle name="Style 45 7 4 2 2" xfId="30938" xr:uid="{00000000-0005-0000-0000-0000F20A0000}"/>
    <cellStyle name="Style 45 7 4 2 3" xfId="49301" xr:uid="{00000000-0005-0000-0000-0000F20A0000}"/>
    <cellStyle name="Style 45 7 4 3" xfId="16819" xr:uid="{00000000-0005-0000-0000-0000F20A0000}"/>
    <cellStyle name="Style 45 7 4 3 2" xfId="35184" xr:uid="{00000000-0005-0000-0000-0000F20A0000}"/>
    <cellStyle name="Style 45 7 4 3 3" xfId="53547" xr:uid="{00000000-0005-0000-0000-0000F20A0000}"/>
    <cellStyle name="Style 45 7 4 4" xfId="25951" xr:uid="{00000000-0005-0000-0000-0000F20A0000}"/>
    <cellStyle name="Style 45 7 4 4 2" xfId="44320" xr:uid="{00000000-0005-0000-0000-0000F20A0000}"/>
    <cellStyle name="Style 45 7 4 5" xfId="22256" xr:uid="{00000000-0005-0000-0000-0000F20A0000}"/>
    <cellStyle name="Style 45 7 4 6" xfId="40631" xr:uid="{00000000-0005-0000-0000-0000F20A0000}"/>
    <cellStyle name="Style 45 7 5" xfId="7613" xr:uid="{00000000-0005-0000-0000-0000F20A0000}"/>
    <cellStyle name="Style 45 7 5 2" xfId="8789" xr:uid="{00000000-0005-0000-0000-0000F20A0000}"/>
    <cellStyle name="Style 45 7 5 2 2" xfId="27632" xr:uid="{00000000-0005-0000-0000-0000F20A0000}"/>
    <cellStyle name="Style 45 7 5 2 3" xfId="45995" xr:uid="{00000000-0005-0000-0000-0000F20A0000}"/>
    <cellStyle name="Style 45 7 5 3" xfId="26909" xr:uid="{00000000-0005-0000-0000-0000F20A0000}"/>
    <cellStyle name="Style 45 7 5 3 2" xfId="45274" xr:uid="{00000000-0005-0000-0000-0000F20A0000}"/>
    <cellStyle name="Style 45 7 5 4" xfId="7006" xr:uid="{00000000-0005-0000-0000-0000F20A0000}"/>
    <cellStyle name="Style 45 7 5 5" xfId="7265" xr:uid="{00000000-0005-0000-0000-0000F20A0000}"/>
    <cellStyle name="Style 45 7 6" xfId="8582" xr:uid="{00000000-0005-0000-0000-0000F20A0000}"/>
    <cellStyle name="Style 45 7 6 2" xfId="27528" xr:uid="{00000000-0005-0000-0000-0000F20A0000}"/>
    <cellStyle name="Style 45 7 6 3" xfId="45892" xr:uid="{00000000-0005-0000-0000-0000F20A0000}"/>
    <cellStyle name="Style 45 7 7" xfId="8189" xr:uid="{00000000-0005-0000-0000-0000F20A0000}"/>
    <cellStyle name="Style 45 7 7 2" xfId="27367" xr:uid="{00000000-0005-0000-0000-0000F20A0000}"/>
    <cellStyle name="Style 45 7 7 3" xfId="45732" xr:uid="{00000000-0005-0000-0000-0000F20A0000}"/>
    <cellStyle name="Style 45 7 8" xfId="18917" xr:uid="{00000000-0005-0000-0000-0000F20A0000}"/>
    <cellStyle name="Style 45 7 8 2" xfId="37326" xr:uid="{00000000-0005-0000-0000-0000F20A0000}"/>
    <cellStyle name="Style 45 7 9" xfId="8794" xr:uid="{00000000-0005-0000-0000-0000F20A0000}"/>
    <cellStyle name="Style 45 8" xfId="3078" xr:uid="{00000000-0005-0000-0000-0000F30A0000}"/>
    <cellStyle name="Style 45 8 10" xfId="36082" xr:uid="{00000000-0005-0000-0000-0000F30A0000}"/>
    <cellStyle name="Style 45 8 2" xfId="3852" xr:uid="{00000000-0005-0000-0000-0000F30A0000}"/>
    <cellStyle name="Style 45 8 2 2" xfId="6025" xr:uid="{00000000-0005-0000-0000-0000F30A0000}"/>
    <cellStyle name="Style 45 8 2 2 2" xfId="12389" xr:uid="{00000000-0005-0000-0000-0000F30A0000}"/>
    <cellStyle name="Style 45 8 2 2 2 2" xfId="30836" xr:uid="{00000000-0005-0000-0000-0000F30A0000}"/>
    <cellStyle name="Style 45 8 2 2 2 3" xfId="49199" xr:uid="{00000000-0005-0000-0000-0000F30A0000}"/>
    <cellStyle name="Style 45 8 2 2 3" xfId="16715" xr:uid="{00000000-0005-0000-0000-0000F30A0000}"/>
    <cellStyle name="Style 45 8 2 2 3 2" xfId="35087" xr:uid="{00000000-0005-0000-0000-0000F30A0000}"/>
    <cellStyle name="Style 45 8 2 2 3 3" xfId="53450" xr:uid="{00000000-0005-0000-0000-0000F30A0000}"/>
    <cellStyle name="Style 45 8 2 2 4" xfId="25834" xr:uid="{00000000-0005-0000-0000-0000F30A0000}"/>
    <cellStyle name="Style 45 8 2 2 4 2" xfId="44203" xr:uid="{00000000-0005-0000-0000-0000F30A0000}"/>
    <cellStyle name="Style 45 8 2 2 5" xfId="22155" xr:uid="{00000000-0005-0000-0000-0000F30A0000}"/>
    <cellStyle name="Style 45 8 2 2 6" xfId="40534" xr:uid="{00000000-0005-0000-0000-0000F30A0000}"/>
    <cellStyle name="Style 45 8 2 3" xfId="6851" xr:uid="{00000000-0005-0000-0000-0000F30A0000}"/>
    <cellStyle name="Style 45 8 2 3 2" xfId="13142" xr:uid="{00000000-0005-0000-0000-0000F30A0000}"/>
    <cellStyle name="Style 45 8 2 3 2 2" xfId="31568" xr:uid="{00000000-0005-0000-0000-0000F30A0000}"/>
    <cellStyle name="Style 45 8 2 3 2 3" xfId="49931" xr:uid="{00000000-0005-0000-0000-0000F30A0000}"/>
    <cellStyle name="Style 45 8 2 3 3" xfId="17453" xr:uid="{00000000-0005-0000-0000-0000F30A0000}"/>
    <cellStyle name="Style 45 8 2 3 3 2" xfId="35801" xr:uid="{00000000-0005-0000-0000-0000F30A0000}"/>
    <cellStyle name="Style 45 8 2 3 3 3" xfId="54164" xr:uid="{00000000-0005-0000-0000-0000F30A0000}"/>
    <cellStyle name="Style 45 8 2 3 4" xfId="26586" xr:uid="{00000000-0005-0000-0000-0000F30A0000}"/>
    <cellStyle name="Style 45 8 2 3 4 2" xfId="44955" xr:uid="{00000000-0005-0000-0000-0000F30A0000}"/>
    <cellStyle name="Style 45 8 2 3 5" xfId="22879" xr:uid="{00000000-0005-0000-0000-0000F30A0000}"/>
    <cellStyle name="Style 45 8 2 3 6" xfId="41248" xr:uid="{00000000-0005-0000-0000-0000F30A0000}"/>
    <cellStyle name="Style 45 8 2 4" xfId="10565" xr:uid="{00000000-0005-0000-0000-0000F30A0000}"/>
    <cellStyle name="Style 45 8 2 4 2" xfId="14622" xr:uid="{00000000-0005-0000-0000-0000F30A0000}"/>
    <cellStyle name="Style 45 8 2 4 2 2" xfId="33038" xr:uid="{00000000-0005-0000-0000-0000F30A0000}"/>
    <cellStyle name="Style 45 8 2 4 2 3" xfId="51401" xr:uid="{00000000-0005-0000-0000-0000F30A0000}"/>
    <cellStyle name="Style 45 8 2 4 3" xfId="29276" xr:uid="{00000000-0005-0000-0000-0000F30A0000}"/>
    <cellStyle name="Style 45 8 2 4 3 2" xfId="47639" xr:uid="{00000000-0005-0000-0000-0000F30A0000}"/>
    <cellStyle name="Style 45 8 2 4 4" xfId="20079" xr:uid="{00000000-0005-0000-0000-0000F30A0000}"/>
    <cellStyle name="Style 45 8 2 4 5" xfId="38485" xr:uid="{00000000-0005-0000-0000-0000F30A0000}"/>
    <cellStyle name="Style 45 8 2 5" xfId="9939" xr:uid="{00000000-0005-0000-0000-0000F30A0000}"/>
    <cellStyle name="Style 45 8 2 5 2" xfId="28651" xr:uid="{00000000-0005-0000-0000-0000F30A0000}"/>
    <cellStyle name="Style 45 8 2 5 3" xfId="47014" xr:uid="{00000000-0005-0000-0000-0000F30A0000}"/>
    <cellStyle name="Style 45 8 2 6" xfId="13996" xr:uid="{00000000-0005-0000-0000-0000F30A0000}"/>
    <cellStyle name="Style 45 8 2 6 2" xfId="32413" xr:uid="{00000000-0005-0000-0000-0000F30A0000}"/>
    <cellStyle name="Style 45 8 2 6 3" xfId="50776" xr:uid="{00000000-0005-0000-0000-0000F30A0000}"/>
    <cellStyle name="Style 45 8 2 7" xfId="23760" xr:uid="{00000000-0005-0000-0000-0000F30A0000}"/>
    <cellStyle name="Style 45 8 2 7 2" xfId="42129" xr:uid="{00000000-0005-0000-0000-0000F30A0000}"/>
    <cellStyle name="Style 45 8 2 8" xfId="19255" xr:uid="{00000000-0005-0000-0000-0000F30A0000}"/>
    <cellStyle name="Style 45 8 2 9" xfId="37662" xr:uid="{00000000-0005-0000-0000-0000F30A0000}"/>
    <cellStyle name="Style 45 8 3" xfId="5330" xr:uid="{00000000-0005-0000-0000-0000F30A0000}"/>
    <cellStyle name="Style 45 8 3 2" xfId="11765" xr:uid="{00000000-0005-0000-0000-0000F30A0000}"/>
    <cellStyle name="Style 45 8 3 2 2" xfId="30255" xr:uid="{00000000-0005-0000-0000-0000F30A0000}"/>
    <cellStyle name="Style 45 8 3 2 3" xfId="48618" xr:uid="{00000000-0005-0000-0000-0000F30A0000}"/>
    <cellStyle name="Style 45 8 3 3" xfId="16022" xr:uid="{00000000-0005-0000-0000-0000F30A0000}"/>
    <cellStyle name="Style 45 8 3 3 2" xfId="34396" xr:uid="{00000000-0005-0000-0000-0000F30A0000}"/>
    <cellStyle name="Style 45 8 3 3 3" xfId="52759" xr:uid="{00000000-0005-0000-0000-0000F30A0000}"/>
    <cellStyle name="Style 45 8 3 4" xfId="25143" xr:uid="{00000000-0005-0000-0000-0000F30A0000}"/>
    <cellStyle name="Style 45 8 3 4 2" xfId="43512" xr:uid="{00000000-0005-0000-0000-0000F30A0000}"/>
    <cellStyle name="Style 45 8 3 5" xfId="21464" xr:uid="{00000000-0005-0000-0000-0000F30A0000}"/>
    <cellStyle name="Style 45 8 3 6" xfId="39843" xr:uid="{00000000-0005-0000-0000-0000F30A0000}"/>
    <cellStyle name="Style 45 8 4" xfId="6260" xr:uid="{00000000-0005-0000-0000-0000F30A0000}"/>
    <cellStyle name="Style 45 8 4 2" xfId="12564" xr:uid="{00000000-0005-0000-0000-0000F30A0000}"/>
    <cellStyle name="Style 45 8 4 2 2" xfId="30995" xr:uid="{00000000-0005-0000-0000-0000F30A0000}"/>
    <cellStyle name="Style 45 8 4 2 3" xfId="49358" xr:uid="{00000000-0005-0000-0000-0000F30A0000}"/>
    <cellStyle name="Style 45 8 4 3" xfId="16881" xr:uid="{00000000-0005-0000-0000-0000F30A0000}"/>
    <cellStyle name="Style 45 8 4 3 2" xfId="35236" xr:uid="{00000000-0005-0000-0000-0000F30A0000}"/>
    <cellStyle name="Style 45 8 4 3 3" xfId="53599" xr:uid="{00000000-0005-0000-0000-0000F30A0000}"/>
    <cellStyle name="Style 45 8 4 4" xfId="26015" xr:uid="{00000000-0005-0000-0000-0000F30A0000}"/>
    <cellStyle name="Style 45 8 4 4 2" xfId="44384" xr:uid="{00000000-0005-0000-0000-0000F30A0000}"/>
    <cellStyle name="Style 45 8 4 5" xfId="22312" xr:uid="{00000000-0005-0000-0000-0000F30A0000}"/>
    <cellStyle name="Style 45 8 4 6" xfId="40683" xr:uid="{00000000-0005-0000-0000-0000F30A0000}"/>
    <cellStyle name="Style 45 8 5" xfId="10048" xr:uid="{00000000-0005-0000-0000-0000F30A0000}"/>
    <cellStyle name="Style 45 8 5 2" xfId="14105" xr:uid="{00000000-0005-0000-0000-0000F30A0000}"/>
    <cellStyle name="Style 45 8 5 2 2" xfId="32521" xr:uid="{00000000-0005-0000-0000-0000F30A0000}"/>
    <cellStyle name="Style 45 8 5 2 3" xfId="50884" xr:uid="{00000000-0005-0000-0000-0000F30A0000}"/>
    <cellStyle name="Style 45 8 5 3" xfId="28759" xr:uid="{00000000-0005-0000-0000-0000F30A0000}"/>
    <cellStyle name="Style 45 8 5 3 2" xfId="47122" xr:uid="{00000000-0005-0000-0000-0000F30A0000}"/>
    <cellStyle name="Style 45 8 5 4" xfId="19512" xr:uid="{00000000-0005-0000-0000-0000F30A0000}"/>
    <cellStyle name="Style 45 8 5 5" xfId="37918" xr:uid="{00000000-0005-0000-0000-0000F30A0000}"/>
    <cellStyle name="Style 45 8 6" xfId="8848" xr:uid="{00000000-0005-0000-0000-0000F30A0000}"/>
    <cellStyle name="Style 45 8 6 2" xfId="27654" xr:uid="{00000000-0005-0000-0000-0000F30A0000}"/>
    <cellStyle name="Style 45 8 6 3" xfId="46017" xr:uid="{00000000-0005-0000-0000-0000F30A0000}"/>
    <cellStyle name="Style 45 8 7" xfId="6981" xr:uid="{00000000-0005-0000-0000-0000F30A0000}"/>
    <cellStyle name="Style 45 8 7 2" xfId="26694" xr:uid="{00000000-0005-0000-0000-0000F30A0000}"/>
    <cellStyle name="Style 45 8 7 3" xfId="45063" xr:uid="{00000000-0005-0000-0000-0000F30A0000}"/>
    <cellStyle name="Style 45 8 8" xfId="23080" xr:uid="{00000000-0005-0000-0000-0000F30A0000}"/>
    <cellStyle name="Style 45 8 8 2" xfId="41449" xr:uid="{00000000-0005-0000-0000-0000F30A0000}"/>
    <cellStyle name="Style 45 8 9" xfId="17640" xr:uid="{00000000-0005-0000-0000-0000F30A0000}"/>
    <cellStyle name="Style 45 9" xfId="2925" xr:uid="{00000000-0005-0000-0000-0000F40A0000}"/>
    <cellStyle name="Style 45 9 2" xfId="3831" xr:uid="{00000000-0005-0000-0000-0000F40A0000}"/>
    <cellStyle name="Style 45 9 2 2" xfId="6004" xr:uid="{00000000-0005-0000-0000-0000F40A0000}"/>
    <cellStyle name="Style 45 9 2 2 2" xfId="12368" xr:uid="{00000000-0005-0000-0000-0000F40A0000}"/>
    <cellStyle name="Style 45 9 2 2 2 2" xfId="30815" xr:uid="{00000000-0005-0000-0000-0000F40A0000}"/>
    <cellStyle name="Style 45 9 2 2 2 3" xfId="49178" xr:uid="{00000000-0005-0000-0000-0000F40A0000}"/>
    <cellStyle name="Style 45 9 2 2 3" xfId="16694" xr:uid="{00000000-0005-0000-0000-0000F40A0000}"/>
    <cellStyle name="Style 45 9 2 2 3 2" xfId="35066" xr:uid="{00000000-0005-0000-0000-0000F40A0000}"/>
    <cellStyle name="Style 45 9 2 2 3 3" xfId="53429" xr:uid="{00000000-0005-0000-0000-0000F40A0000}"/>
    <cellStyle name="Style 45 9 2 2 4" xfId="25813" xr:uid="{00000000-0005-0000-0000-0000F40A0000}"/>
    <cellStyle name="Style 45 9 2 2 4 2" xfId="44182" xr:uid="{00000000-0005-0000-0000-0000F40A0000}"/>
    <cellStyle name="Style 45 9 2 2 5" xfId="22134" xr:uid="{00000000-0005-0000-0000-0000F40A0000}"/>
    <cellStyle name="Style 45 9 2 2 6" xfId="40513" xr:uid="{00000000-0005-0000-0000-0000F40A0000}"/>
    <cellStyle name="Style 45 9 2 3" xfId="6830" xr:uid="{00000000-0005-0000-0000-0000F40A0000}"/>
    <cellStyle name="Style 45 9 2 3 2" xfId="13121" xr:uid="{00000000-0005-0000-0000-0000F40A0000}"/>
    <cellStyle name="Style 45 9 2 3 2 2" xfId="31547" xr:uid="{00000000-0005-0000-0000-0000F40A0000}"/>
    <cellStyle name="Style 45 9 2 3 2 3" xfId="49910" xr:uid="{00000000-0005-0000-0000-0000F40A0000}"/>
    <cellStyle name="Style 45 9 2 3 3" xfId="17432" xr:uid="{00000000-0005-0000-0000-0000F40A0000}"/>
    <cellStyle name="Style 45 9 2 3 3 2" xfId="35780" xr:uid="{00000000-0005-0000-0000-0000F40A0000}"/>
    <cellStyle name="Style 45 9 2 3 3 3" xfId="54143" xr:uid="{00000000-0005-0000-0000-0000F40A0000}"/>
    <cellStyle name="Style 45 9 2 3 4" xfId="26565" xr:uid="{00000000-0005-0000-0000-0000F40A0000}"/>
    <cellStyle name="Style 45 9 2 3 4 2" xfId="44934" xr:uid="{00000000-0005-0000-0000-0000F40A0000}"/>
    <cellStyle name="Style 45 9 2 3 5" xfId="22858" xr:uid="{00000000-0005-0000-0000-0000F40A0000}"/>
    <cellStyle name="Style 45 9 2 3 6" xfId="41227" xr:uid="{00000000-0005-0000-0000-0000F40A0000}"/>
    <cellStyle name="Style 45 9 2 4" xfId="10544" xr:uid="{00000000-0005-0000-0000-0000F40A0000}"/>
    <cellStyle name="Style 45 9 2 4 2" xfId="14601" xr:uid="{00000000-0005-0000-0000-0000F40A0000}"/>
    <cellStyle name="Style 45 9 2 4 2 2" xfId="33017" xr:uid="{00000000-0005-0000-0000-0000F40A0000}"/>
    <cellStyle name="Style 45 9 2 4 2 3" xfId="51380" xr:uid="{00000000-0005-0000-0000-0000F40A0000}"/>
    <cellStyle name="Style 45 9 2 4 3" xfId="29255" xr:uid="{00000000-0005-0000-0000-0000F40A0000}"/>
    <cellStyle name="Style 45 9 2 4 3 2" xfId="47618" xr:uid="{00000000-0005-0000-0000-0000F40A0000}"/>
    <cellStyle name="Style 45 9 2 4 4" xfId="20058" xr:uid="{00000000-0005-0000-0000-0000F40A0000}"/>
    <cellStyle name="Style 45 9 2 4 5" xfId="38464" xr:uid="{00000000-0005-0000-0000-0000F40A0000}"/>
    <cellStyle name="Style 45 9 2 5" xfId="9905" xr:uid="{00000000-0005-0000-0000-0000F40A0000}"/>
    <cellStyle name="Style 45 9 2 5 2" xfId="28617" xr:uid="{00000000-0005-0000-0000-0000F40A0000}"/>
    <cellStyle name="Style 45 9 2 5 3" xfId="46980" xr:uid="{00000000-0005-0000-0000-0000F40A0000}"/>
    <cellStyle name="Style 45 9 2 6" xfId="13962" xr:uid="{00000000-0005-0000-0000-0000F40A0000}"/>
    <cellStyle name="Style 45 9 2 6 2" xfId="32379" xr:uid="{00000000-0005-0000-0000-0000F40A0000}"/>
    <cellStyle name="Style 45 9 2 6 3" xfId="50742" xr:uid="{00000000-0005-0000-0000-0000F40A0000}"/>
    <cellStyle name="Style 45 9 2 7" xfId="23739" xr:uid="{00000000-0005-0000-0000-0000F40A0000}"/>
    <cellStyle name="Style 45 9 2 7 2" xfId="42108" xr:uid="{00000000-0005-0000-0000-0000F40A0000}"/>
    <cellStyle name="Style 45 9 2 8" xfId="19189" xr:uid="{00000000-0005-0000-0000-0000F40A0000}"/>
    <cellStyle name="Style 45 9 2 9" xfId="37596" xr:uid="{00000000-0005-0000-0000-0000F40A0000}"/>
    <cellStyle name="Style 45 9 3" xfId="6211" xr:uid="{00000000-0005-0000-0000-0000F40A0000}"/>
    <cellStyle name="Style 45 9 3 2" xfId="12540" xr:uid="{00000000-0005-0000-0000-0000F40A0000}"/>
    <cellStyle name="Style 45 9 3 2 2" xfId="30972" xr:uid="{00000000-0005-0000-0000-0000F40A0000}"/>
    <cellStyle name="Style 45 9 3 2 3" xfId="49335" xr:uid="{00000000-0005-0000-0000-0000F40A0000}"/>
    <cellStyle name="Style 45 9 3 3" xfId="16856" xr:uid="{00000000-0005-0000-0000-0000F40A0000}"/>
    <cellStyle name="Style 45 9 3 3 2" xfId="35215" xr:uid="{00000000-0005-0000-0000-0000F40A0000}"/>
    <cellStyle name="Style 45 9 3 3 3" xfId="53578" xr:uid="{00000000-0005-0000-0000-0000F40A0000}"/>
    <cellStyle name="Style 45 9 3 4" xfId="25984" xr:uid="{00000000-0005-0000-0000-0000F40A0000}"/>
    <cellStyle name="Style 45 9 3 4 2" xfId="44353" xr:uid="{00000000-0005-0000-0000-0000F40A0000}"/>
    <cellStyle name="Style 45 9 3 5" xfId="22289" xr:uid="{00000000-0005-0000-0000-0000F40A0000}"/>
    <cellStyle name="Style 45 9 3 6" xfId="40662" xr:uid="{00000000-0005-0000-0000-0000F40A0000}"/>
    <cellStyle name="Style 45 9 4" xfId="8762" xr:uid="{00000000-0005-0000-0000-0000F40A0000}"/>
    <cellStyle name="Style 45 9 4 2" xfId="27627" xr:uid="{00000000-0005-0000-0000-0000F40A0000}"/>
    <cellStyle name="Style 45 9 4 3" xfId="45990" xr:uid="{00000000-0005-0000-0000-0000F40A0000}"/>
    <cellStyle name="Style 45 9 5" xfId="8175" xr:uid="{00000000-0005-0000-0000-0000F40A0000}"/>
    <cellStyle name="Style 45 9 5 2" xfId="27365" xr:uid="{00000000-0005-0000-0000-0000F40A0000}"/>
    <cellStyle name="Style 45 9 5 3" xfId="45730" xr:uid="{00000000-0005-0000-0000-0000F40A0000}"/>
    <cellStyle name="Style 45 9 6" xfId="22946" xr:uid="{00000000-0005-0000-0000-0000F40A0000}"/>
    <cellStyle name="Style 45 9 6 2" xfId="41315" xr:uid="{00000000-0005-0000-0000-0000F40A0000}"/>
    <cellStyle name="Style 45 9 7" xfId="17504" xr:uid="{00000000-0005-0000-0000-0000F40A0000}"/>
    <cellStyle name="Style 45 9 8" xfId="35948" xr:uid="{00000000-0005-0000-0000-0000F40A0000}"/>
    <cellStyle name="Style 45_Summary" xfId="2370" xr:uid="{00000000-0005-0000-0000-0000F50A0000}"/>
    <cellStyle name="Style 46" xfId="842" xr:uid="{00000000-0005-0000-0000-0000F60A0000}"/>
    <cellStyle name="Style 46 2" xfId="1078" xr:uid="{00000000-0005-0000-0000-0000F70A0000}"/>
    <cellStyle name="Style 46 2 2" xfId="2785" xr:uid="{00000000-0005-0000-0000-0000F80A0000}"/>
    <cellStyle name="Style 46 3" xfId="2238" xr:uid="{00000000-0005-0000-0000-0000F90A0000}"/>
    <cellStyle name="Style 46 4" xfId="2682" xr:uid="{00000000-0005-0000-0000-0000FA0A0000}"/>
    <cellStyle name="Style 46_Summary" xfId="2371" xr:uid="{00000000-0005-0000-0000-0000FB0A0000}"/>
    <cellStyle name="Style 47" xfId="843" xr:uid="{00000000-0005-0000-0000-0000FC0A0000}"/>
    <cellStyle name="Style 47 2" xfId="2239" xr:uid="{00000000-0005-0000-0000-0000FD0A0000}"/>
    <cellStyle name="Style 47 3" xfId="2683" xr:uid="{00000000-0005-0000-0000-0000FE0A0000}"/>
    <cellStyle name="Style 48" xfId="844" xr:uid="{00000000-0005-0000-0000-0000FF0A0000}"/>
    <cellStyle name="Style 48 10" xfId="19564" xr:uid="{00000000-0005-0000-0000-0000FF0A0000}"/>
    <cellStyle name="Style 48 10 2" xfId="37970" xr:uid="{00000000-0005-0000-0000-0000FF0A0000}"/>
    <cellStyle name="Style 48 11" xfId="8191" xr:uid="{00000000-0005-0000-0000-0000FF0A0000}"/>
    <cellStyle name="Style 48 12" xfId="7401" xr:uid="{00000000-0005-0000-0000-0000FF0A0000}"/>
    <cellStyle name="Style 48 2" xfId="1186" xr:uid="{00000000-0005-0000-0000-0000000B0000}"/>
    <cellStyle name="Style 48 2 2" xfId="4285" xr:uid="{00000000-0005-0000-0000-0000000B0000}"/>
    <cellStyle name="Style 48 2 2 2" xfId="15030" xr:uid="{00000000-0005-0000-0000-0000000B0000}"/>
    <cellStyle name="Style 48 2 2 2 2" xfId="33434" xr:uid="{00000000-0005-0000-0000-0000000B0000}"/>
    <cellStyle name="Style 48 2 2 2 3" xfId="51797" xr:uid="{00000000-0005-0000-0000-0000000B0000}"/>
    <cellStyle name="Style 48 2 2 3" xfId="24163" xr:uid="{00000000-0005-0000-0000-0000000B0000}"/>
    <cellStyle name="Style 48 2 2 3 2" xfId="42532" xr:uid="{00000000-0005-0000-0000-0000000B0000}"/>
    <cellStyle name="Style 48 2 2 4" xfId="20483" xr:uid="{00000000-0005-0000-0000-0000000B0000}"/>
    <cellStyle name="Style 48 2 2 5" xfId="38881" xr:uid="{00000000-0005-0000-0000-0000000B0000}"/>
    <cellStyle name="Style 48 2 3" xfId="18175" xr:uid="{00000000-0005-0000-0000-0000000B0000}"/>
    <cellStyle name="Style 48 2 3 2" xfId="36581" xr:uid="{00000000-0005-0000-0000-0000000B0000}"/>
    <cellStyle name="Style 48 2 4" xfId="8963" xr:uid="{00000000-0005-0000-0000-0000000B0000}"/>
    <cellStyle name="Style 48 2 5" xfId="10888" xr:uid="{00000000-0005-0000-0000-0000000B0000}"/>
    <cellStyle name="Style 48 3" xfId="1834" xr:uid="{00000000-0005-0000-0000-0000010B0000}"/>
    <cellStyle name="Style 48 3 2" xfId="4760" xr:uid="{00000000-0005-0000-0000-0000010B0000}"/>
    <cellStyle name="Style 48 3 2 2" xfId="15486" xr:uid="{00000000-0005-0000-0000-0000010B0000}"/>
    <cellStyle name="Style 48 3 2 2 2" xfId="33879" xr:uid="{00000000-0005-0000-0000-0000010B0000}"/>
    <cellStyle name="Style 48 3 2 2 3" xfId="52242" xr:uid="{00000000-0005-0000-0000-0000010B0000}"/>
    <cellStyle name="Style 48 3 2 3" xfId="24610" xr:uid="{00000000-0005-0000-0000-0000010B0000}"/>
    <cellStyle name="Style 48 3 2 3 2" xfId="42979" xr:uid="{00000000-0005-0000-0000-0000010B0000}"/>
    <cellStyle name="Style 48 3 2 4" xfId="20937" xr:uid="{00000000-0005-0000-0000-0000010B0000}"/>
    <cellStyle name="Style 48 3 2 5" xfId="39326" xr:uid="{00000000-0005-0000-0000-0000010B0000}"/>
    <cellStyle name="Style 48 3 3" xfId="17881" xr:uid="{00000000-0005-0000-0000-0000010B0000}"/>
    <cellStyle name="Style 48 3 3 2" xfId="36291" xr:uid="{00000000-0005-0000-0000-0000010B0000}"/>
    <cellStyle name="Style 48 3 4" xfId="11683" xr:uid="{00000000-0005-0000-0000-0000010B0000}"/>
    <cellStyle name="Style 48 3 5" xfId="7875" xr:uid="{00000000-0005-0000-0000-0000010B0000}"/>
    <cellStyle name="Style 48 4" xfId="2240" xr:uid="{00000000-0005-0000-0000-0000020B0000}"/>
    <cellStyle name="Style 48 4 2" xfId="4944" xr:uid="{00000000-0005-0000-0000-0000020B0000}"/>
    <cellStyle name="Style 48 4 2 2" xfId="15663" xr:uid="{00000000-0005-0000-0000-0000020B0000}"/>
    <cellStyle name="Style 48 4 2 2 2" xfId="34052" xr:uid="{00000000-0005-0000-0000-0000020B0000}"/>
    <cellStyle name="Style 48 4 2 2 3" xfId="52415" xr:uid="{00000000-0005-0000-0000-0000020B0000}"/>
    <cellStyle name="Style 48 4 2 3" xfId="24785" xr:uid="{00000000-0005-0000-0000-0000020B0000}"/>
    <cellStyle name="Style 48 4 2 3 2" xfId="43154" xr:uid="{00000000-0005-0000-0000-0000020B0000}"/>
    <cellStyle name="Style 48 4 2 4" xfId="21112" xr:uid="{00000000-0005-0000-0000-0000020B0000}"/>
    <cellStyle name="Style 48 4 2 5" xfId="39499" xr:uid="{00000000-0005-0000-0000-0000020B0000}"/>
    <cellStyle name="Style 48 4 3" xfId="18002" xr:uid="{00000000-0005-0000-0000-0000020B0000}"/>
    <cellStyle name="Style 48 4 3 2" xfId="36410" xr:uid="{00000000-0005-0000-0000-0000020B0000}"/>
    <cellStyle name="Style 48 4 4" xfId="7089" xr:uid="{00000000-0005-0000-0000-0000020B0000}"/>
    <cellStyle name="Style 48 4 5" xfId="11348" xr:uid="{00000000-0005-0000-0000-0000020B0000}"/>
    <cellStyle name="Style 48 5" xfId="2684" xr:uid="{00000000-0005-0000-0000-0000030B0000}"/>
    <cellStyle name="Style 48 5 2" xfId="5107" xr:uid="{00000000-0005-0000-0000-0000030B0000}"/>
    <cellStyle name="Style 48 5 2 2" xfId="15816" xr:uid="{00000000-0005-0000-0000-0000030B0000}"/>
    <cellStyle name="Style 48 5 2 2 2" xfId="34201" xr:uid="{00000000-0005-0000-0000-0000030B0000}"/>
    <cellStyle name="Style 48 5 2 2 3" xfId="52564" xr:uid="{00000000-0005-0000-0000-0000030B0000}"/>
    <cellStyle name="Style 48 5 2 3" xfId="24938" xr:uid="{00000000-0005-0000-0000-0000030B0000}"/>
    <cellStyle name="Style 48 5 2 3 2" xfId="43307" xr:uid="{00000000-0005-0000-0000-0000030B0000}"/>
    <cellStyle name="Style 48 5 2 4" xfId="21263" xr:uid="{00000000-0005-0000-0000-0000030B0000}"/>
    <cellStyle name="Style 48 5 2 5" xfId="39648" xr:uid="{00000000-0005-0000-0000-0000030B0000}"/>
    <cellStyle name="Style 48 5 3" xfId="19090" xr:uid="{00000000-0005-0000-0000-0000030B0000}"/>
    <cellStyle name="Style 48 5 3 2" xfId="37498" xr:uid="{00000000-0005-0000-0000-0000030B0000}"/>
    <cellStyle name="Style 48 5 4" xfId="8808" xr:uid="{00000000-0005-0000-0000-0000030B0000}"/>
    <cellStyle name="Style 48 5 5" xfId="35895" xr:uid="{00000000-0005-0000-0000-0000030B0000}"/>
    <cellStyle name="Style 48 6" xfId="2924" xr:uid="{00000000-0005-0000-0000-0000040B0000}"/>
    <cellStyle name="Style 48 6 2" xfId="5194" xr:uid="{00000000-0005-0000-0000-0000040B0000}"/>
    <cellStyle name="Style 48 6 2 2" xfId="15886" xr:uid="{00000000-0005-0000-0000-0000040B0000}"/>
    <cellStyle name="Style 48 6 2 2 2" xfId="34260" xr:uid="{00000000-0005-0000-0000-0000040B0000}"/>
    <cellStyle name="Style 48 6 2 2 3" xfId="52623" xr:uid="{00000000-0005-0000-0000-0000040B0000}"/>
    <cellStyle name="Style 48 6 2 3" xfId="25007" xr:uid="{00000000-0005-0000-0000-0000040B0000}"/>
    <cellStyle name="Style 48 6 2 3 2" xfId="43376" xr:uid="{00000000-0005-0000-0000-0000040B0000}"/>
    <cellStyle name="Style 48 6 2 4" xfId="21328" xr:uid="{00000000-0005-0000-0000-0000040B0000}"/>
    <cellStyle name="Style 48 6 2 5" xfId="39707" xr:uid="{00000000-0005-0000-0000-0000040B0000}"/>
    <cellStyle name="Style 48 6 3" xfId="22945" xr:uid="{00000000-0005-0000-0000-0000040B0000}"/>
    <cellStyle name="Style 48 6 3 2" xfId="41314" xr:uid="{00000000-0005-0000-0000-0000040B0000}"/>
    <cellStyle name="Style 48 6 4" xfId="11675" xr:uid="{00000000-0005-0000-0000-0000040B0000}"/>
    <cellStyle name="Style 48 6 5" xfId="35947" xr:uid="{00000000-0005-0000-0000-0000040B0000}"/>
    <cellStyle name="Style 48 7" xfId="3099" xr:uid="{00000000-0005-0000-0000-0000050B0000}"/>
    <cellStyle name="Style 48 7 2" xfId="5351" xr:uid="{00000000-0005-0000-0000-0000050B0000}"/>
    <cellStyle name="Style 48 7 2 2" xfId="16043" xr:uid="{00000000-0005-0000-0000-0000050B0000}"/>
    <cellStyle name="Style 48 7 2 2 2" xfId="34417" xr:uid="{00000000-0005-0000-0000-0000050B0000}"/>
    <cellStyle name="Style 48 7 2 2 3" xfId="52780" xr:uid="{00000000-0005-0000-0000-0000050B0000}"/>
    <cellStyle name="Style 48 7 2 3" xfId="25164" xr:uid="{00000000-0005-0000-0000-0000050B0000}"/>
    <cellStyle name="Style 48 7 2 3 2" xfId="43533" xr:uid="{00000000-0005-0000-0000-0000050B0000}"/>
    <cellStyle name="Style 48 7 2 4" xfId="21485" xr:uid="{00000000-0005-0000-0000-0000050B0000}"/>
    <cellStyle name="Style 48 7 2 5" xfId="39864" xr:uid="{00000000-0005-0000-0000-0000050B0000}"/>
    <cellStyle name="Style 48 7 3" xfId="23101" xr:uid="{00000000-0005-0000-0000-0000050B0000}"/>
    <cellStyle name="Style 48 7 3 2" xfId="41470" xr:uid="{00000000-0005-0000-0000-0000050B0000}"/>
    <cellStyle name="Style 48 7 4" xfId="17661" xr:uid="{00000000-0005-0000-0000-0000050B0000}"/>
    <cellStyle name="Style 48 7 5" xfId="36103" xr:uid="{00000000-0005-0000-0000-0000050B0000}"/>
    <cellStyle name="Style 48 8" xfId="3201" xr:uid="{00000000-0005-0000-0000-0000060B0000}"/>
    <cellStyle name="Style 48 8 2" xfId="5407" xr:uid="{00000000-0005-0000-0000-0000060B0000}"/>
    <cellStyle name="Style 48 8 2 2" xfId="16098" xr:uid="{00000000-0005-0000-0000-0000060B0000}"/>
    <cellStyle name="Style 48 8 2 2 2" xfId="34470" xr:uid="{00000000-0005-0000-0000-0000060B0000}"/>
    <cellStyle name="Style 48 8 2 2 3" xfId="52833" xr:uid="{00000000-0005-0000-0000-0000060B0000}"/>
    <cellStyle name="Style 48 8 2 3" xfId="25217" xr:uid="{00000000-0005-0000-0000-0000060B0000}"/>
    <cellStyle name="Style 48 8 2 3 2" xfId="43586" xr:uid="{00000000-0005-0000-0000-0000060B0000}"/>
    <cellStyle name="Style 48 8 2 4" xfId="21538" xr:uid="{00000000-0005-0000-0000-0000060B0000}"/>
    <cellStyle name="Style 48 8 2 5" xfId="39917" xr:uid="{00000000-0005-0000-0000-0000060B0000}"/>
    <cellStyle name="Style 48 8 3" xfId="23146" xr:uid="{00000000-0005-0000-0000-0000060B0000}"/>
    <cellStyle name="Style 48 8 3 2" xfId="41515" xr:uid="{00000000-0005-0000-0000-0000060B0000}"/>
    <cellStyle name="Style 48 8 4" xfId="17727" xr:uid="{00000000-0005-0000-0000-0000060B0000}"/>
    <cellStyle name="Style 48 8 5" xfId="36148" xr:uid="{00000000-0005-0000-0000-0000060B0000}"/>
    <cellStyle name="Style 48 9" xfId="4140" xr:uid="{00000000-0005-0000-0000-0000FF0A0000}"/>
    <cellStyle name="Style 48 9 2" xfId="14894" xr:uid="{00000000-0005-0000-0000-0000FF0A0000}"/>
    <cellStyle name="Style 48 9 2 2" xfId="33300" xr:uid="{00000000-0005-0000-0000-0000FF0A0000}"/>
    <cellStyle name="Style 48 9 2 3" xfId="51663" xr:uid="{00000000-0005-0000-0000-0000FF0A0000}"/>
    <cellStyle name="Style 48 9 3" xfId="24025" xr:uid="{00000000-0005-0000-0000-0000FF0A0000}"/>
    <cellStyle name="Style 48 9 3 2" xfId="42394" xr:uid="{00000000-0005-0000-0000-0000FF0A0000}"/>
    <cellStyle name="Style 48 9 4" xfId="20348" xr:uid="{00000000-0005-0000-0000-0000FF0A0000}"/>
    <cellStyle name="Style 48 9 5" xfId="38747" xr:uid="{00000000-0005-0000-0000-0000FF0A0000}"/>
    <cellStyle name="Style 49" xfId="845" xr:uid="{00000000-0005-0000-0000-0000070B0000}"/>
    <cellStyle name="Style 49 2" xfId="1079" xr:uid="{00000000-0005-0000-0000-0000080B0000}"/>
    <cellStyle name="Style 49 2 10" xfId="11605" xr:uid="{00000000-0005-0000-0000-0000080B0000}"/>
    <cellStyle name="Style 49 2 10 2" xfId="30168" xr:uid="{00000000-0005-0000-0000-0000080B0000}"/>
    <cellStyle name="Style 49 2 10 3" xfId="48531" xr:uid="{00000000-0005-0000-0000-0000080B0000}"/>
    <cellStyle name="Style 49 2 2" xfId="1342" xr:uid="{00000000-0005-0000-0000-0000090B0000}"/>
    <cellStyle name="Style 49 2 2 2" xfId="3389" xr:uid="{00000000-0005-0000-0000-0000090B0000}"/>
    <cellStyle name="Style 49 2 2 2 2" xfId="5564" xr:uid="{00000000-0005-0000-0000-0000090B0000}"/>
    <cellStyle name="Style 49 2 2 2 2 2" xfId="11928" xr:uid="{00000000-0005-0000-0000-0000090B0000}"/>
    <cellStyle name="Style 49 2 2 2 2 2 2" xfId="30375" xr:uid="{00000000-0005-0000-0000-0000090B0000}"/>
    <cellStyle name="Style 49 2 2 2 2 2 3" xfId="48738" xr:uid="{00000000-0005-0000-0000-0000090B0000}"/>
    <cellStyle name="Style 49 2 2 2 2 3" xfId="16254" xr:uid="{00000000-0005-0000-0000-0000090B0000}"/>
    <cellStyle name="Style 49 2 2 2 2 3 2" xfId="34626" xr:uid="{00000000-0005-0000-0000-0000090B0000}"/>
    <cellStyle name="Style 49 2 2 2 2 3 3" xfId="52989" xr:uid="{00000000-0005-0000-0000-0000090B0000}"/>
    <cellStyle name="Style 49 2 2 2 2 4" xfId="25373" xr:uid="{00000000-0005-0000-0000-0000090B0000}"/>
    <cellStyle name="Style 49 2 2 2 2 4 2" xfId="43742" xr:uid="{00000000-0005-0000-0000-0000090B0000}"/>
    <cellStyle name="Style 49 2 2 2 2 5" xfId="21694" xr:uid="{00000000-0005-0000-0000-0000090B0000}"/>
    <cellStyle name="Style 49 2 2 2 2 6" xfId="40073" xr:uid="{00000000-0005-0000-0000-0000090B0000}"/>
    <cellStyle name="Style 49 2 2 2 3" xfId="6388" xr:uid="{00000000-0005-0000-0000-0000090B0000}"/>
    <cellStyle name="Style 49 2 2 2 3 2" xfId="12679" xr:uid="{00000000-0005-0000-0000-0000090B0000}"/>
    <cellStyle name="Style 49 2 2 2 3 2 2" xfId="31105" xr:uid="{00000000-0005-0000-0000-0000090B0000}"/>
    <cellStyle name="Style 49 2 2 2 3 2 3" xfId="49468" xr:uid="{00000000-0005-0000-0000-0000090B0000}"/>
    <cellStyle name="Style 49 2 2 2 3 3" xfId="16990" xr:uid="{00000000-0005-0000-0000-0000090B0000}"/>
    <cellStyle name="Style 49 2 2 2 3 3 2" xfId="35338" xr:uid="{00000000-0005-0000-0000-0000090B0000}"/>
    <cellStyle name="Style 49 2 2 2 3 3 3" xfId="53701" xr:uid="{00000000-0005-0000-0000-0000090B0000}"/>
    <cellStyle name="Style 49 2 2 2 3 4" xfId="26123" xr:uid="{00000000-0005-0000-0000-0000090B0000}"/>
    <cellStyle name="Style 49 2 2 2 3 4 2" xfId="44492" xr:uid="{00000000-0005-0000-0000-0000090B0000}"/>
    <cellStyle name="Style 49 2 2 2 3 5" xfId="22416" xr:uid="{00000000-0005-0000-0000-0000090B0000}"/>
    <cellStyle name="Style 49 2 2 2 3 6" xfId="40785" xr:uid="{00000000-0005-0000-0000-0000090B0000}"/>
    <cellStyle name="Style 49 2 2 2 4" xfId="10102" xr:uid="{00000000-0005-0000-0000-0000090B0000}"/>
    <cellStyle name="Style 49 2 2 2 4 2" xfId="14159" xr:uid="{00000000-0005-0000-0000-0000090B0000}"/>
    <cellStyle name="Style 49 2 2 2 4 2 2" xfId="32575" xr:uid="{00000000-0005-0000-0000-0000090B0000}"/>
    <cellStyle name="Style 49 2 2 2 4 2 3" xfId="50938" xr:uid="{00000000-0005-0000-0000-0000090B0000}"/>
    <cellStyle name="Style 49 2 2 2 4 3" xfId="28813" xr:uid="{00000000-0005-0000-0000-0000090B0000}"/>
    <cellStyle name="Style 49 2 2 2 4 3 2" xfId="47176" xr:uid="{00000000-0005-0000-0000-0000090B0000}"/>
    <cellStyle name="Style 49 2 2 2 4 4" xfId="19616" xr:uid="{00000000-0005-0000-0000-0000090B0000}"/>
    <cellStyle name="Style 49 2 2 2 4 5" xfId="38022" xr:uid="{00000000-0005-0000-0000-0000090B0000}"/>
    <cellStyle name="Style 49 2 2 2 5" xfId="9289" xr:uid="{00000000-0005-0000-0000-0000090B0000}"/>
    <cellStyle name="Style 49 2 2 2 5 2" xfId="28008" xr:uid="{00000000-0005-0000-0000-0000090B0000}"/>
    <cellStyle name="Style 49 2 2 2 5 3" xfId="46371" xr:uid="{00000000-0005-0000-0000-0000090B0000}"/>
    <cellStyle name="Style 49 2 2 2 6" xfId="13345" xr:uid="{00000000-0005-0000-0000-0000090B0000}"/>
    <cellStyle name="Style 49 2 2 2 6 2" xfId="31766" xr:uid="{00000000-0005-0000-0000-0000090B0000}"/>
    <cellStyle name="Style 49 2 2 2 6 3" xfId="50129" xr:uid="{00000000-0005-0000-0000-0000090B0000}"/>
    <cellStyle name="Style 49 2 2 2 7" xfId="23297" xr:uid="{00000000-0005-0000-0000-0000090B0000}"/>
    <cellStyle name="Style 49 2 2 2 7 2" xfId="41666" xr:uid="{00000000-0005-0000-0000-0000090B0000}"/>
    <cellStyle name="Style 49 2 2 2 8" xfId="18363" xr:uid="{00000000-0005-0000-0000-0000090B0000}"/>
    <cellStyle name="Style 49 2 2 2 9" xfId="36769" xr:uid="{00000000-0005-0000-0000-0000090B0000}"/>
    <cellStyle name="Style 49 2 2 3" xfId="4378" xr:uid="{00000000-0005-0000-0000-0000090B0000}"/>
    <cellStyle name="Style 49 2 2 3 2" xfId="10978" xr:uid="{00000000-0005-0000-0000-0000090B0000}"/>
    <cellStyle name="Style 49 2 2 3 2 2" xfId="29600" xr:uid="{00000000-0005-0000-0000-0000090B0000}"/>
    <cellStyle name="Style 49 2 2 3 2 3" xfId="47963" xr:uid="{00000000-0005-0000-0000-0000090B0000}"/>
    <cellStyle name="Style 49 2 2 3 3" xfId="15114" xr:uid="{00000000-0005-0000-0000-0000090B0000}"/>
    <cellStyle name="Style 49 2 2 3 3 2" xfId="33511" xr:uid="{00000000-0005-0000-0000-0000090B0000}"/>
    <cellStyle name="Style 49 2 2 3 3 3" xfId="51874" xr:uid="{00000000-0005-0000-0000-0000090B0000}"/>
    <cellStyle name="Style 49 2 2 3 4" xfId="24242" xr:uid="{00000000-0005-0000-0000-0000090B0000}"/>
    <cellStyle name="Style 49 2 2 3 4 2" xfId="42611" xr:uid="{00000000-0005-0000-0000-0000090B0000}"/>
    <cellStyle name="Style 49 2 2 3 5" xfId="20565" xr:uid="{00000000-0005-0000-0000-0000090B0000}"/>
    <cellStyle name="Style 49 2 2 3 6" xfId="38958" xr:uid="{00000000-0005-0000-0000-0000090B0000}"/>
    <cellStyle name="Style 49 2 2 4" xfId="4898" xr:uid="{00000000-0005-0000-0000-0000090B0000}"/>
    <cellStyle name="Style 49 2 2 4 2" xfId="11454" xr:uid="{00000000-0005-0000-0000-0000090B0000}"/>
    <cellStyle name="Style 49 2 2 4 2 2" xfId="30042" xr:uid="{00000000-0005-0000-0000-0000090B0000}"/>
    <cellStyle name="Style 49 2 2 4 2 3" xfId="48405" xr:uid="{00000000-0005-0000-0000-0000090B0000}"/>
    <cellStyle name="Style 49 2 2 4 3" xfId="15624" xr:uid="{00000000-0005-0000-0000-0000090B0000}"/>
    <cellStyle name="Style 49 2 2 4 3 2" xfId="34015" xr:uid="{00000000-0005-0000-0000-0000090B0000}"/>
    <cellStyle name="Style 49 2 2 4 3 3" xfId="52378" xr:uid="{00000000-0005-0000-0000-0000090B0000}"/>
    <cellStyle name="Style 49 2 2 4 4" xfId="24746" xr:uid="{00000000-0005-0000-0000-0000090B0000}"/>
    <cellStyle name="Style 49 2 2 4 4 2" xfId="43115" xr:uid="{00000000-0005-0000-0000-0000090B0000}"/>
    <cellStyle name="Style 49 2 2 4 5" xfId="21073" xr:uid="{00000000-0005-0000-0000-0000090B0000}"/>
    <cellStyle name="Style 49 2 2 4 6" xfId="39462" xr:uid="{00000000-0005-0000-0000-0000090B0000}"/>
    <cellStyle name="Style 49 2 2 5" xfId="9886" xr:uid="{00000000-0005-0000-0000-0000090B0000}"/>
    <cellStyle name="Style 49 2 2 5 2" xfId="13944" xr:uid="{00000000-0005-0000-0000-0000090B0000}"/>
    <cellStyle name="Style 49 2 2 5 2 2" xfId="32362" xr:uid="{00000000-0005-0000-0000-0000090B0000}"/>
    <cellStyle name="Style 49 2 2 5 2 3" xfId="50725" xr:uid="{00000000-0005-0000-0000-0000090B0000}"/>
    <cellStyle name="Style 49 2 2 5 3" xfId="28600" xr:uid="{00000000-0005-0000-0000-0000090B0000}"/>
    <cellStyle name="Style 49 2 2 5 3 2" xfId="46963" xr:uid="{00000000-0005-0000-0000-0000090B0000}"/>
    <cellStyle name="Style 49 2 2 5 4" xfId="19162" xr:uid="{00000000-0005-0000-0000-0000090B0000}"/>
    <cellStyle name="Style 49 2 2 5 5" xfId="37570" xr:uid="{00000000-0005-0000-0000-0000090B0000}"/>
    <cellStyle name="Style 49 2 2 6" xfId="7639" xr:uid="{00000000-0005-0000-0000-0000090B0000}"/>
    <cellStyle name="Style 49 2 2 6 2" xfId="26926" xr:uid="{00000000-0005-0000-0000-0000090B0000}"/>
    <cellStyle name="Style 49 2 2 6 3" xfId="45291" xr:uid="{00000000-0005-0000-0000-0000090B0000}"/>
    <cellStyle name="Style 49 2 2 7" xfId="8539" xr:uid="{00000000-0005-0000-0000-0000090B0000}"/>
    <cellStyle name="Style 49 2 2 7 2" xfId="27524" xr:uid="{00000000-0005-0000-0000-0000090B0000}"/>
    <cellStyle name="Style 49 2 2 7 3" xfId="45888" xr:uid="{00000000-0005-0000-0000-0000090B0000}"/>
    <cellStyle name="Style 49 2 2 8" xfId="8187" xr:uid="{00000000-0005-0000-0000-0000090B0000}"/>
    <cellStyle name="Style 49 2 2 9" xfId="7601" xr:uid="{00000000-0005-0000-0000-0000090B0000}"/>
    <cellStyle name="Style 49 2 3" xfId="1387" xr:uid="{00000000-0005-0000-0000-00000A0B0000}"/>
    <cellStyle name="Style 49 2 3 10" xfId="8608" xr:uid="{00000000-0005-0000-0000-00000A0B0000}"/>
    <cellStyle name="Style 49 2 3 2" xfId="3420" xr:uid="{00000000-0005-0000-0000-00000A0B0000}"/>
    <cellStyle name="Style 49 2 3 2 2" xfId="5595" xr:uid="{00000000-0005-0000-0000-00000A0B0000}"/>
    <cellStyle name="Style 49 2 3 2 2 2" xfId="11959" xr:uid="{00000000-0005-0000-0000-00000A0B0000}"/>
    <cellStyle name="Style 49 2 3 2 2 2 2" xfId="30406" xr:uid="{00000000-0005-0000-0000-00000A0B0000}"/>
    <cellStyle name="Style 49 2 3 2 2 2 3" xfId="48769" xr:uid="{00000000-0005-0000-0000-00000A0B0000}"/>
    <cellStyle name="Style 49 2 3 2 2 3" xfId="16285" xr:uid="{00000000-0005-0000-0000-00000A0B0000}"/>
    <cellStyle name="Style 49 2 3 2 2 3 2" xfId="34657" xr:uid="{00000000-0005-0000-0000-00000A0B0000}"/>
    <cellStyle name="Style 49 2 3 2 2 3 3" xfId="53020" xr:uid="{00000000-0005-0000-0000-00000A0B0000}"/>
    <cellStyle name="Style 49 2 3 2 2 4" xfId="25404" xr:uid="{00000000-0005-0000-0000-00000A0B0000}"/>
    <cellStyle name="Style 49 2 3 2 2 4 2" xfId="43773" xr:uid="{00000000-0005-0000-0000-00000A0B0000}"/>
    <cellStyle name="Style 49 2 3 2 2 5" xfId="21725" xr:uid="{00000000-0005-0000-0000-00000A0B0000}"/>
    <cellStyle name="Style 49 2 3 2 2 6" xfId="40104" xr:uid="{00000000-0005-0000-0000-00000A0B0000}"/>
    <cellStyle name="Style 49 2 3 2 3" xfId="6419" xr:uid="{00000000-0005-0000-0000-00000A0B0000}"/>
    <cellStyle name="Style 49 2 3 2 3 2" xfId="12710" xr:uid="{00000000-0005-0000-0000-00000A0B0000}"/>
    <cellStyle name="Style 49 2 3 2 3 2 2" xfId="31136" xr:uid="{00000000-0005-0000-0000-00000A0B0000}"/>
    <cellStyle name="Style 49 2 3 2 3 2 3" xfId="49499" xr:uid="{00000000-0005-0000-0000-00000A0B0000}"/>
    <cellStyle name="Style 49 2 3 2 3 3" xfId="17021" xr:uid="{00000000-0005-0000-0000-00000A0B0000}"/>
    <cellStyle name="Style 49 2 3 2 3 3 2" xfId="35369" xr:uid="{00000000-0005-0000-0000-00000A0B0000}"/>
    <cellStyle name="Style 49 2 3 2 3 3 3" xfId="53732" xr:uid="{00000000-0005-0000-0000-00000A0B0000}"/>
    <cellStyle name="Style 49 2 3 2 3 4" xfId="26154" xr:uid="{00000000-0005-0000-0000-00000A0B0000}"/>
    <cellStyle name="Style 49 2 3 2 3 4 2" xfId="44523" xr:uid="{00000000-0005-0000-0000-00000A0B0000}"/>
    <cellStyle name="Style 49 2 3 2 3 5" xfId="22447" xr:uid="{00000000-0005-0000-0000-00000A0B0000}"/>
    <cellStyle name="Style 49 2 3 2 3 6" xfId="40816" xr:uid="{00000000-0005-0000-0000-00000A0B0000}"/>
    <cellStyle name="Style 49 2 3 2 4" xfId="10133" xr:uid="{00000000-0005-0000-0000-00000A0B0000}"/>
    <cellStyle name="Style 49 2 3 2 4 2" xfId="14190" xr:uid="{00000000-0005-0000-0000-00000A0B0000}"/>
    <cellStyle name="Style 49 2 3 2 4 2 2" xfId="32606" xr:uid="{00000000-0005-0000-0000-00000A0B0000}"/>
    <cellStyle name="Style 49 2 3 2 4 2 3" xfId="50969" xr:uid="{00000000-0005-0000-0000-00000A0B0000}"/>
    <cellStyle name="Style 49 2 3 2 4 3" xfId="28844" xr:uid="{00000000-0005-0000-0000-00000A0B0000}"/>
    <cellStyle name="Style 49 2 3 2 4 3 2" xfId="47207" xr:uid="{00000000-0005-0000-0000-00000A0B0000}"/>
    <cellStyle name="Style 49 2 3 2 4 4" xfId="19647" xr:uid="{00000000-0005-0000-0000-00000A0B0000}"/>
    <cellStyle name="Style 49 2 3 2 4 5" xfId="38053" xr:uid="{00000000-0005-0000-0000-00000A0B0000}"/>
    <cellStyle name="Style 49 2 3 2 5" xfId="9320" xr:uid="{00000000-0005-0000-0000-00000A0B0000}"/>
    <cellStyle name="Style 49 2 3 2 5 2" xfId="28039" xr:uid="{00000000-0005-0000-0000-00000A0B0000}"/>
    <cellStyle name="Style 49 2 3 2 5 3" xfId="46402" xr:uid="{00000000-0005-0000-0000-00000A0B0000}"/>
    <cellStyle name="Style 49 2 3 2 6" xfId="13376" xr:uid="{00000000-0005-0000-0000-00000A0B0000}"/>
    <cellStyle name="Style 49 2 3 2 6 2" xfId="31797" xr:uid="{00000000-0005-0000-0000-00000A0B0000}"/>
    <cellStyle name="Style 49 2 3 2 6 3" xfId="50160" xr:uid="{00000000-0005-0000-0000-00000A0B0000}"/>
    <cellStyle name="Style 49 2 3 2 7" xfId="23328" xr:uid="{00000000-0005-0000-0000-00000A0B0000}"/>
    <cellStyle name="Style 49 2 3 2 7 2" xfId="41697" xr:uid="{00000000-0005-0000-0000-00000A0B0000}"/>
    <cellStyle name="Style 49 2 3 2 8" xfId="18399" xr:uid="{00000000-0005-0000-0000-00000A0B0000}"/>
    <cellStyle name="Style 49 2 3 2 9" xfId="36805" xr:uid="{00000000-0005-0000-0000-00000A0B0000}"/>
    <cellStyle name="Style 49 2 3 3" xfId="4413" xr:uid="{00000000-0005-0000-0000-00000A0B0000}"/>
    <cellStyle name="Style 49 2 3 3 2" xfId="11012" xr:uid="{00000000-0005-0000-0000-00000A0B0000}"/>
    <cellStyle name="Style 49 2 3 3 2 2" xfId="29632" xr:uid="{00000000-0005-0000-0000-00000A0B0000}"/>
    <cellStyle name="Style 49 2 3 3 2 3" xfId="47995" xr:uid="{00000000-0005-0000-0000-00000A0B0000}"/>
    <cellStyle name="Style 49 2 3 3 3" xfId="15147" xr:uid="{00000000-0005-0000-0000-00000A0B0000}"/>
    <cellStyle name="Style 49 2 3 3 3 2" xfId="33544" xr:uid="{00000000-0005-0000-0000-00000A0B0000}"/>
    <cellStyle name="Style 49 2 3 3 3 3" xfId="51907" xr:uid="{00000000-0005-0000-0000-00000A0B0000}"/>
    <cellStyle name="Style 49 2 3 3 4" xfId="24275" xr:uid="{00000000-0005-0000-0000-00000A0B0000}"/>
    <cellStyle name="Style 49 2 3 3 4 2" xfId="42644" xr:uid="{00000000-0005-0000-0000-00000A0B0000}"/>
    <cellStyle name="Style 49 2 3 3 5" xfId="20598" xr:uid="{00000000-0005-0000-0000-00000A0B0000}"/>
    <cellStyle name="Style 49 2 3 3 6" xfId="38991" xr:uid="{00000000-0005-0000-0000-00000A0B0000}"/>
    <cellStyle name="Style 49 2 3 4" xfId="4348" xr:uid="{00000000-0005-0000-0000-00000A0B0000}"/>
    <cellStyle name="Style 49 2 3 4 2" xfId="10952" xr:uid="{00000000-0005-0000-0000-00000A0B0000}"/>
    <cellStyle name="Style 49 2 3 4 2 2" xfId="29579" xr:uid="{00000000-0005-0000-0000-00000A0B0000}"/>
    <cellStyle name="Style 49 2 3 4 2 3" xfId="47942" xr:uid="{00000000-0005-0000-0000-00000A0B0000}"/>
    <cellStyle name="Style 49 2 3 4 3" xfId="15089" xr:uid="{00000000-0005-0000-0000-00000A0B0000}"/>
    <cellStyle name="Style 49 2 3 4 3 2" xfId="33489" xr:uid="{00000000-0005-0000-0000-00000A0B0000}"/>
    <cellStyle name="Style 49 2 3 4 3 3" xfId="51852" xr:uid="{00000000-0005-0000-0000-00000A0B0000}"/>
    <cellStyle name="Style 49 2 3 4 4" xfId="24218" xr:uid="{00000000-0005-0000-0000-00000A0B0000}"/>
    <cellStyle name="Style 49 2 3 4 4 2" xfId="42587" xr:uid="{00000000-0005-0000-0000-00000A0B0000}"/>
    <cellStyle name="Style 49 2 3 4 5" xfId="20541" xr:uid="{00000000-0005-0000-0000-00000A0B0000}"/>
    <cellStyle name="Style 49 2 3 4 6" xfId="38936" xr:uid="{00000000-0005-0000-0000-00000A0B0000}"/>
    <cellStyle name="Style 49 2 3 5" xfId="9622" xr:uid="{00000000-0005-0000-0000-00000A0B0000}"/>
    <cellStyle name="Style 49 2 3 5 2" xfId="13680" xr:uid="{00000000-0005-0000-0000-00000A0B0000}"/>
    <cellStyle name="Style 49 2 3 5 2 2" xfId="32101" xr:uid="{00000000-0005-0000-0000-00000A0B0000}"/>
    <cellStyle name="Style 49 2 3 5 2 3" xfId="50464" xr:uid="{00000000-0005-0000-0000-00000A0B0000}"/>
    <cellStyle name="Style 49 2 3 5 3" xfId="28339" xr:uid="{00000000-0005-0000-0000-00000A0B0000}"/>
    <cellStyle name="Style 49 2 3 5 3 2" xfId="46702" xr:uid="{00000000-0005-0000-0000-00000A0B0000}"/>
    <cellStyle name="Style 49 2 3 5 4" xfId="18727" xr:uid="{00000000-0005-0000-0000-00000A0B0000}"/>
    <cellStyle name="Style 49 2 3 5 5" xfId="37137" xr:uid="{00000000-0005-0000-0000-00000A0B0000}"/>
    <cellStyle name="Style 49 2 3 6" xfId="7679" xr:uid="{00000000-0005-0000-0000-00000A0B0000}"/>
    <cellStyle name="Style 49 2 3 6 2" xfId="26961" xr:uid="{00000000-0005-0000-0000-00000A0B0000}"/>
    <cellStyle name="Style 49 2 3 6 3" xfId="45326" xr:uid="{00000000-0005-0000-0000-00000A0B0000}"/>
    <cellStyle name="Style 49 2 3 7" xfId="8129" xr:uid="{00000000-0005-0000-0000-00000A0B0000}"/>
    <cellStyle name="Style 49 2 3 7 2" xfId="27334" xr:uid="{00000000-0005-0000-0000-00000A0B0000}"/>
    <cellStyle name="Style 49 2 3 7 3" xfId="45699" xr:uid="{00000000-0005-0000-0000-00000A0B0000}"/>
    <cellStyle name="Style 49 2 3 8" xfId="19153" xr:uid="{00000000-0005-0000-0000-00000A0B0000}"/>
    <cellStyle name="Style 49 2 3 8 2" xfId="37561" xr:uid="{00000000-0005-0000-0000-00000A0B0000}"/>
    <cellStyle name="Style 49 2 3 9" xfId="11629" xr:uid="{00000000-0005-0000-0000-00000A0B0000}"/>
    <cellStyle name="Style 49 2 4" xfId="1922" xr:uid="{00000000-0005-0000-0000-00000B0B0000}"/>
    <cellStyle name="Style 49 2 4 10" xfId="15196" xr:uid="{00000000-0005-0000-0000-00000B0B0000}"/>
    <cellStyle name="Style 49 2 4 2" xfId="3740" xr:uid="{00000000-0005-0000-0000-00000B0B0000}"/>
    <cellStyle name="Style 49 2 4 2 2" xfId="5913" xr:uid="{00000000-0005-0000-0000-00000B0B0000}"/>
    <cellStyle name="Style 49 2 4 2 2 2" xfId="12277" xr:uid="{00000000-0005-0000-0000-00000B0B0000}"/>
    <cellStyle name="Style 49 2 4 2 2 2 2" xfId="30724" xr:uid="{00000000-0005-0000-0000-00000B0B0000}"/>
    <cellStyle name="Style 49 2 4 2 2 2 3" xfId="49087" xr:uid="{00000000-0005-0000-0000-00000B0B0000}"/>
    <cellStyle name="Style 49 2 4 2 2 3" xfId="16603" xr:uid="{00000000-0005-0000-0000-00000B0B0000}"/>
    <cellStyle name="Style 49 2 4 2 2 3 2" xfId="34975" xr:uid="{00000000-0005-0000-0000-00000B0B0000}"/>
    <cellStyle name="Style 49 2 4 2 2 3 3" xfId="53338" xr:uid="{00000000-0005-0000-0000-00000B0B0000}"/>
    <cellStyle name="Style 49 2 4 2 2 4" xfId="25722" xr:uid="{00000000-0005-0000-0000-00000B0B0000}"/>
    <cellStyle name="Style 49 2 4 2 2 4 2" xfId="44091" xr:uid="{00000000-0005-0000-0000-00000B0B0000}"/>
    <cellStyle name="Style 49 2 4 2 2 5" xfId="22043" xr:uid="{00000000-0005-0000-0000-00000B0B0000}"/>
    <cellStyle name="Style 49 2 4 2 2 6" xfId="40422" xr:uid="{00000000-0005-0000-0000-00000B0B0000}"/>
    <cellStyle name="Style 49 2 4 2 3" xfId="6739" xr:uid="{00000000-0005-0000-0000-00000B0B0000}"/>
    <cellStyle name="Style 49 2 4 2 3 2" xfId="13030" xr:uid="{00000000-0005-0000-0000-00000B0B0000}"/>
    <cellStyle name="Style 49 2 4 2 3 2 2" xfId="31456" xr:uid="{00000000-0005-0000-0000-00000B0B0000}"/>
    <cellStyle name="Style 49 2 4 2 3 2 3" xfId="49819" xr:uid="{00000000-0005-0000-0000-00000B0B0000}"/>
    <cellStyle name="Style 49 2 4 2 3 3" xfId="17341" xr:uid="{00000000-0005-0000-0000-00000B0B0000}"/>
    <cellStyle name="Style 49 2 4 2 3 3 2" xfId="35689" xr:uid="{00000000-0005-0000-0000-00000B0B0000}"/>
    <cellStyle name="Style 49 2 4 2 3 3 3" xfId="54052" xr:uid="{00000000-0005-0000-0000-00000B0B0000}"/>
    <cellStyle name="Style 49 2 4 2 3 4" xfId="26474" xr:uid="{00000000-0005-0000-0000-00000B0B0000}"/>
    <cellStyle name="Style 49 2 4 2 3 4 2" xfId="44843" xr:uid="{00000000-0005-0000-0000-00000B0B0000}"/>
    <cellStyle name="Style 49 2 4 2 3 5" xfId="22767" xr:uid="{00000000-0005-0000-0000-00000B0B0000}"/>
    <cellStyle name="Style 49 2 4 2 3 6" xfId="41136" xr:uid="{00000000-0005-0000-0000-00000B0B0000}"/>
    <cellStyle name="Style 49 2 4 2 4" xfId="10453" xr:uid="{00000000-0005-0000-0000-00000B0B0000}"/>
    <cellStyle name="Style 49 2 4 2 4 2" xfId="14510" xr:uid="{00000000-0005-0000-0000-00000B0B0000}"/>
    <cellStyle name="Style 49 2 4 2 4 2 2" xfId="32926" xr:uid="{00000000-0005-0000-0000-00000B0B0000}"/>
    <cellStyle name="Style 49 2 4 2 4 2 3" xfId="51289" xr:uid="{00000000-0005-0000-0000-00000B0B0000}"/>
    <cellStyle name="Style 49 2 4 2 4 3" xfId="29164" xr:uid="{00000000-0005-0000-0000-00000B0B0000}"/>
    <cellStyle name="Style 49 2 4 2 4 3 2" xfId="47527" xr:uid="{00000000-0005-0000-0000-00000B0B0000}"/>
    <cellStyle name="Style 49 2 4 2 4 4" xfId="19967" xr:uid="{00000000-0005-0000-0000-00000B0B0000}"/>
    <cellStyle name="Style 49 2 4 2 4 5" xfId="38373" xr:uid="{00000000-0005-0000-0000-00000B0B0000}"/>
    <cellStyle name="Style 49 2 4 2 5" xfId="9669" xr:uid="{00000000-0005-0000-0000-00000B0B0000}"/>
    <cellStyle name="Style 49 2 4 2 5 2" xfId="28385" xr:uid="{00000000-0005-0000-0000-00000B0B0000}"/>
    <cellStyle name="Style 49 2 4 2 5 3" xfId="46748" xr:uid="{00000000-0005-0000-0000-00000B0B0000}"/>
    <cellStyle name="Style 49 2 4 2 6" xfId="13726" xr:uid="{00000000-0005-0000-0000-00000B0B0000}"/>
    <cellStyle name="Style 49 2 4 2 6 2" xfId="32147" xr:uid="{00000000-0005-0000-0000-00000B0B0000}"/>
    <cellStyle name="Style 49 2 4 2 6 3" xfId="50510" xr:uid="{00000000-0005-0000-0000-00000B0B0000}"/>
    <cellStyle name="Style 49 2 4 2 7" xfId="23648" xr:uid="{00000000-0005-0000-0000-00000B0B0000}"/>
    <cellStyle name="Style 49 2 4 2 7 2" xfId="42017" xr:uid="{00000000-0005-0000-0000-00000B0B0000}"/>
    <cellStyle name="Style 49 2 4 2 8" xfId="18794" xr:uid="{00000000-0005-0000-0000-00000B0B0000}"/>
    <cellStyle name="Style 49 2 4 2 9" xfId="37203" xr:uid="{00000000-0005-0000-0000-00000B0B0000}"/>
    <cellStyle name="Style 49 2 4 3" xfId="4833" xr:uid="{00000000-0005-0000-0000-00000B0B0000}"/>
    <cellStyle name="Style 49 2 4 3 2" xfId="11394" xr:uid="{00000000-0005-0000-0000-00000B0B0000}"/>
    <cellStyle name="Style 49 2 4 3 2 2" xfId="29986" xr:uid="{00000000-0005-0000-0000-00000B0B0000}"/>
    <cellStyle name="Style 49 2 4 3 2 3" xfId="48349" xr:uid="{00000000-0005-0000-0000-00000B0B0000}"/>
    <cellStyle name="Style 49 2 4 3 3" xfId="15559" xr:uid="{00000000-0005-0000-0000-00000B0B0000}"/>
    <cellStyle name="Style 49 2 4 3 3 2" xfId="33952" xr:uid="{00000000-0005-0000-0000-00000B0B0000}"/>
    <cellStyle name="Style 49 2 4 3 3 3" xfId="52315" xr:uid="{00000000-0005-0000-0000-00000B0B0000}"/>
    <cellStyle name="Style 49 2 4 3 4" xfId="24683" xr:uid="{00000000-0005-0000-0000-00000B0B0000}"/>
    <cellStyle name="Style 49 2 4 3 4 2" xfId="43052" xr:uid="{00000000-0005-0000-0000-00000B0B0000}"/>
    <cellStyle name="Style 49 2 4 3 5" xfId="21010" xr:uid="{00000000-0005-0000-0000-00000B0B0000}"/>
    <cellStyle name="Style 49 2 4 3 6" xfId="39399" xr:uid="{00000000-0005-0000-0000-00000B0B0000}"/>
    <cellStyle name="Style 49 2 4 4" xfId="69" xr:uid="{00000000-0005-0000-0000-00000B0B0000}"/>
    <cellStyle name="Style 49 2 4 4 2" xfId="9155" xr:uid="{00000000-0005-0000-0000-00000B0B0000}"/>
    <cellStyle name="Style 49 2 4 4 2 2" xfId="27877" xr:uid="{00000000-0005-0000-0000-00000B0B0000}"/>
    <cellStyle name="Style 49 2 4 4 2 3" xfId="46240" xr:uid="{00000000-0005-0000-0000-00000B0B0000}"/>
    <cellStyle name="Style 49 2 4 4 3" xfId="13214" xr:uid="{00000000-0005-0000-0000-00000B0B0000}"/>
    <cellStyle name="Style 49 2 4 4 3 2" xfId="31635" xr:uid="{00000000-0005-0000-0000-00000B0B0000}"/>
    <cellStyle name="Style 49 2 4 4 3 3" xfId="49998" xr:uid="{00000000-0005-0000-0000-00000B0B0000}"/>
    <cellStyle name="Style 49 2 4 4 4" xfId="18961" xr:uid="{00000000-0005-0000-0000-00000B0B0000}"/>
    <cellStyle name="Style 49 2 4 4 4 2" xfId="37370" xr:uid="{00000000-0005-0000-0000-00000B0B0000}"/>
    <cellStyle name="Style 49 2 4 4 5" xfId="18147" xr:uid="{00000000-0005-0000-0000-00000B0B0000}"/>
    <cellStyle name="Style 49 2 4 4 6" xfId="36554" xr:uid="{00000000-0005-0000-0000-00000B0B0000}"/>
    <cellStyle name="Style 49 2 4 5" xfId="9031" xr:uid="{00000000-0005-0000-0000-00000B0B0000}"/>
    <cellStyle name="Style 49 2 4 5 2" xfId="6918" xr:uid="{00000000-0005-0000-0000-00000B0B0000}"/>
    <cellStyle name="Style 49 2 4 5 2 2" xfId="26653" xr:uid="{00000000-0005-0000-0000-00000B0B0000}"/>
    <cellStyle name="Style 49 2 4 5 2 3" xfId="45022" xr:uid="{00000000-0005-0000-0000-00000B0B0000}"/>
    <cellStyle name="Style 49 2 4 5 3" xfId="27757" xr:uid="{00000000-0005-0000-0000-00000B0B0000}"/>
    <cellStyle name="Style 49 2 4 5 3 2" xfId="46120" xr:uid="{00000000-0005-0000-0000-00000B0B0000}"/>
    <cellStyle name="Style 49 2 4 5 4" xfId="17926" xr:uid="{00000000-0005-0000-0000-00000B0B0000}"/>
    <cellStyle name="Style 49 2 4 5 5" xfId="36334" xr:uid="{00000000-0005-0000-0000-00000B0B0000}"/>
    <cellStyle name="Style 49 2 4 6" xfId="8121" xr:uid="{00000000-0005-0000-0000-00000B0B0000}"/>
    <cellStyle name="Style 49 2 4 6 2" xfId="27326" xr:uid="{00000000-0005-0000-0000-00000B0B0000}"/>
    <cellStyle name="Style 49 2 4 6 3" xfId="45691" xr:uid="{00000000-0005-0000-0000-00000B0B0000}"/>
    <cellStyle name="Style 49 2 4 7" xfId="7418" xr:uid="{00000000-0005-0000-0000-00000B0B0000}"/>
    <cellStyle name="Style 49 2 4 7 2" xfId="26808" xr:uid="{00000000-0005-0000-0000-00000B0B0000}"/>
    <cellStyle name="Style 49 2 4 7 3" xfId="45176" xr:uid="{00000000-0005-0000-0000-00000B0B0000}"/>
    <cellStyle name="Style 49 2 4 8" xfId="19527" xr:uid="{00000000-0005-0000-0000-00000B0B0000}"/>
    <cellStyle name="Style 49 2 4 8 2" xfId="37933" xr:uid="{00000000-0005-0000-0000-00000B0B0000}"/>
    <cellStyle name="Style 49 2 4 9" xfId="8548" xr:uid="{00000000-0005-0000-0000-00000B0B0000}"/>
    <cellStyle name="Style 49 2 5" xfId="2337" xr:uid="{00000000-0005-0000-0000-00000C0B0000}"/>
    <cellStyle name="Style 49 2 5 10" xfId="10908" xr:uid="{00000000-0005-0000-0000-00000C0B0000}"/>
    <cellStyle name="Style 49 2 5 2" xfId="3785" xr:uid="{00000000-0005-0000-0000-00000C0B0000}"/>
    <cellStyle name="Style 49 2 5 2 2" xfId="5958" xr:uid="{00000000-0005-0000-0000-00000C0B0000}"/>
    <cellStyle name="Style 49 2 5 2 2 2" xfId="12322" xr:uid="{00000000-0005-0000-0000-00000C0B0000}"/>
    <cellStyle name="Style 49 2 5 2 2 2 2" xfId="30769" xr:uid="{00000000-0005-0000-0000-00000C0B0000}"/>
    <cellStyle name="Style 49 2 5 2 2 2 3" xfId="49132" xr:uid="{00000000-0005-0000-0000-00000C0B0000}"/>
    <cellStyle name="Style 49 2 5 2 2 3" xfId="16648" xr:uid="{00000000-0005-0000-0000-00000C0B0000}"/>
    <cellStyle name="Style 49 2 5 2 2 3 2" xfId="35020" xr:uid="{00000000-0005-0000-0000-00000C0B0000}"/>
    <cellStyle name="Style 49 2 5 2 2 3 3" xfId="53383" xr:uid="{00000000-0005-0000-0000-00000C0B0000}"/>
    <cellStyle name="Style 49 2 5 2 2 4" xfId="25767" xr:uid="{00000000-0005-0000-0000-00000C0B0000}"/>
    <cellStyle name="Style 49 2 5 2 2 4 2" xfId="44136" xr:uid="{00000000-0005-0000-0000-00000C0B0000}"/>
    <cellStyle name="Style 49 2 5 2 2 5" xfId="22088" xr:uid="{00000000-0005-0000-0000-00000C0B0000}"/>
    <cellStyle name="Style 49 2 5 2 2 6" xfId="40467" xr:uid="{00000000-0005-0000-0000-00000C0B0000}"/>
    <cellStyle name="Style 49 2 5 2 3" xfId="6784" xr:uid="{00000000-0005-0000-0000-00000C0B0000}"/>
    <cellStyle name="Style 49 2 5 2 3 2" xfId="13075" xr:uid="{00000000-0005-0000-0000-00000C0B0000}"/>
    <cellStyle name="Style 49 2 5 2 3 2 2" xfId="31501" xr:uid="{00000000-0005-0000-0000-00000C0B0000}"/>
    <cellStyle name="Style 49 2 5 2 3 2 3" xfId="49864" xr:uid="{00000000-0005-0000-0000-00000C0B0000}"/>
    <cellStyle name="Style 49 2 5 2 3 3" xfId="17386" xr:uid="{00000000-0005-0000-0000-00000C0B0000}"/>
    <cellStyle name="Style 49 2 5 2 3 3 2" xfId="35734" xr:uid="{00000000-0005-0000-0000-00000C0B0000}"/>
    <cellStyle name="Style 49 2 5 2 3 3 3" xfId="54097" xr:uid="{00000000-0005-0000-0000-00000C0B0000}"/>
    <cellStyle name="Style 49 2 5 2 3 4" xfId="26519" xr:uid="{00000000-0005-0000-0000-00000C0B0000}"/>
    <cellStyle name="Style 49 2 5 2 3 4 2" xfId="44888" xr:uid="{00000000-0005-0000-0000-00000C0B0000}"/>
    <cellStyle name="Style 49 2 5 2 3 5" xfId="22812" xr:uid="{00000000-0005-0000-0000-00000C0B0000}"/>
    <cellStyle name="Style 49 2 5 2 3 6" xfId="41181" xr:uid="{00000000-0005-0000-0000-00000C0B0000}"/>
    <cellStyle name="Style 49 2 5 2 4" xfId="10498" xr:uid="{00000000-0005-0000-0000-00000C0B0000}"/>
    <cellStyle name="Style 49 2 5 2 4 2" xfId="14555" xr:uid="{00000000-0005-0000-0000-00000C0B0000}"/>
    <cellStyle name="Style 49 2 5 2 4 2 2" xfId="32971" xr:uid="{00000000-0005-0000-0000-00000C0B0000}"/>
    <cellStyle name="Style 49 2 5 2 4 2 3" xfId="51334" xr:uid="{00000000-0005-0000-0000-00000C0B0000}"/>
    <cellStyle name="Style 49 2 5 2 4 3" xfId="29209" xr:uid="{00000000-0005-0000-0000-00000C0B0000}"/>
    <cellStyle name="Style 49 2 5 2 4 3 2" xfId="47572" xr:uid="{00000000-0005-0000-0000-00000C0B0000}"/>
    <cellStyle name="Style 49 2 5 2 4 4" xfId="20012" xr:uid="{00000000-0005-0000-0000-00000C0B0000}"/>
    <cellStyle name="Style 49 2 5 2 4 5" xfId="38418" xr:uid="{00000000-0005-0000-0000-00000C0B0000}"/>
    <cellStyle name="Style 49 2 5 2 5" xfId="9769" xr:uid="{00000000-0005-0000-0000-00000C0B0000}"/>
    <cellStyle name="Style 49 2 5 2 5 2" xfId="28484" xr:uid="{00000000-0005-0000-0000-00000C0B0000}"/>
    <cellStyle name="Style 49 2 5 2 5 3" xfId="46847" xr:uid="{00000000-0005-0000-0000-00000C0B0000}"/>
    <cellStyle name="Style 49 2 5 2 6" xfId="13826" xr:uid="{00000000-0005-0000-0000-00000C0B0000}"/>
    <cellStyle name="Style 49 2 5 2 6 2" xfId="32246" xr:uid="{00000000-0005-0000-0000-00000C0B0000}"/>
    <cellStyle name="Style 49 2 5 2 6 3" xfId="50609" xr:uid="{00000000-0005-0000-0000-00000C0B0000}"/>
    <cellStyle name="Style 49 2 5 2 7" xfId="23693" xr:uid="{00000000-0005-0000-0000-00000C0B0000}"/>
    <cellStyle name="Style 49 2 5 2 7 2" xfId="42062" xr:uid="{00000000-0005-0000-0000-00000C0B0000}"/>
    <cellStyle name="Style 49 2 5 2 8" xfId="18951" xr:uid="{00000000-0005-0000-0000-00000C0B0000}"/>
    <cellStyle name="Style 49 2 5 2 9" xfId="37360" xr:uid="{00000000-0005-0000-0000-00000C0B0000}"/>
    <cellStyle name="Style 49 2 5 3" xfId="4985" xr:uid="{00000000-0005-0000-0000-00000C0B0000}"/>
    <cellStyle name="Style 49 2 5 3 2" xfId="11515" xr:uid="{00000000-0005-0000-0000-00000C0B0000}"/>
    <cellStyle name="Style 49 2 5 3 2 2" xfId="30088" xr:uid="{00000000-0005-0000-0000-00000C0B0000}"/>
    <cellStyle name="Style 49 2 5 3 2 3" xfId="48451" xr:uid="{00000000-0005-0000-0000-00000C0B0000}"/>
    <cellStyle name="Style 49 2 5 3 3" xfId="15701" xr:uid="{00000000-0005-0000-0000-00000C0B0000}"/>
    <cellStyle name="Style 49 2 5 3 3 2" xfId="34090" xr:uid="{00000000-0005-0000-0000-00000C0B0000}"/>
    <cellStyle name="Style 49 2 5 3 3 3" xfId="52453" xr:uid="{00000000-0005-0000-0000-00000C0B0000}"/>
    <cellStyle name="Style 49 2 5 3 4" xfId="24825" xr:uid="{00000000-0005-0000-0000-00000C0B0000}"/>
    <cellStyle name="Style 49 2 5 3 4 2" xfId="43194" xr:uid="{00000000-0005-0000-0000-00000C0B0000}"/>
    <cellStyle name="Style 49 2 5 3 5" xfId="21150" xr:uid="{00000000-0005-0000-0000-00000C0B0000}"/>
    <cellStyle name="Style 49 2 5 3 6" xfId="39537" xr:uid="{00000000-0005-0000-0000-00000C0B0000}"/>
    <cellStyle name="Style 49 2 5 4" xfId="6125" xr:uid="{00000000-0005-0000-0000-00000C0B0000}"/>
    <cellStyle name="Style 49 2 5 4 2" xfId="12479" xr:uid="{00000000-0005-0000-0000-00000C0B0000}"/>
    <cellStyle name="Style 49 2 5 4 2 2" xfId="30919" xr:uid="{00000000-0005-0000-0000-00000C0B0000}"/>
    <cellStyle name="Style 49 2 5 4 2 3" xfId="49282" xr:uid="{00000000-0005-0000-0000-00000C0B0000}"/>
    <cellStyle name="Style 49 2 5 4 3" xfId="16798" xr:uid="{00000000-0005-0000-0000-00000C0B0000}"/>
    <cellStyle name="Style 49 2 5 4 3 2" xfId="35167" xr:uid="{00000000-0005-0000-0000-00000C0B0000}"/>
    <cellStyle name="Style 49 2 5 4 3 3" xfId="53530" xr:uid="{00000000-0005-0000-0000-00000C0B0000}"/>
    <cellStyle name="Style 49 2 5 4 4" xfId="25921" xr:uid="{00000000-0005-0000-0000-00000C0B0000}"/>
    <cellStyle name="Style 49 2 5 4 4 2" xfId="44290" xr:uid="{00000000-0005-0000-0000-00000C0B0000}"/>
    <cellStyle name="Style 49 2 5 4 5" xfId="22237" xr:uid="{00000000-0005-0000-0000-00000C0B0000}"/>
    <cellStyle name="Style 49 2 5 4 6" xfId="40614" xr:uid="{00000000-0005-0000-0000-00000C0B0000}"/>
    <cellStyle name="Style 49 2 5 5" xfId="9990" xr:uid="{00000000-0005-0000-0000-00000C0B0000}"/>
    <cellStyle name="Style 49 2 5 5 2" xfId="14047" xr:uid="{00000000-0005-0000-0000-00000C0B0000}"/>
    <cellStyle name="Style 49 2 5 5 2 2" xfId="32464" xr:uid="{00000000-0005-0000-0000-00000C0B0000}"/>
    <cellStyle name="Style 49 2 5 5 2 3" xfId="50827" xr:uid="{00000000-0005-0000-0000-00000C0B0000}"/>
    <cellStyle name="Style 49 2 5 5 3" xfId="28702" xr:uid="{00000000-0005-0000-0000-00000C0B0000}"/>
    <cellStyle name="Style 49 2 5 5 3 2" xfId="47065" xr:uid="{00000000-0005-0000-0000-00000C0B0000}"/>
    <cellStyle name="Style 49 2 5 5 4" xfId="19358" xr:uid="{00000000-0005-0000-0000-00000C0B0000}"/>
    <cellStyle name="Style 49 2 5 5 5" xfId="37765" xr:uid="{00000000-0005-0000-0000-00000C0B0000}"/>
    <cellStyle name="Style 49 2 5 6" xfId="8378" xr:uid="{00000000-0005-0000-0000-00000C0B0000}"/>
    <cellStyle name="Style 49 2 5 6 2" xfId="27445" xr:uid="{00000000-0005-0000-0000-00000C0B0000}"/>
    <cellStyle name="Style 49 2 5 6 3" xfId="45809" xr:uid="{00000000-0005-0000-0000-00000C0B0000}"/>
    <cellStyle name="Style 49 2 5 7" xfId="8207" xr:uid="{00000000-0005-0000-0000-00000C0B0000}"/>
    <cellStyle name="Style 49 2 5 7 2" xfId="27370" xr:uid="{00000000-0005-0000-0000-00000C0B0000}"/>
    <cellStyle name="Style 49 2 5 7 3" xfId="45735" xr:uid="{00000000-0005-0000-0000-00000C0B0000}"/>
    <cellStyle name="Style 49 2 5 8" xfId="18831" xr:uid="{00000000-0005-0000-0000-00000C0B0000}"/>
    <cellStyle name="Style 49 2 5 8 2" xfId="37240" xr:uid="{00000000-0005-0000-0000-00000C0B0000}"/>
    <cellStyle name="Style 49 2 5 9" xfId="7818" xr:uid="{00000000-0005-0000-0000-00000C0B0000}"/>
    <cellStyle name="Style 49 2 6" xfId="2786" xr:uid="{00000000-0005-0000-0000-00000D0B0000}"/>
    <cellStyle name="Style 49 2 6 10" xfId="35925" xr:uid="{00000000-0005-0000-0000-00000D0B0000}"/>
    <cellStyle name="Style 49 2 6 2" xfId="3821" xr:uid="{00000000-0005-0000-0000-00000D0B0000}"/>
    <cellStyle name="Style 49 2 6 2 2" xfId="5994" xr:uid="{00000000-0005-0000-0000-00000D0B0000}"/>
    <cellStyle name="Style 49 2 6 2 2 2" xfId="12358" xr:uid="{00000000-0005-0000-0000-00000D0B0000}"/>
    <cellStyle name="Style 49 2 6 2 2 2 2" xfId="30805" xr:uid="{00000000-0005-0000-0000-00000D0B0000}"/>
    <cellStyle name="Style 49 2 6 2 2 2 3" xfId="49168" xr:uid="{00000000-0005-0000-0000-00000D0B0000}"/>
    <cellStyle name="Style 49 2 6 2 2 3" xfId="16684" xr:uid="{00000000-0005-0000-0000-00000D0B0000}"/>
    <cellStyle name="Style 49 2 6 2 2 3 2" xfId="35056" xr:uid="{00000000-0005-0000-0000-00000D0B0000}"/>
    <cellStyle name="Style 49 2 6 2 2 3 3" xfId="53419" xr:uid="{00000000-0005-0000-0000-00000D0B0000}"/>
    <cellStyle name="Style 49 2 6 2 2 4" xfId="25803" xr:uid="{00000000-0005-0000-0000-00000D0B0000}"/>
    <cellStyle name="Style 49 2 6 2 2 4 2" xfId="44172" xr:uid="{00000000-0005-0000-0000-00000D0B0000}"/>
    <cellStyle name="Style 49 2 6 2 2 5" xfId="22124" xr:uid="{00000000-0005-0000-0000-00000D0B0000}"/>
    <cellStyle name="Style 49 2 6 2 2 6" xfId="40503" xr:uid="{00000000-0005-0000-0000-00000D0B0000}"/>
    <cellStyle name="Style 49 2 6 2 3" xfId="6820" xr:uid="{00000000-0005-0000-0000-00000D0B0000}"/>
    <cellStyle name="Style 49 2 6 2 3 2" xfId="13111" xr:uid="{00000000-0005-0000-0000-00000D0B0000}"/>
    <cellStyle name="Style 49 2 6 2 3 2 2" xfId="31537" xr:uid="{00000000-0005-0000-0000-00000D0B0000}"/>
    <cellStyle name="Style 49 2 6 2 3 2 3" xfId="49900" xr:uid="{00000000-0005-0000-0000-00000D0B0000}"/>
    <cellStyle name="Style 49 2 6 2 3 3" xfId="17422" xr:uid="{00000000-0005-0000-0000-00000D0B0000}"/>
    <cellStyle name="Style 49 2 6 2 3 3 2" xfId="35770" xr:uid="{00000000-0005-0000-0000-00000D0B0000}"/>
    <cellStyle name="Style 49 2 6 2 3 3 3" xfId="54133" xr:uid="{00000000-0005-0000-0000-00000D0B0000}"/>
    <cellStyle name="Style 49 2 6 2 3 4" xfId="26555" xr:uid="{00000000-0005-0000-0000-00000D0B0000}"/>
    <cellStyle name="Style 49 2 6 2 3 4 2" xfId="44924" xr:uid="{00000000-0005-0000-0000-00000D0B0000}"/>
    <cellStyle name="Style 49 2 6 2 3 5" xfId="22848" xr:uid="{00000000-0005-0000-0000-00000D0B0000}"/>
    <cellStyle name="Style 49 2 6 2 3 6" xfId="41217" xr:uid="{00000000-0005-0000-0000-00000D0B0000}"/>
    <cellStyle name="Style 49 2 6 2 4" xfId="10534" xr:uid="{00000000-0005-0000-0000-00000D0B0000}"/>
    <cellStyle name="Style 49 2 6 2 4 2" xfId="14591" xr:uid="{00000000-0005-0000-0000-00000D0B0000}"/>
    <cellStyle name="Style 49 2 6 2 4 2 2" xfId="33007" xr:uid="{00000000-0005-0000-0000-00000D0B0000}"/>
    <cellStyle name="Style 49 2 6 2 4 2 3" xfId="51370" xr:uid="{00000000-0005-0000-0000-00000D0B0000}"/>
    <cellStyle name="Style 49 2 6 2 4 3" xfId="29245" xr:uid="{00000000-0005-0000-0000-00000D0B0000}"/>
    <cellStyle name="Style 49 2 6 2 4 3 2" xfId="47608" xr:uid="{00000000-0005-0000-0000-00000D0B0000}"/>
    <cellStyle name="Style 49 2 6 2 4 4" xfId="20048" xr:uid="{00000000-0005-0000-0000-00000D0B0000}"/>
    <cellStyle name="Style 49 2 6 2 4 5" xfId="38454" xr:uid="{00000000-0005-0000-0000-00000D0B0000}"/>
    <cellStyle name="Style 49 2 6 2 5" xfId="9867" xr:uid="{00000000-0005-0000-0000-00000D0B0000}"/>
    <cellStyle name="Style 49 2 6 2 5 2" xfId="28581" xr:uid="{00000000-0005-0000-0000-00000D0B0000}"/>
    <cellStyle name="Style 49 2 6 2 5 3" xfId="46944" xr:uid="{00000000-0005-0000-0000-00000D0B0000}"/>
    <cellStyle name="Style 49 2 6 2 6" xfId="13925" xr:uid="{00000000-0005-0000-0000-00000D0B0000}"/>
    <cellStyle name="Style 49 2 6 2 6 2" xfId="32343" xr:uid="{00000000-0005-0000-0000-00000D0B0000}"/>
    <cellStyle name="Style 49 2 6 2 6 3" xfId="50706" xr:uid="{00000000-0005-0000-0000-00000D0B0000}"/>
    <cellStyle name="Style 49 2 6 2 7" xfId="23729" xr:uid="{00000000-0005-0000-0000-00000D0B0000}"/>
    <cellStyle name="Style 49 2 6 2 7 2" xfId="42098" xr:uid="{00000000-0005-0000-0000-00000D0B0000}"/>
    <cellStyle name="Style 49 2 6 2 8" xfId="19121" xr:uid="{00000000-0005-0000-0000-00000D0B0000}"/>
    <cellStyle name="Style 49 2 6 2 9" xfId="37529" xr:uid="{00000000-0005-0000-0000-00000D0B0000}"/>
    <cellStyle name="Style 49 2 6 3" xfId="5145" xr:uid="{00000000-0005-0000-0000-00000D0B0000}"/>
    <cellStyle name="Style 49 2 6 3 2" xfId="11650" xr:uid="{00000000-0005-0000-0000-00000D0B0000}"/>
    <cellStyle name="Style 49 2 6 3 2 2" xfId="30198" xr:uid="{00000000-0005-0000-0000-00000D0B0000}"/>
    <cellStyle name="Style 49 2 6 3 2 3" xfId="48561" xr:uid="{00000000-0005-0000-0000-00000D0B0000}"/>
    <cellStyle name="Style 49 2 6 3 3" xfId="15849" xr:uid="{00000000-0005-0000-0000-00000D0B0000}"/>
    <cellStyle name="Style 49 2 6 3 3 2" xfId="34233" xr:uid="{00000000-0005-0000-0000-00000D0B0000}"/>
    <cellStyle name="Style 49 2 6 3 3 3" xfId="52596" xr:uid="{00000000-0005-0000-0000-00000D0B0000}"/>
    <cellStyle name="Style 49 2 6 3 4" xfId="24972" xr:uid="{00000000-0005-0000-0000-00000D0B0000}"/>
    <cellStyle name="Style 49 2 6 3 4 2" xfId="43341" xr:uid="{00000000-0005-0000-0000-00000D0B0000}"/>
    <cellStyle name="Style 49 2 6 3 5" xfId="21295" xr:uid="{00000000-0005-0000-0000-00000D0B0000}"/>
    <cellStyle name="Style 49 2 6 3 6" xfId="39680" xr:uid="{00000000-0005-0000-0000-00000D0B0000}"/>
    <cellStyle name="Style 49 2 6 4" xfId="6195" xr:uid="{00000000-0005-0000-0000-00000D0B0000}"/>
    <cellStyle name="Style 49 2 6 4 2" xfId="12530" xr:uid="{00000000-0005-0000-0000-00000D0B0000}"/>
    <cellStyle name="Style 49 2 6 4 2 2" xfId="30962" xr:uid="{00000000-0005-0000-0000-00000D0B0000}"/>
    <cellStyle name="Style 49 2 6 4 2 3" xfId="49325" xr:uid="{00000000-0005-0000-0000-00000D0B0000}"/>
    <cellStyle name="Style 49 2 6 4 3" xfId="16845" xr:uid="{00000000-0005-0000-0000-00000D0B0000}"/>
    <cellStyle name="Style 49 2 6 4 3 2" xfId="35205" xr:uid="{00000000-0005-0000-0000-00000D0B0000}"/>
    <cellStyle name="Style 49 2 6 4 3 3" xfId="53568" xr:uid="{00000000-0005-0000-0000-00000D0B0000}"/>
    <cellStyle name="Style 49 2 6 4 4" xfId="25972" xr:uid="{00000000-0005-0000-0000-00000D0B0000}"/>
    <cellStyle name="Style 49 2 6 4 4 2" xfId="44341" xr:uid="{00000000-0005-0000-0000-00000D0B0000}"/>
    <cellStyle name="Style 49 2 6 4 5" xfId="22279" xr:uid="{00000000-0005-0000-0000-00000D0B0000}"/>
    <cellStyle name="Style 49 2 6 4 6" xfId="40652" xr:uid="{00000000-0005-0000-0000-00000D0B0000}"/>
    <cellStyle name="Style 49 2 6 5" xfId="10027" xr:uid="{00000000-0005-0000-0000-00000D0B0000}"/>
    <cellStyle name="Style 49 2 6 5 2" xfId="14084" xr:uid="{00000000-0005-0000-0000-00000D0B0000}"/>
    <cellStyle name="Style 49 2 6 5 2 2" xfId="32500" xr:uid="{00000000-0005-0000-0000-00000D0B0000}"/>
    <cellStyle name="Style 49 2 6 5 2 3" xfId="50863" xr:uid="{00000000-0005-0000-0000-00000D0B0000}"/>
    <cellStyle name="Style 49 2 6 5 3" xfId="28738" xr:uid="{00000000-0005-0000-0000-00000D0B0000}"/>
    <cellStyle name="Style 49 2 6 5 3 2" xfId="47101" xr:uid="{00000000-0005-0000-0000-00000D0B0000}"/>
    <cellStyle name="Style 49 2 6 5 4" xfId="19406" xr:uid="{00000000-0005-0000-0000-00000D0B0000}"/>
    <cellStyle name="Style 49 2 6 5 5" xfId="37812" xr:uid="{00000000-0005-0000-0000-00000D0B0000}"/>
    <cellStyle name="Style 49 2 6 6" xfId="8654" xr:uid="{00000000-0005-0000-0000-00000D0B0000}"/>
    <cellStyle name="Style 49 2 6 6 2" xfId="27562" xr:uid="{00000000-0005-0000-0000-00000D0B0000}"/>
    <cellStyle name="Style 49 2 6 6 3" xfId="45925" xr:uid="{00000000-0005-0000-0000-00000D0B0000}"/>
    <cellStyle name="Style 49 2 6 7" xfId="8132" xr:uid="{00000000-0005-0000-0000-00000D0B0000}"/>
    <cellStyle name="Style 49 2 6 7 2" xfId="27336" xr:uid="{00000000-0005-0000-0000-00000D0B0000}"/>
    <cellStyle name="Style 49 2 6 7 3" xfId="45701" xr:uid="{00000000-0005-0000-0000-00000D0B0000}"/>
    <cellStyle name="Style 49 2 6 8" xfId="18352" xr:uid="{00000000-0005-0000-0000-00000D0B0000}"/>
    <cellStyle name="Style 49 2 6 8 2" xfId="36758" xr:uid="{00000000-0005-0000-0000-00000D0B0000}"/>
    <cellStyle name="Style 49 2 6 9" xfId="7165" xr:uid="{00000000-0005-0000-0000-00000D0B0000}"/>
    <cellStyle name="Style 49 2 7" xfId="4202" xr:uid="{00000000-0005-0000-0000-0000080B0000}"/>
    <cellStyle name="Style 49 2 7 2" xfId="10851" xr:uid="{00000000-0005-0000-0000-0000080B0000}"/>
    <cellStyle name="Style 49 2 7 2 2" xfId="29522" xr:uid="{00000000-0005-0000-0000-0000080B0000}"/>
    <cellStyle name="Style 49 2 7 2 3" xfId="47885" xr:uid="{00000000-0005-0000-0000-0000080B0000}"/>
    <cellStyle name="Style 49 2 7 3" xfId="14948" xr:uid="{00000000-0005-0000-0000-0000080B0000}"/>
    <cellStyle name="Style 49 2 7 3 2" xfId="33352" xr:uid="{00000000-0005-0000-0000-0000080B0000}"/>
    <cellStyle name="Style 49 2 7 3 3" xfId="51715" xr:uid="{00000000-0005-0000-0000-0000080B0000}"/>
    <cellStyle name="Style 49 2 7 4" xfId="24081" xr:uid="{00000000-0005-0000-0000-0000080B0000}"/>
    <cellStyle name="Style 49 2 7 4 2" xfId="42450" xr:uid="{00000000-0005-0000-0000-0000080B0000}"/>
    <cellStyle name="Style 49 2 7 5" xfId="20401" xr:uid="{00000000-0005-0000-0000-0000080B0000}"/>
    <cellStyle name="Style 49 2 7 6" xfId="38799" xr:uid="{00000000-0005-0000-0000-0000080B0000}"/>
    <cellStyle name="Style 49 2 8" xfId="5079" xr:uid="{00000000-0005-0000-0000-0000080B0000}"/>
    <cellStyle name="Style 49 2 8 2" xfId="11599" xr:uid="{00000000-0005-0000-0000-0000080B0000}"/>
    <cellStyle name="Style 49 2 8 2 2" xfId="30163" xr:uid="{00000000-0005-0000-0000-0000080B0000}"/>
    <cellStyle name="Style 49 2 8 2 3" xfId="48526" xr:uid="{00000000-0005-0000-0000-0000080B0000}"/>
    <cellStyle name="Style 49 2 8 3" xfId="15790" xr:uid="{00000000-0005-0000-0000-0000080B0000}"/>
    <cellStyle name="Style 49 2 8 3 2" xfId="34176" xr:uid="{00000000-0005-0000-0000-0000080B0000}"/>
    <cellStyle name="Style 49 2 8 3 3" xfId="52539" xr:uid="{00000000-0005-0000-0000-0000080B0000}"/>
    <cellStyle name="Style 49 2 8 4" xfId="24912" xr:uid="{00000000-0005-0000-0000-0000080B0000}"/>
    <cellStyle name="Style 49 2 8 4 2" xfId="43281" xr:uid="{00000000-0005-0000-0000-0000080B0000}"/>
    <cellStyle name="Style 49 2 8 5" xfId="21238" xr:uid="{00000000-0005-0000-0000-0000080B0000}"/>
    <cellStyle name="Style 49 2 8 6" xfId="39623" xr:uid="{00000000-0005-0000-0000-0000080B0000}"/>
    <cellStyle name="Style 49 2 9" xfId="9832" xr:uid="{00000000-0005-0000-0000-0000080B0000}"/>
    <cellStyle name="Style 49 2 9 2" xfId="13889" xr:uid="{00000000-0005-0000-0000-0000080B0000}"/>
    <cellStyle name="Style 49 2 9 2 2" xfId="32309" xr:uid="{00000000-0005-0000-0000-0000080B0000}"/>
    <cellStyle name="Style 49 2 9 2 3" xfId="50672" xr:uid="{00000000-0005-0000-0000-0000080B0000}"/>
    <cellStyle name="Style 49 2 9 3" xfId="28547" xr:uid="{00000000-0005-0000-0000-0000080B0000}"/>
    <cellStyle name="Style 49 2 9 3 2" xfId="46910" xr:uid="{00000000-0005-0000-0000-0000080B0000}"/>
    <cellStyle name="Style 49 2 9 4" xfId="19052" xr:uid="{00000000-0005-0000-0000-0000080B0000}"/>
    <cellStyle name="Style 49 2 9 5" xfId="37461" xr:uid="{00000000-0005-0000-0000-0000080B0000}"/>
    <cellStyle name="Style 49 3" xfId="1073" xr:uid="{00000000-0005-0000-0000-00000E0B0000}"/>
    <cellStyle name="Style 49 3 10" xfId="11832" xr:uid="{00000000-0005-0000-0000-00000E0B0000}"/>
    <cellStyle name="Style 49 3 10 2" xfId="30287" xr:uid="{00000000-0005-0000-0000-00000E0B0000}"/>
    <cellStyle name="Style 49 3 10 3" xfId="48650" xr:uid="{00000000-0005-0000-0000-00000E0B0000}"/>
    <cellStyle name="Style 49 3 2" xfId="1345" xr:uid="{00000000-0005-0000-0000-00000F0B0000}"/>
    <cellStyle name="Style 49 3 2 2" xfId="3392" xr:uid="{00000000-0005-0000-0000-00000F0B0000}"/>
    <cellStyle name="Style 49 3 2 2 2" xfId="5567" xr:uid="{00000000-0005-0000-0000-00000F0B0000}"/>
    <cellStyle name="Style 49 3 2 2 2 2" xfId="11931" xr:uid="{00000000-0005-0000-0000-00000F0B0000}"/>
    <cellStyle name="Style 49 3 2 2 2 2 2" xfId="30378" xr:uid="{00000000-0005-0000-0000-00000F0B0000}"/>
    <cellStyle name="Style 49 3 2 2 2 2 3" xfId="48741" xr:uid="{00000000-0005-0000-0000-00000F0B0000}"/>
    <cellStyle name="Style 49 3 2 2 2 3" xfId="16257" xr:uid="{00000000-0005-0000-0000-00000F0B0000}"/>
    <cellStyle name="Style 49 3 2 2 2 3 2" xfId="34629" xr:uid="{00000000-0005-0000-0000-00000F0B0000}"/>
    <cellStyle name="Style 49 3 2 2 2 3 3" xfId="52992" xr:uid="{00000000-0005-0000-0000-00000F0B0000}"/>
    <cellStyle name="Style 49 3 2 2 2 4" xfId="25376" xr:uid="{00000000-0005-0000-0000-00000F0B0000}"/>
    <cellStyle name="Style 49 3 2 2 2 4 2" xfId="43745" xr:uid="{00000000-0005-0000-0000-00000F0B0000}"/>
    <cellStyle name="Style 49 3 2 2 2 5" xfId="21697" xr:uid="{00000000-0005-0000-0000-00000F0B0000}"/>
    <cellStyle name="Style 49 3 2 2 2 6" xfId="40076" xr:uid="{00000000-0005-0000-0000-00000F0B0000}"/>
    <cellStyle name="Style 49 3 2 2 3" xfId="6391" xr:uid="{00000000-0005-0000-0000-00000F0B0000}"/>
    <cellStyle name="Style 49 3 2 2 3 2" xfId="12682" xr:uid="{00000000-0005-0000-0000-00000F0B0000}"/>
    <cellStyle name="Style 49 3 2 2 3 2 2" xfId="31108" xr:uid="{00000000-0005-0000-0000-00000F0B0000}"/>
    <cellStyle name="Style 49 3 2 2 3 2 3" xfId="49471" xr:uid="{00000000-0005-0000-0000-00000F0B0000}"/>
    <cellStyle name="Style 49 3 2 2 3 3" xfId="16993" xr:uid="{00000000-0005-0000-0000-00000F0B0000}"/>
    <cellStyle name="Style 49 3 2 2 3 3 2" xfId="35341" xr:uid="{00000000-0005-0000-0000-00000F0B0000}"/>
    <cellStyle name="Style 49 3 2 2 3 3 3" xfId="53704" xr:uid="{00000000-0005-0000-0000-00000F0B0000}"/>
    <cellStyle name="Style 49 3 2 2 3 4" xfId="26126" xr:uid="{00000000-0005-0000-0000-00000F0B0000}"/>
    <cellStyle name="Style 49 3 2 2 3 4 2" xfId="44495" xr:uid="{00000000-0005-0000-0000-00000F0B0000}"/>
    <cellStyle name="Style 49 3 2 2 3 5" xfId="22419" xr:uid="{00000000-0005-0000-0000-00000F0B0000}"/>
    <cellStyle name="Style 49 3 2 2 3 6" xfId="40788" xr:uid="{00000000-0005-0000-0000-00000F0B0000}"/>
    <cellStyle name="Style 49 3 2 2 4" xfId="10105" xr:uid="{00000000-0005-0000-0000-00000F0B0000}"/>
    <cellStyle name="Style 49 3 2 2 4 2" xfId="14162" xr:uid="{00000000-0005-0000-0000-00000F0B0000}"/>
    <cellStyle name="Style 49 3 2 2 4 2 2" xfId="32578" xr:uid="{00000000-0005-0000-0000-00000F0B0000}"/>
    <cellStyle name="Style 49 3 2 2 4 2 3" xfId="50941" xr:uid="{00000000-0005-0000-0000-00000F0B0000}"/>
    <cellStyle name="Style 49 3 2 2 4 3" xfId="28816" xr:uid="{00000000-0005-0000-0000-00000F0B0000}"/>
    <cellStyle name="Style 49 3 2 2 4 3 2" xfId="47179" xr:uid="{00000000-0005-0000-0000-00000F0B0000}"/>
    <cellStyle name="Style 49 3 2 2 4 4" xfId="19619" xr:uid="{00000000-0005-0000-0000-00000F0B0000}"/>
    <cellStyle name="Style 49 3 2 2 4 5" xfId="38025" xr:uid="{00000000-0005-0000-0000-00000F0B0000}"/>
    <cellStyle name="Style 49 3 2 2 5" xfId="9292" xr:uid="{00000000-0005-0000-0000-00000F0B0000}"/>
    <cellStyle name="Style 49 3 2 2 5 2" xfId="28011" xr:uid="{00000000-0005-0000-0000-00000F0B0000}"/>
    <cellStyle name="Style 49 3 2 2 5 3" xfId="46374" xr:uid="{00000000-0005-0000-0000-00000F0B0000}"/>
    <cellStyle name="Style 49 3 2 2 6" xfId="13348" xr:uid="{00000000-0005-0000-0000-00000F0B0000}"/>
    <cellStyle name="Style 49 3 2 2 6 2" xfId="31769" xr:uid="{00000000-0005-0000-0000-00000F0B0000}"/>
    <cellStyle name="Style 49 3 2 2 6 3" xfId="50132" xr:uid="{00000000-0005-0000-0000-00000F0B0000}"/>
    <cellStyle name="Style 49 3 2 2 7" xfId="23300" xr:uid="{00000000-0005-0000-0000-00000F0B0000}"/>
    <cellStyle name="Style 49 3 2 2 7 2" xfId="41669" xr:uid="{00000000-0005-0000-0000-00000F0B0000}"/>
    <cellStyle name="Style 49 3 2 2 8" xfId="18366" xr:uid="{00000000-0005-0000-0000-00000F0B0000}"/>
    <cellStyle name="Style 49 3 2 2 9" xfId="36772" xr:uid="{00000000-0005-0000-0000-00000F0B0000}"/>
    <cellStyle name="Style 49 3 2 3" xfId="4381" xr:uid="{00000000-0005-0000-0000-00000F0B0000}"/>
    <cellStyle name="Style 49 3 2 3 2" xfId="10981" xr:uid="{00000000-0005-0000-0000-00000F0B0000}"/>
    <cellStyle name="Style 49 3 2 3 2 2" xfId="29603" xr:uid="{00000000-0005-0000-0000-00000F0B0000}"/>
    <cellStyle name="Style 49 3 2 3 2 3" xfId="47966" xr:uid="{00000000-0005-0000-0000-00000F0B0000}"/>
    <cellStyle name="Style 49 3 2 3 3" xfId="15117" xr:uid="{00000000-0005-0000-0000-00000F0B0000}"/>
    <cellStyle name="Style 49 3 2 3 3 2" xfId="33514" xr:uid="{00000000-0005-0000-0000-00000F0B0000}"/>
    <cellStyle name="Style 49 3 2 3 3 3" xfId="51877" xr:uid="{00000000-0005-0000-0000-00000F0B0000}"/>
    <cellStyle name="Style 49 3 2 3 4" xfId="24245" xr:uid="{00000000-0005-0000-0000-00000F0B0000}"/>
    <cellStyle name="Style 49 3 2 3 4 2" xfId="42614" xr:uid="{00000000-0005-0000-0000-00000F0B0000}"/>
    <cellStyle name="Style 49 3 2 3 5" xfId="20568" xr:uid="{00000000-0005-0000-0000-00000F0B0000}"/>
    <cellStyle name="Style 49 3 2 3 6" xfId="38961" xr:uid="{00000000-0005-0000-0000-00000F0B0000}"/>
    <cellStyle name="Style 49 3 2 4" xfId="4897" xr:uid="{00000000-0005-0000-0000-00000F0B0000}"/>
    <cellStyle name="Style 49 3 2 4 2" xfId="11453" xr:uid="{00000000-0005-0000-0000-00000F0B0000}"/>
    <cellStyle name="Style 49 3 2 4 2 2" xfId="30041" xr:uid="{00000000-0005-0000-0000-00000F0B0000}"/>
    <cellStyle name="Style 49 3 2 4 2 3" xfId="48404" xr:uid="{00000000-0005-0000-0000-00000F0B0000}"/>
    <cellStyle name="Style 49 3 2 4 3" xfId="15623" xr:uid="{00000000-0005-0000-0000-00000F0B0000}"/>
    <cellStyle name="Style 49 3 2 4 3 2" xfId="34014" xr:uid="{00000000-0005-0000-0000-00000F0B0000}"/>
    <cellStyle name="Style 49 3 2 4 3 3" xfId="52377" xr:uid="{00000000-0005-0000-0000-00000F0B0000}"/>
    <cellStyle name="Style 49 3 2 4 4" xfId="24745" xr:uid="{00000000-0005-0000-0000-00000F0B0000}"/>
    <cellStyle name="Style 49 3 2 4 4 2" xfId="43114" xr:uid="{00000000-0005-0000-0000-00000F0B0000}"/>
    <cellStyle name="Style 49 3 2 4 5" xfId="21072" xr:uid="{00000000-0005-0000-0000-00000F0B0000}"/>
    <cellStyle name="Style 49 3 2 4 6" xfId="39461" xr:uid="{00000000-0005-0000-0000-00000F0B0000}"/>
    <cellStyle name="Style 49 3 2 5" xfId="9743" xr:uid="{00000000-0005-0000-0000-00000F0B0000}"/>
    <cellStyle name="Style 49 3 2 5 2" xfId="13800" xr:uid="{00000000-0005-0000-0000-00000F0B0000}"/>
    <cellStyle name="Style 49 3 2 5 2 2" xfId="32220" xr:uid="{00000000-0005-0000-0000-00000F0B0000}"/>
    <cellStyle name="Style 49 3 2 5 2 3" xfId="50583" xr:uid="{00000000-0005-0000-0000-00000F0B0000}"/>
    <cellStyle name="Style 49 3 2 5 3" xfId="28458" xr:uid="{00000000-0005-0000-0000-00000F0B0000}"/>
    <cellStyle name="Style 49 3 2 5 3 2" xfId="46821" xr:uid="{00000000-0005-0000-0000-00000F0B0000}"/>
    <cellStyle name="Style 49 3 2 5 4" xfId="18924" xr:uid="{00000000-0005-0000-0000-00000F0B0000}"/>
    <cellStyle name="Style 49 3 2 5 5" xfId="37333" xr:uid="{00000000-0005-0000-0000-00000F0B0000}"/>
    <cellStyle name="Style 49 3 2 6" xfId="7642" xr:uid="{00000000-0005-0000-0000-00000F0B0000}"/>
    <cellStyle name="Style 49 3 2 6 2" xfId="26929" xr:uid="{00000000-0005-0000-0000-00000F0B0000}"/>
    <cellStyle name="Style 49 3 2 6 3" xfId="45294" xr:uid="{00000000-0005-0000-0000-00000F0B0000}"/>
    <cellStyle name="Style 49 3 2 7" xfId="7226" xr:uid="{00000000-0005-0000-0000-00000F0B0000}"/>
    <cellStyle name="Style 49 3 2 7 2" xfId="26769" xr:uid="{00000000-0005-0000-0000-00000F0B0000}"/>
    <cellStyle name="Style 49 3 2 7 3" xfId="45137" xr:uid="{00000000-0005-0000-0000-00000F0B0000}"/>
    <cellStyle name="Style 49 3 2 8" xfId="9153" xr:uid="{00000000-0005-0000-0000-00000F0B0000}"/>
    <cellStyle name="Style 49 3 2 9" xfId="9148" xr:uid="{00000000-0005-0000-0000-00000F0B0000}"/>
    <cellStyle name="Style 49 3 3" xfId="1467" xr:uid="{00000000-0005-0000-0000-0000100B0000}"/>
    <cellStyle name="Style 49 3 3 10" xfId="8882" xr:uid="{00000000-0005-0000-0000-0000100B0000}"/>
    <cellStyle name="Style 49 3 3 2" xfId="3483" xr:uid="{00000000-0005-0000-0000-0000100B0000}"/>
    <cellStyle name="Style 49 3 3 2 2" xfId="5658" xr:uid="{00000000-0005-0000-0000-0000100B0000}"/>
    <cellStyle name="Style 49 3 3 2 2 2" xfId="12022" xr:uid="{00000000-0005-0000-0000-0000100B0000}"/>
    <cellStyle name="Style 49 3 3 2 2 2 2" xfId="30469" xr:uid="{00000000-0005-0000-0000-0000100B0000}"/>
    <cellStyle name="Style 49 3 3 2 2 2 3" xfId="48832" xr:uid="{00000000-0005-0000-0000-0000100B0000}"/>
    <cellStyle name="Style 49 3 3 2 2 3" xfId="16348" xr:uid="{00000000-0005-0000-0000-0000100B0000}"/>
    <cellStyle name="Style 49 3 3 2 2 3 2" xfId="34720" xr:uid="{00000000-0005-0000-0000-0000100B0000}"/>
    <cellStyle name="Style 49 3 3 2 2 3 3" xfId="53083" xr:uid="{00000000-0005-0000-0000-0000100B0000}"/>
    <cellStyle name="Style 49 3 3 2 2 4" xfId="25467" xr:uid="{00000000-0005-0000-0000-0000100B0000}"/>
    <cellStyle name="Style 49 3 3 2 2 4 2" xfId="43836" xr:uid="{00000000-0005-0000-0000-0000100B0000}"/>
    <cellStyle name="Style 49 3 3 2 2 5" xfId="21788" xr:uid="{00000000-0005-0000-0000-0000100B0000}"/>
    <cellStyle name="Style 49 3 3 2 2 6" xfId="40167" xr:uid="{00000000-0005-0000-0000-0000100B0000}"/>
    <cellStyle name="Style 49 3 3 2 3" xfId="6482" xr:uid="{00000000-0005-0000-0000-0000100B0000}"/>
    <cellStyle name="Style 49 3 3 2 3 2" xfId="12773" xr:uid="{00000000-0005-0000-0000-0000100B0000}"/>
    <cellStyle name="Style 49 3 3 2 3 2 2" xfId="31199" xr:uid="{00000000-0005-0000-0000-0000100B0000}"/>
    <cellStyle name="Style 49 3 3 2 3 2 3" xfId="49562" xr:uid="{00000000-0005-0000-0000-0000100B0000}"/>
    <cellStyle name="Style 49 3 3 2 3 3" xfId="17084" xr:uid="{00000000-0005-0000-0000-0000100B0000}"/>
    <cellStyle name="Style 49 3 3 2 3 3 2" xfId="35432" xr:uid="{00000000-0005-0000-0000-0000100B0000}"/>
    <cellStyle name="Style 49 3 3 2 3 3 3" xfId="53795" xr:uid="{00000000-0005-0000-0000-0000100B0000}"/>
    <cellStyle name="Style 49 3 3 2 3 4" xfId="26217" xr:uid="{00000000-0005-0000-0000-0000100B0000}"/>
    <cellStyle name="Style 49 3 3 2 3 4 2" xfId="44586" xr:uid="{00000000-0005-0000-0000-0000100B0000}"/>
    <cellStyle name="Style 49 3 3 2 3 5" xfId="22510" xr:uid="{00000000-0005-0000-0000-0000100B0000}"/>
    <cellStyle name="Style 49 3 3 2 3 6" xfId="40879" xr:uid="{00000000-0005-0000-0000-0000100B0000}"/>
    <cellStyle name="Style 49 3 3 2 4" xfId="10196" xr:uid="{00000000-0005-0000-0000-0000100B0000}"/>
    <cellStyle name="Style 49 3 3 2 4 2" xfId="14253" xr:uid="{00000000-0005-0000-0000-0000100B0000}"/>
    <cellStyle name="Style 49 3 3 2 4 2 2" xfId="32669" xr:uid="{00000000-0005-0000-0000-0000100B0000}"/>
    <cellStyle name="Style 49 3 3 2 4 2 3" xfId="51032" xr:uid="{00000000-0005-0000-0000-0000100B0000}"/>
    <cellStyle name="Style 49 3 3 2 4 3" xfId="28907" xr:uid="{00000000-0005-0000-0000-0000100B0000}"/>
    <cellStyle name="Style 49 3 3 2 4 3 2" xfId="47270" xr:uid="{00000000-0005-0000-0000-0000100B0000}"/>
    <cellStyle name="Style 49 3 3 2 4 4" xfId="19710" xr:uid="{00000000-0005-0000-0000-0000100B0000}"/>
    <cellStyle name="Style 49 3 3 2 4 5" xfId="38116" xr:uid="{00000000-0005-0000-0000-0000100B0000}"/>
    <cellStyle name="Style 49 3 3 2 5" xfId="9389" xr:uid="{00000000-0005-0000-0000-0000100B0000}"/>
    <cellStyle name="Style 49 3 3 2 5 2" xfId="28108" xr:uid="{00000000-0005-0000-0000-0000100B0000}"/>
    <cellStyle name="Style 49 3 3 2 5 3" xfId="46471" xr:uid="{00000000-0005-0000-0000-0000100B0000}"/>
    <cellStyle name="Style 49 3 3 2 6" xfId="13445" xr:uid="{00000000-0005-0000-0000-0000100B0000}"/>
    <cellStyle name="Style 49 3 3 2 6 2" xfId="31866" xr:uid="{00000000-0005-0000-0000-0000100B0000}"/>
    <cellStyle name="Style 49 3 3 2 6 3" xfId="50229" xr:uid="{00000000-0005-0000-0000-0000100B0000}"/>
    <cellStyle name="Style 49 3 3 2 7" xfId="23391" xr:uid="{00000000-0005-0000-0000-0000100B0000}"/>
    <cellStyle name="Style 49 3 3 2 7 2" xfId="41760" xr:uid="{00000000-0005-0000-0000-0000100B0000}"/>
    <cellStyle name="Style 49 3 3 2 8" xfId="18472" xr:uid="{00000000-0005-0000-0000-0000100B0000}"/>
    <cellStyle name="Style 49 3 3 2 9" xfId="36878" xr:uid="{00000000-0005-0000-0000-0000100B0000}"/>
    <cellStyle name="Style 49 3 3 3" xfId="4482" xr:uid="{00000000-0005-0000-0000-0000100B0000}"/>
    <cellStyle name="Style 49 3 3 3 2" xfId="11077" xr:uid="{00000000-0005-0000-0000-0000100B0000}"/>
    <cellStyle name="Style 49 3 3 3 2 2" xfId="29697" xr:uid="{00000000-0005-0000-0000-0000100B0000}"/>
    <cellStyle name="Style 49 3 3 3 2 3" xfId="48060" xr:uid="{00000000-0005-0000-0000-0000100B0000}"/>
    <cellStyle name="Style 49 3 3 3 3" xfId="15216" xr:uid="{00000000-0005-0000-0000-0000100B0000}"/>
    <cellStyle name="Style 49 3 3 3 3 2" xfId="33611" xr:uid="{00000000-0005-0000-0000-0000100B0000}"/>
    <cellStyle name="Style 49 3 3 3 3 3" xfId="51974" xr:uid="{00000000-0005-0000-0000-0000100B0000}"/>
    <cellStyle name="Style 49 3 3 3 4" xfId="24342" xr:uid="{00000000-0005-0000-0000-0000100B0000}"/>
    <cellStyle name="Style 49 3 3 3 4 2" xfId="42711" xr:uid="{00000000-0005-0000-0000-0000100B0000}"/>
    <cellStyle name="Style 49 3 3 3 5" xfId="20666" xr:uid="{00000000-0005-0000-0000-0000100B0000}"/>
    <cellStyle name="Style 49 3 3 3 6" xfId="39058" xr:uid="{00000000-0005-0000-0000-0000100B0000}"/>
    <cellStyle name="Style 49 3 3 4" xfId="4015" xr:uid="{00000000-0005-0000-0000-0000100B0000}"/>
    <cellStyle name="Style 49 3 3 4 2" xfId="10719" xr:uid="{00000000-0005-0000-0000-0000100B0000}"/>
    <cellStyle name="Style 49 3 3 4 2 2" xfId="29423" xr:uid="{00000000-0005-0000-0000-0000100B0000}"/>
    <cellStyle name="Style 49 3 3 4 2 3" xfId="47786" xr:uid="{00000000-0005-0000-0000-0000100B0000}"/>
    <cellStyle name="Style 49 3 3 4 3" xfId="14776" xr:uid="{00000000-0005-0000-0000-0000100B0000}"/>
    <cellStyle name="Style 49 3 3 4 3 2" xfId="33188" xr:uid="{00000000-0005-0000-0000-0000100B0000}"/>
    <cellStyle name="Style 49 3 3 4 3 3" xfId="51551" xr:uid="{00000000-0005-0000-0000-0000100B0000}"/>
    <cellStyle name="Style 49 3 3 4 4" xfId="23912" xr:uid="{00000000-0005-0000-0000-0000100B0000}"/>
    <cellStyle name="Style 49 3 3 4 4 2" xfId="42281" xr:uid="{00000000-0005-0000-0000-0000100B0000}"/>
    <cellStyle name="Style 49 3 3 4 5" xfId="20232" xr:uid="{00000000-0005-0000-0000-0000100B0000}"/>
    <cellStyle name="Style 49 3 3 4 6" xfId="38635" xr:uid="{00000000-0005-0000-0000-0000100B0000}"/>
    <cellStyle name="Style 49 3 3 5" xfId="9872" xr:uid="{00000000-0005-0000-0000-0000100B0000}"/>
    <cellStyle name="Style 49 3 3 5 2" xfId="13930" xr:uid="{00000000-0005-0000-0000-0000100B0000}"/>
    <cellStyle name="Style 49 3 3 5 2 2" xfId="32348" xr:uid="{00000000-0005-0000-0000-0000100B0000}"/>
    <cellStyle name="Style 49 3 3 5 2 3" xfId="50711" xr:uid="{00000000-0005-0000-0000-0000100B0000}"/>
    <cellStyle name="Style 49 3 3 5 3" xfId="28586" xr:uid="{00000000-0005-0000-0000-0000100B0000}"/>
    <cellStyle name="Style 49 3 3 5 3 2" xfId="46949" xr:uid="{00000000-0005-0000-0000-0000100B0000}"/>
    <cellStyle name="Style 49 3 3 5 4" xfId="19128" xr:uid="{00000000-0005-0000-0000-0000100B0000}"/>
    <cellStyle name="Style 49 3 3 5 5" xfId="37536" xr:uid="{00000000-0005-0000-0000-0000100B0000}"/>
    <cellStyle name="Style 49 3 3 6" xfId="7753" xr:uid="{00000000-0005-0000-0000-0000100B0000}"/>
    <cellStyle name="Style 49 3 3 6 2" xfId="27029" xr:uid="{00000000-0005-0000-0000-0000100B0000}"/>
    <cellStyle name="Style 49 3 3 6 3" xfId="45394" xr:uid="{00000000-0005-0000-0000-0000100B0000}"/>
    <cellStyle name="Style 49 3 3 7" xfId="7216" xr:uid="{00000000-0005-0000-0000-0000100B0000}"/>
    <cellStyle name="Style 49 3 3 7 2" xfId="26759" xr:uid="{00000000-0005-0000-0000-0000100B0000}"/>
    <cellStyle name="Style 49 3 3 7 3" xfId="45127" xr:uid="{00000000-0005-0000-0000-0000100B0000}"/>
    <cellStyle name="Style 49 3 3 8" xfId="19563" xr:uid="{00000000-0005-0000-0000-0000100B0000}"/>
    <cellStyle name="Style 49 3 3 8 2" xfId="37969" xr:uid="{00000000-0005-0000-0000-0000100B0000}"/>
    <cellStyle name="Style 49 3 3 9" xfId="8185" xr:uid="{00000000-0005-0000-0000-0000100B0000}"/>
    <cellStyle name="Style 49 3 4" xfId="1918" xr:uid="{00000000-0005-0000-0000-0000110B0000}"/>
    <cellStyle name="Style 49 3 4 10" xfId="7271" xr:uid="{00000000-0005-0000-0000-0000110B0000}"/>
    <cellStyle name="Style 49 3 4 2" xfId="3736" xr:uid="{00000000-0005-0000-0000-0000110B0000}"/>
    <cellStyle name="Style 49 3 4 2 2" xfId="5909" xr:uid="{00000000-0005-0000-0000-0000110B0000}"/>
    <cellStyle name="Style 49 3 4 2 2 2" xfId="12273" xr:uid="{00000000-0005-0000-0000-0000110B0000}"/>
    <cellStyle name="Style 49 3 4 2 2 2 2" xfId="30720" xr:uid="{00000000-0005-0000-0000-0000110B0000}"/>
    <cellStyle name="Style 49 3 4 2 2 2 3" xfId="49083" xr:uid="{00000000-0005-0000-0000-0000110B0000}"/>
    <cellStyle name="Style 49 3 4 2 2 3" xfId="16599" xr:uid="{00000000-0005-0000-0000-0000110B0000}"/>
    <cellStyle name="Style 49 3 4 2 2 3 2" xfId="34971" xr:uid="{00000000-0005-0000-0000-0000110B0000}"/>
    <cellStyle name="Style 49 3 4 2 2 3 3" xfId="53334" xr:uid="{00000000-0005-0000-0000-0000110B0000}"/>
    <cellStyle name="Style 49 3 4 2 2 4" xfId="25718" xr:uid="{00000000-0005-0000-0000-0000110B0000}"/>
    <cellStyle name="Style 49 3 4 2 2 4 2" xfId="44087" xr:uid="{00000000-0005-0000-0000-0000110B0000}"/>
    <cellStyle name="Style 49 3 4 2 2 5" xfId="22039" xr:uid="{00000000-0005-0000-0000-0000110B0000}"/>
    <cellStyle name="Style 49 3 4 2 2 6" xfId="40418" xr:uid="{00000000-0005-0000-0000-0000110B0000}"/>
    <cellStyle name="Style 49 3 4 2 3" xfId="6735" xr:uid="{00000000-0005-0000-0000-0000110B0000}"/>
    <cellStyle name="Style 49 3 4 2 3 2" xfId="13026" xr:uid="{00000000-0005-0000-0000-0000110B0000}"/>
    <cellStyle name="Style 49 3 4 2 3 2 2" xfId="31452" xr:uid="{00000000-0005-0000-0000-0000110B0000}"/>
    <cellStyle name="Style 49 3 4 2 3 2 3" xfId="49815" xr:uid="{00000000-0005-0000-0000-0000110B0000}"/>
    <cellStyle name="Style 49 3 4 2 3 3" xfId="17337" xr:uid="{00000000-0005-0000-0000-0000110B0000}"/>
    <cellStyle name="Style 49 3 4 2 3 3 2" xfId="35685" xr:uid="{00000000-0005-0000-0000-0000110B0000}"/>
    <cellStyle name="Style 49 3 4 2 3 3 3" xfId="54048" xr:uid="{00000000-0005-0000-0000-0000110B0000}"/>
    <cellStyle name="Style 49 3 4 2 3 4" xfId="26470" xr:uid="{00000000-0005-0000-0000-0000110B0000}"/>
    <cellStyle name="Style 49 3 4 2 3 4 2" xfId="44839" xr:uid="{00000000-0005-0000-0000-0000110B0000}"/>
    <cellStyle name="Style 49 3 4 2 3 5" xfId="22763" xr:uid="{00000000-0005-0000-0000-0000110B0000}"/>
    <cellStyle name="Style 49 3 4 2 3 6" xfId="41132" xr:uid="{00000000-0005-0000-0000-0000110B0000}"/>
    <cellStyle name="Style 49 3 4 2 4" xfId="10449" xr:uid="{00000000-0005-0000-0000-0000110B0000}"/>
    <cellStyle name="Style 49 3 4 2 4 2" xfId="14506" xr:uid="{00000000-0005-0000-0000-0000110B0000}"/>
    <cellStyle name="Style 49 3 4 2 4 2 2" xfId="32922" xr:uid="{00000000-0005-0000-0000-0000110B0000}"/>
    <cellStyle name="Style 49 3 4 2 4 2 3" xfId="51285" xr:uid="{00000000-0005-0000-0000-0000110B0000}"/>
    <cellStyle name="Style 49 3 4 2 4 3" xfId="29160" xr:uid="{00000000-0005-0000-0000-0000110B0000}"/>
    <cellStyle name="Style 49 3 4 2 4 3 2" xfId="47523" xr:uid="{00000000-0005-0000-0000-0000110B0000}"/>
    <cellStyle name="Style 49 3 4 2 4 4" xfId="19963" xr:uid="{00000000-0005-0000-0000-0000110B0000}"/>
    <cellStyle name="Style 49 3 4 2 4 5" xfId="38369" xr:uid="{00000000-0005-0000-0000-0000110B0000}"/>
    <cellStyle name="Style 49 3 4 2 5" xfId="9665" xr:uid="{00000000-0005-0000-0000-0000110B0000}"/>
    <cellStyle name="Style 49 3 4 2 5 2" xfId="28381" xr:uid="{00000000-0005-0000-0000-0000110B0000}"/>
    <cellStyle name="Style 49 3 4 2 5 3" xfId="46744" xr:uid="{00000000-0005-0000-0000-0000110B0000}"/>
    <cellStyle name="Style 49 3 4 2 6" xfId="13722" xr:uid="{00000000-0005-0000-0000-0000110B0000}"/>
    <cellStyle name="Style 49 3 4 2 6 2" xfId="32143" xr:uid="{00000000-0005-0000-0000-0000110B0000}"/>
    <cellStyle name="Style 49 3 4 2 6 3" xfId="50506" xr:uid="{00000000-0005-0000-0000-0000110B0000}"/>
    <cellStyle name="Style 49 3 4 2 7" xfId="23644" xr:uid="{00000000-0005-0000-0000-0000110B0000}"/>
    <cellStyle name="Style 49 3 4 2 7 2" xfId="42013" xr:uid="{00000000-0005-0000-0000-0000110B0000}"/>
    <cellStyle name="Style 49 3 4 2 8" xfId="18790" xr:uid="{00000000-0005-0000-0000-0000110B0000}"/>
    <cellStyle name="Style 49 3 4 2 9" xfId="37199" xr:uid="{00000000-0005-0000-0000-0000110B0000}"/>
    <cellStyle name="Style 49 3 4 3" xfId="4829" xr:uid="{00000000-0005-0000-0000-0000110B0000}"/>
    <cellStyle name="Style 49 3 4 3 2" xfId="11390" xr:uid="{00000000-0005-0000-0000-0000110B0000}"/>
    <cellStyle name="Style 49 3 4 3 2 2" xfId="29982" xr:uid="{00000000-0005-0000-0000-0000110B0000}"/>
    <cellStyle name="Style 49 3 4 3 2 3" xfId="48345" xr:uid="{00000000-0005-0000-0000-0000110B0000}"/>
    <cellStyle name="Style 49 3 4 3 3" xfId="15555" xr:uid="{00000000-0005-0000-0000-0000110B0000}"/>
    <cellStyle name="Style 49 3 4 3 3 2" xfId="33948" xr:uid="{00000000-0005-0000-0000-0000110B0000}"/>
    <cellStyle name="Style 49 3 4 3 3 3" xfId="52311" xr:uid="{00000000-0005-0000-0000-0000110B0000}"/>
    <cellStyle name="Style 49 3 4 3 4" xfId="24679" xr:uid="{00000000-0005-0000-0000-0000110B0000}"/>
    <cellStyle name="Style 49 3 4 3 4 2" xfId="43048" xr:uid="{00000000-0005-0000-0000-0000110B0000}"/>
    <cellStyle name="Style 49 3 4 3 5" xfId="21006" xr:uid="{00000000-0005-0000-0000-0000110B0000}"/>
    <cellStyle name="Style 49 3 4 3 6" xfId="39395" xr:uid="{00000000-0005-0000-0000-0000110B0000}"/>
    <cellStyle name="Style 49 3 4 4" xfId="66" xr:uid="{00000000-0005-0000-0000-0000110B0000}"/>
    <cellStyle name="Style 49 3 4 4 2" xfId="9158" xr:uid="{00000000-0005-0000-0000-0000110B0000}"/>
    <cellStyle name="Style 49 3 4 4 2 2" xfId="27880" xr:uid="{00000000-0005-0000-0000-0000110B0000}"/>
    <cellStyle name="Style 49 3 4 4 2 3" xfId="46243" xr:uid="{00000000-0005-0000-0000-0000110B0000}"/>
    <cellStyle name="Style 49 3 4 4 3" xfId="13217" xr:uid="{00000000-0005-0000-0000-0000110B0000}"/>
    <cellStyle name="Style 49 3 4 4 3 2" xfId="31638" xr:uid="{00000000-0005-0000-0000-0000110B0000}"/>
    <cellStyle name="Style 49 3 4 4 3 3" xfId="50001" xr:uid="{00000000-0005-0000-0000-0000110B0000}"/>
    <cellStyle name="Style 49 3 4 4 4" xfId="18078" xr:uid="{00000000-0005-0000-0000-0000110B0000}"/>
    <cellStyle name="Style 49 3 4 4 4 2" xfId="36485" xr:uid="{00000000-0005-0000-0000-0000110B0000}"/>
    <cellStyle name="Style 49 3 4 4 5" xfId="18150" xr:uid="{00000000-0005-0000-0000-0000110B0000}"/>
    <cellStyle name="Style 49 3 4 4 6" xfId="36557" xr:uid="{00000000-0005-0000-0000-0000110B0000}"/>
    <cellStyle name="Style 49 3 4 5" xfId="9035" xr:uid="{00000000-0005-0000-0000-0000110B0000}"/>
    <cellStyle name="Style 49 3 4 5 2" xfId="6914" xr:uid="{00000000-0005-0000-0000-0000110B0000}"/>
    <cellStyle name="Style 49 3 4 5 2 2" xfId="26649" xr:uid="{00000000-0005-0000-0000-0000110B0000}"/>
    <cellStyle name="Style 49 3 4 5 2 3" xfId="45018" xr:uid="{00000000-0005-0000-0000-0000110B0000}"/>
    <cellStyle name="Style 49 3 4 5 3" xfId="27761" xr:uid="{00000000-0005-0000-0000-0000110B0000}"/>
    <cellStyle name="Style 49 3 4 5 3 2" xfId="46124" xr:uid="{00000000-0005-0000-0000-0000110B0000}"/>
    <cellStyle name="Style 49 3 4 5 4" xfId="17930" xr:uid="{00000000-0005-0000-0000-0000110B0000}"/>
    <cellStyle name="Style 49 3 4 5 5" xfId="36338" xr:uid="{00000000-0005-0000-0000-0000110B0000}"/>
    <cellStyle name="Style 49 3 4 6" xfId="8117" xr:uid="{00000000-0005-0000-0000-0000110B0000}"/>
    <cellStyle name="Style 49 3 4 6 2" xfId="27322" xr:uid="{00000000-0005-0000-0000-0000110B0000}"/>
    <cellStyle name="Style 49 3 4 6 3" xfId="45687" xr:uid="{00000000-0005-0000-0000-0000110B0000}"/>
    <cellStyle name="Style 49 3 4 7" xfId="7490" xr:uid="{00000000-0005-0000-0000-0000110B0000}"/>
    <cellStyle name="Style 49 3 4 7 2" xfId="26856" xr:uid="{00000000-0005-0000-0000-0000110B0000}"/>
    <cellStyle name="Style 49 3 4 7 3" xfId="45221" xr:uid="{00000000-0005-0000-0000-0000110B0000}"/>
    <cellStyle name="Style 49 3 4 8" xfId="18907" xr:uid="{00000000-0005-0000-0000-0000110B0000}"/>
    <cellStyle name="Style 49 3 4 8 2" xfId="37316" xr:uid="{00000000-0005-0000-0000-0000110B0000}"/>
    <cellStyle name="Style 49 3 4 9" xfId="8233" xr:uid="{00000000-0005-0000-0000-0000110B0000}"/>
    <cellStyle name="Style 49 3 5" xfId="2333" xr:uid="{00000000-0005-0000-0000-0000120B0000}"/>
    <cellStyle name="Style 49 3 5 10" xfId="20633" xr:uid="{00000000-0005-0000-0000-0000120B0000}"/>
    <cellStyle name="Style 49 3 5 2" xfId="3781" xr:uid="{00000000-0005-0000-0000-0000120B0000}"/>
    <cellStyle name="Style 49 3 5 2 2" xfId="5954" xr:uid="{00000000-0005-0000-0000-0000120B0000}"/>
    <cellStyle name="Style 49 3 5 2 2 2" xfId="12318" xr:uid="{00000000-0005-0000-0000-0000120B0000}"/>
    <cellStyle name="Style 49 3 5 2 2 2 2" xfId="30765" xr:uid="{00000000-0005-0000-0000-0000120B0000}"/>
    <cellStyle name="Style 49 3 5 2 2 2 3" xfId="49128" xr:uid="{00000000-0005-0000-0000-0000120B0000}"/>
    <cellStyle name="Style 49 3 5 2 2 3" xfId="16644" xr:uid="{00000000-0005-0000-0000-0000120B0000}"/>
    <cellStyle name="Style 49 3 5 2 2 3 2" xfId="35016" xr:uid="{00000000-0005-0000-0000-0000120B0000}"/>
    <cellStyle name="Style 49 3 5 2 2 3 3" xfId="53379" xr:uid="{00000000-0005-0000-0000-0000120B0000}"/>
    <cellStyle name="Style 49 3 5 2 2 4" xfId="25763" xr:uid="{00000000-0005-0000-0000-0000120B0000}"/>
    <cellStyle name="Style 49 3 5 2 2 4 2" xfId="44132" xr:uid="{00000000-0005-0000-0000-0000120B0000}"/>
    <cellStyle name="Style 49 3 5 2 2 5" xfId="22084" xr:uid="{00000000-0005-0000-0000-0000120B0000}"/>
    <cellStyle name="Style 49 3 5 2 2 6" xfId="40463" xr:uid="{00000000-0005-0000-0000-0000120B0000}"/>
    <cellStyle name="Style 49 3 5 2 3" xfId="6780" xr:uid="{00000000-0005-0000-0000-0000120B0000}"/>
    <cellStyle name="Style 49 3 5 2 3 2" xfId="13071" xr:uid="{00000000-0005-0000-0000-0000120B0000}"/>
    <cellStyle name="Style 49 3 5 2 3 2 2" xfId="31497" xr:uid="{00000000-0005-0000-0000-0000120B0000}"/>
    <cellStyle name="Style 49 3 5 2 3 2 3" xfId="49860" xr:uid="{00000000-0005-0000-0000-0000120B0000}"/>
    <cellStyle name="Style 49 3 5 2 3 3" xfId="17382" xr:uid="{00000000-0005-0000-0000-0000120B0000}"/>
    <cellStyle name="Style 49 3 5 2 3 3 2" xfId="35730" xr:uid="{00000000-0005-0000-0000-0000120B0000}"/>
    <cellStyle name="Style 49 3 5 2 3 3 3" xfId="54093" xr:uid="{00000000-0005-0000-0000-0000120B0000}"/>
    <cellStyle name="Style 49 3 5 2 3 4" xfId="26515" xr:uid="{00000000-0005-0000-0000-0000120B0000}"/>
    <cellStyle name="Style 49 3 5 2 3 4 2" xfId="44884" xr:uid="{00000000-0005-0000-0000-0000120B0000}"/>
    <cellStyle name="Style 49 3 5 2 3 5" xfId="22808" xr:uid="{00000000-0005-0000-0000-0000120B0000}"/>
    <cellStyle name="Style 49 3 5 2 3 6" xfId="41177" xr:uid="{00000000-0005-0000-0000-0000120B0000}"/>
    <cellStyle name="Style 49 3 5 2 4" xfId="10494" xr:uid="{00000000-0005-0000-0000-0000120B0000}"/>
    <cellStyle name="Style 49 3 5 2 4 2" xfId="14551" xr:uid="{00000000-0005-0000-0000-0000120B0000}"/>
    <cellStyle name="Style 49 3 5 2 4 2 2" xfId="32967" xr:uid="{00000000-0005-0000-0000-0000120B0000}"/>
    <cellStyle name="Style 49 3 5 2 4 2 3" xfId="51330" xr:uid="{00000000-0005-0000-0000-0000120B0000}"/>
    <cellStyle name="Style 49 3 5 2 4 3" xfId="29205" xr:uid="{00000000-0005-0000-0000-0000120B0000}"/>
    <cellStyle name="Style 49 3 5 2 4 3 2" xfId="47568" xr:uid="{00000000-0005-0000-0000-0000120B0000}"/>
    <cellStyle name="Style 49 3 5 2 4 4" xfId="20008" xr:uid="{00000000-0005-0000-0000-0000120B0000}"/>
    <cellStyle name="Style 49 3 5 2 4 5" xfId="38414" xr:uid="{00000000-0005-0000-0000-0000120B0000}"/>
    <cellStyle name="Style 49 3 5 2 5" xfId="9765" xr:uid="{00000000-0005-0000-0000-0000120B0000}"/>
    <cellStyle name="Style 49 3 5 2 5 2" xfId="28480" xr:uid="{00000000-0005-0000-0000-0000120B0000}"/>
    <cellStyle name="Style 49 3 5 2 5 3" xfId="46843" xr:uid="{00000000-0005-0000-0000-0000120B0000}"/>
    <cellStyle name="Style 49 3 5 2 6" xfId="13822" xr:uid="{00000000-0005-0000-0000-0000120B0000}"/>
    <cellStyle name="Style 49 3 5 2 6 2" xfId="32242" xr:uid="{00000000-0005-0000-0000-0000120B0000}"/>
    <cellStyle name="Style 49 3 5 2 6 3" xfId="50605" xr:uid="{00000000-0005-0000-0000-0000120B0000}"/>
    <cellStyle name="Style 49 3 5 2 7" xfId="23689" xr:uid="{00000000-0005-0000-0000-0000120B0000}"/>
    <cellStyle name="Style 49 3 5 2 7 2" xfId="42058" xr:uid="{00000000-0005-0000-0000-0000120B0000}"/>
    <cellStyle name="Style 49 3 5 2 8" xfId="18947" xr:uid="{00000000-0005-0000-0000-0000120B0000}"/>
    <cellStyle name="Style 49 3 5 2 9" xfId="37356" xr:uid="{00000000-0005-0000-0000-0000120B0000}"/>
    <cellStyle name="Style 49 3 5 3" xfId="4981" xr:uid="{00000000-0005-0000-0000-0000120B0000}"/>
    <cellStyle name="Style 49 3 5 3 2" xfId="11511" xr:uid="{00000000-0005-0000-0000-0000120B0000}"/>
    <cellStyle name="Style 49 3 5 3 2 2" xfId="30084" xr:uid="{00000000-0005-0000-0000-0000120B0000}"/>
    <cellStyle name="Style 49 3 5 3 2 3" xfId="48447" xr:uid="{00000000-0005-0000-0000-0000120B0000}"/>
    <cellStyle name="Style 49 3 5 3 3" xfId="15697" xr:uid="{00000000-0005-0000-0000-0000120B0000}"/>
    <cellStyle name="Style 49 3 5 3 3 2" xfId="34086" xr:uid="{00000000-0005-0000-0000-0000120B0000}"/>
    <cellStyle name="Style 49 3 5 3 3 3" xfId="52449" xr:uid="{00000000-0005-0000-0000-0000120B0000}"/>
    <cellStyle name="Style 49 3 5 3 4" xfId="24821" xr:uid="{00000000-0005-0000-0000-0000120B0000}"/>
    <cellStyle name="Style 49 3 5 3 4 2" xfId="43190" xr:uid="{00000000-0005-0000-0000-0000120B0000}"/>
    <cellStyle name="Style 49 3 5 3 5" xfId="21146" xr:uid="{00000000-0005-0000-0000-0000120B0000}"/>
    <cellStyle name="Style 49 3 5 3 6" xfId="39533" xr:uid="{00000000-0005-0000-0000-0000120B0000}"/>
    <cellStyle name="Style 49 3 5 4" xfId="6121" xr:uid="{00000000-0005-0000-0000-0000120B0000}"/>
    <cellStyle name="Style 49 3 5 4 2" xfId="12475" xr:uid="{00000000-0005-0000-0000-0000120B0000}"/>
    <cellStyle name="Style 49 3 5 4 2 2" xfId="30915" xr:uid="{00000000-0005-0000-0000-0000120B0000}"/>
    <cellStyle name="Style 49 3 5 4 2 3" xfId="49278" xr:uid="{00000000-0005-0000-0000-0000120B0000}"/>
    <cellStyle name="Style 49 3 5 4 3" xfId="16794" xr:uid="{00000000-0005-0000-0000-0000120B0000}"/>
    <cellStyle name="Style 49 3 5 4 3 2" xfId="35163" xr:uid="{00000000-0005-0000-0000-0000120B0000}"/>
    <cellStyle name="Style 49 3 5 4 3 3" xfId="53526" xr:uid="{00000000-0005-0000-0000-0000120B0000}"/>
    <cellStyle name="Style 49 3 5 4 4" xfId="25917" xr:uid="{00000000-0005-0000-0000-0000120B0000}"/>
    <cellStyle name="Style 49 3 5 4 4 2" xfId="44286" xr:uid="{00000000-0005-0000-0000-0000120B0000}"/>
    <cellStyle name="Style 49 3 5 4 5" xfId="22233" xr:uid="{00000000-0005-0000-0000-0000120B0000}"/>
    <cellStyle name="Style 49 3 5 4 6" xfId="40610" xr:uid="{00000000-0005-0000-0000-0000120B0000}"/>
    <cellStyle name="Style 49 3 5 5" xfId="9679" xr:uid="{00000000-0005-0000-0000-0000120B0000}"/>
    <cellStyle name="Style 49 3 5 5 2" xfId="13736" xr:uid="{00000000-0005-0000-0000-0000120B0000}"/>
    <cellStyle name="Style 49 3 5 5 2 2" xfId="32157" xr:uid="{00000000-0005-0000-0000-0000120B0000}"/>
    <cellStyle name="Style 49 3 5 5 2 3" xfId="50520" xr:uid="{00000000-0005-0000-0000-0000120B0000}"/>
    <cellStyle name="Style 49 3 5 5 3" xfId="28395" xr:uid="{00000000-0005-0000-0000-0000120B0000}"/>
    <cellStyle name="Style 49 3 5 5 3 2" xfId="46758" xr:uid="{00000000-0005-0000-0000-0000120B0000}"/>
    <cellStyle name="Style 49 3 5 5 4" xfId="18820" xr:uid="{00000000-0005-0000-0000-0000120B0000}"/>
    <cellStyle name="Style 49 3 5 5 5" xfId="37229" xr:uid="{00000000-0005-0000-0000-0000120B0000}"/>
    <cellStyle name="Style 49 3 5 6" xfId="8374" xr:uid="{00000000-0005-0000-0000-0000120B0000}"/>
    <cellStyle name="Style 49 3 5 6 2" xfId="27441" xr:uid="{00000000-0005-0000-0000-0000120B0000}"/>
    <cellStyle name="Style 49 3 5 6 3" xfId="45805" xr:uid="{00000000-0005-0000-0000-0000120B0000}"/>
    <cellStyle name="Style 49 3 5 7" xfId="8477" xr:uid="{00000000-0005-0000-0000-0000120B0000}"/>
    <cellStyle name="Style 49 3 5 7 2" xfId="27499" xr:uid="{00000000-0005-0000-0000-0000120B0000}"/>
    <cellStyle name="Style 49 3 5 7 3" xfId="45863" xr:uid="{00000000-0005-0000-0000-0000120B0000}"/>
    <cellStyle name="Style 49 3 5 8" xfId="18123" xr:uid="{00000000-0005-0000-0000-0000120B0000}"/>
    <cellStyle name="Style 49 3 5 8 2" xfId="36530" xr:uid="{00000000-0005-0000-0000-0000120B0000}"/>
    <cellStyle name="Style 49 3 5 9" xfId="8551" xr:uid="{00000000-0005-0000-0000-0000120B0000}"/>
    <cellStyle name="Style 49 3 6" xfId="2780" xr:uid="{00000000-0005-0000-0000-0000130B0000}"/>
    <cellStyle name="Style 49 3 6 10" xfId="35921" xr:uid="{00000000-0005-0000-0000-0000130B0000}"/>
    <cellStyle name="Style 49 3 6 2" xfId="3817" xr:uid="{00000000-0005-0000-0000-0000130B0000}"/>
    <cellStyle name="Style 49 3 6 2 2" xfId="5990" xr:uid="{00000000-0005-0000-0000-0000130B0000}"/>
    <cellStyle name="Style 49 3 6 2 2 2" xfId="12354" xr:uid="{00000000-0005-0000-0000-0000130B0000}"/>
    <cellStyle name="Style 49 3 6 2 2 2 2" xfId="30801" xr:uid="{00000000-0005-0000-0000-0000130B0000}"/>
    <cellStyle name="Style 49 3 6 2 2 2 3" xfId="49164" xr:uid="{00000000-0005-0000-0000-0000130B0000}"/>
    <cellStyle name="Style 49 3 6 2 2 3" xfId="16680" xr:uid="{00000000-0005-0000-0000-0000130B0000}"/>
    <cellStyle name="Style 49 3 6 2 2 3 2" xfId="35052" xr:uid="{00000000-0005-0000-0000-0000130B0000}"/>
    <cellStyle name="Style 49 3 6 2 2 3 3" xfId="53415" xr:uid="{00000000-0005-0000-0000-0000130B0000}"/>
    <cellStyle name="Style 49 3 6 2 2 4" xfId="25799" xr:uid="{00000000-0005-0000-0000-0000130B0000}"/>
    <cellStyle name="Style 49 3 6 2 2 4 2" xfId="44168" xr:uid="{00000000-0005-0000-0000-0000130B0000}"/>
    <cellStyle name="Style 49 3 6 2 2 5" xfId="22120" xr:uid="{00000000-0005-0000-0000-0000130B0000}"/>
    <cellStyle name="Style 49 3 6 2 2 6" xfId="40499" xr:uid="{00000000-0005-0000-0000-0000130B0000}"/>
    <cellStyle name="Style 49 3 6 2 3" xfId="6816" xr:uid="{00000000-0005-0000-0000-0000130B0000}"/>
    <cellStyle name="Style 49 3 6 2 3 2" xfId="13107" xr:uid="{00000000-0005-0000-0000-0000130B0000}"/>
    <cellStyle name="Style 49 3 6 2 3 2 2" xfId="31533" xr:uid="{00000000-0005-0000-0000-0000130B0000}"/>
    <cellStyle name="Style 49 3 6 2 3 2 3" xfId="49896" xr:uid="{00000000-0005-0000-0000-0000130B0000}"/>
    <cellStyle name="Style 49 3 6 2 3 3" xfId="17418" xr:uid="{00000000-0005-0000-0000-0000130B0000}"/>
    <cellStyle name="Style 49 3 6 2 3 3 2" xfId="35766" xr:uid="{00000000-0005-0000-0000-0000130B0000}"/>
    <cellStyle name="Style 49 3 6 2 3 3 3" xfId="54129" xr:uid="{00000000-0005-0000-0000-0000130B0000}"/>
    <cellStyle name="Style 49 3 6 2 3 4" xfId="26551" xr:uid="{00000000-0005-0000-0000-0000130B0000}"/>
    <cellStyle name="Style 49 3 6 2 3 4 2" xfId="44920" xr:uid="{00000000-0005-0000-0000-0000130B0000}"/>
    <cellStyle name="Style 49 3 6 2 3 5" xfId="22844" xr:uid="{00000000-0005-0000-0000-0000130B0000}"/>
    <cellStyle name="Style 49 3 6 2 3 6" xfId="41213" xr:uid="{00000000-0005-0000-0000-0000130B0000}"/>
    <cellStyle name="Style 49 3 6 2 4" xfId="10530" xr:uid="{00000000-0005-0000-0000-0000130B0000}"/>
    <cellStyle name="Style 49 3 6 2 4 2" xfId="14587" xr:uid="{00000000-0005-0000-0000-0000130B0000}"/>
    <cellStyle name="Style 49 3 6 2 4 2 2" xfId="33003" xr:uid="{00000000-0005-0000-0000-0000130B0000}"/>
    <cellStyle name="Style 49 3 6 2 4 2 3" xfId="51366" xr:uid="{00000000-0005-0000-0000-0000130B0000}"/>
    <cellStyle name="Style 49 3 6 2 4 3" xfId="29241" xr:uid="{00000000-0005-0000-0000-0000130B0000}"/>
    <cellStyle name="Style 49 3 6 2 4 3 2" xfId="47604" xr:uid="{00000000-0005-0000-0000-0000130B0000}"/>
    <cellStyle name="Style 49 3 6 2 4 4" xfId="20044" xr:uid="{00000000-0005-0000-0000-0000130B0000}"/>
    <cellStyle name="Style 49 3 6 2 4 5" xfId="38450" xr:uid="{00000000-0005-0000-0000-0000130B0000}"/>
    <cellStyle name="Style 49 3 6 2 5" xfId="9863" xr:uid="{00000000-0005-0000-0000-0000130B0000}"/>
    <cellStyle name="Style 49 3 6 2 5 2" xfId="28577" xr:uid="{00000000-0005-0000-0000-0000130B0000}"/>
    <cellStyle name="Style 49 3 6 2 5 3" xfId="46940" xr:uid="{00000000-0005-0000-0000-0000130B0000}"/>
    <cellStyle name="Style 49 3 6 2 6" xfId="13921" xr:uid="{00000000-0005-0000-0000-0000130B0000}"/>
    <cellStyle name="Style 49 3 6 2 6 2" xfId="32339" xr:uid="{00000000-0005-0000-0000-0000130B0000}"/>
    <cellStyle name="Style 49 3 6 2 6 3" xfId="50702" xr:uid="{00000000-0005-0000-0000-0000130B0000}"/>
    <cellStyle name="Style 49 3 6 2 7" xfId="23725" xr:uid="{00000000-0005-0000-0000-0000130B0000}"/>
    <cellStyle name="Style 49 3 6 2 7 2" xfId="42094" xr:uid="{00000000-0005-0000-0000-0000130B0000}"/>
    <cellStyle name="Style 49 3 6 2 8" xfId="19117" xr:uid="{00000000-0005-0000-0000-0000130B0000}"/>
    <cellStyle name="Style 49 3 6 2 9" xfId="37525" xr:uid="{00000000-0005-0000-0000-0000130B0000}"/>
    <cellStyle name="Style 49 3 6 3" xfId="5141" xr:uid="{00000000-0005-0000-0000-0000130B0000}"/>
    <cellStyle name="Style 49 3 6 3 2" xfId="11646" xr:uid="{00000000-0005-0000-0000-0000130B0000}"/>
    <cellStyle name="Style 49 3 6 3 2 2" xfId="30194" xr:uid="{00000000-0005-0000-0000-0000130B0000}"/>
    <cellStyle name="Style 49 3 6 3 2 3" xfId="48557" xr:uid="{00000000-0005-0000-0000-0000130B0000}"/>
    <cellStyle name="Style 49 3 6 3 3" xfId="15845" xr:uid="{00000000-0005-0000-0000-0000130B0000}"/>
    <cellStyle name="Style 49 3 6 3 3 2" xfId="34229" xr:uid="{00000000-0005-0000-0000-0000130B0000}"/>
    <cellStyle name="Style 49 3 6 3 3 3" xfId="52592" xr:uid="{00000000-0005-0000-0000-0000130B0000}"/>
    <cellStyle name="Style 49 3 6 3 4" xfId="24968" xr:uid="{00000000-0005-0000-0000-0000130B0000}"/>
    <cellStyle name="Style 49 3 6 3 4 2" xfId="43337" xr:uid="{00000000-0005-0000-0000-0000130B0000}"/>
    <cellStyle name="Style 49 3 6 3 5" xfId="21291" xr:uid="{00000000-0005-0000-0000-0000130B0000}"/>
    <cellStyle name="Style 49 3 6 3 6" xfId="39676" xr:uid="{00000000-0005-0000-0000-0000130B0000}"/>
    <cellStyle name="Style 49 3 6 4" xfId="6191" xr:uid="{00000000-0005-0000-0000-0000130B0000}"/>
    <cellStyle name="Style 49 3 6 4 2" xfId="12526" xr:uid="{00000000-0005-0000-0000-0000130B0000}"/>
    <cellStyle name="Style 49 3 6 4 2 2" xfId="30958" xr:uid="{00000000-0005-0000-0000-0000130B0000}"/>
    <cellStyle name="Style 49 3 6 4 2 3" xfId="49321" xr:uid="{00000000-0005-0000-0000-0000130B0000}"/>
    <cellStyle name="Style 49 3 6 4 3" xfId="16841" xr:uid="{00000000-0005-0000-0000-0000130B0000}"/>
    <cellStyle name="Style 49 3 6 4 3 2" xfId="35201" xr:uid="{00000000-0005-0000-0000-0000130B0000}"/>
    <cellStyle name="Style 49 3 6 4 3 3" xfId="53564" xr:uid="{00000000-0005-0000-0000-0000130B0000}"/>
    <cellStyle name="Style 49 3 6 4 4" xfId="25968" xr:uid="{00000000-0005-0000-0000-0000130B0000}"/>
    <cellStyle name="Style 49 3 6 4 4 2" xfId="44337" xr:uid="{00000000-0005-0000-0000-0000130B0000}"/>
    <cellStyle name="Style 49 3 6 4 5" xfId="22275" xr:uid="{00000000-0005-0000-0000-0000130B0000}"/>
    <cellStyle name="Style 49 3 6 4 6" xfId="40648" xr:uid="{00000000-0005-0000-0000-0000130B0000}"/>
    <cellStyle name="Style 49 3 6 5" xfId="10023" xr:uid="{00000000-0005-0000-0000-0000130B0000}"/>
    <cellStyle name="Style 49 3 6 5 2" xfId="14080" xr:uid="{00000000-0005-0000-0000-0000130B0000}"/>
    <cellStyle name="Style 49 3 6 5 2 2" xfId="32496" xr:uid="{00000000-0005-0000-0000-0000130B0000}"/>
    <cellStyle name="Style 49 3 6 5 2 3" xfId="50859" xr:uid="{00000000-0005-0000-0000-0000130B0000}"/>
    <cellStyle name="Style 49 3 6 5 3" xfId="28734" xr:uid="{00000000-0005-0000-0000-0000130B0000}"/>
    <cellStyle name="Style 49 3 6 5 3 2" xfId="47097" xr:uid="{00000000-0005-0000-0000-0000130B0000}"/>
    <cellStyle name="Style 49 3 6 5 4" xfId="19402" xr:uid="{00000000-0005-0000-0000-0000130B0000}"/>
    <cellStyle name="Style 49 3 6 5 5" xfId="37808" xr:uid="{00000000-0005-0000-0000-0000130B0000}"/>
    <cellStyle name="Style 49 3 6 6" xfId="8650" xr:uid="{00000000-0005-0000-0000-0000130B0000}"/>
    <cellStyle name="Style 49 3 6 6 2" xfId="27558" xr:uid="{00000000-0005-0000-0000-0000130B0000}"/>
    <cellStyle name="Style 49 3 6 6 3" xfId="45921" xr:uid="{00000000-0005-0000-0000-0000130B0000}"/>
    <cellStyle name="Style 49 3 6 7" xfId="7496" xr:uid="{00000000-0005-0000-0000-0000130B0000}"/>
    <cellStyle name="Style 49 3 6 7 2" xfId="26859" xr:uid="{00000000-0005-0000-0000-0000130B0000}"/>
    <cellStyle name="Style 49 3 6 7 3" xfId="45224" xr:uid="{00000000-0005-0000-0000-0000130B0000}"/>
    <cellStyle name="Style 49 3 6 8" xfId="18766" xr:uid="{00000000-0005-0000-0000-0000130B0000}"/>
    <cellStyle name="Style 49 3 6 8 2" xfId="37175" xr:uid="{00000000-0005-0000-0000-0000130B0000}"/>
    <cellStyle name="Style 49 3 6 9" xfId="7163" xr:uid="{00000000-0005-0000-0000-0000130B0000}"/>
    <cellStyle name="Style 49 3 7" xfId="4198" xr:uid="{00000000-0005-0000-0000-00000E0B0000}"/>
    <cellStyle name="Style 49 3 7 2" xfId="10847" xr:uid="{00000000-0005-0000-0000-00000E0B0000}"/>
    <cellStyle name="Style 49 3 7 2 2" xfId="29518" xr:uid="{00000000-0005-0000-0000-00000E0B0000}"/>
    <cellStyle name="Style 49 3 7 2 3" xfId="47881" xr:uid="{00000000-0005-0000-0000-00000E0B0000}"/>
    <cellStyle name="Style 49 3 7 3" xfId="14944" xr:uid="{00000000-0005-0000-0000-00000E0B0000}"/>
    <cellStyle name="Style 49 3 7 3 2" xfId="33348" xr:uid="{00000000-0005-0000-0000-00000E0B0000}"/>
    <cellStyle name="Style 49 3 7 3 3" xfId="51711" xr:uid="{00000000-0005-0000-0000-00000E0B0000}"/>
    <cellStyle name="Style 49 3 7 4" xfId="24077" xr:uid="{00000000-0005-0000-0000-00000E0B0000}"/>
    <cellStyle name="Style 49 3 7 4 2" xfId="42446" xr:uid="{00000000-0005-0000-0000-00000E0B0000}"/>
    <cellStyle name="Style 49 3 7 5" xfId="20397" xr:uid="{00000000-0005-0000-0000-00000E0B0000}"/>
    <cellStyle name="Style 49 3 7 6" xfId="38795" xr:uid="{00000000-0005-0000-0000-00000E0B0000}"/>
    <cellStyle name="Style 49 3 8" xfId="4155" xr:uid="{00000000-0005-0000-0000-00000E0B0000}"/>
    <cellStyle name="Style 49 3 8 2" xfId="10813" xr:uid="{00000000-0005-0000-0000-00000E0B0000}"/>
    <cellStyle name="Style 49 3 8 2 2" xfId="29485" xr:uid="{00000000-0005-0000-0000-00000E0B0000}"/>
    <cellStyle name="Style 49 3 8 2 3" xfId="47848" xr:uid="{00000000-0005-0000-0000-00000E0B0000}"/>
    <cellStyle name="Style 49 3 8 3" xfId="14908" xr:uid="{00000000-0005-0000-0000-00000E0B0000}"/>
    <cellStyle name="Style 49 3 8 3 2" xfId="33312" xr:uid="{00000000-0005-0000-0000-00000E0B0000}"/>
    <cellStyle name="Style 49 3 8 3 3" xfId="51675" xr:uid="{00000000-0005-0000-0000-00000E0B0000}"/>
    <cellStyle name="Style 49 3 8 4" xfId="24037" xr:uid="{00000000-0005-0000-0000-00000E0B0000}"/>
    <cellStyle name="Style 49 3 8 4 2" xfId="42406" xr:uid="{00000000-0005-0000-0000-00000E0B0000}"/>
    <cellStyle name="Style 49 3 8 5" xfId="20361" xr:uid="{00000000-0005-0000-0000-00000E0B0000}"/>
    <cellStyle name="Style 49 3 8 6" xfId="38759" xr:uid="{00000000-0005-0000-0000-00000E0B0000}"/>
    <cellStyle name="Style 49 3 9" xfId="9731" xr:uid="{00000000-0005-0000-0000-00000E0B0000}"/>
    <cellStyle name="Style 49 3 9 2" xfId="13788" xr:uid="{00000000-0005-0000-0000-00000E0B0000}"/>
    <cellStyle name="Style 49 3 9 2 2" xfId="32209" xr:uid="{00000000-0005-0000-0000-00000E0B0000}"/>
    <cellStyle name="Style 49 3 9 2 3" xfId="50572" xr:uid="{00000000-0005-0000-0000-00000E0B0000}"/>
    <cellStyle name="Style 49 3 9 3" xfId="28447" xr:uid="{00000000-0005-0000-0000-00000E0B0000}"/>
    <cellStyle name="Style 49 3 9 3 2" xfId="46810" xr:uid="{00000000-0005-0000-0000-00000E0B0000}"/>
    <cellStyle name="Style 49 3 9 4" xfId="18885" xr:uid="{00000000-0005-0000-0000-00000E0B0000}"/>
    <cellStyle name="Style 49 3 9 5" xfId="37294" xr:uid="{00000000-0005-0000-0000-00000E0B0000}"/>
    <cellStyle name="Style 49 4" xfId="1203" xr:uid="{00000000-0005-0000-0000-0000140B0000}"/>
    <cellStyle name="Style 49 4 2" xfId="1626" xr:uid="{00000000-0005-0000-0000-0000150B0000}"/>
    <cellStyle name="Style 49 4 2 10" xfId="8466" xr:uid="{00000000-0005-0000-0000-0000150B0000}"/>
    <cellStyle name="Style 49 4 2 11" xfId="11573" xr:uid="{00000000-0005-0000-0000-0000150B0000}"/>
    <cellStyle name="Style 49 4 2 2" xfId="1709" xr:uid="{00000000-0005-0000-0000-0000160B0000}"/>
    <cellStyle name="Style 49 4 2 2 2" xfId="3606" xr:uid="{00000000-0005-0000-0000-0000160B0000}"/>
    <cellStyle name="Style 49 4 2 2 2 2" xfId="5779" xr:uid="{00000000-0005-0000-0000-0000160B0000}"/>
    <cellStyle name="Style 49 4 2 2 2 2 2" xfId="12143" xr:uid="{00000000-0005-0000-0000-0000160B0000}"/>
    <cellStyle name="Style 49 4 2 2 2 2 2 2" xfId="30590" xr:uid="{00000000-0005-0000-0000-0000160B0000}"/>
    <cellStyle name="Style 49 4 2 2 2 2 2 3" xfId="48953" xr:uid="{00000000-0005-0000-0000-0000160B0000}"/>
    <cellStyle name="Style 49 4 2 2 2 2 3" xfId="16469" xr:uid="{00000000-0005-0000-0000-0000160B0000}"/>
    <cellStyle name="Style 49 4 2 2 2 2 3 2" xfId="34841" xr:uid="{00000000-0005-0000-0000-0000160B0000}"/>
    <cellStyle name="Style 49 4 2 2 2 2 3 3" xfId="53204" xr:uid="{00000000-0005-0000-0000-0000160B0000}"/>
    <cellStyle name="Style 49 4 2 2 2 2 4" xfId="25588" xr:uid="{00000000-0005-0000-0000-0000160B0000}"/>
    <cellStyle name="Style 49 4 2 2 2 2 4 2" xfId="43957" xr:uid="{00000000-0005-0000-0000-0000160B0000}"/>
    <cellStyle name="Style 49 4 2 2 2 2 5" xfId="21909" xr:uid="{00000000-0005-0000-0000-0000160B0000}"/>
    <cellStyle name="Style 49 4 2 2 2 2 6" xfId="40288" xr:uid="{00000000-0005-0000-0000-0000160B0000}"/>
    <cellStyle name="Style 49 4 2 2 2 3" xfId="6605" xr:uid="{00000000-0005-0000-0000-0000160B0000}"/>
    <cellStyle name="Style 49 4 2 2 2 3 2" xfId="12896" xr:uid="{00000000-0005-0000-0000-0000160B0000}"/>
    <cellStyle name="Style 49 4 2 2 2 3 2 2" xfId="31322" xr:uid="{00000000-0005-0000-0000-0000160B0000}"/>
    <cellStyle name="Style 49 4 2 2 2 3 2 3" xfId="49685" xr:uid="{00000000-0005-0000-0000-0000160B0000}"/>
    <cellStyle name="Style 49 4 2 2 2 3 3" xfId="17207" xr:uid="{00000000-0005-0000-0000-0000160B0000}"/>
    <cellStyle name="Style 49 4 2 2 2 3 3 2" xfId="35555" xr:uid="{00000000-0005-0000-0000-0000160B0000}"/>
    <cellStyle name="Style 49 4 2 2 2 3 3 3" xfId="53918" xr:uid="{00000000-0005-0000-0000-0000160B0000}"/>
    <cellStyle name="Style 49 4 2 2 2 3 4" xfId="26340" xr:uid="{00000000-0005-0000-0000-0000160B0000}"/>
    <cellStyle name="Style 49 4 2 2 2 3 4 2" xfId="44709" xr:uid="{00000000-0005-0000-0000-0000160B0000}"/>
    <cellStyle name="Style 49 4 2 2 2 3 5" xfId="22633" xr:uid="{00000000-0005-0000-0000-0000160B0000}"/>
    <cellStyle name="Style 49 4 2 2 2 3 6" xfId="41002" xr:uid="{00000000-0005-0000-0000-0000160B0000}"/>
    <cellStyle name="Style 49 4 2 2 2 4" xfId="10319" xr:uid="{00000000-0005-0000-0000-0000160B0000}"/>
    <cellStyle name="Style 49 4 2 2 2 4 2" xfId="14376" xr:uid="{00000000-0005-0000-0000-0000160B0000}"/>
    <cellStyle name="Style 49 4 2 2 2 4 2 2" xfId="32792" xr:uid="{00000000-0005-0000-0000-0000160B0000}"/>
    <cellStyle name="Style 49 4 2 2 2 4 2 3" xfId="51155" xr:uid="{00000000-0005-0000-0000-0000160B0000}"/>
    <cellStyle name="Style 49 4 2 2 2 4 3" xfId="29030" xr:uid="{00000000-0005-0000-0000-0000160B0000}"/>
    <cellStyle name="Style 49 4 2 2 2 4 3 2" xfId="47393" xr:uid="{00000000-0005-0000-0000-0000160B0000}"/>
    <cellStyle name="Style 49 4 2 2 2 4 4" xfId="19833" xr:uid="{00000000-0005-0000-0000-0000160B0000}"/>
    <cellStyle name="Style 49 4 2 2 2 4 5" xfId="38239" xr:uid="{00000000-0005-0000-0000-0000160B0000}"/>
    <cellStyle name="Style 49 4 2 2 2 5" xfId="9527" xr:uid="{00000000-0005-0000-0000-0000160B0000}"/>
    <cellStyle name="Style 49 4 2 2 2 5 2" xfId="28244" xr:uid="{00000000-0005-0000-0000-0000160B0000}"/>
    <cellStyle name="Style 49 4 2 2 2 5 3" xfId="46607" xr:uid="{00000000-0005-0000-0000-0000160B0000}"/>
    <cellStyle name="Style 49 4 2 2 2 6" xfId="13585" xr:uid="{00000000-0005-0000-0000-0000160B0000}"/>
    <cellStyle name="Style 49 4 2 2 2 6 2" xfId="32006" xr:uid="{00000000-0005-0000-0000-0000160B0000}"/>
    <cellStyle name="Style 49 4 2 2 2 6 3" xfId="50369" xr:uid="{00000000-0005-0000-0000-0000160B0000}"/>
    <cellStyle name="Style 49 4 2 2 2 7" xfId="23514" xr:uid="{00000000-0005-0000-0000-0000160B0000}"/>
    <cellStyle name="Style 49 4 2 2 2 7 2" xfId="41883" xr:uid="{00000000-0005-0000-0000-0000160B0000}"/>
    <cellStyle name="Style 49 4 2 2 2 8" xfId="18626" xr:uid="{00000000-0005-0000-0000-0000160B0000}"/>
    <cellStyle name="Style 49 4 2 2 2 9" xfId="37036" xr:uid="{00000000-0005-0000-0000-0000160B0000}"/>
    <cellStyle name="Style 49 4 2 2 3" xfId="4646" xr:uid="{00000000-0005-0000-0000-0000160B0000}"/>
    <cellStyle name="Style 49 4 2 2 3 2" xfId="11230" xr:uid="{00000000-0005-0000-0000-0000160B0000}"/>
    <cellStyle name="Style 49 4 2 2 3 2 2" xfId="29842" xr:uid="{00000000-0005-0000-0000-0000160B0000}"/>
    <cellStyle name="Style 49 4 2 2 3 2 3" xfId="48205" xr:uid="{00000000-0005-0000-0000-0000160B0000}"/>
    <cellStyle name="Style 49 4 2 2 3 3" xfId="15372" xr:uid="{00000000-0005-0000-0000-0000160B0000}"/>
    <cellStyle name="Style 49 4 2 2 3 3 2" xfId="33765" xr:uid="{00000000-0005-0000-0000-0000160B0000}"/>
    <cellStyle name="Style 49 4 2 2 3 3 3" xfId="52128" xr:uid="{00000000-0005-0000-0000-0000160B0000}"/>
    <cellStyle name="Style 49 4 2 2 3 4" xfId="24496" xr:uid="{00000000-0005-0000-0000-0000160B0000}"/>
    <cellStyle name="Style 49 4 2 2 3 4 2" xfId="42865" xr:uid="{00000000-0005-0000-0000-0000160B0000}"/>
    <cellStyle name="Style 49 4 2 2 3 5" xfId="20823" xr:uid="{00000000-0005-0000-0000-0000160B0000}"/>
    <cellStyle name="Style 49 4 2 2 3 6" xfId="39212" xr:uid="{00000000-0005-0000-0000-0000160B0000}"/>
    <cellStyle name="Style 49 4 2 2 4" xfId="5177" xr:uid="{00000000-0005-0000-0000-0000160B0000}"/>
    <cellStyle name="Style 49 4 2 2 4 2" xfId="11670" xr:uid="{00000000-0005-0000-0000-0000160B0000}"/>
    <cellStyle name="Style 49 4 2 2 4 2 2" xfId="30214" xr:uid="{00000000-0005-0000-0000-0000160B0000}"/>
    <cellStyle name="Style 49 4 2 2 4 2 3" xfId="48577" xr:uid="{00000000-0005-0000-0000-0000160B0000}"/>
    <cellStyle name="Style 49 4 2 2 4 3" xfId="15869" xr:uid="{00000000-0005-0000-0000-0000160B0000}"/>
    <cellStyle name="Style 49 4 2 2 4 3 2" xfId="34244" xr:uid="{00000000-0005-0000-0000-0000160B0000}"/>
    <cellStyle name="Style 49 4 2 2 4 3 3" xfId="52607" xr:uid="{00000000-0005-0000-0000-0000160B0000}"/>
    <cellStyle name="Style 49 4 2 2 4 4" xfId="24991" xr:uid="{00000000-0005-0000-0000-0000160B0000}"/>
    <cellStyle name="Style 49 4 2 2 4 4 2" xfId="43360" xr:uid="{00000000-0005-0000-0000-0000160B0000}"/>
    <cellStyle name="Style 49 4 2 2 4 5" xfId="21311" xr:uid="{00000000-0005-0000-0000-0000160B0000}"/>
    <cellStyle name="Style 49 4 2 2 4 6" xfId="39691" xr:uid="{00000000-0005-0000-0000-0000160B0000}"/>
    <cellStyle name="Style 49 4 2 2 5" xfId="9087" xr:uid="{00000000-0005-0000-0000-0000160B0000}"/>
    <cellStyle name="Style 49 4 2 2 5 2" xfId="4959" xr:uid="{00000000-0005-0000-0000-0000160B0000}"/>
    <cellStyle name="Style 49 4 2 2 5 2 2" xfId="24799" xr:uid="{00000000-0005-0000-0000-0000160B0000}"/>
    <cellStyle name="Style 49 4 2 2 5 2 3" xfId="43168" xr:uid="{00000000-0005-0000-0000-0000160B0000}"/>
    <cellStyle name="Style 49 4 2 2 5 3" xfId="27813" xr:uid="{00000000-0005-0000-0000-0000160B0000}"/>
    <cellStyle name="Style 49 4 2 2 5 3 2" xfId="46176" xr:uid="{00000000-0005-0000-0000-0000160B0000}"/>
    <cellStyle name="Style 49 4 2 2 5 4" xfId="17987" xr:uid="{00000000-0005-0000-0000-0000160B0000}"/>
    <cellStyle name="Style 49 4 2 2 5 5" xfId="36395" xr:uid="{00000000-0005-0000-0000-0000160B0000}"/>
    <cellStyle name="Style 49 4 2 2 6" xfId="7940" xr:uid="{00000000-0005-0000-0000-0000160B0000}"/>
    <cellStyle name="Style 49 4 2 2 6 2" xfId="27170" xr:uid="{00000000-0005-0000-0000-0000160B0000}"/>
    <cellStyle name="Style 49 4 2 2 6 3" xfId="45535" xr:uid="{00000000-0005-0000-0000-0000160B0000}"/>
    <cellStyle name="Style 49 4 2 2 7" xfId="8347" xr:uid="{00000000-0005-0000-0000-0000160B0000}"/>
    <cellStyle name="Style 49 4 2 2 7 2" xfId="27415" xr:uid="{00000000-0005-0000-0000-0000160B0000}"/>
    <cellStyle name="Style 49 4 2 2 7 3" xfId="45779" xr:uid="{00000000-0005-0000-0000-0000160B0000}"/>
    <cellStyle name="Style 49 4 2 2 8" xfId="8198" xr:uid="{00000000-0005-0000-0000-0000160B0000}"/>
    <cellStyle name="Style 49 4 2 2 9" xfId="17558" xr:uid="{00000000-0005-0000-0000-0000160B0000}"/>
    <cellStyle name="Style 49 4 2 3" xfId="1741" xr:uid="{00000000-0005-0000-0000-0000170B0000}"/>
    <cellStyle name="Style 49 4 2 3 10" xfId="7072" xr:uid="{00000000-0005-0000-0000-0000170B0000}"/>
    <cellStyle name="Style 49 4 2 3 2" xfId="3638" xr:uid="{00000000-0005-0000-0000-0000170B0000}"/>
    <cellStyle name="Style 49 4 2 3 2 2" xfId="5811" xr:uid="{00000000-0005-0000-0000-0000170B0000}"/>
    <cellStyle name="Style 49 4 2 3 2 2 2" xfId="12175" xr:uid="{00000000-0005-0000-0000-0000170B0000}"/>
    <cellStyle name="Style 49 4 2 3 2 2 2 2" xfId="30622" xr:uid="{00000000-0005-0000-0000-0000170B0000}"/>
    <cellStyle name="Style 49 4 2 3 2 2 2 3" xfId="48985" xr:uid="{00000000-0005-0000-0000-0000170B0000}"/>
    <cellStyle name="Style 49 4 2 3 2 2 3" xfId="16501" xr:uid="{00000000-0005-0000-0000-0000170B0000}"/>
    <cellStyle name="Style 49 4 2 3 2 2 3 2" xfId="34873" xr:uid="{00000000-0005-0000-0000-0000170B0000}"/>
    <cellStyle name="Style 49 4 2 3 2 2 3 3" xfId="53236" xr:uid="{00000000-0005-0000-0000-0000170B0000}"/>
    <cellStyle name="Style 49 4 2 3 2 2 4" xfId="25620" xr:uid="{00000000-0005-0000-0000-0000170B0000}"/>
    <cellStyle name="Style 49 4 2 3 2 2 4 2" xfId="43989" xr:uid="{00000000-0005-0000-0000-0000170B0000}"/>
    <cellStyle name="Style 49 4 2 3 2 2 5" xfId="21941" xr:uid="{00000000-0005-0000-0000-0000170B0000}"/>
    <cellStyle name="Style 49 4 2 3 2 2 6" xfId="40320" xr:uid="{00000000-0005-0000-0000-0000170B0000}"/>
    <cellStyle name="Style 49 4 2 3 2 3" xfId="6637" xr:uid="{00000000-0005-0000-0000-0000170B0000}"/>
    <cellStyle name="Style 49 4 2 3 2 3 2" xfId="12928" xr:uid="{00000000-0005-0000-0000-0000170B0000}"/>
    <cellStyle name="Style 49 4 2 3 2 3 2 2" xfId="31354" xr:uid="{00000000-0005-0000-0000-0000170B0000}"/>
    <cellStyle name="Style 49 4 2 3 2 3 2 3" xfId="49717" xr:uid="{00000000-0005-0000-0000-0000170B0000}"/>
    <cellStyle name="Style 49 4 2 3 2 3 3" xfId="17239" xr:uid="{00000000-0005-0000-0000-0000170B0000}"/>
    <cellStyle name="Style 49 4 2 3 2 3 3 2" xfId="35587" xr:uid="{00000000-0005-0000-0000-0000170B0000}"/>
    <cellStyle name="Style 49 4 2 3 2 3 3 3" xfId="53950" xr:uid="{00000000-0005-0000-0000-0000170B0000}"/>
    <cellStyle name="Style 49 4 2 3 2 3 4" xfId="26372" xr:uid="{00000000-0005-0000-0000-0000170B0000}"/>
    <cellStyle name="Style 49 4 2 3 2 3 4 2" xfId="44741" xr:uid="{00000000-0005-0000-0000-0000170B0000}"/>
    <cellStyle name="Style 49 4 2 3 2 3 5" xfId="22665" xr:uid="{00000000-0005-0000-0000-0000170B0000}"/>
    <cellStyle name="Style 49 4 2 3 2 3 6" xfId="41034" xr:uid="{00000000-0005-0000-0000-0000170B0000}"/>
    <cellStyle name="Style 49 4 2 3 2 4" xfId="10351" xr:uid="{00000000-0005-0000-0000-0000170B0000}"/>
    <cellStyle name="Style 49 4 2 3 2 4 2" xfId="14408" xr:uid="{00000000-0005-0000-0000-0000170B0000}"/>
    <cellStyle name="Style 49 4 2 3 2 4 2 2" xfId="32824" xr:uid="{00000000-0005-0000-0000-0000170B0000}"/>
    <cellStyle name="Style 49 4 2 3 2 4 2 3" xfId="51187" xr:uid="{00000000-0005-0000-0000-0000170B0000}"/>
    <cellStyle name="Style 49 4 2 3 2 4 3" xfId="29062" xr:uid="{00000000-0005-0000-0000-0000170B0000}"/>
    <cellStyle name="Style 49 4 2 3 2 4 3 2" xfId="47425" xr:uid="{00000000-0005-0000-0000-0000170B0000}"/>
    <cellStyle name="Style 49 4 2 3 2 4 4" xfId="19865" xr:uid="{00000000-0005-0000-0000-0000170B0000}"/>
    <cellStyle name="Style 49 4 2 3 2 4 5" xfId="38271" xr:uid="{00000000-0005-0000-0000-0000170B0000}"/>
    <cellStyle name="Style 49 4 2 3 2 5" xfId="9559" xr:uid="{00000000-0005-0000-0000-0000170B0000}"/>
    <cellStyle name="Style 49 4 2 3 2 5 2" xfId="28276" xr:uid="{00000000-0005-0000-0000-0000170B0000}"/>
    <cellStyle name="Style 49 4 2 3 2 5 3" xfId="46639" xr:uid="{00000000-0005-0000-0000-0000170B0000}"/>
    <cellStyle name="Style 49 4 2 3 2 6" xfId="13617" xr:uid="{00000000-0005-0000-0000-0000170B0000}"/>
    <cellStyle name="Style 49 4 2 3 2 6 2" xfId="32038" xr:uid="{00000000-0005-0000-0000-0000170B0000}"/>
    <cellStyle name="Style 49 4 2 3 2 6 3" xfId="50401" xr:uid="{00000000-0005-0000-0000-0000170B0000}"/>
    <cellStyle name="Style 49 4 2 3 2 7" xfId="23546" xr:uid="{00000000-0005-0000-0000-0000170B0000}"/>
    <cellStyle name="Style 49 4 2 3 2 7 2" xfId="41915" xr:uid="{00000000-0005-0000-0000-0000170B0000}"/>
    <cellStyle name="Style 49 4 2 3 2 8" xfId="18658" xr:uid="{00000000-0005-0000-0000-0000170B0000}"/>
    <cellStyle name="Style 49 4 2 3 2 9" xfId="37068" xr:uid="{00000000-0005-0000-0000-0000170B0000}"/>
    <cellStyle name="Style 49 4 2 3 3" xfId="4678" xr:uid="{00000000-0005-0000-0000-0000170B0000}"/>
    <cellStyle name="Style 49 4 2 3 3 2" xfId="11262" xr:uid="{00000000-0005-0000-0000-0000170B0000}"/>
    <cellStyle name="Style 49 4 2 3 3 2 2" xfId="29874" xr:uid="{00000000-0005-0000-0000-0000170B0000}"/>
    <cellStyle name="Style 49 4 2 3 3 2 3" xfId="48237" xr:uid="{00000000-0005-0000-0000-0000170B0000}"/>
    <cellStyle name="Style 49 4 2 3 3 3" xfId="15404" xr:uid="{00000000-0005-0000-0000-0000170B0000}"/>
    <cellStyle name="Style 49 4 2 3 3 3 2" xfId="33797" xr:uid="{00000000-0005-0000-0000-0000170B0000}"/>
    <cellStyle name="Style 49 4 2 3 3 3 3" xfId="52160" xr:uid="{00000000-0005-0000-0000-0000170B0000}"/>
    <cellStyle name="Style 49 4 2 3 3 4" xfId="24528" xr:uid="{00000000-0005-0000-0000-0000170B0000}"/>
    <cellStyle name="Style 49 4 2 3 3 4 2" xfId="42897" xr:uid="{00000000-0005-0000-0000-0000170B0000}"/>
    <cellStyle name="Style 49 4 2 3 3 5" xfId="20855" xr:uid="{00000000-0005-0000-0000-0000170B0000}"/>
    <cellStyle name="Style 49 4 2 3 3 6" xfId="39244" xr:uid="{00000000-0005-0000-0000-0000170B0000}"/>
    <cellStyle name="Style 49 4 2 3 4" xfId="5032" xr:uid="{00000000-0005-0000-0000-0000170B0000}"/>
    <cellStyle name="Style 49 4 2 3 4 2" xfId="11555" xr:uid="{00000000-0005-0000-0000-0000170B0000}"/>
    <cellStyle name="Style 49 4 2 3 4 2 2" xfId="30127" xr:uid="{00000000-0005-0000-0000-0000170B0000}"/>
    <cellStyle name="Style 49 4 2 3 4 2 3" xfId="48490" xr:uid="{00000000-0005-0000-0000-0000170B0000}"/>
    <cellStyle name="Style 49 4 2 3 4 3" xfId="15745" xr:uid="{00000000-0005-0000-0000-0000170B0000}"/>
    <cellStyle name="Style 49 4 2 3 4 3 2" xfId="34133" xr:uid="{00000000-0005-0000-0000-0000170B0000}"/>
    <cellStyle name="Style 49 4 2 3 4 3 3" xfId="52496" xr:uid="{00000000-0005-0000-0000-0000170B0000}"/>
    <cellStyle name="Style 49 4 2 3 4 4" xfId="24869" xr:uid="{00000000-0005-0000-0000-0000170B0000}"/>
    <cellStyle name="Style 49 4 2 3 4 4 2" xfId="43238" xr:uid="{00000000-0005-0000-0000-0000170B0000}"/>
    <cellStyle name="Style 49 4 2 3 4 5" xfId="21193" xr:uid="{00000000-0005-0000-0000-0000170B0000}"/>
    <cellStyle name="Style 49 4 2 3 4 6" xfId="39580" xr:uid="{00000000-0005-0000-0000-0000170B0000}"/>
    <cellStyle name="Style 49 4 2 3 5" xfId="9806" xr:uid="{00000000-0005-0000-0000-0000170B0000}"/>
    <cellStyle name="Style 49 4 2 3 5 2" xfId="13863" xr:uid="{00000000-0005-0000-0000-0000170B0000}"/>
    <cellStyle name="Style 49 4 2 3 5 2 2" xfId="32283" xr:uid="{00000000-0005-0000-0000-0000170B0000}"/>
    <cellStyle name="Style 49 4 2 3 5 2 3" xfId="50646" xr:uid="{00000000-0005-0000-0000-0000170B0000}"/>
    <cellStyle name="Style 49 4 2 3 5 3" xfId="28521" xr:uid="{00000000-0005-0000-0000-0000170B0000}"/>
    <cellStyle name="Style 49 4 2 3 5 3 2" xfId="46884" xr:uid="{00000000-0005-0000-0000-0000170B0000}"/>
    <cellStyle name="Style 49 4 2 3 5 4" xfId="19021" xr:uid="{00000000-0005-0000-0000-0000170B0000}"/>
    <cellStyle name="Style 49 4 2 3 5 5" xfId="37430" xr:uid="{00000000-0005-0000-0000-0000170B0000}"/>
    <cellStyle name="Style 49 4 2 3 6" xfId="7972" xr:uid="{00000000-0005-0000-0000-0000170B0000}"/>
    <cellStyle name="Style 49 4 2 3 6 2" xfId="27202" xr:uid="{00000000-0005-0000-0000-0000170B0000}"/>
    <cellStyle name="Style 49 4 2 3 6 3" xfId="45567" xr:uid="{00000000-0005-0000-0000-0000170B0000}"/>
    <cellStyle name="Style 49 4 2 3 7" xfId="8087" xr:uid="{00000000-0005-0000-0000-0000170B0000}"/>
    <cellStyle name="Style 49 4 2 3 7 2" xfId="27294" xr:uid="{00000000-0005-0000-0000-0000170B0000}"/>
    <cellStyle name="Style 49 4 2 3 7 3" xfId="45659" xr:uid="{00000000-0005-0000-0000-0000170B0000}"/>
    <cellStyle name="Style 49 4 2 3 8" xfId="17872" xr:uid="{00000000-0005-0000-0000-0000170B0000}"/>
    <cellStyle name="Style 49 4 2 3 8 2" xfId="36282" xr:uid="{00000000-0005-0000-0000-0000170B0000}"/>
    <cellStyle name="Style 49 4 2 3 9" xfId="12446" xr:uid="{00000000-0005-0000-0000-0000170B0000}"/>
    <cellStyle name="Style 49 4 2 4" xfId="1769" xr:uid="{00000000-0005-0000-0000-0000180B0000}"/>
    <cellStyle name="Style 49 4 2 4 10" xfId="7448" xr:uid="{00000000-0005-0000-0000-0000180B0000}"/>
    <cellStyle name="Style 49 4 2 4 2" xfId="3666" xr:uid="{00000000-0005-0000-0000-0000180B0000}"/>
    <cellStyle name="Style 49 4 2 4 2 2" xfId="5839" xr:uid="{00000000-0005-0000-0000-0000180B0000}"/>
    <cellStyle name="Style 49 4 2 4 2 2 2" xfId="12203" xr:uid="{00000000-0005-0000-0000-0000180B0000}"/>
    <cellStyle name="Style 49 4 2 4 2 2 2 2" xfId="30650" xr:uid="{00000000-0005-0000-0000-0000180B0000}"/>
    <cellStyle name="Style 49 4 2 4 2 2 2 3" xfId="49013" xr:uid="{00000000-0005-0000-0000-0000180B0000}"/>
    <cellStyle name="Style 49 4 2 4 2 2 3" xfId="16529" xr:uid="{00000000-0005-0000-0000-0000180B0000}"/>
    <cellStyle name="Style 49 4 2 4 2 2 3 2" xfId="34901" xr:uid="{00000000-0005-0000-0000-0000180B0000}"/>
    <cellStyle name="Style 49 4 2 4 2 2 3 3" xfId="53264" xr:uid="{00000000-0005-0000-0000-0000180B0000}"/>
    <cellStyle name="Style 49 4 2 4 2 2 4" xfId="25648" xr:uid="{00000000-0005-0000-0000-0000180B0000}"/>
    <cellStyle name="Style 49 4 2 4 2 2 4 2" xfId="44017" xr:uid="{00000000-0005-0000-0000-0000180B0000}"/>
    <cellStyle name="Style 49 4 2 4 2 2 5" xfId="21969" xr:uid="{00000000-0005-0000-0000-0000180B0000}"/>
    <cellStyle name="Style 49 4 2 4 2 2 6" xfId="40348" xr:uid="{00000000-0005-0000-0000-0000180B0000}"/>
    <cellStyle name="Style 49 4 2 4 2 3" xfId="6665" xr:uid="{00000000-0005-0000-0000-0000180B0000}"/>
    <cellStyle name="Style 49 4 2 4 2 3 2" xfId="12956" xr:uid="{00000000-0005-0000-0000-0000180B0000}"/>
    <cellStyle name="Style 49 4 2 4 2 3 2 2" xfId="31382" xr:uid="{00000000-0005-0000-0000-0000180B0000}"/>
    <cellStyle name="Style 49 4 2 4 2 3 2 3" xfId="49745" xr:uid="{00000000-0005-0000-0000-0000180B0000}"/>
    <cellStyle name="Style 49 4 2 4 2 3 3" xfId="17267" xr:uid="{00000000-0005-0000-0000-0000180B0000}"/>
    <cellStyle name="Style 49 4 2 4 2 3 3 2" xfId="35615" xr:uid="{00000000-0005-0000-0000-0000180B0000}"/>
    <cellStyle name="Style 49 4 2 4 2 3 3 3" xfId="53978" xr:uid="{00000000-0005-0000-0000-0000180B0000}"/>
    <cellStyle name="Style 49 4 2 4 2 3 4" xfId="26400" xr:uid="{00000000-0005-0000-0000-0000180B0000}"/>
    <cellStyle name="Style 49 4 2 4 2 3 4 2" xfId="44769" xr:uid="{00000000-0005-0000-0000-0000180B0000}"/>
    <cellStyle name="Style 49 4 2 4 2 3 5" xfId="22693" xr:uid="{00000000-0005-0000-0000-0000180B0000}"/>
    <cellStyle name="Style 49 4 2 4 2 3 6" xfId="41062" xr:uid="{00000000-0005-0000-0000-0000180B0000}"/>
    <cellStyle name="Style 49 4 2 4 2 4" xfId="10379" xr:uid="{00000000-0005-0000-0000-0000180B0000}"/>
    <cellStyle name="Style 49 4 2 4 2 4 2" xfId="14436" xr:uid="{00000000-0005-0000-0000-0000180B0000}"/>
    <cellStyle name="Style 49 4 2 4 2 4 2 2" xfId="32852" xr:uid="{00000000-0005-0000-0000-0000180B0000}"/>
    <cellStyle name="Style 49 4 2 4 2 4 2 3" xfId="51215" xr:uid="{00000000-0005-0000-0000-0000180B0000}"/>
    <cellStyle name="Style 49 4 2 4 2 4 3" xfId="29090" xr:uid="{00000000-0005-0000-0000-0000180B0000}"/>
    <cellStyle name="Style 49 4 2 4 2 4 3 2" xfId="47453" xr:uid="{00000000-0005-0000-0000-0000180B0000}"/>
    <cellStyle name="Style 49 4 2 4 2 4 4" xfId="19893" xr:uid="{00000000-0005-0000-0000-0000180B0000}"/>
    <cellStyle name="Style 49 4 2 4 2 4 5" xfId="38299" xr:uid="{00000000-0005-0000-0000-0000180B0000}"/>
    <cellStyle name="Style 49 4 2 4 2 5" xfId="9587" xr:uid="{00000000-0005-0000-0000-0000180B0000}"/>
    <cellStyle name="Style 49 4 2 4 2 5 2" xfId="28304" xr:uid="{00000000-0005-0000-0000-0000180B0000}"/>
    <cellStyle name="Style 49 4 2 4 2 5 3" xfId="46667" xr:uid="{00000000-0005-0000-0000-0000180B0000}"/>
    <cellStyle name="Style 49 4 2 4 2 6" xfId="13645" xr:uid="{00000000-0005-0000-0000-0000180B0000}"/>
    <cellStyle name="Style 49 4 2 4 2 6 2" xfId="32066" xr:uid="{00000000-0005-0000-0000-0000180B0000}"/>
    <cellStyle name="Style 49 4 2 4 2 6 3" xfId="50429" xr:uid="{00000000-0005-0000-0000-0000180B0000}"/>
    <cellStyle name="Style 49 4 2 4 2 7" xfId="23574" xr:uid="{00000000-0005-0000-0000-0000180B0000}"/>
    <cellStyle name="Style 49 4 2 4 2 7 2" xfId="41943" xr:uid="{00000000-0005-0000-0000-0000180B0000}"/>
    <cellStyle name="Style 49 4 2 4 2 8" xfId="18686" xr:uid="{00000000-0005-0000-0000-0000180B0000}"/>
    <cellStyle name="Style 49 4 2 4 2 9" xfId="37096" xr:uid="{00000000-0005-0000-0000-0000180B0000}"/>
    <cellStyle name="Style 49 4 2 4 3" xfId="4706" xr:uid="{00000000-0005-0000-0000-0000180B0000}"/>
    <cellStyle name="Style 49 4 2 4 3 2" xfId="11290" xr:uid="{00000000-0005-0000-0000-0000180B0000}"/>
    <cellStyle name="Style 49 4 2 4 3 2 2" xfId="29902" xr:uid="{00000000-0005-0000-0000-0000180B0000}"/>
    <cellStyle name="Style 49 4 2 4 3 2 3" xfId="48265" xr:uid="{00000000-0005-0000-0000-0000180B0000}"/>
    <cellStyle name="Style 49 4 2 4 3 3" xfId="15432" xr:uid="{00000000-0005-0000-0000-0000180B0000}"/>
    <cellStyle name="Style 49 4 2 4 3 3 2" xfId="33825" xr:uid="{00000000-0005-0000-0000-0000180B0000}"/>
    <cellStyle name="Style 49 4 2 4 3 3 3" xfId="52188" xr:uid="{00000000-0005-0000-0000-0000180B0000}"/>
    <cellStyle name="Style 49 4 2 4 3 4" xfId="24556" xr:uid="{00000000-0005-0000-0000-0000180B0000}"/>
    <cellStyle name="Style 49 4 2 4 3 4 2" xfId="42925" xr:uid="{00000000-0005-0000-0000-0000180B0000}"/>
    <cellStyle name="Style 49 4 2 4 3 5" xfId="20883" xr:uid="{00000000-0005-0000-0000-0000180B0000}"/>
    <cellStyle name="Style 49 4 2 4 3 6" xfId="39272" xr:uid="{00000000-0005-0000-0000-0000180B0000}"/>
    <cellStyle name="Style 49 4 2 4 4" xfId="3949" xr:uid="{00000000-0005-0000-0000-0000180B0000}"/>
    <cellStyle name="Style 49 4 2 4 4 2" xfId="10654" xr:uid="{00000000-0005-0000-0000-0000180B0000}"/>
    <cellStyle name="Style 49 4 2 4 4 2 2" xfId="29360" xr:uid="{00000000-0005-0000-0000-0000180B0000}"/>
    <cellStyle name="Style 49 4 2 4 4 2 3" xfId="47723" xr:uid="{00000000-0005-0000-0000-0000180B0000}"/>
    <cellStyle name="Style 49 4 2 4 4 3" xfId="14712" xr:uid="{00000000-0005-0000-0000-0000180B0000}"/>
    <cellStyle name="Style 49 4 2 4 4 3 2" xfId="33124" xr:uid="{00000000-0005-0000-0000-0000180B0000}"/>
    <cellStyle name="Style 49 4 2 4 4 3 3" xfId="51487" xr:uid="{00000000-0005-0000-0000-0000180B0000}"/>
    <cellStyle name="Style 49 4 2 4 4 4" xfId="23848" xr:uid="{00000000-0005-0000-0000-0000180B0000}"/>
    <cellStyle name="Style 49 4 2 4 4 4 2" xfId="42217" xr:uid="{00000000-0005-0000-0000-0000180B0000}"/>
    <cellStyle name="Style 49 4 2 4 4 5" xfId="20166" xr:uid="{00000000-0005-0000-0000-0000180B0000}"/>
    <cellStyle name="Style 49 4 2 4 4 6" xfId="38571" xr:uid="{00000000-0005-0000-0000-0000180B0000}"/>
    <cellStyle name="Style 49 4 2 4 5" xfId="9065" xr:uid="{00000000-0005-0000-0000-0000180B0000}"/>
    <cellStyle name="Style 49 4 2 4 5 2" xfId="5096" xr:uid="{00000000-0005-0000-0000-0000180B0000}"/>
    <cellStyle name="Style 49 4 2 4 5 2 2" xfId="24927" xr:uid="{00000000-0005-0000-0000-0000180B0000}"/>
    <cellStyle name="Style 49 4 2 4 5 2 3" xfId="43296" xr:uid="{00000000-0005-0000-0000-0000180B0000}"/>
    <cellStyle name="Style 49 4 2 4 5 3" xfId="27791" xr:uid="{00000000-0005-0000-0000-0000180B0000}"/>
    <cellStyle name="Style 49 4 2 4 5 3 2" xfId="46154" xr:uid="{00000000-0005-0000-0000-0000180B0000}"/>
    <cellStyle name="Style 49 4 2 4 5 4" xfId="17965" xr:uid="{00000000-0005-0000-0000-0000180B0000}"/>
    <cellStyle name="Style 49 4 2 4 5 5" xfId="36373" xr:uid="{00000000-0005-0000-0000-0000180B0000}"/>
    <cellStyle name="Style 49 4 2 4 6" xfId="8000" xr:uid="{00000000-0005-0000-0000-0000180B0000}"/>
    <cellStyle name="Style 49 4 2 4 6 2" xfId="27230" xr:uid="{00000000-0005-0000-0000-0000180B0000}"/>
    <cellStyle name="Style 49 4 2 4 6 3" xfId="45595" xr:uid="{00000000-0005-0000-0000-0000180B0000}"/>
    <cellStyle name="Style 49 4 2 4 7" xfId="7833" xr:uid="{00000000-0005-0000-0000-0000180B0000}"/>
    <cellStyle name="Style 49 4 2 4 7 2" xfId="27091" xr:uid="{00000000-0005-0000-0000-0000180B0000}"/>
    <cellStyle name="Style 49 4 2 4 7 3" xfId="45456" xr:uid="{00000000-0005-0000-0000-0000180B0000}"/>
    <cellStyle name="Style 49 4 2 4 8" xfId="18072" xr:uid="{00000000-0005-0000-0000-0000180B0000}"/>
    <cellStyle name="Style 49 4 2 4 8 2" xfId="36479" xr:uid="{00000000-0005-0000-0000-0000180B0000}"/>
    <cellStyle name="Style 49 4 2 4 9" xfId="7068" xr:uid="{00000000-0005-0000-0000-0000180B0000}"/>
    <cellStyle name="Style 49 4 2 5" xfId="3542" xr:uid="{00000000-0005-0000-0000-0000150B0000}"/>
    <cellStyle name="Style 49 4 2 5 2" xfId="5716" xr:uid="{00000000-0005-0000-0000-0000150B0000}"/>
    <cellStyle name="Style 49 4 2 5 2 2" xfId="12080" xr:uid="{00000000-0005-0000-0000-0000150B0000}"/>
    <cellStyle name="Style 49 4 2 5 2 2 2" xfId="30527" xr:uid="{00000000-0005-0000-0000-0000150B0000}"/>
    <cellStyle name="Style 49 4 2 5 2 2 3" xfId="48890" xr:uid="{00000000-0005-0000-0000-0000150B0000}"/>
    <cellStyle name="Style 49 4 2 5 2 3" xfId="16406" xr:uid="{00000000-0005-0000-0000-0000150B0000}"/>
    <cellStyle name="Style 49 4 2 5 2 3 2" xfId="34778" xr:uid="{00000000-0005-0000-0000-0000150B0000}"/>
    <cellStyle name="Style 49 4 2 5 2 3 3" xfId="53141" xr:uid="{00000000-0005-0000-0000-0000150B0000}"/>
    <cellStyle name="Style 49 4 2 5 2 4" xfId="25525" xr:uid="{00000000-0005-0000-0000-0000150B0000}"/>
    <cellStyle name="Style 49 4 2 5 2 4 2" xfId="43894" xr:uid="{00000000-0005-0000-0000-0000150B0000}"/>
    <cellStyle name="Style 49 4 2 5 2 5" xfId="21846" xr:uid="{00000000-0005-0000-0000-0000150B0000}"/>
    <cellStyle name="Style 49 4 2 5 2 6" xfId="40225" xr:uid="{00000000-0005-0000-0000-0000150B0000}"/>
    <cellStyle name="Style 49 4 2 5 3" xfId="6541" xr:uid="{00000000-0005-0000-0000-0000150B0000}"/>
    <cellStyle name="Style 49 4 2 5 3 2" xfId="12832" xr:uid="{00000000-0005-0000-0000-0000150B0000}"/>
    <cellStyle name="Style 49 4 2 5 3 2 2" xfId="31258" xr:uid="{00000000-0005-0000-0000-0000150B0000}"/>
    <cellStyle name="Style 49 4 2 5 3 2 3" xfId="49621" xr:uid="{00000000-0005-0000-0000-0000150B0000}"/>
    <cellStyle name="Style 49 4 2 5 3 3" xfId="17143" xr:uid="{00000000-0005-0000-0000-0000150B0000}"/>
    <cellStyle name="Style 49 4 2 5 3 3 2" xfId="35491" xr:uid="{00000000-0005-0000-0000-0000150B0000}"/>
    <cellStyle name="Style 49 4 2 5 3 3 3" xfId="53854" xr:uid="{00000000-0005-0000-0000-0000150B0000}"/>
    <cellStyle name="Style 49 4 2 5 3 4" xfId="26276" xr:uid="{00000000-0005-0000-0000-0000150B0000}"/>
    <cellStyle name="Style 49 4 2 5 3 4 2" xfId="44645" xr:uid="{00000000-0005-0000-0000-0000150B0000}"/>
    <cellStyle name="Style 49 4 2 5 3 5" xfId="22569" xr:uid="{00000000-0005-0000-0000-0000150B0000}"/>
    <cellStyle name="Style 49 4 2 5 3 6" xfId="40938" xr:uid="{00000000-0005-0000-0000-0000150B0000}"/>
    <cellStyle name="Style 49 4 2 5 4" xfId="10255" xr:uid="{00000000-0005-0000-0000-0000150B0000}"/>
    <cellStyle name="Style 49 4 2 5 4 2" xfId="14312" xr:uid="{00000000-0005-0000-0000-0000150B0000}"/>
    <cellStyle name="Style 49 4 2 5 4 2 2" xfId="32728" xr:uid="{00000000-0005-0000-0000-0000150B0000}"/>
    <cellStyle name="Style 49 4 2 5 4 2 3" xfId="51091" xr:uid="{00000000-0005-0000-0000-0000150B0000}"/>
    <cellStyle name="Style 49 4 2 5 4 3" xfId="28966" xr:uid="{00000000-0005-0000-0000-0000150B0000}"/>
    <cellStyle name="Style 49 4 2 5 4 3 2" xfId="47329" xr:uid="{00000000-0005-0000-0000-0000150B0000}"/>
    <cellStyle name="Style 49 4 2 5 4 4" xfId="19769" xr:uid="{00000000-0005-0000-0000-0000150B0000}"/>
    <cellStyle name="Style 49 4 2 5 4 5" xfId="38175" xr:uid="{00000000-0005-0000-0000-0000150B0000}"/>
    <cellStyle name="Style 49 4 2 5 5" xfId="9464" xr:uid="{00000000-0005-0000-0000-0000150B0000}"/>
    <cellStyle name="Style 49 4 2 5 5 2" xfId="28181" xr:uid="{00000000-0005-0000-0000-0000150B0000}"/>
    <cellStyle name="Style 49 4 2 5 5 3" xfId="46544" xr:uid="{00000000-0005-0000-0000-0000150B0000}"/>
    <cellStyle name="Style 49 4 2 5 6" xfId="13521" xr:uid="{00000000-0005-0000-0000-0000150B0000}"/>
    <cellStyle name="Style 49 4 2 5 6 2" xfId="31942" xr:uid="{00000000-0005-0000-0000-0000150B0000}"/>
    <cellStyle name="Style 49 4 2 5 6 3" xfId="50305" xr:uid="{00000000-0005-0000-0000-0000150B0000}"/>
    <cellStyle name="Style 49 4 2 5 7" xfId="23450" xr:uid="{00000000-0005-0000-0000-0000150B0000}"/>
    <cellStyle name="Style 49 4 2 5 7 2" xfId="41819" xr:uid="{00000000-0005-0000-0000-0000150B0000}"/>
    <cellStyle name="Style 49 4 2 5 8" xfId="18560" xr:uid="{00000000-0005-0000-0000-0000150B0000}"/>
    <cellStyle name="Style 49 4 2 5 9" xfId="36969" xr:uid="{00000000-0005-0000-0000-0000150B0000}"/>
    <cellStyle name="Style 49 4 2 6" xfId="4571" xr:uid="{00000000-0005-0000-0000-0000150B0000}"/>
    <cellStyle name="Style 49 4 2 6 2" xfId="11156" xr:uid="{00000000-0005-0000-0000-0000150B0000}"/>
    <cellStyle name="Style 49 4 2 6 2 2" xfId="29770" xr:uid="{00000000-0005-0000-0000-0000150B0000}"/>
    <cellStyle name="Style 49 4 2 6 2 3" xfId="48133" xr:uid="{00000000-0005-0000-0000-0000150B0000}"/>
    <cellStyle name="Style 49 4 2 6 3" xfId="15297" xr:uid="{00000000-0005-0000-0000-0000150B0000}"/>
    <cellStyle name="Style 49 4 2 6 3 2" xfId="33691" xr:uid="{00000000-0005-0000-0000-0000150B0000}"/>
    <cellStyle name="Style 49 4 2 6 3 3" xfId="52054" xr:uid="{00000000-0005-0000-0000-0000150B0000}"/>
    <cellStyle name="Style 49 4 2 6 4" xfId="24422" xr:uid="{00000000-0005-0000-0000-0000150B0000}"/>
    <cellStyle name="Style 49 4 2 6 4 2" xfId="42791" xr:uid="{00000000-0005-0000-0000-0000150B0000}"/>
    <cellStyle name="Style 49 4 2 6 5" xfId="20748" xr:uid="{00000000-0005-0000-0000-0000150B0000}"/>
    <cellStyle name="Style 49 4 2 6 6" xfId="39138" xr:uid="{00000000-0005-0000-0000-0000150B0000}"/>
    <cellStyle name="Style 49 4 2 7" xfId="9104" xr:uid="{00000000-0005-0000-0000-0000150B0000}"/>
    <cellStyle name="Style 49 4 2 7 2" xfId="8412" xr:uid="{00000000-0005-0000-0000-0000150B0000}"/>
    <cellStyle name="Style 49 4 2 7 2 2" xfId="27473" xr:uid="{00000000-0005-0000-0000-0000150B0000}"/>
    <cellStyle name="Style 49 4 2 7 2 3" xfId="45837" xr:uid="{00000000-0005-0000-0000-0000150B0000}"/>
    <cellStyle name="Style 49 4 2 7 3" xfId="27830" xr:uid="{00000000-0005-0000-0000-0000150B0000}"/>
    <cellStyle name="Style 49 4 2 7 3 2" xfId="46193" xr:uid="{00000000-0005-0000-0000-0000150B0000}"/>
    <cellStyle name="Style 49 4 2 7 4" xfId="18007" xr:uid="{00000000-0005-0000-0000-0000150B0000}"/>
    <cellStyle name="Style 49 4 2 7 5" xfId="36415" xr:uid="{00000000-0005-0000-0000-0000150B0000}"/>
    <cellStyle name="Style 49 4 2 8" xfId="7868" xr:uid="{00000000-0005-0000-0000-0000150B0000}"/>
    <cellStyle name="Style 49 4 2 8 2" xfId="27111" xr:uid="{00000000-0005-0000-0000-0000150B0000}"/>
    <cellStyle name="Style 49 4 2 8 3" xfId="45476" xr:uid="{00000000-0005-0000-0000-0000150B0000}"/>
    <cellStyle name="Style 49 4 2 9" xfId="8350" xr:uid="{00000000-0005-0000-0000-0000150B0000}"/>
    <cellStyle name="Style 49 4 2 9 2" xfId="27417" xr:uid="{00000000-0005-0000-0000-0000150B0000}"/>
    <cellStyle name="Style 49 4 2 9 3" xfId="45781" xr:uid="{00000000-0005-0000-0000-0000150B0000}"/>
    <cellStyle name="Style 49 4 3" xfId="1531" xr:uid="{00000000-0005-0000-0000-0000190B0000}"/>
    <cellStyle name="Style 49 4 3 10" xfId="12485" xr:uid="{00000000-0005-0000-0000-0000190B0000}"/>
    <cellStyle name="Style 49 4 3 11" xfId="17587" xr:uid="{00000000-0005-0000-0000-0000190B0000}"/>
    <cellStyle name="Style 49 4 3 2" xfId="1697" xr:uid="{00000000-0005-0000-0000-00001A0B0000}"/>
    <cellStyle name="Style 49 4 3 2 10" xfId="20194" xr:uid="{00000000-0005-0000-0000-00001A0B0000}"/>
    <cellStyle name="Style 49 4 3 2 2" xfId="3595" xr:uid="{00000000-0005-0000-0000-00001A0B0000}"/>
    <cellStyle name="Style 49 4 3 2 2 2" xfId="5768" xr:uid="{00000000-0005-0000-0000-00001A0B0000}"/>
    <cellStyle name="Style 49 4 3 2 2 2 2" xfId="12132" xr:uid="{00000000-0005-0000-0000-00001A0B0000}"/>
    <cellStyle name="Style 49 4 3 2 2 2 2 2" xfId="30579" xr:uid="{00000000-0005-0000-0000-00001A0B0000}"/>
    <cellStyle name="Style 49 4 3 2 2 2 2 3" xfId="48942" xr:uid="{00000000-0005-0000-0000-00001A0B0000}"/>
    <cellStyle name="Style 49 4 3 2 2 2 3" xfId="16458" xr:uid="{00000000-0005-0000-0000-00001A0B0000}"/>
    <cellStyle name="Style 49 4 3 2 2 2 3 2" xfId="34830" xr:uid="{00000000-0005-0000-0000-00001A0B0000}"/>
    <cellStyle name="Style 49 4 3 2 2 2 3 3" xfId="53193" xr:uid="{00000000-0005-0000-0000-00001A0B0000}"/>
    <cellStyle name="Style 49 4 3 2 2 2 4" xfId="25577" xr:uid="{00000000-0005-0000-0000-00001A0B0000}"/>
    <cellStyle name="Style 49 4 3 2 2 2 4 2" xfId="43946" xr:uid="{00000000-0005-0000-0000-00001A0B0000}"/>
    <cellStyle name="Style 49 4 3 2 2 2 5" xfId="21898" xr:uid="{00000000-0005-0000-0000-00001A0B0000}"/>
    <cellStyle name="Style 49 4 3 2 2 2 6" xfId="40277" xr:uid="{00000000-0005-0000-0000-00001A0B0000}"/>
    <cellStyle name="Style 49 4 3 2 2 3" xfId="6594" xr:uid="{00000000-0005-0000-0000-00001A0B0000}"/>
    <cellStyle name="Style 49 4 3 2 2 3 2" xfId="12885" xr:uid="{00000000-0005-0000-0000-00001A0B0000}"/>
    <cellStyle name="Style 49 4 3 2 2 3 2 2" xfId="31311" xr:uid="{00000000-0005-0000-0000-00001A0B0000}"/>
    <cellStyle name="Style 49 4 3 2 2 3 2 3" xfId="49674" xr:uid="{00000000-0005-0000-0000-00001A0B0000}"/>
    <cellStyle name="Style 49 4 3 2 2 3 3" xfId="17196" xr:uid="{00000000-0005-0000-0000-00001A0B0000}"/>
    <cellStyle name="Style 49 4 3 2 2 3 3 2" xfId="35544" xr:uid="{00000000-0005-0000-0000-00001A0B0000}"/>
    <cellStyle name="Style 49 4 3 2 2 3 3 3" xfId="53907" xr:uid="{00000000-0005-0000-0000-00001A0B0000}"/>
    <cellStyle name="Style 49 4 3 2 2 3 4" xfId="26329" xr:uid="{00000000-0005-0000-0000-00001A0B0000}"/>
    <cellStyle name="Style 49 4 3 2 2 3 4 2" xfId="44698" xr:uid="{00000000-0005-0000-0000-00001A0B0000}"/>
    <cellStyle name="Style 49 4 3 2 2 3 5" xfId="22622" xr:uid="{00000000-0005-0000-0000-00001A0B0000}"/>
    <cellStyle name="Style 49 4 3 2 2 3 6" xfId="40991" xr:uid="{00000000-0005-0000-0000-00001A0B0000}"/>
    <cellStyle name="Style 49 4 3 2 2 4" xfId="10308" xr:uid="{00000000-0005-0000-0000-00001A0B0000}"/>
    <cellStyle name="Style 49 4 3 2 2 4 2" xfId="14365" xr:uid="{00000000-0005-0000-0000-00001A0B0000}"/>
    <cellStyle name="Style 49 4 3 2 2 4 2 2" xfId="32781" xr:uid="{00000000-0005-0000-0000-00001A0B0000}"/>
    <cellStyle name="Style 49 4 3 2 2 4 2 3" xfId="51144" xr:uid="{00000000-0005-0000-0000-00001A0B0000}"/>
    <cellStyle name="Style 49 4 3 2 2 4 3" xfId="29019" xr:uid="{00000000-0005-0000-0000-00001A0B0000}"/>
    <cellStyle name="Style 49 4 3 2 2 4 3 2" xfId="47382" xr:uid="{00000000-0005-0000-0000-00001A0B0000}"/>
    <cellStyle name="Style 49 4 3 2 2 4 4" xfId="19822" xr:uid="{00000000-0005-0000-0000-00001A0B0000}"/>
    <cellStyle name="Style 49 4 3 2 2 4 5" xfId="38228" xr:uid="{00000000-0005-0000-0000-00001A0B0000}"/>
    <cellStyle name="Style 49 4 3 2 2 5" xfId="9516" xr:uid="{00000000-0005-0000-0000-00001A0B0000}"/>
    <cellStyle name="Style 49 4 3 2 2 5 2" xfId="28233" xr:uid="{00000000-0005-0000-0000-00001A0B0000}"/>
    <cellStyle name="Style 49 4 3 2 2 5 3" xfId="46596" xr:uid="{00000000-0005-0000-0000-00001A0B0000}"/>
    <cellStyle name="Style 49 4 3 2 2 6" xfId="13574" xr:uid="{00000000-0005-0000-0000-00001A0B0000}"/>
    <cellStyle name="Style 49 4 3 2 2 6 2" xfId="31995" xr:uid="{00000000-0005-0000-0000-00001A0B0000}"/>
    <cellStyle name="Style 49 4 3 2 2 6 3" xfId="50358" xr:uid="{00000000-0005-0000-0000-00001A0B0000}"/>
    <cellStyle name="Style 49 4 3 2 2 7" xfId="23503" xr:uid="{00000000-0005-0000-0000-00001A0B0000}"/>
    <cellStyle name="Style 49 4 3 2 2 7 2" xfId="41872" xr:uid="{00000000-0005-0000-0000-00001A0B0000}"/>
    <cellStyle name="Style 49 4 3 2 2 8" xfId="18614" xr:uid="{00000000-0005-0000-0000-00001A0B0000}"/>
    <cellStyle name="Style 49 4 3 2 2 9" xfId="37024" xr:uid="{00000000-0005-0000-0000-00001A0B0000}"/>
    <cellStyle name="Style 49 4 3 2 3" xfId="4635" xr:uid="{00000000-0005-0000-0000-00001A0B0000}"/>
    <cellStyle name="Style 49 4 3 2 3 2" xfId="11219" xr:uid="{00000000-0005-0000-0000-00001A0B0000}"/>
    <cellStyle name="Style 49 4 3 2 3 2 2" xfId="29831" xr:uid="{00000000-0005-0000-0000-00001A0B0000}"/>
    <cellStyle name="Style 49 4 3 2 3 2 3" xfId="48194" xr:uid="{00000000-0005-0000-0000-00001A0B0000}"/>
    <cellStyle name="Style 49 4 3 2 3 3" xfId="15361" xr:uid="{00000000-0005-0000-0000-00001A0B0000}"/>
    <cellStyle name="Style 49 4 3 2 3 3 2" xfId="33754" xr:uid="{00000000-0005-0000-0000-00001A0B0000}"/>
    <cellStyle name="Style 49 4 3 2 3 3 3" xfId="52117" xr:uid="{00000000-0005-0000-0000-00001A0B0000}"/>
    <cellStyle name="Style 49 4 3 2 3 4" xfId="24485" xr:uid="{00000000-0005-0000-0000-00001A0B0000}"/>
    <cellStyle name="Style 49 4 3 2 3 4 2" xfId="42854" xr:uid="{00000000-0005-0000-0000-00001A0B0000}"/>
    <cellStyle name="Style 49 4 3 2 3 5" xfId="20812" xr:uid="{00000000-0005-0000-0000-00001A0B0000}"/>
    <cellStyle name="Style 49 4 3 2 3 6" xfId="39201" xr:uid="{00000000-0005-0000-0000-00001A0B0000}"/>
    <cellStyle name="Style 49 4 3 2 4" xfId="4606" xr:uid="{00000000-0005-0000-0000-00001A0B0000}"/>
    <cellStyle name="Style 49 4 3 2 4 2" xfId="11190" xr:uid="{00000000-0005-0000-0000-00001A0B0000}"/>
    <cellStyle name="Style 49 4 3 2 4 2 2" xfId="29802" xr:uid="{00000000-0005-0000-0000-00001A0B0000}"/>
    <cellStyle name="Style 49 4 3 2 4 2 3" xfId="48165" xr:uid="{00000000-0005-0000-0000-00001A0B0000}"/>
    <cellStyle name="Style 49 4 3 2 4 3" xfId="15332" xr:uid="{00000000-0005-0000-0000-00001A0B0000}"/>
    <cellStyle name="Style 49 4 3 2 4 3 2" xfId="33725" xr:uid="{00000000-0005-0000-0000-00001A0B0000}"/>
    <cellStyle name="Style 49 4 3 2 4 3 3" xfId="52088" xr:uid="{00000000-0005-0000-0000-00001A0B0000}"/>
    <cellStyle name="Style 49 4 3 2 4 4" xfId="24456" xr:uid="{00000000-0005-0000-0000-00001A0B0000}"/>
    <cellStyle name="Style 49 4 3 2 4 4 2" xfId="42825" xr:uid="{00000000-0005-0000-0000-00001A0B0000}"/>
    <cellStyle name="Style 49 4 3 2 4 5" xfId="20783" xr:uid="{00000000-0005-0000-0000-00001A0B0000}"/>
    <cellStyle name="Style 49 4 3 2 4 6" xfId="39172" xr:uid="{00000000-0005-0000-0000-00001A0B0000}"/>
    <cellStyle name="Style 49 4 3 2 5" xfId="9092" xr:uid="{00000000-0005-0000-0000-00001A0B0000}"/>
    <cellStyle name="Style 49 4 3 2 5 2" xfId="5166" xr:uid="{00000000-0005-0000-0000-00001A0B0000}"/>
    <cellStyle name="Style 49 4 3 2 5 2 2" xfId="24986" xr:uid="{00000000-0005-0000-0000-00001A0B0000}"/>
    <cellStyle name="Style 49 4 3 2 5 2 3" xfId="43355" xr:uid="{00000000-0005-0000-0000-00001A0B0000}"/>
    <cellStyle name="Style 49 4 3 2 5 3" xfId="27818" xr:uid="{00000000-0005-0000-0000-00001A0B0000}"/>
    <cellStyle name="Style 49 4 3 2 5 3 2" xfId="46181" xr:uid="{00000000-0005-0000-0000-00001A0B0000}"/>
    <cellStyle name="Style 49 4 3 2 5 4" xfId="17992" xr:uid="{00000000-0005-0000-0000-00001A0B0000}"/>
    <cellStyle name="Style 49 4 3 2 5 5" xfId="36400" xr:uid="{00000000-0005-0000-0000-00001A0B0000}"/>
    <cellStyle name="Style 49 4 3 2 6" xfId="7929" xr:uid="{00000000-0005-0000-0000-00001A0B0000}"/>
    <cellStyle name="Style 49 4 3 2 6 2" xfId="27160" xr:uid="{00000000-0005-0000-0000-00001A0B0000}"/>
    <cellStyle name="Style 49 4 3 2 6 3" xfId="45525" xr:uid="{00000000-0005-0000-0000-00001A0B0000}"/>
    <cellStyle name="Style 49 4 3 2 7" xfId="8390" xr:uid="{00000000-0005-0000-0000-00001A0B0000}"/>
    <cellStyle name="Style 49 4 3 2 7 2" xfId="27455" xr:uid="{00000000-0005-0000-0000-00001A0B0000}"/>
    <cellStyle name="Style 49 4 3 2 7 3" xfId="45819" xr:uid="{00000000-0005-0000-0000-00001A0B0000}"/>
    <cellStyle name="Style 49 4 3 2 8" xfId="17909" xr:uid="{00000000-0005-0000-0000-00001A0B0000}"/>
    <cellStyle name="Style 49 4 3 2 8 2" xfId="36318" xr:uid="{00000000-0005-0000-0000-00001A0B0000}"/>
    <cellStyle name="Style 49 4 3 2 9" xfId="6962" xr:uid="{00000000-0005-0000-0000-00001A0B0000}"/>
    <cellStyle name="Style 49 4 3 3" xfId="1449" xr:uid="{00000000-0005-0000-0000-00001B0B0000}"/>
    <cellStyle name="Style 49 4 3 3 10" xfId="7294" xr:uid="{00000000-0005-0000-0000-00001B0B0000}"/>
    <cellStyle name="Style 49 4 3 3 2" xfId="3468" xr:uid="{00000000-0005-0000-0000-00001B0B0000}"/>
    <cellStyle name="Style 49 4 3 3 2 2" xfId="5643" xr:uid="{00000000-0005-0000-0000-00001B0B0000}"/>
    <cellStyle name="Style 49 4 3 3 2 2 2" xfId="12007" xr:uid="{00000000-0005-0000-0000-00001B0B0000}"/>
    <cellStyle name="Style 49 4 3 3 2 2 2 2" xfId="30454" xr:uid="{00000000-0005-0000-0000-00001B0B0000}"/>
    <cellStyle name="Style 49 4 3 3 2 2 2 3" xfId="48817" xr:uid="{00000000-0005-0000-0000-00001B0B0000}"/>
    <cellStyle name="Style 49 4 3 3 2 2 3" xfId="16333" xr:uid="{00000000-0005-0000-0000-00001B0B0000}"/>
    <cellStyle name="Style 49 4 3 3 2 2 3 2" xfId="34705" xr:uid="{00000000-0005-0000-0000-00001B0B0000}"/>
    <cellStyle name="Style 49 4 3 3 2 2 3 3" xfId="53068" xr:uid="{00000000-0005-0000-0000-00001B0B0000}"/>
    <cellStyle name="Style 49 4 3 3 2 2 4" xfId="25452" xr:uid="{00000000-0005-0000-0000-00001B0B0000}"/>
    <cellStyle name="Style 49 4 3 3 2 2 4 2" xfId="43821" xr:uid="{00000000-0005-0000-0000-00001B0B0000}"/>
    <cellStyle name="Style 49 4 3 3 2 2 5" xfId="21773" xr:uid="{00000000-0005-0000-0000-00001B0B0000}"/>
    <cellStyle name="Style 49 4 3 3 2 2 6" xfId="40152" xr:uid="{00000000-0005-0000-0000-00001B0B0000}"/>
    <cellStyle name="Style 49 4 3 3 2 3" xfId="6467" xr:uid="{00000000-0005-0000-0000-00001B0B0000}"/>
    <cellStyle name="Style 49 4 3 3 2 3 2" xfId="12758" xr:uid="{00000000-0005-0000-0000-00001B0B0000}"/>
    <cellStyle name="Style 49 4 3 3 2 3 2 2" xfId="31184" xr:uid="{00000000-0005-0000-0000-00001B0B0000}"/>
    <cellStyle name="Style 49 4 3 3 2 3 2 3" xfId="49547" xr:uid="{00000000-0005-0000-0000-00001B0B0000}"/>
    <cellStyle name="Style 49 4 3 3 2 3 3" xfId="17069" xr:uid="{00000000-0005-0000-0000-00001B0B0000}"/>
    <cellStyle name="Style 49 4 3 3 2 3 3 2" xfId="35417" xr:uid="{00000000-0005-0000-0000-00001B0B0000}"/>
    <cellStyle name="Style 49 4 3 3 2 3 3 3" xfId="53780" xr:uid="{00000000-0005-0000-0000-00001B0B0000}"/>
    <cellStyle name="Style 49 4 3 3 2 3 4" xfId="26202" xr:uid="{00000000-0005-0000-0000-00001B0B0000}"/>
    <cellStyle name="Style 49 4 3 3 2 3 4 2" xfId="44571" xr:uid="{00000000-0005-0000-0000-00001B0B0000}"/>
    <cellStyle name="Style 49 4 3 3 2 3 5" xfId="22495" xr:uid="{00000000-0005-0000-0000-00001B0B0000}"/>
    <cellStyle name="Style 49 4 3 3 2 3 6" xfId="40864" xr:uid="{00000000-0005-0000-0000-00001B0B0000}"/>
    <cellStyle name="Style 49 4 3 3 2 4" xfId="10181" xr:uid="{00000000-0005-0000-0000-00001B0B0000}"/>
    <cellStyle name="Style 49 4 3 3 2 4 2" xfId="14238" xr:uid="{00000000-0005-0000-0000-00001B0B0000}"/>
    <cellStyle name="Style 49 4 3 3 2 4 2 2" xfId="32654" xr:uid="{00000000-0005-0000-0000-00001B0B0000}"/>
    <cellStyle name="Style 49 4 3 3 2 4 2 3" xfId="51017" xr:uid="{00000000-0005-0000-0000-00001B0B0000}"/>
    <cellStyle name="Style 49 4 3 3 2 4 3" xfId="28892" xr:uid="{00000000-0005-0000-0000-00001B0B0000}"/>
    <cellStyle name="Style 49 4 3 3 2 4 3 2" xfId="47255" xr:uid="{00000000-0005-0000-0000-00001B0B0000}"/>
    <cellStyle name="Style 49 4 3 3 2 4 4" xfId="19695" xr:uid="{00000000-0005-0000-0000-00001B0B0000}"/>
    <cellStyle name="Style 49 4 3 3 2 4 5" xfId="38101" xr:uid="{00000000-0005-0000-0000-00001B0B0000}"/>
    <cellStyle name="Style 49 4 3 3 2 5" xfId="9372" xr:uid="{00000000-0005-0000-0000-00001B0B0000}"/>
    <cellStyle name="Style 49 4 3 3 2 5 2" xfId="28091" xr:uid="{00000000-0005-0000-0000-00001B0B0000}"/>
    <cellStyle name="Style 49 4 3 3 2 5 3" xfId="46454" xr:uid="{00000000-0005-0000-0000-00001B0B0000}"/>
    <cellStyle name="Style 49 4 3 3 2 6" xfId="13428" xr:uid="{00000000-0005-0000-0000-00001B0B0000}"/>
    <cellStyle name="Style 49 4 3 3 2 6 2" xfId="31849" xr:uid="{00000000-0005-0000-0000-00001B0B0000}"/>
    <cellStyle name="Style 49 4 3 3 2 6 3" xfId="50212" xr:uid="{00000000-0005-0000-0000-00001B0B0000}"/>
    <cellStyle name="Style 49 4 3 3 2 7" xfId="23376" xr:uid="{00000000-0005-0000-0000-00001B0B0000}"/>
    <cellStyle name="Style 49 4 3 3 2 7 2" xfId="41745" xr:uid="{00000000-0005-0000-0000-00001B0B0000}"/>
    <cellStyle name="Style 49 4 3 3 2 8" xfId="18454" xr:uid="{00000000-0005-0000-0000-00001B0B0000}"/>
    <cellStyle name="Style 49 4 3 3 2 9" xfId="36860" xr:uid="{00000000-0005-0000-0000-00001B0B0000}"/>
    <cellStyle name="Style 49 4 3 3 3" xfId="4466" xr:uid="{00000000-0005-0000-0000-00001B0B0000}"/>
    <cellStyle name="Style 49 4 3 3 3 2" xfId="11062" xr:uid="{00000000-0005-0000-0000-00001B0B0000}"/>
    <cellStyle name="Style 49 4 3 3 3 2 2" xfId="29682" xr:uid="{00000000-0005-0000-0000-00001B0B0000}"/>
    <cellStyle name="Style 49 4 3 3 3 2 3" xfId="48045" xr:uid="{00000000-0005-0000-0000-00001B0B0000}"/>
    <cellStyle name="Style 49 4 3 3 3 3" xfId="15200" xr:uid="{00000000-0005-0000-0000-00001B0B0000}"/>
    <cellStyle name="Style 49 4 3 3 3 3 2" xfId="33595" xr:uid="{00000000-0005-0000-0000-00001B0B0000}"/>
    <cellStyle name="Style 49 4 3 3 3 3 3" xfId="51958" xr:uid="{00000000-0005-0000-0000-00001B0B0000}"/>
    <cellStyle name="Style 49 4 3 3 3 4" xfId="24326" xr:uid="{00000000-0005-0000-0000-00001B0B0000}"/>
    <cellStyle name="Style 49 4 3 3 3 4 2" xfId="42695" xr:uid="{00000000-0005-0000-0000-00001B0B0000}"/>
    <cellStyle name="Style 49 4 3 3 3 5" xfId="20650" xr:uid="{00000000-0005-0000-0000-00001B0B0000}"/>
    <cellStyle name="Style 49 4 3 3 3 6" xfId="39042" xr:uid="{00000000-0005-0000-0000-00001B0B0000}"/>
    <cellStyle name="Style 49 4 3 3 4" xfId="4301" xr:uid="{00000000-0005-0000-0000-00001B0B0000}"/>
    <cellStyle name="Style 49 4 3 3 4 2" xfId="10912" xr:uid="{00000000-0005-0000-0000-00001B0B0000}"/>
    <cellStyle name="Style 49 4 3 3 4 2 2" xfId="29544" xr:uid="{00000000-0005-0000-0000-00001B0B0000}"/>
    <cellStyle name="Style 49 4 3 3 4 2 3" xfId="47907" xr:uid="{00000000-0005-0000-0000-00001B0B0000}"/>
    <cellStyle name="Style 49 4 3 3 4 3" xfId="15046" xr:uid="{00000000-0005-0000-0000-00001B0B0000}"/>
    <cellStyle name="Style 49 4 3 3 4 3 2" xfId="33449" xr:uid="{00000000-0005-0000-0000-00001B0B0000}"/>
    <cellStyle name="Style 49 4 3 3 4 3 3" xfId="51812" xr:uid="{00000000-0005-0000-0000-00001B0B0000}"/>
    <cellStyle name="Style 49 4 3 3 4 4" xfId="24178" xr:uid="{00000000-0005-0000-0000-00001B0B0000}"/>
    <cellStyle name="Style 49 4 3 3 4 4 2" xfId="42547" xr:uid="{00000000-0005-0000-0000-00001B0B0000}"/>
    <cellStyle name="Style 49 4 3 3 4 5" xfId="20498" xr:uid="{00000000-0005-0000-0000-00001B0B0000}"/>
    <cellStyle name="Style 49 4 3 3 4 6" xfId="38896" xr:uid="{00000000-0005-0000-0000-00001B0B0000}"/>
    <cellStyle name="Style 49 4 3 3 5" xfId="9134" xr:uid="{00000000-0005-0000-0000-00001B0B0000}"/>
    <cellStyle name="Style 49 4 3 3 5 2" xfId="13193" xr:uid="{00000000-0005-0000-0000-00001B0B0000}"/>
    <cellStyle name="Style 49 4 3 3 5 2 2" xfId="31619" xr:uid="{00000000-0005-0000-0000-00001B0B0000}"/>
    <cellStyle name="Style 49 4 3 3 5 2 3" xfId="49982" xr:uid="{00000000-0005-0000-0000-00001B0B0000}"/>
    <cellStyle name="Style 49 4 3 3 5 3" xfId="27860" xr:uid="{00000000-0005-0000-0000-00001B0B0000}"/>
    <cellStyle name="Style 49 4 3 3 5 3 2" xfId="46223" xr:uid="{00000000-0005-0000-0000-00001B0B0000}"/>
    <cellStyle name="Style 49 4 3 3 5 4" xfId="18047" xr:uid="{00000000-0005-0000-0000-00001B0B0000}"/>
    <cellStyle name="Style 49 4 3 3 5 5" xfId="36455" xr:uid="{00000000-0005-0000-0000-00001B0B0000}"/>
    <cellStyle name="Style 49 4 3 3 6" xfId="7736" xr:uid="{00000000-0005-0000-0000-00001B0B0000}"/>
    <cellStyle name="Style 49 4 3 3 6 2" xfId="27013" xr:uid="{00000000-0005-0000-0000-00001B0B0000}"/>
    <cellStyle name="Style 49 4 3 3 6 3" xfId="45378" xr:uid="{00000000-0005-0000-0000-00001B0B0000}"/>
    <cellStyle name="Style 49 4 3 3 7" xfId="9149" xr:uid="{00000000-0005-0000-0000-00001B0B0000}"/>
    <cellStyle name="Style 49 4 3 3 7 2" xfId="27874" xr:uid="{00000000-0005-0000-0000-00001B0B0000}"/>
    <cellStyle name="Style 49 4 3 3 7 3" xfId="46237" xr:uid="{00000000-0005-0000-0000-00001B0B0000}"/>
    <cellStyle name="Style 49 4 3 3 8" xfId="18307" xr:uid="{00000000-0005-0000-0000-00001B0B0000}"/>
    <cellStyle name="Style 49 4 3 3 8 2" xfId="36713" xr:uid="{00000000-0005-0000-0000-00001B0B0000}"/>
    <cellStyle name="Style 49 4 3 3 9" xfId="8454" xr:uid="{00000000-0005-0000-0000-00001B0B0000}"/>
    <cellStyle name="Style 49 4 3 4" xfId="1355" xr:uid="{00000000-0005-0000-0000-00001C0B0000}"/>
    <cellStyle name="Style 49 4 3 4 10" xfId="7820" xr:uid="{00000000-0005-0000-0000-00001C0B0000}"/>
    <cellStyle name="Style 49 4 3 4 2" xfId="3401" xr:uid="{00000000-0005-0000-0000-00001C0B0000}"/>
    <cellStyle name="Style 49 4 3 4 2 2" xfId="5576" xr:uid="{00000000-0005-0000-0000-00001C0B0000}"/>
    <cellStyle name="Style 49 4 3 4 2 2 2" xfId="11940" xr:uid="{00000000-0005-0000-0000-00001C0B0000}"/>
    <cellStyle name="Style 49 4 3 4 2 2 2 2" xfId="30387" xr:uid="{00000000-0005-0000-0000-00001C0B0000}"/>
    <cellStyle name="Style 49 4 3 4 2 2 2 3" xfId="48750" xr:uid="{00000000-0005-0000-0000-00001C0B0000}"/>
    <cellStyle name="Style 49 4 3 4 2 2 3" xfId="16266" xr:uid="{00000000-0005-0000-0000-00001C0B0000}"/>
    <cellStyle name="Style 49 4 3 4 2 2 3 2" xfId="34638" xr:uid="{00000000-0005-0000-0000-00001C0B0000}"/>
    <cellStyle name="Style 49 4 3 4 2 2 3 3" xfId="53001" xr:uid="{00000000-0005-0000-0000-00001C0B0000}"/>
    <cellStyle name="Style 49 4 3 4 2 2 4" xfId="25385" xr:uid="{00000000-0005-0000-0000-00001C0B0000}"/>
    <cellStyle name="Style 49 4 3 4 2 2 4 2" xfId="43754" xr:uid="{00000000-0005-0000-0000-00001C0B0000}"/>
    <cellStyle name="Style 49 4 3 4 2 2 5" xfId="21706" xr:uid="{00000000-0005-0000-0000-00001C0B0000}"/>
    <cellStyle name="Style 49 4 3 4 2 2 6" xfId="40085" xr:uid="{00000000-0005-0000-0000-00001C0B0000}"/>
    <cellStyle name="Style 49 4 3 4 2 3" xfId="6400" xr:uid="{00000000-0005-0000-0000-00001C0B0000}"/>
    <cellStyle name="Style 49 4 3 4 2 3 2" xfId="12691" xr:uid="{00000000-0005-0000-0000-00001C0B0000}"/>
    <cellStyle name="Style 49 4 3 4 2 3 2 2" xfId="31117" xr:uid="{00000000-0005-0000-0000-00001C0B0000}"/>
    <cellStyle name="Style 49 4 3 4 2 3 2 3" xfId="49480" xr:uid="{00000000-0005-0000-0000-00001C0B0000}"/>
    <cellStyle name="Style 49 4 3 4 2 3 3" xfId="17002" xr:uid="{00000000-0005-0000-0000-00001C0B0000}"/>
    <cellStyle name="Style 49 4 3 4 2 3 3 2" xfId="35350" xr:uid="{00000000-0005-0000-0000-00001C0B0000}"/>
    <cellStyle name="Style 49 4 3 4 2 3 3 3" xfId="53713" xr:uid="{00000000-0005-0000-0000-00001C0B0000}"/>
    <cellStyle name="Style 49 4 3 4 2 3 4" xfId="26135" xr:uid="{00000000-0005-0000-0000-00001C0B0000}"/>
    <cellStyle name="Style 49 4 3 4 2 3 4 2" xfId="44504" xr:uid="{00000000-0005-0000-0000-00001C0B0000}"/>
    <cellStyle name="Style 49 4 3 4 2 3 5" xfId="22428" xr:uid="{00000000-0005-0000-0000-00001C0B0000}"/>
    <cellStyle name="Style 49 4 3 4 2 3 6" xfId="40797" xr:uid="{00000000-0005-0000-0000-00001C0B0000}"/>
    <cellStyle name="Style 49 4 3 4 2 4" xfId="10114" xr:uid="{00000000-0005-0000-0000-00001C0B0000}"/>
    <cellStyle name="Style 49 4 3 4 2 4 2" xfId="14171" xr:uid="{00000000-0005-0000-0000-00001C0B0000}"/>
    <cellStyle name="Style 49 4 3 4 2 4 2 2" xfId="32587" xr:uid="{00000000-0005-0000-0000-00001C0B0000}"/>
    <cellStyle name="Style 49 4 3 4 2 4 2 3" xfId="50950" xr:uid="{00000000-0005-0000-0000-00001C0B0000}"/>
    <cellStyle name="Style 49 4 3 4 2 4 3" xfId="28825" xr:uid="{00000000-0005-0000-0000-00001C0B0000}"/>
    <cellStyle name="Style 49 4 3 4 2 4 3 2" xfId="47188" xr:uid="{00000000-0005-0000-0000-00001C0B0000}"/>
    <cellStyle name="Style 49 4 3 4 2 4 4" xfId="19628" xr:uid="{00000000-0005-0000-0000-00001C0B0000}"/>
    <cellStyle name="Style 49 4 3 4 2 4 5" xfId="38034" xr:uid="{00000000-0005-0000-0000-00001C0B0000}"/>
    <cellStyle name="Style 49 4 3 4 2 5" xfId="9301" xr:uid="{00000000-0005-0000-0000-00001C0B0000}"/>
    <cellStyle name="Style 49 4 3 4 2 5 2" xfId="28020" xr:uid="{00000000-0005-0000-0000-00001C0B0000}"/>
    <cellStyle name="Style 49 4 3 4 2 5 3" xfId="46383" xr:uid="{00000000-0005-0000-0000-00001C0B0000}"/>
    <cellStyle name="Style 49 4 3 4 2 6" xfId="13357" xr:uid="{00000000-0005-0000-0000-00001C0B0000}"/>
    <cellStyle name="Style 49 4 3 4 2 6 2" xfId="31778" xr:uid="{00000000-0005-0000-0000-00001C0B0000}"/>
    <cellStyle name="Style 49 4 3 4 2 6 3" xfId="50141" xr:uid="{00000000-0005-0000-0000-00001C0B0000}"/>
    <cellStyle name="Style 49 4 3 4 2 7" xfId="23309" xr:uid="{00000000-0005-0000-0000-00001C0B0000}"/>
    <cellStyle name="Style 49 4 3 4 2 7 2" xfId="41678" xr:uid="{00000000-0005-0000-0000-00001C0B0000}"/>
    <cellStyle name="Style 49 4 3 4 2 8" xfId="18376" xr:uid="{00000000-0005-0000-0000-00001C0B0000}"/>
    <cellStyle name="Style 49 4 3 4 2 9" xfId="36782" xr:uid="{00000000-0005-0000-0000-00001C0B0000}"/>
    <cellStyle name="Style 49 4 3 4 3" xfId="4390" xr:uid="{00000000-0005-0000-0000-00001C0B0000}"/>
    <cellStyle name="Style 49 4 3 4 3 2" xfId="10990" xr:uid="{00000000-0005-0000-0000-00001C0B0000}"/>
    <cellStyle name="Style 49 4 3 4 3 2 2" xfId="29612" xr:uid="{00000000-0005-0000-0000-00001C0B0000}"/>
    <cellStyle name="Style 49 4 3 4 3 2 3" xfId="47975" xr:uid="{00000000-0005-0000-0000-00001C0B0000}"/>
    <cellStyle name="Style 49 4 3 4 3 3" xfId="15126" xr:uid="{00000000-0005-0000-0000-00001C0B0000}"/>
    <cellStyle name="Style 49 4 3 4 3 3 2" xfId="33523" xr:uid="{00000000-0005-0000-0000-00001C0B0000}"/>
    <cellStyle name="Style 49 4 3 4 3 3 3" xfId="51886" xr:uid="{00000000-0005-0000-0000-00001C0B0000}"/>
    <cellStyle name="Style 49 4 3 4 3 4" xfId="24254" xr:uid="{00000000-0005-0000-0000-00001C0B0000}"/>
    <cellStyle name="Style 49 4 3 4 3 4 2" xfId="42623" xr:uid="{00000000-0005-0000-0000-00001C0B0000}"/>
    <cellStyle name="Style 49 4 3 4 3 5" xfId="20577" xr:uid="{00000000-0005-0000-0000-00001C0B0000}"/>
    <cellStyle name="Style 49 4 3 4 3 6" xfId="38970" xr:uid="{00000000-0005-0000-0000-00001C0B0000}"/>
    <cellStyle name="Style 49 4 3 4 4" xfId="4056" xr:uid="{00000000-0005-0000-0000-00001C0B0000}"/>
    <cellStyle name="Style 49 4 3 4 4 2" xfId="10757" xr:uid="{00000000-0005-0000-0000-00001C0B0000}"/>
    <cellStyle name="Style 49 4 3 4 4 2 2" xfId="29460" xr:uid="{00000000-0005-0000-0000-00001C0B0000}"/>
    <cellStyle name="Style 49 4 3 4 4 2 3" xfId="47823" xr:uid="{00000000-0005-0000-0000-00001C0B0000}"/>
    <cellStyle name="Style 49 4 3 4 4 3" xfId="14817" xr:uid="{00000000-0005-0000-0000-00001C0B0000}"/>
    <cellStyle name="Style 49 4 3 4 4 3 2" xfId="33229" xr:uid="{00000000-0005-0000-0000-00001C0B0000}"/>
    <cellStyle name="Style 49 4 3 4 4 3 3" xfId="51592" xr:uid="{00000000-0005-0000-0000-00001C0B0000}"/>
    <cellStyle name="Style 49 4 3 4 4 4" xfId="23953" xr:uid="{00000000-0005-0000-0000-00001C0B0000}"/>
    <cellStyle name="Style 49 4 3 4 4 4 2" xfId="42322" xr:uid="{00000000-0005-0000-0000-00001C0B0000}"/>
    <cellStyle name="Style 49 4 3 4 4 5" xfId="20273" xr:uid="{00000000-0005-0000-0000-00001C0B0000}"/>
    <cellStyle name="Style 49 4 3 4 4 6" xfId="38676" xr:uid="{00000000-0005-0000-0000-00001C0B0000}"/>
    <cellStyle name="Style 49 4 3 4 5" xfId="9729" xr:uid="{00000000-0005-0000-0000-00001C0B0000}"/>
    <cellStyle name="Style 49 4 3 4 5 2" xfId="13786" xr:uid="{00000000-0005-0000-0000-00001C0B0000}"/>
    <cellStyle name="Style 49 4 3 4 5 2 2" xfId="32207" xr:uid="{00000000-0005-0000-0000-00001C0B0000}"/>
    <cellStyle name="Style 49 4 3 4 5 2 3" xfId="50570" xr:uid="{00000000-0005-0000-0000-00001C0B0000}"/>
    <cellStyle name="Style 49 4 3 4 5 3" xfId="28445" xr:uid="{00000000-0005-0000-0000-00001C0B0000}"/>
    <cellStyle name="Style 49 4 3 4 5 3 2" xfId="46808" xr:uid="{00000000-0005-0000-0000-00001C0B0000}"/>
    <cellStyle name="Style 49 4 3 4 5 4" xfId="18881" xr:uid="{00000000-0005-0000-0000-00001C0B0000}"/>
    <cellStyle name="Style 49 4 3 4 5 5" xfId="37290" xr:uid="{00000000-0005-0000-0000-00001C0B0000}"/>
    <cellStyle name="Style 49 4 3 4 6" xfId="7652" xr:uid="{00000000-0005-0000-0000-00001C0B0000}"/>
    <cellStyle name="Style 49 4 3 4 6 2" xfId="26938" xr:uid="{00000000-0005-0000-0000-00001C0B0000}"/>
    <cellStyle name="Style 49 4 3 4 6 3" xfId="45303" xr:uid="{00000000-0005-0000-0000-00001C0B0000}"/>
    <cellStyle name="Style 49 4 3 4 7" xfId="7220" xr:uid="{00000000-0005-0000-0000-00001C0B0000}"/>
    <cellStyle name="Style 49 4 3 4 7 2" xfId="26763" xr:uid="{00000000-0005-0000-0000-00001C0B0000}"/>
    <cellStyle name="Style 49 4 3 4 7 3" xfId="45131" xr:uid="{00000000-0005-0000-0000-00001C0B0000}"/>
    <cellStyle name="Style 49 4 3 4 8" xfId="19172" xr:uid="{00000000-0005-0000-0000-00001C0B0000}"/>
    <cellStyle name="Style 49 4 3 4 8 2" xfId="37580" xr:uid="{00000000-0005-0000-0000-00001C0B0000}"/>
    <cellStyle name="Style 49 4 3 4 9" xfId="16938" xr:uid="{00000000-0005-0000-0000-00001C0B0000}"/>
    <cellStyle name="Style 49 4 3 5" xfId="3534" xr:uid="{00000000-0005-0000-0000-0000190B0000}"/>
    <cellStyle name="Style 49 4 3 5 2" xfId="5708" xr:uid="{00000000-0005-0000-0000-0000190B0000}"/>
    <cellStyle name="Style 49 4 3 5 2 2" xfId="12072" xr:uid="{00000000-0005-0000-0000-0000190B0000}"/>
    <cellStyle name="Style 49 4 3 5 2 2 2" xfId="30519" xr:uid="{00000000-0005-0000-0000-0000190B0000}"/>
    <cellStyle name="Style 49 4 3 5 2 2 3" xfId="48882" xr:uid="{00000000-0005-0000-0000-0000190B0000}"/>
    <cellStyle name="Style 49 4 3 5 2 3" xfId="16398" xr:uid="{00000000-0005-0000-0000-0000190B0000}"/>
    <cellStyle name="Style 49 4 3 5 2 3 2" xfId="34770" xr:uid="{00000000-0005-0000-0000-0000190B0000}"/>
    <cellStyle name="Style 49 4 3 5 2 3 3" xfId="53133" xr:uid="{00000000-0005-0000-0000-0000190B0000}"/>
    <cellStyle name="Style 49 4 3 5 2 4" xfId="25517" xr:uid="{00000000-0005-0000-0000-0000190B0000}"/>
    <cellStyle name="Style 49 4 3 5 2 4 2" xfId="43886" xr:uid="{00000000-0005-0000-0000-0000190B0000}"/>
    <cellStyle name="Style 49 4 3 5 2 5" xfId="21838" xr:uid="{00000000-0005-0000-0000-0000190B0000}"/>
    <cellStyle name="Style 49 4 3 5 2 6" xfId="40217" xr:uid="{00000000-0005-0000-0000-0000190B0000}"/>
    <cellStyle name="Style 49 4 3 5 3" xfId="6533" xr:uid="{00000000-0005-0000-0000-0000190B0000}"/>
    <cellStyle name="Style 49 4 3 5 3 2" xfId="12824" xr:uid="{00000000-0005-0000-0000-0000190B0000}"/>
    <cellStyle name="Style 49 4 3 5 3 2 2" xfId="31250" xr:uid="{00000000-0005-0000-0000-0000190B0000}"/>
    <cellStyle name="Style 49 4 3 5 3 2 3" xfId="49613" xr:uid="{00000000-0005-0000-0000-0000190B0000}"/>
    <cellStyle name="Style 49 4 3 5 3 3" xfId="17135" xr:uid="{00000000-0005-0000-0000-0000190B0000}"/>
    <cellStyle name="Style 49 4 3 5 3 3 2" xfId="35483" xr:uid="{00000000-0005-0000-0000-0000190B0000}"/>
    <cellStyle name="Style 49 4 3 5 3 3 3" xfId="53846" xr:uid="{00000000-0005-0000-0000-0000190B0000}"/>
    <cellStyle name="Style 49 4 3 5 3 4" xfId="26268" xr:uid="{00000000-0005-0000-0000-0000190B0000}"/>
    <cellStyle name="Style 49 4 3 5 3 4 2" xfId="44637" xr:uid="{00000000-0005-0000-0000-0000190B0000}"/>
    <cellStyle name="Style 49 4 3 5 3 5" xfId="22561" xr:uid="{00000000-0005-0000-0000-0000190B0000}"/>
    <cellStyle name="Style 49 4 3 5 3 6" xfId="40930" xr:uid="{00000000-0005-0000-0000-0000190B0000}"/>
    <cellStyle name="Style 49 4 3 5 4" xfId="10247" xr:uid="{00000000-0005-0000-0000-0000190B0000}"/>
    <cellStyle name="Style 49 4 3 5 4 2" xfId="14304" xr:uid="{00000000-0005-0000-0000-0000190B0000}"/>
    <cellStyle name="Style 49 4 3 5 4 2 2" xfId="32720" xr:uid="{00000000-0005-0000-0000-0000190B0000}"/>
    <cellStyle name="Style 49 4 3 5 4 2 3" xfId="51083" xr:uid="{00000000-0005-0000-0000-0000190B0000}"/>
    <cellStyle name="Style 49 4 3 5 4 3" xfId="28958" xr:uid="{00000000-0005-0000-0000-0000190B0000}"/>
    <cellStyle name="Style 49 4 3 5 4 3 2" xfId="47321" xr:uid="{00000000-0005-0000-0000-0000190B0000}"/>
    <cellStyle name="Style 49 4 3 5 4 4" xfId="19761" xr:uid="{00000000-0005-0000-0000-0000190B0000}"/>
    <cellStyle name="Style 49 4 3 5 4 5" xfId="38167" xr:uid="{00000000-0005-0000-0000-0000190B0000}"/>
    <cellStyle name="Style 49 4 3 5 5" xfId="9443" xr:uid="{00000000-0005-0000-0000-0000190B0000}"/>
    <cellStyle name="Style 49 4 3 5 5 2" xfId="28160" xr:uid="{00000000-0005-0000-0000-0000190B0000}"/>
    <cellStyle name="Style 49 4 3 5 5 3" xfId="46523" xr:uid="{00000000-0005-0000-0000-0000190B0000}"/>
    <cellStyle name="Style 49 4 3 5 6" xfId="13500" xr:uid="{00000000-0005-0000-0000-0000190B0000}"/>
    <cellStyle name="Style 49 4 3 5 6 2" xfId="31921" xr:uid="{00000000-0005-0000-0000-0000190B0000}"/>
    <cellStyle name="Style 49 4 3 5 6 3" xfId="50284" xr:uid="{00000000-0005-0000-0000-0000190B0000}"/>
    <cellStyle name="Style 49 4 3 5 7" xfId="23442" xr:uid="{00000000-0005-0000-0000-0000190B0000}"/>
    <cellStyle name="Style 49 4 3 5 7 2" xfId="41811" xr:uid="{00000000-0005-0000-0000-0000190B0000}"/>
    <cellStyle name="Style 49 4 3 5 8" xfId="18528" xr:uid="{00000000-0005-0000-0000-0000190B0000}"/>
    <cellStyle name="Style 49 4 3 5 9" xfId="36937" xr:uid="{00000000-0005-0000-0000-0000190B0000}"/>
    <cellStyle name="Style 49 4 3 6" xfId="4538" xr:uid="{00000000-0005-0000-0000-0000190B0000}"/>
    <cellStyle name="Style 49 4 3 6 2" xfId="11129" xr:uid="{00000000-0005-0000-0000-0000190B0000}"/>
    <cellStyle name="Style 49 4 3 6 2 2" xfId="29747" xr:uid="{00000000-0005-0000-0000-0000190B0000}"/>
    <cellStyle name="Style 49 4 3 6 2 3" xfId="48110" xr:uid="{00000000-0005-0000-0000-0000190B0000}"/>
    <cellStyle name="Style 49 4 3 6 3" xfId="15267" xr:uid="{00000000-0005-0000-0000-0000190B0000}"/>
    <cellStyle name="Style 49 4 3 6 3 2" xfId="33661" xr:uid="{00000000-0005-0000-0000-0000190B0000}"/>
    <cellStyle name="Style 49 4 3 6 3 3" xfId="52024" xr:uid="{00000000-0005-0000-0000-0000190B0000}"/>
    <cellStyle name="Style 49 4 3 6 4" xfId="24392" xr:uid="{00000000-0005-0000-0000-0000190B0000}"/>
    <cellStyle name="Style 49 4 3 6 4 2" xfId="42761" xr:uid="{00000000-0005-0000-0000-0000190B0000}"/>
    <cellStyle name="Style 49 4 3 6 5" xfId="20716" xr:uid="{00000000-0005-0000-0000-0000190B0000}"/>
    <cellStyle name="Style 49 4 3 6 6" xfId="39108" xr:uid="{00000000-0005-0000-0000-0000190B0000}"/>
    <cellStyle name="Style 49 4 3 7" xfId="3980" xr:uid="{00000000-0005-0000-0000-0000190B0000}"/>
    <cellStyle name="Style 49 4 3 7 2" xfId="10685" xr:uid="{00000000-0005-0000-0000-0000190B0000}"/>
    <cellStyle name="Style 49 4 3 7 2 2" xfId="29390" xr:uid="{00000000-0005-0000-0000-0000190B0000}"/>
    <cellStyle name="Style 49 4 3 7 2 3" xfId="47753" xr:uid="{00000000-0005-0000-0000-0000190B0000}"/>
    <cellStyle name="Style 49 4 3 7 3" xfId="14742" xr:uid="{00000000-0005-0000-0000-0000190B0000}"/>
    <cellStyle name="Style 49 4 3 7 3 2" xfId="33154" xr:uid="{00000000-0005-0000-0000-0000190B0000}"/>
    <cellStyle name="Style 49 4 3 7 3 3" xfId="51517" xr:uid="{00000000-0005-0000-0000-0000190B0000}"/>
    <cellStyle name="Style 49 4 3 7 4" xfId="23878" xr:uid="{00000000-0005-0000-0000-0000190B0000}"/>
    <cellStyle name="Style 49 4 3 7 4 2" xfId="42247" xr:uid="{00000000-0005-0000-0000-0000190B0000}"/>
    <cellStyle name="Style 49 4 3 7 5" xfId="20197" xr:uid="{00000000-0005-0000-0000-0000190B0000}"/>
    <cellStyle name="Style 49 4 3 7 6" xfId="38601" xr:uid="{00000000-0005-0000-0000-0000190B0000}"/>
    <cellStyle name="Style 49 4 3 8" xfId="7808" xr:uid="{00000000-0005-0000-0000-0000190B0000}"/>
    <cellStyle name="Style 49 4 3 8 2" xfId="27078" xr:uid="{00000000-0005-0000-0000-0000190B0000}"/>
    <cellStyle name="Style 49 4 3 8 3" xfId="45443" xr:uid="{00000000-0005-0000-0000-0000190B0000}"/>
    <cellStyle name="Style 49 4 3 9" xfId="8521" xr:uid="{00000000-0005-0000-0000-0000190B0000}"/>
    <cellStyle name="Style 49 4 3 9 2" xfId="27509" xr:uid="{00000000-0005-0000-0000-0000190B0000}"/>
    <cellStyle name="Style 49 4 3 9 3" xfId="45873" xr:uid="{00000000-0005-0000-0000-0000190B0000}"/>
    <cellStyle name="Style 49 4 4" xfId="1482" xr:uid="{00000000-0005-0000-0000-00001D0B0000}"/>
    <cellStyle name="Style 49 4 4 10" xfId="8285" xr:uid="{00000000-0005-0000-0000-00001D0B0000}"/>
    <cellStyle name="Style 49 4 4 2" xfId="3495" xr:uid="{00000000-0005-0000-0000-00001D0B0000}"/>
    <cellStyle name="Style 49 4 4 2 2" xfId="5670" xr:uid="{00000000-0005-0000-0000-00001D0B0000}"/>
    <cellStyle name="Style 49 4 4 2 2 2" xfId="12034" xr:uid="{00000000-0005-0000-0000-00001D0B0000}"/>
    <cellStyle name="Style 49 4 4 2 2 2 2" xfId="30481" xr:uid="{00000000-0005-0000-0000-00001D0B0000}"/>
    <cellStyle name="Style 49 4 4 2 2 2 3" xfId="48844" xr:uid="{00000000-0005-0000-0000-00001D0B0000}"/>
    <cellStyle name="Style 49 4 4 2 2 3" xfId="16360" xr:uid="{00000000-0005-0000-0000-00001D0B0000}"/>
    <cellStyle name="Style 49 4 4 2 2 3 2" xfId="34732" xr:uid="{00000000-0005-0000-0000-00001D0B0000}"/>
    <cellStyle name="Style 49 4 4 2 2 3 3" xfId="53095" xr:uid="{00000000-0005-0000-0000-00001D0B0000}"/>
    <cellStyle name="Style 49 4 4 2 2 4" xfId="25479" xr:uid="{00000000-0005-0000-0000-00001D0B0000}"/>
    <cellStyle name="Style 49 4 4 2 2 4 2" xfId="43848" xr:uid="{00000000-0005-0000-0000-00001D0B0000}"/>
    <cellStyle name="Style 49 4 4 2 2 5" xfId="21800" xr:uid="{00000000-0005-0000-0000-00001D0B0000}"/>
    <cellStyle name="Style 49 4 4 2 2 6" xfId="40179" xr:uid="{00000000-0005-0000-0000-00001D0B0000}"/>
    <cellStyle name="Style 49 4 4 2 3" xfId="6494" xr:uid="{00000000-0005-0000-0000-00001D0B0000}"/>
    <cellStyle name="Style 49 4 4 2 3 2" xfId="12785" xr:uid="{00000000-0005-0000-0000-00001D0B0000}"/>
    <cellStyle name="Style 49 4 4 2 3 2 2" xfId="31211" xr:uid="{00000000-0005-0000-0000-00001D0B0000}"/>
    <cellStyle name="Style 49 4 4 2 3 2 3" xfId="49574" xr:uid="{00000000-0005-0000-0000-00001D0B0000}"/>
    <cellStyle name="Style 49 4 4 2 3 3" xfId="17096" xr:uid="{00000000-0005-0000-0000-00001D0B0000}"/>
    <cellStyle name="Style 49 4 4 2 3 3 2" xfId="35444" xr:uid="{00000000-0005-0000-0000-00001D0B0000}"/>
    <cellStyle name="Style 49 4 4 2 3 3 3" xfId="53807" xr:uid="{00000000-0005-0000-0000-00001D0B0000}"/>
    <cellStyle name="Style 49 4 4 2 3 4" xfId="26229" xr:uid="{00000000-0005-0000-0000-00001D0B0000}"/>
    <cellStyle name="Style 49 4 4 2 3 4 2" xfId="44598" xr:uid="{00000000-0005-0000-0000-00001D0B0000}"/>
    <cellStyle name="Style 49 4 4 2 3 5" xfId="22522" xr:uid="{00000000-0005-0000-0000-00001D0B0000}"/>
    <cellStyle name="Style 49 4 4 2 3 6" xfId="40891" xr:uid="{00000000-0005-0000-0000-00001D0B0000}"/>
    <cellStyle name="Style 49 4 4 2 4" xfId="10208" xr:uid="{00000000-0005-0000-0000-00001D0B0000}"/>
    <cellStyle name="Style 49 4 4 2 4 2" xfId="14265" xr:uid="{00000000-0005-0000-0000-00001D0B0000}"/>
    <cellStyle name="Style 49 4 4 2 4 2 2" xfId="32681" xr:uid="{00000000-0005-0000-0000-00001D0B0000}"/>
    <cellStyle name="Style 49 4 4 2 4 2 3" xfId="51044" xr:uid="{00000000-0005-0000-0000-00001D0B0000}"/>
    <cellStyle name="Style 49 4 4 2 4 3" xfId="28919" xr:uid="{00000000-0005-0000-0000-00001D0B0000}"/>
    <cellStyle name="Style 49 4 4 2 4 3 2" xfId="47282" xr:uid="{00000000-0005-0000-0000-00001D0B0000}"/>
    <cellStyle name="Style 49 4 4 2 4 4" xfId="19722" xr:uid="{00000000-0005-0000-0000-00001D0B0000}"/>
    <cellStyle name="Style 49 4 4 2 4 5" xfId="38128" xr:uid="{00000000-0005-0000-0000-00001D0B0000}"/>
    <cellStyle name="Style 49 4 4 2 5" xfId="9402" xr:uid="{00000000-0005-0000-0000-00001D0B0000}"/>
    <cellStyle name="Style 49 4 4 2 5 2" xfId="28121" xr:uid="{00000000-0005-0000-0000-00001D0B0000}"/>
    <cellStyle name="Style 49 4 4 2 5 3" xfId="46484" xr:uid="{00000000-0005-0000-0000-00001D0B0000}"/>
    <cellStyle name="Style 49 4 4 2 6" xfId="13458" xr:uid="{00000000-0005-0000-0000-00001D0B0000}"/>
    <cellStyle name="Style 49 4 4 2 6 2" xfId="31879" xr:uid="{00000000-0005-0000-0000-00001D0B0000}"/>
    <cellStyle name="Style 49 4 4 2 6 3" xfId="50242" xr:uid="{00000000-0005-0000-0000-00001D0B0000}"/>
    <cellStyle name="Style 49 4 4 2 7" xfId="23403" xr:uid="{00000000-0005-0000-0000-00001D0B0000}"/>
    <cellStyle name="Style 49 4 4 2 7 2" xfId="41772" xr:uid="{00000000-0005-0000-0000-00001D0B0000}"/>
    <cellStyle name="Style 49 4 4 2 8" xfId="18485" xr:uid="{00000000-0005-0000-0000-00001D0B0000}"/>
    <cellStyle name="Style 49 4 4 2 9" xfId="36891" xr:uid="{00000000-0005-0000-0000-00001D0B0000}"/>
    <cellStyle name="Style 49 4 4 3" xfId="4496" xr:uid="{00000000-0005-0000-0000-00001D0B0000}"/>
    <cellStyle name="Style 49 4 4 3 2" xfId="11090" xr:uid="{00000000-0005-0000-0000-00001D0B0000}"/>
    <cellStyle name="Style 49 4 4 3 2 2" xfId="29709" xr:uid="{00000000-0005-0000-0000-00001D0B0000}"/>
    <cellStyle name="Style 49 4 4 3 2 3" xfId="48072" xr:uid="{00000000-0005-0000-0000-00001D0B0000}"/>
    <cellStyle name="Style 49 4 4 3 3" xfId="15228" xr:uid="{00000000-0005-0000-0000-00001D0B0000}"/>
    <cellStyle name="Style 49 4 4 3 3 2" xfId="33623" xr:uid="{00000000-0005-0000-0000-00001D0B0000}"/>
    <cellStyle name="Style 49 4 4 3 3 3" xfId="51986" xr:uid="{00000000-0005-0000-0000-00001D0B0000}"/>
    <cellStyle name="Style 49 4 4 3 4" xfId="24354" xr:uid="{00000000-0005-0000-0000-00001D0B0000}"/>
    <cellStyle name="Style 49 4 4 3 4 2" xfId="42723" xr:uid="{00000000-0005-0000-0000-00001D0B0000}"/>
    <cellStyle name="Style 49 4 4 3 5" xfId="20678" xr:uid="{00000000-0005-0000-0000-00001D0B0000}"/>
    <cellStyle name="Style 49 4 4 3 6" xfId="39070" xr:uid="{00000000-0005-0000-0000-00001D0B0000}"/>
    <cellStyle name="Style 49 4 4 4" xfId="5048" xr:uid="{00000000-0005-0000-0000-00001D0B0000}"/>
    <cellStyle name="Style 49 4 4 4 2" xfId="11570" xr:uid="{00000000-0005-0000-0000-00001D0B0000}"/>
    <cellStyle name="Style 49 4 4 4 2 2" xfId="30141" xr:uid="{00000000-0005-0000-0000-00001D0B0000}"/>
    <cellStyle name="Style 49 4 4 4 2 3" xfId="48504" xr:uid="{00000000-0005-0000-0000-00001D0B0000}"/>
    <cellStyle name="Style 49 4 4 4 3" xfId="15761" xr:uid="{00000000-0005-0000-0000-00001D0B0000}"/>
    <cellStyle name="Style 49 4 4 4 3 2" xfId="34149" xr:uid="{00000000-0005-0000-0000-00001D0B0000}"/>
    <cellStyle name="Style 49 4 4 4 3 3" xfId="52512" xr:uid="{00000000-0005-0000-0000-00001D0B0000}"/>
    <cellStyle name="Style 49 4 4 4 4" xfId="24885" xr:uid="{00000000-0005-0000-0000-00001D0B0000}"/>
    <cellStyle name="Style 49 4 4 4 4 2" xfId="43254" xr:uid="{00000000-0005-0000-0000-00001D0B0000}"/>
    <cellStyle name="Style 49 4 4 4 5" xfId="21209" xr:uid="{00000000-0005-0000-0000-00001D0B0000}"/>
    <cellStyle name="Style 49 4 4 4 6" xfId="39596" xr:uid="{00000000-0005-0000-0000-00001D0B0000}"/>
    <cellStyle name="Style 49 4 4 5" xfId="9722" xr:uid="{00000000-0005-0000-0000-00001D0B0000}"/>
    <cellStyle name="Style 49 4 4 5 2" xfId="13779" xr:uid="{00000000-0005-0000-0000-00001D0B0000}"/>
    <cellStyle name="Style 49 4 4 5 2 2" xfId="32200" xr:uid="{00000000-0005-0000-0000-00001D0B0000}"/>
    <cellStyle name="Style 49 4 4 5 2 3" xfId="50563" xr:uid="{00000000-0005-0000-0000-00001D0B0000}"/>
    <cellStyle name="Style 49 4 4 5 3" xfId="28438" xr:uid="{00000000-0005-0000-0000-00001D0B0000}"/>
    <cellStyle name="Style 49 4 4 5 3 2" xfId="46801" xr:uid="{00000000-0005-0000-0000-00001D0B0000}"/>
    <cellStyle name="Style 49 4 4 5 4" xfId="18873" xr:uid="{00000000-0005-0000-0000-00001D0B0000}"/>
    <cellStyle name="Style 49 4 4 5 5" xfId="37282" xr:uid="{00000000-0005-0000-0000-00001D0B0000}"/>
    <cellStyle name="Style 49 4 4 6" xfId="7767" xr:uid="{00000000-0005-0000-0000-00001D0B0000}"/>
    <cellStyle name="Style 49 4 4 6 2" xfId="27042" xr:uid="{00000000-0005-0000-0000-00001D0B0000}"/>
    <cellStyle name="Style 49 4 4 6 3" xfId="45407" xr:uid="{00000000-0005-0000-0000-00001D0B0000}"/>
    <cellStyle name="Style 49 4 4 7" xfId="8265" xr:uid="{00000000-0005-0000-0000-00001D0B0000}"/>
    <cellStyle name="Style 49 4 4 7 2" xfId="27395" xr:uid="{00000000-0005-0000-0000-00001D0B0000}"/>
    <cellStyle name="Style 49 4 4 7 3" xfId="45760" xr:uid="{00000000-0005-0000-0000-00001D0B0000}"/>
    <cellStyle name="Style 49 4 4 8" xfId="17856" xr:uid="{00000000-0005-0000-0000-00001D0B0000}"/>
    <cellStyle name="Style 49 4 4 8 2" xfId="36266" xr:uid="{00000000-0005-0000-0000-00001D0B0000}"/>
    <cellStyle name="Style 49 4 4 9" xfId="8283" xr:uid="{00000000-0005-0000-0000-00001D0B0000}"/>
    <cellStyle name="Style 49 4 5" xfId="1417" xr:uid="{00000000-0005-0000-0000-00001E0B0000}"/>
    <cellStyle name="Style 49 4 5 2" xfId="3449" xr:uid="{00000000-0005-0000-0000-00001E0B0000}"/>
    <cellStyle name="Style 49 4 5 2 2" xfId="5624" xr:uid="{00000000-0005-0000-0000-00001E0B0000}"/>
    <cellStyle name="Style 49 4 5 2 2 2" xfId="11988" xr:uid="{00000000-0005-0000-0000-00001E0B0000}"/>
    <cellStyle name="Style 49 4 5 2 2 2 2" xfId="30435" xr:uid="{00000000-0005-0000-0000-00001E0B0000}"/>
    <cellStyle name="Style 49 4 5 2 2 2 3" xfId="48798" xr:uid="{00000000-0005-0000-0000-00001E0B0000}"/>
    <cellStyle name="Style 49 4 5 2 2 3" xfId="16314" xr:uid="{00000000-0005-0000-0000-00001E0B0000}"/>
    <cellStyle name="Style 49 4 5 2 2 3 2" xfId="34686" xr:uid="{00000000-0005-0000-0000-00001E0B0000}"/>
    <cellStyle name="Style 49 4 5 2 2 3 3" xfId="53049" xr:uid="{00000000-0005-0000-0000-00001E0B0000}"/>
    <cellStyle name="Style 49 4 5 2 2 4" xfId="25433" xr:uid="{00000000-0005-0000-0000-00001E0B0000}"/>
    <cellStyle name="Style 49 4 5 2 2 4 2" xfId="43802" xr:uid="{00000000-0005-0000-0000-00001E0B0000}"/>
    <cellStyle name="Style 49 4 5 2 2 5" xfId="21754" xr:uid="{00000000-0005-0000-0000-00001E0B0000}"/>
    <cellStyle name="Style 49 4 5 2 2 6" xfId="40133" xr:uid="{00000000-0005-0000-0000-00001E0B0000}"/>
    <cellStyle name="Style 49 4 5 2 3" xfId="6448" xr:uid="{00000000-0005-0000-0000-00001E0B0000}"/>
    <cellStyle name="Style 49 4 5 2 3 2" xfId="12739" xr:uid="{00000000-0005-0000-0000-00001E0B0000}"/>
    <cellStyle name="Style 49 4 5 2 3 2 2" xfId="31165" xr:uid="{00000000-0005-0000-0000-00001E0B0000}"/>
    <cellStyle name="Style 49 4 5 2 3 2 3" xfId="49528" xr:uid="{00000000-0005-0000-0000-00001E0B0000}"/>
    <cellStyle name="Style 49 4 5 2 3 3" xfId="17050" xr:uid="{00000000-0005-0000-0000-00001E0B0000}"/>
    <cellStyle name="Style 49 4 5 2 3 3 2" xfId="35398" xr:uid="{00000000-0005-0000-0000-00001E0B0000}"/>
    <cellStyle name="Style 49 4 5 2 3 3 3" xfId="53761" xr:uid="{00000000-0005-0000-0000-00001E0B0000}"/>
    <cellStyle name="Style 49 4 5 2 3 4" xfId="26183" xr:uid="{00000000-0005-0000-0000-00001E0B0000}"/>
    <cellStyle name="Style 49 4 5 2 3 4 2" xfId="44552" xr:uid="{00000000-0005-0000-0000-00001E0B0000}"/>
    <cellStyle name="Style 49 4 5 2 3 5" xfId="22476" xr:uid="{00000000-0005-0000-0000-00001E0B0000}"/>
    <cellStyle name="Style 49 4 5 2 3 6" xfId="40845" xr:uid="{00000000-0005-0000-0000-00001E0B0000}"/>
    <cellStyle name="Style 49 4 5 2 4" xfId="10162" xr:uid="{00000000-0005-0000-0000-00001E0B0000}"/>
    <cellStyle name="Style 49 4 5 2 4 2" xfId="14219" xr:uid="{00000000-0005-0000-0000-00001E0B0000}"/>
    <cellStyle name="Style 49 4 5 2 4 2 2" xfId="32635" xr:uid="{00000000-0005-0000-0000-00001E0B0000}"/>
    <cellStyle name="Style 49 4 5 2 4 2 3" xfId="50998" xr:uid="{00000000-0005-0000-0000-00001E0B0000}"/>
    <cellStyle name="Style 49 4 5 2 4 3" xfId="28873" xr:uid="{00000000-0005-0000-0000-00001E0B0000}"/>
    <cellStyle name="Style 49 4 5 2 4 3 2" xfId="47236" xr:uid="{00000000-0005-0000-0000-00001E0B0000}"/>
    <cellStyle name="Style 49 4 5 2 4 4" xfId="19676" xr:uid="{00000000-0005-0000-0000-00001E0B0000}"/>
    <cellStyle name="Style 49 4 5 2 4 5" xfId="38082" xr:uid="{00000000-0005-0000-0000-00001E0B0000}"/>
    <cellStyle name="Style 49 4 5 2 5" xfId="9349" xr:uid="{00000000-0005-0000-0000-00001E0B0000}"/>
    <cellStyle name="Style 49 4 5 2 5 2" xfId="28068" xr:uid="{00000000-0005-0000-0000-00001E0B0000}"/>
    <cellStyle name="Style 49 4 5 2 5 3" xfId="46431" xr:uid="{00000000-0005-0000-0000-00001E0B0000}"/>
    <cellStyle name="Style 49 4 5 2 6" xfId="13405" xr:uid="{00000000-0005-0000-0000-00001E0B0000}"/>
    <cellStyle name="Style 49 4 5 2 6 2" xfId="31826" xr:uid="{00000000-0005-0000-0000-00001E0B0000}"/>
    <cellStyle name="Style 49 4 5 2 6 3" xfId="50189" xr:uid="{00000000-0005-0000-0000-00001E0B0000}"/>
    <cellStyle name="Style 49 4 5 2 7" xfId="23357" xr:uid="{00000000-0005-0000-0000-00001E0B0000}"/>
    <cellStyle name="Style 49 4 5 2 7 2" xfId="41726" xr:uid="{00000000-0005-0000-0000-00001E0B0000}"/>
    <cellStyle name="Style 49 4 5 2 8" xfId="18429" xr:uid="{00000000-0005-0000-0000-00001E0B0000}"/>
    <cellStyle name="Style 49 4 5 2 9" xfId="36835" xr:uid="{00000000-0005-0000-0000-00001E0B0000}"/>
    <cellStyle name="Style 49 4 5 3" xfId="4442" xr:uid="{00000000-0005-0000-0000-00001E0B0000}"/>
    <cellStyle name="Style 49 4 5 3 2" xfId="11041" xr:uid="{00000000-0005-0000-0000-00001E0B0000}"/>
    <cellStyle name="Style 49 4 5 3 2 2" xfId="29661" xr:uid="{00000000-0005-0000-0000-00001E0B0000}"/>
    <cellStyle name="Style 49 4 5 3 2 3" xfId="48024" xr:uid="{00000000-0005-0000-0000-00001E0B0000}"/>
    <cellStyle name="Style 49 4 5 3 3" xfId="15176" xr:uid="{00000000-0005-0000-0000-00001E0B0000}"/>
    <cellStyle name="Style 49 4 5 3 3 2" xfId="33573" xr:uid="{00000000-0005-0000-0000-00001E0B0000}"/>
    <cellStyle name="Style 49 4 5 3 3 3" xfId="51936" xr:uid="{00000000-0005-0000-0000-00001E0B0000}"/>
    <cellStyle name="Style 49 4 5 3 4" xfId="24304" xr:uid="{00000000-0005-0000-0000-00001E0B0000}"/>
    <cellStyle name="Style 49 4 5 3 4 2" xfId="42673" xr:uid="{00000000-0005-0000-0000-00001E0B0000}"/>
    <cellStyle name="Style 49 4 5 3 5" xfId="20627" xr:uid="{00000000-0005-0000-0000-00001E0B0000}"/>
    <cellStyle name="Style 49 4 5 3 6" xfId="39020" xr:uid="{00000000-0005-0000-0000-00001E0B0000}"/>
    <cellStyle name="Style 49 4 5 4" xfId="4032" xr:uid="{00000000-0005-0000-0000-00001E0B0000}"/>
    <cellStyle name="Style 49 4 5 4 2" xfId="10735" xr:uid="{00000000-0005-0000-0000-00001E0B0000}"/>
    <cellStyle name="Style 49 4 5 4 2 2" xfId="29438" xr:uid="{00000000-0005-0000-0000-00001E0B0000}"/>
    <cellStyle name="Style 49 4 5 4 2 3" xfId="47801" xr:uid="{00000000-0005-0000-0000-00001E0B0000}"/>
    <cellStyle name="Style 49 4 5 4 3" xfId="14793" xr:uid="{00000000-0005-0000-0000-00001E0B0000}"/>
    <cellStyle name="Style 49 4 5 4 3 2" xfId="33205" xr:uid="{00000000-0005-0000-0000-00001E0B0000}"/>
    <cellStyle name="Style 49 4 5 4 3 3" xfId="51568" xr:uid="{00000000-0005-0000-0000-00001E0B0000}"/>
    <cellStyle name="Style 49 4 5 4 4" xfId="23929" xr:uid="{00000000-0005-0000-0000-00001E0B0000}"/>
    <cellStyle name="Style 49 4 5 4 4 2" xfId="42298" xr:uid="{00000000-0005-0000-0000-00001E0B0000}"/>
    <cellStyle name="Style 49 4 5 4 5" xfId="20249" xr:uid="{00000000-0005-0000-0000-00001E0B0000}"/>
    <cellStyle name="Style 49 4 5 4 6" xfId="38652" xr:uid="{00000000-0005-0000-0000-00001E0B0000}"/>
    <cellStyle name="Style 49 4 5 5" xfId="9895" xr:uid="{00000000-0005-0000-0000-00001E0B0000}"/>
    <cellStyle name="Style 49 4 5 5 2" xfId="13953" xr:uid="{00000000-0005-0000-0000-00001E0B0000}"/>
    <cellStyle name="Style 49 4 5 5 2 2" xfId="32371" xr:uid="{00000000-0005-0000-0000-00001E0B0000}"/>
    <cellStyle name="Style 49 4 5 5 2 3" xfId="50734" xr:uid="{00000000-0005-0000-0000-00001E0B0000}"/>
    <cellStyle name="Style 49 4 5 5 3" xfId="28609" xr:uid="{00000000-0005-0000-0000-00001E0B0000}"/>
    <cellStyle name="Style 49 4 5 5 3 2" xfId="46972" xr:uid="{00000000-0005-0000-0000-00001E0B0000}"/>
    <cellStyle name="Style 49 4 5 5 4" xfId="19177" xr:uid="{00000000-0005-0000-0000-00001E0B0000}"/>
    <cellStyle name="Style 49 4 5 5 5" xfId="37585" xr:uid="{00000000-0005-0000-0000-00001E0B0000}"/>
    <cellStyle name="Style 49 4 5 6" xfId="7709" xr:uid="{00000000-0005-0000-0000-00001E0B0000}"/>
    <cellStyle name="Style 49 4 5 6 2" xfId="26990" xr:uid="{00000000-0005-0000-0000-00001E0B0000}"/>
    <cellStyle name="Style 49 4 5 6 3" xfId="45355" xr:uid="{00000000-0005-0000-0000-00001E0B0000}"/>
    <cellStyle name="Style 49 4 5 7" xfId="7901" xr:uid="{00000000-0005-0000-0000-00001E0B0000}"/>
    <cellStyle name="Style 49 4 5 7 2" xfId="27133" xr:uid="{00000000-0005-0000-0000-00001E0B0000}"/>
    <cellStyle name="Style 49 4 5 7 3" xfId="45498" xr:uid="{00000000-0005-0000-0000-00001E0B0000}"/>
    <cellStyle name="Style 49 4 5 8" xfId="7865" xr:uid="{00000000-0005-0000-0000-00001E0B0000}"/>
    <cellStyle name="Style 49 4 5 9" xfId="7297" xr:uid="{00000000-0005-0000-0000-00001E0B0000}"/>
    <cellStyle name="Style 49 4 6" xfId="3357" xr:uid="{00000000-0005-0000-0000-0000140B0000}"/>
    <cellStyle name="Style 49 4 6 2" xfId="5532" xr:uid="{00000000-0005-0000-0000-0000140B0000}"/>
    <cellStyle name="Style 49 4 6 2 2" xfId="11896" xr:uid="{00000000-0005-0000-0000-0000140B0000}"/>
    <cellStyle name="Style 49 4 6 2 2 2" xfId="30343" xr:uid="{00000000-0005-0000-0000-0000140B0000}"/>
    <cellStyle name="Style 49 4 6 2 2 3" xfId="48706" xr:uid="{00000000-0005-0000-0000-0000140B0000}"/>
    <cellStyle name="Style 49 4 6 2 3" xfId="16222" xr:uid="{00000000-0005-0000-0000-0000140B0000}"/>
    <cellStyle name="Style 49 4 6 2 3 2" xfId="34594" xr:uid="{00000000-0005-0000-0000-0000140B0000}"/>
    <cellStyle name="Style 49 4 6 2 3 3" xfId="52957" xr:uid="{00000000-0005-0000-0000-0000140B0000}"/>
    <cellStyle name="Style 49 4 6 2 4" xfId="25341" xr:uid="{00000000-0005-0000-0000-0000140B0000}"/>
    <cellStyle name="Style 49 4 6 2 4 2" xfId="43710" xr:uid="{00000000-0005-0000-0000-0000140B0000}"/>
    <cellStyle name="Style 49 4 6 2 5" xfId="21662" xr:uid="{00000000-0005-0000-0000-0000140B0000}"/>
    <cellStyle name="Style 49 4 6 2 6" xfId="40041" xr:uid="{00000000-0005-0000-0000-0000140B0000}"/>
    <cellStyle name="Style 49 4 6 3" xfId="6356" xr:uid="{00000000-0005-0000-0000-0000140B0000}"/>
    <cellStyle name="Style 49 4 6 3 2" xfId="12647" xr:uid="{00000000-0005-0000-0000-0000140B0000}"/>
    <cellStyle name="Style 49 4 6 3 2 2" xfId="31073" xr:uid="{00000000-0005-0000-0000-0000140B0000}"/>
    <cellStyle name="Style 49 4 6 3 2 3" xfId="49436" xr:uid="{00000000-0005-0000-0000-0000140B0000}"/>
    <cellStyle name="Style 49 4 6 3 3" xfId="16958" xr:uid="{00000000-0005-0000-0000-0000140B0000}"/>
    <cellStyle name="Style 49 4 6 3 3 2" xfId="35306" xr:uid="{00000000-0005-0000-0000-0000140B0000}"/>
    <cellStyle name="Style 49 4 6 3 3 3" xfId="53669" xr:uid="{00000000-0005-0000-0000-0000140B0000}"/>
    <cellStyle name="Style 49 4 6 3 4" xfId="26091" xr:uid="{00000000-0005-0000-0000-0000140B0000}"/>
    <cellStyle name="Style 49 4 6 3 4 2" xfId="44460" xr:uid="{00000000-0005-0000-0000-0000140B0000}"/>
    <cellStyle name="Style 49 4 6 3 5" xfId="22384" xr:uid="{00000000-0005-0000-0000-0000140B0000}"/>
    <cellStyle name="Style 49 4 6 3 6" xfId="40753" xr:uid="{00000000-0005-0000-0000-0000140B0000}"/>
    <cellStyle name="Style 49 4 6 4" xfId="10070" xr:uid="{00000000-0005-0000-0000-0000140B0000}"/>
    <cellStyle name="Style 49 4 6 4 2" xfId="14127" xr:uid="{00000000-0005-0000-0000-0000140B0000}"/>
    <cellStyle name="Style 49 4 6 4 2 2" xfId="32543" xr:uid="{00000000-0005-0000-0000-0000140B0000}"/>
    <cellStyle name="Style 49 4 6 4 2 3" xfId="50906" xr:uid="{00000000-0005-0000-0000-0000140B0000}"/>
    <cellStyle name="Style 49 4 6 4 3" xfId="28781" xr:uid="{00000000-0005-0000-0000-0000140B0000}"/>
    <cellStyle name="Style 49 4 6 4 3 2" xfId="47144" xr:uid="{00000000-0005-0000-0000-0000140B0000}"/>
    <cellStyle name="Style 49 4 6 4 4" xfId="19584" xr:uid="{00000000-0005-0000-0000-0000140B0000}"/>
    <cellStyle name="Style 49 4 6 4 5" xfId="37990" xr:uid="{00000000-0005-0000-0000-0000140B0000}"/>
    <cellStyle name="Style 49 4 6 5" xfId="9217" xr:uid="{00000000-0005-0000-0000-0000140B0000}"/>
    <cellStyle name="Style 49 4 6 5 2" xfId="27937" xr:uid="{00000000-0005-0000-0000-0000140B0000}"/>
    <cellStyle name="Style 49 4 6 5 3" xfId="46300" xr:uid="{00000000-0005-0000-0000-0000140B0000}"/>
    <cellStyle name="Style 49 4 6 6" xfId="13274" xr:uid="{00000000-0005-0000-0000-0000140B0000}"/>
    <cellStyle name="Style 49 4 6 6 2" xfId="31695" xr:uid="{00000000-0005-0000-0000-0000140B0000}"/>
    <cellStyle name="Style 49 4 6 6 3" xfId="50058" xr:uid="{00000000-0005-0000-0000-0000140B0000}"/>
    <cellStyle name="Style 49 4 6 7" xfId="23265" xr:uid="{00000000-0005-0000-0000-0000140B0000}"/>
    <cellStyle name="Style 49 4 6 7 2" xfId="41634" xr:uid="{00000000-0005-0000-0000-0000140B0000}"/>
    <cellStyle name="Style 49 4 6 8" xfId="18264" xr:uid="{00000000-0005-0000-0000-0000140B0000}"/>
    <cellStyle name="Style 49 4 6 9" xfId="36670" xr:uid="{00000000-0005-0000-0000-0000140B0000}"/>
    <cellStyle name="Style 49 4 7" xfId="7546" xr:uid="{00000000-0005-0000-0000-0000140B0000}"/>
    <cellStyle name="Style 49 4 7 2" xfId="26869" xr:uid="{00000000-0005-0000-0000-0000140B0000}"/>
    <cellStyle name="Style 49 4 7 3" xfId="45234" xr:uid="{00000000-0005-0000-0000-0000140B0000}"/>
    <cellStyle name="Style 49 4 8" xfId="11477" xr:uid="{00000000-0005-0000-0000-0000140B0000}"/>
    <cellStyle name="Style 49 4 9" xfId="7437" xr:uid="{00000000-0005-0000-0000-0000140B0000}"/>
    <cellStyle name="Style 49 5" xfId="1806" xr:uid="{00000000-0005-0000-0000-00001F0B0000}"/>
    <cellStyle name="Style 49 5 10" xfId="8615" xr:uid="{00000000-0005-0000-0000-00001F0B0000}"/>
    <cellStyle name="Style 49 5 2" xfId="3699" xr:uid="{00000000-0005-0000-0000-00001F0B0000}"/>
    <cellStyle name="Style 49 5 2 2" xfId="5872" xr:uid="{00000000-0005-0000-0000-00001F0B0000}"/>
    <cellStyle name="Style 49 5 2 2 2" xfId="12236" xr:uid="{00000000-0005-0000-0000-00001F0B0000}"/>
    <cellStyle name="Style 49 5 2 2 2 2" xfId="30683" xr:uid="{00000000-0005-0000-0000-00001F0B0000}"/>
    <cellStyle name="Style 49 5 2 2 2 3" xfId="49046" xr:uid="{00000000-0005-0000-0000-00001F0B0000}"/>
    <cellStyle name="Style 49 5 2 2 3" xfId="16562" xr:uid="{00000000-0005-0000-0000-00001F0B0000}"/>
    <cellStyle name="Style 49 5 2 2 3 2" xfId="34934" xr:uid="{00000000-0005-0000-0000-00001F0B0000}"/>
    <cellStyle name="Style 49 5 2 2 3 3" xfId="53297" xr:uid="{00000000-0005-0000-0000-00001F0B0000}"/>
    <cellStyle name="Style 49 5 2 2 4" xfId="25681" xr:uid="{00000000-0005-0000-0000-00001F0B0000}"/>
    <cellStyle name="Style 49 5 2 2 4 2" xfId="44050" xr:uid="{00000000-0005-0000-0000-00001F0B0000}"/>
    <cellStyle name="Style 49 5 2 2 5" xfId="22002" xr:uid="{00000000-0005-0000-0000-00001F0B0000}"/>
    <cellStyle name="Style 49 5 2 2 6" xfId="40381" xr:uid="{00000000-0005-0000-0000-00001F0B0000}"/>
    <cellStyle name="Style 49 5 2 3" xfId="6698" xr:uid="{00000000-0005-0000-0000-00001F0B0000}"/>
    <cellStyle name="Style 49 5 2 3 2" xfId="12989" xr:uid="{00000000-0005-0000-0000-00001F0B0000}"/>
    <cellStyle name="Style 49 5 2 3 2 2" xfId="31415" xr:uid="{00000000-0005-0000-0000-00001F0B0000}"/>
    <cellStyle name="Style 49 5 2 3 2 3" xfId="49778" xr:uid="{00000000-0005-0000-0000-00001F0B0000}"/>
    <cellStyle name="Style 49 5 2 3 3" xfId="17300" xr:uid="{00000000-0005-0000-0000-00001F0B0000}"/>
    <cellStyle name="Style 49 5 2 3 3 2" xfId="35648" xr:uid="{00000000-0005-0000-0000-00001F0B0000}"/>
    <cellStyle name="Style 49 5 2 3 3 3" xfId="54011" xr:uid="{00000000-0005-0000-0000-00001F0B0000}"/>
    <cellStyle name="Style 49 5 2 3 4" xfId="26433" xr:uid="{00000000-0005-0000-0000-00001F0B0000}"/>
    <cellStyle name="Style 49 5 2 3 4 2" xfId="44802" xr:uid="{00000000-0005-0000-0000-00001F0B0000}"/>
    <cellStyle name="Style 49 5 2 3 5" xfId="22726" xr:uid="{00000000-0005-0000-0000-00001F0B0000}"/>
    <cellStyle name="Style 49 5 2 3 6" xfId="41095" xr:uid="{00000000-0005-0000-0000-00001F0B0000}"/>
    <cellStyle name="Style 49 5 2 4" xfId="10412" xr:uid="{00000000-0005-0000-0000-00001F0B0000}"/>
    <cellStyle name="Style 49 5 2 4 2" xfId="14469" xr:uid="{00000000-0005-0000-0000-00001F0B0000}"/>
    <cellStyle name="Style 49 5 2 4 2 2" xfId="32885" xr:uid="{00000000-0005-0000-0000-00001F0B0000}"/>
    <cellStyle name="Style 49 5 2 4 2 3" xfId="51248" xr:uid="{00000000-0005-0000-0000-00001F0B0000}"/>
    <cellStyle name="Style 49 5 2 4 3" xfId="29123" xr:uid="{00000000-0005-0000-0000-00001F0B0000}"/>
    <cellStyle name="Style 49 5 2 4 3 2" xfId="47486" xr:uid="{00000000-0005-0000-0000-00001F0B0000}"/>
    <cellStyle name="Style 49 5 2 4 4" xfId="19926" xr:uid="{00000000-0005-0000-0000-00001F0B0000}"/>
    <cellStyle name="Style 49 5 2 4 5" xfId="38332" xr:uid="{00000000-0005-0000-0000-00001F0B0000}"/>
    <cellStyle name="Style 49 5 2 5" xfId="9620" xr:uid="{00000000-0005-0000-0000-00001F0B0000}"/>
    <cellStyle name="Style 49 5 2 5 2" xfId="28337" xr:uid="{00000000-0005-0000-0000-00001F0B0000}"/>
    <cellStyle name="Style 49 5 2 5 3" xfId="46700" xr:uid="{00000000-0005-0000-0000-00001F0B0000}"/>
    <cellStyle name="Style 49 5 2 6" xfId="13678" xr:uid="{00000000-0005-0000-0000-00001F0B0000}"/>
    <cellStyle name="Style 49 5 2 6 2" xfId="32099" xr:uid="{00000000-0005-0000-0000-00001F0B0000}"/>
    <cellStyle name="Style 49 5 2 6 3" xfId="50462" xr:uid="{00000000-0005-0000-0000-00001F0B0000}"/>
    <cellStyle name="Style 49 5 2 7" xfId="23607" xr:uid="{00000000-0005-0000-0000-00001F0B0000}"/>
    <cellStyle name="Style 49 5 2 7 2" xfId="41976" xr:uid="{00000000-0005-0000-0000-00001F0B0000}"/>
    <cellStyle name="Style 49 5 2 8" xfId="18720" xr:uid="{00000000-0005-0000-0000-00001F0B0000}"/>
    <cellStyle name="Style 49 5 2 9" xfId="37130" xr:uid="{00000000-0005-0000-0000-00001F0B0000}"/>
    <cellStyle name="Style 49 5 3" xfId="4740" xr:uid="{00000000-0005-0000-0000-00001F0B0000}"/>
    <cellStyle name="Style 49 5 3 2" xfId="11324" xr:uid="{00000000-0005-0000-0000-00001F0B0000}"/>
    <cellStyle name="Style 49 5 3 2 2" xfId="29936" xr:uid="{00000000-0005-0000-0000-00001F0B0000}"/>
    <cellStyle name="Style 49 5 3 2 3" xfId="48299" xr:uid="{00000000-0005-0000-0000-00001F0B0000}"/>
    <cellStyle name="Style 49 5 3 3" xfId="15466" xr:uid="{00000000-0005-0000-0000-00001F0B0000}"/>
    <cellStyle name="Style 49 5 3 3 2" xfId="33859" xr:uid="{00000000-0005-0000-0000-00001F0B0000}"/>
    <cellStyle name="Style 49 5 3 3 3" xfId="52222" xr:uid="{00000000-0005-0000-0000-00001F0B0000}"/>
    <cellStyle name="Style 49 5 3 4" xfId="24590" xr:uid="{00000000-0005-0000-0000-00001F0B0000}"/>
    <cellStyle name="Style 49 5 3 4 2" xfId="42959" xr:uid="{00000000-0005-0000-0000-00001F0B0000}"/>
    <cellStyle name="Style 49 5 3 5" xfId="20917" xr:uid="{00000000-0005-0000-0000-00001F0B0000}"/>
    <cellStyle name="Style 49 5 3 6" xfId="39306" xr:uid="{00000000-0005-0000-0000-00001F0B0000}"/>
    <cellStyle name="Style 49 5 4" xfId="3936" xr:uid="{00000000-0005-0000-0000-00001F0B0000}"/>
    <cellStyle name="Style 49 5 4 2" xfId="10641" xr:uid="{00000000-0005-0000-0000-00001F0B0000}"/>
    <cellStyle name="Style 49 5 4 2 2" xfId="29347" xr:uid="{00000000-0005-0000-0000-00001F0B0000}"/>
    <cellStyle name="Style 49 5 4 2 3" xfId="47710" xr:uid="{00000000-0005-0000-0000-00001F0B0000}"/>
    <cellStyle name="Style 49 5 4 3" xfId="14699" xr:uid="{00000000-0005-0000-0000-00001F0B0000}"/>
    <cellStyle name="Style 49 5 4 3 2" xfId="33111" xr:uid="{00000000-0005-0000-0000-00001F0B0000}"/>
    <cellStyle name="Style 49 5 4 3 3" xfId="51474" xr:uid="{00000000-0005-0000-0000-00001F0B0000}"/>
    <cellStyle name="Style 49 5 4 4" xfId="23835" xr:uid="{00000000-0005-0000-0000-00001F0B0000}"/>
    <cellStyle name="Style 49 5 4 4 2" xfId="42204" xr:uid="{00000000-0005-0000-0000-00001F0B0000}"/>
    <cellStyle name="Style 49 5 4 5" xfId="20153" xr:uid="{00000000-0005-0000-0000-00001F0B0000}"/>
    <cellStyle name="Style 49 5 4 6" xfId="38558" xr:uid="{00000000-0005-0000-0000-00001F0B0000}"/>
    <cellStyle name="Style 49 5 5" xfId="9264" xr:uid="{00000000-0005-0000-0000-00001F0B0000}"/>
    <cellStyle name="Style 49 5 5 2" xfId="13321" xr:uid="{00000000-0005-0000-0000-00001F0B0000}"/>
    <cellStyle name="Style 49 5 5 2 2" xfId="31742" xr:uid="{00000000-0005-0000-0000-00001F0B0000}"/>
    <cellStyle name="Style 49 5 5 2 3" xfId="50105" xr:uid="{00000000-0005-0000-0000-00001F0B0000}"/>
    <cellStyle name="Style 49 5 5 3" xfId="27984" xr:uid="{00000000-0005-0000-0000-00001F0B0000}"/>
    <cellStyle name="Style 49 5 5 3 2" xfId="46347" xr:uid="{00000000-0005-0000-0000-00001F0B0000}"/>
    <cellStyle name="Style 49 5 5 4" xfId="18324" xr:uid="{00000000-0005-0000-0000-00001F0B0000}"/>
    <cellStyle name="Style 49 5 5 5" xfId="36730" xr:uid="{00000000-0005-0000-0000-00001F0B0000}"/>
    <cellStyle name="Style 49 5 6" xfId="8036" xr:uid="{00000000-0005-0000-0000-00001F0B0000}"/>
    <cellStyle name="Style 49 5 6 2" xfId="27265" xr:uid="{00000000-0005-0000-0000-00001F0B0000}"/>
    <cellStyle name="Style 49 5 6 3" xfId="45630" xr:uid="{00000000-0005-0000-0000-00001F0B0000}"/>
    <cellStyle name="Style 49 5 7" xfId="6216" xr:uid="{00000000-0005-0000-0000-00001F0B0000}"/>
    <cellStyle name="Style 49 5 7 2" xfId="25989" xr:uid="{00000000-0005-0000-0000-00001F0B0000}"/>
    <cellStyle name="Style 49 5 7 3" xfId="44358" xr:uid="{00000000-0005-0000-0000-00001F0B0000}"/>
    <cellStyle name="Style 49 5 8" xfId="19325" xr:uid="{00000000-0005-0000-0000-00001F0B0000}"/>
    <cellStyle name="Style 49 5 8 2" xfId="37732" xr:uid="{00000000-0005-0000-0000-00001F0B0000}"/>
    <cellStyle name="Style 49 5 9" xfId="8395" xr:uid="{00000000-0005-0000-0000-00001F0B0000}"/>
    <cellStyle name="Style 49 6" xfId="2241" xr:uid="{00000000-0005-0000-0000-0000200B0000}"/>
    <cellStyle name="Style 49 6 10" xfId="8981" xr:uid="{00000000-0005-0000-0000-0000200B0000}"/>
    <cellStyle name="Style 49 6 2" xfId="3758" xr:uid="{00000000-0005-0000-0000-0000200B0000}"/>
    <cellStyle name="Style 49 6 2 2" xfId="5931" xr:uid="{00000000-0005-0000-0000-0000200B0000}"/>
    <cellStyle name="Style 49 6 2 2 2" xfId="12295" xr:uid="{00000000-0005-0000-0000-0000200B0000}"/>
    <cellStyle name="Style 49 6 2 2 2 2" xfId="30742" xr:uid="{00000000-0005-0000-0000-0000200B0000}"/>
    <cellStyle name="Style 49 6 2 2 2 3" xfId="49105" xr:uid="{00000000-0005-0000-0000-0000200B0000}"/>
    <cellStyle name="Style 49 6 2 2 3" xfId="16621" xr:uid="{00000000-0005-0000-0000-0000200B0000}"/>
    <cellStyle name="Style 49 6 2 2 3 2" xfId="34993" xr:uid="{00000000-0005-0000-0000-0000200B0000}"/>
    <cellStyle name="Style 49 6 2 2 3 3" xfId="53356" xr:uid="{00000000-0005-0000-0000-0000200B0000}"/>
    <cellStyle name="Style 49 6 2 2 4" xfId="25740" xr:uid="{00000000-0005-0000-0000-0000200B0000}"/>
    <cellStyle name="Style 49 6 2 2 4 2" xfId="44109" xr:uid="{00000000-0005-0000-0000-0000200B0000}"/>
    <cellStyle name="Style 49 6 2 2 5" xfId="22061" xr:uid="{00000000-0005-0000-0000-0000200B0000}"/>
    <cellStyle name="Style 49 6 2 2 6" xfId="40440" xr:uid="{00000000-0005-0000-0000-0000200B0000}"/>
    <cellStyle name="Style 49 6 2 3" xfId="6757" xr:uid="{00000000-0005-0000-0000-0000200B0000}"/>
    <cellStyle name="Style 49 6 2 3 2" xfId="13048" xr:uid="{00000000-0005-0000-0000-0000200B0000}"/>
    <cellStyle name="Style 49 6 2 3 2 2" xfId="31474" xr:uid="{00000000-0005-0000-0000-0000200B0000}"/>
    <cellStyle name="Style 49 6 2 3 2 3" xfId="49837" xr:uid="{00000000-0005-0000-0000-0000200B0000}"/>
    <cellStyle name="Style 49 6 2 3 3" xfId="17359" xr:uid="{00000000-0005-0000-0000-0000200B0000}"/>
    <cellStyle name="Style 49 6 2 3 3 2" xfId="35707" xr:uid="{00000000-0005-0000-0000-0000200B0000}"/>
    <cellStyle name="Style 49 6 2 3 3 3" xfId="54070" xr:uid="{00000000-0005-0000-0000-0000200B0000}"/>
    <cellStyle name="Style 49 6 2 3 4" xfId="26492" xr:uid="{00000000-0005-0000-0000-0000200B0000}"/>
    <cellStyle name="Style 49 6 2 3 4 2" xfId="44861" xr:uid="{00000000-0005-0000-0000-0000200B0000}"/>
    <cellStyle name="Style 49 6 2 3 5" xfId="22785" xr:uid="{00000000-0005-0000-0000-0000200B0000}"/>
    <cellStyle name="Style 49 6 2 3 6" xfId="41154" xr:uid="{00000000-0005-0000-0000-0000200B0000}"/>
    <cellStyle name="Style 49 6 2 4" xfId="10471" xr:uid="{00000000-0005-0000-0000-0000200B0000}"/>
    <cellStyle name="Style 49 6 2 4 2" xfId="14528" xr:uid="{00000000-0005-0000-0000-0000200B0000}"/>
    <cellStyle name="Style 49 6 2 4 2 2" xfId="32944" xr:uid="{00000000-0005-0000-0000-0000200B0000}"/>
    <cellStyle name="Style 49 6 2 4 2 3" xfId="51307" xr:uid="{00000000-0005-0000-0000-0000200B0000}"/>
    <cellStyle name="Style 49 6 2 4 3" xfId="29182" xr:uid="{00000000-0005-0000-0000-0000200B0000}"/>
    <cellStyle name="Style 49 6 2 4 3 2" xfId="47545" xr:uid="{00000000-0005-0000-0000-0000200B0000}"/>
    <cellStyle name="Style 49 6 2 4 4" xfId="19985" xr:uid="{00000000-0005-0000-0000-0000200B0000}"/>
    <cellStyle name="Style 49 6 2 4 5" xfId="38391" xr:uid="{00000000-0005-0000-0000-0000200B0000}"/>
    <cellStyle name="Style 49 6 2 5" xfId="9738" xr:uid="{00000000-0005-0000-0000-0000200B0000}"/>
    <cellStyle name="Style 49 6 2 5 2" xfId="28453" xr:uid="{00000000-0005-0000-0000-0000200B0000}"/>
    <cellStyle name="Style 49 6 2 5 3" xfId="46816" xr:uid="{00000000-0005-0000-0000-0000200B0000}"/>
    <cellStyle name="Style 49 6 2 6" xfId="13795" xr:uid="{00000000-0005-0000-0000-0000200B0000}"/>
    <cellStyle name="Style 49 6 2 6 2" xfId="32215" xr:uid="{00000000-0005-0000-0000-0000200B0000}"/>
    <cellStyle name="Style 49 6 2 6 3" xfId="50578" xr:uid="{00000000-0005-0000-0000-0000200B0000}"/>
    <cellStyle name="Style 49 6 2 7" xfId="23666" xr:uid="{00000000-0005-0000-0000-0000200B0000}"/>
    <cellStyle name="Style 49 6 2 7 2" xfId="42035" xr:uid="{00000000-0005-0000-0000-0000200B0000}"/>
    <cellStyle name="Style 49 6 2 8" xfId="18911" xr:uid="{00000000-0005-0000-0000-0000200B0000}"/>
    <cellStyle name="Style 49 6 2 9" xfId="37320" xr:uid="{00000000-0005-0000-0000-0000200B0000}"/>
    <cellStyle name="Style 49 6 3" xfId="4945" xr:uid="{00000000-0005-0000-0000-0000200B0000}"/>
    <cellStyle name="Style 49 6 3 2" xfId="11483" xr:uid="{00000000-0005-0000-0000-0000200B0000}"/>
    <cellStyle name="Style 49 6 3 2 2" xfId="30060" xr:uid="{00000000-0005-0000-0000-0000200B0000}"/>
    <cellStyle name="Style 49 6 3 2 3" xfId="48423" xr:uid="{00000000-0005-0000-0000-0000200B0000}"/>
    <cellStyle name="Style 49 6 3 3" xfId="15664" xr:uid="{00000000-0005-0000-0000-0000200B0000}"/>
    <cellStyle name="Style 49 6 3 3 2" xfId="34053" xr:uid="{00000000-0005-0000-0000-0000200B0000}"/>
    <cellStyle name="Style 49 6 3 3 3" xfId="52416" xr:uid="{00000000-0005-0000-0000-0000200B0000}"/>
    <cellStyle name="Style 49 6 3 4" xfId="24786" xr:uid="{00000000-0005-0000-0000-0000200B0000}"/>
    <cellStyle name="Style 49 6 3 4 2" xfId="43155" xr:uid="{00000000-0005-0000-0000-0000200B0000}"/>
    <cellStyle name="Style 49 6 3 5" xfId="21113" xr:uid="{00000000-0005-0000-0000-0000200B0000}"/>
    <cellStyle name="Style 49 6 3 6" xfId="39500" xr:uid="{00000000-0005-0000-0000-0000200B0000}"/>
    <cellStyle name="Style 49 6 4" xfId="6086" xr:uid="{00000000-0005-0000-0000-0000200B0000}"/>
    <cellStyle name="Style 49 6 4 2" xfId="12443" xr:uid="{00000000-0005-0000-0000-0000200B0000}"/>
    <cellStyle name="Style 49 6 4 2 2" xfId="30890" xr:uid="{00000000-0005-0000-0000-0000200B0000}"/>
    <cellStyle name="Style 49 6 4 2 3" xfId="49253" xr:uid="{00000000-0005-0000-0000-0000200B0000}"/>
    <cellStyle name="Style 49 6 4 3" xfId="16768" xr:uid="{00000000-0005-0000-0000-0000200B0000}"/>
    <cellStyle name="Style 49 6 4 3 2" xfId="35140" xr:uid="{00000000-0005-0000-0000-0000200B0000}"/>
    <cellStyle name="Style 49 6 4 3 3" xfId="53503" xr:uid="{00000000-0005-0000-0000-0000200B0000}"/>
    <cellStyle name="Style 49 6 4 4" xfId="25894" xr:uid="{00000000-0005-0000-0000-0000200B0000}"/>
    <cellStyle name="Style 49 6 4 4 2" xfId="44263" xr:uid="{00000000-0005-0000-0000-0000200B0000}"/>
    <cellStyle name="Style 49 6 4 5" xfId="22208" xr:uid="{00000000-0005-0000-0000-0000200B0000}"/>
    <cellStyle name="Style 49 6 4 6" xfId="40587" xr:uid="{00000000-0005-0000-0000-0000200B0000}"/>
    <cellStyle name="Style 49 6 5" xfId="9275" xr:uid="{00000000-0005-0000-0000-0000200B0000}"/>
    <cellStyle name="Style 49 6 5 2" xfId="13331" xr:uid="{00000000-0005-0000-0000-0000200B0000}"/>
    <cellStyle name="Style 49 6 5 2 2" xfId="31752" xr:uid="{00000000-0005-0000-0000-0000200B0000}"/>
    <cellStyle name="Style 49 6 5 2 3" xfId="50115" xr:uid="{00000000-0005-0000-0000-0000200B0000}"/>
    <cellStyle name="Style 49 6 5 3" xfId="27994" xr:uid="{00000000-0005-0000-0000-0000200B0000}"/>
    <cellStyle name="Style 49 6 5 3 2" xfId="46357" xr:uid="{00000000-0005-0000-0000-0000200B0000}"/>
    <cellStyle name="Style 49 6 5 4" xfId="18335" xr:uid="{00000000-0005-0000-0000-0000200B0000}"/>
    <cellStyle name="Style 49 6 5 5" xfId="36741" xr:uid="{00000000-0005-0000-0000-0000200B0000}"/>
    <cellStyle name="Style 49 6 6" xfId="8317" xr:uid="{00000000-0005-0000-0000-0000200B0000}"/>
    <cellStyle name="Style 49 6 6 2" xfId="27410" xr:uid="{00000000-0005-0000-0000-0000200B0000}"/>
    <cellStyle name="Style 49 6 6 3" xfId="45775" xr:uid="{00000000-0005-0000-0000-0000200B0000}"/>
    <cellStyle name="Style 49 6 7" xfId="8216" xr:uid="{00000000-0005-0000-0000-0000200B0000}"/>
    <cellStyle name="Style 49 6 7 2" xfId="27375" xr:uid="{00000000-0005-0000-0000-0000200B0000}"/>
    <cellStyle name="Style 49 6 7 3" xfId="45740" xr:uid="{00000000-0005-0000-0000-0000200B0000}"/>
    <cellStyle name="Style 49 6 8" xfId="18001" xr:uid="{00000000-0005-0000-0000-0000200B0000}"/>
    <cellStyle name="Style 49 6 8 2" xfId="36409" xr:uid="{00000000-0005-0000-0000-0000200B0000}"/>
    <cellStyle name="Style 49 6 9" xfId="8906" xr:uid="{00000000-0005-0000-0000-0000200B0000}"/>
    <cellStyle name="Style 49 7" xfId="2685" xr:uid="{00000000-0005-0000-0000-0000210B0000}"/>
    <cellStyle name="Style 49 7 10" xfId="35896" xr:uid="{00000000-0005-0000-0000-0000210B0000}"/>
    <cellStyle name="Style 49 7 2" xfId="3802" xr:uid="{00000000-0005-0000-0000-0000210B0000}"/>
    <cellStyle name="Style 49 7 2 2" xfId="5975" xr:uid="{00000000-0005-0000-0000-0000210B0000}"/>
    <cellStyle name="Style 49 7 2 2 2" xfId="12339" xr:uid="{00000000-0005-0000-0000-0000210B0000}"/>
    <cellStyle name="Style 49 7 2 2 2 2" xfId="30786" xr:uid="{00000000-0005-0000-0000-0000210B0000}"/>
    <cellStyle name="Style 49 7 2 2 2 3" xfId="49149" xr:uid="{00000000-0005-0000-0000-0000210B0000}"/>
    <cellStyle name="Style 49 7 2 2 3" xfId="16665" xr:uid="{00000000-0005-0000-0000-0000210B0000}"/>
    <cellStyle name="Style 49 7 2 2 3 2" xfId="35037" xr:uid="{00000000-0005-0000-0000-0000210B0000}"/>
    <cellStyle name="Style 49 7 2 2 3 3" xfId="53400" xr:uid="{00000000-0005-0000-0000-0000210B0000}"/>
    <cellStyle name="Style 49 7 2 2 4" xfId="25784" xr:uid="{00000000-0005-0000-0000-0000210B0000}"/>
    <cellStyle name="Style 49 7 2 2 4 2" xfId="44153" xr:uid="{00000000-0005-0000-0000-0000210B0000}"/>
    <cellStyle name="Style 49 7 2 2 5" xfId="22105" xr:uid="{00000000-0005-0000-0000-0000210B0000}"/>
    <cellStyle name="Style 49 7 2 2 6" xfId="40484" xr:uid="{00000000-0005-0000-0000-0000210B0000}"/>
    <cellStyle name="Style 49 7 2 3" xfId="6801" xr:uid="{00000000-0005-0000-0000-0000210B0000}"/>
    <cellStyle name="Style 49 7 2 3 2" xfId="13092" xr:uid="{00000000-0005-0000-0000-0000210B0000}"/>
    <cellStyle name="Style 49 7 2 3 2 2" xfId="31518" xr:uid="{00000000-0005-0000-0000-0000210B0000}"/>
    <cellStyle name="Style 49 7 2 3 2 3" xfId="49881" xr:uid="{00000000-0005-0000-0000-0000210B0000}"/>
    <cellStyle name="Style 49 7 2 3 3" xfId="17403" xr:uid="{00000000-0005-0000-0000-0000210B0000}"/>
    <cellStyle name="Style 49 7 2 3 3 2" xfId="35751" xr:uid="{00000000-0005-0000-0000-0000210B0000}"/>
    <cellStyle name="Style 49 7 2 3 3 3" xfId="54114" xr:uid="{00000000-0005-0000-0000-0000210B0000}"/>
    <cellStyle name="Style 49 7 2 3 4" xfId="26536" xr:uid="{00000000-0005-0000-0000-0000210B0000}"/>
    <cellStyle name="Style 49 7 2 3 4 2" xfId="44905" xr:uid="{00000000-0005-0000-0000-0000210B0000}"/>
    <cellStyle name="Style 49 7 2 3 5" xfId="22829" xr:uid="{00000000-0005-0000-0000-0000210B0000}"/>
    <cellStyle name="Style 49 7 2 3 6" xfId="41198" xr:uid="{00000000-0005-0000-0000-0000210B0000}"/>
    <cellStyle name="Style 49 7 2 4" xfId="10515" xr:uid="{00000000-0005-0000-0000-0000210B0000}"/>
    <cellStyle name="Style 49 7 2 4 2" xfId="14572" xr:uid="{00000000-0005-0000-0000-0000210B0000}"/>
    <cellStyle name="Style 49 7 2 4 2 2" xfId="32988" xr:uid="{00000000-0005-0000-0000-0000210B0000}"/>
    <cellStyle name="Style 49 7 2 4 2 3" xfId="51351" xr:uid="{00000000-0005-0000-0000-0000210B0000}"/>
    <cellStyle name="Style 49 7 2 4 3" xfId="29226" xr:uid="{00000000-0005-0000-0000-0000210B0000}"/>
    <cellStyle name="Style 49 7 2 4 3 2" xfId="47589" xr:uid="{00000000-0005-0000-0000-0000210B0000}"/>
    <cellStyle name="Style 49 7 2 4 4" xfId="20029" xr:uid="{00000000-0005-0000-0000-0000210B0000}"/>
    <cellStyle name="Style 49 7 2 4 5" xfId="38435" xr:uid="{00000000-0005-0000-0000-0000210B0000}"/>
    <cellStyle name="Style 49 7 2 5" xfId="9841" xr:uid="{00000000-0005-0000-0000-0000210B0000}"/>
    <cellStyle name="Style 49 7 2 5 2" xfId="28555" xr:uid="{00000000-0005-0000-0000-0000210B0000}"/>
    <cellStyle name="Style 49 7 2 5 3" xfId="46918" xr:uid="{00000000-0005-0000-0000-0000210B0000}"/>
    <cellStyle name="Style 49 7 2 6" xfId="13899" xr:uid="{00000000-0005-0000-0000-0000210B0000}"/>
    <cellStyle name="Style 49 7 2 6 2" xfId="32317" xr:uid="{00000000-0005-0000-0000-0000210B0000}"/>
    <cellStyle name="Style 49 7 2 6 3" xfId="50680" xr:uid="{00000000-0005-0000-0000-0000210B0000}"/>
    <cellStyle name="Style 49 7 2 7" xfId="23710" xr:uid="{00000000-0005-0000-0000-0000210B0000}"/>
    <cellStyle name="Style 49 7 2 7 2" xfId="42079" xr:uid="{00000000-0005-0000-0000-0000210B0000}"/>
    <cellStyle name="Style 49 7 2 8" xfId="19083" xr:uid="{00000000-0005-0000-0000-0000210B0000}"/>
    <cellStyle name="Style 49 7 2 9" xfId="37491" xr:uid="{00000000-0005-0000-0000-0000210B0000}"/>
    <cellStyle name="Style 49 7 3" xfId="5108" xr:uid="{00000000-0005-0000-0000-0000210B0000}"/>
    <cellStyle name="Style 49 7 3 2" xfId="11619" xr:uid="{00000000-0005-0000-0000-0000210B0000}"/>
    <cellStyle name="Style 49 7 3 2 2" xfId="30174" xr:uid="{00000000-0005-0000-0000-0000210B0000}"/>
    <cellStyle name="Style 49 7 3 2 3" xfId="48537" xr:uid="{00000000-0005-0000-0000-0000210B0000}"/>
    <cellStyle name="Style 49 7 3 3" xfId="15817" xr:uid="{00000000-0005-0000-0000-0000210B0000}"/>
    <cellStyle name="Style 49 7 3 3 2" xfId="34202" xr:uid="{00000000-0005-0000-0000-0000210B0000}"/>
    <cellStyle name="Style 49 7 3 3 3" xfId="52565" xr:uid="{00000000-0005-0000-0000-0000210B0000}"/>
    <cellStyle name="Style 49 7 3 4" xfId="24939" xr:uid="{00000000-0005-0000-0000-0000210B0000}"/>
    <cellStyle name="Style 49 7 3 4 2" xfId="43308" xr:uid="{00000000-0005-0000-0000-0000210B0000}"/>
    <cellStyle name="Style 49 7 3 5" xfId="21264" xr:uid="{00000000-0005-0000-0000-0000210B0000}"/>
    <cellStyle name="Style 49 7 3 6" xfId="39649" xr:uid="{00000000-0005-0000-0000-0000210B0000}"/>
    <cellStyle name="Style 49 7 4" xfId="6165" xr:uid="{00000000-0005-0000-0000-0000210B0000}"/>
    <cellStyle name="Style 49 7 4 2" xfId="12502" xr:uid="{00000000-0005-0000-0000-0000210B0000}"/>
    <cellStyle name="Style 49 7 4 2 2" xfId="30939" xr:uid="{00000000-0005-0000-0000-0000210B0000}"/>
    <cellStyle name="Style 49 7 4 2 3" xfId="49302" xr:uid="{00000000-0005-0000-0000-0000210B0000}"/>
    <cellStyle name="Style 49 7 4 3" xfId="16820" xr:uid="{00000000-0005-0000-0000-0000210B0000}"/>
    <cellStyle name="Style 49 7 4 3 2" xfId="35185" xr:uid="{00000000-0005-0000-0000-0000210B0000}"/>
    <cellStyle name="Style 49 7 4 3 3" xfId="53548" xr:uid="{00000000-0005-0000-0000-0000210B0000}"/>
    <cellStyle name="Style 49 7 4 4" xfId="25952" xr:uid="{00000000-0005-0000-0000-0000210B0000}"/>
    <cellStyle name="Style 49 7 4 4 2" xfId="44321" xr:uid="{00000000-0005-0000-0000-0000210B0000}"/>
    <cellStyle name="Style 49 7 4 5" xfId="22257" xr:uid="{00000000-0005-0000-0000-0000210B0000}"/>
    <cellStyle name="Style 49 7 4 6" xfId="40632" xr:uid="{00000000-0005-0000-0000-0000210B0000}"/>
    <cellStyle name="Style 49 7 5" xfId="9779" xr:uid="{00000000-0005-0000-0000-0000210B0000}"/>
    <cellStyle name="Style 49 7 5 2" xfId="13836" xr:uid="{00000000-0005-0000-0000-0000210B0000}"/>
    <cellStyle name="Style 49 7 5 2 2" xfId="32256" xr:uid="{00000000-0005-0000-0000-0000210B0000}"/>
    <cellStyle name="Style 49 7 5 2 3" xfId="50619" xr:uid="{00000000-0005-0000-0000-0000210B0000}"/>
    <cellStyle name="Style 49 7 5 3" xfId="28494" xr:uid="{00000000-0005-0000-0000-0000210B0000}"/>
    <cellStyle name="Style 49 7 5 3 2" xfId="46857" xr:uid="{00000000-0005-0000-0000-0000210B0000}"/>
    <cellStyle name="Style 49 7 5 4" xfId="18968" xr:uid="{00000000-0005-0000-0000-0000210B0000}"/>
    <cellStyle name="Style 49 7 5 5" xfId="37377" xr:uid="{00000000-0005-0000-0000-0000210B0000}"/>
    <cellStyle name="Style 49 7 6" xfId="8586" xr:uid="{00000000-0005-0000-0000-0000210B0000}"/>
    <cellStyle name="Style 49 7 6 2" xfId="27529" xr:uid="{00000000-0005-0000-0000-0000210B0000}"/>
    <cellStyle name="Style 49 7 6 3" xfId="45893" xr:uid="{00000000-0005-0000-0000-0000210B0000}"/>
    <cellStyle name="Style 49 7 7" xfId="8090" xr:uid="{00000000-0005-0000-0000-0000210B0000}"/>
    <cellStyle name="Style 49 7 7 2" xfId="27297" xr:uid="{00000000-0005-0000-0000-0000210B0000}"/>
    <cellStyle name="Style 49 7 7 3" xfId="45662" xr:uid="{00000000-0005-0000-0000-0000210B0000}"/>
    <cellStyle name="Style 49 7 8" xfId="18133" xr:uid="{00000000-0005-0000-0000-0000210B0000}"/>
    <cellStyle name="Style 49 7 8 2" xfId="36540" xr:uid="{00000000-0005-0000-0000-0000210B0000}"/>
    <cellStyle name="Style 49 7 9" xfId="8511" xr:uid="{00000000-0005-0000-0000-0000210B0000}"/>
    <cellStyle name="Style 49 8" xfId="3079" xr:uid="{00000000-0005-0000-0000-0000220B0000}"/>
    <cellStyle name="Style 49 8 10" xfId="36083" xr:uid="{00000000-0005-0000-0000-0000220B0000}"/>
    <cellStyle name="Style 49 8 2" xfId="3853" xr:uid="{00000000-0005-0000-0000-0000220B0000}"/>
    <cellStyle name="Style 49 8 2 2" xfId="6026" xr:uid="{00000000-0005-0000-0000-0000220B0000}"/>
    <cellStyle name="Style 49 8 2 2 2" xfId="12390" xr:uid="{00000000-0005-0000-0000-0000220B0000}"/>
    <cellStyle name="Style 49 8 2 2 2 2" xfId="30837" xr:uid="{00000000-0005-0000-0000-0000220B0000}"/>
    <cellStyle name="Style 49 8 2 2 2 3" xfId="49200" xr:uid="{00000000-0005-0000-0000-0000220B0000}"/>
    <cellStyle name="Style 49 8 2 2 3" xfId="16716" xr:uid="{00000000-0005-0000-0000-0000220B0000}"/>
    <cellStyle name="Style 49 8 2 2 3 2" xfId="35088" xr:uid="{00000000-0005-0000-0000-0000220B0000}"/>
    <cellStyle name="Style 49 8 2 2 3 3" xfId="53451" xr:uid="{00000000-0005-0000-0000-0000220B0000}"/>
    <cellStyle name="Style 49 8 2 2 4" xfId="25835" xr:uid="{00000000-0005-0000-0000-0000220B0000}"/>
    <cellStyle name="Style 49 8 2 2 4 2" xfId="44204" xr:uid="{00000000-0005-0000-0000-0000220B0000}"/>
    <cellStyle name="Style 49 8 2 2 5" xfId="22156" xr:uid="{00000000-0005-0000-0000-0000220B0000}"/>
    <cellStyle name="Style 49 8 2 2 6" xfId="40535" xr:uid="{00000000-0005-0000-0000-0000220B0000}"/>
    <cellStyle name="Style 49 8 2 3" xfId="6852" xr:uid="{00000000-0005-0000-0000-0000220B0000}"/>
    <cellStyle name="Style 49 8 2 3 2" xfId="13143" xr:uid="{00000000-0005-0000-0000-0000220B0000}"/>
    <cellStyle name="Style 49 8 2 3 2 2" xfId="31569" xr:uid="{00000000-0005-0000-0000-0000220B0000}"/>
    <cellStyle name="Style 49 8 2 3 2 3" xfId="49932" xr:uid="{00000000-0005-0000-0000-0000220B0000}"/>
    <cellStyle name="Style 49 8 2 3 3" xfId="17454" xr:uid="{00000000-0005-0000-0000-0000220B0000}"/>
    <cellStyle name="Style 49 8 2 3 3 2" xfId="35802" xr:uid="{00000000-0005-0000-0000-0000220B0000}"/>
    <cellStyle name="Style 49 8 2 3 3 3" xfId="54165" xr:uid="{00000000-0005-0000-0000-0000220B0000}"/>
    <cellStyle name="Style 49 8 2 3 4" xfId="26587" xr:uid="{00000000-0005-0000-0000-0000220B0000}"/>
    <cellStyle name="Style 49 8 2 3 4 2" xfId="44956" xr:uid="{00000000-0005-0000-0000-0000220B0000}"/>
    <cellStyle name="Style 49 8 2 3 5" xfId="22880" xr:uid="{00000000-0005-0000-0000-0000220B0000}"/>
    <cellStyle name="Style 49 8 2 3 6" xfId="41249" xr:uid="{00000000-0005-0000-0000-0000220B0000}"/>
    <cellStyle name="Style 49 8 2 4" xfId="10566" xr:uid="{00000000-0005-0000-0000-0000220B0000}"/>
    <cellStyle name="Style 49 8 2 4 2" xfId="14623" xr:uid="{00000000-0005-0000-0000-0000220B0000}"/>
    <cellStyle name="Style 49 8 2 4 2 2" xfId="33039" xr:uid="{00000000-0005-0000-0000-0000220B0000}"/>
    <cellStyle name="Style 49 8 2 4 2 3" xfId="51402" xr:uid="{00000000-0005-0000-0000-0000220B0000}"/>
    <cellStyle name="Style 49 8 2 4 3" xfId="29277" xr:uid="{00000000-0005-0000-0000-0000220B0000}"/>
    <cellStyle name="Style 49 8 2 4 3 2" xfId="47640" xr:uid="{00000000-0005-0000-0000-0000220B0000}"/>
    <cellStyle name="Style 49 8 2 4 4" xfId="20080" xr:uid="{00000000-0005-0000-0000-0000220B0000}"/>
    <cellStyle name="Style 49 8 2 4 5" xfId="38486" xr:uid="{00000000-0005-0000-0000-0000220B0000}"/>
    <cellStyle name="Style 49 8 2 5" xfId="9940" xr:uid="{00000000-0005-0000-0000-0000220B0000}"/>
    <cellStyle name="Style 49 8 2 5 2" xfId="28652" xr:uid="{00000000-0005-0000-0000-0000220B0000}"/>
    <cellStyle name="Style 49 8 2 5 3" xfId="47015" xr:uid="{00000000-0005-0000-0000-0000220B0000}"/>
    <cellStyle name="Style 49 8 2 6" xfId="13997" xr:uid="{00000000-0005-0000-0000-0000220B0000}"/>
    <cellStyle name="Style 49 8 2 6 2" xfId="32414" xr:uid="{00000000-0005-0000-0000-0000220B0000}"/>
    <cellStyle name="Style 49 8 2 6 3" xfId="50777" xr:uid="{00000000-0005-0000-0000-0000220B0000}"/>
    <cellStyle name="Style 49 8 2 7" xfId="23761" xr:uid="{00000000-0005-0000-0000-0000220B0000}"/>
    <cellStyle name="Style 49 8 2 7 2" xfId="42130" xr:uid="{00000000-0005-0000-0000-0000220B0000}"/>
    <cellStyle name="Style 49 8 2 8" xfId="19256" xr:uid="{00000000-0005-0000-0000-0000220B0000}"/>
    <cellStyle name="Style 49 8 2 9" xfId="37663" xr:uid="{00000000-0005-0000-0000-0000220B0000}"/>
    <cellStyle name="Style 49 8 3" xfId="5331" xr:uid="{00000000-0005-0000-0000-0000220B0000}"/>
    <cellStyle name="Style 49 8 3 2" xfId="11766" xr:uid="{00000000-0005-0000-0000-0000220B0000}"/>
    <cellStyle name="Style 49 8 3 2 2" xfId="30256" xr:uid="{00000000-0005-0000-0000-0000220B0000}"/>
    <cellStyle name="Style 49 8 3 2 3" xfId="48619" xr:uid="{00000000-0005-0000-0000-0000220B0000}"/>
    <cellStyle name="Style 49 8 3 3" xfId="16023" xr:uid="{00000000-0005-0000-0000-0000220B0000}"/>
    <cellStyle name="Style 49 8 3 3 2" xfId="34397" xr:uid="{00000000-0005-0000-0000-0000220B0000}"/>
    <cellStyle name="Style 49 8 3 3 3" xfId="52760" xr:uid="{00000000-0005-0000-0000-0000220B0000}"/>
    <cellStyle name="Style 49 8 3 4" xfId="25144" xr:uid="{00000000-0005-0000-0000-0000220B0000}"/>
    <cellStyle name="Style 49 8 3 4 2" xfId="43513" xr:uid="{00000000-0005-0000-0000-0000220B0000}"/>
    <cellStyle name="Style 49 8 3 5" xfId="21465" xr:uid="{00000000-0005-0000-0000-0000220B0000}"/>
    <cellStyle name="Style 49 8 3 6" xfId="39844" xr:uid="{00000000-0005-0000-0000-0000220B0000}"/>
    <cellStyle name="Style 49 8 4" xfId="6261" xr:uid="{00000000-0005-0000-0000-0000220B0000}"/>
    <cellStyle name="Style 49 8 4 2" xfId="12565" xr:uid="{00000000-0005-0000-0000-0000220B0000}"/>
    <cellStyle name="Style 49 8 4 2 2" xfId="30996" xr:uid="{00000000-0005-0000-0000-0000220B0000}"/>
    <cellStyle name="Style 49 8 4 2 3" xfId="49359" xr:uid="{00000000-0005-0000-0000-0000220B0000}"/>
    <cellStyle name="Style 49 8 4 3" xfId="16882" xr:uid="{00000000-0005-0000-0000-0000220B0000}"/>
    <cellStyle name="Style 49 8 4 3 2" xfId="35237" xr:uid="{00000000-0005-0000-0000-0000220B0000}"/>
    <cellStyle name="Style 49 8 4 3 3" xfId="53600" xr:uid="{00000000-0005-0000-0000-0000220B0000}"/>
    <cellStyle name="Style 49 8 4 4" xfId="26016" xr:uid="{00000000-0005-0000-0000-0000220B0000}"/>
    <cellStyle name="Style 49 8 4 4 2" xfId="44385" xr:uid="{00000000-0005-0000-0000-0000220B0000}"/>
    <cellStyle name="Style 49 8 4 5" xfId="22313" xr:uid="{00000000-0005-0000-0000-0000220B0000}"/>
    <cellStyle name="Style 49 8 4 6" xfId="40684" xr:uid="{00000000-0005-0000-0000-0000220B0000}"/>
    <cellStyle name="Style 49 8 5" xfId="10049" xr:uid="{00000000-0005-0000-0000-0000220B0000}"/>
    <cellStyle name="Style 49 8 5 2" xfId="14106" xr:uid="{00000000-0005-0000-0000-0000220B0000}"/>
    <cellStyle name="Style 49 8 5 2 2" xfId="32522" xr:uid="{00000000-0005-0000-0000-0000220B0000}"/>
    <cellStyle name="Style 49 8 5 2 3" xfId="50885" xr:uid="{00000000-0005-0000-0000-0000220B0000}"/>
    <cellStyle name="Style 49 8 5 3" xfId="28760" xr:uid="{00000000-0005-0000-0000-0000220B0000}"/>
    <cellStyle name="Style 49 8 5 3 2" xfId="47123" xr:uid="{00000000-0005-0000-0000-0000220B0000}"/>
    <cellStyle name="Style 49 8 5 4" xfId="19513" xr:uid="{00000000-0005-0000-0000-0000220B0000}"/>
    <cellStyle name="Style 49 8 5 5" xfId="37919" xr:uid="{00000000-0005-0000-0000-0000220B0000}"/>
    <cellStyle name="Style 49 8 6" xfId="8849" xr:uid="{00000000-0005-0000-0000-0000220B0000}"/>
    <cellStyle name="Style 49 8 6 2" xfId="27655" xr:uid="{00000000-0005-0000-0000-0000220B0000}"/>
    <cellStyle name="Style 49 8 6 3" xfId="46018" xr:uid="{00000000-0005-0000-0000-0000220B0000}"/>
    <cellStyle name="Style 49 8 7" xfId="10689" xr:uid="{00000000-0005-0000-0000-0000220B0000}"/>
    <cellStyle name="Style 49 8 7 2" xfId="29394" xr:uid="{00000000-0005-0000-0000-0000220B0000}"/>
    <cellStyle name="Style 49 8 7 3" xfId="47757" xr:uid="{00000000-0005-0000-0000-0000220B0000}"/>
    <cellStyle name="Style 49 8 8" xfId="23081" xr:uid="{00000000-0005-0000-0000-0000220B0000}"/>
    <cellStyle name="Style 49 8 8 2" xfId="41450" xr:uid="{00000000-0005-0000-0000-0000220B0000}"/>
    <cellStyle name="Style 49 8 9" xfId="17641" xr:uid="{00000000-0005-0000-0000-0000220B0000}"/>
    <cellStyle name="Style 49 9" xfId="2923" xr:uid="{00000000-0005-0000-0000-0000230B0000}"/>
    <cellStyle name="Style 49 9 2" xfId="3830" xr:uid="{00000000-0005-0000-0000-0000230B0000}"/>
    <cellStyle name="Style 49 9 2 2" xfId="6003" xr:uid="{00000000-0005-0000-0000-0000230B0000}"/>
    <cellStyle name="Style 49 9 2 2 2" xfId="12367" xr:uid="{00000000-0005-0000-0000-0000230B0000}"/>
    <cellStyle name="Style 49 9 2 2 2 2" xfId="30814" xr:uid="{00000000-0005-0000-0000-0000230B0000}"/>
    <cellStyle name="Style 49 9 2 2 2 3" xfId="49177" xr:uid="{00000000-0005-0000-0000-0000230B0000}"/>
    <cellStyle name="Style 49 9 2 2 3" xfId="16693" xr:uid="{00000000-0005-0000-0000-0000230B0000}"/>
    <cellStyle name="Style 49 9 2 2 3 2" xfId="35065" xr:uid="{00000000-0005-0000-0000-0000230B0000}"/>
    <cellStyle name="Style 49 9 2 2 3 3" xfId="53428" xr:uid="{00000000-0005-0000-0000-0000230B0000}"/>
    <cellStyle name="Style 49 9 2 2 4" xfId="25812" xr:uid="{00000000-0005-0000-0000-0000230B0000}"/>
    <cellStyle name="Style 49 9 2 2 4 2" xfId="44181" xr:uid="{00000000-0005-0000-0000-0000230B0000}"/>
    <cellStyle name="Style 49 9 2 2 5" xfId="22133" xr:uid="{00000000-0005-0000-0000-0000230B0000}"/>
    <cellStyle name="Style 49 9 2 2 6" xfId="40512" xr:uid="{00000000-0005-0000-0000-0000230B0000}"/>
    <cellStyle name="Style 49 9 2 3" xfId="6829" xr:uid="{00000000-0005-0000-0000-0000230B0000}"/>
    <cellStyle name="Style 49 9 2 3 2" xfId="13120" xr:uid="{00000000-0005-0000-0000-0000230B0000}"/>
    <cellStyle name="Style 49 9 2 3 2 2" xfId="31546" xr:uid="{00000000-0005-0000-0000-0000230B0000}"/>
    <cellStyle name="Style 49 9 2 3 2 3" xfId="49909" xr:uid="{00000000-0005-0000-0000-0000230B0000}"/>
    <cellStyle name="Style 49 9 2 3 3" xfId="17431" xr:uid="{00000000-0005-0000-0000-0000230B0000}"/>
    <cellStyle name="Style 49 9 2 3 3 2" xfId="35779" xr:uid="{00000000-0005-0000-0000-0000230B0000}"/>
    <cellStyle name="Style 49 9 2 3 3 3" xfId="54142" xr:uid="{00000000-0005-0000-0000-0000230B0000}"/>
    <cellStyle name="Style 49 9 2 3 4" xfId="26564" xr:uid="{00000000-0005-0000-0000-0000230B0000}"/>
    <cellStyle name="Style 49 9 2 3 4 2" xfId="44933" xr:uid="{00000000-0005-0000-0000-0000230B0000}"/>
    <cellStyle name="Style 49 9 2 3 5" xfId="22857" xr:uid="{00000000-0005-0000-0000-0000230B0000}"/>
    <cellStyle name="Style 49 9 2 3 6" xfId="41226" xr:uid="{00000000-0005-0000-0000-0000230B0000}"/>
    <cellStyle name="Style 49 9 2 4" xfId="10543" xr:uid="{00000000-0005-0000-0000-0000230B0000}"/>
    <cellStyle name="Style 49 9 2 4 2" xfId="14600" xr:uid="{00000000-0005-0000-0000-0000230B0000}"/>
    <cellStyle name="Style 49 9 2 4 2 2" xfId="33016" xr:uid="{00000000-0005-0000-0000-0000230B0000}"/>
    <cellStyle name="Style 49 9 2 4 2 3" xfId="51379" xr:uid="{00000000-0005-0000-0000-0000230B0000}"/>
    <cellStyle name="Style 49 9 2 4 3" xfId="29254" xr:uid="{00000000-0005-0000-0000-0000230B0000}"/>
    <cellStyle name="Style 49 9 2 4 3 2" xfId="47617" xr:uid="{00000000-0005-0000-0000-0000230B0000}"/>
    <cellStyle name="Style 49 9 2 4 4" xfId="20057" xr:uid="{00000000-0005-0000-0000-0000230B0000}"/>
    <cellStyle name="Style 49 9 2 4 5" xfId="38463" xr:uid="{00000000-0005-0000-0000-0000230B0000}"/>
    <cellStyle name="Style 49 9 2 5" xfId="9904" xr:uid="{00000000-0005-0000-0000-0000230B0000}"/>
    <cellStyle name="Style 49 9 2 5 2" xfId="28616" xr:uid="{00000000-0005-0000-0000-0000230B0000}"/>
    <cellStyle name="Style 49 9 2 5 3" xfId="46979" xr:uid="{00000000-0005-0000-0000-0000230B0000}"/>
    <cellStyle name="Style 49 9 2 6" xfId="13961" xr:uid="{00000000-0005-0000-0000-0000230B0000}"/>
    <cellStyle name="Style 49 9 2 6 2" xfId="32378" xr:uid="{00000000-0005-0000-0000-0000230B0000}"/>
    <cellStyle name="Style 49 9 2 6 3" xfId="50741" xr:uid="{00000000-0005-0000-0000-0000230B0000}"/>
    <cellStyle name="Style 49 9 2 7" xfId="23738" xr:uid="{00000000-0005-0000-0000-0000230B0000}"/>
    <cellStyle name="Style 49 9 2 7 2" xfId="42107" xr:uid="{00000000-0005-0000-0000-0000230B0000}"/>
    <cellStyle name="Style 49 9 2 8" xfId="19188" xr:uid="{00000000-0005-0000-0000-0000230B0000}"/>
    <cellStyle name="Style 49 9 2 9" xfId="37595" xr:uid="{00000000-0005-0000-0000-0000230B0000}"/>
    <cellStyle name="Style 49 9 3" xfId="6210" xr:uid="{00000000-0005-0000-0000-0000230B0000}"/>
    <cellStyle name="Style 49 9 3 2" xfId="12539" xr:uid="{00000000-0005-0000-0000-0000230B0000}"/>
    <cellStyle name="Style 49 9 3 2 2" xfId="30971" xr:uid="{00000000-0005-0000-0000-0000230B0000}"/>
    <cellStyle name="Style 49 9 3 2 3" xfId="49334" xr:uid="{00000000-0005-0000-0000-0000230B0000}"/>
    <cellStyle name="Style 49 9 3 3" xfId="16855" xr:uid="{00000000-0005-0000-0000-0000230B0000}"/>
    <cellStyle name="Style 49 9 3 3 2" xfId="35214" xr:uid="{00000000-0005-0000-0000-0000230B0000}"/>
    <cellStyle name="Style 49 9 3 3 3" xfId="53577" xr:uid="{00000000-0005-0000-0000-0000230B0000}"/>
    <cellStyle name="Style 49 9 3 4" xfId="25983" xr:uid="{00000000-0005-0000-0000-0000230B0000}"/>
    <cellStyle name="Style 49 9 3 4 2" xfId="44352" xr:uid="{00000000-0005-0000-0000-0000230B0000}"/>
    <cellStyle name="Style 49 9 3 5" xfId="22288" xr:uid="{00000000-0005-0000-0000-0000230B0000}"/>
    <cellStyle name="Style 49 9 3 6" xfId="40661" xr:uid="{00000000-0005-0000-0000-0000230B0000}"/>
    <cellStyle name="Style 49 9 4" xfId="8760" xr:uid="{00000000-0005-0000-0000-0000230B0000}"/>
    <cellStyle name="Style 49 9 4 2" xfId="27626" xr:uid="{00000000-0005-0000-0000-0000230B0000}"/>
    <cellStyle name="Style 49 9 4 3" xfId="45989" xr:uid="{00000000-0005-0000-0000-0000230B0000}"/>
    <cellStyle name="Style 49 9 5" xfId="7000" xr:uid="{00000000-0005-0000-0000-0000230B0000}"/>
    <cellStyle name="Style 49 9 5 2" xfId="26699" xr:uid="{00000000-0005-0000-0000-0000230B0000}"/>
    <cellStyle name="Style 49 9 5 3" xfId="45068" xr:uid="{00000000-0005-0000-0000-0000230B0000}"/>
    <cellStyle name="Style 49 9 6" xfId="22944" xr:uid="{00000000-0005-0000-0000-0000230B0000}"/>
    <cellStyle name="Style 49 9 6 2" xfId="41313" xr:uid="{00000000-0005-0000-0000-0000230B0000}"/>
    <cellStyle name="Style 49 9 7" xfId="8288" xr:uid="{00000000-0005-0000-0000-0000230B0000}"/>
    <cellStyle name="Style 49 9 8" xfId="35946" xr:uid="{00000000-0005-0000-0000-0000230B0000}"/>
    <cellStyle name="Style 49_Summary" xfId="2372" xr:uid="{00000000-0005-0000-0000-0000240B0000}"/>
    <cellStyle name="Style 50" xfId="846" xr:uid="{00000000-0005-0000-0000-0000250B0000}"/>
    <cellStyle name="Style 50 10" xfId="19062" xr:uid="{00000000-0005-0000-0000-0000250B0000}"/>
    <cellStyle name="Style 50 10 2" xfId="37471" xr:uid="{00000000-0005-0000-0000-0000250B0000}"/>
    <cellStyle name="Style 50 11" xfId="7307" xr:uid="{00000000-0005-0000-0000-0000250B0000}"/>
    <cellStyle name="Style 50 12" xfId="11822" xr:uid="{00000000-0005-0000-0000-0000250B0000}"/>
    <cellStyle name="Style 50 2" xfId="1187" xr:uid="{00000000-0005-0000-0000-0000260B0000}"/>
    <cellStyle name="Style 50 2 2" xfId="4286" xr:uid="{00000000-0005-0000-0000-0000260B0000}"/>
    <cellStyle name="Style 50 2 2 2" xfId="15031" xr:uid="{00000000-0005-0000-0000-0000260B0000}"/>
    <cellStyle name="Style 50 2 2 2 2" xfId="33435" xr:uid="{00000000-0005-0000-0000-0000260B0000}"/>
    <cellStyle name="Style 50 2 2 2 3" xfId="51798" xr:uid="{00000000-0005-0000-0000-0000260B0000}"/>
    <cellStyle name="Style 50 2 2 3" xfId="24164" xr:uid="{00000000-0005-0000-0000-0000260B0000}"/>
    <cellStyle name="Style 50 2 2 3 2" xfId="42533" xr:uid="{00000000-0005-0000-0000-0000260B0000}"/>
    <cellStyle name="Style 50 2 2 4" xfId="20484" xr:uid="{00000000-0005-0000-0000-0000260B0000}"/>
    <cellStyle name="Style 50 2 2 5" xfId="38882" xr:uid="{00000000-0005-0000-0000-0000260B0000}"/>
    <cellStyle name="Style 50 2 3" xfId="19518" xr:uid="{00000000-0005-0000-0000-0000260B0000}"/>
    <cellStyle name="Style 50 2 3 2" xfId="37924" xr:uid="{00000000-0005-0000-0000-0000260B0000}"/>
    <cellStyle name="Style 50 2 4" xfId="8573" xr:uid="{00000000-0005-0000-0000-0000260B0000}"/>
    <cellStyle name="Style 50 2 5" xfId="8836" xr:uid="{00000000-0005-0000-0000-0000260B0000}"/>
    <cellStyle name="Style 50 3" xfId="1833" xr:uid="{00000000-0005-0000-0000-0000270B0000}"/>
    <cellStyle name="Style 50 3 2" xfId="4759" xr:uid="{00000000-0005-0000-0000-0000270B0000}"/>
    <cellStyle name="Style 50 3 2 2" xfId="15485" xr:uid="{00000000-0005-0000-0000-0000270B0000}"/>
    <cellStyle name="Style 50 3 2 2 2" xfId="33878" xr:uid="{00000000-0005-0000-0000-0000270B0000}"/>
    <cellStyle name="Style 50 3 2 2 3" xfId="52241" xr:uid="{00000000-0005-0000-0000-0000270B0000}"/>
    <cellStyle name="Style 50 3 2 3" xfId="24609" xr:uid="{00000000-0005-0000-0000-0000270B0000}"/>
    <cellStyle name="Style 50 3 2 3 2" xfId="42978" xr:uid="{00000000-0005-0000-0000-0000270B0000}"/>
    <cellStyle name="Style 50 3 2 4" xfId="20936" xr:uid="{00000000-0005-0000-0000-0000270B0000}"/>
    <cellStyle name="Style 50 3 2 5" xfId="39325" xr:uid="{00000000-0005-0000-0000-0000270B0000}"/>
    <cellStyle name="Style 50 3 3" xfId="19197" xr:uid="{00000000-0005-0000-0000-0000270B0000}"/>
    <cellStyle name="Style 50 3 3 2" xfId="37604" xr:uid="{00000000-0005-0000-0000-0000270B0000}"/>
    <cellStyle name="Style 50 3 4" xfId="8761" xr:uid="{00000000-0005-0000-0000-0000270B0000}"/>
    <cellStyle name="Style 50 3 5" xfId="7284" xr:uid="{00000000-0005-0000-0000-0000270B0000}"/>
    <cellStyle name="Style 50 4" xfId="2242" xr:uid="{00000000-0005-0000-0000-0000280B0000}"/>
    <cellStyle name="Style 50 4 2" xfId="4946" xr:uid="{00000000-0005-0000-0000-0000280B0000}"/>
    <cellStyle name="Style 50 4 2 2" xfId="15665" xr:uid="{00000000-0005-0000-0000-0000280B0000}"/>
    <cellStyle name="Style 50 4 2 2 2" xfId="34054" xr:uid="{00000000-0005-0000-0000-0000280B0000}"/>
    <cellStyle name="Style 50 4 2 2 3" xfId="52417" xr:uid="{00000000-0005-0000-0000-0000280B0000}"/>
    <cellStyle name="Style 50 4 2 3" xfId="24787" xr:uid="{00000000-0005-0000-0000-0000280B0000}"/>
    <cellStyle name="Style 50 4 2 3 2" xfId="43156" xr:uid="{00000000-0005-0000-0000-0000280B0000}"/>
    <cellStyle name="Style 50 4 2 4" xfId="21114" xr:uid="{00000000-0005-0000-0000-0000280B0000}"/>
    <cellStyle name="Style 50 4 2 5" xfId="39501" xr:uid="{00000000-0005-0000-0000-0000280B0000}"/>
    <cellStyle name="Style 50 4 3" xfId="18003" xr:uid="{00000000-0005-0000-0000-0000280B0000}"/>
    <cellStyle name="Style 50 4 3 2" xfId="36411" xr:uid="{00000000-0005-0000-0000-0000280B0000}"/>
    <cellStyle name="Style 50 4 4" xfId="8329" xr:uid="{00000000-0005-0000-0000-0000280B0000}"/>
    <cellStyle name="Style 50 4 5" xfId="8524" xr:uid="{00000000-0005-0000-0000-0000280B0000}"/>
    <cellStyle name="Style 50 5" xfId="2686" xr:uid="{00000000-0005-0000-0000-0000290B0000}"/>
    <cellStyle name="Style 50 5 2" xfId="5109" xr:uid="{00000000-0005-0000-0000-0000290B0000}"/>
    <cellStyle name="Style 50 5 2 2" xfId="15818" xr:uid="{00000000-0005-0000-0000-0000290B0000}"/>
    <cellStyle name="Style 50 5 2 2 2" xfId="34203" xr:uid="{00000000-0005-0000-0000-0000290B0000}"/>
    <cellStyle name="Style 50 5 2 2 3" xfId="52566" xr:uid="{00000000-0005-0000-0000-0000290B0000}"/>
    <cellStyle name="Style 50 5 2 3" xfId="24940" xr:uid="{00000000-0005-0000-0000-0000290B0000}"/>
    <cellStyle name="Style 50 5 2 3 2" xfId="43309" xr:uid="{00000000-0005-0000-0000-0000290B0000}"/>
    <cellStyle name="Style 50 5 2 4" xfId="21265" xr:uid="{00000000-0005-0000-0000-0000290B0000}"/>
    <cellStyle name="Style 50 5 2 5" xfId="39650" xr:uid="{00000000-0005-0000-0000-0000290B0000}"/>
    <cellStyle name="Style 50 5 3" xfId="18918" xr:uid="{00000000-0005-0000-0000-0000290B0000}"/>
    <cellStyle name="Style 50 5 3 2" xfId="37327" xr:uid="{00000000-0005-0000-0000-0000290B0000}"/>
    <cellStyle name="Style 50 5 4" xfId="3911" xr:uid="{00000000-0005-0000-0000-0000290B0000}"/>
    <cellStyle name="Style 50 5 5" xfId="35897" xr:uid="{00000000-0005-0000-0000-0000290B0000}"/>
    <cellStyle name="Style 50 6" xfId="2922" xr:uid="{00000000-0005-0000-0000-00002A0B0000}"/>
    <cellStyle name="Style 50 6 2" xfId="5193" xr:uid="{00000000-0005-0000-0000-00002A0B0000}"/>
    <cellStyle name="Style 50 6 2 2" xfId="15885" xr:uid="{00000000-0005-0000-0000-00002A0B0000}"/>
    <cellStyle name="Style 50 6 2 2 2" xfId="34259" xr:uid="{00000000-0005-0000-0000-00002A0B0000}"/>
    <cellStyle name="Style 50 6 2 2 3" xfId="52622" xr:uid="{00000000-0005-0000-0000-00002A0B0000}"/>
    <cellStyle name="Style 50 6 2 3" xfId="25006" xr:uid="{00000000-0005-0000-0000-00002A0B0000}"/>
    <cellStyle name="Style 50 6 2 3 2" xfId="43375" xr:uid="{00000000-0005-0000-0000-00002A0B0000}"/>
    <cellStyle name="Style 50 6 2 4" xfId="21327" xr:uid="{00000000-0005-0000-0000-00002A0B0000}"/>
    <cellStyle name="Style 50 6 2 5" xfId="39706" xr:uid="{00000000-0005-0000-0000-00002A0B0000}"/>
    <cellStyle name="Style 50 6 3" xfId="22943" xr:uid="{00000000-0005-0000-0000-00002A0B0000}"/>
    <cellStyle name="Style 50 6 3 2" xfId="41312" xr:uid="{00000000-0005-0000-0000-00002A0B0000}"/>
    <cellStyle name="Style 50 6 4" xfId="10776" xr:uid="{00000000-0005-0000-0000-00002A0B0000}"/>
    <cellStyle name="Style 50 6 5" xfId="35945" xr:uid="{00000000-0005-0000-0000-00002A0B0000}"/>
    <cellStyle name="Style 50 7" xfId="3100" xr:uid="{00000000-0005-0000-0000-00002B0B0000}"/>
    <cellStyle name="Style 50 7 2" xfId="5352" xr:uid="{00000000-0005-0000-0000-00002B0B0000}"/>
    <cellStyle name="Style 50 7 2 2" xfId="16044" xr:uid="{00000000-0005-0000-0000-00002B0B0000}"/>
    <cellStyle name="Style 50 7 2 2 2" xfId="34418" xr:uid="{00000000-0005-0000-0000-00002B0B0000}"/>
    <cellStyle name="Style 50 7 2 2 3" xfId="52781" xr:uid="{00000000-0005-0000-0000-00002B0B0000}"/>
    <cellStyle name="Style 50 7 2 3" xfId="25165" xr:uid="{00000000-0005-0000-0000-00002B0B0000}"/>
    <cellStyle name="Style 50 7 2 3 2" xfId="43534" xr:uid="{00000000-0005-0000-0000-00002B0B0000}"/>
    <cellStyle name="Style 50 7 2 4" xfId="21486" xr:uid="{00000000-0005-0000-0000-00002B0B0000}"/>
    <cellStyle name="Style 50 7 2 5" xfId="39865" xr:uid="{00000000-0005-0000-0000-00002B0B0000}"/>
    <cellStyle name="Style 50 7 3" xfId="23102" xr:uid="{00000000-0005-0000-0000-00002B0B0000}"/>
    <cellStyle name="Style 50 7 3 2" xfId="41471" xr:uid="{00000000-0005-0000-0000-00002B0B0000}"/>
    <cellStyle name="Style 50 7 4" xfId="17662" xr:uid="{00000000-0005-0000-0000-00002B0B0000}"/>
    <cellStyle name="Style 50 7 5" xfId="36104" xr:uid="{00000000-0005-0000-0000-00002B0B0000}"/>
    <cellStyle name="Style 50 8" xfId="3200" xr:uid="{00000000-0005-0000-0000-00002C0B0000}"/>
    <cellStyle name="Style 50 8 2" xfId="5406" xr:uid="{00000000-0005-0000-0000-00002C0B0000}"/>
    <cellStyle name="Style 50 8 2 2" xfId="16097" xr:uid="{00000000-0005-0000-0000-00002C0B0000}"/>
    <cellStyle name="Style 50 8 2 2 2" xfId="34469" xr:uid="{00000000-0005-0000-0000-00002C0B0000}"/>
    <cellStyle name="Style 50 8 2 2 3" xfId="52832" xr:uid="{00000000-0005-0000-0000-00002C0B0000}"/>
    <cellStyle name="Style 50 8 2 3" xfId="25216" xr:uid="{00000000-0005-0000-0000-00002C0B0000}"/>
    <cellStyle name="Style 50 8 2 3 2" xfId="43585" xr:uid="{00000000-0005-0000-0000-00002C0B0000}"/>
    <cellStyle name="Style 50 8 2 4" xfId="21537" xr:uid="{00000000-0005-0000-0000-00002C0B0000}"/>
    <cellStyle name="Style 50 8 2 5" xfId="39916" xr:uid="{00000000-0005-0000-0000-00002C0B0000}"/>
    <cellStyle name="Style 50 8 3" xfId="23145" xr:uid="{00000000-0005-0000-0000-00002C0B0000}"/>
    <cellStyle name="Style 50 8 3 2" xfId="41514" xr:uid="{00000000-0005-0000-0000-00002C0B0000}"/>
    <cellStyle name="Style 50 8 4" xfId="17726" xr:uid="{00000000-0005-0000-0000-00002C0B0000}"/>
    <cellStyle name="Style 50 8 5" xfId="36147" xr:uid="{00000000-0005-0000-0000-00002C0B0000}"/>
    <cellStyle name="Style 50 9" xfId="4141" xr:uid="{00000000-0005-0000-0000-0000250B0000}"/>
    <cellStyle name="Style 50 9 2" xfId="14895" xr:uid="{00000000-0005-0000-0000-0000250B0000}"/>
    <cellStyle name="Style 50 9 2 2" xfId="33301" xr:uid="{00000000-0005-0000-0000-0000250B0000}"/>
    <cellStyle name="Style 50 9 2 3" xfId="51664" xr:uid="{00000000-0005-0000-0000-0000250B0000}"/>
    <cellStyle name="Style 50 9 3" xfId="24026" xr:uid="{00000000-0005-0000-0000-0000250B0000}"/>
    <cellStyle name="Style 50 9 3 2" xfId="42395" xr:uid="{00000000-0005-0000-0000-0000250B0000}"/>
    <cellStyle name="Style 50 9 4" xfId="20349" xr:uid="{00000000-0005-0000-0000-0000250B0000}"/>
    <cellStyle name="Style 50 9 5" xfId="38748" xr:uid="{00000000-0005-0000-0000-0000250B0000}"/>
    <cellStyle name="Style 51" xfId="847" xr:uid="{00000000-0005-0000-0000-00002D0B0000}"/>
    <cellStyle name="Style 51 2" xfId="1080" xr:uid="{00000000-0005-0000-0000-00002E0B0000}"/>
    <cellStyle name="Style 51 2 2" xfId="1340" xr:uid="{00000000-0005-0000-0000-00002F0B0000}"/>
    <cellStyle name="Style 51 2 2 2" xfId="3387" xr:uid="{00000000-0005-0000-0000-00002F0B0000}"/>
    <cellStyle name="Style 51 2 2 2 2" xfId="5562" xr:uid="{00000000-0005-0000-0000-00002F0B0000}"/>
    <cellStyle name="Style 51 2 2 2 2 2" xfId="11926" xr:uid="{00000000-0005-0000-0000-00002F0B0000}"/>
    <cellStyle name="Style 51 2 2 2 2 2 2" xfId="30373" xr:uid="{00000000-0005-0000-0000-00002F0B0000}"/>
    <cellStyle name="Style 51 2 2 2 2 2 3" xfId="48736" xr:uid="{00000000-0005-0000-0000-00002F0B0000}"/>
    <cellStyle name="Style 51 2 2 2 2 3" xfId="16252" xr:uid="{00000000-0005-0000-0000-00002F0B0000}"/>
    <cellStyle name="Style 51 2 2 2 2 3 2" xfId="34624" xr:uid="{00000000-0005-0000-0000-00002F0B0000}"/>
    <cellStyle name="Style 51 2 2 2 2 3 3" xfId="52987" xr:uid="{00000000-0005-0000-0000-00002F0B0000}"/>
    <cellStyle name="Style 51 2 2 2 2 4" xfId="25371" xr:uid="{00000000-0005-0000-0000-00002F0B0000}"/>
    <cellStyle name="Style 51 2 2 2 2 4 2" xfId="43740" xr:uid="{00000000-0005-0000-0000-00002F0B0000}"/>
    <cellStyle name="Style 51 2 2 2 2 5" xfId="21692" xr:uid="{00000000-0005-0000-0000-00002F0B0000}"/>
    <cellStyle name="Style 51 2 2 2 2 6" xfId="40071" xr:uid="{00000000-0005-0000-0000-00002F0B0000}"/>
    <cellStyle name="Style 51 2 2 2 3" xfId="6386" xr:uid="{00000000-0005-0000-0000-00002F0B0000}"/>
    <cellStyle name="Style 51 2 2 2 3 2" xfId="12677" xr:uid="{00000000-0005-0000-0000-00002F0B0000}"/>
    <cellStyle name="Style 51 2 2 2 3 2 2" xfId="31103" xr:uid="{00000000-0005-0000-0000-00002F0B0000}"/>
    <cellStyle name="Style 51 2 2 2 3 2 3" xfId="49466" xr:uid="{00000000-0005-0000-0000-00002F0B0000}"/>
    <cellStyle name="Style 51 2 2 2 3 3" xfId="16988" xr:uid="{00000000-0005-0000-0000-00002F0B0000}"/>
    <cellStyle name="Style 51 2 2 2 3 3 2" xfId="35336" xr:uid="{00000000-0005-0000-0000-00002F0B0000}"/>
    <cellStyle name="Style 51 2 2 2 3 3 3" xfId="53699" xr:uid="{00000000-0005-0000-0000-00002F0B0000}"/>
    <cellStyle name="Style 51 2 2 2 3 4" xfId="26121" xr:uid="{00000000-0005-0000-0000-00002F0B0000}"/>
    <cellStyle name="Style 51 2 2 2 3 4 2" xfId="44490" xr:uid="{00000000-0005-0000-0000-00002F0B0000}"/>
    <cellStyle name="Style 51 2 2 2 3 5" xfId="22414" xr:uid="{00000000-0005-0000-0000-00002F0B0000}"/>
    <cellStyle name="Style 51 2 2 2 3 6" xfId="40783" xr:uid="{00000000-0005-0000-0000-00002F0B0000}"/>
    <cellStyle name="Style 51 2 2 2 4" xfId="10100" xr:uid="{00000000-0005-0000-0000-00002F0B0000}"/>
    <cellStyle name="Style 51 2 2 2 4 2" xfId="14157" xr:uid="{00000000-0005-0000-0000-00002F0B0000}"/>
    <cellStyle name="Style 51 2 2 2 4 2 2" xfId="32573" xr:uid="{00000000-0005-0000-0000-00002F0B0000}"/>
    <cellStyle name="Style 51 2 2 2 4 2 3" xfId="50936" xr:uid="{00000000-0005-0000-0000-00002F0B0000}"/>
    <cellStyle name="Style 51 2 2 2 4 3" xfId="28811" xr:uid="{00000000-0005-0000-0000-00002F0B0000}"/>
    <cellStyle name="Style 51 2 2 2 4 3 2" xfId="47174" xr:uid="{00000000-0005-0000-0000-00002F0B0000}"/>
    <cellStyle name="Style 51 2 2 2 4 4" xfId="19614" xr:uid="{00000000-0005-0000-0000-00002F0B0000}"/>
    <cellStyle name="Style 51 2 2 2 4 5" xfId="38020" xr:uid="{00000000-0005-0000-0000-00002F0B0000}"/>
    <cellStyle name="Style 51 2 2 2 5" xfId="9287" xr:uid="{00000000-0005-0000-0000-00002F0B0000}"/>
    <cellStyle name="Style 51 2 2 2 5 2" xfId="28006" xr:uid="{00000000-0005-0000-0000-00002F0B0000}"/>
    <cellStyle name="Style 51 2 2 2 5 3" xfId="46369" xr:uid="{00000000-0005-0000-0000-00002F0B0000}"/>
    <cellStyle name="Style 51 2 2 2 6" xfId="13343" xr:uid="{00000000-0005-0000-0000-00002F0B0000}"/>
    <cellStyle name="Style 51 2 2 2 6 2" xfId="31764" xr:uid="{00000000-0005-0000-0000-00002F0B0000}"/>
    <cellStyle name="Style 51 2 2 2 6 3" xfId="50127" xr:uid="{00000000-0005-0000-0000-00002F0B0000}"/>
    <cellStyle name="Style 51 2 2 2 7" xfId="23295" xr:uid="{00000000-0005-0000-0000-00002F0B0000}"/>
    <cellStyle name="Style 51 2 2 2 7 2" xfId="41664" xr:uid="{00000000-0005-0000-0000-00002F0B0000}"/>
    <cellStyle name="Style 51 2 2 2 8" xfId="18361" xr:uid="{00000000-0005-0000-0000-00002F0B0000}"/>
    <cellStyle name="Style 51 2 2 2 9" xfId="36767" xr:uid="{00000000-0005-0000-0000-00002F0B0000}"/>
    <cellStyle name="Style 51 2 2 3" xfId="4376" xr:uid="{00000000-0005-0000-0000-00002F0B0000}"/>
    <cellStyle name="Style 51 2 2 3 2" xfId="10976" xr:uid="{00000000-0005-0000-0000-00002F0B0000}"/>
    <cellStyle name="Style 51 2 2 3 2 2" xfId="29598" xr:uid="{00000000-0005-0000-0000-00002F0B0000}"/>
    <cellStyle name="Style 51 2 2 3 2 3" xfId="47961" xr:uid="{00000000-0005-0000-0000-00002F0B0000}"/>
    <cellStyle name="Style 51 2 2 3 3" xfId="15112" xr:uid="{00000000-0005-0000-0000-00002F0B0000}"/>
    <cellStyle name="Style 51 2 2 3 3 2" xfId="33509" xr:uid="{00000000-0005-0000-0000-00002F0B0000}"/>
    <cellStyle name="Style 51 2 2 3 3 3" xfId="51872" xr:uid="{00000000-0005-0000-0000-00002F0B0000}"/>
    <cellStyle name="Style 51 2 2 3 4" xfId="24240" xr:uid="{00000000-0005-0000-0000-00002F0B0000}"/>
    <cellStyle name="Style 51 2 2 3 4 2" xfId="42609" xr:uid="{00000000-0005-0000-0000-00002F0B0000}"/>
    <cellStyle name="Style 51 2 2 3 5" xfId="20563" xr:uid="{00000000-0005-0000-0000-00002F0B0000}"/>
    <cellStyle name="Style 51 2 2 3 6" xfId="38956" xr:uid="{00000000-0005-0000-0000-00002F0B0000}"/>
    <cellStyle name="Style 51 2 2 4" xfId="4061" xr:uid="{00000000-0005-0000-0000-00002F0B0000}"/>
    <cellStyle name="Style 51 2 2 4 2" xfId="10762" xr:uid="{00000000-0005-0000-0000-00002F0B0000}"/>
    <cellStyle name="Style 51 2 2 4 2 2" xfId="29465" xr:uid="{00000000-0005-0000-0000-00002F0B0000}"/>
    <cellStyle name="Style 51 2 2 4 2 3" xfId="47828" xr:uid="{00000000-0005-0000-0000-00002F0B0000}"/>
    <cellStyle name="Style 51 2 2 4 3" xfId="14822" xr:uid="{00000000-0005-0000-0000-00002F0B0000}"/>
    <cellStyle name="Style 51 2 2 4 3 2" xfId="33234" xr:uid="{00000000-0005-0000-0000-00002F0B0000}"/>
    <cellStyle name="Style 51 2 2 4 3 3" xfId="51597" xr:uid="{00000000-0005-0000-0000-00002F0B0000}"/>
    <cellStyle name="Style 51 2 2 4 4" xfId="23958" xr:uid="{00000000-0005-0000-0000-00002F0B0000}"/>
    <cellStyle name="Style 51 2 2 4 4 2" xfId="42327" xr:uid="{00000000-0005-0000-0000-00002F0B0000}"/>
    <cellStyle name="Style 51 2 2 4 5" xfId="20278" xr:uid="{00000000-0005-0000-0000-00002F0B0000}"/>
    <cellStyle name="Style 51 2 2 4 6" xfId="38681" xr:uid="{00000000-0005-0000-0000-00002F0B0000}"/>
    <cellStyle name="Style 51 2 2 5" xfId="9891" xr:uid="{00000000-0005-0000-0000-00002F0B0000}"/>
    <cellStyle name="Style 51 2 2 5 2" xfId="13949" xr:uid="{00000000-0005-0000-0000-00002F0B0000}"/>
    <cellStyle name="Style 51 2 2 5 2 2" xfId="32367" xr:uid="{00000000-0005-0000-0000-00002F0B0000}"/>
    <cellStyle name="Style 51 2 2 5 2 3" xfId="50730" xr:uid="{00000000-0005-0000-0000-00002F0B0000}"/>
    <cellStyle name="Style 51 2 2 5 3" xfId="28605" xr:uid="{00000000-0005-0000-0000-00002F0B0000}"/>
    <cellStyle name="Style 51 2 2 5 3 2" xfId="46968" xr:uid="{00000000-0005-0000-0000-00002F0B0000}"/>
    <cellStyle name="Style 51 2 2 5 4" xfId="19169" xr:uid="{00000000-0005-0000-0000-00002F0B0000}"/>
    <cellStyle name="Style 51 2 2 5 5" xfId="37577" xr:uid="{00000000-0005-0000-0000-00002F0B0000}"/>
    <cellStyle name="Style 51 2 2 6" xfId="7637" xr:uid="{00000000-0005-0000-0000-00002F0B0000}"/>
    <cellStyle name="Style 51 2 2 6 2" xfId="26924" xr:uid="{00000000-0005-0000-0000-00002F0B0000}"/>
    <cellStyle name="Style 51 2 2 6 3" xfId="45289" xr:uid="{00000000-0005-0000-0000-00002F0B0000}"/>
    <cellStyle name="Style 51 2 2 7" xfId="7229" xr:uid="{00000000-0005-0000-0000-00002F0B0000}"/>
    <cellStyle name="Style 51 2 2 7 2" xfId="26772" xr:uid="{00000000-0005-0000-0000-00002F0B0000}"/>
    <cellStyle name="Style 51 2 2 7 3" xfId="45140" xr:uid="{00000000-0005-0000-0000-00002F0B0000}"/>
    <cellStyle name="Style 51 2 2 8" xfId="8900" xr:uid="{00000000-0005-0000-0000-00002F0B0000}"/>
    <cellStyle name="Style 51 2 2 9" xfId="9410" xr:uid="{00000000-0005-0000-0000-00002F0B0000}"/>
    <cellStyle name="Style 51 2 3" xfId="1468" xr:uid="{00000000-0005-0000-0000-0000300B0000}"/>
    <cellStyle name="Style 51 2 3 10" xfId="10901" xr:uid="{00000000-0005-0000-0000-0000300B0000}"/>
    <cellStyle name="Style 51 2 3 2" xfId="3484" xr:uid="{00000000-0005-0000-0000-0000300B0000}"/>
    <cellStyle name="Style 51 2 3 2 2" xfId="5659" xr:uid="{00000000-0005-0000-0000-0000300B0000}"/>
    <cellStyle name="Style 51 2 3 2 2 2" xfId="12023" xr:uid="{00000000-0005-0000-0000-0000300B0000}"/>
    <cellStyle name="Style 51 2 3 2 2 2 2" xfId="30470" xr:uid="{00000000-0005-0000-0000-0000300B0000}"/>
    <cellStyle name="Style 51 2 3 2 2 2 3" xfId="48833" xr:uid="{00000000-0005-0000-0000-0000300B0000}"/>
    <cellStyle name="Style 51 2 3 2 2 3" xfId="16349" xr:uid="{00000000-0005-0000-0000-0000300B0000}"/>
    <cellStyle name="Style 51 2 3 2 2 3 2" xfId="34721" xr:uid="{00000000-0005-0000-0000-0000300B0000}"/>
    <cellStyle name="Style 51 2 3 2 2 3 3" xfId="53084" xr:uid="{00000000-0005-0000-0000-0000300B0000}"/>
    <cellStyle name="Style 51 2 3 2 2 4" xfId="25468" xr:uid="{00000000-0005-0000-0000-0000300B0000}"/>
    <cellStyle name="Style 51 2 3 2 2 4 2" xfId="43837" xr:uid="{00000000-0005-0000-0000-0000300B0000}"/>
    <cellStyle name="Style 51 2 3 2 2 5" xfId="21789" xr:uid="{00000000-0005-0000-0000-0000300B0000}"/>
    <cellStyle name="Style 51 2 3 2 2 6" xfId="40168" xr:uid="{00000000-0005-0000-0000-0000300B0000}"/>
    <cellStyle name="Style 51 2 3 2 3" xfId="6483" xr:uid="{00000000-0005-0000-0000-0000300B0000}"/>
    <cellStyle name="Style 51 2 3 2 3 2" xfId="12774" xr:uid="{00000000-0005-0000-0000-0000300B0000}"/>
    <cellStyle name="Style 51 2 3 2 3 2 2" xfId="31200" xr:uid="{00000000-0005-0000-0000-0000300B0000}"/>
    <cellStyle name="Style 51 2 3 2 3 2 3" xfId="49563" xr:uid="{00000000-0005-0000-0000-0000300B0000}"/>
    <cellStyle name="Style 51 2 3 2 3 3" xfId="17085" xr:uid="{00000000-0005-0000-0000-0000300B0000}"/>
    <cellStyle name="Style 51 2 3 2 3 3 2" xfId="35433" xr:uid="{00000000-0005-0000-0000-0000300B0000}"/>
    <cellStyle name="Style 51 2 3 2 3 3 3" xfId="53796" xr:uid="{00000000-0005-0000-0000-0000300B0000}"/>
    <cellStyle name="Style 51 2 3 2 3 4" xfId="26218" xr:uid="{00000000-0005-0000-0000-0000300B0000}"/>
    <cellStyle name="Style 51 2 3 2 3 4 2" xfId="44587" xr:uid="{00000000-0005-0000-0000-0000300B0000}"/>
    <cellStyle name="Style 51 2 3 2 3 5" xfId="22511" xr:uid="{00000000-0005-0000-0000-0000300B0000}"/>
    <cellStyle name="Style 51 2 3 2 3 6" xfId="40880" xr:uid="{00000000-0005-0000-0000-0000300B0000}"/>
    <cellStyle name="Style 51 2 3 2 4" xfId="10197" xr:uid="{00000000-0005-0000-0000-0000300B0000}"/>
    <cellStyle name="Style 51 2 3 2 4 2" xfId="14254" xr:uid="{00000000-0005-0000-0000-0000300B0000}"/>
    <cellStyle name="Style 51 2 3 2 4 2 2" xfId="32670" xr:uid="{00000000-0005-0000-0000-0000300B0000}"/>
    <cellStyle name="Style 51 2 3 2 4 2 3" xfId="51033" xr:uid="{00000000-0005-0000-0000-0000300B0000}"/>
    <cellStyle name="Style 51 2 3 2 4 3" xfId="28908" xr:uid="{00000000-0005-0000-0000-0000300B0000}"/>
    <cellStyle name="Style 51 2 3 2 4 3 2" xfId="47271" xr:uid="{00000000-0005-0000-0000-0000300B0000}"/>
    <cellStyle name="Style 51 2 3 2 4 4" xfId="19711" xr:uid="{00000000-0005-0000-0000-0000300B0000}"/>
    <cellStyle name="Style 51 2 3 2 4 5" xfId="38117" xr:uid="{00000000-0005-0000-0000-0000300B0000}"/>
    <cellStyle name="Style 51 2 3 2 5" xfId="9390" xr:uid="{00000000-0005-0000-0000-0000300B0000}"/>
    <cellStyle name="Style 51 2 3 2 5 2" xfId="28109" xr:uid="{00000000-0005-0000-0000-0000300B0000}"/>
    <cellStyle name="Style 51 2 3 2 5 3" xfId="46472" xr:uid="{00000000-0005-0000-0000-0000300B0000}"/>
    <cellStyle name="Style 51 2 3 2 6" xfId="13446" xr:uid="{00000000-0005-0000-0000-0000300B0000}"/>
    <cellStyle name="Style 51 2 3 2 6 2" xfId="31867" xr:uid="{00000000-0005-0000-0000-0000300B0000}"/>
    <cellStyle name="Style 51 2 3 2 6 3" xfId="50230" xr:uid="{00000000-0005-0000-0000-0000300B0000}"/>
    <cellStyle name="Style 51 2 3 2 7" xfId="23392" xr:uid="{00000000-0005-0000-0000-0000300B0000}"/>
    <cellStyle name="Style 51 2 3 2 7 2" xfId="41761" xr:uid="{00000000-0005-0000-0000-0000300B0000}"/>
    <cellStyle name="Style 51 2 3 2 8" xfId="18473" xr:uid="{00000000-0005-0000-0000-0000300B0000}"/>
    <cellStyle name="Style 51 2 3 2 9" xfId="36879" xr:uid="{00000000-0005-0000-0000-0000300B0000}"/>
    <cellStyle name="Style 51 2 3 3" xfId="4483" xr:uid="{00000000-0005-0000-0000-0000300B0000}"/>
    <cellStyle name="Style 51 2 3 3 2" xfId="11078" xr:uid="{00000000-0005-0000-0000-0000300B0000}"/>
    <cellStyle name="Style 51 2 3 3 2 2" xfId="29698" xr:uid="{00000000-0005-0000-0000-0000300B0000}"/>
    <cellStyle name="Style 51 2 3 3 2 3" xfId="48061" xr:uid="{00000000-0005-0000-0000-0000300B0000}"/>
    <cellStyle name="Style 51 2 3 3 3" xfId="15217" xr:uid="{00000000-0005-0000-0000-0000300B0000}"/>
    <cellStyle name="Style 51 2 3 3 3 2" xfId="33612" xr:uid="{00000000-0005-0000-0000-0000300B0000}"/>
    <cellStyle name="Style 51 2 3 3 3 3" xfId="51975" xr:uid="{00000000-0005-0000-0000-0000300B0000}"/>
    <cellStyle name="Style 51 2 3 3 4" xfId="24343" xr:uid="{00000000-0005-0000-0000-0000300B0000}"/>
    <cellStyle name="Style 51 2 3 3 4 2" xfId="42712" xr:uid="{00000000-0005-0000-0000-0000300B0000}"/>
    <cellStyle name="Style 51 2 3 3 5" xfId="20667" xr:uid="{00000000-0005-0000-0000-0000300B0000}"/>
    <cellStyle name="Style 51 2 3 3 6" xfId="39059" xr:uid="{00000000-0005-0000-0000-0000300B0000}"/>
    <cellStyle name="Style 51 2 3 4" xfId="4014" xr:uid="{00000000-0005-0000-0000-0000300B0000}"/>
    <cellStyle name="Style 51 2 3 4 2" xfId="10718" xr:uid="{00000000-0005-0000-0000-0000300B0000}"/>
    <cellStyle name="Style 51 2 3 4 2 2" xfId="29422" xr:uid="{00000000-0005-0000-0000-0000300B0000}"/>
    <cellStyle name="Style 51 2 3 4 2 3" xfId="47785" xr:uid="{00000000-0005-0000-0000-0000300B0000}"/>
    <cellStyle name="Style 51 2 3 4 3" xfId="14775" xr:uid="{00000000-0005-0000-0000-0000300B0000}"/>
    <cellStyle name="Style 51 2 3 4 3 2" xfId="33187" xr:uid="{00000000-0005-0000-0000-0000300B0000}"/>
    <cellStyle name="Style 51 2 3 4 3 3" xfId="51550" xr:uid="{00000000-0005-0000-0000-0000300B0000}"/>
    <cellStyle name="Style 51 2 3 4 4" xfId="23911" xr:uid="{00000000-0005-0000-0000-0000300B0000}"/>
    <cellStyle name="Style 51 2 3 4 4 2" xfId="42280" xr:uid="{00000000-0005-0000-0000-0000300B0000}"/>
    <cellStyle name="Style 51 2 3 4 5" xfId="20231" xr:uid="{00000000-0005-0000-0000-0000300B0000}"/>
    <cellStyle name="Style 51 2 3 4 6" xfId="38634" xr:uid="{00000000-0005-0000-0000-0000300B0000}"/>
    <cellStyle name="Style 51 2 3 5" xfId="9826" xr:uid="{00000000-0005-0000-0000-0000300B0000}"/>
    <cellStyle name="Style 51 2 3 5 2" xfId="13883" xr:uid="{00000000-0005-0000-0000-0000300B0000}"/>
    <cellStyle name="Style 51 2 3 5 2 2" xfId="32303" xr:uid="{00000000-0005-0000-0000-0000300B0000}"/>
    <cellStyle name="Style 51 2 3 5 2 3" xfId="50666" xr:uid="{00000000-0005-0000-0000-0000300B0000}"/>
    <cellStyle name="Style 51 2 3 5 3" xfId="28541" xr:uid="{00000000-0005-0000-0000-0000300B0000}"/>
    <cellStyle name="Style 51 2 3 5 3 2" xfId="46904" xr:uid="{00000000-0005-0000-0000-0000300B0000}"/>
    <cellStyle name="Style 51 2 3 5 4" xfId="19046" xr:uid="{00000000-0005-0000-0000-0000300B0000}"/>
    <cellStyle name="Style 51 2 3 5 5" xfId="37455" xr:uid="{00000000-0005-0000-0000-0000300B0000}"/>
    <cellStyle name="Style 51 2 3 6" xfId="7754" xr:uid="{00000000-0005-0000-0000-0000300B0000}"/>
    <cellStyle name="Style 51 2 3 6 2" xfId="27030" xr:uid="{00000000-0005-0000-0000-0000300B0000}"/>
    <cellStyle name="Style 51 2 3 6 3" xfId="45395" xr:uid="{00000000-0005-0000-0000-0000300B0000}"/>
    <cellStyle name="Style 51 2 3 7" xfId="7215" xr:uid="{00000000-0005-0000-0000-0000300B0000}"/>
    <cellStyle name="Style 51 2 3 7 2" xfId="26758" xr:uid="{00000000-0005-0000-0000-0000300B0000}"/>
    <cellStyle name="Style 51 2 3 7 3" xfId="45126" xr:uid="{00000000-0005-0000-0000-0000300B0000}"/>
    <cellStyle name="Style 51 2 3 8" xfId="18011" xr:uid="{00000000-0005-0000-0000-0000300B0000}"/>
    <cellStyle name="Style 51 2 3 8 2" xfId="36419" xr:uid="{00000000-0005-0000-0000-0000300B0000}"/>
    <cellStyle name="Style 51 2 3 9" xfId="8282" xr:uid="{00000000-0005-0000-0000-0000300B0000}"/>
    <cellStyle name="Style 51 2 4" xfId="1923" xr:uid="{00000000-0005-0000-0000-0000310B0000}"/>
    <cellStyle name="Style 51 2 4 10" xfId="8873" xr:uid="{00000000-0005-0000-0000-0000310B0000}"/>
    <cellStyle name="Style 51 2 4 2" xfId="3741" xr:uid="{00000000-0005-0000-0000-0000310B0000}"/>
    <cellStyle name="Style 51 2 4 2 2" xfId="5914" xr:uid="{00000000-0005-0000-0000-0000310B0000}"/>
    <cellStyle name="Style 51 2 4 2 2 2" xfId="12278" xr:uid="{00000000-0005-0000-0000-0000310B0000}"/>
    <cellStyle name="Style 51 2 4 2 2 2 2" xfId="30725" xr:uid="{00000000-0005-0000-0000-0000310B0000}"/>
    <cellStyle name="Style 51 2 4 2 2 2 3" xfId="49088" xr:uid="{00000000-0005-0000-0000-0000310B0000}"/>
    <cellStyle name="Style 51 2 4 2 2 3" xfId="16604" xr:uid="{00000000-0005-0000-0000-0000310B0000}"/>
    <cellStyle name="Style 51 2 4 2 2 3 2" xfId="34976" xr:uid="{00000000-0005-0000-0000-0000310B0000}"/>
    <cellStyle name="Style 51 2 4 2 2 3 3" xfId="53339" xr:uid="{00000000-0005-0000-0000-0000310B0000}"/>
    <cellStyle name="Style 51 2 4 2 2 4" xfId="25723" xr:uid="{00000000-0005-0000-0000-0000310B0000}"/>
    <cellStyle name="Style 51 2 4 2 2 4 2" xfId="44092" xr:uid="{00000000-0005-0000-0000-0000310B0000}"/>
    <cellStyle name="Style 51 2 4 2 2 5" xfId="22044" xr:uid="{00000000-0005-0000-0000-0000310B0000}"/>
    <cellStyle name="Style 51 2 4 2 2 6" xfId="40423" xr:uid="{00000000-0005-0000-0000-0000310B0000}"/>
    <cellStyle name="Style 51 2 4 2 3" xfId="6740" xr:uid="{00000000-0005-0000-0000-0000310B0000}"/>
    <cellStyle name="Style 51 2 4 2 3 2" xfId="13031" xr:uid="{00000000-0005-0000-0000-0000310B0000}"/>
    <cellStyle name="Style 51 2 4 2 3 2 2" xfId="31457" xr:uid="{00000000-0005-0000-0000-0000310B0000}"/>
    <cellStyle name="Style 51 2 4 2 3 2 3" xfId="49820" xr:uid="{00000000-0005-0000-0000-0000310B0000}"/>
    <cellStyle name="Style 51 2 4 2 3 3" xfId="17342" xr:uid="{00000000-0005-0000-0000-0000310B0000}"/>
    <cellStyle name="Style 51 2 4 2 3 3 2" xfId="35690" xr:uid="{00000000-0005-0000-0000-0000310B0000}"/>
    <cellStyle name="Style 51 2 4 2 3 3 3" xfId="54053" xr:uid="{00000000-0005-0000-0000-0000310B0000}"/>
    <cellStyle name="Style 51 2 4 2 3 4" xfId="26475" xr:uid="{00000000-0005-0000-0000-0000310B0000}"/>
    <cellStyle name="Style 51 2 4 2 3 4 2" xfId="44844" xr:uid="{00000000-0005-0000-0000-0000310B0000}"/>
    <cellStyle name="Style 51 2 4 2 3 5" xfId="22768" xr:uid="{00000000-0005-0000-0000-0000310B0000}"/>
    <cellStyle name="Style 51 2 4 2 3 6" xfId="41137" xr:uid="{00000000-0005-0000-0000-0000310B0000}"/>
    <cellStyle name="Style 51 2 4 2 4" xfId="10454" xr:uid="{00000000-0005-0000-0000-0000310B0000}"/>
    <cellStyle name="Style 51 2 4 2 4 2" xfId="14511" xr:uid="{00000000-0005-0000-0000-0000310B0000}"/>
    <cellStyle name="Style 51 2 4 2 4 2 2" xfId="32927" xr:uid="{00000000-0005-0000-0000-0000310B0000}"/>
    <cellStyle name="Style 51 2 4 2 4 2 3" xfId="51290" xr:uid="{00000000-0005-0000-0000-0000310B0000}"/>
    <cellStyle name="Style 51 2 4 2 4 3" xfId="29165" xr:uid="{00000000-0005-0000-0000-0000310B0000}"/>
    <cellStyle name="Style 51 2 4 2 4 3 2" xfId="47528" xr:uid="{00000000-0005-0000-0000-0000310B0000}"/>
    <cellStyle name="Style 51 2 4 2 4 4" xfId="19968" xr:uid="{00000000-0005-0000-0000-0000310B0000}"/>
    <cellStyle name="Style 51 2 4 2 4 5" xfId="38374" xr:uid="{00000000-0005-0000-0000-0000310B0000}"/>
    <cellStyle name="Style 51 2 4 2 5" xfId="9670" xr:uid="{00000000-0005-0000-0000-0000310B0000}"/>
    <cellStyle name="Style 51 2 4 2 5 2" xfId="28386" xr:uid="{00000000-0005-0000-0000-0000310B0000}"/>
    <cellStyle name="Style 51 2 4 2 5 3" xfId="46749" xr:uid="{00000000-0005-0000-0000-0000310B0000}"/>
    <cellStyle name="Style 51 2 4 2 6" xfId="13727" xr:uid="{00000000-0005-0000-0000-0000310B0000}"/>
    <cellStyle name="Style 51 2 4 2 6 2" xfId="32148" xr:uid="{00000000-0005-0000-0000-0000310B0000}"/>
    <cellStyle name="Style 51 2 4 2 6 3" xfId="50511" xr:uid="{00000000-0005-0000-0000-0000310B0000}"/>
    <cellStyle name="Style 51 2 4 2 7" xfId="23649" xr:uid="{00000000-0005-0000-0000-0000310B0000}"/>
    <cellStyle name="Style 51 2 4 2 7 2" xfId="42018" xr:uid="{00000000-0005-0000-0000-0000310B0000}"/>
    <cellStyle name="Style 51 2 4 2 8" xfId="18795" xr:uid="{00000000-0005-0000-0000-0000310B0000}"/>
    <cellStyle name="Style 51 2 4 2 9" xfId="37204" xr:uid="{00000000-0005-0000-0000-0000310B0000}"/>
    <cellStyle name="Style 51 2 4 3" xfId="4834" xr:uid="{00000000-0005-0000-0000-0000310B0000}"/>
    <cellStyle name="Style 51 2 4 3 2" xfId="11395" xr:uid="{00000000-0005-0000-0000-0000310B0000}"/>
    <cellStyle name="Style 51 2 4 3 2 2" xfId="29987" xr:uid="{00000000-0005-0000-0000-0000310B0000}"/>
    <cellStyle name="Style 51 2 4 3 2 3" xfId="48350" xr:uid="{00000000-0005-0000-0000-0000310B0000}"/>
    <cellStyle name="Style 51 2 4 3 3" xfId="15560" xr:uid="{00000000-0005-0000-0000-0000310B0000}"/>
    <cellStyle name="Style 51 2 4 3 3 2" xfId="33953" xr:uid="{00000000-0005-0000-0000-0000310B0000}"/>
    <cellStyle name="Style 51 2 4 3 3 3" xfId="52316" xr:uid="{00000000-0005-0000-0000-0000310B0000}"/>
    <cellStyle name="Style 51 2 4 3 4" xfId="24684" xr:uid="{00000000-0005-0000-0000-0000310B0000}"/>
    <cellStyle name="Style 51 2 4 3 4 2" xfId="43053" xr:uid="{00000000-0005-0000-0000-0000310B0000}"/>
    <cellStyle name="Style 51 2 4 3 5" xfId="21011" xr:uid="{00000000-0005-0000-0000-0000310B0000}"/>
    <cellStyle name="Style 51 2 4 3 6" xfId="39400" xr:uid="{00000000-0005-0000-0000-0000310B0000}"/>
    <cellStyle name="Style 51 2 4 4" xfId="3921" xr:uid="{00000000-0005-0000-0000-0000310B0000}"/>
    <cellStyle name="Style 51 2 4 4 2" xfId="10629" xr:uid="{00000000-0005-0000-0000-0000310B0000}"/>
    <cellStyle name="Style 51 2 4 4 2 2" xfId="29339" xr:uid="{00000000-0005-0000-0000-0000310B0000}"/>
    <cellStyle name="Style 51 2 4 4 2 3" xfId="47702" xr:uid="{00000000-0005-0000-0000-0000310B0000}"/>
    <cellStyle name="Style 51 2 4 4 3" xfId="14686" xr:uid="{00000000-0005-0000-0000-0000310B0000}"/>
    <cellStyle name="Style 51 2 4 4 3 2" xfId="33100" xr:uid="{00000000-0005-0000-0000-0000310B0000}"/>
    <cellStyle name="Style 51 2 4 4 3 3" xfId="51463" xr:uid="{00000000-0005-0000-0000-0000310B0000}"/>
    <cellStyle name="Style 51 2 4 4 4" xfId="23824" xr:uid="{00000000-0005-0000-0000-0000310B0000}"/>
    <cellStyle name="Style 51 2 4 4 4 2" xfId="42193" xr:uid="{00000000-0005-0000-0000-0000310B0000}"/>
    <cellStyle name="Style 51 2 4 4 5" xfId="20142" xr:uid="{00000000-0005-0000-0000-0000310B0000}"/>
    <cellStyle name="Style 51 2 4 4 6" xfId="38547" xr:uid="{00000000-0005-0000-0000-0000310B0000}"/>
    <cellStyle name="Style 51 2 4 5" xfId="9030" xr:uid="{00000000-0005-0000-0000-0000310B0000}"/>
    <cellStyle name="Style 51 2 4 5 2" xfId="6919" xr:uid="{00000000-0005-0000-0000-0000310B0000}"/>
    <cellStyle name="Style 51 2 4 5 2 2" xfId="26654" xr:uid="{00000000-0005-0000-0000-0000310B0000}"/>
    <cellStyle name="Style 51 2 4 5 2 3" xfId="45023" xr:uid="{00000000-0005-0000-0000-0000310B0000}"/>
    <cellStyle name="Style 51 2 4 5 3" xfId="27756" xr:uid="{00000000-0005-0000-0000-0000310B0000}"/>
    <cellStyle name="Style 51 2 4 5 3 2" xfId="46119" xr:uid="{00000000-0005-0000-0000-0000310B0000}"/>
    <cellStyle name="Style 51 2 4 5 4" xfId="17925" xr:uid="{00000000-0005-0000-0000-0000310B0000}"/>
    <cellStyle name="Style 51 2 4 5 5" xfId="36333" xr:uid="{00000000-0005-0000-0000-0000310B0000}"/>
    <cellStyle name="Style 51 2 4 6" xfId="8122" xr:uid="{00000000-0005-0000-0000-0000310B0000}"/>
    <cellStyle name="Style 51 2 4 6 2" xfId="27327" xr:uid="{00000000-0005-0000-0000-0000310B0000}"/>
    <cellStyle name="Style 51 2 4 6 3" xfId="45692" xr:uid="{00000000-0005-0000-0000-0000310B0000}"/>
    <cellStyle name="Style 51 2 4 7" xfId="11464" xr:uid="{00000000-0005-0000-0000-0000310B0000}"/>
    <cellStyle name="Style 51 2 4 7 2" xfId="30052" xr:uid="{00000000-0005-0000-0000-0000310B0000}"/>
    <cellStyle name="Style 51 2 4 7 3" xfId="48415" xr:uid="{00000000-0005-0000-0000-0000310B0000}"/>
    <cellStyle name="Style 51 2 4 8" xfId="19032" xr:uid="{00000000-0005-0000-0000-0000310B0000}"/>
    <cellStyle name="Style 51 2 4 8 2" xfId="37441" xr:uid="{00000000-0005-0000-0000-0000310B0000}"/>
    <cellStyle name="Style 51 2 4 9" xfId="8546" xr:uid="{00000000-0005-0000-0000-0000310B0000}"/>
    <cellStyle name="Style 51 2 5" xfId="2338" xr:uid="{00000000-0005-0000-0000-0000320B0000}"/>
    <cellStyle name="Style 51 2 5 10" xfId="7144" xr:uid="{00000000-0005-0000-0000-0000320B0000}"/>
    <cellStyle name="Style 51 2 5 2" xfId="3786" xr:uid="{00000000-0005-0000-0000-0000320B0000}"/>
    <cellStyle name="Style 51 2 5 2 2" xfId="5959" xr:uid="{00000000-0005-0000-0000-0000320B0000}"/>
    <cellStyle name="Style 51 2 5 2 2 2" xfId="12323" xr:uid="{00000000-0005-0000-0000-0000320B0000}"/>
    <cellStyle name="Style 51 2 5 2 2 2 2" xfId="30770" xr:uid="{00000000-0005-0000-0000-0000320B0000}"/>
    <cellStyle name="Style 51 2 5 2 2 2 3" xfId="49133" xr:uid="{00000000-0005-0000-0000-0000320B0000}"/>
    <cellStyle name="Style 51 2 5 2 2 3" xfId="16649" xr:uid="{00000000-0005-0000-0000-0000320B0000}"/>
    <cellStyle name="Style 51 2 5 2 2 3 2" xfId="35021" xr:uid="{00000000-0005-0000-0000-0000320B0000}"/>
    <cellStyle name="Style 51 2 5 2 2 3 3" xfId="53384" xr:uid="{00000000-0005-0000-0000-0000320B0000}"/>
    <cellStyle name="Style 51 2 5 2 2 4" xfId="25768" xr:uid="{00000000-0005-0000-0000-0000320B0000}"/>
    <cellStyle name="Style 51 2 5 2 2 4 2" xfId="44137" xr:uid="{00000000-0005-0000-0000-0000320B0000}"/>
    <cellStyle name="Style 51 2 5 2 2 5" xfId="22089" xr:uid="{00000000-0005-0000-0000-0000320B0000}"/>
    <cellStyle name="Style 51 2 5 2 2 6" xfId="40468" xr:uid="{00000000-0005-0000-0000-0000320B0000}"/>
    <cellStyle name="Style 51 2 5 2 3" xfId="6785" xr:uid="{00000000-0005-0000-0000-0000320B0000}"/>
    <cellStyle name="Style 51 2 5 2 3 2" xfId="13076" xr:uid="{00000000-0005-0000-0000-0000320B0000}"/>
    <cellStyle name="Style 51 2 5 2 3 2 2" xfId="31502" xr:uid="{00000000-0005-0000-0000-0000320B0000}"/>
    <cellStyle name="Style 51 2 5 2 3 2 3" xfId="49865" xr:uid="{00000000-0005-0000-0000-0000320B0000}"/>
    <cellStyle name="Style 51 2 5 2 3 3" xfId="17387" xr:uid="{00000000-0005-0000-0000-0000320B0000}"/>
    <cellStyle name="Style 51 2 5 2 3 3 2" xfId="35735" xr:uid="{00000000-0005-0000-0000-0000320B0000}"/>
    <cellStyle name="Style 51 2 5 2 3 3 3" xfId="54098" xr:uid="{00000000-0005-0000-0000-0000320B0000}"/>
    <cellStyle name="Style 51 2 5 2 3 4" xfId="26520" xr:uid="{00000000-0005-0000-0000-0000320B0000}"/>
    <cellStyle name="Style 51 2 5 2 3 4 2" xfId="44889" xr:uid="{00000000-0005-0000-0000-0000320B0000}"/>
    <cellStyle name="Style 51 2 5 2 3 5" xfId="22813" xr:uid="{00000000-0005-0000-0000-0000320B0000}"/>
    <cellStyle name="Style 51 2 5 2 3 6" xfId="41182" xr:uid="{00000000-0005-0000-0000-0000320B0000}"/>
    <cellStyle name="Style 51 2 5 2 4" xfId="10499" xr:uid="{00000000-0005-0000-0000-0000320B0000}"/>
    <cellStyle name="Style 51 2 5 2 4 2" xfId="14556" xr:uid="{00000000-0005-0000-0000-0000320B0000}"/>
    <cellStyle name="Style 51 2 5 2 4 2 2" xfId="32972" xr:uid="{00000000-0005-0000-0000-0000320B0000}"/>
    <cellStyle name="Style 51 2 5 2 4 2 3" xfId="51335" xr:uid="{00000000-0005-0000-0000-0000320B0000}"/>
    <cellStyle name="Style 51 2 5 2 4 3" xfId="29210" xr:uid="{00000000-0005-0000-0000-0000320B0000}"/>
    <cellStyle name="Style 51 2 5 2 4 3 2" xfId="47573" xr:uid="{00000000-0005-0000-0000-0000320B0000}"/>
    <cellStyle name="Style 51 2 5 2 4 4" xfId="20013" xr:uid="{00000000-0005-0000-0000-0000320B0000}"/>
    <cellStyle name="Style 51 2 5 2 4 5" xfId="38419" xr:uid="{00000000-0005-0000-0000-0000320B0000}"/>
    <cellStyle name="Style 51 2 5 2 5" xfId="9770" xr:uid="{00000000-0005-0000-0000-0000320B0000}"/>
    <cellStyle name="Style 51 2 5 2 5 2" xfId="28485" xr:uid="{00000000-0005-0000-0000-0000320B0000}"/>
    <cellStyle name="Style 51 2 5 2 5 3" xfId="46848" xr:uid="{00000000-0005-0000-0000-0000320B0000}"/>
    <cellStyle name="Style 51 2 5 2 6" xfId="13827" xr:uid="{00000000-0005-0000-0000-0000320B0000}"/>
    <cellStyle name="Style 51 2 5 2 6 2" xfId="32247" xr:uid="{00000000-0005-0000-0000-0000320B0000}"/>
    <cellStyle name="Style 51 2 5 2 6 3" xfId="50610" xr:uid="{00000000-0005-0000-0000-0000320B0000}"/>
    <cellStyle name="Style 51 2 5 2 7" xfId="23694" xr:uid="{00000000-0005-0000-0000-0000320B0000}"/>
    <cellStyle name="Style 51 2 5 2 7 2" xfId="42063" xr:uid="{00000000-0005-0000-0000-0000320B0000}"/>
    <cellStyle name="Style 51 2 5 2 8" xfId="18952" xr:uid="{00000000-0005-0000-0000-0000320B0000}"/>
    <cellStyle name="Style 51 2 5 2 9" xfId="37361" xr:uid="{00000000-0005-0000-0000-0000320B0000}"/>
    <cellStyle name="Style 51 2 5 3" xfId="4986" xr:uid="{00000000-0005-0000-0000-0000320B0000}"/>
    <cellStyle name="Style 51 2 5 3 2" xfId="11516" xr:uid="{00000000-0005-0000-0000-0000320B0000}"/>
    <cellStyle name="Style 51 2 5 3 2 2" xfId="30089" xr:uid="{00000000-0005-0000-0000-0000320B0000}"/>
    <cellStyle name="Style 51 2 5 3 2 3" xfId="48452" xr:uid="{00000000-0005-0000-0000-0000320B0000}"/>
    <cellStyle name="Style 51 2 5 3 3" xfId="15702" xr:uid="{00000000-0005-0000-0000-0000320B0000}"/>
    <cellStyle name="Style 51 2 5 3 3 2" xfId="34091" xr:uid="{00000000-0005-0000-0000-0000320B0000}"/>
    <cellStyle name="Style 51 2 5 3 3 3" xfId="52454" xr:uid="{00000000-0005-0000-0000-0000320B0000}"/>
    <cellStyle name="Style 51 2 5 3 4" xfId="24826" xr:uid="{00000000-0005-0000-0000-0000320B0000}"/>
    <cellStyle name="Style 51 2 5 3 4 2" xfId="43195" xr:uid="{00000000-0005-0000-0000-0000320B0000}"/>
    <cellStyle name="Style 51 2 5 3 5" xfId="21151" xr:uid="{00000000-0005-0000-0000-0000320B0000}"/>
    <cellStyle name="Style 51 2 5 3 6" xfId="39538" xr:uid="{00000000-0005-0000-0000-0000320B0000}"/>
    <cellStyle name="Style 51 2 5 4" xfId="6126" xr:uid="{00000000-0005-0000-0000-0000320B0000}"/>
    <cellStyle name="Style 51 2 5 4 2" xfId="12480" xr:uid="{00000000-0005-0000-0000-0000320B0000}"/>
    <cellStyle name="Style 51 2 5 4 2 2" xfId="30920" xr:uid="{00000000-0005-0000-0000-0000320B0000}"/>
    <cellStyle name="Style 51 2 5 4 2 3" xfId="49283" xr:uid="{00000000-0005-0000-0000-0000320B0000}"/>
    <cellStyle name="Style 51 2 5 4 3" xfId="16799" xr:uid="{00000000-0005-0000-0000-0000320B0000}"/>
    <cellStyle name="Style 51 2 5 4 3 2" xfId="35168" xr:uid="{00000000-0005-0000-0000-0000320B0000}"/>
    <cellStyle name="Style 51 2 5 4 3 3" xfId="53531" xr:uid="{00000000-0005-0000-0000-0000320B0000}"/>
    <cellStyle name="Style 51 2 5 4 4" xfId="25922" xr:uid="{00000000-0005-0000-0000-0000320B0000}"/>
    <cellStyle name="Style 51 2 5 4 4 2" xfId="44291" xr:uid="{00000000-0005-0000-0000-0000320B0000}"/>
    <cellStyle name="Style 51 2 5 4 5" xfId="22238" xr:uid="{00000000-0005-0000-0000-0000320B0000}"/>
    <cellStyle name="Style 51 2 5 4 6" xfId="40615" xr:uid="{00000000-0005-0000-0000-0000320B0000}"/>
    <cellStyle name="Style 51 2 5 5" xfId="9907" xr:uid="{00000000-0005-0000-0000-0000320B0000}"/>
    <cellStyle name="Style 51 2 5 5 2" xfId="13964" xr:uid="{00000000-0005-0000-0000-0000320B0000}"/>
    <cellStyle name="Style 51 2 5 5 2 2" xfId="32381" xr:uid="{00000000-0005-0000-0000-0000320B0000}"/>
    <cellStyle name="Style 51 2 5 5 2 3" xfId="50744" xr:uid="{00000000-0005-0000-0000-0000320B0000}"/>
    <cellStyle name="Style 51 2 5 5 3" xfId="28619" xr:uid="{00000000-0005-0000-0000-0000320B0000}"/>
    <cellStyle name="Style 51 2 5 5 3 2" xfId="46982" xr:uid="{00000000-0005-0000-0000-0000320B0000}"/>
    <cellStyle name="Style 51 2 5 5 4" xfId="19210" xr:uid="{00000000-0005-0000-0000-0000320B0000}"/>
    <cellStyle name="Style 51 2 5 5 5" xfId="37617" xr:uid="{00000000-0005-0000-0000-0000320B0000}"/>
    <cellStyle name="Style 51 2 5 6" xfId="8379" xr:uid="{00000000-0005-0000-0000-0000320B0000}"/>
    <cellStyle name="Style 51 2 5 6 2" xfId="27446" xr:uid="{00000000-0005-0000-0000-0000320B0000}"/>
    <cellStyle name="Style 51 2 5 6 3" xfId="45810" xr:uid="{00000000-0005-0000-0000-0000320B0000}"/>
    <cellStyle name="Style 51 2 5 7" xfId="7102" xr:uid="{00000000-0005-0000-0000-0000320B0000}"/>
    <cellStyle name="Style 51 2 5 7 2" xfId="26718" xr:uid="{00000000-0005-0000-0000-0000320B0000}"/>
    <cellStyle name="Style 51 2 5 7 3" xfId="45086" xr:uid="{00000000-0005-0000-0000-0000320B0000}"/>
    <cellStyle name="Style 51 2 5 8" xfId="18124" xr:uid="{00000000-0005-0000-0000-0000320B0000}"/>
    <cellStyle name="Style 51 2 5 8 2" xfId="36531" xr:uid="{00000000-0005-0000-0000-0000320B0000}"/>
    <cellStyle name="Style 51 2 5 9" xfId="8843" xr:uid="{00000000-0005-0000-0000-0000320B0000}"/>
    <cellStyle name="Style 51 2 6" xfId="2787" xr:uid="{00000000-0005-0000-0000-0000330B0000}"/>
    <cellStyle name="Style 51 2 6 10" xfId="35926" xr:uid="{00000000-0005-0000-0000-0000330B0000}"/>
    <cellStyle name="Style 51 2 6 2" xfId="3822" xr:uid="{00000000-0005-0000-0000-0000330B0000}"/>
    <cellStyle name="Style 51 2 6 2 2" xfId="5995" xr:uid="{00000000-0005-0000-0000-0000330B0000}"/>
    <cellStyle name="Style 51 2 6 2 2 2" xfId="12359" xr:uid="{00000000-0005-0000-0000-0000330B0000}"/>
    <cellStyle name="Style 51 2 6 2 2 2 2" xfId="30806" xr:uid="{00000000-0005-0000-0000-0000330B0000}"/>
    <cellStyle name="Style 51 2 6 2 2 2 3" xfId="49169" xr:uid="{00000000-0005-0000-0000-0000330B0000}"/>
    <cellStyle name="Style 51 2 6 2 2 3" xfId="16685" xr:uid="{00000000-0005-0000-0000-0000330B0000}"/>
    <cellStyle name="Style 51 2 6 2 2 3 2" xfId="35057" xr:uid="{00000000-0005-0000-0000-0000330B0000}"/>
    <cellStyle name="Style 51 2 6 2 2 3 3" xfId="53420" xr:uid="{00000000-0005-0000-0000-0000330B0000}"/>
    <cellStyle name="Style 51 2 6 2 2 4" xfId="25804" xr:uid="{00000000-0005-0000-0000-0000330B0000}"/>
    <cellStyle name="Style 51 2 6 2 2 4 2" xfId="44173" xr:uid="{00000000-0005-0000-0000-0000330B0000}"/>
    <cellStyle name="Style 51 2 6 2 2 5" xfId="22125" xr:uid="{00000000-0005-0000-0000-0000330B0000}"/>
    <cellStyle name="Style 51 2 6 2 2 6" xfId="40504" xr:uid="{00000000-0005-0000-0000-0000330B0000}"/>
    <cellStyle name="Style 51 2 6 2 3" xfId="6821" xr:uid="{00000000-0005-0000-0000-0000330B0000}"/>
    <cellStyle name="Style 51 2 6 2 3 2" xfId="13112" xr:uid="{00000000-0005-0000-0000-0000330B0000}"/>
    <cellStyle name="Style 51 2 6 2 3 2 2" xfId="31538" xr:uid="{00000000-0005-0000-0000-0000330B0000}"/>
    <cellStyle name="Style 51 2 6 2 3 2 3" xfId="49901" xr:uid="{00000000-0005-0000-0000-0000330B0000}"/>
    <cellStyle name="Style 51 2 6 2 3 3" xfId="17423" xr:uid="{00000000-0005-0000-0000-0000330B0000}"/>
    <cellStyle name="Style 51 2 6 2 3 3 2" xfId="35771" xr:uid="{00000000-0005-0000-0000-0000330B0000}"/>
    <cellStyle name="Style 51 2 6 2 3 3 3" xfId="54134" xr:uid="{00000000-0005-0000-0000-0000330B0000}"/>
    <cellStyle name="Style 51 2 6 2 3 4" xfId="26556" xr:uid="{00000000-0005-0000-0000-0000330B0000}"/>
    <cellStyle name="Style 51 2 6 2 3 4 2" xfId="44925" xr:uid="{00000000-0005-0000-0000-0000330B0000}"/>
    <cellStyle name="Style 51 2 6 2 3 5" xfId="22849" xr:uid="{00000000-0005-0000-0000-0000330B0000}"/>
    <cellStyle name="Style 51 2 6 2 3 6" xfId="41218" xr:uid="{00000000-0005-0000-0000-0000330B0000}"/>
    <cellStyle name="Style 51 2 6 2 4" xfId="10535" xr:uid="{00000000-0005-0000-0000-0000330B0000}"/>
    <cellStyle name="Style 51 2 6 2 4 2" xfId="14592" xr:uid="{00000000-0005-0000-0000-0000330B0000}"/>
    <cellStyle name="Style 51 2 6 2 4 2 2" xfId="33008" xr:uid="{00000000-0005-0000-0000-0000330B0000}"/>
    <cellStyle name="Style 51 2 6 2 4 2 3" xfId="51371" xr:uid="{00000000-0005-0000-0000-0000330B0000}"/>
    <cellStyle name="Style 51 2 6 2 4 3" xfId="29246" xr:uid="{00000000-0005-0000-0000-0000330B0000}"/>
    <cellStyle name="Style 51 2 6 2 4 3 2" xfId="47609" xr:uid="{00000000-0005-0000-0000-0000330B0000}"/>
    <cellStyle name="Style 51 2 6 2 4 4" xfId="20049" xr:uid="{00000000-0005-0000-0000-0000330B0000}"/>
    <cellStyle name="Style 51 2 6 2 4 5" xfId="38455" xr:uid="{00000000-0005-0000-0000-0000330B0000}"/>
    <cellStyle name="Style 51 2 6 2 5" xfId="9868" xr:uid="{00000000-0005-0000-0000-0000330B0000}"/>
    <cellStyle name="Style 51 2 6 2 5 2" xfId="28582" xr:uid="{00000000-0005-0000-0000-0000330B0000}"/>
    <cellStyle name="Style 51 2 6 2 5 3" xfId="46945" xr:uid="{00000000-0005-0000-0000-0000330B0000}"/>
    <cellStyle name="Style 51 2 6 2 6" xfId="13926" xr:uid="{00000000-0005-0000-0000-0000330B0000}"/>
    <cellStyle name="Style 51 2 6 2 6 2" xfId="32344" xr:uid="{00000000-0005-0000-0000-0000330B0000}"/>
    <cellStyle name="Style 51 2 6 2 6 3" xfId="50707" xr:uid="{00000000-0005-0000-0000-0000330B0000}"/>
    <cellStyle name="Style 51 2 6 2 7" xfId="23730" xr:uid="{00000000-0005-0000-0000-0000330B0000}"/>
    <cellStyle name="Style 51 2 6 2 7 2" xfId="42099" xr:uid="{00000000-0005-0000-0000-0000330B0000}"/>
    <cellStyle name="Style 51 2 6 2 8" xfId="19122" xr:uid="{00000000-0005-0000-0000-0000330B0000}"/>
    <cellStyle name="Style 51 2 6 2 9" xfId="37530" xr:uid="{00000000-0005-0000-0000-0000330B0000}"/>
    <cellStyle name="Style 51 2 6 3" xfId="5146" xr:uid="{00000000-0005-0000-0000-0000330B0000}"/>
    <cellStyle name="Style 51 2 6 3 2" xfId="11651" xr:uid="{00000000-0005-0000-0000-0000330B0000}"/>
    <cellStyle name="Style 51 2 6 3 2 2" xfId="30199" xr:uid="{00000000-0005-0000-0000-0000330B0000}"/>
    <cellStyle name="Style 51 2 6 3 2 3" xfId="48562" xr:uid="{00000000-0005-0000-0000-0000330B0000}"/>
    <cellStyle name="Style 51 2 6 3 3" xfId="15850" xr:uid="{00000000-0005-0000-0000-0000330B0000}"/>
    <cellStyle name="Style 51 2 6 3 3 2" xfId="34234" xr:uid="{00000000-0005-0000-0000-0000330B0000}"/>
    <cellStyle name="Style 51 2 6 3 3 3" xfId="52597" xr:uid="{00000000-0005-0000-0000-0000330B0000}"/>
    <cellStyle name="Style 51 2 6 3 4" xfId="24973" xr:uid="{00000000-0005-0000-0000-0000330B0000}"/>
    <cellStyle name="Style 51 2 6 3 4 2" xfId="43342" xr:uid="{00000000-0005-0000-0000-0000330B0000}"/>
    <cellStyle name="Style 51 2 6 3 5" xfId="21296" xr:uid="{00000000-0005-0000-0000-0000330B0000}"/>
    <cellStyle name="Style 51 2 6 3 6" xfId="39681" xr:uid="{00000000-0005-0000-0000-0000330B0000}"/>
    <cellStyle name="Style 51 2 6 4" xfId="6196" xr:uid="{00000000-0005-0000-0000-0000330B0000}"/>
    <cellStyle name="Style 51 2 6 4 2" xfId="12531" xr:uid="{00000000-0005-0000-0000-0000330B0000}"/>
    <cellStyle name="Style 51 2 6 4 2 2" xfId="30963" xr:uid="{00000000-0005-0000-0000-0000330B0000}"/>
    <cellStyle name="Style 51 2 6 4 2 3" xfId="49326" xr:uid="{00000000-0005-0000-0000-0000330B0000}"/>
    <cellStyle name="Style 51 2 6 4 3" xfId="16846" xr:uid="{00000000-0005-0000-0000-0000330B0000}"/>
    <cellStyle name="Style 51 2 6 4 3 2" xfId="35206" xr:uid="{00000000-0005-0000-0000-0000330B0000}"/>
    <cellStyle name="Style 51 2 6 4 3 3" xfId="53569" xr:uid="{00000000-0005-0000-0000-0000330B0000}"/>
    <cellStyle name="Style 51 2 6 4 4" xfId="25973" xr:uid="{00000000-0005-0000-0000-0000330B0000}"/>
    <cellStyle name="Style 51 2 6 4 4 2" xfId="44342" xr:uid="{00000000-0005-0000-0000-0000330B0000}"/>
    <cellStyle name="Style 51 2 6 4 5" xfId="22280" xr:uid="{00000000-0005-0000-0000-0000330B0000}"/>
    <cellStyle name="Style 51 2 6 4 6" xfId="40653" xr:uid="{00000000-0005-0000-0000-0000330B0000}"/>
    <cellStyle name="Style 51 2 6 5" xfId="10028" xr:uid="{00000000-0005-0000-0000-0000330B0000}"/>
    <cellStyle name="Style 51 2 6 5 2" xfId="14085" xr:uid="{00000000-0005-0000-0000-0000330B0000}"/>
    <cellStyle name="Style 51 2 6 5 2 2" xfId="32501" xr:uid="{00000000-0005-0000-0000-0000330B0000}"/>
    <cellStyle name="Style 51 2 6 5 2 3" xfId="50864" xr:uid="{00000000-0005-0000-0000-0000330B0000}"/>
    <cellStyle name="Style 51 2 6 5 3" xfId="28739" xr:uid="{00000000-0005-0000-0000-0000330B0000}"/>
    <cellStyle name="Style 51 2 6 5 3 2" xfId="47102" xr:uid="{00000000-0005-0000-0000-0000330B0000}"/>
    <cellStyle name="Style 51 2 6 5 4" xfId="19407" xr:uid="{00000000-0005-0000-0000-0000330B0000}"/>
    <cellStyle name="Style 51 2 6 5 5" xfId="37813" xr:uid="{00000000-0005-0000-0000-0000330B0000}"/>
    <cellStyle name="Style 51 2 6 6" xfId="8655" xr:uid="{00000000-0005-0000-0000-0000330B0000}"/>
    <cellStyle name="Style 51 2 6 6 2" xfId="27563" xr:uid="{00000000-0005-0000-0000-0000330B0000}"/>
    <cellStyle name="Style 51 2 6 6 3" xfId="45926" xr:uid="{00000000-0005-0000-0000-0000330B0000}"/>
    <cellStyle name="Style 51 2 6 7" xfId="8128" xr:uid="{00000000-0005-0000-0000-0000330B0000}"/>
    <cellStyle name="Style 51 2 6 7 2" xfId="27333" xr:uid="{00000000-0005-0000-0000-0000330B0000}"/>
    <cellStyle name="Style 51 2 6 7 3" xfId="45698" xr:uid="{00000000-0005-0000-0000-0000330B0000}"/>
    <cellStyle name="Style 51 2 6 8" xfId="19003" xr:uid="{00000000-0005-0000-0000-0000330B0000}"/>
    <cellStyle name="Style 51 2 6 8 2" xfId="37412" xr:uid="{00000000-0005-0000-0000-0000330B0000}"/>
    <cellStyle name="Style 51 2 6 9" xfId="8339" xr:uid="{00000000-0005-0000-0000-0000330B0000}"/>
    <cellStyle name="Style 51 2 7" xfId="4203" xr:uid="{00000000-0005-0000-0000-00002E0B0000}"/>
    <cellStyle name="Style 51 2 7 2" xfId="10852" xr:uid="{00000000-0005-0000-0000-00002E0B0000}"/>
    <cellStyle name="Style 51 2 7 2 2" xfId="29523" xr:uid="{00000000-0005-0000-0000-00002E0B0000}"/>
    <cellStyle name="Style 51 2 7 2 3" xfId="47886" xr:uid="{00000000-0005-0000-0000-00002E0B0000}"/>
    <cellStyle name="Style 51 2 7 3" xfId="14949" xr:uid="{00000000-0005-0000-0000-00002E0B0000}"/>
    <cellStyle name="Style 51 2 7 3 2" xfId="33353" xr:uid="{00000000-0005-0000-0000-00002E0B0000}"/>
    <cellStyle name="Style 51 2 7 3 3" xfId="51716" xr:uid="{00000000-0005-0000-0000-00002E0B0000}"/>
    <cellStyle name="Style 51 2 7 4" xfId="24082" xr:uid="{00000000-0005-0000-0000-00002E0B0000}"/>
    <cellStyle name="Style 51 2 7 4 2" xfId="42451" xr:uid="{00000000-0005-0000-0000-00002E0B0000}"/>
    <cellStyle name="Style 51 2 7 5" xfId="20402" xr:uid="{00000000-0005-0000-0000-00002E0B0000}"/>
    <cellStyle name="Style 51 2 7 6" xfId="38800" xr:uid="{00000000-0005-0000-0000-00002E0B0000}"/>
    <cellStyle name="Style 51 2 8" xfId="9730" xr:uid="{00000000-0005-0000-0000-00002E0B0000}"/>
    <cellStyle name="Style 51 2 8 2" xfId="13787" xr:uid="{00000000-0005-0000-0000-00002E0B0000}"/>
    <cellStyle name="Style 51 2 8 2 2" xfId="32208" xr:uid="{00000000-0005-0000-0000-00002E0B0000}"/>
    <cellStyle name="Style 51 2 8 2 3" xfId="50571" xr:uid="{00000000-0005-0000-0000-00002E0B0000}"/>
    <cellStyle name="Style 51 2 8 3" xfId="28446" xr:uid="{00000000-0005-0000-0000-00002E0B0000}"/>
    <cellStyle name="Style 51 2 8 3 2" xfId="46809" xr:uid="{00000000-0005-0000-0000-00002E0B0000}"/>
    <cellStyle name="Style 51 2 8 4" xfId="18884" xr:uid="{00000000-0005-0000-0000-00002E0B0000}"/>
    <cellStyle name="Style 51 2 8 5" xfId="37293" xr:uid="{00000000-0005-0000-0000-00002E0B0000}"/>
    <cellStyle name="Style 51 3" xfId="1074" xr:uid="{00000000-0005-0000-0000-0000340B0000}"/>
    <cellStyle name="Style 51 3 2" xfId="1344" xr:uid="{00000000-0005-0000-0000-0000350B0000}"/>
    <cellStyle name="Style 51 3 2 2" xfId="3391" xr:uid="{00000000-0005-0000-0000-0000350B0000}"/>
    <cellStyle name="Style 51 3 2 2 2" xfId="5566" xr:uid="{00000000-0005-0000-0000-0000350B0000}"/>
    <cellStyle name="Style 51 3 2 2 2 2" xfId="11930" xr:uid="{00000000-0005-0000-0000-0000350B0000}"/>
    <cellStyle name="Style 51 3 2 2 2 2 2" xfId="30377" xr:uid="{00000000-0005-0000-0000-0000350B0000}"/>
    <cellStyle name="Style 51 3 2 2 2 2 3" xfId="48740" xr:uid="{00000000-0005-0000-0000-0000350B0000}"/>
    <cellStyle name="Style 51 3 2 2 2 3" xfId="16256" xr:uid="{00000000-0005-0000-0000-0000350B0000}"/>
    <cellStyle name="Style 51 3 2 2 2 3 2" xfId="34628" xr:uid="{00000000-0005-0000-0000-0000350B0000}"/>
    <cellStyle name="Style 51 3 2 2 2 3 3" xfId="52991" xr:uid="{00000000-0005-0000-0000-0000350B0000}"/>
    <cellStyle name="Style 51 3 2 2 2 4" xfId="25375" xr:uid="{00000000-0005-0000-0000-0000350B0000}"/>
    <cellStyle name="Style 51 3 2 2 2 4 2" xfId="43744" xr:uid="{00000000-0005-0000-0000-0000350B0000}"/>
    <cellStyle name="Style 51 3 2 2 2 5" xfId="21696" xr:uid="{00000000-0005-0000-0000-0000350B0000}"/>
    <cellStyle name="Style 51 3 2 2 2 6" xfId="40075" xr:uid="{00000000-0005-0000-0000-0000350B0000}"/>
    <cellStyle name="Style 51 3 2 2 3" xfId="6390" xr:uid="{00000000-0005-0000-0000-0000350B0000}"/>
    <cellStyle name="Style 51 3 2 2 3 2" xfId="12681" xr:uid="{00000000-0005-0000-0000-0000350B0000}"/>
    <cellStyle name="Style 51 3 2 2 3 2 2" xfId="31107" xr:uid="{00000000-0005-0000-0000-0000350B0000}"/>
    <cellStyle name="Style 51 3 2 2 3 2 3" xfId="49470" xr:uid="{00000000-0005-0000-0000-0000350B0000}"/>
    <cellStyle name="Style 51 3 2 2 3 3" xfId="16992" xr:uid="{00000000-0005-0000-0000-0000350B0000}"/>
    <cellStyle name="Style 51 3 2 2 3 3 2" xfId="35340" xr:uid="{00000000-0005-0000-0000-0000350B0000}"/>
    <cellStyle name="Style 51 3 2 2 3 3 3" xfId="53703" xr:uid="{00000000-0005-0000-0000-0000350B0000}"/>
    <cellStyle name="Style 51 3 2 2 3 4" xfId="26125" xr:uid="{00000000-0005-0000-0000-0000350B0000}"/>
    <cellStyle name="Style 51 3 2 2 3 4 2" xfId="44494" xr:uid="{00000000-0005-0000-0000-0000350B0000}"/>
    <cellStyle name="Style 51 3 2 2 3 5" xfId="22418" xr:uid="{00000000-0005-0000-0000-0000350B0000}"/>
    <cellStyle name="Style 51 3 2 2 3 6" xfId="40787" xr:uid="{00000000-0005-0000-0000-0000350B0000}"/>
    <cellStyle name="Style 51 3 2 2 4" xfId="10104" xr:uid="{00000000-0005-0000-0000-0000350B0000}"/>
    <cellStyle name="Style 51 3 2 2 4 2" xfId="14161" xr:uid="{00000000-0005-0000-0000-0000350B0000}"/>
    <cellStyle name="Style 51 3 2 2 4 2 2" xfId="32577" xr:uid="{00000000-0005-0000-0000-0000350B0000}"/>
    <cellStyle name="Style 51 3 2 2 4 2 3" xfId="50940" xr:uid="{00000000-0005-0000-0000-0000350B0000}"/>
    <cellStyle name="Style 51 3 2 2 4 3" xfId="28815" xr:uid="{00000000-0005-0000-0000-0000350B0000}"/>
    <cellStyle name="Style 51 3 2 2 4 3 2" xfId="47178" xr:uid="{00000000-0005-0000-0000-0000350B0000}"/>
    <cellStyle name="Style 51 3 2 2 4 4" xfId="19618" xr:uid="{00000000-0005-0000-0000-0000350B0000}"/>
    <cellStyle name="Style 51 3 2 2 4 5" xfId="38024" xr:uid="{00000000-0005-0000-0000-0000350B0000}"/>
    <cellStyle name="Style 51 3 2 2 5" xfId="9291" xr:uid="{00000000-0005-0000-0000-0000350B0000}"/>
    <cellStyle name="Style 51 3 2 2 5 2" xfId="28010" xr:uid="{00000000-0005-0000-0000-0000350B0000}"/>
    <cellStyle name="Style 51 3 2 2 5 3" xfId="46373" xr:uid="{00000000-0005-0000-0000-0000350B0000}"/>
    <cellStyle name="Style 51 3 2 2 6" xfId="13347" xr:uid="{00000000-0005-0000-0000-0000350B0000}"/>
    <cellStyle name="Style 51 3 2 2 6 2" xfId="31768" xr:uid="{00000000-0005-0000-0000-0000350B0000}"/>
    <cellStyle name="Style 51 3 2 2 6 3" xfId="50131" xr:uid="{00000000-0005-0000-0000-0000350B0000}"/>
    <cellStyle name="Style 51 3 2 2 7" xfId="23299" xr:uid="{00000000-0005-0000-0000-0000350B0000}"/>
    <cellStyle name="Style 51 3 2 2 7 2" xfId="41668" xr:uid="{00000000-0005-0000-0000-0000350B0000}"/>
    <cellStyle name="Style 51 3 2 2 8" xfId="18365" xr:uid="{00000000-0005-0000-0000-0000350B0000}"/>
    <cellStyle name="Style 51 3 2 2 9" xfId="36771" xr:uid="{00000000-0005-0000-0000-0000350B0000}"/>
    <cellStyle name="Style 51 3 2 3" xfId="4380" xr:uid="{00000000-0005-0000-0000-0000350B0000}"/>
    <cellStyle name="Style 51 3 2 3 2" xfId="10980" xr:uid="{00000000-0005-0000-0000-0000350B0000}"/>
    <cellStyle name="Style 51 3 2 3 2 2" xfId="29602" xr:uid="{00000000-0005-0000-0000-0000350B0000}"/>
    <cellStyle name="Style 51 3 2 3 2 3" xfId="47965" xr:uid="{00000000-0005-0000-0000-0000350B0000}"/>
    <cellStyle name="Style 51 3 2 3 3" xfId="15116" xr:uid="{00000000-0005-0000-0000-0000350B0000}"/>
    <cellStyle name="Style 51 3 2 3 3 2" xfId="33513" xr:uid="{00000000-0005-0000-0000-0000350B0000}"/>
    <cellStyle name="Style 51 3 2 3 3 3" xfId="51876" xr:uid="{00000000-0005-0000-0000-0000350B0000}"/>
    <cellStyle name="Style 51 3 2 3 4" xfId="24244" xr:uid="{00000000-0005-0000-0000-0000350B0000}"/>
    <cellStyle name="Style 51 3 2 3 4 2" xfId="42613" xr:uid="{00000000-0005-0000-0000-0000350B0000}"/>
    <cellStyle name="Style 51 3 2 3 5" xfId="20567" xr:uid="{00000000-0005-0000-0000-0000350B0000}"/>
    <cellStyle name="Style 51 3 2 3 6" xfId="38960" xr:uid="{00000000-0005-0000-0000-0000350B0000}"/>
    <cellStyle name="Style 51 3 2 4" xfId="5064" xr:uid="{00000000-0005-0000-0000-0000350B0000}"/>
    <cellStyle name="Style 51 3 2 4 2" xfId="11586" xr:uid="{00000000-0005-0000-0000-0000350B0000}"/>
    <cellStyle name="Style 51 3 2 4 2 2" xfId="30154" xr:uid="{00000000-0005-0000-0000-0000350B0000}"/>
    <cellStyle name="Style 51 3 2 4 2 3" xfId="48517" xr:uid="{00000000-0005-0000-0000-0000350B0000}"/>
    <cellStyle name="Style 51 3 2 4 3" xfId="15777" xr:uid="{00000000-0005-0000-0000-0000350B0000}"/>
    <cellStyle name="Style 51 3 2 4 3 2" xfId="34164" xr:uid="{00000000-0005-0000-0000-0000350B0000}"/>
    <cellStyle name="Style 51 3 2 4 3 3" xfId="52527" xr:uid="{00000000-0005-0000-0000-0000350B0000}"/>
    <cellStyle name="Style 51 3 2 4 4" xfId="24900" xr:uid="{00000000-0005-0000-0000-0000350B0000}"/>
    <cellStyle name="Style 51 3 2 4 4 2" xfId="43269" xr:uid="{00000000-0005-0000-0000-0000350B0000}"/>
    <cellStyle name="Style 51 3 2 4 5" xfId="21225" xr:uid="{00000000-0005-0000-0000-0000350B0000}"/>
    <cellStyle name="Style 51 3 2 4 6" xfId="39611" xr:uid="{00000000-0005-0000-0000-0000350B0000}"/>
    <cellStyle name="Style 51 3 2 5" xfId="9883" xr:uid="{00000000-0005-0000-0000-0000350B0000}"/>
    <cellStyle name="Style 51 3 2 5 2" xfId="13941" xr:uid="{00000000-0005-0000-0000-0000350B0000}"/>
    <cellStyle name="Style 51 3 2 5 2 2" xfId="32359" xr:uid="{00000000-0005-0000-0000-0000350B0000}"/>
    <cellStyle name="Style 51 3 2 5 2 3" xfId="50722" xr:uid="{00000000-0005-0000-0000-0000350B0000}"/>
    <cellStyle name="Style 51 3 2 5 3" xfId="28597" xr:uid="{00000000-0005-0000-0000-0000350B0000}"/>
    <cellStyle name="Style 51 3 2 5 3 2" xfId="46960" xr:uid="{00000000-0005-0000-0000-0000350B0000}"/>
    <cellStyle name="Style 51 3 2 5 4" xfId="19146" xr:uid="{00000000-0005-0000-0000-0000350B0000}"/>
    <cellStyle name="Style 51 3 2 5 5" xfId="37554" xr:uid="{00000000-0005-0000-0000-0000350B0000}"/>
    <cellStyle name="Style 51 3 2 6" xfId="7641" xr:uid="{00000000-0005-0000-0000-0000350B0000}"/>
    <cellStyle name="Style 51 3 2 6 2" xfId="26928" xr:uid="{00000000-0005-0000-0000-0000350B0000}"/>
    <cellStyle name="Style 51 3 2 6 3" xfId="45293" xr:uid="{00000000-0005-0000-0000-0000350B0000}"/>
    <cellStyle name="Style 51 3 2 7" xfId="7227" xr:uid="{00000000-0005-0000-0000-0000350B0000}"/>
    <cellStyle name="Style 51 3 2 7 2" xfId="26770" xr:uid="{00000000-0005-0000-0000-0000350B0000}"/>
    <cellStyle name="Style 51 3 2 7 3" xfId="45138" xr:uid="{00000000-0005-0000-0000-0000350B0000}"/>
    <cellStyle name="Style 51 3 2 8" xfId="11687" xr:uid="{00000000-0005-0000-0000-0000350B0000}"/>
    <cellStyle name="Style 51 3 2 9" xfId="8163" xr:uid="{00000000-0005-0000-0000-0000350B0000}"/>
    <cellStyle name="Style 51 3 3" xfId="1384" xr:uid="{00000000-0005-0000-0000-0000360B0000}"/>
    <cellStyle name="Style 51 3 3 10" xfId="7207" xr:uid="{00000000-0005-0000-0000-0000360B0000}"/>
    <cellStyle name="Style 51 3 3 2" xfId="3417" xr:uid="{00000000-0005-0000-0000-0000360B0000}"/>
    <cellStyle name="Style 51 3 3 2 2" xfId="5592" xr:uid="{00000000-0005-0000-0000-0000360B0000}"/>
    <cellStyle name="Style 51 3 3 2 2 2" xfId="11956" xr:uid="{00000000-0005-0000-0000-0000360B0000}"/>
    <cellStyle name="Style 51 3 3 2 2 2 2" xfId="30403" xr:uid="{00000000-0005-0000-0000-0000360B0000}"/>
    <cellStyle name="Style 51 3 3 2 2 2 3" xfId="48766" xr:uid="{00000000-0005-0000-0000-0000360B0000}"/>
    <cellStyle name="Style 51 3 3 2 2 3" xfId="16282" xr:uid="{00000000-0005-0000-0000-0000360B0000}"/>
    <cellStyle name="Style 51 3 3 2 2 3 2" xfId="34654" xr:uid="{00000000-0005-0000-0000-0000360B0000}"/>
    <cellStyle name="Style 51 3 3 2 2 3 3" xfId="53017" xr:uid="{00000000-0005-0000-0000-0000360B0000}"/>
    <cellStyle name="Style 51 3 3 2 2 4" xfId="25401" xr:uid="{00000000-0005-0000-0000-0000360B0000}"/>
    <cellStyle name="Style 51 3 3 2 2 4 2" xfId="43770" xr:uid="{00000000-0005-0000-0000-0000360B0000}"/>
    <cellStyle name="Style 51 3 3 2 2 5" xfId="21722" xr:uid="{00000000-0005-0000-0000-0000360B0000}"/>
    <cellStyle name="Style 51 3 3 2 2 6" xfId="40101" xr:uid="{00000000-0005-0000-0000-0000360B0000}"/>
    <cellStyle name="Style 51 3 3 2 3" xfId="6416" xr:uid="{00000000-0005-0000-0000-0000360B0000}"/>
    <cellStyle name="Style 51 3 3 2 3 2" xfId="12707" xr:uid="{00000000-0005-0000-0000-0000360B0000}"/>
    <cellStyle name="Style 51 3 3 2 3 2 2" xfId="31133" xr:uid="{00000000-0005-0000-0000-0000360B0000}"/>
    <cellStyle name="Style 51 3 3 2 3 2 3" xfId="49496" xr:uid="{00000000-0005-0000-0000-0000360B0000}"/>
    <cellStyle name="Style 51 3 3 2 3 3" xfId="17018" xr:uid="{00000000-0005-0000-0000-0000360B0000}"/>
    <cellStyle name="Style 51 3 3 2 3 3 2" xfId="35366" xr:uid="{00000000-0005-0000-0000-0000360B0000}"/>
    <cellStyle name="Style 51 3 3 2 3 3 3" xfId="53729" xr:uid="{00000000-0005-0000-0000-0000360B0000}"/>
    <cellStyle name="Style 51 3 3 2 3 4" xfId="26151" xr:uid="{00000000-0005-0000-0000-0000360B0000}"/>
    <cellStyle name="Style 51 3 3 2 3 4 2" xfId="44520" xr:uid="{00000000-0005-0000-0000-0000360B0000}"/>
    <cellStyle name="Style 51 3 3 2 3 5" xfId="22444" xr:uid="{00000000-0005-0000-0000-0000360B0000}"/>
    <cellStyle name="Style 51 3 3 2 3 6" xfId="40813" xr:uid="{00000000-0005-0000-0000-0000360B0000}"/>
    <cellStyle name="Style 51 3 3 2 4" xfId="10130" xr:uid="{00000000-0005-0000-0000-0000360B0000}"/>
    <cellStyle name="Style 51 3 3 2 4 2" xfId="14187" xr:uid="{00000000-0005-0000-0000-0000360B0000}"/>
    <cellStyle name="Style 51 3 3 2 4 2 2" xfId="32603" xr:uid="{00000000-0005-0000-0000-0000360B0000}"/>
    <cellStyle name="Style 51 3 3 2 4 2 3" xfId="50966" xr:uid="{00000000-0005-0000-0000-0000360B0000}"/>
    <cellStyle name="Style 51 3 3 2 4 3" xfId="28841" xr:uid="{00000000-0005-0000-0000-0000360B0000}"/>
    <cellStyle name="Style 51 3 3 2 4 3 2" xfId="47204" xr:uid="{00000000-0005-0000-0000-0000360B0000}"/>
    <cellStyle name="Style 51 3 3 2 4 4" xfId="19644" xr:uid="{00000000-0005-0000-0000-0000360B0000}"/>
    <cellStyle name="Style 51 3 3 2 4 5" xfId="38050" xr:uid="{00000000-0005-0000-0000-0000360B0000}"/>
    <cellStyle name="Style 51 3 3 2 5" xfId="9317" xr:uid="{00000000-0005-0000-0000-0000360B0000}"/>
    <cellStyle name="Style 51 3 3 2 5 2" xfId="28036" xr:uid="{00000000-0005-0000-0000-0000360B0000}"/>
    <cellStyle name="Style 51 3 3 2 5 3" xfId="46399" xr:uid="{00000000-0005-0000-0000-0000360B0000}"/>
    <cellStyle name="Style 51 3 3 2 6" xfId="13373" xr:uid="{00000000-0005-0000-0000-0000360B0000}"/>
    <cellStyle name="Style 51 3 3 2 6 2" xfId="31794" xr:uid="{00000000-0005-0000-0000-0000360B0000}"/>
    <cellStyle name="Style 51 3 3 2 6 3" xfId="50157" xr:uid="{00000000-0005-0000-0000-0000360B0000}"/>
    <cellStyle name="Style 51 3 3 2 7" xfId="23325" xr:uid="{00000000-0005-0000-0000-0000360B0000}"/>
    <cellStyle name="Style 51 3 3 2 7 2" xfId="41694" xr:uid="{00000000-0005-0000-0000-0000360B0000}"/>
    <cellStyle name="Style 51 3 3 2 8" xfId="18396" xr:uid="{00000000-0005-0000-0000-0000360B0000}"/>
    <cellStyle name="Style 51 3 3 2 9" xfId="36802" xr:uid="{00000000-0005-0000-0000-0000360B0000}"/>
    <cellStyle name="Style 51 3 3 3" xfId="4410" xr:uid="{00000000-0005-0000-0000-0000360B0000}"/>
    <cellStyle name="Style 51 3 3 3 2" xfId="11009" xr:uid="{00000000-0005-0000-0000-0000360B0000}"/>
    <cellStyle name="Style 51 3 3 3 2 2" xfId="29629" xr:uid="{00000000-0005-0000-0000-0000360B0000}"/>
    <cellStyle name="Style 51 3 3 3 2 3" xfId="47992" xr:uid="{00000000-0005-0000-0000-0000360B0000}"/>
    <cellStyle name="Style 51 3 3 3 3" xfId="15144" xr:uid="{00000000-0005-0000-0000-0000360B0000}"/>
    <cellStyle name="Style 51 3 3 3 3 2" xfId="33541" xr:uid="{00000000-0005-0000-0000-0000360B0000}"/>
    <cellStyle name="Style 51 3 3 3 3 3" xfId="51904" xr:uid="{00000000-0005-0000-0000-0000360B0000}"/>
    <cellStyle name="Style 51 3 3 3 4" xfId="24272" xr:uid="{00000000-0005-0000-0000-0000360B0000}"/>
    <cellStyle name="Style 51 3 3 3 4 2" xfId="42641" xr:uid="{00000000-0005-0000-0000-0000360B0000}"/>
    <cellStyle name="Style 51 3 3 3 5" xfId="20595" xr:uid="{00000000-0005-0000-0000-0000360B0000}"/>
    <cellStyle name="Style 51 3 3 3 6" xfId="38988" xr:uid="{00000000-0005-0000-0000-0000360B0000}"/>
    <cellStyle name="Style 51 3 3 4" xfId="4349" xr:uid="{00000000-0005-0000-0000-0000360B0000}"/>
    <cellStyle name="Style 51 3 3 4 2" xfId="10953" xr:uid="{00000000-0005-0000-0000-0000360B0000}"/>
    <cellStyle name="Style 51 3 3 4 2 2" xfId="29580" xr:uid="{00000000-0005-0000-0000-0000360B0000}"/>
    <cellStyle name="Style 51 3 3 4 2 3" xfId="47943" xr:uid="{00000000-0005-0000-0000-0000360B0000}"/>
    <cellStyle name="Style 51 3 3 4 3" xfId="15090" xr:uid="{00000000-0005-0000-0000-0000360B0000}"/>
    <cellStyle name="Style 51 3 3 4 3 2" xfId="33490" xr:uid="{00000000-0005-0000-0000-0000360B0000}"/>
    <cellStyle name="Style 51 3 3 4 3 3" xfId="51853" xr:uid="{00000000-0005-0000-0000-0000360B0000}"/>
    <cellStyle name="Style 51 3 3 4 4" xfId="24219" xr:uid="{00000000-0005-0000-0000-0000360B0000}"/>
    <cellStyle name="Style 51 3 3 4 4 2" xfId="42588" xr:uid="{00000000-0005-0000-0000-0000360B0000}"/>
    <cellStyle name="Style 51 3 3 4 5" xfId="20542" xr:uid="{00000000-0005-0000-0000-0000360B0000}"/>
    <cellStyle name="Style 51 3 3 4 6" xfId="38937" xr:uid="{00000000-0005-0000-0000-0000360B0000}"/>
    <cellStyle name="Style 51 3 3 5" xfId="9140" xr:uid="{00000000-0005-0000-0000-0000360B0000}"/>
    <cellStyle name="Style 51 3 3 5 2" xfId="13200" xr:uid="{00000000-0005-0000-0000-0000360B0000}"/>
    <cellStyle name="Style 51 3 3 5 2 2" xfId="31625" xr:uid="{00000000-0005-0000-0000-0000360B0000}"/>
    <cellStyle name="Style 51 3 3 5 2 3" xfId="49988" xr:uid="{00000000-0005-0000-0000-0000360B0000}"/>
    <cellStyle name="Style 51 3 3 5 3" xfId="27866" xr:uid="{00000000-0005-0000-0000-0000360B0000}"/>
    <cellStyle name="Style 51 3 3 5 3 2" xfId="46229" xr:uid="{00000000-0005-0000-0000-0000360B0000}"/>
    <cellStyle name="Style 51 3 3 5 4" xfId="18054" xr:uid="{00000000-0005-0000-0000-0000360B0000}"/>
    <cellStyle name="Style 51 3 3 5 5" xfId="36461" xr:uid="{00000000-0005-0000-0000-0000360B0000}"/>
    <cellStyle name="Style 51 3 3 6" xfId="7676" xr:uid="{00000000-0005-0000-0000-0000360B0000}"/>
    <cellStyle name="Style 51 3 3 6 2" xfId="26958" xr:uid="{00000000-0005-0000-0000-0000360B0000}"/>
    <cellStyle name="Style 51 3 3 6 3" xfId="45323" xr:uid="{00000000-0005-0000-0000-0000360B0000}"/>
    <cellStyle name="Style 51 3 3 7" xfId="8398" xr:uid="{00000000-0005-0000-0000-0000360B0000}"/>
    <cellStyle name="Style 51 3 3 7 2" xfId="27461" xr:uid="{00000000-0005-0000-0000-0000360B0000}"/>
    <cellStyle name="Style 51 3 3 7 3" xfId="45825" xr:uid="{00000000-0005-0000-0000-0000360B0000}"/>
    <cellStyle name="Style 51 3 3 8" xfId="19308" xr:uid="{00000000-0005-0000-0000-0000360B0000}"/>
    <cellStyle name="Style 51 3 3 8 2" xfId="37715" xr:uid="{00000000-0005-0000-0000-0000360B0000}"/>
    <cellStyle name="Style 51 3 3 9" xfId="8550" xr:uid="{00000000-0005-0000-0000-0000360B0000}"/>
    <cellStyle name="Style 51 3 4" xfId="1919" xr:uid="{00000000-0005-0000-0000-0000370B0000}"/>
    <cellStyle name="Style 51 3 4 10" xfId="7264" xr:uid="{00000000-0005-0000-0000-0000370B0000}"/>
    <cellStyle name="Style 51 3 4 2" xfId="3737" xr:uid="{00000000-0005-0000-0000-0000370B0000}"/>
    <cellStyle name="Style 51 3 4 2 2" xfId="5910" xr:uid="{00000000-0005-0000-0000-0000370B0000}"/>
    <cellStyle name="Style 51 3 4 2 2 2" xfId="12274" xr:uid="{00000000-0005-0000-0000-0000370B0000}"/>
    <cellStyle name="Style 51 3 4 2 2 2 2" xfId="30721" xr:uid="{00000000-0005-0000-0000-0000370B0000}"/>
    <cellStyle name="Style 51 3 4 2 2 2 3" xfId="49084" xr:uid="{00000000-0005-0000-0000-0000370B0000}"/>
    <cellStyle name="Style 51 3 4 2 2 3" xfId="16600" xr:uid="{00000000-0005-0000-0000-0000370B0000}"/>
    <cellStyle name="Style 51 3 4 2 2 3 2" xfId="34972" xr:uid="{00000000-0005-0000-0000-0000370B0000}"/>
    <cellStyle name="Style 51 3 4 2 2 3 3" xfId="53335" xr:uid="{00000000-0005-0000-0000-0000370B0000}"/>
    <cellStyle name="Style 51 3 4 2 2 4" xfId="25719" xr:uid="{00000000-0005-0000-0000-0000370B0000}"/>
    <cellStyle name="Style 51 3 4 2 2 4 2" xfId="44088" xr:uid="{00000000-0005-0000-0000-0000370B0000}"/>
    <cellStyle name="Style 51 3 4 2 2 5" xfId="22040" xr:uid="{00000000-0005-0000-0000-0000370B0000}"/>
    <cellStyle name="Style 51 3 4 2 2 6" xfId="40419" xr:uid="{00000000-0005-0000-0000-0000370B0000}"/>
    <cellStyle name="Style 51 3 4 2 3" xfId="6736" xr:uid="{00000000-0005-0000-0000-0000370B0000}"/>
    <cellStyle name="Style 51 3 4 2 3 2" xfId="13027" xr:uid="{00000000-0005-0000-0000-0000370B0000}"/>
    <cellStyle name="Style 51 3 4 2 3 2 2" xfId="31453" xr:uid="{00000000-0005-0000-0000-0000370B0000}"/>
    <cellStyle name="Style 51 3 4 2 3 2 3" xfId="49816" xr:uid="{00000000-0005-0000-0000-0000370B0000}"/>
    <cellStyle name="Style 51 3 4 2 3 3" xfId="17338" xr:uid="{00000000-0005-0000-0000-0000370B0000}"/>
    <cellStyle name="Style 51 3 4 2 3 3 2" xfId="35686" xr:uid="{00000000-0005-0000-0000-0000370B0000}"/>
    <cellStyle name="Style 51 3 4 2 3 3 3" xfId="54049" xr:uid="{00000000-0005-0000-0000-0000370B0000}"/>
    <cellStyle name="Style 51 3 4 2 3 4" xfId="26471" xr:uid="{00000000-0005-0000-0000-0000370B0000}"/>
    <cellStyle name="Style 51 3 4 2 3 4 2" xfId="44840" xr:uid="{00000000-0005-0000-0000-0000370B0000}"/>
    <cellStyle name="Style 51 3 4 2 3 5" xfId="22764" xr:uid="{00000000-0005-0000-0000-0000370B0000}"/>
    <cellStyle name="Style 51 3 4 2 3 6" xfId="41133" xr:uid="{00000000-0005-0000-0000-0000370B0000}"/>
    <cellStyle name="Style 51 3 4 2 4" xfId="10450" xr:uid="{00000000-0005-0000-0000-0000370B0000}"/>
    <cellStyle name="Style 51 3 4 2 4 2" xfId="14507" xr:uid="{00000000-0005-0000-0000-0000370B0000}"/>
    <cellStyle name="Style 51 3 4 2 4 2 2" xfId="32923" xr:uid="{00000000-0005-0000-0000-0000370B0000}"/>
    <cellStyle name="Style 51 3 4 2 4 2 3" xfId="51286" xr:uid="{00000000-0005-0000-0000-0000370B0000}"/>
    <cellStyle name="Style 51 3 4 2 4 3" xfId="29161" xr:uid="{00000000-0005-0000-0000-0000370B0000}"/>
    <cellStyle name="Style 51 3 4 2 4 3 2" xfId="47524" xr:uid="{00000000-0005-0000-0000-0000370B0000}"/>
    <cellStyle name="Style 51 3 4 2 4 4" xfId="19964" xr:uid="{00000000-0005-0000-0000-0000370B0000}"/>
    <cellStyle name="Style 51 3 4 2 4 5" xfId="38370" xr:uid="{00000000-0005-0000-0000-0000370B0000}"/>
    <cellStyle name="Style 51 3 4 2 5" xfId="9666" xr:uid="{00000000-0005-0000-0000-0000370B0000}"/>
    <cellStyle name="Style 51 3 4 2 5 2" xfId="28382" xr:uid="{00000000-0005-0000-0000-0000370B0000}"/>
    <cellStyle name="Style 51 3 4 2 5 3" xfId="46745" xr:uid="{00000000-0005-0000-0000-0000370B0000}"/>
    <cellStyle name="Style 51 3 4 2 6" xfId="13723" xr:uid="{00000000-0005-0000-0000-0000370B0000}"/>
    <cellStyle name="Style 51 3 4 2 6 2" xfId="32144" xr:uid="{00000000-0005-0000-0000-0000370B0000}"/>
    <cellStyle name="Style 51 3 4 2 6 3" xfId="50507" xr:uid="{00000000-0005-0000-0000-0000370B0000}"/>
    <cellStyle name="Style 51 3 4 2 7" xfId="23645" xr:uid="{00000000-0005-0000-0000-0000370B0000}"/>
    <cellStyle name="Style 51 3 4 2 7 2" xfId="42014" xr:uid="{00000000-0005-0000-0000-0000370B0000}"/>
    <cellStyle name="Style 51 3 4 2 8" xfId="18791" xr:uid="{00000000-0005-0000-0000-0000370B0000}"/>
    <cellStyle name="Style 51 3 4 2 9" xfId="37200" xr:uid="{00000000-0005-0000-0000-0000370B0000}"/>
    <cellStyle name="Style 51 3 4 3" xfId="4830" xr:uid="{00000000-0005-0000-0000-0000370B0000}"/>
    <cellStyle name="Style 51 3 4 3 2" xfId="11391" xr:uid="{00000000-0005-0000-0000-0000370B0000}"/>
    <cellStyle name="Style 51 3 4 3 2 2" xfId="29983" xr:uid="{00000000-0005-0000-0000-0000370B0000}"/>
    <cellStyle name="Style 51 3 4 3 2 3" xfId="48346" xr:uid="{00000000-0005-0000-0000-0000370B0000}"/>
    <cellStyle name="Style 51 3 4 3 3" xfId="15556" xr:uid="{00000000-0005-0000-0000-0000370B0000}"/>
    <cellStyle name="Style 51 3 4 3 3 2" xfId="33949" xr:uid="{00000000-0005-0000-0000-0000370B0000}"/>
    <cellStyle name="Style 51 3 4 3 3 3" xfId="52312" xr:uid="{00000000-0005-0000-0000-0000370B0000}"/>
    <cellStyle name="Style 51 3 4 3 4" xfId="24680" xr:uid="{00000000-0005-0000-0000-0000370B0000}"/>
    <cellStyle name="Style 51 3 4 3 4 2" xfId="43049" xr:uid="{00000000-0005-0000-0000-0000370B0000}"/>
    <cellStyle name="Style 51 3 4 3 5" xfId="21007" xr:uid="{00000000-0005-0000-0000-0000370B0000}"/>
    <cellStyle name="Style 51 3 4 3 6" xfId="39396" xr:uid="{00000000-0005-0000-0000-0000370B0000}"/>
    <cellStyle name="Style 51 3 4 4" xfId="4542" xr:uid="{00000000-0005-0000-0000-0000370B0000}"/>
    <cellStyle name="Style 51 3 4 4 2" xfId="11133" xr:uid="{00000000-0005-0000-0000-0000370B0000}"/>
    <cellStyle name="Style 51 3 4 4 2 2" xfId="29751" xr:uid="{00000000-0005-0000-0000-0000370B0000}"/>
    <cellStyle name="Style 51 3 4 4 2 3" xfId="48114" xr:uid="{00000000-0005-0000-0000-0000370B0000}"/>
    <cellStyle name="Style 51 3 4 4 3" xfId="15271" xr:uid="{00000000-0005-0000-0000-0000370B0000}"/>
    <cellStyle name="Style 51 3 4 4 3 2" xfId="33665" xr:uid="{00000000-0005-0000-0000-0000370B0000}"/>
    <cellStyle name="Style 51 3 4 4 3 3" xfId="52028" xr:uid="{00000000-0005-0000-0000-0000370B0000}"/>
    <cellStyle name="Style 51 3 4 4 4" xfId="24396" xr:uid="{00000000-0005-0000-0000-0000370B0000}"/>
    <cellStyle name="Style 51 3 4 4 4 2" xfId="42765" xr:uid="{00000000-0005-0000-0000-0000370B0000}"/>
    <cellStyle name="Style 51 3 4 4 5" xfId="20720" xr:uid="{00000000-0005-0000-0000-0000370B0000}"/>
    <cellStyle name="Style 51 3 4 4 6" xfId="39112" xr:uid="{00000000-0005-0000-0000-0000370B0000}"/>
    <cellStyle name="Style 51 3 4 5" xfId="9034" xr:uid="{00000000-0005-0000-0000-0000370B0000}"/>
    <cellStyle name="Style 51 3 4 5 2" xfId="6915" xr:uid="{00000000-0005-0000-0000-0000370B0000}"/>
    <cellStyle name="Style 51 3 4 5 2 2" xfId="26650" xr:uid="{00000000-0005-0000-0000-0000370B0000}"/>
    <cellStyle name="Style 51 3 4 5 2 3" xfId="45019" xr:uid="{00000000-0005-0000-0000-0000370B0000}"/>
    <cellStyle name="Style 51 3 4 5 3" xfId="27760" xr:uid="{00000000-0005-0000-0000-0000370B0000}"/>
    <cellStyle name="Style 51 3 4 5 3 2" xfId="46123" xr:uid="{00000000-0005-0000-0000-0000370B0000}"/>
    <cellStyle name="Style 51 3 4 5 4" xfId="17929" xr:uid="{00000000-0005-0000-0000-0000370B0000}"/>
    <cellStyle name="Style 51 3 4 5 5" xfId="36337" xr:uid="{00000000-0005-0000-0000-0000370B0000}"/>
    <cellStyle name="Style 51 3 4 6" xfId="8118" xr:uid="{00000000-0005-0000-0000-0000370B0000}"/>
    <cellStyle name="Style 51 3 4 6 2" xfId="27323" xr:uid="{00000000-0005-0000-0000-0000370B0000}"/>
    <cellStyle name="Style 51 3 4 6 3" xfId="45688" xr:uid="{00000000-0005-0000-0000-0000370B0000}"/>
    <cellStyle name="Style 51 3 4 7" xfId="8879" xr:uid="{00000000-0005-0000-0000-0000370B0000}"/>
    <cellStyle name="Style 51 3 4 7 2" xfId="27664" xr:uid="{00000000-0005-0000-0000-0000370B0000}"/>
    <cellStyle name="Style 51 3 4 7 3" xfId="46027" xr:uid="{00000000-0005-0000-0000-0000370B0000}"/>
    <cellStyle name="Style 51 3 4 8" xfId="19078" xr:uid="{00000000-0005-0000-0000-0000370B0000}"/>
    <cellStyle name="Style 51 3 4 8 2" xfId="37486" xr:uid="{00000000-0005-0000-0000-0000370B0000}"/>
    <cellStyle name="Style 51 3 4 9" xfId="10900" xr:uid="{00000000-0005-0000-0000-0000370B0000}"/>
    <cellStyle name="Style 51 3 5" xfId="2334" xr:uid="{00000000-0005-0000-0000-0000380B0000}"/>
    <cellStyle name="Style 51 3 5 10" xfId="21304" xr:uid="{00000000-0005-0000-0000-0000380B0000}"/>
    <cellStyle name="Style 51 3 5 2" xfId="3782" xr:uid="{00000000-0005-0000-0000-0000380B0000}"/>
    <cellStyle name="Style 51 3 5 2 2" xfId="5955" xr:uid="{00000000-0005-0000-0000-0000380B0000}"/>
    <cellStyle name="Style 51 3 5 2 2 2" xfId="12319" xr:uid="{00000000-0005-0000-0000-0000380B0000}"/>
    <cellStyle name="Style 51 3 5 2 2 2 2" xfId="30766" xr:uid="{00000000-0005-0000-0000-0000380B0000}"/>
    <cellStyle name="Style 51 3 5 2 2 2 3" xfId="49129" xr:uid="{00000000-0005-0000-0000-0000380B0000}"/>
    <cellStyle name="Style 51 3 5 2 2 3" xfId="16645" xr:uid="{00000000-0005-0000-0000-0000380B0000}"/>
    <cellStyle name="Style 51 3 5 2 2 3 2" xfId="35017" xr:uid="{00000000-0005-0000-0000-0000380B0000}"/>
    <cellStyle name="Style 51 3 5 2 2 3 3" xfId="53380" xr:uid="{00000000-0005-0000-0000-0000380B0000}"/>
    <cellStyle name="Style 51 3 5 2 2 4" xfId="25764" xr:uid="{00000000-0005-0000-0000-0000380B0000}"/>
    <cellStyle name="Style 51 3 5 2 2 4 2" xfId="44133" xr:uid="{00000000-0005-0000-0000-0000380B0000}"/>
    <cellStyle name="Style 51 3 5 2 2 5" xfId="22085" xr:uid="{00000000-0005-0000-0000-0000380B0000}"/>
    <cellStyle name="Style 51 3 5 2 2 6" xfId="40464" xr:uid="{00000000-0005-0000-0000-0000380B0000}"/>
    <cellStyle name="Style 51 3 5 2 3" xfId="6781" xr:uid="{00000000-0005-0000-0000-0000380B0000}"/>
    <cellStyle name="Style 51 3 5 2 3 2" xfId="13072" xr:uid="{00000000-0005-0000-0000-0000380B0000}"/>
    <cellStyle name="Style 51 3 5 2 3 2 2" xfId="31498" xr:uid="{00000000-0005-0000-0000-0000380B0000}"/>
    <cellStyle name="Style 51 3 5 2 3 2 3" xfId="49861" xr:uid="{00000000-0005-0000-0000-0000380B0000}"/>
    <cellStyle name="Style 51 3 5 2 3 3" xfId="17383" xr:uid="{00000000-0005-0000-0000-0000380B0000}"/>
    <cellStyle name="Style 51 3 5 2 3 3 2" xfId="35731" xr:uid="{00000000-0005-0000-0000-0000380B0000}"/>
    <cellStyle name="Style 51 3 5 2 3 3 3" xfId="54094" xr:uid="{00000000-0005-0000-0000-0000380B0000}"/>
    <cellStyle name="Style 51 3 5 2 3 4" xfId="26516" xr:uid="{00000000-0005-0000-0000-0000380B0000}"/>
    <cellStyle name="Style 51 3 5 2 3 4 2" xfId="44885" xr:uid="{00000000-0005-0000-0000-0000380B0000}"/>
    <cellStyle name="Style 51 3 5 2 3 5" xfId="22809" xr:uid="{00000000-0005-0000-0000-0000380B0000}"/>
    <cellStyle name="Style 51 3 5 2 3 6" xfId="41178" xr:uid="{00000000-0005-0000-0000-0000380B0000}"/>
    <cellStyle name="Style 51 3 5 2 4" xfId="10495" xr:uid="{00000000-0005-0000-0000-0000380B0000}"/>
    <cellStyle name="Style 51 3 5 2 4 2" xfId="14552" xr:uid="{00000000-0005-0000-0000-0000380B0000}"/>
    <cellStyle name="Style 51 3 5 2 4 2 2" xfId="32968" xr:uid="{00000000-0005-0000-0000-0000380B0000}"/>
    <cellStyle name="Style 51 3 5 2 4 2 3" xfId="51331" xr:uid="{00000000-0005-0000-0000-0000380B0000}"/>
    <cellStyle name="Style 51 3 5 2 4 3" xfId="29206" xr:uid="{00000000-0005-0000-0000-0000380B0000}"/>
    <cellStyle name="Style 51 3 5 2 4 3 2" xfId="47569" xr:uid="{00000000-0005-0000-0000-0000380B0000}"/>
    <cellStyle name="Style 51 3 5 2 4 4" xfId="20009" xr:uid="{00000000-0005-0000-0000-0000380B0000}"/>
    <cellStyle name="Style 51 3 5 2 4 5" xfId="38415" xr:uid="{00000000-0005-0000-0000-0000380B0000}"/>
    <cellStyle name="Style 51 3 5 2 5" xfId="9766" xr:uid="{00000000-0005-0000-0000-0000380B0000}"/>
    <cellStyle name="Style 51 3 5 2 5 2" xfId="28481" xr:uid="{00000000-0005-0000-0000-0000380B0000}"/>
    <cellStyle name="Style 51 3 5 2 5 3" xfId="46844" xr:uid="{00000000-0005-0000-0000-0000380B0000}"/>
    <cellStyle name="Style 51 3 5 2 6" xfId="13823" xr:uid="{00000000-0005-0000-0000-0000380B0000}"/>
    <cellStyle name="Style 51 3 5 2 6 2" xfId="32243" xr:uid="{00000000-0005-0000-0000-0000380B0000}"/>
    <cellStyle name="Style 51 3 5 2 6 3" xfId="50606" xr:uid="{00000000-0005-0000-0000-0000380B0000}"/>
    <cellStyle name="Style 51 3 5 2 7" xfId="23690" xr:uid="{00000000-0005-0000-0000-0000380B0000}"/>
    <cellStyle name="Style 51 3 5 2 7 2" xfId="42059" xr:uid="{00000000-0005-0000-0000-0000380B0000}"/>
    <cellStyle name="Style 51 3 5 2 8" xfId="18948" xr:uid="{00000000-0005-0000-0000-0000380B0000}"/>
    <cellStyle name="Style 51 3 5 2 9" xfId="37357" xr:uid="{00000000-0005-0000-0000-0000380B0000}"/>
    <cellStyle name="Style 51 3 5 3" xfId="4982" xr:uid="{00000000-0005-0000-0000-0000380B0000}"/>
    <cellStyle name="Style 51 3 5 3 2" xfId="11512" xr:uid="{00000000-0005-0000-0000-0000380B0000}"/>
    <cellStyle name="Style 51 3 5 3 2 2" xfId="30085" xr:uid="{00000000-0005-0000-0000-0000380B0000}"/>
    <cellStyle name="Style 51 3 5 3 2 3" xfId="48448" xr:uid="{00000000-0005-0000-0000-0000380B0000}"/>
    <cellStyle name="Style 51 3 5 3 3" xfId="15698" xr:uid="{00000000-0005-0000-0000-0000380B0000}"/>
    <cellStyle name="Style 51 3 5 3 3 2" xfId="34087" xr:uid="{00000000-0005-0000-0000-0000380B0000}"/>
    <cellStyle name="Style 51 3 5 3 3 3" xfId="52450" xr:uid="{00000000-0005-0000-0000-0000380B0000}"/>
    <cellStyle name="Style 51 3 5 3 4" xfId="24822" xr:uid="{00000000-0005-0000-0000-0000380B0000}"/>
    <cellStyle name="Style 51 3 5 3 4 2" xfId="43191" xr:uid="{00000000-0005-0000-0000-0000380B0000}"/>
    <cellStyle name="Style 51 3 5 3 5" xfId="21147" xr:uid="{00000000-0005-0000-0000-0000380B0000}"/>
    <cellStyle name="Style 51 3 5 3 6" xfId="39534" xr:uid="{00000000-0005-0000-0000-0000380B0000}"/>
    <cellStyle name="Style 51 3 5 4" xfId="6122" xr:uid="{00000000-0005-0000-0000-0000380B0000}"/>
    <cellStyle name="Style 51 3 5 4 2" xfId="12476" xr:uid="{00000000-0005-0000-0000-0000380B0000}"/>
    <cellStyle name="Style 51 3 5 4 2 2" xfId="30916" xr:uid="{00000000-0005-0000-0000-0000380B0000}"/>
    <cellStyle name="Style 51 3 5 4 2 3" xfId="49279" xr:uid="{00000000-0005-0000-0000-0000380B0000}"/>
    <cellStyle name="Style 51 3 5 4 3" xfId="16795" xr:uid="{00000000-0005-0000-0000-0000380B0000}"/>
    <cellStyle name="Style 51 3 5 4 3 2" xfId="35164" xr:uid="{00000000-0005-0000-0000-0000380B0000}"/>
    <cellStyle name="Style 51 3 5 4 3 3" xfId="53527" xr:uid="{00000000-0005-0000-0000-0000380B0000}"/>
    <cellStyle name="Style 51 3 5 4 4" xfId="25918" xr:uid="{00000000-0005-0000-0000-0000380B0000}"/>
    <cellStyle name="Style 51 3 5 4 4 2" xfId="44287" xr:uid="{00000000-0005-0000-0000-0000380B0000}"/>
    <cellStyle name="Style 51 3 5 4 5" xfId="22234" xr:uid="{00000000-0005-0000-0000-0000380B0000}"/>
    <cellStyle name="Style 51 3 5 4 6" xfId="40611" xr:uid="{00000000-0005-0000-0000-0000380B0000}"/>
    <cellStyle name="Style 51 3 5 5" xfId="9641" xr:uid="{00000000-0005-0000-0000-0000380B0000}"/>
    <cellStyle name="Style 51 3 5 5 2" xfId="13698" xr:uid="{00000000-0005-0000-0000-0000380B0000}"/>
    <cellStyle name="Style 51 3 5 5 2 2" xfId="32119" xr:uid="{00000000-0005-0000-0000-0000380B0000}"/>
    <cellStyle name="Style 51 3 5 5 2 3" xfId="50482" xr:uid="{00000000-0005-0000-0000-0000380B0000}"/>
    <cellStyle name="Style 51 3 5 5 3" xfId="28357" xr:uid="{00000000-0005-0000-0000-0000380B0000}"/>
    <cellStyle name="Style 51 3 5 5 3 2" xfId="46720" xr:uid="{00000000-0005-0000-0000-0000380B0000}"/>
    <cellStyle name="Style 51 3 5 5 4" xfId="18758" xr:uid="{00000000-0005-0000-0000-0000380B0000}"/>
    <cellStyle name="Style 51 3 5 5 5" xfId="37167" xr:uid="{00000000-0005-0000-0000-0000380B0000}"/>
    <cellStyle name="Style 51 3 5 6" xfId="8375" xr:uid="{00000000-0005-0000-0000-0000380B0000}"/>
    <cellStyle name="Style 51 3 5 6 2" xfId="27442" xr:uid="{00000000-0005-0000-0000-0000380B0000}"/>
    <cellStyle name="Style 51 3 5 6 3" xfId="45806" xr:uid="{00000000-0005-0000-0000-0000380B0000}"/>
    <cellStyle name="Style 51 3 5 7" xfId="8208" xr:uid="{00000000-0005-0000-0000-0000380B0000}"/>
    <cellStyle name="Style 51 3 5 7 2" xfId="27371" xr:uid="{00000000-0005-0000-0000-0000380B0000}"/>
    <cellStyle name="Style 51 3 5 7 3" xfId="45736" xr:uid="{00000000-0005-0000-0000-0000380B0000}"/>
    <cellStyle name="Style 51 3 5 8" xfId="19553" xr:uid="{00000000-0005-0000-0000-0000380B0000}"/>
    <cellStyle name="Style 51 3 5 8 2" xfId="37959" xr:uid="{00000000-0005-0000-0000-0000380B0000}"/>
    <cellStyle name="Style 51 3 5 9" xfId="16825" xr:uid="{00000000-0005-0000-0000-0000380B0000}"/>
    <cellStyle name="Style 51 3 6" xfId="2781" xr:uid="{00000000-0005-0000-0000-0000390B0000}"/>
    <cellStyle name="Style 51 3 6 10" xfId="35922" xr:uid="{00000000-0005-0000-0000-0000390B0000}"/>
    <cellStyle name="Style 51 3 6 2" xfId="3818" xr:uid="{00000000-0005-0000-0000-0000390B0000}"/>
    <cellStyle name="Style 51 3 6 2 2" xfId="5991" xr:uid="{00000000-0005-0000-0000-0000390B0000}"/>
    <cellStyle name="Style 51 3 6 2 2 2" xfId="12355" xr:uid="{00000000-0005-0000-0000-0000390B0000}"/>
    <cellStyle name="Style 51 3 6 2 2 2 2" xfId="30802" xr:uid="{00000000-0005-0000-0000-0000390B0000}"/>
    <cellStyle name="Style 51 3 6 2 2 2 3" xfId="49165" xr:uid="{00000000-0005-0000-0000-0000390B0000}"/>
    <cellStyle name="Style 51 3 6 2 2 3" xfId="16681" xr:uid="{00000000-0005-0000-0000-0000390B0000}"/>
    <cellStyle name="Style 51 3 6 2 2 3 2" xfId="35053" xr:uid="{00000000-0005-0000-0000-0000390B0000}"/>
    <cellStyle name="Style 51 3 6 2 2 3 3" xfId="53416" xr:uid="{00000000-0005-0000-0000-0000390B0000}"/>
    <cellStyle name="Style 51 3 6 2 2 4" xfId="25800" xr:uid="{00000000-0005-0000-0000-0000390B0000}"/>
    <cellStyle name="Style 51 3 6 2 2 4 2" xfId="44169" xr:uid="{00000000-0005-0000-0000-0000390B0000}"/>
    <cellStyle name="Style 51 3 6 2 2 5" xfId="22121" xr:uid="{00000000-0005-0000-0000-0000390B0000}"/>
    <cellStyle name="Style 51 3 6 2 2 6" xfId="40500" xr:uid="{00000000-0005-0000-0000-0000390B0000}"/>
    <cellStyle name="Style 51 3 6 2 3" xfId="6817" xr:uid="{00000000-0005-0000-0000-0000390B0000}"/>
    <cellStyle name="Style 51 3 6 2 3 2" xfId="13108" xr:uid="{00000000-0005-0000-0000-0000390B0000}"/>
    <cellStyle name="Style 51 3 6 2 3 2 2" xfId="31534" xr:uid="{00000000-0005-0000-0000-0000390B0000}"/>
    <cellStyle name="Style 51 3 6 2 3 2 3" xfId="49897" xr:uid="{00000000-0005-0000-0000-0000390B0000}"/>
    <cellStyle name="Style 51 3 6 2 3 3" xfId="17419" xr:uid="{00000000-0005-0000-0000-0000390B0000}"/>
    <cellStyle name="Style 51 3 6 2 3 3 2" xfId="35767" xr:uid="{00000000-0005-0000-0000-0000390B0000}"/>
    <cellStyle name="Style 51 3 6 2 3 3 3" xfId="54130" xr:uid="{00000000-0005-0000-0000-0000390B0000}"/>
    <cellStyle name="Style 51 3 6 2 3 4" xfId="26552" xr:uid="{00000000-0005-0000-0000-0000390B0000}"/>
    <cellStyle name="Style 51 3 6 2 3 4 2" xfId="44921" xr:uid="{00000000-0005-0000-0000-0000390B0000}"/>
    <cellStyle name="Style 51 3 6 2 3 5" xfId="22845" xr:uid="{00000000-0005-0000-0000-0000390B0000}"/>
    <cellStyle name="Style 51 3 6 2 3 6" xfId="41214" xr:uid="{00000000-0005-0000-0000-0000390B0000}"/>
    <cellStyle name="Style 51 3 6 2 4" xfId="10531" xr:uid="{00000000-0005-0000-0000-0000390B0000}"/>
    <cellStyle name="Style 51 3 6 2 4 2" xfId="14588" xr:uid="{00000000-0005-0000-0000-0000390B0000}"/>
    <cellStyle name="Style 51 3 6 2 4 2 2" xfId="33004" xr:uid="{00000000-0005-0000-0000-0000390B0000}"/>
    <cellStyle name="Style 51 3 6 2 4 2 3" xfId="51367" xr:uid="{00000000-0005-0000-0000-0000390B0000}"/>
    <cellStyle name="Style 51 3 6 2 4 3" xfId="29242" xr:uid="{00000000-0005-0000-0000-0000390B0000}"/>
    <cellStyle name="Style 51 3 6 2 4 3 2" xfId="47605" xr:uid="{00000000-0005-0000-0000-0000390B0000}"/>
    <cellStyle name="Style 51 3 6 2 4 4" xfId="20045" xr:uid="{00000000-0005-0000-0000-0000390B0000}"/>
    <cellStyle name="Style 51 3 6 2 4 5" xfId="38451" xr:uid="{00000000-0005-0000-0000-0000390B0000}"/>
    <cellStyle name="Style 51 3 6 2 5" xfId="9864" xr:uid="{00000000-0005-0000-0000-0000390B0000}"/>
    <cellStyle name="Style 51 3 6 2 5 2" xfId="28578" xr:uid="{00000000-0005-0000-0000-0000390B0000}"/>
    <cellStyle name="Style 51 3 6 2 5 3" xfId="46941" xr:uid="{00000000-0005-0000-0000-0000390B0000}"/>
    <cellStyle name="Style 51 3 6 2 6" xfId="13922" xr:uid="{00000000-0005-0000-0000-0000390B0000}"/>
    <cellStyle name="Style 51 3 6 2 6 2" xfId="32340" xr:uid="{00000000-0005-0000-0000-0000390B0000}"/>
    <cellStyle name="Style 51 3 6 2 6 3" xfId="50703" xr:uid="{00000000-0005-0000-0000-0000390B0000}"/>
    <cellStyle name="Style 51 3 6 2 7" xfId="23726" xr:uid="{00000000-0005-0000-0000-0000390B0000}"/>
    <cellStyle name="Style 51 3 6 2 7 2" xfId="42095" xr:uid="{00000000-0005-0000-0000-0000390B0000}"/>
    <cellStyle name="Style 51 3 6 2 8" xfId="19118" xr:uid="{00000000-0005-0000-0000-0000390B0000}"/>
    <cellStyle name="Style 51 3 6 2 9" xfId="37526" xr:uid="{00000000-0005-0000-0000-0000390B0000}"/>
    <cellStyle name="Style 51 3 6 3" xfId="5142" xr:uid="{00000000-0005-0000-0000-0000390B0000}"/>
    <cellStyle name="Style 51 3 6 3 2" xfId="11647" xr:uid="{00000000-0005-0000-0000-0000390B0000}"/>
    <cellStyle name="Style 51 3 6 3 2 2" xfId="30195" xr:uid="{00000000-0005-0000-0000-0000390B0000}"/>
    <cellStyle name="Style 51 3 6 3 2 3" xfId="48558" xr:uid="{00000000-0005-0000-0000-0000390B0000}"/>
    <cellStyle name="Style 51 3 6 3 3" xfId="15846" xr:uid="{00000000-0005-0000-0000-0000390B0000}"/>
    <cellStyle name="Style 51 3 6 3 3 2" xfId="34230" xr:uid="{00000000-0005-0000-0000-0000390B0000}"/>
    <cellStyle name="Style 51 3 6 3 3 3" xfId="52593" xr:uid="{00000000-0005-0000-0000-0000390B0000}"/>
    <cellStyle name="Style 51 3 6 3 4" xfId="24969" xr:uid="{00000000-0005-0000-0000-0000390B0000}"/>
    <cellStyle name="Style 51 3 6 3 4 2" xfId="43338" xr:uid="{00000000-0005-0000-0000-0000390B0000}"/>
    <cellStyle name="Style 51 3 6 3 5" xfId="21292" xr:uid="{00000000-0005-0000-0000-0000390B0000}"/>
    <cellStyle name="Style 51 3 6 3 6" xfId="39677" xr:uid="{00000000-0005-0000-0000-0000390B0000}"/>
    <cellStyle name="Style 51 3 6 4" xfId="6192" xr:uid="{00000000-0005-0000-0000-0000390B0000}"/>
    <cellStyle name="Style 51 3 6 4 2" xfId="12527" xr:uid="{00000000-0005-0000-0000-0000390B0000}"/>
    <cellStyle name="Style 51 3 6 4 2 2" xfId="30959" xr:uid="{00000000-0005-0000-0000-0000390B0000}"/>
    <cellStyle name="Style 51 3 6 4 2 3" xfId="49322" xr:uid="{00000000-0005-0000-0000-0000390B0000}"/>
    <cellStyle name="Style 51 3 6 4 3" xfId="16842" xr:uid="{00000000-0005-0000-0000-0000390B0000}"/>
    <cellStyle name="Style 51 3 6 4 3 2" xfId="35202" xr:uid="{00000000-0005-0000-0000-0000390B0000}"/>
    <cellStyle name="Style 51 3 6 4 3 3" xfId="53565" xr:uid="{00000000-0005-0000-0000-0000390B0000}"/>
    <cellStyle name="Style 51 3 6 4 4" xfId="25969" xr:uid="{00000000-0005-0000-0000-0000390B0000}"/>
    <cellStyle name="Style 51 3 6 4 4 2" xfId="44338" xr:uid="{00000000-0005-0000-0000-0000390B0000}"/>
    <cellStyle name="Style 51 3 6 4 5" xfId="22276" xr:uid="{00000000-0005-0000-0000-0000390B0000}"/>
    <cellStyle name="Style 51 3 6 4 6" xfId="40649" xr:uid="{00000000-0005-0000-0000-0000390B0000}"/>
    <cellStyle name="Style 51 3 6 5" xfId="10024" xr:uid="{00000000-0005-0000-0000-0000390B0000}"/>
    <cellStyle name="Style 51 3 6 5 2" xfId="14081" xr:uid="{00000000-0005-0000-0000-0000390B0000}"/>
    <cellStyle name="Style 51 3 6 5 2 2" xfId="32497" xr:uid="{00000000-0005-0000-0000-0000390B0000}"/>
    <cellStyle name="Style 51 3 6 5 2 3" xfId="50860" xr:uid="{00000000-0005-0000-0000-0000390B0000}"/>
    <cellStyle name="Style 51 3 6 5 3" xfId="28735" xr:uid="{00000000-0005-0000-0000-0000390B0000}"/>
    <cellStyle name="Style 51 3 6 5 3 2" xfId="47098" xr:uid="{00000000-0005-0000-0000-0000390B0000}"/>
    <cellStyle name="Style 51 3 6 5 4" xfId="19403" xr:uid="{00000000-0005-0000-0000-0000390B0000}"/>
    <cellStyle name="Style 51 3 6 5 5" xfId="37809" xr:uid="{00000000-0005-0000-0000-0000390B0000}"/>
    <cellStyle name="Style 51 3 6 6" xfId="8651" xr:uid="{00000000-0005-0000-0000-0000390B0000}"/>
    <cellStyle name="Style 51 3 6 6 2" xfId="27559" xr:uid="{00000000-0005-0000-0000-0000390B0000}"/>
    <cellStyle name="Style 51 3 6 6 3" xfId="45922" xr:uid="{00000000-0005-0000-0000-0000390B0000}"/>
    <cellStyle name="Style 51 3 6 7" xfId="8707" xr:uid="{00000000-0005-0000-0000-0000390B0000}"/>
    <cellStyle name="Style 51 3 6 7 2" xfId="27596" xr:uid="{00000000-0005-0000-0000-0000390B0000}"/>
    <cellStyle name="Style 51 3 6 7 3" xfId="45959" xr:uid="{00000000-0005-0000-0000-0000390B0000}"/>
    <cellStyle name="Style 51 3 6 8" xfId="18769" xr:uid="{00000000-0005-0000-0000-0000390B0000}"/>
    <cellStyle name="Style 51 3 6 8 2" xfId="37178" xr:uid="{00000000-0005-0000-0000-0000390B0000}"/>
    <cellStyle name="Style 51 3 6 9" xfId="8130" xr:uid="{00000000-0005-0000-0000-0000390B0000}"/>
    <cellStyle name="Style 51 3 7" xfId="4199" xr:uid="{00000000-0005-0000-0000-0000340B0000}"/>
    <cellStyle name="Style 51 3 7 2" xfId="10848" xr:uid="{00000000-0005-0000-0000-0000340B0000}"/>
    <cellStyle name="Style 51 3 7 2 2" xfId="29519" xr:uid="{00000000-0005-0000-0000-0000340B0000}"/>
    <cellStyle name="Style 51 3 7 2 3" xfId="47882" xr:uid="{00000000-0005-0000-0000-0000340B0000}"/>
    <cellStyle name="Style 51 3 7 3" xfId="14945" xr:uid="{00000000-0005-0000-0000-0000340B0000}"/>
    <cellStyle name="Style 51 3 7 3 2" xfId="33349" xr:uid="{00000000-0005-0000-0000-0000340B0000}"/>
    <cellStyle name="Style 51 3 7 3 3" xfId="51712" xr:uid="{00000000-0005-0000-0000-0000340B0000}"/>
    <cellStyle name="Style 51 3 7 4" xfId="24078" xr:uid="{00000000-0005-0000-0000-0000340B0000}"/>
    <cellStyle name="Style 51 3 7 4 2" xfId="42447" xr:uid="{00000000-0005-0000-0000-0000340B0000}"/>
    <cellStyle name="Style 51 3 7 5" xfId="20398" xr:uid="{00000000-0005-0000-0000-0000340B0000}"/>
    <cellStyle name="Style 51 3 7 6" xfId="38796" xr:uid="{00000000-0005-0000-0000-0000340B0000}"/>
    <cellStyle name="Style 51 3 8" xfId="9143" xr:uid="{00000000-0005-0000-0000-0000340B0000}"/>
    <cellStyle name="Style 51 3 8 2" xfId="13203" xr:uid="{00000000-0005-0000-0000-0000340B0000}"/>
    <cellStyle name="Style 51 3 8 2 2" xfId="31628" xr:uid="{00000000-0005-0000-0000-0000340B0000}"/>
    <cellStyle name="Style 51 3 8 2 3" xfId="49991" xr:uid="{00000000-0005-0000-0000-0000340B0000}"/>
    <cellStyle name="Style 51 3 8 3" xfId="27869" xr:uid="{00000000-0005-0000-0000-0000340B0000}"/>
    <cellStyle name="Style 51 3 8 3 2" xfId="46232" xr:uid="{00000000-0005-0000-0000-0000340B0000}"/>
    <cellStyle name="Style 51 3 8 4" xfId="18068" xr:uid="{00000000-0005-0000-0000-0000340B0000}"/>
    <cellStyle name="Style 51 3 8 5" xfId="36475" xr:uid="{00000000-0005-0000-0000-0000340B0000}"/>
    <cellStyle name="Style 51 4" xfId="1202" xr:uid="{00000000-0005-0000-0000-00003A0B0000}"/>
    <cellStyle name="Style 51 4 2" xfId="1625" xr:uid="{00000000-0005-0000-0000-00003B0B0000}"/>
    <cellStyle name="Style 51 4 2 10" xfId="7715" xr:uid="{00000000-0005-0000-0000-00003B0B0000}"/>
    <cellStyle name="Style 51 4 2 2" xfId="1708" xr:uid="{00000000-0005-0000-0000-00003C0B0000}"/>
    <cellStyle name="Style 51 4 2 2 2" xfId="3605" xr:uid="{00000000-0005-0000-0000-00003C0B0000}"/>
    <cellStyle name="Style 51 4 2 2 2 2" xfId="5778" xr:uid="{00000000-0005-0000-0000-00003C0B0000}"/>
    <cellStyle name="Style 51 4 2 2 2 2 2" xfId="12142" xr:uid="{00000000-0005-0000-0000-00003C0B0000}"/>
    <cellStyle name="Style 51 4 2 2 2 2 2 2" xfId="30589" xr:uid="{00000000-0005-0000-0000-00003C0B0000}"/>
    <cellStyle name="Style 51 4 2 2 2 2 2 3" xfId="48952" xr:uid="{00000000-0005-0000-0000-00003C0B0000}"/>
    <cellStyle name="Style 51 4 2 2 2 2 3" xfId="16468" xr:uid="{00000000-0005-0000-0000-00003C0B0000}"/>
    <cellStyle name="Style 51 4 2 2 2 2 3 2" xfId="34840" xr:uid="{00000000-0005-0000-0000-00003C0B0000}"/>
    <cellStyle name="Style 51 4 2 2 2 2 3 3" xfId="53203" xr:uid="{00000000-0005-0000-0000-00003C0B0000}"/>
    <cellStyle name="Style 51 4 2 2 2 2 4" xfId="25587" xr:uid="{00000000-0005-0000-0000-00003C0B0000}"/>
    <cellStyle name="Style 51 4 2 2 2 2 4 2" xfId="43956" xr:uid="{00000000-0005-0000-0000-00003C0B0000}"/>
    <cellStyle name="Style 51 4 2 2 2 2 5" xfId="21908" xr:uid="{00000000-0005-0000-0000-00003C0B0000}"/>
    <cellStyle name="Style 51 4 2 2 2 2 6" xfId="40287" xr:uid="{00000000-0005-0000-0000-00003C0B0000}"/>
    <cellStyle name="Style 51 4 2 2 2 3" xfId="6604" xr:uid="{00000000-0005-0000-0000-00003C0B0000}"/>
    <cellStyle name="Style 51 4 2 2 2 3 2" xfId="12895" xr:uid="{00000000-0005-0000-0000-00003C0B0000}"/>
    <cellStyle name="Style 51 4 2 2 2 3 2 2" xfId="31321" xr:uid="{00000000-0005-0000-0000-00003C0B0000}"/>
    <cellStyle name="Style 51 4 2 2 2 3 2 3" xfId="49684" xr:uid="{00000000-0005-0000-0000-00003C0B0000}"/>
    <cellStyle name="Style 51 4 2 2 2 3 3" xfId="17206" xr:uid="{00000000-0005-0000-0000-00003C0B0000}"/>
    <cellStyle name="Style 51 4 2 2 2 3 3 2" xfId="35554" xr:uid="{00000000-0005-0000-0000-00003C0B0000}"/>
    <cellStyle name="Style 51 4 2 2 2 3 3 3" xfId="53917" xr:uid="{00000000-0005-0000-0000-00003C0B0000}"/>
    <cellStyle name="Style 51 4 2 2 2 3 4" xfId="26339" xr:uid="{00000000-0005-0000-0000-00003C0B0000}"/>
    <cellStyle name="Style 51 4 2 2 2 3 4 2" xfId="44708" xr:uid="{00000000-0005-0000-0000-00003C0B0000}"/>
    <cellStyle name="Style 51 4 2 2 2 3 5" xfId="22632" xr:uid="{00000000-0005-0000-0000-00003C0B0000}"/>
    <cellStyle name="Style 51 4 2 2 2 3 6" xfId="41001" xr:uid="{00000000-0005-0000-0000-00003C0B0000}"/>
    <cellStyle name="Style 51 4 2 2 2 4" xfId="10318" xr:uid="{00000000-0005-0000-0000-00003C0B0000}"/>
    <cellStyle name="Style 51 4 2 2 2 4 2" xfId="14375" xr:uid="{00000000-0005-0000-0000-00003C0B0000}"/>
    <cellStyle name="Style 51 4 2 2 2 4 2 2" xfId="32791" xr:uid="{00000000-0005-0000-0000-00003C0B0000}"/>
    <cellStyle name="Style 51 4 2 2 2 4 2 3" xfId="51154" xr:uid="{00000000-0005-0000-0000-00003C0B0000}"/>
    <cellStyle name="Style 51 4 2 2 2 4 3" xfId="29029" xr:uid="{00000000-0005-0000-0000-00003C0B0000}"/>
    <cellStyle name="Style 51 4 2 2 2 4 3 2" xfId="47392" xr:uid="{00000000-0005-0000-0000-00003C0B0000}"/>
    <cellStyle name="Style 51 4 2 2 2 4 4" xfId="19832" xr:uid="{00000000-0005-0000-0000-00003C0B0000}"/>
    <cellStyle name="Style 51 4 2 2 2 4 5" xfId="38238" xr:uid="{00000000-0005-0000-0000-00003C0B0000}"/>
    <cellStyle name="Style 51 4 2 2 2 5" xfId="9526" xr:uid="{00000000-0005-0000-0000-00003C0B0000}"/>
    <cellStyle name="Style 51 4 2 2 2 5 2" xfId="28243" xr:uid="{00000000-0005-0000-0000-00003C0B0000}"/>
    <cellStyle name="Style 51 4 2 2 2 5 3" xfId="46606" xr:uid="{00000000-0005-0000-0000-00003C0B0000}"/>
    <cellStyle name="Style 51 4 2 2 2 6" xfId="13584" xr:uid="{00000000-0005-0000-0000-00003C0B0000}"/>
    <cellStyle name="Style 51 4 2 2 2 6 2" xfId="32005" xr:uid="{00000000-0005-0000-0000-00003C0B0000}"/>
    <cellStyle name="Style 51 4 2 2 2 6 3" xfId="50368" xr:uid="{00000000-0005-0000-0000-00003C0B0000}"/>
    <cellStyle name="Style 51 4 2 2 2 7" xfId="23513" xr:uid="{00000000-0005-0000-0000-00003C0B0000}"/>
    <cellStyle name="Style 51 4 2 2 2 7 2" xfId="41882" xr:uid="{00000000-0005-0000-0000-00003C0B0000}"/>
    <cellStyle name="Style 51 4 2 2 2 8" xfId="18625" xr:uid="{00000000-0005-0000-0000-00003C0B0000}"/>
    <cellStyle name="Style 51 4 2 2 2 9" xfId="37035" xr:uid="{00000000-0005-0000-0000-00003C0B0000}"/>
    <cellStyle name="Style 51 4 2 2 3" xfId="4645" xr:uid="{00000000-0005-0000-0000-00003C0B0000}"/>
    <cellStyle name="Style 51 4 2 2 3 2" xfId="11229" xr:uid="{00000000-0005-0000-0000-00003C0B0000}"/>
    <cellStyle name="Style 51 4 2 2 3 2 2" xfId="29841" xr:uid="{00000000-0005-0000-0000-00003C0B0000}"/>
    <cellStyle name="Style 51 4 2 2 3 2 3" xfId="48204" xr:uid="{00000000-0005-0000-0000-00003C0B0000}"/>
    <cellStyle name="Style 51 4 2 2 3 3" xfId="15371" xr:uid="{00000000-0005-0000-0000-00003C0B0000}"/>
    <cellStyle name="Style 51 4 2 2 3 3 2" xfId="33764" xr:uid="{00000000-0005-0000-0000-00003C0B0000}"/>
    <cellStyle name="Style 51 4 2 2 3 3 3" xfId="52127" xr:uid="{00000000-0005-0000-0000-00003C0B0000}"/>
    <cellStyle name="Style 51 4 2 2 3 4" xfId="24495" xr:uid="{00000000-0005-0000-0000-00003C0B0000}"/>
    <cellStyle name="Style 51 4 2 2 3 4 2" xfId="42864" xr:uid="{00000000-0005-0000-0000-00003C0B0000}"/>
    <cellStyle name="Style 51 4 2 2 3 5" xfId="20822" xr:uid="{00000000-0005-0000-0000-00003C0B0000}"/>
    <cellStyle name="Style 51 4 2 2 3 6" xfId="39211" xr:uid="{00000000-0005-0000-0000-00003C0B0000}"/>
    <cellStyle name="Style 51 4 2 2 4" xfId="5366" xr:uid="{00000000-0005-0000-0000-00003C0B0000}"/>
    <cellStyle name="Style 51 4 2 2 4 2" xfId="11789" xr:uid="{00000000-0005-0000-0000-00003C0B0000}"/>
    <cellStyle name="Style 51 4 2 2 4 2 2" xfId="30265" xr:uid="{00000000-0005-0000-0000-00003C0B0000}"/>
    <cellStyle name="Style 51 4 2 2 4 2 3" xfId="48628" xr:uid="{00000000-0005-0000-0000-00003C0B0000}"/>
    <cellStyle name="Style 51 4 2 2 4 3" xfId="16058" xr:uid="{00000000-0005-0000-0000-00003C0B0000}"/>
    <cellStyle name="Style 51 4 2 2 4 3 2" xfId="34431" xr:uid="{00000000-0005-0000-0000-00003C0B0000}"/>
    <cellStyle name="Style 51 4 2 2 4 3 3" xfId="52794" xr:uid="{00000000-0005-0000-0000-00003C0B0000}"/>
    <cellStyle name="Style 51 4 2 2 4 4" xfId="25178" xr:uid="{00000000-0005-0000-0000-00003C0B0000}"/>
    <cellStyle name="Style 51 4 2 2 4 4 2" xfId="43547" xr:uid="{00000000-0005-0000-0000-00003C0B0000}"/>
    <cellStyle name="Style 51 4 2 2 4 5" xfId="21499" xr:uid="{00000000-0005-0000-0000-00003C0B0000}"/>
    <cellStyle name="Style 51 4 2 2 4 6" xfId="39878" xr:uid="{00000000-0005-0000-0000-00003C0B0000}"/>
    <cellStyle name="Style 51 4 2 2 5" xfId="9088" xr:uid="{00000000-0005-0000-0000-00003C0B0000}"/>
    <cellStyle name="Style 51 4 2 2 5 2" xfId="6159" xr:uid="{00000000-0005-0000-0000-00003C0B0000}"/>
    <cellStyle name="Style 51 4 2 2 5 2 2" xfId="25947" xr:uid="{00000000-0005-0000-0000-00003C0B0000}"/>
    <cellStyle name="Style 51 4 2 2 5 2 3" xfId="44316" xr:uid="{00000000-0005-0000-0000-00003C0B0000}"/>
    <cellStyle name="Style 51 4 2 2 5 3" xfId="27814" xr:uid="{00000000-0005-0000-0000-00003C0B0000}"/>
    <cellStyle name="Style 51 4 2 2 5 3 2" xfId="46177" xr:uid="{00000000-0005-0000-0000-00003C0B0000}"/>
    <cellStyle name="Style 51 4 2 2 5 4" xfId="17988" xr:uid="{00000000-0005-0000-0000-00003C0B0000}"/>
    <cellStyle name="Style 51 4 2 2 5 5" xfId="36396" xr:uid="{00000000-0005-0000-0000-00003C0B0000}"/>
    <cellStyle name="Style 51 4 2 2 6" xfId="7939" xr:uid="{00000000-0005-0000-0000-00003C0B0000}"/>
    <cellStyle name="Style 51 4 2 2 6 2" xfId="27169" xr:uid="{00000000-0005-0000-0000-00003C0B0000}"/>
    <cellStyle name="Style 51 4 2 2 6 3" xfId="45534" xr:uid="{00000000-0005-0000-0000-00003C0B0000}"/>
    <cellStyle name="Style 51 4 2 2 7" xfId="8626" xr:uid="{00000000-0005-0000-0000-00003C0B0000}"/>
    <cellStyle name="Style 51 4 2 2 7 2" xfId="27537" xr:uid="{00000000-0005-0000-0000-00003C0B0000}"/>
    <cellStyle name="Style 51 4 2 2 7 3" xfId="45901" xr:uid="{00000000-0005-0000-0000-00003C0B0000}"/>
    <cellStyle name="Style 51 4 2 2 8" xfId="8858" xr:uid="{00000000-0005-0000-0000-00003C0B0000}"/>
    <cellStyle name="Style 51 4 2 2 9" xfId="17597" xr:uid="{00000000-0005-0000-0000-00003C0B0000}"/>
    <cellStyle name="Style 51 4 2 3" xfId="1740" xr:uid="{00000000-0005-0000-0000-00003D0B0000}"/>
    <cellStyle name="Style 51 4 2 3 10" xfId="8315" xr:uid="{00000000-0005-0000-0000-00003D0B0000}"/>
    <cellStyle name="Style 51 4 2 3 2" xfId="3637" xr:uid="{00000000-0005-0000-0000-00003D0B0000}"/>
    <cellStyle name="Style 51 4 2 3 2 2" xfId="5810" xr:uid="{00000000-0005-0000-0000-00003D0B0000}"/>
    <cellStyle name="Style 51 4 2 3 2 2 2" xfId="12174" xr:uid="{00000000-0005-0000-0000-00003D0B0000}"/>
    <cellStyle name="Style 51 4 2 3 2 2 2 2" xfId="30621" xr:uid="{00000000-0005-0000-0000-00003D0B0000}"/>
    <cellStyle name="Style 51 4 2 3 2 2 2 3" xfId="48984" xr:uid="{00000000-0005-0000-0000-00003D0B0000}"/>
    <cellStyle name="Style 51 4 2 3 2 2 3" xfId="16500" xr:uid="{00000000-0005-0000-0000-00003D0B0000}"/>
    <cellStyle name="Style 51 4 2 3 2 2 3 2" xfId="34872" xr:uid="{00000000-0005-0000-0000-00003D0B0000}"/>
    <cellStyle name="Style 51 4 2 3 2 2 3 3" xfId="53235" xr:uid="{00000000-0005-0000-0000-00003D0B0000}"/>
    <cellStyle name="Style 51 4 2 3 2 2 4" xfId="25619" xr:uid="{00000000-0005-0000-0000-00003D0B0000}"/>
    <cellStyle name="Style 51 4 2 3 2 2 4 2" xfId="43988" xr:uid="{00000000-0005-0000-0000-00003D0B0000}"/>
    <cellStyle name="Style 51 4 2 3 2 2 5" xfId="21940" xr:uid="{00000000-0005-0000-0000-00003D0B0000}"/>
    <cellStyle name="Style 51 4 2 3 2 2 6" xfId="40319" xr:uid="{00000000-0005-0000-0000-00003D0B0000}"/>
    <cellStyle name="Style 51 4 2 3 2 3" xfId="6636" xr:uid="{00000000-0005-0000-0000-00003D0B0000}"/>
    <cellStyle name="Style 51 4 2 3 2 3 2" xfId="12927" xr:uid="{00000000-0005-0000-0000-00003D0B0000}"/>
    <cellStyle name="Style 51 4 2 3 2 3 2 2" xfId="31353" xr:uid="{00000000-0005-0000-0000-00003D0B0000}"/>
    <cellStyle name="Style 51 4 2 3 2 3 2 3" xfId="49716" xr:uid="{00000000-0005-0000-0000-00003D0B0000}"/>
    <cellStyle name="Style 51 4 2 3 2 3 3" xfId="17238" xr:uid="{00000000-0005-0000-0000-00003D0B0000}"/>
    <cellStyle name="Style 51 4 2 3 2 3 3 2" xfId="35586" xr:uid="{00000000-0005-0000-0000-00003D0B0000}"/>
    <cellStyle name="Style 51 4 2 3 2 3 3 3" xfId="53949" xr:uid="{00000000-0005-0000-0000-00003D0B0000}"/>
    <cellStyle name="Style 51 4 2 3 2 3 4" xfId="26371" xr:uid="{00000000-0005-0000-0000-00003D0B0000}"/>
    <cellStyle name="Style 51 4 2 3 2 3 4 2" xfId="44740" xr:uid="{00000000-0005-0000-0000-00003D0B0000}"/>
    <cellStyle name="Style 51 4 2 3 2 3 5" xfId="22664" xr:uid="{00000000-0005-0000-0000-00003D0B0000}"/>
    <cellStyle name="Style 51 4 2 3 2 3 6" xfId="41033" xr:uid="{00000000-0005-0000-0000-00003D0B0000}"/>
    <cellStyle name="Style 51 4 2 3 2 4" xfId="10350" xr:uid="{00000000-0005-0000-0000-00003D0B0000}"/>
    <cellStyle name="Style 51 4 2 3 2 4 2" xfId="14407" xr:uid="{00000000-0005-0000-0000-00003D0B0000}"/>
    <cellStyle name="Style 51 4 2 3 2 4 2 2" xfId="32823" xr:uid="{00000000-0005-0000-0000-00003D0B0000}"/>
    <cellStyle name="Style 51 4 2 3 2 4 2 3" xfId="51186" xr:uid="{00000000-0005-0000-0000-00003D0B0000}"/>
    <cellStyle name="Style 51 4 2 3 2 4 3" xfId="29061" xr:uid="{00000000-0005-0000-0000-00003D0B0000}"/>
    <cellStyle name="Style 51 4 2 3 2 4 3 2" xfId="47424" xr:uid="{00000000-0005-0000-0000-00003D0B0000}"/>
    <cellStyle name="Style 51 4 2 3 2 4 4" xfId="19864" xr:uid="{00000000-0005-0000-0000-00003D0B0000}"/>
    <cellStyle name="Style 51 4 2 3 2 4 5" xfId="38270" xr:uid="{00000000-0005-0000-0000-00003D0B0000}"/>
    <cellStyle name="Style 51 4 2 3 2 5" xfId="9558" xr:uid="{00000000-0005-0000-0000-00003D0B0000}"/>
    <cellStyle name="Style 51 4 2 3 2 5 2" xfId="28275" xr:uid="{00000000-0005-0000-0000-00003D0B0000}"/>
    <cellStyle name="Style 51 4 2 3 2 5 3" xfId="46638" xr:uid="{00000000-0005-0000-0000-00003D0B0000}"/>
    <cellStyle name="Style 51 4 2 3 2 6" xfId="13616" xr:uid="{00000000-0005-0000-0000-00003D0B0000}"/>
    <cellStyle name="Style 51 4 2 3 2 6 2" xfId="32037" xr:uid="{00000000-0005-0000-0000-00003D0B0000}"/>
    <cellStyle name="Style 51 4 2 3 2 6 3" xfId="50400" xr:uid="{00000000-0005-0000-0000-00003D0B0000}"/>
    <cellStyle name="Style 51 4 2 3 2 7" xfId="23545" xr:uid="{00000000-0005-0000-0000-00003D0B0000}"/>
    <cellStyle name="Style 51 4 2 3 2 7 2" xfId="41914" xr:uid="{00000000-0005-0000-0000-00003D0B0000}"/>
    <cellStyle name="Style 51 4 2 3 2 8" xfId="18657" xr:uid="{00000000-0005-0000-0000-00003D0B0000}"/>
    <cellStyle name="Style 51 4 2 3 2 9" xfId="37067" xr:uid="{00000000-0005-0000-0000-00003D0B0000}"/>
    <cellStyle name="Style 51 4 2 3 3" xfId="4677" xr:uid="{00000000-0005-0000-0000-00003D0B0000}"/>
    <cellStyle name="Style 51 4 2 3 3 2" xfId="11261" xr:uid="{00000000-0005-0000-0000-00003D0B0000}"/>
    <cellStyle name="Style 51 4 2 3 3 2 2" xfId="29873" xr:uid="{00000000-0005-0000-0000-00003D0B0000}"/>
    <cellStyle name="Style 51 4 2 3 3 2 3" xfId="48236" xr:uid="{00000000-0005-0000-0000-00003D0B0000}"/>
    <cellStyle name="Style 51 4 2 3 3 3" xfId="15403" xr:uid="{00000000-0005-0000-0000-00003D0B0000}"/>
    <cellStyle name="Style 51 4 2 3 3 3 2" xfId="33796" xr:uid="{00000000-0005-0000-0000-00003D0B0000}"/>
    <cellStyle name="Style 51 4 2 3 3 3 3" xfId="52159" xr:uid="{00000000-0005-0000-0000-00003D0B0000}"/>
    <cellStyle name="Style 51 4 2 3 3 4" xfId="24527" xr:uid="{00000000-0005-0000-0000-00003D0B0000}"/>
    <cellStyle name="Style 51 4 2 3 3 4 2" xfId="42896" xr:uid="{00000000-0005-0000-0000-00003D0B0000}"/>
    <cellStyle name="Style 51 4 2 3 3 5" xfId="20854" xr:uid="{00000000-0005-0000-0000-00003D0B0000}"/>
    <cellStyle name="Style 51 4 2 3 3 6" xfId="39243" xr:uid="{00000000-0005-0000-0000-00003D0B0000}"/>
    <cellStyle name="Style 51 4 2 3 4" xfId="3961" xr:uid="{00000000-0005-0000-0000-00003D0B0000}"/>
    <cellStyle name="Style 51 4 2 3 4 2" xfId="10666" xr:uid="{00000000-0005-0000-0000-00003D0B0000}"/>
    <cellStyle name="Style 51 4 2 3 4 2 2" xfId="29372" xr:uid="{00000000-0005-0000-0000-00003D0B0000}"/>
    <cellStyle name="Style 51 4 2 3 4 2 3" xfId="47735" xr:uid="{00000000-0005-0000-0000-00003D0B0000}"/>
    <cellStyle name="Style 51 4 2 3 4 3" xfId="14724" xr:uid="{00000000-0005-0000-0000-00003D0B0000}"/>
    <cellStyle name="Style 51 4 2 3 4 3 2" xfId="33136" xr:uid="{00000000-0005-0000-0000-00003D0B0000}"/>
    <cellStyle name="Style 51 4 2 3 4 3 3" xfId="51499" xr:uid="{00000000-0005-0000-0000-00003D0B0000}"/>
    <cellStyle name="Style 51 4 2 3 4 4" xfId="23860" xr:uid="{00000000-0005-0000-0000-00003D0B0000}"/>
    <cellStyle name="Style 51 4 2 3 4 4 2" xfId="42229" xr:uid="{00000000-0005-0000-0000-00003D0B0000}"/>
    <cellStyle name="Style 51 4 2 3 4 5" xfId="20178" xr:uid="{00000000-0005-0000-0000-00003D0B0000}"/>
    <cellStyle name="Style 51 4 2 3 4 6" xfId="38583" xr:uid="{00000000-0005-0000-0000-00003D0B0000}"/>
    <cellStyle name="Style 51 4 2 3 5" xfId="9922" xr:uid="{00000000-0005-0000-0000-00003D0B0000}"/>
    <cellStyle name="Style 51 4 2 3 5 2" xfId="13979" xr:uid="{00000000-0005-0000-0000-00003D0B0000}"/>
    <cellStyle name="Style 51 4 2 3 5 2 2" xfId="32396" xr:uid="{00000000-0005-0000-0000-00003D0B0000}"/>
    <cellStyle name="Style 51 4 2 3 5 2 3" xfId="50759" xr:uid="{00000000-0005-0000-0000-00003D0B0000}"/>
    <cellStyle name="Style 51 4 2 3 5 3" xfId="28634" xr:uid="{00000000-0005-0000-0000-00003D0B0000}"/>
    <cellStyle name="Style 51 4 2 3 5 3 2" xfId="46997" xr:uid="{00000000-0005-0000-0000-00003D0B0000}"/>
    <cellStyle name="Style 51 4 2 3 5 4" xfId="19225" xr:uid="{00000000-0005-0000-0000-00003D0B0000}"/>
    <cellStyle name="Style 51 4 2 3 5 5" xfId="37632" xr:uid="{00000000-0005-0000-0000-00003D0B0000}"/>
    <cellStyle name="Style 51 4 2 3 6" xfId="7971" xr:uid="{00000000-0005-0000-0000-00003D0B0000}"/>
    <cellStyle name="Style 51 4 2 3 6 2" xfId="27201" xr:uid="{00000000-0005-0000-0000-00003D0B0000}"/>
    <cellStyle name="Style 51 4 2 3 6 3" xfId="45566" xr:uid="{00000000-0005-0000-0000-00003D0B0000}"/>
    <cellStyle name="Style 51 4 2 3 7" xfId="7493" xr:uid="{00000000-0005-0000-0000-00003D0B0000}"/>
    <cellStyle name="Style 51 4 2 3 7 2" xfId="26858" xr:uid="{00000000-0005-0000-0000-00003D0B0000}"/>
    <cellStyle name="Style 51 4 2 3 7 3" xfId="45223" xr:uid="{00000000-0005-0000-0000-00003D0B0000}"/>
    <cellStyle name="Style 51 4 2 3 8" xfId="18104" xr:uid="{00000000-0005-0000-0000-00003D0B0000}"/>
    <cellStyle name="Style 51 4 2 3 8 2" xfId="36511" xr:uid="{00000000-0005-0000-0000-00003D0B0000}"/>
    <cellStyle name="Style 51 4 2 3 9" xfId="15638" xr:uid="{00000000-0005-0000-0000-00003D0B0000}"/>
    <cellStyle name="Style 51 4 2 4" xfId="1768" xr:uid="{00000000-0005-0000-0000-00003E0B0000}"/>
    <cellStyle name="Style 51 4 2 4 10" xfId="8561" xr:uid="{00000000-0005-0000-0000-00003E0B0000}"/>
    <cellStyle name="Style 51 4 2 4 2" xfId="3665" xr:uid="{00000000-0005-0000-0000-00003E0B0000}"/>
    <cellStyle name="Style 51 4 2 4 2 2" xfId="5838" xr:uid="{00000000-0005-0000-0000-00003E0B0000}"/>
    <cellStyle name="Style 51 4 2 4 2 2 2" xfId="12202" xr:uid="{00000000-0005-0000-0000-00003E0B0000}"/>
    <cellStyle name="Style 51 4 2 4 2 2 2 2" xfId="30649" xr:uid="{00000000-0005-0000-0000-00003E0B0000}"/>
    <cellStyle name="Style 51 4 2 4 2 2 2 3" xfId="49012" xr:uid="{00000000-0005-0000-0000-00003E0B0000}"/>
    <cellStyle name="Style 51 4 2 4 2 2 3" xfId="16528" xr:uid="{00000000-0005-0000-0000-00003E0B0000}"/>
    <cellStyle name="Style 51 4 2 4 2 2 3 2" xfId="34900" xr:uid="{00000000-0005-0000-0000-00003E0B0000}"/>
    <cellStyle name="Style 51 4 2 4 2 2 3 3" xfId="53263" xr:uid="{00000000-0005-0000-0000-00003E0B0000}"/>
    <cellStyle name="Style 51 4 2 4 2 2 4" xfId="25647" xr:uid="{00000000-0005-0000-0000-00003E0B0000}"/>
    <cellStyle name="Style 51 4 2 4 2 2 4 2" xfId="44016" xr:uid="{00000000-0005-0000-0000-00003E0B0000}"/>
    <cellStyle name="Style 51 4 2 4 2 2 5" xfId="21968" xr:uid="{00000000-0005-0000-0000-00003E0B0000}"/>
    <cellStyle name="Style 51 4 2 4 2 2 6" xfId="40347" xr:uid="{00000000-0005-0000-0000-00003E0B0000}"/>
    <cellStyle name="Style 51 4 2 4 2 3" xfId="6664" xr:uid="{00000000-0005-0000-0000-00003E0B0000}"/>
    <cellStyle name="Style 51 4 2 4 2 3 2" xfId="12955" xr:uid="{00000000-0005-0000-0000-00003E0B0000}"/>
    <cellStyle name="Style 51 4 2 4 2 3 2 2" xfId="31381" xr:uid="{00000000-0005-0000-0000-00003E0B0000}"/>
    <cellStyle name="Style 51 4 2 4 2 3 2 3" xfId="49744" xr:uid="{00000000-0005-0000-0000-00003E0B0000}"/>
    <cellStyle name="Style 51 4 2 4 2 3 3" xfId="17266" xr:uid="{00000000-0005-0000-0000-00003E0B0000}"/>
    <cellStyle name="Style 51 4 2 4 2 3 3 2" xfId="35614" xr:uid="{00000000-0005-0000-0000-00003E0B0000}"/>
    <cellStyle name="Style 51 4 2 4 2 3 3 3" xfId="53977" xr:uid="{00000000-0005-0000-0000-00003E0B0000}"/>
    <cellStyle name="Style 51 4 2 4 2 3 4" xfId="26399" xr:uid="{00000000-0005-0000-0000-00003E0B0000}"/>
    <cellStyle name="Style 51 4 2 4 2 3 4 2" xfId="44768" xr:uid="{00000000-0005-0000-0000-00003E0B0000}"/>
    <cellStyle name="Style 51 4 2 4 2 3 5" xfId="22692" xr:uid="{00000000-0005-0000-0000-00003E0B0000}"/>
    <cellStyle name="Style 51 4 2 4 2 3 6" xfId="41061" xr:uid="{00000000-0005-0000-0000-00003E0B0000}"/>
    <cellStyle name="Style 51 4 2 4 2 4" xfId="10378" xr:uid="{00000000-0005-0000-0000-00003E0B0000}"/>
    <cellStyle name="Style 51 4 2 4 2 4 2" xfId="14435" xr:uid="{00000000-0005-0000-0000-00003E0B0000}"/>
    <cellStyle name="Style 51 4 2 4 2 4 2 2" xfId="32851" xr:uid="{00000000-0005-0000-0000-00003E0B0000}"/>
    <cellStyle name="Style 51 4 2 4 2 4 2 3" xfId="51214" xr:uid="{00000000-0005-0000-0000-00003E0B0000}"/>
    <cellStyle name="Style 51 4 2 4 2 4 3" xfId="29089" xr:uid="{00000000-0005-0000-0000-00003E0B0000}"/>
    <cellStyle name="Style 51 4 2 4 2 4 3 2" xfId="47452" xr:uid="{00000000-0005-0000-0000-00003E0B0000}"/>
    <cellStyle name="Style 51 4 2 4 2 4 4" xfId="19892" xr:uid="{00000000-0005-0000-0000-00003E0B0000}"/>
    <cellStyle name="Style 51 4 2 4 2 4 5" xfId="38298" xr:uid="{00000000-0005-0000-0000-00003E0B0000}"/>
    <cellStyle name="Style 51 4 2 4 2 5" xfId="9586" xr:uid="{00000000-0005-0000-0000-00003E0B0000}"/>
    <cellStyle name="Style 51 4 2 4 2 5 2" xfId="28303" xr:uid="{00000000-0005-0000-0000-00003E0B0000}"/>
    <cellStyle name="Style 51 4 2 4 2 5 3" xfId="46666" xr:uid="{00000000-0005-0000-0000-00003E0B0000}"/>
    <cellStyle name="Style 51 4 2 4 2 6" xfId="13644" xr:uid="{00000000-0005-0000-0000-00003E0B0000}"/>
    <cellStyle name="Style 51 4 2 4 2 6 2" xfId="32065" xr:uid="{00000000-0005-0000-0000-00003E0B0000}"/>
    <cellStyle name="Style 51 4 2 4 2 6 3" xfId="50428" xr:uid="{00000000-0005-0000-0000-00003E0B0000}"/>
    <cellStyle name="Style 51 4 2 4 2 7" xfId="23573" xr:uid="{00000000-0005-0000-0000-00003E0B0000}"/>
    <cellStyle name="Style 51 4 2 4 2 7 2" xfId="41942" xr:uid="{00000000-0005-0000-0000-00003E0B0000}"/>
    <cellStyle name="Style 51 4 2 4 2 8" xfId="18685" xr:uid="{00000000-0005-0000-0000-00003E0B0000}"/>
    <cellStyle name="Style 51 4 2 4 2 9" xfId="37095" xr:uid="{00000000-0005-0000-0000-00003E0B0000}"/>
    <cellStyle name="Style 51 4 2 4 3" xfId="4705" xr:uid="{00000000-0005-0000-0000-00003E0B0000}"/>
    <cellStyle name="Style 51 4 2 4 3 2" xfId="11289" xr:uid="{00000000-0005-0000-0000-00003E0B0000}"/>
    <cellStyle name="Style 51 4 2 4 3 2 2" xfId="29901" xr:uid="{00000000-0005-0000-0000-00003E0B0000}"/>
    <cellStyle name="Style 51 4 2 4 3 2 3" xfId="48264" xr:uid="{00000000-0005-0000-0000-00003E0B0000}"/>
    <cellStyle name="Style 51 4 2 4 3 3" xfId="15431" xr:uid="{00000000-0005-0000-0000-00003E0B0000}"/>
    <cellStyle name="Style 51 4 2 4 3 3 2" xfId="33824" xr:uid="{00000000-0005-0000-0000-00003E0B0000}"/>
    <cellStyle name="Style 51 4 2 4 3 3 3" xfId="52187" xr:uid="{00000000-0005-0000-0000-00003E0B0000}"/>
    <cellStyle name="Style 51 4 2 4 3 4" xfId="24555" xr:uid="{00000000-0005-0000-0000-00003E0B0000}"/>
    <cellStyle name="Style 51 4 2 4 3 4 2" xfId="42924" xr:uid="{00000000-0005-0000-0000-00003E0B0000}"/>
    <cellStyle name="Style 51 4 2 4 3 5" xfId="20882" xr:uid="{00000000-0005-0000-0000-00003E0B0000}"/>
    <cellStyle name="Style 51 4 2 4 3 6" xfId="39271" xr:uid="{00000000-0005-0000-0000-00003E0B0000}"/>
    <cellStyle name="Style 51 4 2 4 4" xfId="3950" xr:uid="{00000000-0005-0000-0000-00003E0B0000}"/>
    <cellStyle name="Style 51 4 2 4 4 2" xfId="10655" xr:uid="{00000000-0005-0000-0000-00003E0B0000}"/>
    <cellStyle name="Style 51 4 2 4 4 2 2" xfId="29361" xr:uid="{00000000-0005-0000-0000-00003E0B0000}"/>
    <cellStyle name="Style 51 4 2 4 4 2 3" xfId="47724" xr:uid="{00000000-0005-0000-0000-00003E0B0000}"/>
    <cellStyle name="Style 51 4 2 4 4 3" xfId="14713" xr:uid="{00000000-0005-0000-0000-00003E0B0000}"/>
    <cellStyle name="Style 51 4 2 4 4 3 2" xfId="33125" xr:uid="{00000000-0005-0000-0000-00003E0B0000}"/>
    <cellStyle name="Style 51 4 2 4 4 3 3" xfId="51488" xr:uid="{00000000-0005-0000-0000-00003E0B0000}"/>
    <cellStyle name="Style 51 4 2 4 4 4" xfId="23849" xr:uid="{00000000-0005-0000-0000-00003E0B0000}"/>
    <cellStyle name="Style 51 4 2 4 4 4 2" xfId="42218" xr:uid="{00000000-0005-0000-0000-00003E0B0000}"/>
    <cellStyle name="Style 51 4 2 4 4 5" xfId="20167" xr:uid="{00000000-0005-0000-0000-00003E0B0000}"/>
    <cellStyle name="Style 51 4 2 4 4 6" xfId="38572" xr:uid="{00000000-0005-0000-0000-00003E0B0000}"/>
    <cellStyle name="Style 51 4 2 4 5" xfId="9696" xr:uid="{00000000-0005-0000-0000-00003E0B0000}"/>
    <cellStyle name="Style 51 4 2 4 5 2" xfId="13753" xr:uid="{00000000-0005-0000-0000-00003E0B0000}"/>
    <cellStyle name="Style 51 4 2 4 5 2 2" xfId="32174" xr:uid="{00000000-0005-0000-0000-00003E0B0000}"/>
    <cellStyle name="Style 51 4 2 4 5 2 3" xfId="50537" xr:uid="{00000000-0005-0000-0000-00003E0B0000}"/>
    <cellStyle name="Style 51 4 2 4 5 3" xfId="28412" xr:uid="{00000000-0005-0000-0000-00003E0B0000}"/>
    <cellStyle name="Style 51 4 2 4 5 3 2" xfId="46775" xr:uid="{00000000-0005-0000-0000-00003E0B0000}"/>
    <cellStyle name="Style 51 4 2 4 5 4" xfId="18843" xr:uid="{00000000-0005-0000-0000-00003E0B0000}"/>
    <cellStyle name="Style 51 4 2 4 5 5" xfId="37252" xr:uid="{00000000-0005-0000-0000-00003E0B0000}"/>
    <cellStyle name="Style 51 4 2 4 6" xfId="7999" xr:uid="{00000000-0005-0000-0000-00003E0B0000}"/>
    <cellStyle name="Style 51 4 2 4 6 2" xfId="27229" xr:uid="{00000000-0005-0000-0000-00003E0B0000}"/>
    <cellStyle name="Style 51 4 2 4 6 3" xfId="45594" xr:uid="{00000000-0005-0000-0000-00003E0B0000}"/>
    <cellStyle name="Style 51 4 2 4 7" xfId="7836" xr:uid="{00000000-0005-0000-0000-00003E0B0000}"/>
    <cellStyle name="Style 51 4 2 4 7 2" xfId="27094" xr:uid="{00000000-0005-0000-0000-00003E0B0000}"/>
    <cellStyle name="Style 51 4 2 4 7 3" xfId="45459" xr:uid="{00000000-0005-0000-0000-00003E0B0000}"/>
    <cellStyle name="Style 51 4 2 4 8" xfId="18161" xr:uid="{00000000-0005-0000-0000-00003E0B0000}"/>
    <cellStyle name="Style 51 4 2 4 8 2" xfId="36567" xr:uid="{00000000-0005-0000-0000-00003E0B0000}"/>
    <cellStyle name="Style 51 4 2 4 9" xfId="10804" xr:uid="{00000000-0005-0000-0000-00003E0B0000}"/>
    <cellStyle name="Style 51 4 2 5" xfId="3541" xr:uid="{00000000-0005-0000-0000-00003B0B0000}"/>
    <cellStyle name="Style 51 4 2 5 2" xfId="5715" xr:uid="{00000000-0005-0000-0000-00003B0B0000}"/>
    <cellStyle name="Style 51 4 2 5 2 2" xfId="12079" xr:uid="{00000000-0005-0000-0000-00003B0B0000}"/>
    <cellStyle name="Style 51 4 2 5 2 2 2" xfId="30526" xr:uid="{00000000-0005-0000-0000-00003B0B0000}"/>
    <cellStyle name="Style 51 4 2 5 2 2 3" xfId="48889" xr:uid="{00000000-0005-0000-0000-00003B0B0000}"/>
    <cellStyle name="Style 51 4 2 5 2 3" xfId="16405" xr:uid="{00000000-0005-0000-0000-00003B0B0000}"/>
    <cellStyle name="Style 51 4 2 5 2 3 2" xfId="34777" xr:uid="{00000000-0005-0000-0000-00003B0B0000}"/>
    <cellStyle name="Style 51 4 2 5 2 3 3" xfId="53140" xr:uid="{00000000-0005-0000-0000-00003B0B0000}"/>
    <cellStyle name="Style 51 4 2 5 2 4" xfId="25524" xr:uid="{00000000-0005-0000-0000-00003B0B0000}"/>
    <cellStyle name="Style 51 4 2 5 2 4 2" xfId="43893" xr:uid="{00000000-0005-0000-0000-00003B0B0000}"/>
    <cellStyle name="Style 51 4 2 5 2 5" xfId="21845" xr:uid="{00000000-0005-0000-0000-00003B0B0000}"/>
    <cellStyle name="Style 51 4 2 5 2 6" xfId="40224" xr:uid="{00000000-0005-0000-0000-00003B0B0000}"/>
    <cellStyle name="Style 51 4 2 5 3" xfId="6540" xr:uid="{00000000-0005-0000-0000-00003B0B0000}"/>
    <cellStyle name="Style 51 4 2 5 3 2" xfId="12831" xr:uid="{00000000-0005-0000-0000-00003B0B0000}"/>
    <cellStyle name="Style 51 4 2 5 3 2 2" xfId="31257" xr:uid="{00000000-0005-0000-0000-00003B0B0000}"/>
    <cellStyle name="Style 51 4 2 5 3 2 3" xfId="49620" xr:uid="{00000000-0005-0000-0000-00003B0B0000}"/>
    <cellStyle name="Style 51 4 2 5 3 3" xfId="17142" xr:uid="{00000000-0005-0000-0000-00003B0B0000}"/>
    <cellStyle name="Style 51 4 2 5 3 3 2" xfId="35490" xr:uid="{00000000-0005-0000-0000-00003B0B0000}"/>
    <cellStyle name="Style 51 4 2 5 3 3 3" xfId="53853" xr:uid="{00000000-0005-0000-0000-00003B0B0000}"/>
    <cellStyle name="Style 51 4 2 5 3 4" xfId="26275" xr:uid="{00000000-0005-0000-0000-00003B0B0000}"/>
    <cellStyle name="Style 51 4 2 5 3 4 2" xfId="44644" xr:uid="{00000000-0005-0000-0000-00003B0B0000}"/>
    <cellStyle name="Style 51 4 2 5 3 5" xfId="22568" xr:uid="{00000000-0005-0000-0000-00003B0B0000}"/>
    <cellStyle name="Style 51 4 2 5 3 6" xfId="40937" xr:uid="{00000000-0005-0000-0000-00003B0B0000}"/>
    <cellStyle name="Style 51 4 2 5 4" xfId="10254" xr:uid="{00000000-0005-0000-0000-00003B0B0000}"/>
    <cellStyle name="Style 51 4 2 5 4 2" xfId="14311" xr:uid="{00000000-0005-0000-0000-00003B0B0000}"/>
    <cellStyle name="Style 51 4 2 5 4 2 2" xfId="32727" xr:uid="{00000000-0005-0000-0000-00003B0B0000}"/>
    <cellStyle name="Style 51 4 2 5 4 2 3" xfId="51090" xr:uid="{00000000-0005-0000-0000-00003B0B0000}"/>
    <cellStyle name="Style 51 4 2 5 4 3" xfId="28965" xr:uid="{00000000-0005-0000-0000-00003B0B0000}"/>
    <cellStyle name="Style 51 4 2 5 4 3 2" xfId="47328" xr:uid="{00000000-0005-0000-0000-00003B0B0000}"/>
    <cellStyle name="Style 51 4 2 5 4 4" xfId="19768" xr:uid="{00000000-0005-0000-0000-00003B0B0000}"/>
    <cellStyle name="Style 51 4 2 5 4 5" xfId="38174" xr:uid="{00000000-0005-0000-0000-00003B0B0000}"/>
    <cellStyle name="Style 51 4 2 5 5" xfId="9463" xr:uid="{00000000-0005-0000-0000-00003B0B0000}"/>
    <cellStyle name="Style 51 4 2 5 5 2" xfId="28180" xr:uid="{00000000-0005-0000-0000-00003B0B0000}"/>
    <cellStyle name="Style 51 4 2 5 5 3" xfId="46543" xr:uid="{00000000-0005-0000-0000-00003B0B0000}"/>
    <cellStyle name="Style 51 4 2 5 6" xfId="13520" xr:uid="{00000000-0005-0000-0000-00003B0B0000}"/>
    <cellStyle name="Style 51 4 2 5 6 2" xfId="31941" xr:uid="{00000000-0005-0000-0000-00003B0B0000}"/>
    <cellStyle name="Style 51 4 2 5 6 3" xfId="50304" xr:uid="{00000000-0005-0000-0000-00003B0B0000}"/>
    <cellStyle name="Style 51 4 2 5 7" xfId="23449" xr:uid="{00000000-0005-0000-0000-00003B0B0000}"/>
    <cellStyle name="Style 51 4 2 5 7 2" xfId="41818" xr:uid="{00000000-0005-0000-0000-00003B0B0000}"/>
    <cellStyle name="Style 51 4 2 5 8" xfId="18559" xr:uid="{00000000-0005-0000-0000-00003B0B0000}"/>
    <cellStyle name="Style 51 4 2 5 9" xfId="36968" xr:uid="{00000000-0005-0000-0000-00003B0B0000}"/>
    <cellStyle name="Style 51 4 2 6" xfId="4570" xr:uid="{00000000-0005-0000-0000-00003B0B0000}"/>
    <cellStyle name="Style 51 4 2 6 2" xfId="11155" xr:uid="{00000000-0005-0000-0000-00003B0B0000}"/>
    <cellStyle name="Style 51 4 2 6 2 2" xfId="29769" xr:uid="{00000000-0005-0000-0000-00003B0B0000}"/>
    <cellStyle name="Style 51 4 2 6 2 3" xfId="48132" xr:uid="{00000000-0005-0000-0000-00003B0B0000}"/>
    <cellStyle name="Style 51 4 2 6 3" xfId="15296" xr:uid="{00000000-0005-0000-0000-00003B0B0000}"/>
    <cellStyle name="Style 51 4 2 6 3 2" xfId="33690" xr:uid="{00000000-0005-0000-0000-00003B0B0000}"/>
    <cellStyle name="Style 51 4 2 6 3 3" xfId="52053" xr:uid="{00000000-0005-0000-0000-00003B0B0000}"/>
    <cellStyle name="Style 51 4 2 6 4" xfId="24421" xr:uid="{00000000-0005-0000-0000-00003B0B0000}"/>
    <cellStyle name="Style 51 4 2 6 4 2" xfId="42790" xr:uid="{00000000-0005-0000-0000-00003B0B0000}"/>
    <cellStyle name="Style 51 4 2 6 5" xfId="20747" xr:uid="{00000000-0005-0000-0000-00003B0B0000}"/>
    <cellStyle name="Style 51 4 2 6 6" xfId="39137" xr:uid="{00000000-0005-0000-0000-00003B0B0000}"/>
    <cellStyle name="Style 51 4 2 7" xfId="9716" xr:uid="{00000000-0005-0000-0000-00003B0B0000}"/>
    <cellStyle name="Style 51 4 2 7 2" xfId="13773" xr:uid="{00000000-0005-0000-0000-00003B0B0000}"/>
    <cellStyle name="Style 51 4 2 7 2 2" xfId="32194" xr:uid="{00000000-0005-0000-0000-00003B0B0000}"/>
    <cellStyle name="Style 51 4 2 7 2 3" xfId="50557" xr:uid="{00000000-0005-0000-0000-00003B0B0000}"/>
    <cellStyle name="Style 51 4 2 7 3" xfId="28432" xr:uid="{00000000-0005-0000-0000-00003B0B0000}"/>
    <cellStyle name="Style 51 4 2 7 3 2" xfId="46795" xr:uid="{00000000-0005-0000-0000-00003B0B0000}"/>
    <cellStyle name="Style 51 4 2 7 4" xfId="18865" xr:uid="{00000000-0005-0000-0000-00003B0B0000}"/>
    <cellStyle name="Style 51 4 2 7 5" xfId="37274" xr:uid="{00000000-0005-0000-0000-00003B0B0000}"/>
    <cellStyle name="Style 51 4 2 8" xfId="7867" xr:uid="{00000000-0005-0000-0000-00003B0B0000}"/>
    <cellStyle name="Style 51 4 2 8 2" xfId="27110" xr:uid="{00000000-0005-0000-0000-00003B0B0000}"/>
    <cellStyle name="Style 51 4 2 8 3" xfId="45475" xr:uid="{00000000-0005-0000-0000-00003B0B0000}"/>
    <cellStyle name="Style 51 4 2 9" xfId="10895" xr:uid="{00000000-0005-0000-0000-00003B0B0000}"/>
    <cellStyle name="Style 51 4 3" xfId="1532" xr:uid="{00000000-0005-0000-0000-00003F0B0000}"/>
    <cellStyle name="Style 51 4 3 10" xfId="11760" xr:uid="{00000000-0005-0000-0000-00003F0B0000}"/>
    <cellStyle name="Style 51 4 3 11" xfId="18490" xr:uid="{00000000-0005-0000-0000-00003F0B0000}"/>
    <cellStyle name="Style 51 4 3 2" xfId="1698" xr:uid="{00000000-0005-0000-0000-0000400B0000}"/>
    <cellStyle name="Style 51 4 3 2 10" xfId="17905" xr:uid="{00000000-0005-0000-0000-0000400B0000}"/>
    <cellStyle name="Style 51 4 3 2 2" xfId="3596" xr:uid="{00000000-0005-0000-0000-0000400B0000}"/>
    <cellStyle name="Style 51 4 3 2 2 2" xfId="5769" xr:uid="{00000000-0005-0000-0000-0000400B0000}"/>
    <cellStyle name="Style 51 4 3 2 2 2 2" xfId="12133" xr:uid="{00000000-0005-0000-0000-0000400B0000}"/>
    <cellStyle name="Style 51 4 3 2 2 2 2 2" xfId="30580" xr:uid="{00000000-0005-0000-0000-0000400B0000}"/>
    <cellStyle name="Style 51 4 3 2 2 2 2 3" xfId="48943" xr:uid="{00000000-0005-0000-0000-0000400B0000}"/>
    <cellStyle name="Style 51 4 3 2 2 2 3" xfId="16459" xr:uid="{00000000-0005-0000-0000-0000400B0000}"/>
    <cellStyle name="Style 51 4 3 2 2 2 3 2" xfId="34831" xr:uid="{00000000-0005-0000-0000-0000400B0000}"/>
    <cellStyle name="Style 51 4 3 2 2 2 3 3" xfId="53194" xr:uid="{00000000-0005-0000-0000-0000400B0000}"/>
    <cellStyle name="Style 51 4 3 2 2 2 4" xfId="25578" xr:uid="{00000000-0005-0000-0000-0000400B0000}"/>
    <cellStyle name="Style 51 4 3 2 2 2 4 2" xfId="43947" xr:uid="{00000000-0005-0000-0000-0000400B0000}"/>
    <cellStyle name="Style 51 4 3 2 2 2 5" xfId="21899" xr:uid="{00000000-0005-0000-0000-0000400B0000}"/>
    <cellStyle name="Style 51 4 3 2 2 2 6" xfId="40278" xr:uid="{00000000-0005-0000-0000-0000400B0000}"/>
    <cellStyle name="Style 51 4 3 2 2 3" xfId="6595" xr:uid="{00000000-0005-0000-0000-0000400B0000}"/>
    <cellStyle name="Style 51 4 3 2 2 3 2" xfId="12886" xr:uid="{00000000-0005-0000-0000-0000400B0000}"/>
    <cellStyle name="Style 51 4 3 2 2 3 2 2" xfId="31312" xr:uid="{00000000-0005-0000-0000-0000400B0000}"/>
    <cellStyle name="Style 51 4 3 2 2 3 2 3" xfId="49675" xr:uid="{00000000-0005-0000-0000-0000400B0000}"/>
    <cellStyle name="Style 51 4 3 2 2 3 3" xfId="17197" xr:uid="{00000000-0005-0000-0000-0000400B0000}"/>
    <cellStyle name="Style 51 4 3 2 2 3 3 2" xfId="35545" xr:uid="{00000000-0005-0000-0000-0000400B0000}"/>
    <cellStyle name="Style 51 4 3 2 2 3 3 3" xfId="53908" xr:uid="{00000000-0005-0000-0000-0000400B0000}"/>
    <cellStyle name="Style 51 4 3 2 2 3 4" xfId="26330" xr:uid="{00000000-0005-0000-0000-0000400B0000}"/>
    <cellStyle name="Style 51 4 3 2 2 3 4 2" xfId="44699" xr:uid="{00000000-0005-0000-0000-0000400B0000}"/>
    <cellStyle name="Style 51 4 3 2 2 3 5" xfId="22623" xr:uid="{00000000-0005-0000-0000-0000400B0000}"/>
    <cellStyle name="Style 51 4 3 2 2 3 6" xfId="40992" xr:uid="{00000000-0005-0000-0000-0000400B0000}"/>
    <cellStyle name="Style 51 4 3 2 2 4" xfId="10309" xr:uid="{00000000-0005-0000-0000-0000400B0000}"/>
    <cellStyle name="Style 51 4 3 2 2 4 2" xfId="14366" xr:uid="{00000000-0005-0000-0000-0000400B0000}"/>
    <cellStyle name="Style 51 4 3 2 2 4 2 2" xfId="32782" xr:uid="{00000000-0005-0000-0000-0000400B0000}"/>
    <cellStyle name="Style 51 4 3 2 2 4 2 3" xfId="51145" xr:uid="{00000000-0005-0000-0000-0000400B0000}"/>
    <cellStyle name="Style 51 4 3 2 2 4 3" xfId="29020" xr:uid="{00000000-0005-0000-0000-0000400B0000}"/>
    <cellStyle name="Style 51 4 3 2 2 4 3 2" xfId="47383" xr:uid="{00000000-0005-0000-0000-0000400B0000}"/>
    <cellStyle name="Style 51 4 3 2 2 4 4" xfId="19823" xr:uid="{00000000-0005-0000-0000-0000400B0000}"/>
    <cellStyle name="Style 51 4 3 2 2 4 5" xfId="38229" xr:uid="{00000000-0005-0000-0000-0000400B0000}"/>
    <cellStyle name="Style 51 4 3 2 2 5" xfId="9517" xr:uid="{00000000-0005-0000-0000-0000400B0000}"/>
    <cellStyle name="Style 51 4 3 2 2 5 2" xfId="28234" xr:uid="{00000000-0005-0000-0000-0000400B0000}"/>
    <cellStyle name="Style 51 4 3 2 2 5 3" xfId="46597" xr:uid="{00000000-0005-0000-0000-0000400B0000}"/>
    <cellStyle name="Style 51 4 3 2 2 6" xfId="13575" xr:uid="{00000000-0005-0000-0000-0000400B0000}"/>
    <cellStyle name="Style 51 4 3 2 2 6 2" xfId="31996" xr:uid="{00000000-0005-0000-0000-0000400B0000}"/>
    <cellStyle name="Style 51 4 3 2 2 6 3" xfId="50359" xr:uid="{00000000-0005-0000-0000-0000400B0000}"/>
    <cellStyle name="Style 51 4 3 2 2 7" xfId="23504" xr:uid="{00000000-0005-0000-0000-0000400B0000}"/>
    <cellStyle name="Style 51 4 3 2 2 7 2" xfId="41873" xr:uid="{00000000-0005-0000-0000-0000400B0000}"/>
    <cellStyle name="Style 51 4 3 2 2 8" xfId="18615" xr:uid="{00000000-0005-0000-0000-0000400B0000}"/>
    <cellStyle name="Style 51 4 3 2 2 9" xfId="37025" xr:uid="{00000000-0005-0000-0000-0000400B0000}"/>
    <cellStyle name="Style 51 4 3 2 3" xfId="4636" xr:uid="{00000000-0005-0000-0000-0000400B0000}"/>
    <cellStyle name="Style 51 4 3 2 3 2" xfId="11220" xr:uid="{00000000-0005-0000-0000-0000400B0000}"/>
    <cellStyle name="Style 51 4 3 2 3 2 2" xfId="29832" xr:uid="{00000000-0005-0000-0000-0000400B0000}"/>
    <cellStyle name="Style 51 4 3 2 3 2 3" xfId="48195" xr:uid="{00000000-0005-0000-0000-0000400B0000}"/>
    <cellStyle name="Style 51 4 3 2 3 3" xfId="15362" xr:uid="{00000000-0005-0000-0000-0000400B0000}"/>
    <cellStyle name="Style 51 4 3 2 3 3 2" xfId="33755" xr:uid="{00000000-0005-0000-0000-0000400B0000}"/>
    <cellStyle name="Style 51 4 3 2 3 3 3" xfId="52118" xr:uid="{00000000-0005-0000-0000-0000400B0000}"/>
    <cellStyle name="Style 51 4 3 2 3 4" xfId="24486" xr:uid="{00000000-0005-0000-0000-0000400B0000}"/>
    <cellStyle name="Style 51 4 3 2 3 4 2" xfId="42855" xr:uid="{00000000-0005-0000-0000-0000400B0000}"/>
    <cellStyle name="Style 51 4 3 2 3 5" xfId="20813" xr:uid="{00000000-0005-0000-0000-0000400B0000}"/>
    <cellStyle name="Style 51 4 3 2 3 6" xfId="39202" xr:uid="{00000000-0005-0000-0000-0000400B0000}"/>
    <cellStyle name="Style 51 4 3 2 4" xfId="4604" xr:uid="{00000000-0005-0000-0000-0000400B0000}"/>
    <cellStyle name="Style 51 4 3 2 4 2" xfId="11188" xr:uid="{00000000-0005-0000-0000-0000400B0000}"/>
    <cellStyle name="Style 51 4 3 2 4 2 2" xfId="29800" xr:uid="{00000000-0005-0000-0000-0000400B0000}"/>
    <cellStyle name="Style 51 4 3 2 4 2 3" xfId="48163" xr:uid="{00000000-0005-0000-0000-0000400B0000}"/>
    <cellStyle name="Style 51 4 3 2 4 3" xfId="15330" xr:uid="{00000000-0005-0000-0000-0000400B0000}"/>
    <cellStyle name="Style 51 4 3 2 4 3 2" xfId="33723" xr:uid="{00000000-0005-0000-0000-0000400B0000}"/>
    <cellStyle name="Style 51 4 3 2 4 3 3" xfId="52086" xr:uid="{00000000-0005-0000-0000-0000400B0000}"/>
    <cellStyle name="Style 51 4 3 2 4 4" xfId="24454" xr:uid="{00000000-0005-0000-0000-0000400B0000}"/>
    <cellStyle name="Style 51 4 3 2 4 4 2" xfId="42823" xr:uid="{00000000-0005-0000-0000-0000400B0000}"/>
    <cellStyle name="Style 51 4 3 2 4 5" xfId="20781" xr:uid="{00000000-0005-0000-0000-0000400B0000}"/>
    <cellStyle name="Style 51 4 3 2 4 6" xfId="39170" xr:uid="{00000000-0005-0000-0000-0000400B0000}"/>
    <cellStyle name="Style 51 4 3 2 5" xfId="9980" xr:uid="{00000000-0005-0000-0000-0000400B0000}"/>
    <cellStyle name="Style 51 4 3 2 5 2" xfId="14037" xr:uid="{00000000-0005-0000-0000-0000400B0000}"/>
    <cellStyle name="Style 51 4 3 2 5 2 2" xfId="32454" xr:uid="{00000000-0005-0000-0000-0000400B0000}"/>
    <cellStyle name="Style 51 4 3 2 5 2 3" xfId="50817" xr:uid="{00000000-0005-0000-0000-0000400B0000}"/>
    <cellStyle name="Style 51 4 3 2 5 3" xfId="28692" xr:uid="{00000000-0005-0000-0000-0000400B0000}"/>
    <cellStyle name="Style 51 4 3 2 5 3 2" xfId="47055" xr:uid="{00000000-0005-0000-0000-0000400B0000}"/>
    <cellStyle name="Style 51 4 3 2 5 4" xfId="19346" xr:uid="{00000000-0005-0000-0000-0000400B0000}"/>
    <cellStyle name="Style 51 4 3 2 5 5" xfId="37753" xr:uid="{00000000-0005-0000-0000-0000400B0000}"/>
    <cellStyle name="Style 51 4 3 2 6" xfId="7930" xr:uid="{00000000-0005-0000-0000-0000400B0000}"/>
    <cellStyle name="Style 51 4 3 2 6 2" xfId="27161" xr:uid="{00000000-0005-0000-0000-0000400B0000}"/>
    <cellStyle name="Style 51 4 3 2 6 3" xfId="45526" xr:uid="{00000000-0005-0000-0000-0000400B0000}"/>
    <cellStyle name="Style 51 4 3 2 7" xfId="8627" xr:uid="{00000000-0005-0000-0000-0000400B0000}"/>
    <cellStyle name="Style 51 4 3 2 7 2" xfId="27538" xr:uid="{00000000-0005-0000-0000-0000400B0000}"/>
    <cellStyle name="Style 51 4 3 2 7 3" xfId="45902" xr:uid="{00000000-0005-0000-0000-0000400B0000}"/>
    <cellStyle name="Style 51 4 3 2 8" xfId="18898" xr:uid="{00000000-0005-0000-0000-0000400B0000}"/>
    <cellStyle name="Style 51 4 3 2 8 2" xfId="37307" xr:uid="{00000000-0005-0000-0000-0000400B0000}"/>
    <cellStyle name="Style 51 4 3 2 9" xfId="11745" xr:uid="{00000000-0005-0000-0000-0000400B0000}"/>
    <cellStyle name="Style 51 4 3 3" xfId="1414" xr:uid="{00000000-0005-0000-0000-0000410B0000}"/>
    <cellStyle name="Style 51 4 3 3 10" xfId="8931" xr:uid="{00000000-0005-0000-0000-0000410B0000}"/>
    <cellStyle name="Style 51 4 3 3 2" xfId="3447" xr:uid="{00000000-0005-0000-0000-0000410B0000}"/>
    <cellStyle name="Style 51 4 3 3 2 2" xfId="5622" xr:uid="{00000000-0005-0000-0000-0000410B0000}"/>
    <cellStyle name="Style 51 4 3 3 2 2 2" xfId="11986" xr:uid="{00000000-0005-0000-0000-0000410B0000}"/>
    <cellStyle name="Style 51 4 3 3 2 2 2 2" xfId="30433" xr:uid="{00000000-0005-0000-0000-0000410B0000}"/>
    <cellStyle name="Style 51 4 3 3 2 2 2 3" xfId="48796" xr:uid="{00000000-0005-0000-0000-0000410B0000}"/>
    <cellStyle name="Style 51 4 3 3 2 2 3" xfId="16312" xr:uid="{00000000-0005-0000-0000-0000410B0000}"/>
    <cellStyle name="Style 51 4 3 3 2 2 3 2" xfId="34684" xr:uid="{00000000-0005-0000-0000-0000410B0000}"/>
    <cellStyle name="Style 51 4 3 3 2 2 3 3" xfId="53047" xr:uid="{00000000-0005-0000-0000-0000410B0000}"/>
    <cellStyle name="Style 51 4 3 3 2 2 4" xfId="25431" xr:uid="{00000000-0005-0000-0000-0000410B0000}"/>
    <cellStyle name="Style 51 4 3 3 2 2 4 2" xfId="43800" xr:uid="{00000000-0005-0000-0000-0000410B0000}"/>
    <cellStyle name="Style 51 4 3 3 2 2 5" xfId="21752" xr:uid="{00000000-0005-0000-0000-0000410B0000}"/>
    <cellStyle name="Style 51 4 3 3 2 2 6" xfId="40131" xr:uid="{00000000-0005-0000-0000-0000410B0000}"/>
    <cellStyle name="Style 51 4 3 3 2 3" xfId="6446" xr:uid="{00000000-0005-0000-0000-0000410B0000}"/>
    <cellStyle name="Style 51 4 3 3 2 3 2" xfId="12737" xr:uid="{00000000-0005-0000-0000-0000410B0000}"/>
    <cellStyle name="Style 51 4 3 3 2 3 2 2" xfId="31163" xr:uid="{00000000-0005-0000-0000-0000410B0000}"/>
    <cellStyle name="Style 51 4 3 3 2 3 2 3" xfId="49526" xr:uid="{00000000-0005-0000-0000-0000410B0000}"/>
    <cellStyle name="Style 51 4 3 3 2 3 3" xfId="17048" xr:uid="{00000000-0005-0000-0000-0000410B0000}"/>
    <cellStyle name="Style 51 4 3 3 2 3 3 2" xfId="35396" xr:uid="{00000000-0005-0000-0000-0000410B0000}"/>
    <cellStyle name="Style 51 4 3 3 2 3 3 3" xfId="53759" xr:uid="{00000000-0005-0000-0000-0000410B0000}"/>
    <cellStyle name="Style 51 4 3 3 2 3 4" xfId="26181" xr:uid="{00000000-0005-0000-0000-0000410B0000}"/>
    <cellStyle name="Style 51 4 3 3 2 3 4 2" xfId="44550" xr:uid="{00000000-0005-0000-0000-0000410B0000}"/>
    <cellStyle name="Style 51 4 3 3 2 3 5" xfId="22474" xr:uid="{00000000-0005-0000-0000-0000410B0000}"/>
    <cellStyle name="Style 51 4 3 3 2 3 6" xfId="40843" xr:uid="{00000000-0005-0000-0000-0000410B0000}"/>
    <cellStyle name="Style 51 4 3 3 2 4" xfId="10160" xr:uid="{00000000-0005-0000-0000-0000410B0000}"/>
    <cellStyle name="Style 51 4 3 3 2 4 2" xfId="14217" xr:uid="{00000000-0005-0000-0000-0000410B0000}"/>
    <cellStyle name="Style 51 4 3 3 2 4 2 2" xfId="32633" xr:uid="{00000000-0005-0000-0000-0000410B0000}"/>
    <cellStyle name="Style 51 4 3 3 2 4 2 3" xfId="50996" xr:uid="{00000000-0005-0000-0000-0000410B0000}"/>
    <cellStyle name="Style 51 4 3 3 2 4 3" xfId="28871" xr:uid="{00000000-0005-0000-0000-0000410B0000}"/>
    <cellStyle name="Style 51 4 3 3 2 4 3 2" xfId="47234" xr:uid="{00000000-0005-0000-0000-0000410B0000}"/>
    <cellStyle name="Style 51 4 3 3 2 4 4" xfId="19674" xr:uid="{00000000-0005-0000-0000-0000410B0000}"/>
    <cellStyle name="Style 51 4 3 3 2 4 5" xfId="38080" xr:uid="{00000000-0005-0000-0000-0000410B0000}"/>
    <cellStyle name="Style 51 4 3 3 2 5" xfId="9347" xr:uid="{00000000-0005-0000-0000-0000410B0000}"/>
    <cellStyle name="Style 51 4 3 3 2 5 2" xfId="28066" xr:uid="{00000000-0005-0000-0000-0000410B0000}"/>
    <cellStyle name="Style 51 4 3 3 2 5 3" xfId="46429" xr:uid="{00000000-0005-0000-0000-0000410B0000}"/>
    <cellStyle name="Style 51 4 3 3 2 6" xfId="13403" xr:uid="{00000000-0005-0000-0000-0000410B0000}"/>
    <cellStyle name="Style 51 4 3 3 2 6 2" xfId="31824" xr:uid="{00000000-0005-0000-0000-0000410B0000}"/>
    <cellStyle name="Style 51 4 3 3 2 6 3" xfId="50187" xr:uid="{00000000-0005-0000-0000-0000410B0000}"/>
    <cellStyle name="Style 51 4 3 3 2 7" xfId="23355" xr:uid="{00000000-0005-0000-0000-0000410B0000}"/>
    <cellStyle name="Style 51 4 3 3 2 7 2" xfId="41724" xr:uid="{00000000-0005-0000-0000-0000410B0000}"/>
    <cellStyle name="Style 51 4 3 3 2 8" xfId="18426" xr:uid="{00000000-0005-0000-0000-0000410B0000}"/>
    <cellStyle name="Style 51 4 3 3 2 9" xfId="36832" xr:uid="{00000000-0005-0000-0000-0000410B0000}"/>
    <cellStyle name="Style 51 4 3 3 3" xfId="4440" xr:uid="{00000000-0005-0000-0000-0000410B0000}"/>
    <cellStyle name="Style 51 4 3 3 3 2" xfId="11039" xr:uid="{00000000-0005-0000-0000-0000410B0000}"/>
    <cellStyle name="Style 51 4 3 3 3 2 2" xfId="29659" xr:uid="{00000000-0005-0000-0000-0000410B0000}"/>
    <cellStyle name="Style 51 4 3 3 3 2 3" xfId="48022" xr:uid="{00000000-0005-0000-0000-0000410B0000}"/>
    <cellStyle name="Style 51 4 3 3 3 3" xfId="15174" xr:uid="{00000000-0005-0000-0000-0000410B0000}"/>
    <cellStyle name="Style 51 4 3 3 3 3 2" xfId="33571" xr:uid="{00000000-0005-0000-0000-0000410B0000}"/>
    <cellStyle name="Style 51 4 3 3 3 3 3" xfId="51934" xr:uid="{00000000-0005-0000-0000-0000410B0000}"/>
    <cellStyle name="Style 51 4 3 3 3 4" xfId="24302" xr:uid="{00000000-0005-0000-0000-0000410B0000}"/>
    <cellStyle name="Style 51 4 3 3 3 4 2" xfId="42671" xr:uid="{00000000-0005-0000-0000-0000410B0000}"/>
    <cellStyle name="Style 51 4 3 3 3 5" xfId="20625" xr:uid="{00000000-0005-0000-0000-0000410B0000}"/>
    <cellStyle name="Style 51 4 3 3 3 6" xfId="39018" xr:uid="{00000000-0005-0000-0000-0000410B0000}"/>
    <cellStyle name="Style 51 4 3 3 4" xfId="4036" xr:uid="{00000000-0005-0000-0000-0000410B0000}"/>
    <cellStyle name="Style 51 4 3 3 4 2" xfId="10737" xr:uid="{00000000-0005-0000-0000-0000410B0000}"/>
    <cellStyle name="Style 51 4 3 3 4 2 2" xfId="29440" xr:uid="{00000000-0005-0000-0000-0000410B0000}"/>
    <cellStyle name="Style 51 4 3 3 4 2 3" xfId="47803" xr:uid="{00000000-0005-0000-0000-0000410B0000}"/>
    <cellStyle name="Style 51 4 3 3 4 3" xfId="14797" xr:uid="{00000000-0005-0000-0000-0000410B0000}"/>
    <cellStyle name="Style 51 4 3 3 4 3 2" xfId="33209" xr:uid="{00000000-0005-0000-0000-0000410B0000}"/>
    <cellStyle name="Style 51 4 3 3 4 3 3" xfId="51572" xr:uid="{00000000-0005-0000-0000-0000410B0000}"/>
    <cellStyle name="Style 51 4 3 3 4 4" xfId="23933" xr:uid="{00000000-0005-0000-0000-0000410B0000}"/>
    <cellStyle name="Style 51 4 3 3 4 4 2" xfId="42302" xr:uid="{00000000-0005-0000-0000-0000410B0000}"/>
    <cellStyle name="Style 51 4 3 3 4 5" xfId="20253" xr:uid="{00000000-0005-0000-0000-0000410B0000}"/>
    <cellStyle name="Style 51 4 3 3 4 6" xfId="38656" xr:uid="{00000000-0005-0000-0000-0000410B0000}"/>
    <cellStyle name="Style 51 4 3 3 5" xfId="9283" xr:uid="{00000000-0005-0000-0000-0000410B0000}"/>
    <cellStyle name="Style 51 4 3 3 5 2" xfId="13339" xr:uid="{00000000-0005-0000-0000-0000410B0000}"/>
    <cellStyle name="Style 51 4 3 3 5 2 2" xfId="31760" xr:uid="{00000000-0005-0000-0000-0000410B0000}"/>
    <cellStyle name="Style 51 4 3 3 5 2 3" xfId="50123" xr:uid="{00000000-0005-0000-0000-0000410B0000}"/>
    <cellStyle name="Style 51 4 3 3 5 3" xfId="28002" xr:uid="{00000000-0005-0000-0000-0000410B0000}"/>
    <cellStyle name="Style 51 4 3 3 5 3 2" xfId="46365" xr:uid="{00000000-0005-0000-0000-0000410B0000}"/>
    <cellStyle name="Style 51 4 3 3 5 4" xfId="18354" xr:uid="{00000000-0005-0000-0000-0000410B0000}"/>
    <cellStyle name="Style 51 4 3 3 5 5" xfId="36760" xr:uid="{00000000-0005-0000-0000-0000410B0000}"/>
    <cellStyle name="Style 51 4 3 3 6" xfId="7706" xr:uid="{00000000-0005-0000-0000-0000410B0000}"/>
    <cellStyle name="Style 51 4 3 3 6 2" xfId="26988" xr:uid="{00000000-0005-0000-0000-0000410B0000}"/>
    <cellStyle name="Style 51 4 3 3 6 3" xfId="45353" xr:uid="{00000000-0005-0000-0000-0000410B0000}"/>
    <cellStyle name="Style 51 4 3 3 7" xfId="6298" xr:uid="{00000000-0005-0000-0000-0000410B0000}"/>
    <cellStyle name="Style 51 4 3 3 7 2" xfId="26041" xr:uid="{00000000-0005-0000-0000-0000410B0000}"/>
    <cellStyle name="Style 51 4 3 3 7 3" xfId="44410" xr:uid="{00000000-0005-0000-0000-0000410B0000}"/>
    <cellStyle name="Style 51 4 3 3 8" xfId="18339" xr:uid="{00000000-0005-0000-0000-0000410B0000}"/>
    <cellStyle name="Style 51 4 3 3 8 2" xfId="36745" xr:uid="{00000000-0005-0000-0000-0000410B0000}"/>
    <cellStyle name="Style 51 4 3 3 9" xfId="8186" xr:uid="{00000000-0005-0000-0000-0000410B0000}"/>
    <cellStyle name="Style 51 4 3 4" xfId="1462" xr:uid="{00000000-0005-0000-0000-0000420B0000}"/>
    <cellStyle name="Style 51 4 3 4 10" xfId="11758" xr:uid="{00000000-0005-0000-0000-0000420B0000}"/>
    <cellStyle name="Style 51 4 3 4 2" xfId="3479" xr:uid="{00000000-0005-0000-0000-0000420B0000}"/>
    <cellStyle name="Style 51 4 3 4 2 2" xfId="5654" xr:uid="{00000000-0005-0000-0000-0000420B0000}"/>
    <cellStyle name="Style 51 4 3 4 2 2 2" xfId="12018" xr:uid="{00000000-0005-0000-0000-0000420B0000}"/>
    <cellStyle name="Style 51 4 3 4 2 2 2 2" xfId="30465" xr:uid="{00000000-0005-0000-0000-0000420B0000}"/>
    <cellStyle name="Style 51 4 3 4 2 2 2 3" xfId="48828" xr:uid="{00000000-0005-0000-0000-0000420B0000}"/>
    <cellStyle name="Style 51 4 3 4 2 2 3" xfId="16344" xr:uid="{00000000-0005-0000-0000-0000420B0000}"/>
    <cellStyle name="Style 51 4 3 4 2 2 3 2" xfId="34716" xr:uid="{00000000-0005-0000-0000-0000420B0000}"/>
    <cellStyle name="Style 51 4 3 4 2 2 3 3" xfId="53079" xr:uid="{00000000-0005-0000-0000-0000420B0000}"/>
    <cellStyle name="Style 51 4 3 4 2 2 4" xfId="25463" xr:uid="{00000000-0005-0000-0000-0000420B0000}"/>
    <cellStyle name="Style 51 4 3 4 2 2 4 2" xfId="43832" xr:uid="{00000000-0005-0000-0000-0000420B0000}"/>
    <cellStyle name="Style 51 4 3 4 2 2 5" xfId="21784" xr:uid="{00000000-0005-0000-0000-0000420B0000}"/>
    <cellStyle name="Style 51 4 3 4 2 2 6" xfId="40163" xr:uid="{00000000-0005-0000-0000-0000420B0000}"/>
    <cellStyle name="Style 51 4 3 4 2 3" xfId="6478" xr:uid="{00000000-0005-0000-0000-0000420B0000}"/>
    <cellStyle name="Style 51 4 3 4 2 3 2" xfId="12769" xr:uid="{00000000-0005-0000-0000-0000420B0000}"/>
    <cellStyle name="Style 51 4 3 4 2 3 2 2" xfId="31195" xr:uid="{00000000-0005-0000-0000-0000420B0000}"/>
    <cellStyle name="Style 51 4 3 4 2 3 2 3" xfId="49558" xr:uid="{00000000-0005-0000-0000-0000420B0000}"/>
    <cellStyle name="Style 51 4 3 4 2 3 3" xfId="17080" xr:uid="{00000000-0005-0000-0000-0000420B0000}"/>
    <cellStyle name="Style 51 4 3 4 2 3 3 2" xfId="35428" xr:uid="{00000000-0005-0000-0000-0000420B0000}"/>
    <cellStyle name="Style 51 4 3 4 2 3 3 3" xfId="53791" xr:uid="{00000000-0005-0000-0000-0000420B0000}"/>
    <cellStyle name="Style 51 4 3 4 2 3 4" xfId="26213" xr:uid="{00000000-0005-0000-0000-0000420B0000}"/>
    <cellStyle name="Style 51 4 3 4 2 3 4 2" xfId="44582" xr:uid="{00000000-0005-0000-0000-0000420B0000}"/>
    <cellStyle name="Style 51 4 3 4 2 3 5" xfId="22506" xr:uid="{00000000-0005-0000-0000-0000420B0000}"/>
    <cellStyle name="Style 51 4 3 4 2 3 6" xfId="40875" xr:uid="{00000000-0005-0000-0000-0000420B0000}"/>
    <cellStyle name="Style 51 4 3 4 2 4" xfId="10192" xr:uid="{00000000-0005-0000-0000-0000420B0000}"/>
    <cellStyle name="Style 51 4 3 4 2 4 2" xfId="14249" xr:uid="{00000000-0005-0000-0000-0000420B0000}"/>
    <cellStyle name="Style 51 4 3 4 2 4 2 2" xfId="32665" xr:uid="{00000000-0005-0000-0000-0000420B0000}"/>
    <cellStyle name="Style 51 4 3 4 2 4 2 3" xfId="51028" xr:uid="{00000000-0005-0000-0000-0000420B0000}"/>
    <cellStyle name="Style 51 4 3 4 2 4 3" xfId="28903" xr:uid="{00000000-0005-0000-0000-0000420B0000}"/>
    <cellStyle name="Style 51 4 3 4 2 4 3 2" xfId="47266" xr:uid="{00000000-0005-0000-0000-0000420B0000}"/>
    <cellStyle name="Style 51 4 3 4 2 4 4" xfId="19706" xr:uid="{00000000-0005-0000-0000-0000420B0000}"/>
    <cellStyle name="Style 51 4 3 4 2 4 5" xfId="38112" xr:uid="{00000000-0005-0000-0000-0000420B0000}"/>
    <cellStyle name="Style 51 4 3 4 2 5" xfId="9384" xr:uid="{00000000-0005-0000-0000-0000420B0000}"/>
    <cellStyle name="Style 51 4 3 4 2 5 2" xfId="28103" xr:uid="{00000000-0005-0000-0000-0000420B0000}"/>
    <cellStyle name="Style 51 4 3 4 2 5 3" xfId="46466" xr:uid="{00000000-0005-0000-0000-0000420B0000}"/>
    <cellStyle name="Style 51 4 3 4 2 6" xfId="13440" xr:uid="{00000000-0005-0000-0000-0000420B0000}"/>
    <cellStyle name="Style 51 4 3 4 2 6 2" xfId="31861" xr:uid="{00000000-0005-0000-0000-0000420B0000}"/>
    <cellStyle name="Style 51 4 3 4 2 6 3" xfId="50224" xr:uid="{00000000-0005-0000-0000-0000420B0000}"/>
    <cellStyle name="Style 51 4 3 4 2 7" xfId="23387" xr:uid="{00000000-0005-0000-0000-0000420B0000}"/>
    <cellStyle name="Style 51 4 3 4 2 7 2" xfId="41756" xr:uid="{00000000-0005-0000-0000-0000420B0000}"/>
    <cellStyle name="Style 51 4 3 4 2 8" xfId="18467" xr:uid="{00000000-0005-0000-0000-0000420B0000}"/>
    <cellStyle name="Style 51 4 3 4 2 9" xfId="36873" xr:uid="{00000000-0005-0000-0000-0000420B0000}"/>
    <cellStyle name="Style 51 4 3 4 3" xfId="4478" xr:uid="{00000000-0005-0000-0000-0000420B0000}"/>
    <cellStyle name="Style 51 4 3 4 3 2" xfId="11073" xr:uid="{00000000-0005-0000-0000-0000420B0000}"/>
    <cellStyle name="Style 51 4 3 4 3 2 2" xfId="29693" xr:uid="{00000000-0005-0000-0000-0000420B0000}"/>
    <cellStyle name="Style 51 4 3 4 3 2 3" xfId="48056" xr:uid="{00000000-0005-0000-0000-0000420B0000}"/>
    <cellStyle name="Style 51 4 3 4 3 3" xfId="15212" xr:uid="{00000000-0005-0000-0000-0000420B0000}"/>
    <cellStyle name="Style 51 4 3 4 3 3 2" xfId="33607" xr:uid="{00000000-0005-0000-0000-0000420B0000}"/>
    <cellStyle name="Style 51 4 3 4 3 3 3" xfId="51970" xr:uid="{00000000-0005-0000-0000-0000420B0000}"/>
    <cellStyle name="Style 51 4 3 4 3 4" xfId="24338" xr:uid="{00000000-0005-0000-0000-0000420B0000}"/>
    <cellStyle name="Style 51 4 3 4 3 4 2" xfId="42707" xr:uid="{00000000-0005-0000-0000-0000420B0000}"/>
    <cellStyle name="Style 51 4 3 4 3 5" xfId="20662" xr:uid="{00000000-0005-0000-0000-0000420B0000}"/>
    <cellStyle name="Style 51 4 3 4 3 6" xfId="39054" xr:uid="{00000000-0005-0000-0000-0000420B0000}"/>
    <cellStyle name="Style 51 4 3 4 4" xfId="4019" xr:uid="{00000000-0005-0000-0000-0000420B0000}"/>
    <cellStyle name="Style 51 4 3 4 4 2" xfId="10723" xr:uid="{00000000-0005-0000-0000-0000420B0000}"/>
    <cellStyle name="Style 51 4 3 4 4 2 2" xfId="29427" xr:uid="{00000000-0005-0000-0000-0000420B0000}"/>
    <cellStyle name="Style 51 4 3 4 4 2 3" xfId="47790" xr:uid="{00000000-0005-0000-0000-0000420B0000}"/>
    <cellStyle name="Style 51 4 3 4 4 3" xfId="14780" xr:uid="{00000000-0005-0000-0000-0000420B0000}"/>
    <cellStyle name="Style 51 4 3 4 4 3 2" xfId="33192" xr:uid="{00000000-0005-0000-0000-0000420B0000}"/>
    <cellStyle name="Style 51 4 3 4 4 3 3" xfId="51555" xr:uid="{00000000-0005-0000-0000-0000420B0000}"/>
    <cellStyle name="Style 51 4 3 4 4 4" xfId="23916" xr:uid="{00000000-0005-0000-0000-0000420B0000}"/>
    <cellStyle name="Style 51 4 3 4 4 4 2" xfId="42285" xr:uid="{00000000-0005-0000-0000-0000420B0000}"/>
    <cellStyle name="Style 51 4 3 4 4 5" xfId="20236" xr:uid="{00000000-0005-0000-0000-0000420B0000}"/>
    <cellStyle name="Style 51 4 3 4 4 6" xfId="38639" xr:uid="{00000000-0005-0000-0000-0000420B0000}"/>
    <cellStyle name="Style 51 4 3 4 5" xfId="9725" xr:uid="{00000000-0005-0000-0000-0000420B0000}"/>
    <cellStyle name="Style 51 4 3 4 5 2" xfId="13782" xr:uid="{00000000-0005-0000-0000-0000420B0000}"/>
    <cellStyle name="Style 51 4 3 4 5 2 2" xfId="32203" xr:uid="{00000000-0005-0000-0000-0000420B0000}"/>
    <cellStyle name="Style 51 4 3 4 5 2 3" xfId="50566" xr:uid="{00000000-0005-0000-0000-0000420B0000}"/>
    <cellStyle name="Style 51 4 3 4 5 3" xfId="28441" xr:uid="{00000000-0005-0000-0000-0000420B0000}"/>
    <cellStyle name="Style 51 4 3 4 5 3 2" xfId="46804" xr:uid="{00000000-0005-0000-0000-0000420B0000}"/>
    <cellStyle name="Style 51 4 3 4 5 4" xfId="18876" xr:uid="{00000000-0005-0000-0000-0000420B0000}"/>
    <cellStyle name="Style 51 4 3 4 5 5" xfId="37285" xr:uid="{00000000-0005-0000-0000-0000420B0000}"/>
    <cellStyle name="Style 51 4 3 4 6" xfId="7749" xr:uid="{00000000-0005-0000-0000-0000420B0000}"/>
    <cellStyle name="Style 51 4 3 4 6 2" xfId="27025" xr:uid="{00000000-0005-0000-0000-0000420B0000}"/>
    <cellStyle name="Style 51 4 3 4 6 3" xfId="45390" xr:uid="{00000000-0005-0000-0000-0000420B0000}"/>
    <cellStyle name="Style 51 4 3 4 7" xfId="7407" xr:uid="{00000000-0005-0000-0000-0000420B0000}"/>
    <cellStyle name="Style 51 4 3 4 7 2" xfId="26800" xr:uid="{00000000-0005-0000-0000-0000420B0000}"/>
    <cellStyle name="Style 51 4 3 4 7 3" xfId="45168" xr:uid="{00000000-0005-0000-0000-0000420B0000}"/>
    <cellStyle name="Style 51 4 3 4 8" xfId="19562" xr:uid="{00000000-0005-0000-0000-0000420B0000}"/>
    <cellStyle name="Style 51 4 3 4 8 2" xfId="37968" xr:uid="{00000000-0005-0000-0000-0000420B0000}"/>
    <cellStyle name="Style 51 4 3 4 9" xfId="8668" xr:uid="{00000000-0005-0000-0000-0000420B0000}"/>
    <cellStyle name="Style 51 4 3 5" xfId="3535" xr:uid="{00000000-0005-0000-0000-00003F0B0000}"/>
    <cellStyle name="Style 51 4 3 5 2" xfId="5709" xr:uid="{00000000-0005-0000-0000-00003F0B0000}"/>
    <cellStyle name="Style 51 4 3 5 2 2" xfId="12073" xr:uid="{00000000-0005-0000-0000-00003F0B0000}"/>
    <cellStyle name="Style 51 4 3 5 2 2 2" xfId="30520" xr:uid="{00000000-0005-0000-0000-00003F0B0000}"/>
    <cellStyle name="Style 51 4 3 5 2 2 3" xfId="48883" xr:uid="{00000000-0005-0000-0000-00003F0B0000}"/>
    <cellStyle name="Style 51 4 3 5 2 3" xfId="16399" xr:uid="{00000000-0005-0000-0000-00003F0B0000}"/>
    <cellStyle name="Style 51 4 3 5 2 3 2" xfId="34771" xr:uid="{00000000-0005-0000-0000-00003F0B0000}"/>
    <cellStyle name="Style 51 4 3 5 2 3 3" xfId="53134" xr:uid="{00000000-0005-0000-0000-00003F0B0000}"/>
    <cellStyle name="Style 51 4 3 5 2 4" xfId="25518" xr:uid="{00000000-0005-0000-0000-00003F0B0000}"/>
    <cellStyle name="Style 51 4 3 5 2 4 2" xfId="43887" xr:uid="{00000000-0005-0000-0000-00003F0B0000}"/>
    <cellStyle name="Style 51 4 3 5 2 5" xfId="21839" xr:uid="{00000000-0005-0000-0000-00003F0B0000}"/>
    <cellStyle name="Style 51 4 3 5 2 6" xfId="40218" xr:uid="{00000000-0005-0000-0000-00003F0B0000}"/>
    <cellStyle name="Style 51 4 3 5 3" xfId="6534" xr:uid="{00000000-0005-0000-0000-00003F0B0000}"/>
    <cellStyle name="Style 51 4 3 5 3 2" xfId="12825" xr:uid="{00000000-0005-0000-0000-00003F0B0000}"/>
    <cellStyle name="Style 51 4 3 5 3 2 2" xfId="31251" xr:uid="{00000000-0005-0000-0000-00003F0B0000}"/>
    <cellStyle name="Style 51 4 3 5 3 2 3" xfId="49614" xr:uid="{00000000-0005-0000-0000-00003F0B0000}"/>
    <cellStyle name="Style 51 4 3 5 3 3" xfId="17136" xr:uid="{00000000-0005-0000-0000-00003F0B0000}"/>
    <cellStyle name="Style 51 4 3 5 3 3 2" xfId="35484" xr:uid="{00000000-0005-0000-0000-00003F0B0000}"/>
    <cellStyle name="Style 51 4 3 5 3 3 3" xfId="53847" xr:uid="{00000000-0005-0000-0000-00003F0B0000}"/>
    <cellStyle name="Style 51 4 3 5 3 4" xfId="26269" xr:uid="{00000000-0005-0000-0000-00003F0B0000}"/>
    <cellStyle name="Style 51 4 3 5 3 4 2" xfId="44638" xr:uid="{00000000-0005-0000-0000-00003F0B0000}"/>
    <cellStyle name="Style 51 4 3 5 3 5" xfId="22562" xr:uid="{00000000-0005-0000-0000-00003F0B0000}"/>
    <cellStyle name="Style 51 4 3 5 3 6" xfId="40931" xr:uid="{00000000-0005-0000-0000-00003F0B0000}"/>
    <cellStyle name="Style 51 4 3 5 4" xfId="10248" xr:uid="{00000000-0005-0000-0000-00003F0B0000}"/>
    <cellStyle name="Style 51 4 3 5 4 2" xfId="14305" xr:uid="{00000000-0005-0000-0000-00003F0B0000}"/>
    <cellStyle name="Style 51 4 3 5 4 2 2" xfId="32721" xr:uid="{00000000-0005-0000-0000-00003F0B0000}"/>
    <cellStyle name="Style 51 4 3 5 4 2 3" xfId="51084" xr:uid="{00000000-0005-0000-0000-00003F0B0000}"/>
    <cellStyle name="Style 51 4 3 5 4 3" xfId="28959" xr:uid="{00000000-0005-0000-0000-00003F0B0000}"/>
    <cellStyle name="Style 51 4 3 5 4 3 2" xfId="47322" xr:uid="{00000000-0005-0000-0000-00003F0B0000}"/>
    <cellStyle name="Style 51 4 3 5 4 4" xfId="19762" xr:uid="{00000000-0005-0000-0000-00003F0B0000}"/>
    <cellStyle name="Style 51 4 3 5 4 5" xfId="38168" xr:uid="{00000000-0005-0000-0000-00003F0B0000}"/>
    <cellStyle name="Style 51 4 3 5 5" xfId="9444" xr:uid="{00000000-0005-0000-0000-00003F0B0000}"/>
    <cellStyle name="Style 51 4 3 5 5 2" xfId="28161" xr:uid="{00000000-0005-0000-0000-00003F0B0000}"/>
    <cellStyle name="Style 51 4 3 5 5 3" xfId="46524" xr:uid="{00000000-0005-0000-0000-00003F0B0000}"/>
    <cellStyle name="Style 51 4 3 5 6" xfId="13501" xr:uid="{00000000-0005-0000-0000-00003F0B0000}"/>
    <cellStyle name="Style 51 4 3 5 6 2" xfId="31922" xr:uid="{00000000-0005-0000-0000-00003F0B0000}"/>
    <cellStyle name="Style 51 4 3 5 6 3" xfId="50285" xr:uid="{00000000-0005-0000-0000-00003F0B0000}"/>
    <cellStyle name="Style 51 4 3 5 7" xfId="23443" xr:uid="{00000000-0005-0000-0000-00003F0B0000}"/>
    <cellStyle name="Style 51 4 3 5 7 2" xfId="41812" xr:uid="{00000000-0005-0000-0000-00003F0B0000}"/>
    <cellStyle name="Style 51 4 3 5 8" xfId="18529" xr:uid="{00000000-0005-0000-0000-00003F0B0000}"/>
    <cellStyle name="Style 51 4 3 5 9" xfId="36938" xr:uid="{00000000-0005-0000-0000-00003F0B0000}"/>
    <cellStyle name="Style 51 4 3 6" xfId="4539" xr:uid="{00000000-0005-0000-0000-00003F0B0000}"/>
    <cellStyle name="Style 51 4 3 6 2" xfId="11130" xr:uid="{00000000-0005-0000-0000-00003F0B0000}"/>
    <cellStyle name="Style 51 4 3 6 2 2" xfId="29748" xr:uid="{00000000-0005-0000-0000-00003F0B0000}"/>
    <cellStyle name="Style 51 4 3 6 2 3" xfId="48111" xr:uid="{00000000-0005-0000-0000-00003F0B0000}"/>
    <cellStyle name="Style 51 4 3 6 3" xfId="15268" xr:uid="{00000000-0005-0000-0000-00003F0B0000}"/>
    <cellStyle name="Style 51 4 3 6 3 2" xfId="33662" xr:uid="{00000000-0005-0000-0000-00003F0B0000}"/>
    <cellStyle name="Style 51 4 3 6 3 3" xfId="52025" xr:uid="{00000000-0005-0000-0000-00003F0B0000}"/>
    <cellStyle name="Style 51 4 3 6 4" xfId="24393" xr:uid="{00000000-0005-0000-0000-00003F0B0000}"/>
    <cellStyle name="Style 51 4 3 6 4 2" xfId="42762" xr:uid="{00000000-0005-0000-0000-00003F0B0000}"/>
    <cellStyle name="Style 51 4 3 6 5" xfId="20717" xr:uid="{00000000-0005-0000-0000-00003F0B0000}"/>
    <cellStyle name="Style 51 4 3 6 6" xfId="39109" xr:uid="{00000000-0005-0000-0000-00003F0B0000}"/>
    <cellStyle name="Style 51 4 3 7" xfId="5037" xr:uid="{00000000-0005-0000-0000-00003F0B0000}"/>
    <cellStyle name="Style 51 4 3 7 2" xfId="11560" xr:uid="{00000000-0005-0000-0000-00003F0B0000}"/>
    <cellStyle name="Style 51 4 3 7 2 2" xfId="30132" xr:uid="{00000000-0005-0000-0000-00003F0B0000}"/>
    <cellStyle name="Style 51 4 3 7 2 3" xfId="48495" xr:uid="{00000000-0005-0000-0000-00003F0B0000}"/>
    <cellStyle name="Style 51 4 3 7 3" xfId="15750" xr:uid="{00000000-0005-0000-0000-00003F0B0000}"/>
    <cellStyle name="Style 51 4 3 7 3 2" xfId="34138" xr:uid="{00000000-0005-0000-0000-00003F0B0000}"/>
    <cellStyle name="Style 51 4 3 7 3 3" xfId="52501" xr:uid="{00000000-0005-0000-0000-00003F0B0000}"/>
    <cellStyle name="Style 51 4 3 7 4" xfId="24874" xr:uid="{00000000-0005-0000-0000-00003F0B0000}"/>
    <cellStyle name="Style 51 4 3 7 4 2" xfId="43243" xr:uid="{00000000-0005-0000-0000-00003F0B0000}"/>
    <cellStyle name="Style 51 4 3 7 5" xfId="21198" xr:uid="{00000000-0005-0000-0000-00003F0B0000}"/>
    <cellStyle name="Style 51 4 3 7 6" xfId="39585" xr:uid="{00000000-0005-0000-0000-00003F0B0000}"/>
    <cellStyle name="Style 51 4 3 8" xfId="7809" xr:uid="{00000000-0005-0000-0000-00003F0B0000}"/>
    <cellStyle name="Style 51 4 3 8 2" xfId="27079" xr:uid="{00000000-0005-0000-0000-00003F0B0000}"/>
    <cellStyle name="Style 51 4 3 8 3" xfId="45444" xr:uid="{00000000-0005-0000-0000-00003F0B0000}"/>
    <cellStyle name="Style 51 4 3 9" xfId="8253" xr:uid="{00000000-0005-0000-0000-00003F0B0000}"/>
    <cellStyle name="Style 51 4 3 9 2" xfId="27383" xr:uid="{00000000-0005-0000-0000-00003F0B0000}"/>
    <cellStyle name="Style 51 4 3 9 3" xfId="45748" xr:uid="{00000000-0005-0000-0000-00003F0B0000}"/>
    <cellStyle name="Style 51 4 4" xfId="1481" xr:uid="{00000000-0005-0000-0000-0000430B0000}"/>
    <cellStyle name="Style 51 4 4 2" xfId="3494" xr:uid="{00000000-0005-0000-0000-0000430B0000}"/>
    <cellStyle name="Style 51 4 4 2 2" xfId="5669" xr:uid="{00000000-0005-0000-0000-0000430B0000}"/>
    <cellStyle name="Style 51 4 4 2 2 2" xfId="12033" xr:uid="{00000000-0005-0000-0000-0000430B0000}"/>
    <cellStyle name="Style 51 4 4 2 2 2 2" xfId="30480" xr:uid="{00000000-0005-0000-0000-0000430B0000}"/>
    <cellStyle name="Style 51 4 4 2 2 2 3" xfId="48843" xr:uid="{00000000-0005-0000-0000-0000430B0000}"/>
    <cellStyle name="Style 51 4 4 2 2 3" xfId="16359" xr:uid="{00000000-0005-0000-0000-0000430B0000}"/>
    <cellStyle name="Style 51 4 4 2 2 3 2" xfId="34731" xr:uid="{00000000-0005-0000-0000-0000430B0000}"/>
    <cellStyle name="Style 51 4 4 2 2 3 3" xfId="53094" xr:uid="{00000000-0005-0000-0000-0000430B0000}"/>
    <cellStyle name="Style 51 4 4 2 2 4" xfId="25478" xr:uid="{00000000-0005-0000-0000-0000430B0000}"/>
    <cellStyle name="Style 51 4 4 2 2 4 2" xfId="43847" xr:uid="{00000000-0005-0000-0000-0000430B0000}"/>
    <cellStyle name="Style 51 4 4 2 2 5" xfId="21799" xr:uid="{00000000-0005-0000-0000-0000430B0000}"/>
    <cellStyle name="Style 51 4 4 2 2 6" xfId="40178" xr:uid="{00000000-0005-0000-0000-0000430B0000}"/>
    <cellStyle name="Style 51 4 4 2 3" xfId="6493" xr:uid="{00000000-0005-0000-0000-0000430B0000}"/>
    <cellStyle name="Style 51 4 4 2 3 2" xfId="12784" xr:uid="{00000000-0005-0000-0000-0000430B0000}"/>
    <cellStyle name="Style 51 4 4 2 3 2 2" xfId="31210" xr:uid="{00000000-0005-0000-0000-0000430B0000}"/>
    <cellStyle name="Style 51 4 4 2 3 2 3" xfId="49573" xr:uid="{00000000-0005-0000-0000-0000430B0000}"/>
    <cellStyle name="Style 51 4 4 2 3 3" xfId="17095" xr:uid="{00000000-0005-0000-0000-0000430B0000}"/>
    <cellStyle name="Style 51 4 4 2 3 3 2" xfId="35443" xr:uid="{00000000-0005-0000-0000-0000430B0000}"/>
    <cellStyle name="Style 51 4 4 2 3 3 3" xfId="53806" xr:uid="{00000000-0005-0000-0000-0000430B0000}"/>
    <cellStyle name="Style 51 4 4 2 3 4" xfId="26228" xr:uid="{00000000-0005-0000-0000-0000430B0000}"/>
    <cellStyle name="Style 51 4 4 2 3 4 2" xfId="44597" xr:uid="{00000000-0005-0000-0000-0000430B0000}"/>
    <cellStyle name="Style 51 4 4 2 3 5" xfId="22521" xr:uid="{00000000-0005-0000-0000-0000430B0000}"/>
    <cellStyle name="Style 51 4 4 2 3 6" xfId="40890" xr:uid="{00000000-0005-0000-0000-0000430B0000}"/>
    <cellStyle name="Style 51 4 4 2 4" xfId="10207" xr:uid="{00000000-0005-0000-0000-0000430B0000}"/>
    <cellStyle name="Style 51 4 4 2 4 2" xfId="14264" xr:uid="{00000000-0005-0000-0000-0000430B0000}"/>
    <cellStyle name="Style 51 4 4 2 4 2 2" xfId="32680" xr:uid="{00000000-0005-0000-0000-0000430B0000}"/>
    <cellStyle name="Style 51 4 4 2 4 2 3" xfId="51043" xr:uid="{00000000-0005-0000-0000-0000430B0000}"/>
    <cellStyle name="Style 51 4 4 2 4 3" xfId="28918" xr:uid="{00000000-0005-0000-0000-0000430B0000}"/>
    <cellStyle name="Style 51 4 4 2 4 3 2" xfId="47281" xr:uid="{00000000-0005-0000-0000-0000430B0000}"/>
    <cellStyle name="Style 51 4 4 2 4 4" xfId="19721" xr:uid="{00000000-0005-0000-0000-0000430B0000}"/>
    <cellStyle name="Style 51 4 4 2 4 5" xfId="38127" xr:uid="{00000000-0005-0000-0000-0000430B0000}"/>
    <cellStyle name="Style 51 4 4 2 5" xfId="9401" xr:uid="{00000000-0005-0000-0000-0000430B0000}"/>
    <cellStyle name="Style 51 4 4 2 5 2" xfId="28120" xr:uid="{00000000-0005-0000-0000-0000430B0000}"/>
    <cellStyle name="Style 51 4 4 2 5 3" xfId="46483" xr:uid="{00000000-0005-0000-0000-0000430B0000}"/>
    <cellStyle name="Style 51 4 4 2 6" xfId="13457" xr:uid="{00000000-0005-0000-0000-0000430B0000}"/>
    <cellStyle name="Style 51 4 4 2 6 2" xfId="31878" xr:uid="{00000000-0005-0000-0000-0000430B0000}"/>
    <cellStyle name="Style 51 4 4 2 6 3" xfId="50241" xr:uid="{00000000-0005-0000-0000-0000430B0000}"/>
    <cellStyle name="Style 51 4 4 2 7" xfId="23402" xr:uid="{00000000-0005-0000-0000-0000430B0000}"/>
    <cellStyle name="Style 51 4 4 2 7 2" xfId="41771" xr:uid="{00000000-0005-0000-0000-0000430B0000}"/>
    <cellStyle name="Style 51 4 4 2 8" xfId="18484" xr:uid="{00000000-0005-0000-0000-0000430B0000}"/>
    <cellStyle name="Style 51 4 4 2 9" xfId="36890" xr:uid="{00000000-0005-0000-0000-0000430B0000}"/>
    <cellStyle name="Style 51 4 4 3" xfId="4495" xr:uid="{00000000-0005-0000-0000-0000430B0000}"/>
    <cellStyle name="Style 51 4 4 3 2" xfId="11089" xr:uid="{00000000-0005-0000-0000-0000430B0000}"/>
    <cellStyle name="Style 51 4 4 3 2 2" xfId="29708" xr:uid="{00000000-0005-0000-0000-0000430B0000}"/>
    <cellStyle name="Style 51 4 4 3 2 3" xfId="48071" xr:uid="{00000000-0005-0000-0000-0000430B0000}"/>
    <cellStyle name="Style 51 4 4 3 3" xfId="15227" xr:uid="{00000000-0005-0000-0000-0000430B0000}"/>
    <cellStyle name="Style 51 4 4 3 3 2" xfId="33622" xr:uid="{00000000-0005-0000-0000-0000430B0000}"/>
    <cellStyle name="Style 51 4 4 3 3 3" xfId="51985" xr:uid="{00000000-0005-0000-0000-0000430B0000}"/>
    <cellStyle name="Style 51 4 4 3 4" xfId="24353" xr:uid="{00000000-0005-0000-0000-0000430B0000}"/>
    <cellStyle name="Style 51 4 4 3 4 2" xfId="42722" xr:uid="{00000000-0005-0000-0000-0000430B0000}"/>
    <cellStyle name="Style 51 4 4 3 5" xfId="20677" xr:uid="{00000000-0005-0000-0000-0000430B0000}"/>
    <cellStyle name="Style 51 4 4 3 6" xfId="39069" xr:uid="{00000000-0005-0000-0000-0000430B0000}"/>
    <cellStyle name="Style 51 4 4 4" xfId="4004" xr:uid="{00000000-0005-0000-0000-0000430B0000}"/>
    <cellStyle name="Style 51 4 4 4 2" xfId="10708" xr:uid="{00000000-0005-0000-0000-0000430B0000}"/>
    <cellStyle name="Style 51 4 4 4 2 2" xfId="29412" xr:uid="{00000000-0005-0000-0000-0000430B0000}"/>
    <cellStyle name="Style 51 4 4 4 2 3" xfId="47775" xr:uid="{00000000-0005-0000-0000-0000430B0000}"/>
    <cellStyle name="Style 51 4 4 4 3" xfId="14765" xr:uid="{00000000-0005-0000-0000-0000430B0000}"/>
    <cellStyle name="Style 51 4 4 4 3 2" xfId="33177" xr:uid="{00000000-0005-0000-0000-0000430B0000}"/>
    <cellStyle name="Style 51 4 4 4 3 3" xfId="51540" xr:uid="{00000000-0005-0000-0000-0000430B0000}"/>
    <cellStyle name="Style 51 4 4 4 4" xfId="23901" xr:uid="{00000000-0005-0000-0000-0000430B0000}"/>
    <cellStyle name="Style 51 4 4 4 4 2" xfId="42270" xr:uid="{00000000-0005-0000-0000-0000430B0000}"/>
    <cellStyle name="Style 51 4 4 4 5" xfId="20221" xr:uid="{00000000-0005-0000-0000-0000430B0000}"/>
    <cellStyle name="Style 51 4 4 4 6" xfId="38624" xr:uid="{00000000-0005-0000-0000-0000430B0000}"/>
    <cellStyle name="Style 51 4 4 5" xfId="9824" xr:uid="{00000000-0005-0000-0000-0000430B0000}"/>
    <cellStyle name="Style 51 4 4 5 2" xfId="13881" xr:uid="{00000000-0005-0000-0000-0000430B0000}"/>
    <cellStyle name="Style 51 4 4 5 2 2" xfId="32301" xr:uid="{00000000-0005-0000-0000-0000430B0000}"/>
    <cellStyle name="Style 51 4 4 5 2 3" xfId="50664" xr:uid="{00000000-0005-0000-0000-0000430B0000}"/>
    <cellStyle name="Style 51 4 4 5 3" xfId="28539" xr:uid="{00000000-0005-0000-0000-0000430B0000}"/>
    <cellStyle name="Style 51 4 4 5 3 2" xfId="46902" xr:uid="{00000000-0005-0000-0000-0000430B0000}"/>
    <cellStyle name="Style 51 4 4 5 4" xfId="19044" xr:uid="{00000000-0005-0000-0000-0000430B0000}"/>
    <cellStyle name="Style 51 4 4 5 5" xfId="37453" xr:uid="{00000000-0005-0000-0000-0000430B0000}"/>
    <cellStyle name="Style 51 4 4 6" xfId="7766" xr:uid="{00000000-0005-0000-0000-0000430B0000}"/>
    <cellStyle name="Style 51 4 4 6 2" xfId="27041" xr:uid="{00000000-0005-0000-0000-0000430B0000}"/>
    <cellStyle name="Style 51 4 4 6 3" xfId="45406" xr:uid="{00000000-0005-0000-0000-0000430B0000}"/>
    <cellStyle name="Style 51 4 4 7" xfId="7257" xr:uid="{00000000-0005-0000-0000-0000430B0000}"/>
    <cellStyle name="Style 51 4 4 8" xfId="6221" xr:uid="{00000000-0005-0000-0000-0000430B0000}"/>
    <cellStyle name="Style 51 4 5" xfId="1717" xr:uid="{00000000-0005-0000-0000-0000440B0000}"/>
    <cellStyle name="Style 51 4 5 2" xfId="3614" xr:uid="{00000000-0005-0000-0000-0000440B0000}"/>
    <cellStyle name="Style 51 4 5 2 2" xfId="5787" xr:uid="{00000000-0005-0000-0000-0000440B0000}"/>
    <cellStyle name="Style 51 4 5 2 2 2" xfId="12151" xr:uid="{00000000-0005-0000-0000-0000440B0000}"/>
    <cellStyle name="Style 51 4 5 2 2 2 2" xfId="30598" xr:uid="{00000000-0005-0000-0000-0000440B0000}"/>
    <cellStyle name="Style 51 4 5 2 2 2 3" xfId="48961" xr:uid="{00000000-0005-0000-0000-0000440B0000}"/>
    <cellStyle name="Style 51 4 5 2 2 3" xfId="16477" xr:uid="{00000000-0005-0000-0000-0000440B0000}"/>
    <cellStyle name="Style 51 4 5 2 2 3 2" xfId="34849" xr:uid="{00000000-0005-0000-0000-0000440B0000}"/>
    <cellStyle name="Style 51 4 5 2 2 3 3" xfId="53212" xr:uid="{00000000-0005-0000-0000-0000440B0000}"/>
    <cellStyle name="Style 51 4 5 2 2 4" xfId="25596" xr:uid="{00000000-0005-0000-0000-0000440B0000}"/>
    <cellStyle name="Style 51 4 5 2 2 4 2" xfId="43965" xr:uid="{00000000-0005-0000-0000-0000440B0000}"/>
    <cellStyle name="Style 51 4 5 2 2 5" xfId="21917" xr:uid="{00000000-0005-0000-0000-0000440B0000}"/>
    <cellStyle name="Style 51 4 5 2 2 6" xfId="40296" xr:uid="{00000000-0005-0000-0000-0000440B0000}"/>
    <cellStyle name="Style 51 4 5 2 3" xfId="6613" xr:uid="{00000000-0005-0000-0000-0000440B0000}"/>
    <cellStyle name="Style 51 4 5 2 3 2" xfId="12904" xr:uid="{00000000-0005-0000-0000-0000440B0000}"/>
    <cellStyle name="Style 51 4 5 2 3 2 2" xfId="31330" xr:uid="{00000000-0005-0000-0000-0000440B0000}"/>
    <cellStyle name="Style 51 4 5 2 3 2 3" xfId="49693" xr:uid="{00000000-0005-0000-0000-0000440B0000}"/>
    <cellStyle name="Style 51 4 5 2 3 3" xfId="17215" xr:uid="{00000000-0005-0000-0000-0000440B0000}"/>
    <cellStyle name="Style 51 4 5 2 3 3 2" xfId="35563" xr:uid="{00000000-0005-0000-0000-0000440B0000}"/>
    <cellStyle name="Style 51 4 5 2 3 3 3" xfId="53926" xr:uid="{00000000-0005-0000-0000-0000440B0000}"/>
    <cellStyle name="Style 51 4 5 2 3 4" xfId="26348" xr:uid="{00000000-0005-0000-0000-0000440B0000}"/>
    <cellStyle name="Style 51 4 5 2 3 4 2" xfId="44717" xr:uid="{00000000-0005-0000-0000-0000440B0000}"/>
    <cellStyle name="Style 51 4 5 2 3 5" xfId="22641" xr:uid="{00000000-0005-0000-0000-0000440B0000}"/>
    <cellStyle name="Style 51 4 5 2 3 6" xfId="41010" xr:uid="{00000000-0005-0000-0000-0000440B0000}"/>
    <cellStyle name="Style 51 4 5 2 4" xfId="10327" xr:uid="{00000000-0005-0000-0000-0000440B0000}"/>
    <cellStyle name="Style 51 4 5 2 4 2" xfId="14384" xr:uid="{00000000-0005-0000-0000-0000440B0000}"/>
    <cellStyle name="Style 51 4 5 2 4 2 2" xfId="32800" xr:uid="{00000000-0005-0000-0000-0000440B0000}"/>
    <cellStyle name="Style 51 4 5 2 4 2 3" xfId="51163" xr:uid="{00000000-0005-0000-0000-0000440B0000}"/>
    <cellStyle name="Style 51 4 5 2 4 3" xfId="29038" xr:uid="{00000000-0005-0000-0000-0000440B0000}"/>
    <cellStyle name="Style 51 4 5 2 4 3 2" xfId="47401" xr:uid="{00000000-0005-0000-0000-0000440B0000}"/>
    <cellStyle name="Style 51 4 5 2 4 4" xfId="19841" xr:uid="{00000000-0005-0000-0000-0000440B0000}"/>
    <cellStyle name="Style 51 4 5 2 4 5" xfId="38247" xr:uid="{00000000-0005-0000-0000-0000440B0000}"/>
    <cellStyle name="Style 51 4 5 2 5" xfId="9535" xr:uid="{00000000-0005-0000-0000-0000440B0000}"/>
    <cellStyle name="Style 51 4 5 2 5 2" xfId="28252" xr:uid="{00000000-0005-0000-0000-0000440B0000}"/>
    <cellStyle name="Style 51 4 5 2 5 3" xfId="46615" xr:uid="{00000000-0005-0000-0000-0000440B0000}"/>
    <cellStyle name="Style 51 4 5 2 6" xfId="13593" xr:uid="{00000000-0005-0000-0000-0000440B0000}"/>
    <cellStyle name="Style 51 4 5 2 6 2" xfId="32014" xr:uid="{00000000-0005-0000-0000-0000440B0000}"/>
    <cellStyle name="Style 51 4 5 2 6 3" xfId="50377" xr:uid="{00000000-0005-0000-0000-0000440B0000}"/>
    <cellStyle name="Style 51 4 5 2 7" xfId="23522" xr:uid="{00000000-0005-0000-0000-0000440B0000}"/>
    <cellStyle name="Style 51 4 5 2 7 2" xfId="41891" xr:uid="{00000000-0005-0000-0000-0000440B0000}"/>
    <cellStyle name="Style 51 4 5 2 8" xfId="18634" xr:uid="{00000000-0005-0000-0000-0000440B0000}"/>
    <cellStyle name="Style 51 4 5 2 9" xfId="37044" xr:uid="{00000000-0005-0000-0000-0000440B0000}"/>
    <cellStyle name="Style 51 4 5 3" xfId="4654" xr:uid="{00000000-0005-0000-0000-0000440B0000}"/>
    <cellStyle name="Style 51 4 5 3 2" xfId="11238" xr:uid="{00000000-0005-0000-0000-0000440B0000}"/>
    <cellStyle name="Style 51 4 5 3 2 2" xfId="29850" xr:uid="{00000000-0005-0000-0000-0000440B0000}"/>
    <cellStyle name="Style 51 4 5 3 2 3" xfId="48213" xr:uid="{00000000-0005-0000-0000-0000440B0000}"/>
    <cellStyle name="Style 51 4 5 3 3" xfId="15380" xr:uid="{00000000-0005-0000-0000-0000440B0000}"/>
    <cellStyle name="Style 51 4 5 3 3 2" xfId="33773" xr:uid="{00000000-0005-0000-0000-0000440B0000}"/>
    <cellStyle name="Style 51 4 5 3 3 3" xfId="52136" xr:uid="{00000000-0005-0000-0000-0000440B0000}"/>
    <cellStyle name="Style 51 4 5 3 4" xfId="24504" xr:uid="{00000000-0005-0000-0000-0000440B0000}"/>
    <cellStyle name="Style 51 4 5 3 4 2" xfId="42873" xr:uid="{00000000-0005-0000-0000-0000440B0000}"/>
    <cellStyle name="Style 51 4 5 3 5" xfId="20831" xr:uid="{00000000-0005-0000-0000-0000440B0000}"/>
    <cellStyle name="Style 51 4 5 3 6" xfId="39220" xr:uid="{00000000-0005-0000-0000-0000440B0000}"/>
    <cellStyle name="Style 51 4 5 4" xfId="4568" xr:uid="{00000000-0005-0000-0000-0000440B0000}"/>
    <cellStyle name="Style 51 4 5 4 2" xfId="11153" xr:uid="{00000000-0005-0000-0000-0000440B0000}"/>
    <cellStyle name="Style 51 4 5 4 2 2" xfId="29767" xr:uid="{00000000-0005-0000-0000-0000440B0000}"/>
    <cellStyle name="Style 51 4 5 4 2 3" xfId="48130" xr:uid="{00000000-0005-0000-0000-0000440B0000}"/>
    <cellStyle name="Style 51 4 5 4 3" xfId="15294" xr:uid="{00000000-0005-0000-0000-0000440B0000}"/>
    <cellStyle name="Style 51 4 5 4 3 2" xfId="33688" xr:uid="{00000000-0005-0000-0000-0000440B0000}"/>
    <cellStyle name="Style 51 4 5 4 3 3" xfId="52051" xr:uid="{00000000-0005-0000-0000-0000440B0000}"/>
    <cellStyle name="Style 51 4 5 4 4" xfId="24419" xr:uid="{00000000-0005-0000-0000-0000440B0000}"/>
    <cellStyle name="Style 51 4 5 4 4 2" xfId="42788" xr:uid="{00000000-0005-0000-0000-0000440B0000}"/>
    <cellStyle name="Style 51 4 5 4 5" xfId="20745" xr:uid="{00000000-0005-0000-0000-0000440B0000}"/>
    <cellStyle name="Style 51 4 5 4 6" xfId="39135" xr:uid="{00000000-0005-0000-0000-0000440B0000}"/>
    <cellStyle name="Style 51 4 5 5" xfId="9082" xr:uid="{00000000-0005-0000-0000-0000440B0000}"/>
    <cellStyle name="Style 51 4 5 5 2" xfId="6161" xr:uid="{00000000-0005-0000-0000-0000440B0000}"/>
    <cellStyle name="Style 51 4 5 5 2 2" xfId="25949" xr:uid="{00000000-0005-0000-0000-0000440B0000}"/>
    <cellStyle name="Style 51 4 5 5 2 3" xfId="44318" xr:uid="{00000000-0005-0000-0000-0000440B0000}"/>
    <cellStyle name="Style 51 4 5 5 3" xfId="27808" xr:uid="{00000000-0005-0000-0000-0000440B0000}"/>
    <cellStyle name="Style 51 4 5 5 3 2" xfId="46171" xr:uid="{00000000-0005-0000-0000-0000440B0000}"/>
    <cellStyle name="Style 51 4 5 5 4" xfId="17982" xr:uid="{00000000-0005-0000-0000-0000440B0000}"/>
    <cellStyle name="Style 51 4 5 5 5" xfId="36390" xr:uid="{00000000-0005-0000-0000-0000440B0000}"/>
    <cellStyle name="Style 51 4 5 6" xfId="7948" xr:uid="{00000000-0005-0000-0000-0000440B0000}"/>
    <cellStyle name="Style 51 4 5 6 2" xfId="27178" xr:uid="{00000000-0005-0000-0000-0000440B0000}"/>
    <cellStyle name="Style 51 4 5 6 3" xfId="45543" xr:uid="{00000000-0005-0000-0000-0000440B0000}"/>
    <cellStyle name="Style 51 4 5 7" xfId="7388" xr:uid="{00000000-0005-0000-0000-0000440B0000}"/>
    <cellStyle name="Style 51 4 5 7 2" xfId="26788" xr:uid="{00000000-0005-0000-0000-0000440B0000}"/>
    <cellStyle name="Style 51 4 5 7 3" xfId="45156" xr:uid="{00000000-0005-0000-0000-0000440B0000}"/>
    <cellStyle name="Style 51 4 5 8" xfId="11819" xr:uid="{00000000-0005-0000-0000-0000440B0000}"/>
    <cellStyle name="Style 51 4 5 9" xfId="8604" xr:uid="{00000000-0005-0000-0000-0000440B0000}"/>
    <cellStyle name="Style 51 4 6" xfId="3356" xr:uid="{00000000-0005-0000-0000-00003A0B0000}"/>
    <cellStyle name="Style 51 4 6 2" xfId="5531" xr:uid="{00000000-0005-0000-0000-00003A0B0000}"/>
    <cellStyle name="Style 51 4 6 2 2" xfId="11895" xr:uid="{00000000-0005-0000-0000-00003A0B0000}"/>
    <cellStyle name="Style 51 4 6 2 2 2" xfId="30342" xr:uid="{00000000-0005-0000-0000-00003A0B0000}"/>
    <cellStyle name="Style 51 4 6 2 2 3" xfId="48705" xr:uid="{00000000-0005-0000-0000-00003A0B0000}"/>
    <cellStyle name="Style 51 4 6 2 3" xfId="16221" xr:uid="{00000000-0005-0000-0000-00003A0B0000}"/>
    <cellStyle name="Style 51 4 6 2 3 2" xfId="34593" xr:uid="{00000000-0005-0000-0000-00003A0B0000}"/>
    <cellStyle name="Style 51 4 6 2 3 3" xfId="52956" xr:uid="{00000000-0005-0000-0000-00003A0B0000}"/>
    <cellStyle name="Style 51 4 6 2 4" xfId="25340" xr:uid="{00000000-0005-0000-0000-00003A0B0000}"/>
    <cellStyle name="Style 51 4 6 2 4 2" xfId="43709" xr:uid="{00000000-0005-0000-0000-00003A0B0000}"/>
    <cellStyle name="Style 51 4 6 2 5" xfId="21661" xr:uid="{00000000-0005-0000-0000-00003A0B0000}"/>
    <cellStyle name="Style 51 4 6 2 6" xfId="40040" xr:uid="{00000000-0005-0000-0000-00003A0B0000}"/>
    <cellStyle name="Style 51 4 6 3" xfId="6355" xr:uid="{00000000-0005-0000-0000-00003A0B0000}"/>
    <cellStyle name="Style 51 4 6 3 2" xfId="12646" xr:uid="{00000000-0005-0000-0000-00003A0B0000}"/>
    <cellStyle name="Style 51 4 6 3 2 2" xfId="31072" xr:uid="{00000000-0005-0000-0000-00003A0B0000}"/>
    <cellStyle name="Style 51 4 6 3 2 3" xfId="49435" xr:uid="{00000000-0005-0000-0000-00003A0B0000}"/>
    <cellStyle name="Style 51 4 6 3 3" xfId="16957" xr:uid="{00000000-0005-0000-0000-00003A0B0000}"/>
    <cellStyle name="Style 51 4 6 3 3 2" xfId="35305" xr:uid="{00000000-0005-0000-0000-00003A0B0000}"/>
    <cellStyle name="Style 51 4 6 3 3 3" xfId="53668" xr:uid="{00000000-0005-0000-0000-00003A0B0000}"/>
    <cellStyle name="Style 51 4 6 3 4" xfId="26090" xr:uid="{00000000-0005-0000-0000-00003A0B0000}"/>
    <cellStyle name="Style 51 4 6 3 4 2" xfId="44459" xr:uid="{00000000-0005-0000-0000-00003A0B0000}"/>
    <cellStyle name="Style 51 4 6 3 5" xfId="22383" xr:uid="{00000000-0005-0000-0000-00003A0B0000}"/>
    <cellStyle name="Style 51 4 6 3 6" xfId="40752" xr:uid="{00000000-0005-0000-0000-00003A0B0000}"/>
    <cellStyle name="Style 51 4 6 4" xfId="10069" xr:uid="{00000000-0005-0000-0000-00003A0B0000}"/>
    <cellStyle name="Style 51 4 6 4 2" xfId="14126" xr:uid="{00000000-0005-0000-0000-00003A0B0000}"/>
    <cellStyle name="Style 51 4 6 4 2 2" xfId="32542" xr:uid="{00000000-0005-0000-0000-00003A0B0000}"/>
    <cellStyle name="Style 51 4 6 4 2 3" xfId="50905" xr:uid="{00000000-0005-0000-0000-00003A0B0000}"/>
    <cellStyle name="Style 51 4 6 4 3" xfId="28780" xr:uid="{00000000-0005-0000-0000-00003A0B0000}"/>
    <cellStyle name="Style 51 4 6 4 3 2" xfId="47143" xr:uid="{00000000-0005-0000-0000-00003A0B0000}"/>
    <cellStyle name="Style 51 4 6 4 4" xfId="19583" xr:uid="{00000000-0005-0000-0000-00003A0B0000}"/>
    <cellStyle name="Style 51 4 6 4 5" xfId="37989" xr:uid="{00000000-0005-0000-0000-00003A0B0000}"/>
    <cellStyle name="Style 51 4 6 5" xfId="9216" xr:uid="{00000000-0005-0000-0000-00003A0B0000}"/>
    <cellStyle name="Style 51 4 6 5 2" xfId="27936" xr:uid="{00000000-0005-0000-0000-00003A0B0000}"/>
    <cellStyle name="Style 51 4 6 5 3" xfId="46299" xr:uid="{00000000-0005-0000-0000-00003A0B0000}"/>
    <cellStyle name="Style 51 4 6 6" xfId="13273" xr:uid="{00000000-0005-0000-0000-00003A0B0000}"/>
    <cellStyle name="Style 51 4 6 6 2" xfId="31694" xr:uid="{00000000-0005-0000-0000-00003A0B0000}"/>
    <cellStyle name="Style 51 4 6 6 3" xfId="50057" xr:uid="{00000000-0005-0000-0000-00003A0B0000}"/>
    <cellStyle name="Style 51 4 6 7" xfId="23264" xr:uid="{00000000-0005-0000-0000-00003A0B0000}"/>
    <cellStyle name="Style 51 4 6 7 2" xfId="41633" xr:uid="{00000000-0005-0000-0000-00003A0B0000}"/>
    <cellStyle name="Style 51 4 6 8" xfId="18263" xr:uid="{00000000-0005-0000-0000-00003A0B0000}"/>
    <cellStyle name="Style 51 4 6 9" xfId="36669" xr:uid="{00000000-0005-0000-0000-00003A0B0000}"/>
    <cellStyle name="Style 51 4 7" xfId="7545" xr:uid="{00000000-0005-0000-0000-00003A0B0000}"/>
    <cellStyle name="Style 51 4 7 2" xfId="26868" xr:uid="{00000000-0005-0000-0000-00003A0B0000}"/>
    <cellStyle name="Style 51 4 7 3" xfId="45233" xr:uid="{00000000-0005-0000-0000-00003A0B0000}"/>
    <cellStyle name="Style 51 4 8" xfId="10872" xr:uid="{00000000-0005-0000-0000-00003A0B0000}"/>
    <cellStyle name="Style 51 4 9" xfId="8783" xr:uid="{00000000-0005-0000-0000-00003A0B0000}"/>
    <cellStyle name="Style 51 5" xfId="1807" xr:uid="{00000000-0005-0000-0000-0000450B0000}"/>
    <cellStyle name="Style 51 5 10" xfId="17713" xr:uid="{00000000-0005-0000-0000-0000450B0000}"/>
    <cellStyle name="Style 51 5 2" xfId="3700" xr:uid="{00000000-0005-0000-0000-0000450B0000}"/>
    <cellStyle name="Style 51 5 2 2" xfId="5873" xr:uid="{00000000-0005-0000-0000-0000450B0000}"/>
    <cellStyle name="Style 51 5 2 2 2" xfId="12237" xr:uid="{00000000-0005-0000-0000-0000450B0000}"/>
    <cellStyle name="Style 51 5 2 2 2 2" xfId="30684" xr:uid="{00000000-0005-0000-0000-0000450B0000}"/>
    <cellStyle name="Style 51 5 2 2 2 3" xfId="49047" xr:uid="{00000000-0005-0000-0000-0000450B0000}"/>
    <cellStyle name="Style 51 5 2 2 3" xfId="16563" xr:uid="{00000000-0005-0000-0000-0000450B0000}"/>
    <cellStyle name="Style 51 5 2 2 3 2" xfId="34935" xr:uid="{00000000-0005-0000-0000-0000450B0000}"/>
    <cellStyle name="Style 51 5 2 2 3 3" xfId="53298" xr:uid="{00000000-0005-0000-0000-0000450B0000}"/>
    <cellStyle name="Style 51 5 2 2 4" xfId="25682" xr:uid="{00000000-0005-0000-0000-0000450B0000}"/>
    <cellStyle name="Style 51 5 2 2 4 2" xfId="44051" xr:uid="{00000000-0005-0000-0000-0000450B0000}"/>
    <cellStyle name="Style 51 5 2 2 5" xfId="22003" xr:uid="{00000000-0005-0000-0000-0000450B0000}"/>
    <cellStyle name="Style 51 5 2 2 6" xfId="40382" xr:uid="{00000000-0005-0000-0000-0000450B0000}"/>
    <cellStyle name="Style 51 5 2 3" xfId="6699" xr:uid="{00000000-0005-0000-0000-0000450B0000}"/>
    <cellStyle name="Style 51 5 2 3 2" xfId="12990" xr:uid="{00000000-0005-0000-0000-0000450B0000}"/>
    <cellStyle name="Style 51 5 2 3 2 2" xfId="31416" xr:uid="{00000000-0005-0000-0000-0000450B0000}"/>
    <cellStyle name="Style 51 5 2 3 2 3" xfId="49779" xr:uid="{00000000-0005-0000-0000-0000450B0000}"/>
    <cellStyle name="Style 51 5 2 3 3" xfId="17301" xr:uid="{00000000-0005-0000-0000-0000450B0000}"/>
    <cellStyle name="Style 51 5 2 3 3 2" xfId="35649" xr:uid="{00000000-0005-0000-0000-0000450B0000}"/>
    <cellStyle name="Style 51 5 2 3 3 3" xfId="54012" xr:uid="{00000000-0005-0000-0000-0000450B0000}"/>
    <cellStyle name="Style 51 5 2 3 4" xfId="26434" xr:uid="{00000000-0005-0000-0000-0000450B0000}"/>
    <cellStyle name="Style 51 5 2 3 4 2" xfId="44803" xr:uid="{00000000-0005-0000-0000-0000450B0000}"/>
    <cellStyle name="Style 51 5 2 3 5" xfId="22727" xr:uid="{00000000-0005-0000-0000-0000450B0000}"/>
    <cellStyle name="Style 51 5 2 3 6" xfId="41096" xr:uid="{00000000-0005-0000-0000-0000450B0000}"/>
    <cellStyle name="Style 51 5 2 4" xfId="10413" xr:uid="{00000000-0005-0000-0000-0000450B0000}"/>
    <cellStyle name="Style 51 5 2 4 2" xfId="14470" xr:uid="{00000000-0005-0000-0000-0000450B0000}"/>
    <cellStyle name="Style 51 5 2 4 2 2" xfId="32886" xr:uid="{00000000-0005-0000-0000-0000450B0000}"/>
    <cellStyle name="Style 51 5 2 4 2 3" xfId="51249" xr:uid="{00000000-0005-0000-0000-0000450B0000}"/>
    <cellStyle name="Style 51 5 2 4 3" xfId="29124" xr:uid="{00000000-0005-0000-0000-0000450B0000}"/>
    <cellStyle name="Style 51 5 2 4 3 2" xfId="47487" xr:uid="{00000000-0005-0000-0000-0000450B0000}"/>
    <cellStyle name="Style 51 5 2 4 4" xfId="19927" xr:uid="{00000000-0005-0000-0000-0000450B0000}"/>
    <cellStyle name="Style 51 5 2 4 5" xfId="38333" xr:uid="{00000000-0005-0000-0000-0000450B0000}"/>
    <cellStyle name="Style 51 5 2 5" xfId="9621" xr:uid="{00000000-0005-0000-0000-0000450B0000}"/>
    <cellStyle name="Style 51 5 2 5 2" xfId="28338" xr:uid="{00000000-0005-0000-0000-0000450B0000}"/>
    <cellStyle name="Style 51 5 2 5 3" xfId="46701" xr:uid="{00000000-0005-0000-0000-0000450B0000}"/>
    <cellStyle name="Style 51 5 2 6" xfId="13679" xr:uid="{00000000-0005-0000-0000-0000450B0000}"/>
    <cellStyle name="Style 51 5 2 6 2" xfId="32100" xr:uid="{00000000-0005-0000-0000-0000450B0000}"/>
    <cellStyle name="Style 51 5 2 6 3" xfId="50463" xr:uid="{00000000-0005-0000-0000-0000450B0000}"/>
    <cellStyle name="Style 51 5 2 7" xfId="23608" xr:uid="{00000000-0005-0000-0000-0000450B0000}"/>
    <cellStyle name="Style 51 5 2 7 2" xfId="41977" xr:uid="{00000000-0005-0000-0000-0000450B0000}"/>
    <cellStyle name="Style 51 5 2 8" xfId="18721" xr:uid="{00000000-0005-0000-0000-0000450B0000}"/>
    <cellStyle name="Style 51 5 2 9" xfId="37131" xr:uid="{00000000-0005-0000-0000-0000450B0000}"/>
    <cellStyle name="Style 51 5 3" xfId="4741" xr:uid="{00000000-0005-0000-0000-0000450B0000}"/>
    <cellStyle name="Style 51 5 3 2" xfId="11325" xr:uid="{00000000-0005-0000-0000-0000450B0000}"/>
    <cellStyle name="Style 51 5 3 2 2" xfId="29937" xr:uid="{00000000-0005-0000-0000-0000450B0000}"/>
    <cellStyle name="Style 51 5 3 2 3" xfId="48300" xr:uid="{00000000-0005-0000-0000-0000450B0000}"/>
    <cellStyle name="Style 51 5 3 3" xfId="15467" xr:uid="{00000000-0005-0000-0000-0000450B0000}"/>
    <cellStyle name="Style 51 5 3 3 2" xfId="33860" xr:uid="{00000000-0005-0000-0000-0000450B0000}"/>
    <cellStyle name="Style 51 5 3 3 3" xfId="52223" xr:uid="{00000000-0005-0000-0000-0000450B0000}"/>
    <cellStyle name="Style 51 5 3 4" xfId="24591" xr:uid="{00000000-0005-0000-0000-0000450B0000}"/>
    <cellStyle name="Style 51 5 3 4 2" xfId="42960" xr:uid="{00000000-0005-0000-0000-0000450B0000}"/>
    <cellStyle name="Style 51 5 3 5" xfId="20918" xr:uid="{00000000-0005-0000-0000-0000450B0000}"/>
    <cellStyle name="Style 51 5 3 6" xfId="39307" xr:uid="{00000000-0005-0000-0000-0000450B0000}"/>
    <cellStyle name="Style 51 5 4" xfId="3935" xr:uid="{00000000-0005-0000-0000-0000450B0000}"/>
    <cellStyle name="Style 51 5 4 2" xfId="10640" xr:uid="{00000000-0005-0000-0000-0000450B0000}"/>
    <cellStyle name="Style 51 5 4 2 2" xfId="29346" xr:uid="{00000000-0005-0000-0000-0000450B0000}"/>
    <cellStyle name="Style 51 5 4 2 3" xfId="47709" xr:uid="{00000000-0005-0000-0000-0000450B0000}"/>
    <cellStyle name="Style 51 5 4 3" xfId="14698" xr:uid="{00000000-0005-0000-0000-0000450B0000}"/>
    <cellStyle name="Style 51 5 4 3 2" xfId="33110" xr:uid="{00000000-0005-0000-0000-0000450B0000}"/>
    <cellStyle name="Style 51 5 4 3 3" xfId="51473" xr:uid="{00000000-0005-0000-0000-0000450B0000}"/>
    <cellStyle name="Style 51 5 4 4" xfId="23834" xr:uid="{00000000-0005-0000-0000-0000450B0000}"/>
    <cellStyle name="Style 51 5 4 4 2" xfId="42203" xr:uid="{00000000-0005-0000-0000-0000450B0000}"/>
    <cellStyle name="Style 51 5 4 5" xfId="20152" xr:uid="{00000000-0005-0000-0000-0000450B0000}"/>
    <cellStyle name="Style 51 5 4 6" xfId="38557" xr:uid="{00000000-0005-0000-0000-0000450B0000}"/>
    <cellStyle name="Style 51 5 5" xfId="9258" xr:uid="{00000000-0005-0000-0000-0000450B0000}"/>
    <cellStyle name="Style 51 5 5 2" xfId="13315" xr:uid="{00000000-0005-0000-0000-0000450B0000}"/>
    <cellStyle name="Style 51 5 5 2 2" xfId="31736" xr:uid="{00000000-0005-0000-0000-0000450B0000}"/>
    <cellStyle name="Style 51 5 5 2 3" xfId="50099" xr:uid="{00000000-0005-0000-0000-0000450B0000}"/>
    <cellStyle name="Style 51 5 5 3" xfId="27978" xr:uid="{00000000-0005-0000-0000-0000450B0000}"/>
    <cellStyle name="Style 51 5 5 3 2" xfId="46341" xr:uid="{00000000-0005-0000-0000-0000450B0000}"/>
    <cellStyle name="Style 51 5 5 4" xfId="18318" xr:uid="{00000000-0005-0000-0000-0000450B0000}"/>
    <cellStyle name="Style 51 5 5 5" xfId="36724" xr:uid="{00000000-0005-0000-0000-0000450B0000}"/>
    <cellStyle name="Style 51 5 6" xfId="8037" xr:uid="{00000000-0005-0000-0000-0000450B0000}"/>
    <cellStyle name="Style 51 5 6 2" xfId="27266" xr:uid="{00000000-0005-0000-0000-0000450B0000}"/>
    <cellStyle name="Style 51 5 6 3" xfId="45631" xr:uid="{00000000-0005-0000-0000-0000450B0000}"/>
    <cellStyle name="Style 51 5 7" xfId="7830" xr:uid="{00000000-0005-0000-0000-0000450B0000}"/>
    <cellStyle name="Style 51 5 7 2" xfId="27089" xr:uid="{00000000-0005-0000-0000-0000450B0000}"/>
    <cellStyle name="Style 51 5 7 3" xfId="45454" xr:uid="{00000000-0005-0000-0000-0000450B0000}"/>
    <cellStyle name="Style 51 5 8" xfId="18810" xr:uid="{00000000-0005-0000-0000-0000450B0000}"/>
    <cellStyle name="Style 51 5 8 2" xfId="37219" xr:uid="{00000000-0005-0000-0000-0000450B0000}"/>
    <cellStyle name="Style 51 5 9" xfId="7442" xr:uid="{00000000-0005-0000-0000-0000450B0000}"/>
    <cellStyle name="Style 51 6" xfId="2243" xr:uid="{00000000-0005-0000-0000-0000460B0000}"/>
    <cellStyle name="Style 51 6 10" xfId="8695" xr:uid="{00000000-0005-0000-0000-0000460B0000}"/>
    <cellStyle name="Style 51 6 2" xfId="3759" xr:uid="{00000000-0005-0000-0000-0000460B0000}"/>
    <cellStyle name="Style 51 6 2 2" xfId="5932" xr:uid="{00000000-0005-0000-0000-0000460B0000}"/>
    <cellStyle name="Style 51 6 2 2 2" xfId="12296" xr:uid="{00000000-0005-0000-0000-0000460B0000}"/>
    <cellStyle name="Style 51 6 2 2 2 2" xfId="30743" xr:uid="{00000000-0005-0000-0000-0000460B0000}"/>
    <cellStyle name="Style 51 6 2 2 2 3" xfId="49106" xr:uid="{00000000-0005-0000-0000-0000460B0000}"/>
    <cellStyle name="Style 51 6 2 2 3" xfId="16622" xr:uid="{00000000-0005-0000-0000-0000460B0000}"/>
    <cellStyle name="Style 51 6 2 2 3 2" xfId="34994" xr:uid="{00000000-0005-0000-0000-0000460B0000}"/>
    <cellStyle name="Style 51 6 2 2 3 3" xfId="53357" xr:uid="{00000000-0005-0000-0000-0000460B0000}"/>
    <cellStyle name="Style 51 6 2 2 4" xfId="25741" xr:uid="{00000000-0005-0000-0000-0000460B0000}"/>
    <cellStyle name="Style 51 6 2 2 4 2" xfId="44110" xr:uid="{00000000-0005-0000-0000-0000460B0000}"/>
    <cellStyle name="Style 51 6 2 2 5" xfId="22062" xr:uid="{00000000-0005-0000-0000-0000460B0000}"/>
    <cellStyle name="Style 51 6 2 2 6" xfId="40441" xr:uid="{00000000-0005-0000-0000-0000460B0000}"/>
    <cellStyle name="Style 51 6 2 3" xfId="6758" xr:uid="{00000000-0005-0000-0000-0000460B0000}"/>
    <cellStyle name="Style 51 6 2 3 2" xfId="13049" xr:uid="{00000000-0005-0000-0000-0000460B0000}"/>
    <cellStyle name="Style 51 6 2 3 2 2" xfId="31475" xr:uid="{00000000-0005-0000-0000-0000460B0000}"/>
    <cellStyle name="Style 51 6 2 3 2 3" xfId="49838" xr:uid="{00000000-0005-0000-0000-0000460B0000}"/>
    <cellStyle name="Style 51 6 2 3 3" xfId="17360" xr:uid="{00000000-0005-0000-0000-0000460B0000}"/>
    <cellStyle name="Style 51 6 2 3 3 2" xfId="35708" xr:uid="{00000000-0005-0000-0000-0000460B0000}"/>
    <cellStyle name="Style 51 6 2 3 3 3" xfId="54071" xr:uid="{00000000-0005-0000-0000-0000460B0000}"/>
    <cellStyle name="Style 51 6 2 3 4" xfId="26493" xr:uid="{00000000-0005-0000-0000-0000460B0000}"/>
    <cellStyle name="Style 51 6 2 3 4 2" xfId="44862" xr:uid="{00000000-0005-0000-0000-0000460B0000}"/>
    <cellStyle name="Style 51 6 2 3 5" xfId="22786" xr:uid="{00000000-0005-0000-0000-0000460B0000}"/>
    <cellStyle name="Style 51 6 2 3 6" xfId="41155" xr:uid="{00000000-0005-0000-0000-0000460B0000}"/>
    <cellStyle name="Style 51 6 2 4" xfId="10472" xr:uid="{00000000-0005-0000-0000-0000460B0000}"/>
    <cellStyle name="Style 51 6 2 4 2" xfId="14529" xr:uid="{00000000-0005-0000-0000-0000460B0000}"/>
    <cellStyle name="Style 51 6 2 4 2 2" xfId="32945" xr:uid="{00000000-0005-0000-0000-0000460B0000}"/>
    <cellStyle name="Style 51 6 2 4 2 3" xfId="51308" xr:uid="{00000000-0005-0000-0000-0000460B0000}"/>
    <cellStyle name="Style 51 6 2 4 3" xfId="29183" xr:uid="{00000000-0005-0000-0000-0000460B0000}"/>
    <cellStyle name="Style 51 6 2 4 3 2" xfId="47546" xr:uid="{00000000-0005-0000-0000-0000460B0000}"/>
    <cellStyle name="Style 51 6 2 4 4" xfId="19986" xr:uid="{00000000-0005-0000-0000-0000460B0000}"/>
    <cellStyle name="Style 51 6 2 4 5" xfId="38392" xr:uid="{00000000-0005-0000-0000-0000460B0000}"/>
    <cellStyle name="Style 51 6 2 5" xfId="9739" xr:uid="{00000000-0005-0000-0000-0000460B0000}"/>
    <cellStyle name="Style 51 6 2 5 2" xfId="28454" xr:uid="{00000000-0005-0000-0000-0000460B0000}"/>
    <cellStyle name="Style 51 6 2 5 3" xfId="46817" xr:uid="{00000000-0005-0000-0000-0000460B0000}"/>
    <cellStyle name="Style 51 6 2 6" xfId="13796" xr:uid="{00000000-0005-0000-0000-0000460B0000}"/>
    <cellStyle name="Style 51 6 2 6 2" xfId="32216" xr:uid="{00000000-0005-0000-0000-0000460B0000}"/>
    <cellStyle name="Style 51 6 2 6 3" xfId="50579" xr:uid="{00000000-0005-0000-0000-0000460B0000}"/>
    <cellStyle name="Style 51 6 2 7" xfId="23667" xr:uid="{00000000-0005-0000-0000-0000460B0000}"/>
    <cellStyle name="Style 51 6 2 7 2" xfId="42036" xr:uid="{00000000-0005-0000-0000-0000460B0000}"/>
    <cellStyle name="Style 51 6 2 8" xfId="18913" xr:uid="{00000000-0005-0000-0000-0000460B0000}"/>
    <cellStyle name="Style 51 6 2 9" xfId="37322" xr:uid="{00000000-0005-0000-0000-0000460B0000}"/>
    <cellStyle name="Style 51 6 3" xfId="4947" xr:uid="{00000000-0005-0000-0000-0000460B0000}"/>
    <cellStyle name="Style 51 6 3 2" xfId="11484" xr:uid="{00000000-0005-0000-0000-0000460B0000}"/>
    <cellStyle name="Style 51 6 3 2 2" xfId="30061" xr:uid="{00000000-0005-0000-0000-0000460B0000}"/>
    <cellStyle name="Style 51 6 3 2 3" xfId="48424" xr:uid="{00000000-0005-0000-0000-0000460B0000}"/>
    <cellStyle name="Style 51 6 3 3" xfId="15666" xr:uid="{00000000-0005-0000-0000-0000460B0000}"/>
    <cellStyle name="Style 51 6 3 3 2" xfId="34055" xr:uid="{00000000-0005-0000-0000-0000460B0000}"/>
    <cellStyle name="Style 51 6 3 3 3" xfId="52418" xr:uid="{00000000-0005-0000-0000-0000460B0000}"/>
    <cellStyle name="Style 51 6 3 4" xfId="24788" xr:uid="{00000000-0005-0000-0000-0000460B0000}"/>
    <cellStyle name="Style 51 6 3 4 2" xfId="43157" xr:uid="{00000000-0005-0000-0000-0000460B0000}"/>
    <cellStyle name="Style 51 6 3 5" xfId="21115" xr:uid="{00000000-0005-0000-0000-0000460B0000}"/>
    <cellStyle name="Style 51 6 3 6" xfId="39502" xr:uid="{00000000-0005-0000-0000-0000460B0000}"/>
    <cellStyle name="Style 51 6 4" xfId="6087" xr:uid="{00000000-0005-0000-0000-0000460B0000}"/>
    <cellStyle name="Style 51 6 4 2" xfId="12444" xr:uid="{00000000-0005-0000-0000-0000460B0000}"/>
    <cellStyle name="Style 51 6 4 2 2" xfId="30891" xr:uid="{00000000-0005-0000-0000-0000460B0000}"/>
    <cellStyle name="Style 51 6 4 2 3" xfId="49254" xr:uid="{00000000-0005-0000-0000-0000460B0000}"/>
    <cellStyle name="Style 51 6 4 3" xfId="16769" xr:uid="{00000000-0005-0000-0000-0000460B0000}"/>
    <cellStyle name="Style 51 6 4 3 2" xfId="35141" xr:uid="{00000000-0005-0000-0000-0000460B0000}"/>
    <cellStyle name="Style 51 6 4 3 3" xfId="53504" xr:uid="{00000000-0005-0000-0000-0000460B0000}"/>
    <cellStyle name="Style 51 6 4 4" xfId="25895" xr:uid="{00000000-0005-0000-0000-0000460B0000}"/>
    <cellStyle name="Style 51 6 4 4 2" xfId="44264" xr:uid="{00000000-0005-0000-0000-0000460B0000}"/>
    <cellStyle name="Style 51 6 4 5" xfId="22209" xr:uid="{00000000-0005-0000-0000-0000460B0000}"/>
    <cellStyle name="Style 51 6 4 6" xfId="40588" xr:uid="{00000000-0005-0000-0000-0000460B0000}"/>
    <cellStyle name="Style 51 6 5" xfId="9021" xr:uid="{00000000-0005-0000-0000-0000460B0000}"/>
    <cellStyle name="Style 51 6 5 2" xfId="6927" xr:uid="{00000000-0005-0000-0000-0000460B0000}"/>
    <cellStyle name="Style 51 6 5 2 2" xfId="26662" xr:uid="{00000000-0005-0000-0000-0000460B0000}"/>
    <cellStyle name="Style 51 6 5 2 3" xfId="45031" xr:uid="{00000000-0005-0000-0000-0000460B0000}"/>
    <cellStyle name="Style 51 6 5 3" xfId="27748" xr:uid="{00000000-0005-0000-0000-0000460B0000}"/>
    <cellStyle name="Style 51 6 5 3 2" xfId="46111" xr:uid="{00000000-0005-0000-0000-0000460B0000}"/>
    <cellStyle name="Style 51 6 5 4" xfId="17900" xr:uid="{00000000-0005-0000-0000-0000460B0000}"/>
    <cellStyle name="Style 51 6 5 5" xfId="36310" xr:uid="{00000000-0005-0000-0000-0000460B0000}"/>
    <cellStyle name="Style 51 6 6" xfId="8319" xr:uid="{00000000-0005-0000-0000-0000460B0000}"/>
    <cellStyle name="Style 51 6 6 2" xfId="27411" xr:uid="{00000000-0005-0000-0000-0000460B0000}"/>
    <cellStyle name="Style 51 6 6 3" xfId="45776" xr:uid="{00000000-0005-0000-0000-0000460B0000}"/>
    <cellStyle name="Style 51 6 7" xfId="8386" xr:uid="{00000000-0005-0000-0000-0000460B0000}"/>
    <cellStyle name="Style 51 6 7 2" xfId="27451" xr:uid="{00000000-0005-0000-0000-0000460B0000}"/>
    <cellStyle name="Style 51 6 7 3" xfId="45815" xr:uid="{00000000-0005-0000-0000-0000460B0000}"/>
    <cellStyle name="Style 51 6 8" xfId="19039" xr:uid="{00000000-0005-0000-0000-0000460B0000}"/>
    <cellStyle name="Style 51 6 8 2" xfId="37448" xr:uid="{00000000-0005-0000-0000-0000460B0000}"/>
    <cellStyle name="Style 51 6 9" xfId="8602" xr:uid="{00000000-0005-0000-0000-0000460B0000}"/>
    <cellStyle name="Style 51 7" xfId="2687" xr:uid="{00000000-0005-0000-0000-0000470B0000}"/>
    <cellStyle name="Style 51 7 10" xfId="35898" xr:uid="{00000000-0005-0000-0000-0000470B0000}"/>
    <cellStyle name="Style 51 7 2" xfId="3803" xr:uid="{00000000-0005-0000-0000-0000470B0000}"/>
    <cellStyle name="Style 51 7 2 2" xfId="5976" xr:uid="{00000000-0005-0000-0000-0000470B0000}"/>
    <cellStyle name="Style 51 7 2 2 2" xfId="12340" xr:uid="{00000000-0005-0000-0000-0000470B0000}"/>
    <cellStyle name="Style 51 7 2 2 2 2" xfId="30787" xr:uid="{00000000-0005-0000-0000-0000470B0000}"/>
    <cellStyle name="Style 51 7 2 2 2 3" xfId="49150" xr:uid="{00000000-0005-0000-0000-0000470B0000}"/>
    <cellStyle name="Style 51 7 2 2 3" xfId="16666" xr:uid="{00000000-0005-0000-0000-0000470B0000}"/>
    <cellStyle name="Style 51 7 2 2 3 2" xfId="35038" xr:uid="{00000000-0005-0000-0000-0000470B0000}"/>
    <cellStyle name="Style 51 7 2 2 3 3" xfId="53401" xr:uid="{00000000-0005-0000-0000-0000470B0000}"/>
    <cellStyle name="Style 51 7 2 2 4" xfId="25785" xr:uid="{00000000-0005-0000-0000-0000470B0000}"/>
    <cellStyle name="Style 51 7 2 2 4 2" xfId="44154" xr:uid="{00000000-0005-0000-0000-0000470B0000}"/>
    <cellStyle name="Style 51 7 2 2 5" xfId="22106" xr:uid="{00000000-0005-0000-0000-0000470B0000}"/>
    <cellStyle name="Style 51 7 2 2 6" xfId="40485" xr:uid="{00000000-0005-0000-0000-0000470B0000}"/>
    <cellStyle name="Style 51 7 2 3" xfId="6802" xr:uid="{00000000-0005-0000-0000-0000470B0000}"/>
    <cellStyle name="Style 51 7 2 3 2" xfId="13093" xr:uid="{00000000-0005-0000-0000-0000470B0000}"/>
    <cellStyle name="Style 51 7 2 3 2 2" xfId="31519" xr:uid="{00000000-0005-0000-0000-0000470B0000}"/>
    <cellStyle name="Style 51 7 2 3 2 3" xfId="49882" xr:uid="{00000000-0005-0000-0000-0000470B0000}"/>
    <cellStyle name="Style 51 7 2 3 3" xfId="17404" xr:uid="{00000000-0005-0000-0000-0000470B0000}"/>
    <cellStyle name="Style 51 7 2 3 3 2" xfId="35752" xr:uid="{00000000-0005-0000-0000-0000470B0000}"/>
    <cellStyle name="Style 51 7 2 3 3 3" xfId="54115" xr:uid="{00000000-0005-0000-0000-0000470B0000}"/>
    <cellStyle name="Style 51 7 2 3 4" xfId="26537" xr:uid="{00000000-0005-0000-0000-0000470B0000}"/>
    <cellStyle name="Style 51 7 2 3 4 2" xfId="44906" xr:uid="{00000000-0005-0000-0000-0000470B0000}"/>
    <cellStyle name="Style 51 7 2 3 5" xfId="22830" xr:uid="{00000000-0005-0000-0000-0000470B0000}"/>
    <cellStyle name="Style 51 7 2 3 6" xfId="41199" xr:uid="{00000000-0005-0000-0000-0000470B0000}"/>
    <cellStyle name="Style 51 7 2 4" xfId="10516" xr:uid="{00000000-0005-0000-0000-0000470B0000}"/>
    <cellStyle name="Style 51 7 2 4 2" xfId="14573" xr:uid="{00000000-0005-0000-0000-0000470B0000}"/>
    <cellStyle name="Style 51 7 2 4 2 2" xfId="32989" xr:uid="{00000000-0005-0000-0000-0000470B0000}"/>
    <cellStyle name="Style 51 7 2 4 2 3" xfId="51352" xr:uid="{00000000-0005-0000-0000-0000470B0000}"/>
    <cellStyle name="Style 51 7 2 4 3" xfId="29227" xr:uid="{00000000-0005-0000-0000-0000470B0000}"/>
    <cellStyle name="Style 51 7 2 4 3 2" xfId="47590" xr:uid="{00000000-0005-0000-0000-0000470B0000}"/>
    <cellStyle name="Style 51 7 2 4 4" xfId="20030" xr:uid="{00000000-0005-0000-0000-0000470B0000}"/>
    <cellStyle name="Style 51 7 2 4 5" xfId="38436" xr:uid="{00000000-0005-0000-0000-0000470B0000}"/>
    <cellStyle name="Style 51 7 2 5" xfId="9842" xr:uid="{00000000-0005-0000-0000-0000470B0000}"/>
    <cellStyle name="Style 51 7 2 5 2" xfId="28556" xr:uid="{00000000-0005-0000-0000-0000470B0000}"/>
    <cellStyle name="Style 51 7 2 5 3" xfId="46919" xr:uid="{00000000-0005-0000-0000-0000470B0000}"/>
    <cellStyle name="Style 51 7 2 6" xfId="13900" xr:uid="{00000000-0005-0000-0000-0000470B0000}"/>
    <cellStyle name="Style 51 7 2 6 2" xfId="32318" xr:uid="{00000000-0005-0000-0000-0000470B0000}"/>
    <cellStyle name="Style 51 7 2 6 3" xfId="50681" xr:uid="{00000000-0005-0000-0000-0000470B0000}"/>
    <cellStyle name="Style 51 7 2 7" xfId="23711" xr:uid="{00000000-0005-0000-0000-0000470B0000}"/>
    <cellStyle name="Style 51 7 2 7 2" xfId="42080" xr:uid="{00000000-0005-0000-0000-0000470B0000}"/>
    <cellStyle name="Style 51 7 2 8" xfId="19084" xr:uid="{00000000-0005-0000-0000-0000470B0000}"/>
    <cellStyle name="Style 51 7 2 9" xfId="37492" xr:uid="{00000000-0005-0000-0000-0000470B0000}"/>
    <cellStyle name="Style 51 7 3" xfId="5110" xr:uid="{00000000-0005-0000-0000-0000470B0000}"/>
    <cellStyle name="Style 51 7 3 2" xfId="11621" xr:uid="{00000000-0005-0000-0000-0000470B0000}"/>
    <cellStyle name="Style 51 7 3 2 2" xfId="30175" xr:uid="{00000000-0005-0000-0000-0000470B0000}"/>
    <cellStyle name="Style 51 7 3 2 3" xfId="48538" xr:uid="{00000000-0005-0000-0000-0000470B0000}"/>
    <cellStyle name="Style 51 7 3 3" xfId="15819" xr:uid="{00000000-0005-0000-0000-0000470B0000}"/>
    <cellStyle name="Style 51 7 3 3 2" xfId="34204" xr:uid="{00000000-0005-0000-0000-0000470B0000}"/>
    <cellStyle name="Style 51 7 3 3 3" xfId="52567" xr:uid="{00000000-0005-0000-0000-0000470B0000}"/>
    <cellStyle name="Style 51 7 3 4" xfId="24941" xr:uid="{00000000-0005-0000-0000-0000470B0000}"/>
    <cellStyle name="Style 51 7 3 4 2" xfId="43310" xr:uid="{00000000-0005-0000-0000-0000470B0000}"/>
    <cellStyle name="Style 51 7 3 5" xfId="21266" xr:uid="{00000000-0005-0000-0000-0000470B0000}"/>
    <cellStyle name="Style 51 7 3 6" xfId="39651" xr:uid="{00000000-0005-0000-0000-0000470B0000}"/>
    <cellStyle name="Style 51 7 4" xfId="6166" xr:uid="{00000000-0005-0000-0000-0000470B0000}"/>
    <cellStyle name="Style 51 7 4 2" xfId="12503" xr:uid="{00000000-0005-0000-0000-0000470B0000}"/>
    <cellStyle name="Style 51 7 4 2 2" xfId="30940" xr:uid="{00000000-0005-0000-0000-0000470B0000}"/>
    <cellStyle name="Style 51 7 4 2 3" xfId="49303" xr:uid="{00000000-0005-0000-0000-0000470B0000}"/>
    <cellStyle name="Style 51 7 4 3" xfId="16821" xr:uid="{00000000-0005-0000-0000-0000470B0000}"/>
    <cellStyle name="Style 51 7 4 3 2" xfId="35186" xr:uid="{00000000-0005-0000-0000-0000470B0000}"/>
    <cellStyle name="Style 51 7 4 3 3" xfId="53549" xr:uid="{00000000-0005-0000-0000-0000470B0000}"/>
    <cellStyle name="Style 51 7 4 4" xfId="25953" xr:uid="{00000000-0005-0000-0000-0000470B0000}"/>
    <cellStyle name="Style 51 7 4 4 2" xfId="44322" xr:uid="{00000000-0005-0000-0000-0000470B0000}"/>
    <cellStyle name="Style 51 7 4 5" xfId="22258" xr:uid="{00000000-0005-0000-0000-0000470B0000}"/>
    <cellStyle name="Style 51 7 4 6" xfId="40633" xr:uid="{00000000-0005-0000-0000-0000470B0000}"/>
    <cellStyle name="Style 51 7 5" xfId="8672" xr:uid="{00000000-0005-0000-0000-0000470B0000}"/>
    <cellStyle name="Style 51 7 5 2" xfId="7899" xr:uid="{00000000-0005-0000-0000-0000470B0000}"/>
    <cellStyle name="Style 51 7 5 2 2" xfId="27132" xr:uid="{00000000-0005-0000-0000-0000470B0000}"/>
    <cellStyle name="Style 51 7 5 2 3" xfId="45497" xr:uid="{00000000-0005-0000-0000-0000470B0000}"/>
    <cellStyle name="Style 51 7 5 3" xfId="27577" xr:uid="{00000000-0005-0000-0000-0000470B0000}"/>
    <cellStyle name="Style 51 7 5 3 2" xfId="45940" xr:uid="{00000000-0005-0000-0000-0000470B0000}"/>
    <cellStyle name="Style 51 7 5 4" xfId="8752" xr:uid="{00000000-0005-0000-0000-0000470B0000}"/>
    <cellStyle name="Style 51 7 5 5" xfId="35930" xr:uid="{00000000-0005-0000-0000-0000470B0000}"/>
    <cellStyle name="Style 51 7 6" xfId="8588" xr:uid="{00000000-0005-0000-0000-0000470B0000}"/>
    <cellStyle name="Style 51 7 6 2" xfId="27530" xr:uid="{00000000-0005-0000-0000-0000470B0000}"/>
    <cellStyle name="Style 51 7 6 3" xfId="45894" xr:uid="{00000000-0005-0000-0000-0000470B0000}"/>
    <cellStyle name="Style 51 7 7" xfId="7404" xr:uid="{00000000-0005-0000-0000-0000470B0000}"/>
    <cellStyle name="Style 51 7 7 2" xfId="26797" xr:uid="{00000000-0005-0000-0000-0000470B0000}"/>
    <cellStyle name="Style 51 7 7 3" xfId="45165" xr:uid="{00000000-0005-0000-0000-0000470B0000}"/>
    <cellStyle name="Style 51 7 8" xfId="19091" xr:uid="{00000000-0005-0000-0000-0000470B0000}"/>
    <cellStyle name="Style 51 7 8 2" xfId="37499" xr:uid="{00000000-0005-0000-0000-0000470B0000}"/>
    <cellStyle name="Style 51 7 9" xfId="11726" xr:uid="{00000000-0005-0000-0000-0000470B0000}"/>
    <cellStyle name="Style 51 8" xfId="3080" xr:uid="{00000000-0005-0000-0000-0000480B0000}"/>
    <cellStyle name="Style 51 8 10" xfId="36084" xr:uid="{00000000-0005-0000-0000-0000480B0000}"/>
    <cellStyle name="Style 51 8 2" xfId="3854" xr:uid="{00000000-0005-0000-0000-0000480B0000}"/>
    <cellStyle name="Style 51 8 2 2" xfId="6027" xr:uid="{00000000-0005-0000-0000-0000480B0000}"/>
    <cellStyle name="Style 51 8 2 2 2" xfId="12391" xr:uid="{00000000-0005-0000-0000-0000480B0000}"/>
    <cellStyle name="Style 51 8 2 2 2 2" xfId="30838" xr:uid="{00000000-0005-0000-0000-0000480B0000}"/>
    <cellStyle name="Style 51 8 2 2 2 3" xfId="49201" xr:uid="{00000000-0005-0000-0000-0000480B0000}"/>
    <cellStyle name="Style 51 8 2 2 3" xfId="16717" xr:uid="{00000000-0005-0000-0000-0000480B0000}"/>
    <cellStyle name="Style 51 8 2 2 3 2" xfId="35089" xr:uid="{00000000-0005-0000-0000-0000480B0000}"/>
    <cellStyle name="Style 51 8 2 2 3 3" xfId="53452" xr:uid="{00000000-0005-0000-0000-0000480B0000}"/>
    <cellStyle name="Style 51 8 2 2 4" xfId="25836" xr:uid="{00000000-0005-0000-0000-0000480B0000}"/>
    <cellStyle name="Style 51 8 2 2 4 2" xfId="44205" xr:uid="{00000000-0005-0000-0000-0000480B0000}"/>
    <cellStyle name="Style 51 8 2 2 5" xfId="22157" xr:uid="{00000000-0005-0000-0000-0000480B0000}"/>
    <cellStyle name="Style 51 8 2 2 6" xfId="40536" xr:uid="{00000000-0005-0000-0000-0000480B0000}"/>
    <cellStyle name="Style 51 8 2 3" xfId="6853" xr:uid="{00000000-0005-0000-0000-0000480B0000}"/>
    <cellStyle name="Style 51 8 2 3 2" xfId="13144" xr:uid="{00000000-0005-0000-0000-0000480B0000}"/>
    <cellStyle name="Style 51 8 2 3 2 2" xfId="31570" xr:uid="{00000000-0005-0000-0000-0000480B0000}"/>
    <cellStyle name="Style 51 8 2 3 2 3" xfId="49933" xr:uid="{00000000-0005-0000-0000-0000480B0000}"/>
    <cellStyle name="Style 51 8 2 3 3" xfId="17455" xr:uid="{00000000-0005-0000-0000-0000480B0000}"/>
    <cellStyle name="Style 51 8 2 3 3 2" xfId="35803" xr:uid="{00000000-0005-0000-0000-0000480B0000}"/>
    <cellStyle name="Style 51 8 2 3 3 3" xfId="54166" xr:uid="{00000000-0005-0000-0000-0000480B0000}"/>
    <cellStyle name="Style 51 8 2 3 4" xfId="26588" xr:uid="{00000000-0005-0000-0000-0000480B0000}"/>
    <cellStyle name="Style 51 8 2 3 4 2" xfId="44957" xr:uid="{00000000-0005-0000-0000-0000480B0000}"/>
    <cellStyle name="Style 51 8 2 3 5" xfId="22881" xr:uid="{00000000-0005-0000-0000-0000480B0000}"/>
    <cellStyle name="Style 51 8 2 3 6" xfId="41250" xr:uid="{00000000-0005-0000-0000-0000480B0000}"/>
    <cellStyle name="Style 51 8 2 4" xfId="10567" xr:uid="{00000000-0005-0000-0000-0000480B0000}"/>
    <cellStyle name="Style 51 8 2 4 2" xfId="14624" xr:uid="{00000000-0005-0000-0000-0000480B0000}"/>
    <cellStyle name="Style 51 8 2 4 2 2" xfId="33040" xr:uid="{00000000-0005-0000-0000-0000480B0000}"/>
    <cellStyle name="Style 51 8 2 4 2 3" xfId="51403" xr:uid="{00000000-0005-0000-0000-0000480B0000}"/>
    <cellStyle name="Style 51 8 2 4 3" xfId="29278" xr:uid="{00000000-0005-0000-0000-0000480B0000}"/>
    <cellStyle name="Style 51 8 2 4 3 2" xfId="47641" xr:uid="{00000000-0005-0000-0000-0000480B0000}"/>
    <cellStyle name="Style 51 8 2 4 4" xfId="20081" xr:uid="{00000000-0005-0000-0000-0000480B0000}"/>
    <cellStyle name="Style 51 8 2 4 5" xfId="38487" xr:uid="{00000000-0005-0000-0000-0000480B0000}"/>
    <cellStyle name="Style 51 8 2 5" xfId="9941" xr:uid="{00000000-0005-0000-0000-0000480B0000}"/>
    <cellStyle name="Style 51 8 2 5 2" xfId="28653" xr:uid="{00000000-0005-0000-0000-0000480B0000}"/>
    <cellStyle name="Style 51 8 2 5 3" xfId="47016" xr:uid="{00000000-0005-0000-0000-0000480B0000}"/>
    <cellStyle name="Style 51 8 2 6" xfId="13998" xr:uid="{00000000-0005-0000-0000-0000480B0000}"/>
    <cellStyle name="Style 51 8 2 6 2" xfId="32415" xr:uid="{00000000-0005-0000-0000-0000480B0000}"/>
    <cellStyle name="Style 51 8 2 6 3" xfId="50778" xr:uid="{00000000-0005-0000-0000-0000480B0000}"/>
    <cellStyle name="Style 51 8 2 7" xfId="23762" xr:uid="{00000000-0005-0000-0000-0000480B0000}"/>
    <cellStyle name="Style 51 8 2 7 2" xfId="42131" xr:uid="{00000000-0005-0000-0000-0000480B0000}"/>
    <cellStyle name="Style 51 8 2 8" xfId="19257" xr:uid="{00000000-0005-0000-0000-0000480B0000}"/>
    <cellStyle name="Style 51 8 2 9" xfId="37664" xr:uid="{00000000-0005-0000-0000-0000480B0000}"/>
    <cellStyle name="Style 51 8 3" xfId="5332" xr:uid="{00000000-0005-0000-0000-0000480B0000}"/>
    <cellStyle name="Style 51 8 3 2" xfId="11767" xr:uid="{00000000-0005-0000-0000-0000480B0000}"/>
    <cellStyle name="Style 51 8 3 2 2" xfId="30257" xr:uid="{00000000-0005-0000-0000-0000480B0000}"/>
    <cellStyle name="Style 51 8 3 2 3" xfId="48620" xr:uid="{00000000-0005-0000-0000-0000480B0000}"/>
    <cellStyle name="Style 51 8 3 3" xfId="16024" xr:uid="{00000000-0005-0000-0000-0000480B0000}"/>
    <cellStyle name="Style 51 8 3 3 2" xfId="34398" xr:uid="{00000000-0005-0000-0000-0000480B0000}"/>
    <cellStyle name="Style 51 8 3 3 3" xfId="52761" xr:uid="{00000000-0005-0000-0000-0000480B0000}"/>
    <cellStyle name="Style 51 8 3 4" xfId="25145" xr:uid="{00000000-0005-0000-0000-0000480B0000}"/>
    <cellStyle name="Style 51 8 3 4 2" xfId="43514" xr:uid="{00000000-0005-0000-0000-0000480B0000}"/>
    <cellStyle name="Style 51 8 3 5" xfId="21466" xr:uid="{00000000-0005-0000-0000-0000480B0000}"/>
    <cellStyle name="Style 51 8 3 6" xfId="39845" xr:uid="{00000000-0005-0000-0000-0000480B0000}"/>
    <cellStyle name="Style 51 8 4" xfId="6262" xr:uid="{00000000-0005-0000-0000-0000480B0000}"/>
    <cellStyle name="Style 51 8 4 2" xfId="12566" xr:uid="{00000000-0005-0000-0000-0000480B0000}"/>
    <cellStyle name="Style 51 8 4 2 2" xfId="30997" xr:uid="{00000000-0005-0000-0000-0000480B0000}"/>
    <cellStyle name="Style 51 8 4 2 3" xfId="49360" xr:uid="{00000000-0005-0000-0000-0000480B0000}"/>
    <cellStyle name="Style 51 8 4 3" xfId="16883" xr:uid="{00000000-0005-0000-0000-0000480B0000}"/>
    <cellStyle name="Style 51 8 4 3 2" xfId="35238" xr:uid="{00000000-0005-0000-0000-0000480B0000}"/>
    <cellStyle name="Style 51 8 4 3 3" xfId="53601" xr:uid="{00000000-0005-0000-0000-0000480B0000}"/>
    <cellStyle name="Style 51 8 4 4" xfId="26017" xr:uid="{00000000-0005-0000-0000-0000480B0000}"/>
    <cellStyle name="Style 51 8 4 4 2" xfId="44386" xr:uid="{00000000-0005-0000-0000-0000480B0000}"/>
    <cellStyle name="Style 51 8 4 5" xfId="22314" xr:uid="{00000000-0005-0000-0000-0000480B0000}"/>
    <cellStyle name="Style 51 8 4 6" xfId="40685" xr:uid="{00000000-0005-0000-0000-0000480B0000}"/>
    <cellStyle name="Style 51 8 5" xfId="10050" xr:uid="{00000000-0005-0000-0000-0000480B0000}"/>
    <cellStyle name="Style 51 8 5 2" xfId="14107" xr:uid="{00000000-0005-0000-0000-0000480B0000}"/>
    <cellStyle name="Style 51 8 5 2 2" xfId="32523" xr:uid="{00000000-0005-0000-0000-0000480B0000}"/>
    <cellStyle name="Style 51 8 5 2 3" xfId="50886" xr:uid="{00000000-0005-0000-0000-0000480B0000}"/>
    <cellStyle name="Style 51 8 5 3" xfId="28761" xr:uid="{00000000-0005-0000-0000-0000480B0000}"/>
    <cellStyle name="Style 51 8 5 3 2" xfId="47124" xr:uid="{00000000-0005-0000-0000-0000480B0000}"/>
    <cellStyle name="Style 51 8 5 4" xfId="19514" xr:uid="{00000000-0005-0000-0000-0000480B0000}"/>
    <cellStyle name="Style 51 8 5 5" xfId="37920" xr:uid="{00000000-0005-0000-0000-0000480B0000}"/>
    <cellStyle name="Style 51 8 6" xfId="8850" xr:uid="{00000000-0005-0000-0000-0000480B0000}"/>
    <cellStyle name="Style 51 8 6 2" xfId="27656" xr:uid="{00000000-0005-0000-0000-0000480B0000}"/>
    <cellStyle name="Style 51 8 6 3" xfId="46019" xr:uid="{00000000-0005-0000-0000-0000480B0000}"/>
    <cellStyle name="Style 51 8 7" xfId="11628" xr:uid="{00000000-0005-0000-0000-0000480B0000}"/>
    <cellStyle name="Style 51 8 7 2" xfId="30178" xr:uid="{00000000-0005-0000-0000-0000480B0000}"/>
    <cellStyle name="Style 51 8 7 3" xfId="48541" xr:uid="{00000000-0005-0000-0000-0000480B0000}"/>
    <cellStyle name="Style 51 8 8" xfId="23082" xr:uid="{00000000-0005-0000-0000-0000480B0000}"/>
    <cellStyle name="Style 51 8 8 2" xfId="41451" xr:uid="{00000000-0005-0000-0000-0000480B0000}"/>
    <cellStyle name="Style 51 8 9" xfId="17642" xr:uid="{00000000-0005-0000-0000-0000480B0000}"/>
    <cellStyle name="Style 51 9" xfId="2921" xr:uid="{00000000-0005-0000-0000-0000490B0000}"/>
    <cellStyle name="Style 51 9 2" xfId="3829" xr:uid="{00000000-0005-0000-0000-0000490B0000}"/>
    <cellStyle name="Style 51 9 2 2" xfId="6002" xr:uid="{00000000-0005-0000-0000-0000490B0000}"/>
    <cellStyle name="Style 51 9 2 2 2" xfId="12366" xr:uid="{00000000-0005-0000-0000-0000490B0000}"/>
    <cellStyle name="Style 51 9 2 2 2 2" xfId="30813" xr:uid="{00000000-0005-0000-0000-0000490B0000}"/>
    <cellStyle name="Style 51 9 2 2 2 3" xfId="49176" xr:uid="{00000000-0005-0000-0000-0000490B0000}"/>
    <cellStyle name="Style 51 9 2 2 3" xfId="16692" xr:uid="{00000000-0005-0000-0000-0000490B0000}"/>
    <cellStyle name="Style 51 9 2 2 3 2" xfId="35064" xr:uid="{00000000-0005-0000-0000-0000490B0000}"/>
    <cellStyle name="Style 51 9 2 2 3 3" xfId="53427" xr:uid="{00000000-0005-0000-0000-0000490B0000}"/>
    <cellStyle name="Style 51 9 2 2 4" xfId="25811" xr:uid="{00000000-0005-0000-0000-0000490B0000}"/>
    <cellStyle name="Style 51 9 2 2 4 2" xfId="44180" xr:uid="{00000000-0005-0000-0000-0000490B0000}"/>
    <cellStyle name="Style 51 9 2 2 5" xfId="22132" xr:uid="{00000000-0005-0000-0000-0000490B0000}"/>
    <cellStyle name="Style 51 9 2 2 6" xfId="40511" xr:uid="{00000000-0005-0000-0000-0000490B0000}"/>
    <cellStyle name="Style 51 9 2 3" xfId="6828" xr:uid="{00000000-0005-0000-0000-0000490B0000}"/>
    <cellStyle name="Style 51 9 2 3 2" xfId="13119" xr:uid="{00000000-0005-0000-0000-0000490B0000}"/>
    <cellStyle name="Style 51 9 2 3 2 2" xfId="31545" xr:uid="{00000000-0005-0000-0000-0000490B0000}"/>
    <cellStyle name="Style 51 9 2 3 2 3" xfId="49908" xr:uid="{00000000-0005-0000-0000-0000490B0000}"/>
    <cellStyle name="Style 51 9 2 3 3" xfId="17430" xr:uid="{00000000-0005-0000-0000-0000490B0000}"/>
    <cellStyle name="Style 51 9 2 3 3 2" xfId="35778" xr:uid="{00000000-0005-0000-0000-0000490B0000}"/>
    <cellStyle name="Style 51 9 2 3 3 3" xfId="54141" xr:uid="{00000000-0005-0000-0000-0000490B0000}"/>
    <cellStyle name="Style 51 9 2 3 4" xfId="26563" xr:uid="{00000000-0005-0000-0000-0000490B0000}"/>
    <cellStyle name="Style 51 9 2 3 4 2" xfId="44932" xr:uid="{00000000-0005-0000-0000-0000490B0000}"/>
    <cellStyle name="Style 51 9 2 3 5" xfId="22856" xr:uid="{00000000-0005-0000-0000-0000490B0000}"/>
    <cellStyle name="Style 51 9 2 3 6" xfId="41225" xr:uid="{00000000-0005-0000-0000-0000490B0000}"/>
    <cellStyle name="Style 51 9 2 4" xfId="10542" xr:uid="{00000000-0005-0000-0000-0000490B0000}"/>
    <cellStyle name="Style 51 9 2 4 2" xfId="14599" xr:uid="{00000000-0005-0000-0000-0000490B0000}"/>
    <cellStyle name="Style 51 9 2 4 2 2" xfId="33015" xr:uid="{00000000-0005-0000-0000-0000490B0000}"/>
    <cellStyle name="Style 51 9 2 4 2 3" xfId="51378" xr:uid="{00000000-0005-0000-0000-0000490B0000}"/>
    <cellStyle name="Style 51 9 2 4 3" xfId="29253" xr:uid="{00000000-0005-0000-0000-0000490B0000}"/>
    <cellStyle name="Style 51 9 2 4 3 2" xfId="47616" xr:uid="{00000000-0005-0000-0000-0000490B0000}"/>
    <cellStyle name="Style 51 9 2 4 4" xfId="20056" xr:uid="{00000000-0005-0000-0000-0000490B0000}"/>
    <cellStyle name="Style 51 9 2 4 5" xfId="38462" xr:uid="{00000000-0005-0000-0000-0000490B0000}"/>
    <cellStyle name="Style 51 9 2 5" xfId="9902" xr:uid="{00000000-0005-0000-0000-0000490B0000}"/>
    <cellStyle name="Style 51 9 2 5 2" xfId="28615" xr:uid="{00000000-0005-0000-0000-0000490B0000}"/>
    <cellStyle name="Style 51 9 2 5 3" xfId="46978" xr:uid="{00000000-0005-0000-0000-0000490B0000}"/>
    <cellStyle name="Style 51 9 2 6" xfId="13959" xr:uid="{00000000-0005-0000-0000-0000490B0000}"/>
    <cellStyle name="Style 51 9 2 6 2" xfId="32377" xr:uid="{00000000-0005-0000-0000-0000490B0000}"/>
    <cellStyle name="Style 51 9 2 6 3" xfId="50740" xr:uid="{00000000-0005-0000-0000-0000490B0000}"/>
    <cellStyle name="Style 51 9 2 7" xfId="23737" xr:uid="{00000000-0005-0000-0000-0000490B0000}"/>
    <cellStyle name="Style 51 9 2 7 2" xfId="42106" xr:uid="{00000000-0005-0000-0000-0000490B0000}"/>
    <cellStyle name="Style 51 9 2 8" xfId="19186" xr:uid="{00000000-0005-0000-0000-0000490B0000}"/>
    <cellStyle name="Style 51 9 2 9" xfId="37594" xr:uid="{00000000-0005-0000-0000-0000490B0000}"/>
    <cellStyle name="Style 51 9 3" xfId="6209" xr:uid="{00000000-0005-0000-0000-0000490B0000}"/>
    <cellStyle name="Style 51 9 3 2" xfId="12538" xr:uid="{00000000-0005-0000-0000-0000490B0000}"/>
    <cellStyle name="Style 51 9 3 2 2" xfId="30970" xr:uid="{00000000-0005-0000-0000-0000490B0000}"/>
    <cellStyle name="Style 51 9 3 2 3" xfId="49333" xr:uid="{00000000-0005-0000-0000-0000490B0000}"/>
    <cellStyle name="Style 51 9 3 3" xfId="16854" xr:uid="{00000000-0005-0000-0000-0000490B0000}"/>
    <cellStyle name="Style 51 9 3 3 2" xfId="35213" xr:uid="{00000000-0005-0000-0000-0000490B0000}"/>
    <cellStyle name="Style 51 9 3 3 3" xfId="53576" xr:uid="{00000000-0005-0000-0000-0000490B0000}"/>
    <cellStyle name="Style 51 9 3 4" xfId="25982" xr:uid="{00000000-0005-0000-0000-0000490B0000}"/>
    <cellStyle name="Style 51 9 3 4 2" xfId="44351" xr:uid="{00000000-0005-0000-0000-0000490B0000}"/>
    <cellStyle name="Style 51 9 3 5" xfId="22287" xr:uid="{00000000-0005-0000-0000-0000490B0000}"/>
    <cellStyle name="Style 51 9 3 6" xfId="40660" xr:uid="{00000000-0005-0000-0000-0000490B0000}"/>
    <cellStyle name="Style 51 9 4" xfId="8758" xr:uid="{00000000-0005-0000-0000-0000490B0000}"/>
    <cellStyle name="Style 51 9 4 2" xfId="27625" xr:uid="{00000000-0005-0000-0000-0000490B0000}"/>
    <cellStyle name="Style 51 9 4 3" xfId="45988" xr:uid="{00000000-0005-0000-0000-0000490B0000}"/>
    <cellStyle name="Style 51 9 5" xfId="7002" xr:uid="{00000000-0005-0000-0000-0000490B0000}"/>
    <cellStyle name="Style 51 9 5 2" xfId="26700" xr:uid="{00000000-0005-0000-0000-0000490B0000}"/>
    <cellStyle name="Style 51 9 5 3" xfId="45069" xr:uid="{00000000-0005-0000-0000-0000490B0000}"/>
    <cellStyle name="Style 51 9 6" xfId="22942" xr:uid="{00000000-0005-0000-0000-0000490B0000}"/>
    <cellStyle name="Style 51 9 6 2" xfId="41311" xr:uid="{00000000-0005-0000-0000-0000490B0000}"/>
    <cellStyle name="Style 51 9 7" xfId="8751" xr:uid="{00000000-0005-0000-0000-0000490B0000}"/>
    <cellStyle name="Style 51 9 8" xfId="35944" xr:uid="{00000000-0005-0000-0000-0000490B0000}"/>
    <cellStyle name="Style 51_Summary" xfId="2373" xr:uid="{00000000-0005-0000-0000-00004A0B0000}"/>
    <cellStyle name="Style 52" xfId="848" xr:uid="{00000000-0005-0000-0000-00004B0B0000}"/>
    <cellStyle name="Style 52 10" xfId="17841" xr:uid="{00000000-0005-0000-0000-00004B0B0000}"/>
    <cellStyle name="Style 52 10 2" xfId="36251" xr:uid="{00000000-0005-0000-0000-00004B0B0000}"/>
    <cellStyle name="Style 52 11" xfId="8624" xr:uid="{00000000-0005-0000-0000-00004B0B0000}"/>
    <cellStyle name="Style 52 12" xfId="11696" xr:uid="{00000000-0005-0000-0000-00004B0B0000}"/>
    <cellStyle name="Style 52 2" xfId="1188" xr:uid="{00000000-0005-0000-0000-00004C0B0000}"/>
    <cellStyle name="Style 52 2 2" xfId="4287" xr:uid="{00000000-0005-0000-0000-00004C0B0000}"/>
    <cellStyle name="Style 52 2 2 2" xfId="15032" xr:uid="{00000000-0005-0000-0000-00004C0B0000}"/>
    <cellStyle name="Style 52 2 2 2 2" xfId="33436" xr:uid="{00000000-0005-0000-0000-00004C0B0000}"/>
    <cellStyle name="Style 52 2 2 2 3" xfId="51799" xr:uid="{00000000-0005-0000-0000-00004C0B0000}"/>
    <cellStyle name="Style 52 2 2 3" xfId="24165" xr:uid="{00000000-0005-0000-0000-00004C0B0000}"/>
    <cellStyle name="Style 52 2 2 3 2" xfId="42534" xr:uid="{00000000-0005-0000-0000-00004C0B0000}"/>
    <cellStyle name="Style 52 2 2 4" xfId="20485" xr:uid="{00000000-0005-0000-0000-00004C0B0000}"/>
    <cellStyle name="Style 52 2 2 5" xfId="38883" xr:uid="{00000000-0005-0000-0000-00004C0B0000}"/>
    <cellStyle name="Style 52 2 3" xfId="19385" xr:uid="{00000000-0005-0000-0000-00004C0B0000}"/>
    <cellStyle name="Style 52 2 3 2" xfId="37792" xr:uid="{00000000-0005-0000-0000-00004C0B0000}"/>
    <cellStyle name="Style 52 2 4" xfId="10702" xr:uid="{00000000-0005-0000-0000-00004C0B0000}"/>
    <cellStyle name="Style 52 2 5" xfId="8450" xr:uid="{00000000-0005-0000-0000-00004C0B0000}"/>
    <cellStyle name="Style 52 3" xfId="1832" xr:uid="{00000000-0005-0000-0000-00004D0B0000}"/>
    <cellStyle name="Style 52 3 2" xfId="4758" xr:uid="{00000000-0005-0000-0000-00004D0B0000}"/>
    <cellStyle name="Style 52 3 2 2" xfId="15484" xr:uid="{00000000-0005-0000-0000-00004D0B0000}"/>
    <cellStyle name="Style 52 3 2 2 2" xfId="33877" xr:uid="{00000000-0005-0000-0000-00004D0B0000}"/>
    <cellStyle name="Style 52 3 2 2 3" xfId="52240" xr:uid="{00000000-0005-0000-0000-00004D0B0000}"/>
    <cellStyle name="Style 52 3 2 3" xfId="24608" xr:uid="{00000000-0005-0000-0000-00004D0B0000}"/>
    <cellStyle name="Style 52 3 2 3 2" xfId="42977" xr:uid="{00000000-0005-0000-0000-00004D0B0000}"/>
    <cellStyle name="Style 52 3 2 4" xfId="20935" xr:uid="{00000000-0005-0000-0000-00004D0B0000}"/>
    <cellStyle name="Style 52 3 2 5" xfId="39324" xr:uid="{00000000-0005-0000-0000-00004D0B0000}"/>
    <cellStyle name="Style 52 3 3" xfId="18739" xr:uid="{00000000-0005-0000-0000-00004D0B0000}"/>
    <cellStyle name="Style 52 3 3 2" xfId="37148" xr:uid="{00000000-0005-0000-0000-00004D0B0000}"/>
    <cellStyle name="Style 52 3 4" xfId="11618" xr:uid="{00000000-0005-0000-0000-00004D0B0000}"/>
    <cellStyle name="Style 52 3 5" xfId="7467" xr:uid="{00000000-0005-0000-0000-00004D0B0000}"/>
    <cellStyle name="Style 52 4" xfId="2244" xr:uid="{00000000-0005-0000-0000-00004E0B0000}"/>
    <cellStyle name="Style 52 4 2" xfId="4948" xr:uid="{00000000-0005-0000-0000-00004E0B0000}"/>
    <cellStyle name="Style 52 4 2 2" xfId="15667" xr:uid="{00000000-0005-0000-0000-00004E0B0000}"/>
    <cellStyle name="Style 52 4 2 2 2" xfId="34056" xr:uid="{00000000-0005-0000-0000-00004E0B0000}"/>
    <cellStyle name="Style 52 4 2 2 3" xfId="52419" xr:uid="{00000000-0005-0000-0000-00004E0B0000}"/>
    <cellStyle name="Style 52 4 2 3" xfId="24789" xr:uid="{00000000-0005-0000-0000-00004E0B0000}"/>
    <cellStyle name="Style 52 4 2 3 2" xfId="43158" xr:uid="{00000000-0005-0000-0000-00004E0B0000}"/>
    <cellStyle name="Style 52 4 2 4" xfId="21116" xr:uid="{00000000-0005-0000-0000-00004E0B0000}"/>
    <cellStyle name="Style 52 4 2 5" xfId="39503" xr:uid="{00000000-0005-0000-0000-00004E0B0000}"/>
    <cellStyle name="Style 52 4 3" xfId="18745" xr:uid="{00000000-0005-0000-0000-00004E0B0000}"/>
    <cellStyle name="Style 52 4 3 2" xfId="37154" xr:uid="{00000000-0005-0000-0000-00004E0B0000}"/>
    <cellStyle name="Style 52 4 4" xfId="7346" xr:uid="{00000000-0005-0000-0000-00004E0B0000}"/>
    <cellStyle name="Style 52 4 5" xfId="8516" xr:uid="{00000000-0005-0000-0000-00004E0B0000}"/>
    <cellStyle name="Style 52 5" xfId="2688" xr:uid="{00000000-0005-0000-0000-00004F0B0000}"/>
    <cellStyle name="Style 52 5 2" xfId="5111" xr:uid="{00000000-0005-0000-0000-00004F0B0000}"/>
    <cellStyle name="Style 52 5 2 2" xfId="15820" xr:uid="{00000000-0005-0000-0000-00004F0B0000}"/>
    <cellStyle name="Style 52 5 2 2 2" xfId="34205" xr:uid="{00000000-0005-0000-0000-00004F0B0000}"/>
    <cellStyle name="Style 52 5 2 2 3" xfId="52568" xr:uid="{00000000-0005-0000-0000-00004F0B0000}"/>
    <cellStyle name="Style 52 5 2 3" xfId="24942" xr:uid="{00000000-0005-0000-0000-00004F0B0000}"/>
    <cellStyle name="Style 52 5 2 3 2" xfId="43311" xr:uid="{00000000-0005-0000-0000-00004F0B0000}"/>
    <cellStyle name="Style 52 5 2 4" xfId="21267" xr:uid="{00000000-0005-0000-0000-00004F0B0000}"/>
    <cellStyle name="Style 52 5 2 5" xfId="39652" xr:uid="{00000000-0005-0000-0000-00004F0B0000}"/>
    <cellStyle name="Style 52 5 3" xfId="18134" xr:uid="{00000000-0005-0000-0000-00004F0B0000}"/>
    <cellStyle name="Style 52 5 3 2" xfId="36541" xr:uid="{00000000-0005-0000-0000-00004F0B0000}"/>
    <cellStyle name="Style 52 5 4" xfId="6224" xr:uid="{00000000-0005-0000-0000-00004F0B0000}"/>
    <cellStyle name="Style 52 5 5" xfId="35899" xr:uid="{00000000-0005-0000-0000-00004F0B0000}"/>
    <cellStyle name="Style 52 6" xfId="2920" xr:uid="{00000000-0005-0000-0000-0000500B0000}"/>
    <cellStyle name="Style 52 6 2" xfId="5192" xr:uid="{00000000-0005-0000-0000-0000500B0000}"/>
    <cellStyle name="Style 52 6 2 2" xfId="15884" xr:uid="{00000000-0005-0000-0000-0000500B0000}"/>
    <cellStyle name="Style 52 6 2 2 2" xfId="34258" xr:uid="{00000000-0005-0000-0000-0000500B0000}"/>
    <cellStyle name="Style 52 6 2 2 3" xfId="52621" xr:uid="{00000000-0005-0000-0000-0000500B0000}"/>
    <cellStyle name="Style 52 6 2 3" xfId="25005" xr:uid="{00000000-0005-0000-0000-0000500B0000}"/>
    <cellStyle name="Style 52 6 2 3 2" xfId="43374" xr:uid="{00000000-0005-0000-0000-0000500B0000}"/>
    <cellStyle name="Style 52 6 2 4" xfId="21326" xr:uid="{00000000-0005-0000-0000-0000500B0000}"/>
    <cellStyle name="Style 52 6 2 5" xfId="39705" xr:uid="{00000000-0005-0000-0000-0000500B0000}"/>
    <cellStyle name="Style 52 6 3" xfId="22941" xr:uid="{00000000-0005-0000-0000-0000500B0000}"/>
    <cellStyle name="Style 52 6 3 2" xfId="41310" xr:uid="{00000000-0005-0000-0000-0000500B0000}"/>
    <cellStyle name="Style 52 6 4" xfId="11626" xr:uid="{00000000-0005-0000-0000-0000500B0000}"/>
    <cellStyle name="Style 52 6 5" xfId="35943" xr:uid="{00000000-0005-0000-0000-0000500B0000}"/>
    <cellStyle name="Style 52 7" xfId="3101" xr:uid="{00000000-0005-0000-0000-0000510B0000}"/>
    <cellStyle name="Style 52 7 2" xfId="5353" xr:uid="{00000000-0005-0000-0000-0000510B0000}"/>
    <cellStyle name="Style 52 7 2 2" xfId="16045" xr:uid="{00000000-0005-0000-0000-0000510B0000}"/>
    <cellStyle name="Style 52 7 2 2 2" xfId="34419" xr:uid="{00000000-0005-0000-0000-0000510B0000}"/>
    <cellStyle name="Style 52 7 2 2 3" xfId="52782" xr:uid="{00000000-0005-0000-0000-0000510B0000}"/>
    <cellStyle name="Style 52 7 2 3" xfId="25166" xr:uid="{00000000-0005-0000-0000-0000510B0000}"/>
    <cellStyle name="Style 52 7 2 3 2" xfId="43535" xr:uid="{00000000-0005-0000-0000-0000510B0000}"/>
    <cellStyle name="Style 52 7 2 4" xfId="21487" xr:uid="{00000000-0005-0000-0000-0000510B0000}"/>
    <cellStyle name="Style 52 7 2 5" xfId="39866" xr:uid="{00000000-0005-0000-0000-0000510B0000}"/>
    <cellStyle name="Style 52 7 3" xfId="23103" xr:uid="{00000000-0005-0000-0000-0000510B0000}"/>
    <cellStyle name="Style 52 7 3 2" xfId="41472" xr:uid="{00000000-0005-0000-0000-0000510B0000}"/>
    <cellStyle name="Style 52 7 4" xfId="17663" xr:uid="{00000000-0005-0000-0000-0000510B0000}"/>
    <cellStyle name="Style 52 7 5" xfId="36105" xr:uid="{00000000-0005-0000-0000-0000510B0000}"/>
    <cellStyle name="Style 52 8" xfId="3199" xr:uid="{00000000-0005-0000-0000-0000520B0000}"/>
    <cellStyle name="Style 52 8 2" xfId="5405" xr:uid="{00000000-0005-0000-0000-0000520B0000}"/>
    <cellStyle name="Style 52 8 2 2" xfId="16096" xr:uid="{00000000-0005-0000-0000-0000520B0000}"/>
    <cellStyle name="Style 52 8 2 2 2" xfId="34468" xr:uid="{00000000-0005-0000-0000-0000520B0000}"/>
    <cellStyle name="Style 52 8 2 2 3" xfId="52831" xr:uid="{00000000-0005-0000-0000-0000520B0000}"/>
    <cellStyle name="Style 52 8 2 3" xfId="25215" xr:uid="{00000000-0005-0000-0000-0000520B0000}"/>
    <cellStyle name="Style 52 8 2 3 2" xfId="43584" xr:uid="{00000000-0005-0000-0000-0000520B0000}"/>
    <cellStyle name="Style 52 8 2 4" xfId="21536" xr:uid="{00000000-0005-0000-0000-0000520B0000}"/>
    <cellStyle name="Style 52 8 2 5" xfId="39915" xr:uid="{00000000-0005-0000-0000-0000520B0000}"/>
    <cellStyle name="Style 52 8 3" xfId="23144" xr:uid="{00000000-0005-0000-0000-0000520B0000}"/>
    <cellStyle name="Style 52 8 3 2" xfId="41513" xr:uid="{00000000-0005-0000-0000-0000520B0000}"/>
    <cellStyle name="Style 52 8 4" xfId="17725" xr:uid="{00000000-0005-0000-0000-0000520B0000}"/>
    <cellStyle name="Style 52 8 5" xfId="36146" xr:uid="{00000000-0005-0000-0000-0000520B0000}"/>
    <cellStyle name="Style 52 9" xfId="4142" xr:uid="{00000000-0005-0000-0000-00004B0B0000}"/>
    <cellStyle name="Style 52 9 2" xfId="14896" xr:uid="{00000000-0005-0000-0000-00004B0B0000}"/>
    <cellStyle name="Style 52 9 2 2" xfId="33302" xr:uid="{00000000-0005-0000-0000-00004B0B0000}"/>
    <cellStyle name="Style 52 9 2 3" xfId="51665" xr:uid="{00000000-0005-0000-0000-00004B0B0000}"/>
    <cellStyle name="Style 52 9 3" xfId="24027" xr:uid="{00000000-0005-0000-0000-00004B0B0000}"/>
    <cellStyle name="Style 52 9 3 2" xfId="42396" xr:uid="{00000000-0005-0000-0000-00004B0B0000}"/>
    <cellStyle name="Style 52 9 4" xfId="20350" xr:uid="{00000000-0005-0000-0000-00004B0B0000}"/>
    <cellStyle name="Style 52 9 5" xfId="38749" xr:uid="{00000000-0005-0000-0000-00004B0B0000}"/>
    <cellStyle name="Style 53" xfId="849" xr:uid="{00000000-0005-0000-0000-0000530B0000}"/>
    <cellStyle name="Style 53 10" xfId="18308" xr:uid="{00000000-0005-0000-0000-0000530B0000}"/>
    <cellStyle name="Style 53 10 2" xfId="36714" xr:uid="{00000000-0005-0000-0000-0000530B0000}"/>
    <cellStyle name="Style 53 11" xfId="7308" xr:uid="{00000000-0005-0000-0000-0000530B0000}"/>
    <cellStyle name="Style 53 12" xfId="17671" xr:uid="{00000000-0005-0000-0000-0000530B0000}"/>
    <cellStyle name="Style 53 2" xfId="1189" xr:uid="{00000000-0005-0000-0000-0000540B0000}"/>
    <cellStyle name="Style 53 2 2" xfId="4288" xr:uid="{00000000-0005-0000-0000-0000540B0000}"/>
    <cellStyle name="Style 53 2 2 2" xfId="15033" xr:uid="{00000000-0005-0000-0000-0000540B0000}"/>
    <cellStyle name="Style 53 2 2 2 2" xfId="33437" xr:uid="{00000000-0005-0000-0000-0000540B0000}"/>
    <cellStyle name="Style 53 2 2 2 3" xfId="51800" xr:uid="{00000000-0005-0000-0000-0000540B0000}"/>
    <cellStyle name="Style 53 2 2 3" xfId="24166" xr:uid="{00000000-0005-0000-0000-0000540B0000}"/>
    <cellStyle name="Style 53 2 2 3 2" xfId="42535" xr:uid="{00000000-0005-0000-0000-0000540B0000}"/>
    <cellStyle name="Style 53 2 2 4" xfId="20486" xr:uid="{00000000-0005-0000-0000-0000540B0000}"/>
    <cellStyle name="Style 53 2 2 5" xfId="38884" xr:uid="{00000000-0005-0000-0000-0000540B0000}"/>
    <cellStyle name="Style 53 2 3" xfId="18989" xr:uid="{00000000-0005-0000-0000-0000540B0000}"/>
    <cellStyle name="Style 53 2 3 2" xfId="37398" xr:uid="{00000000-0005-0000-0000-0000540B0000}"/>
    <cellStyle name="Style 53 2 4" xfId="7127" xr:uid="{00000000-0005-0000-0000-0000540B0000}"/>
    <cellStyle name="Style 53 2 5" xfId="12448" xr:uid="{00000000-0005-0000-0000-0000540B0000}"/>
    <cellStyle name="Style 53 3" xfId="1831" xr:uid="{00000000-0005-0000-0000-0000550B0000}"/>
    <cellStyle name="Style 53 3 2" xfId="4757" xr:uid="{00000000-0005-0000-0000-0000550B0000}"/>
    <cellStyle name="Style 53 3 2 2" xfId="15483" xr:uid="{00000000-0005-0000-0000-0000550B0000}"/>
    <cellStyle name="Style 53 3 2 2 2" xfId="33876" xr:uid="{00000000-0005-0000-0000-0000550B0000}"/>
    <cellStyle name="Style 53 3 2 2 3" xfId="52239" xr:uid="{00000000-0005-0000-0000-0000550B0000}"/>
    <cellStyle name="Style 53 3 2 3" xfId="24607" xr:uid="{00000000-0005-0000-0000-0000550B0000}"/>
    <cellStyle name="Style 53 3 2 3 2" xfId="42976" xr:uid="{00000000-0005-0000-0000-0000550B0000}"/>
    <cellStyle name="Style 53 3 2 4" xfId="20934" xr:uid="{00000000-0005-0000-0000-0000550B0000}"/>
    <cellStyle name="Style 53 3 2 5" xfId="39323" xr:uid="{00000000-0005-0000-0000-0000550B0000}"/>
    <cellStyle name="Style 53 3 3" xfId="18536" xr:uid="{00000000-0005-0000-0000-0000550B0000}"/>
    <cellStyle name="Style 53 3 3 2" xfId="36945" xr:uid="{00000000-0005-0000-0000-0000550B0000}"/>
    <cellStyle name="Style 53 3 4" xfId="7141" xr:uid="{00000000-0005-0000-0000-0000550B0000}"/>
    <cellStyle name="Style 53 3 5" xfId="7570" xr:uid="{00000000-0005-0000-0000-0000550B0000}"/>
    <cellStyle name="Style 53 4" xfId="2245" xr:uid="{00000000-0005-0000-0000-0000560B0000}"/>
    <cellStyle name="Style 53 4 2" xfId="4949" xr:uid="{00000000-0005-0000-0000-0000560B0000}"/>
    <cellStyle name="Style 53 4 2 2" xfId="15668" xr:uid="{00000000-0005-0000-0000-0000560B0000}"/>
    <cellStyle name="Style 53 4 2 2 2" xfId="34057" xr:uid="{00000000-0005-0000-0000-0000560B0000}"/>
    <cellStyle name="Style 53 4 2 2 3" xfId="52420" xr:uid="{00000000-0005-0000-0000-0000560B0000}"/>
    <cellStyle name="Style 53 4 2 3" xfId="24790" xr:uid="{00000000-0005-0000-0000-0000560B0000}"/>
    <cellStyle name="Style 53 4 2 3 2" xfId="43159" xr:uid="{00000000-0005-0000-0000-0000560B0000}"/>
    <cellStyle name="Style 53 4 2 4" xfId="21117" xr:uid="{00000000-0005-0000-0000-0000560B0000}"/>
    <cellStyle name="Style 53 4 2 5" xfId="39504" xr:uid="{00000000-0005-0000-0000-0000560B0000}"/>
    <cellStyle name="Style 53 4 3" xfId="18013" xr:uid="{00000000-0005-0000-0000-0000560B0000}"/>
    <cellStyle name="Style 53 4 3 2" xfId="36421" xr:uid="{00000000-0005-0000-0000-0000560B0000}"/>
    <cellStyle name="Style 53 4 4" xfId="7347" xr:uid="{00000000-0005-0000-0000-0000560B0000}"/>
    <cellStyle name="Style 53 4 5" xfId="7183" xr:uid="{00000000-0005-0000-0000-0000560B0000}"/>
    <cellStyle name="Style 53 5" xfId="2689" xr:uid="{00000000-0005-0000-0000-0000570B0000}"/>
    <cellStyle name="Style 53 5 2" xfId="5112" xr:uid="{00000000-0005-0000-0000-0000570B0000}"/>
    <cellStyle name="Style 53 5 2 2" xfId="15821" xr:uid="{00000000-0005-0000-0000-0000570B0000}"/>
    <cellStyle name="Style 53 5 2 2 2" xfId="34206" xr:uid="{00000000-0005-0000-0000-0000570B0000}"/>
    <cellStyle name="Style 53 5 2 2 3" xfId="52569" xr:uid="{00000000-0005-0000-0000-0000570B0000}"/>
    <cellStyle name="Style 53 5 2 3" xfId="24943" xr:uid="{00000000-0005-0000-0000-0000570B0000}"/>
    <cellStyle name="Style 53 5 2 3 2" xfId="43312" xr:uid="{00000000-0005-0000-0000-0000570B0000}"/>
    <cellStyle name="Style 53 5 2 4" xfId="21268" xr:uid="{00000000-0005-0000-0000-0000570B0000}"/>
    <cellStyle name="Style 53 5 2 5" xfId="39653" xr:uid="{00000000-0005-0000-0000-0000570B0000}"/>
    <cellStyle name="Style 53 5 3" xfId="18135" xr:uid="{00000000-0005-0000-0000-0000570B0000}"/>
    <cellStyle name="Style 53 5 3 2" xfId="36542" xr:uid="{00000000-0005-0000-0000-0000570B0000}"/>
    <cellStyle name="Style 53 5 4" xfId="7896" xr:uid="{00000000-0005-0000-0000-0000570B0000}"/>
    <cellStyle name="Style 53 5 5" xfId="35900" xr:uid="{00000000-0005-0000-0000-0000570B0000}"/>
    <cellStyle name="Style 53 6" xfId="2919" xr:uid="{00000000-0005-0000-0000-0000580B0000}"/>
    <cellStyle name="Style 53 6 2" xfId="5191" xr:uid="{00000000-0005-0000-0000-0000580B0000}"/>
    <cellStyle name="Style 53 6 2 2" xfId="15883" xr:uid="{00000000-0005-0000-0000-0000580B0000}"/>
    <cellStyle name="Style 53 6 2 2 2" xfId="34257" xr:uid="{00000000-0005-0000-0000-0000580B0000}"/>
    <cellStyle name="Style 53 6 2 2 3" xfId="52620" xr:uid="{00000000-0005-0000-0000-0000580B0000}"/>
    <cellStyle name="Style 53 6 2 3" xfId="25004" xr:uid="{00000000-0005-0000-0000-0000580B0000}"/>
    <cellStyle name="Style 53 6 2 3 2" xfId="43373" xr:uid="{00000000-0005-0000-0000-0000580B0000}"/>
    <cellStyle name="Style 53 6 2 4" xfId="21325" xr:uid="{00000000-0005-0000-0000-0000580B0000}"/>
    <cellStyle name="Style 53 6 2 5" xfId="39704" xr:uid="{00000000-0005-0000-0000-0000580B0000}"/>
    <cellStyle name="Style 53 6 3" xfId="22940" xr:uid="{00000000-0005-0000-0000-0000580B0000}"/>
    <cellStyle name="Style 53 6 3 2" xfId="41309" xr:uid="{00000000-0005-0000-0000-0000580B0000}"/>
    <cellStyle name="Style 53 6 4" xfId="8614" xr:uid="{00000000-0005-0000-0000-0000580B0000}"/>
    <cellStyle name="Style 53 6 5" xfId="35942" xr:uid="{00000000-0005-0000-0000-0000580B0000}"/>
    <cellStyle name="Style 53 7" xfId="3102" xr:uid="{00000000-0005-0000-0000-0000590B0000}"/>
    <cellStyle name="Style 53 7 2" xfId="5354" xr:uid="{00000000-0005-0000-0000-0000590B0000}"/>
    <cellStyle name="Style 53 7 2 2" xfId="16046" xr:uid="{00000000-0005-0000-0000-0000590B0000}"/>
    <cellStyle name="Style 53 7 2 2 2" xfId="34420" xr:uid="{00000000-0005-0000-0000-0000590B0000}"/>
    <cellStyle name="Style 53 7 2 2 3" xfId="52783" xr:uid="{00000000-0005-0000-0000-0000590B0000}"/>
    <cellStyle name="Style 53 7 2 3" xfId="25167" xr:uid="{00000000-0005-0000-0000-0000590B0000}"/>
    <cellStyle name="Style 53 7 2 3 2" xfId="43536" xr:uid="{00000000-0005-0000-0000-0000590B0000}"/>
    <cellStyle name="Style 53 7 2 4" xfId="21488" xr:uid="{00000000-0005-0000-0000-0000590B0000}"/>
    <cellStyle name="Style 53 7 2 5" xfId="39867" xr:uid="{00000000-0005-0000-0000-0000590B0000}"/>
    <cellStyle name="Style 53 7 3" xfId="23104" xr:uid="{00000000-0005-0000-0000-0000590B0000}"/>
    <cellStyle name="Style 53 7 3 2" xfId="41473" xr:uid="{00000000-0005-0000-0000-0000590B0000}"/>
    <cellStyle name="Style 53 7 4" xfId="17664" xr:uid="{00000000-0005-0000-0000-0000590B0000}"/>
    <cellStyle name="Style 53 7 5" xfId="36106" xr:uid="{00000000-0005-0000-0000-0000590B0000}"/>
    <cellStyle name="Style 53 8" xfId="3198" xr:uid="{00000000-0005-0000-0000-00005A0B0000}"/>
    <cellStyle name="Style 53 8 2" xfId="5404" xr:uid="{00000000-0005-0000-0000-00005A0B0000}"/>
    <cellStyle name="Style 53 8 2 2" xfId="16095" xr:uid="{00000000-0005-0000-0000-00005A0B0000}"/>
    <cellStyle name="Style 53 8 2 2 2" xfId="34467" xr:uid="{00000000-0005-0000-0000-00005A0B0000}"/>
    <cellStyle name="Style 53 8 2 2 3" xfId="52830" xr:uid="{00000000-0005-0000-0000-00005A0B0000}"/>
    <cellStyle name="Style 53 8 2 3" xfId="25214" xr:uid="{00000000-0005-0000-0000-00005A0B0000}"/>
    <cellStyle name="Style 53 8 2 3 2" xfId="43583" xr:uid="{00000000-0005-0000-0000-00005A0B0000}"/>
    <cellStyle name="Style 53 8 2 4" xfId="21535" xr:uid="{00000000-0005-0000-0000-00005A0B0000}"/>
    <cellStyle name="Style 53 8 2 5" xfId="39914" xr:uid="{00000000-0005-0000-0000-00005A0B0000}"/>
    <cellStyle name="Style 53 8 3" xfId="23143" xr:uid="{00000000-0005-0000-0000-00005A0B0000}"/>
    <cellStyle name="Style 53 8 3 2" xfId="41512" xr:uid="{00000000-0005-0000-0000-00005A0B0000}"/>
    <cellStyle name="Style 53 8 4" xfId="17724" xr:uid="{00000000-0005-0000-0000-00005A0B0000}"/>
    <cellStyle name="Style 53 8 5" xfId="36145" xr:uid="{00000000-0005-0000-0000-00005A0B0000}"/>
    <cellStyle name="Style 53 9" xfId="4143" xr:uid="{00000000-0005-0000-0000-0000530B0000}"/>
    <cellStyle name="Style 53 9 2" xfId="14897" xr:uid="{00000000-0005-0000-0000-0000530B0000}"/>
    <cellStyle name="Style 53 9 2 2" xfId="33303" xr:uid="{00000000-0005-0000-0000-0000530B0000}"/>
    <cellStyle name="Style 53 9 2 3" xfId="51666" xr:uid="{00000000-0005-0000-0000-0000530B0000}"/>
    <cellStyle name="Style 53 9 3" xfId="24028" xr:uid="{00000000-0005-0000-0000-0000530B0000}"/>
    <cellStyle name="Style 53 9 3 2" xfId="42397" xr:uid="{00000000-0005-0000-0000-0000530B0000}"/>
    <cellStyle name="Style 53 9 4" xfId="20351" xr:uid="{00000000-0005-0000-0000-0000530B0000}"/>
    <cellStyle name="Style 53 9 5" xfId="38750" xr:uid="{00000000-0005-0000-0000-0000530B0000}"/>
    <cellStyle name="Style 87" xfId="850" xr:uid="{00000000-0005-0000-0000-00005B0B0000}"/>
    <cellStyle name="Style 93" xfId="851" xr:uid="{00000000-0005-0000-0000-00005C0B0000}"/>
    <cellStyle name="Style 93 2" xfId="2246" xr:uid="{00000000-0005-0000-0000-00005D0B0000}"/>
    <cellStyle name="Style 93 3" xfId="2388" xr:uid="{00000000-0005-0000-0000-00005E0B0000}"/>
    <cellStyle name="SubDollar" xfId="852" xr:uid="{00000000-0005-0000-0000-00005F0B0000}"/>
    <cellStyle name="SubGrowth" xfId="853" xr:uid="{00000000-0005-0000-0000-0000600B0000}"/>
    <cellStyle name="SubGrowthRate" xfId="854" xr:uid="{00000000-0005-0000-0000-0000610B0000}"/>
    <cellStyle name="Subhead" xfId="855" xr:uid="{00000000-0005-0000-0000-0000620B0000}"/>
    <cellStyle name="Subhead 2" xfId="2247" xr:uid="{00000000-0005-0000-0000-0000630B0000}"/>
    <cellStyle name="Subhead 3" xfId="2690" xr:uid="{00000000-0005-0000-0000-0000640B0000}"/>
    <cellStyle name="Sub-Heading" xfId="856" xr:uid="{00000000-0005-0000-0000-0000650B0000}"/>
    <cellStyle name="Sub-Heading 2" xfId="2248" xr:uid="{00000000-0005-0000-0000-0000660B0000}"/>
    <cellStyle name="Sub-Heading 3" xfId="2691" xr:uid="{00000000-0005-0000-0000-0000670B0000}"/>
    <cellStyle name="SubHeading1" xfId="857" xr:uid="{00000000-0005-0000-0000-0000680B0000}"/>
    <cellStyle name="SubHeading1 2" xfId="2249" xr:uid="{00000000-0005-0000-0000-0000690B0000}"/>
    <cellStyle name="SubHeading1 3" xfId="2692" xr:uid="{00000000-0005-0000-0000-00006A0B0000}"/>
    <cellStyle name="SubMargins" xfId="858" xr:uid="{00000000-0005-0000-0000-00006B0B0000}"/>
    <cellStyle name="Subscribers" xfId="859" xr:uid="{00000000-0005-0000-0000-00006C0B0000}"/>
    <cellStyle name="Subscribers 2" xfId="2250" xr:uid="{00000000-0005-0000-0000-00006D0B0000}"/>
    <cellStyle name="Subscribers 3" xfId="2693" xr:uid="{00000000-0005-0000-0000-00006E0B0000}"/>
    <cellStyle name="Subtitle" xfId="860" xr:uid="{00000000-0005-0000-0000-00006F0B0000}"/>
    <cellStyle name="Subtitle 2" xfId="2251" xr:uid="{00000000-0005-0000-0000-0000700B0000}"/>
    <cellStyle name="Subtitle 3" xfId="2694" xr:uid="{00000000-0005-0000-0000-0000710B0000}"/>
    <cellStyle name="Subtotal_left" xfId="861" xr:uid="{00000000-0005-0000-0000-0000720B0000}"/>
    <cellStyle name="SubVariable" xfId="862" xr:uid="{00000000-0005-0000-0000-0000730B0000}"/>
    <cellStyle name="summary info only" xfId="863" xr:uid="{00000000-0005-0000-0000-0000740B0000}"/>
    <cellStyle name="SymbolBlue" xfId="864" xr:uid="{00000000-0005-0000-0000-0000750B0000}"/>
    <cellStyle name="SymbolBlue 10" xfId="19337" xr:uid="{00000000-0005-0000-0000-0000750B0000}"/>
    <cellStyle name="SymbolBlue 10 2" xfId="37744" xr:uid="{00000000-0005-0000-0000-0000750B0000}"/>
    <cellStyle name="SymbolBlue 11" xfId="11788" xr:uid="{00000000-0005-0000-0000-0000750B0000}"/>
    <cellStyle name="SymbolBlue 12" xfId="22254" xr:uid="{00000000-0005-0000-0000-0000750B0000}"/>
    <cellStyle name="SymbolBlue 2" xfId="1190" xr:uid="{00000000-0005-0000-0000-0000760B0000}"/>
    <cellStyle name="SymbolBlue 2 2" xfId="4289" xr:uid="{00000000-0005-0000-0000-0000760B0000}"/>
    <cellStyle name="SymbolBlue 2 2 2" xfId="15034" xr:uid="{00000000-0005-0000-0000-0000760B0000}"/>
    <cellStyle name="SymbolBlue 2 2 2 2" xfId="33438" xr:uid="{00000000-0005-0000-0000-0000760B0000}"/>
    <cellStyle name="SymbolBlue 2 2 2 3" xfId="51801" xr:uid="{00000000-0005-0000-0000-0000760B0000}"/>
    <cellStyle name="SymbolBlue 2 2 3" xfId="24167" xr:uid="{00000000-0005-0000-0000-0000760B0000}"/>
    <cellStyle name="SymbolBlue 2 2 3 2" xfId="42536" xr:uid="{00000000-0005-0000-0000-0000760B0000}"/>
    <cellStyle name="SymbolBlue 2 2 4" xfId="20487" xr:uid="{00000000-0005-0000-0000-0000760B0000}"/>
    <cellStyle name="SymbolBlue 2 2 5" xfId="38885" xr:uid="{00000000-0005-0000-0000-0000760B0000}"/>
    <cellStyle name="SymbolBlue 2 3" xfId="18342" xr:uid="{00000000-0005-0000-0000-0000760B0000}"/>
    <cellStyle name="SymbolBlue 2 3 2" xfId="36748" xr:uid="{00000000-0005-0000-0000-0000760B0000}"/>
    <cellStyle name="SymbolBlue 2 4" xfId="7317" xr:uid="{00000000-0005-0000-0000-0000760B0000}"/>
    <cellStyle name="SymbolBlue 2 5" xfId="6966" xr:uid="{00000000-0005-0000-0000-0000760B0000}"/>
    <cellStyle name="SymbolBlue 3" xfId="1830" xr:uid="{00000000-0005-0000-0000-0000770B0000}"/>
    <cellStyle name="SymbolBlue 3 2" xfId="4756" xr:uid="{00000000-0005-0000-0000-0000770B0000}"/>
    <cellStyle name="SymbolBlue 3 2 2" xfId="15482" xr:uid="{00000000-0005-0000-0000-0000770B0000}"/>
    <cellStyle name="SymbolBlue 3 2 2 2" xfId="33875" xr:uid="{00000000-0005-0000-0000-0000770B0000}"/>
    <cellStyle name="SymbolBlue 3 2 2 3" xfId="52238" xr:uid="{00000000-0005-0000-0000-0000770B0000}"/>
    <cellStyle name="SymbolBlue 3 2 3" xfId="24606" xr:uid="{00000000-0005-0000-0000-0000770B0000}"/>
    <cellStyle name="SymbolBlue 3 2 3 2" xfId="42975" xr:uid="{00000000-0005-0000-0000-0000770B0000}"/>
    <cellStyle name="SymbolBlue 3 2 4" xfId="20933" xr:uid="{00000000-0005-0000-0000-0000770B0000}"/>
    <cellStyle name="SymbolBlue 3 2 5" xfId="39322" xr:uid="{00000000-0005-0000-0000-0000770B0000}"/>
    <cellStyle name="SymbolBlue 3 3" xfId="18976" xr:uid="{00000000-0005-0000-0000-0000770B0000}"/>
    <cellStyle name="SymbolBlue 3 3 2" xfId="37385" xr:uid="{00000000-0005-0000-0000-0000770B0000}"/>
    <cellStyle name="SymbolBlue 3 4" xfId="8817" xr:uid="{00000000-0005-0000-0000-0000770B0000}"/>
    <cellStyle name="SymbolBlue 3 5" xfId="6959" xr:uid="{00000000-0005-0000-0000-0000770B0000}"/>
    <cellStyle name="SymbolBlue 4" xfId="2252" xr:uid="{00000000-0005-0000-0000-0000780B0000}"/>
    <cellStyle name="SymbolBlue 4 2" xfId="4950" xr:uid="{00000000-0005-0000-0000-0000780B0000}"/>
    <cellStyle name="SymbolBlue 4 2 2" xfId="15669" xr:uid="{00000000-0005-0000-0000-0000780B0000}"/>
    <cellStyle name="SymbolBlue 4 2 2 2" xfId="34058" xr:uid="{00000000-0005-0000-0000-0000780B0000}"/>
    <cellStyle name="SymbolBlue 4 2 2 3" xfId="52421" xr:uid="{00000000-0005-0000-0000-0000780B0000}"/>
    <cellStyle name="SymbolBlue 4 2 3" xfId="24791" xr:uid="{00000000-0005-0000-0000-0000780B0000}"/>
    <cellStyle name="SymbolBlue 4 2 3 2" xfId="43160" xr:uid="{00000000-0005-0000-0000-0000780B0000}"/>
    <cellStyle name="SymbolBlue 4 2 4" xfId="21118" xr:uid="{00000000-0005-0000-0000-0000780B0000}"/>
    <cellStyle name="SymbolBlue 4 2 5" xfId="39505" xr:uid="{00000000-0005-0000-0000-0000780B0000}"/>
    <cellStyle name="SymbolBlue 4 3" xfId="19525" xr:uid="{00000000-0005-0000-0000-0000780B0000}"/>
    <cellStyle name="SymbolBlue 4 3 2" xfId="37931" xr:uid="{00000000-0005-0000-0000-0000780B0000}"/>
    <cellStyle name="SymbolBlue 4 4" xfId="8868" xr:uid="{00000000-0005-0000-0000-0000780B0000}"/>
    <cellStyle name="SymbolBlue 4 5" xfId="7034" xr:uid="{00000000-0005-0000-0000-0000780B0000}"/>
    <cellStyle name="SymbolBlue 5" xfId="2695" xr:uid="{00000000-0005-0000-0000-0000790B0000}"/>
    <cellStyle name="SymbolBlue 5 2" xfId="5113" xr:uid="{00000000-0005-0000-0000-0000790B0000}"/>
    <cellStyle name="SymbolBlue 5 2 2" xfId="15822" xr:uid="{00000000-0005-0000-0000-0000790B0000}"/>
    <cellStyle name="SymbolBlue 5 2 2 2" xfId="34207" xr:uid="{00000000-0005-0000-0000-0000790B0000}"/>
    <cellStyle name="SymbolBlue 5 2 2 3" xfId="52570" xr:uid="{00000000-0005-0000-0000-0000790B0000}"/>
    <cellStyle name="SymbolBlue 5 2 3" xfId="24944" xr:uid="{00000000-0005-0000-0000-0000790B0000}"/>
    <cellStyle name="SymbolBlue 5 2 3 2" xfId="43313" xr:uid="{00000000-0005-0000-0000-0000790B0000}"/>
    <cellStyle name="SymbolBlue 5 2 4" xfId="21269" xr:uid="{00000000-0005-0000-0000-0000790B0000}"/>
    <cellStyle name="SymbolBlue 5 2 5" xfId="39654" xr:uid="{00000000-0005-0000-0000-0000790B0000}"/>
    <cellStyle name="SymbolBlue 5 3" xfId="18585" xr:uid="{00000000-0005-0000-0000-0000790B0000}"/>
    <cellStyle name="SymbolBlue 5 3 2" xfId="36995" xr:uid="{00000000-0005-0000-0000-0000790B0000}"/>
    <cellStyle name="SymbolBlue 5 4" xfId="10637" xr:uid="{00000000-0005-0000-0000-0000790B0000}"/>
    <cellStyle name="SymbolBlue 5 5" xfId="35901" xr:uid="{00000000-0005-0000-0000-0000790B0000}"/>
    <cellStyle name="SymbolBlue 6" xfId="2918" xr:uid="{00000000-0005-0000-0000-00007A0B0000}"/>
    <cellStyle name="SymbolBlue 6 2" xfId="5190" xr:uid="{00000000-0005-0000-0000-00007A0B0000}"/>
    <cellStyle name="SymbolBlue 6 2 2" xfId="15882" xr:uid="{00000000-0005-0000-0000-00007A0B0000}"/>
    <cellStyle name="SymbolBlue 6 2 2 2" xfId="34256" xr:uid="{00000000-0005-0000-0000-00007A0B0000}"/>
    <cellStyle name="SymbolBlue 6 2 2 3" xfId="52619" xr:uid="{00000000-0005-0000-0000-00007A0B0000}"/>
    <cellStyle name="SymbolBlue 6 2 3" xfId="25003" xr:uid="{00000000-0005-0000-0000-00007A0B0000}"/>
    <cellStyle name="SymbolBlue 6 2 3 2" xfId="43372" xr:uid="{00000000-0005-0000-0000-00007A0B0000}"/>
    <cellStyle name="SymbolBlue 6 2 4" xfId="21324" xr:uid="{00000000-0005-0000-0000-00007A0B0000}"/>
    <cellStyle name="SymbolBlue 6 2 5" xfId="39703" xr:uid="{00000000-0005-0000-0000-00007A0B0000}"/>
    <cellStyle name="SymbolBlue 6 3" xfId="22939" xr:uid="{00000000-0005-0000-0000-00007A0B0000}"/>
    <cellStyle name="SymbolBlue 6 3 2" xfId="41308" xr:uid="{00000000-0005-0000-0000-00007A0B0000}"/>
    <cellStyle name="SymbolBlue 6 4" xfId="11488" xr:uid="{00000000-0005-0000-0000-00007A0B0000}"/>
    <cellStyle name="SymbolBlue 6 5" xfId="35941" xr:uid="{00000000-0005-0000-0000-00007A0B0000}"/>
    <cellStyle name="SymbolBlue 7" xfId="3104" xr:uid="{00000000-0005-0000-0000-00007B0B0000}"/>
    <cellStyle name="SymbolBlue 7 2" xfId="5356" xr:uid="{00000000-0005-0000-0000-00007B0B0000}"/>
    <cellStyle name="SymbolBlue 7 2 2" xfId="16048" xr:uid="{00000000-0005-0000-0000-00007B0B0000}"/>
    <cellStyle name="SymbolBlue 7 2 2 2" xfId="34422" xr:uid="{00000000-0005-0000-0000-00007B0B0000}"/>
    <cellStyle name="SymbolBlue 7 2 2 3" xfId="52785" xr:uid="{00000000-0005-0000-0000-00007B0B0000}"/>
    <cellStyle name="SymbolBlue 7 2 3" xfId="25169" xr:uid="{00000000-0005-0000-0000-00007B0B0000}"/>
    <cellStyle name="SymbolBlue 7 2 3 2" xfId="43538" xr:uid="{00000000-0005-0000-0000-00007B0B0000}"/>
    <cellStyle name="SymbolBlue 7 2 4" xfId="21490" xr:uid="{00000000-0005-0000-0000-00007B0B0000}"/>
    <cellStyle name="SymbolBlue 7 2 5" xfId="39869" xr:uid="{00000000-0005-0000-0000-00007B0B0000}"/>
    <cellStyle name="SymbolBlue 7 3" xfId="23106" xr:uid="{00000000-0005-0000-0000-00007B0B0000}"/>
    <cellStyle name="SymbolBlue 7 3 2" xfId="41475" xr:uid="{00000000-0005-0000-0000-00007B0B0000}"/>
    <cellStyle name="SymbolBlue 7 4" xfId="17666" xr:uid="{00000000-0005-0000-0000-00007B0B0000}"/>
    <cellStyle name="SymbolBlue 7 5" xfId="36108" xr:uid="{00000000-0005-0000-0000-00007B0B0000}"/>
    <cellStyle name="SymbolBlue 8" xfId="3197" xr:uid="{00000000-0005-0000-0000-00007C0B0000}"/>
    <cellStyle name="SymbolBlue 8 2" xfId="5403" xr:uid="{00000000-0005-0000-0000-00007C0B0000}"/>
    <cellStyle name="SymbolBlue 8 2 2" xfId="16094" xr:uid="{00000000-0005-0000-0000-00007C0B0000}"/>
    <cellStyle name="SymbolBlue 8 2 2 2" xfId="34466" xr:uid="{00000000-0005-0000-0000-00007C0B0000}"/>
    <cellStyle name="SymbolBlue 8 2 2 3" xfId="52829" xr:uid="{00000000-0005-0000-0000-00007C0B0000}"/>
    <cellStyle name="SymbolBlue 8 2 3" xfId="25213" xr:uid="{00000000-0005-0000-0000-00007C0B0000}"/>
    <cellStyle name="SymbolBlue 8 2 3 2" xfId="43582" xr:uid="{00000000-0005-0000-0000-00007C0B0000}"/>
    <cellStyle name="SymbolBlue 8 2 4" xfId="21534" xr:uid="{00000000-0005-0000-0000-00007C0B0000}"/>
    <cellStyle name="SymbolBlue 8 2 5" xfId="39913" xr:uid="{00000000-0005-0000-0000-00007C0B0000}"/>
    <cellStyle name="SymbolBlue 8 3" xfId="23142" xr:uid="{00000000-0005-0000-0000-00007C0B0000}"/>
    <cellStyle name="SymbolBlue 8 3 2" xfId="41511" xr:uid="{00000000-0005-0000-0000-00007C0B0000}"/>
    <cellStyle name="SymbolBlue 8 4" xfId="17723" xr:uid="{00000000-0005-0000-0000-00007C0B0000}"/>
    <cellStyle name="SymbolBlue 8 5" xfId="36144" xr:uid="{00000000-0005-0000-0000-00007C0B0000}"/>
    <cellStyle name="SymbolBlue 9" xfId="4144" xr:uid="{00000000-0005-0000-0000-0000750B0000}"/>
    <cellStyle name="SymbolBlue 9 2" xfId="14898" xr:uid="{00000000-0005-0000-0000-0000750B0000}"/>
    <cellStyle name="SymbolBlue 9 2 2" xfId="33304" xr:uid="{00000000-0005-0000-0000-0000750B0000}"/>
    <cellStyle name="SymbolBlue 9 2 3" xfId="51667" xr:uid="{00000000-0005-0000-0000-0000750B0000}"/>
    <cellStyle name="SymbolBlue 9 3" xfId="24029" xr:uid="{00000000-0005-0000-0000-0000750B0000}"/>
    <cellStyle name="SymbolBlue 9 3 2" xfId="42398" xr:uid="{00000000-0005-0000-0000-0000750B0000}"/>
    <cellStyle name="SymbolBlue 9 4" xfId="20352" xr:uid="{00000000-0005-0000-0000-0000750B0000}"/>
    <cellStyle name="SymbolBlue 9 5" xfId="38751" xr:uid="{00000000-0005-0000-0000-0000750B0000}"/>
    <cellStyle name="Table" xfId="865" xr:uid="{00000000-0005-0000-0000-00007D0B0000}"/>
    <cellStyle name="Table 2" xfId="2253" xr:uid="{00000000-0005-0000-0000-00007E0B0000}"/>
    <cellStyle name="Table 3" xfId="2696" xr:uid="{00000000-0005-0000-0000-00007F0B0000}"/>
    <cellStyle name="Table Col Head" xfId="866" xr:uid="{00000000-0005-0000-0000-0000800B0000}"/>
    <cellStyle name="Table Col Head 2" xfId="2254" xr:uid="{00000000-0005-0000-0000-0000810B0000}"/>
    <cellStyle name="Table Col Head 3" xfId="2697" xr:uid="{00000000-0005-0000-0000-0000820B0000}"/>
    <cellStyle name="Table Head" xfId="867" xr:uid="{00000000-0005-0000-0000-0000830B0000}"/>
    <cellStyle name="Table Head 2" xfId="2255" xr:uid="{00000000-0005-0000-0000-0000840B0000}"/>
    <cellStyle name="Table Head 3" xfId="2698" xr:uid="{00000000-0005-0000-0000-0000850B0000}"/>
    <cellStyle name="Table Head Aligned" xfId="868" xr:uid="{00000000-0005-0000-0000-0000860B0000}"/>
    <cellStyle name="Table Head Aligned 2" xfId="1081" xr:uid="{00000000-0005-0000-0000-0000870B0000}"/>
    <cellStyle name="Table Head Aligned 2 10" xfId="11472" xr:uid="{00000000-0005-0000-0000-0000870B0000}"/>
    <cellStyle name="Table Head Aligned 2 10 2" xfId="30056" xr:uid="{00000000-0005-0000-0000-0000870B0000}"/>
    <cellStyle name="Table Head Aligned 2 10 3" xfId="48419" xr:uid="{00000000-0005-0000-0000-0000870B0000}"/>
    <cellStyle name="Table Head Aligned 2 11" xfId="8340" xr:uid="{00000000-0005-0000-0000-0000870B0000}"/>
    <cellStyle name="Table Head Aligned 2 2" xfId="1248" xr:uid="{00000000-0005-0000-0000-0000880B0000}"/>
    <cellStyle name="Table Head Aligned 2 2 10" xfId="9023" xr:uid="{00000000-0005-0000-0000-0000880B0000}"/>
    <cellStyle name="Table Head Aligned 2 2 2" xfId="1651" xr:uid="{00000000-0005-0000-0000-0000890B0000}"/>
    <cellStyle name="Table Head Aligned 2 2 2 10" xfId="17904" xr:uid="{00000000-0005-0000-0000-0000890B0000}"/>
    <cellStyle name="Table Head Aligned 2 2 2 10 2" xfId="36314" xr:uid="{00000000-0005-0000-0000-0000890B0000}"/>
    <cellStyle name="Table Head Aligned 2 2 2 11" xfId="16817" xr:uid="{00000000-0005-0000-0000-0000890B0000}"/>
    <cellStyle name="Table Head Aligned 2 2 2 12" xfId="16772" xr:uid="{00000000-0005-0000-0000-0000890B0000}"/>
    <cellStyle name="Table Head Aligned 2 2 2 2" xfId="1732" xr:uid="{00000000-0005-0000-0000-00008A0B0000}"/>
    <cellStyle name="Table Head Aligned 2 2 2 2 10" xfId="8308" xr:uid="{00000000-0005-0000-0000-00008A0B0000}"/>
    <cellStyle name="Table Head Aligned 2 2 2 2 2" xfId="3629" xr:uid="{00000000-0005-0000-0000-00008A0B0000}"/>
    <cellStyle name="Table Head Aligned 2 2 2 2 2 2" xfId="5802" xr:uid="{00000000-0005-0000-0000-00008A0B0000}"/>
    <cellStyle name="Table Head Aligned 2 2 2 2 2 2 2" xfId="12166" xr:uid="{00000000-0005-0000-0000-00008A0B0000}"/>
    <cellStyle name="Table Head Aligned 2 2 2 2 2 2 2 2" xfId="30613" xr:uid="{00000000-0005-0000-0000-00008A0B0000}"/>
    <cellStyle name="Table Head Aligned 2 2 2 2 2 2 2 3" xfId="48976" xr:uid="{00000000-0005-0000-0000-00008A0B0000}"/>
    <cellStyle name="Table Head Aligned 2 2 2 2 2 2 3" xfId="16492" xr:uid="{00000000-0005-0000-0000-00008A0B0000}"/>
    <cellStyle name="Table Head Aligned 2 2 2 2 2 2 3 2" xfId="34864" xr:uid="{00000000-0005-0000-0000-00008A0B0000}"/>
    <cellStyle name="Table Head Aligned 2 2 2 2 2 2 3 3" xfId="53227" xr:uid="{00000000-0005-0000-0000-00008A0B0000}"/>
    <cellStyle name="Table Head Aligned 2 2 2 2 2 2 4" xfId="25611" xr:uid="{00000000-0005-0000-0000-00008A0B0000}"/>
    <cellStyle name="Table Head Aligned 2 2 2 2 2 2 4 2" xfId="43980" xr:uid="{00000000-0005-0000-0000-00008A0B0000}"/>
    <cellStyle name="Table Head Aligned 2 2 2 2 2 2 5" xfId="21932" xr:uid="{00000000-0005-0000-0000-00008A0B0000}"/>
    <cellStyle name="Table Head Aligned 2 2 2 2 2 2 6" xfId="40311" xr:uid="{00000000-0005-0000-0000-00008A0B0000}"/>
    <cellStyle name="Table Head Aligned 2 2 2 2 2 3" xfId="6628" xr:uid="{00000000-0005-0000-0000-00008A0B0000}"/>
    <cellStyle name="Table Head Aligned 2 2 2 2 2 3 2" xfId="12919" xr:uid="{00000000-0005-0000-0000-00008A0B0000}"/>
    <cellStyle name="Table Head Aligned 2 2 2 2 2 3 2 2" xfId="31345" xr:uid="{00000000-0005-0000-0000-00008A0B0000}"/>
    <cellStyle name="Table Head Aligned 2 2 2 2 2 3 2 3" xfId="49708" xr:uid="{00000000-0005-0000-0000-00008A0B0000}"/>
    <cellStyle name="Table Head Aligned 2 2 2 2 2 3 3" xfId="17230" xr:uid="{00000000-0005-0000-0000-00008A0B0000}"/>
    <cellStyle name="Table Head Aligned 2 2 2 2 2 3 3 2" xfId="35578" xr:uid="{00000000-0005-0000-0000-00008A0B0000}"/>
    <cellStyle name="Table Head Aligned 2 2 2 2 2 3 3 3" xfId="53941" xr:uid="{00000000-0005-0000-0000-00008A0B0000}"/>
    <cellStyle name="Table Head Aligned 2 2 2 2 2 3 4" xfId="26363" xr:uid="{00000000-0005-0000-0000-00008A0B0000}"/>
    <cellStyle name="Table Head Aligned 2 2 2 2 2 3 4 2" xfId="44732" xr:uid="{00000000-0005-0000-0000-00008A0B0000}"/>
    <cellStyle name="Table Head Aligned 2 2 2 2 2 3 5" xfId="22656" xr:uid="{00000000-0005-0000-0000-00008A0B0000}"/>
    <cellStyle name="Table Head Aligned 2 2 2 2 2 3 6" xfId="41025" xr:uid="{00000000-0005-0000-0000-00008A0B0000}"/>
    <cellStyle name="Table Head Aligned 2 2 2 2 2 4" xfId="10342" xr:uid="{00000000-0005-0000-0000-00008A0B0000}"/>
    <cellStyle name="Table Head Aligned 2 2 2 2 2 4 2" xfId="14399" xr:uid="{00000000-0005-0000-0000-00008A0B0000}"/>
    <cellStyle name="Table Head Aligned 2 2 2 2 2 4 2 2" xfId="32815" xr:uid="{00000000-0005-0000-0000-00008A0B0000}"/>
    <cellStyle name="Table Head Aligned 2 2 2 2 2 4 2 3" xfId="51178" xr:uid="{00000000-0005-0000-0000-00008A0B0000}"/>
    <cellStyle name="Table Head Aligned 2 2 2 2 2 4 3" xfId="29053" xr:uid="{00000000-0005-0000-0000-00008A0B0000}"/>
    <cellStyle name="Table Head Aligned 2 2 2 2 2 4 3 2" xfId="47416" xr:uid="{00000000-0005-0000-0000-00008A0B0000}"/>
    <cellStyle name="Table Head Aligned 2 2 2 2 2 4 4" xfId="19856" xr:uid="{00000000-0005-0000-0000-00008A0B0000}"/>
    <cellStyle name="Table Head Aligned 2 2 2 2 2 4 5" xfId="38262" xr:uid="{00000000-0005-0000-0000-00008A0B0000}"/>
    <cellStyle name="Table Head Aligned 2 2 2 2 2 5" xfId="9550" xr:uid="{00000000-0005-0000-0000-00008A0B0000}"/>
    <cellStyle name="Table Head Aligned 2 2 2 2 2 5 2" xfId="28267" xr:uid="{00000000-0005-0000-0000-00008A0B0000}"/>
    <cellStyle name="Table Head Aligned 2 2 2 2 2 5 3" xfId="46630" xr:uid="{00000000-0005-0000-0000-00008A0B0000}"/>
    <cellStyle name="Table Head Aligned 2 2 2 2 2 6" xfId="13608" xr:uid="{00000000-0005-0000-0000-00008A0B0000}"/>
    <cellStyle name="Table Head Aligned 2 2 2 2 2 6 2" xfId="32029" xr:uid="{00000000-0005-0000-0000-00008A0B0000}"/>
    <cellStyle name="Table Head Aligned 2 2 2 2 2 6 3" xfId="50392" xr:uid="{00000000-0005-0000-0000-00008A0B0000}"/>
    <cellStyle name="Table Head Aligned 2 2 2 2 2 7" xfId="23537" xr:uid="{00000000-0005-0000-0000-00008A0B0000}"/>
    <cellStyle name="Table Head Aligned 2 2 2 2 2 7 2" xfId="41906" xr:uid="{00000000-0005-0000-0000-00008A0B0000}"/>
    <cellStyle name="Table Head Aligned 2 2 2 2 2 8" xfId="18649" xr:uid="{00000000-0005-0000-0000-00008A0B0000}"/>
    <cellStyle name="Table Head Aligned 2 2 2 2 2 9" xfId="37059" xr:uid="{00000000-0005-0000-0000-00008A0B0000}"/>
    <cellStyle name="Table Head Aligned 2 2 2 2 3" xfId="4669" xr:uid="{00000000-0005-0000-0000-00008A0B0000}"/>
    <cellStyle name="Table Head Aligned 2 2 2 2 3 2" xfId="11253" xr:uid="{00000000-0005-0000-0000-00008A0B0000}"/>
    <cellStyle name="Table Head Aligned 2 2 2 2 3 2 2" xfId="29865" xr:uid="{00000000-0005-0000-0000-00008A0B0000}"/>
    <cellStyle name="Table Head Aligned 2 2 2 2 3 2 3" xfId="48228" xr:uid="{00000000-0005-0000-0000-00008A0B0000}"/>
    <cellStyle name="Table Head Aligned 2 2 2 2 3 3" xfId="15395" xr:uid="{00000000-0005-0000-0000-00008A0B0000}"/>
    <cellStyle name="Table Head Aligned 2 2 2 2 3 3 2" xfId="33788" xr:uid="{00000000-0005-0000-0000-00008A0B0000}"/>
    <cellStyle name="Table Head Aligned 2 2 2 2 3 3 3" xfId="52151" xr:uid="{00000000-0005-0000-0000-00008A0B0000}"/>
    <cellStyle name="Table Head Aligned 2 2 2 2 3 4" xfId="24519" xr:uid="{00000000-0005-0000-0000-00008A0B0000}"/>
    <cellStyle name="Table Head Aligned 2 2 2 2 3 4 2" xfId="42888" xr:uid="{00000000-0005-0000-0000-00008A0B0000}"/>
    <cellStyle name="Table Head Aligned 2 2 2 2 3 5" xfId="20846" xr:uid="{00000000-0005-0000-0000-00008A0B0000}"/>
    <cellStyle name="Table Head Aligned 2 2 2 2 3 6" xfId="39235" xr:uid="{00000000-0005-0000-0000-00008A0B0000}"/>
    <cellStyle name="Table Head Aligned 2 2 2 2 4" xfId="3965" xr:uid="{00000000-0005-0000-0000-00008A0B0000}"/>
    <cellStyle name="Table Head Aligned 2 2 2 2 4 2" xfId="10670" xr:uid="{00000000-0005-0000-0000-00008A0B0000}"/>
    <cellStyle name="Table Head Aligned 2 2 2 2 4 2 2" xfId="29376" xr:uid="{00000000-0005-0000-0000-00008A0B0000}"/>
    <cellStyle name="Table Head Aligned 2 2 2 2 4 2 3" xfId="47739" xr:uid="{00000000-0005-0000-0000-00008A0B0000}"/>
    <cellStyle name="Table Head Aligned 2 2 2 2 4 3" xfId="14728" xr:uid="{00000000-0005-0000-0000-00008A0B0000}"/>
    <cellStyle name="Table Head Aligned 2 2 2 2 4 3 2" xfId="33140" xr:uid="{00000000-0005-0000-0000-00008A0B0000}"/>
    <cellStyle name="Table Head Aligned 2 2 2 2 4 3 3" xfId="51503" xr:uid="{00000000-0005-0000-0000-00008A0B0000}"/>
    <cellStyle name="Table Head Aligned 2 2 2 2 4 4" xfId="23864" xr:uid="{00000000-0005-0000-0000-00008A0B0000}"/>
    <cellStyle name="Table Head Aligned 2 2 2 2 4 4 2" xfId="42233" xr:uid="{00000000-0005-0000-0000-00008A0B0000}"/>
    <cellStyle name="Table Head Aligned 2 2 2 2 4 5" xfId="20182" xr:uid="{00000000-0005-0000-0000-00008A0B0000}"/>
    <cellStyle name="Table Head Aligned 2 2 2 2 4 6" xfId="38587" xr:uid="{00000000-0005-0000-0000-00008A0B0000}"/>
    <cellStyle name="Table Head Aligned 2 2 2 2 5" xfId="9921" xr:uid="{00000000-0005-0000-0000-00008A0B0000}"/>
    <cellStyle name="Table Head Aligned 2 2 2 2 5 2" xfId="13978" xr:uid="{00000000-0005-0000-0000-00008A0B0000}"/>
    <cellStyle name="Table Head Aligned 2 2 2 2 5 2 2" xfId="32395" xr:uid="{00000000-0005-0000-0000-00008A0B0000}"/>
    <cellStyle name="Table Head Aligned 2 2 2 2 5 2 3" xfId="50758" xr:uid="{00000000-0005-0000-0000-00008A0B0000}"/>
    <cellStyle name="Table Head Aligned 2 2 2 2 5 3" xfId="28633" xr:uid="{00000000-0005-0000-0000-00008A0B0000}"/>
    <cellStyle name="Table Head Aligned 2 2 2 2 5 3 2" xfId="46996" xr:uid="{00000000-0005-0000-0000-00008A0B0000}"/>
    <cellStyle name="Table Head Aligned 2 2 2 2 5 4" xfId="19224" xr:uid="{00000000-0005-0000-0000-00008A0B0000}"/>
    <cellStyle name="Table Head Aligned 2 2 2 2 5 5" xfId="37631" xr:uid="{00000000-0005-0000-0000-00008A0B0000}"/>
    <cellStyle name="Table Head Aligned 2 2 2 2 6" xfId="7963" xr:uid="{00000000-0005-0000-0000-00008A0B0000}"/>
    <cellStyle name="Table Head Aligned 2 2 2 2 6 2" xfId="27193" xr:uid="{00000000-0005-0000-0000-00008A0B0000}"/>
    <cellStyle name="Table Head Aligned 2 2 2 2 6 3" xfId="45558" xr:uid="{00000000-0005-0000-0000-00008A0B0000}"/>
    <cellStyle name="Table Head Aligned 2 2 2 2 7" xfId="8622" xr:uid="{00000000-0005-0000-0000-00008A0B0000}"/>
    <cellStyle name="Table Head Aligned 2 2 2 2 7 2" xfId="27534" xr:uid="{00000000-0005-0000-0000-00008A0B0000}"/>
    <cellStyle name="Table Head Aligned 2 2 2 2 7 3" xfId="45898" xr:uid="{00000000-0005-0000-0000-00008A0B0000}"/>
    <cellStyle name="Table Head Aligned 2 2 2 2 8" xfId="19242" xr:uid="{00000000-0005-0000-0000-00008A0B0000}"/>
    <cellStyle name="Table Head Aligned 2 2 2 2 8 2" xfId="37649" xr:uid="{00000000-0005-0000-0000-00008A0B0000}"/>
    <cellStyle name="Table Head Aligned 2 2 2 2 9" xfId="8311" xr:uid="{00000000-0005-0000-0000-00008A0B0000}"/>
    <cellStyle name="Table Head Aligned 2 2 2 3" xfId="1762" xr:uid="{00000000-0005-0000-0000-00008B0B0000}"/>
    <cellStyle name="Table Head Aligned 2 2 2 3 10" xfId="11637" xr:uid="{00000000-0005-0000-0000-00008B0B0000}"/>
    <cellStyle name="Table Head Aligned 2 2 2 3 2" xfId="3659" xr:uid="{00000000-0005-0000-0000-00008B0B0000}"/>
    <cellStyle name="Table Head Aligned 2 2 2 3 2 2" xfId="5832" xr:uid="{00000000-0005-0000-0000-00008B0B0000}"/>
    <cellStyle name="Table Head Aligned 2 2 2 3 2 2 2" xfId="12196" xr:uid="{00000000-0005-0000-0000-00008B0B0000}"/>
    <cellStyle name="Table Head Aligned 2 2 2 3 2 2 2 2" xfId="30643" xr:uid="{00000000-0005-0000-0000-00008B0B0000}"/>
    <cellStyle name="Table Head Aligned 2 2 2 3 2 2 2 3" xfId="49006" xr:uid="{00000000-0005-0000-0000-00008B0B0000}"/>
    <cellStyle name="Table Head Aligned 2 2 2 3 2 2 3" xfId="16522" xr:uid="{00000000-0005-0000-0000-00008B0B0000}"/>
    <cellStyle name="Table Head Aligned 2 2 2 3 2 2 3 2" xfId="34894" xr:uid="{00000000-0005-0000-0000-00008B0B0000}"/>
    <cellStyle name="Table Head Aligned 2 2 2 3 2 2 3 3" xfId="53257" xr:uid="{00000000-0005-0000-0000-00008B0B0000}"/>
    <cellStyle name="Table Head Aligned 2 2 2 3 2 2 4" xfId="25641" xr:uid="{00000000-0005-0000-0000-00008B0B0000}"/>
    <cellStyle name="Table Head Aligned 2 2 2 3 2 2 4 2" xfId="44010" xr:uid="{00000000-0005-0000-0000-00008B0B0000}"/>
    <cellStyle name="Table Head Aligned 2 2 2 3 2 2 5" xfId="21962" xr:uid="{00000000-0005-0000-0000-00008B0B0000}"/>
    <cellStyle name="Table Head Aligned 2 2 2 3 2 2 6" xfId="40341" xr:uid="{00000000-0005-0000-0000-00008B0B0000}"/>
    <cellStyle name="Table Head Aligned 2 2 2 3 2 3" xfId="6658" xr:uid="{00000000-0005-0000-0000-00008B0B0000}"/>
    <cellStyle name="Table Head Aligned 2 2 2 3 2 3 2" xfId="12949" xr:uid="{00000000-0005-0000-0000-00008B0B0000}"/>
    <cellStyle name="Table Head Aligned 2 2 2 3 2 3 2 2" xfId="31375" xr:uid="{00000000-0005-0000-0000-00008B0B0000}"/>
    <cellStyle name="Table Head Aligned 2 2 2 3 2 3 2 3" xfId="49738" xr:uid="{00000000-0005-0000-0000-00008B0B0000}"/>
    <cellStyle name="Table Head Aligned 2 2 2 3 2 3 3" xfId="17260" xr:uid="{00000000-0005-0000-0000-00008B0B0000}"/>
    <cellStyle name="Table Head Aligned 2 2 2 3 2 3 3 2" xfId="35608" xr:uid="{00000000-0005-0000-0000-00008B0B0000}"/>
    <cellStyle name="Table Head Aligned 2 2 2 3 2 3 3 3" xfId="53971" xr:uid="{00000000-0005-0000-0000-00008B0B0000}"/>
    <cellStyle name="Table Head Aligned 2 2 2 3 2 3 4" xfId="26393" xr:uid="{00000000-0005-0000-0000-00008B0B0000}"/>
    <cellStyle name="Table Head Aligned 2 2 2 3 2 3 4 2" xfId="44762" xr:uid="{00000000-0005-0000-0000-00008B0B0000}"/>
    <cellStyle name="Table Head Aligned 2 2 2 3 2 3 5" xfId="22686" xr:uid="{00000000-0005-0000-0000-00008B0B0000}"/>
    <cellStyle name="Table Head Aligned 2 2 2 3 2 3 6" xfId="41055" xr:uid="{00000000-0005-0000-0000-00008B0B0000}"/>
    <cellStyle name="Table Head Aligned 2 2 2 3 2 4" xfId="10372" xr:uid="{00000000-0005-0000-0000-00008B0B0000}"/>
    <cellStyle name="Table Head Aligned 2 2 2 3 2 4 2" xfId="14429" xr:uid="{00000000-0005-0000-0000-00008B0B0000}"/>
    <cellStyle name="Table Head Aligned 2 2 2 3 2 4 2 2" xfId="32845" xr:uid="{00000000-0005-0000-0000-00008B0B0000}"/>
    <cellStyle name="Table Head Aligned 2 2 2 3 2 4 2 3" xfId="51208" xr:uid="{00000000-0005-0000-0000-00008B0B0000}"/>
    <cellStyle name="Table Head Aligned 2 2 2 3 2 4 3" xfId="29083" xr:uid="{00000000-0005-0000-0000-00008B0B0000}"/>
    <cellStyle name="Table Head Aligned 2 2 2 3 2 4 3 2" xfId="47446" xr:uid="{00000000-0005-0000-0000-00008B0B0000}"/>
    <cellStyle name="Table Head Aligned 2 2 2 3 2 4 4" xfId="19886" xr:uid="{00000000-0005-0000-0000-00008B0B0000}"/>
    <cellStyle name="Table Head Aligned 2 2 2 3 2 4 5" xfId="38292" xr:uid="{00000000-0005-0000-0000-00008B0B0000}"/>
    <cellStyle name="Table Head Aligned 2 2 2 3 2 5" xfId="9580" xr:uid="{00000000-0005-0000-0000-00008B0B0000}"/>
    <cellStyle name="Table Head Aligned 2 2 2 3 2 5 2" xfId="28297" xr:uid="{00000000-0005-0000-0000-00008B0B0000}"/>
    <cellStyle name="Table Head Aligned 2 2 2 3 2 5 3" xfId="46660" xr:uid="{00000000-0005-0000-0000-00008B0B0000}"/>
    <cellStyle name="Table Head Aligned 2 2 2 3 2 6" xfId="13638" xr:uid="{00000000-0005-0000-0000-00008B0B0000}"/>
    <cellStyle name="Table Head Aligned 2 2 2 3 2 6 2" xfId="32059" xr:uid="{00000000-0005-0000-0000-00008B0B0000}"/>
    <cellStyle name="Table Head Aligned 2 2 2 3 2 6 3" xfId="50422" xr:uid="{00000000-0005-0000-0000-00008B0B0000}"/>
    <cellStyle name="Table Head Aligned 2 2 2 3 2 7" xfId="23567" xr:uid="{00000000-0005-0000-0000-00008B0B0000}"/>
    <cellStyle name="Table Head Aligned 2 2 2 3 2 7 2" xfId="41936" xr:uid="{00000000-0005-0000-0000-00008B0B0000}"/>
    <cellStyle name="Table Head Aligned 2 2 2 3 2 8" xfId="18679" xr:uid="{00000000-0005-0000-0000-00008B0B0000}"/>
    <cellStyle name="Table Head Aligned 2 2 2 3 2 9" xfId="37089" xr:uid="{00000000-0005-0000-0000-00008B0B0000}"/>
    <cellStyle name="Table Head Aligned 2 2 2 3 3" xfId="4699" xr:uid="{00000000-0005-0000-0000-00008B0B0000}"/>
    <cellStyle name="Table Head Aligned 2 2 2 3 3 2" xfId="11283" xr:uid="{00000000-0005-0000-0000-00008B0B0000}"/>
    <cellStyle name="Table Head Aligned 2 2 2 3 3 2 2" xfId="29895" xr:uid="{00000000-0005-0000-0000-00008B0B0000}"/>
    <cellStyle name="Table Head Aligned 2 2 2 3 3 2 3" xfId="48258" xr:uid="{00000000-0005-0000-0000-00008B0B0000}"/>
    <cellStyle name="Table Head Aligned 2 2 2 3 3 3" xfId="15425" xr:uid="{00000000-0005-0000-0000-00008B0B0000}"/>
    <cellStyle name="Table Head Aligned 2 2 2 3 3 3 2" xfId="33818" xr:uid="{00000000-0005-0000-0000-00008B0B0000}"/>
    <cellStyle name="Table Head Aligned 2 2 2 3 3 3 3" xfId="52181" xr:uid="{00000000-0005-0000-0000-00008B0B0000}"/>
    <cellStyle name="Table Head Aligned 2 2 2 3 3 4" xfId="24549" xr:uid="{00000000-0005-0000-0000-00008B0B0000}"/>
    <cellStyle name="Table Head Aligned 2 2 2 3 3 4 2" xfId="42918" xr:uid="{00000000-0005-0000-0000-00008B0B0000}"/>
    <cellStyle name="Table Head Aligned 2 2 2 3 3 5" xfId="20876" xr:uid="{00000000-0005-0000-0000-00008B0B0000}"/>
    <cellStyle name="Table Head Aligned 2 2 2 3 3 6" xfId="39265" xr:uid="{00000000-0005-0000-0000-00008B0B0000}"/>
    <cellStyle name="Table Head Aligned 2 2 2 3 4" xfId="59" xr:uid="{00000000-0005-0000-0000-00008B0B0000}"/>
    <cellStyle name="Table Head Aligned 2 2 2 3 4 2" xfId="9163" xr:uid="{00000000-0005-0000-0000-00008B0B0000}"/>
    <cellStyle name="Table Head Aligned 2 2 2 3 4 2 2" xfId="27885" xr:uid="{00000000-0005-0000-0000-00008B0B0000}"/>
    <cellStyle name="Table Head Aligned 2 2 2 3 4 2 3" xfId="46248" xr:uid="{00000000-0005-0000-0000-00008B0B0000}"/>
    <cellStyle name="Table Head Aligned 2 2 2 3 4 3" xfId="13222" xr:uid="{00000000-0005-0000-0000-00008B0B0000}"/>
    <cellStyle name="Table Head Aligned 2 2 2 3 4 3 2" xfId="31643" xr:uid="{00000000-0005-0000-0000-00008B0B0000}"/>
    <cellStyle name="Table Head Aligned 2 2 2 3 4 3 3" xfId="50006" xr:uid="{00000000-0005-0000-0000-00008B0B0000}"/>
    <cellStyle name="Table Head Aligned 2 2 2 3 4 4" xfId="18223" xr:uid="{00000000-0005-0000-0000-00008B0B0000}"/>
    <cellStyle name="Table Head Aligned 2 2 2 3 4 4 2" xfId="36629" xr:uid="{00000000-0005-0000-0000-00008B0B0000}"/>
    <cellStyle name="Table Head Aligned 2 2 2 3 4 5" xfId="18155" xr:uid="{00000000-0005-0000-0000-00008B0B0000}"/>
    <cellStyle name="Table Head Aligned 2 2 2 3 4 6" xfId="36562" xr:uid="{00000000-0005-0000-0000-00008B0B0000}"/>
    <cellStyle name="Table Head Aligned 2 2 2 3 5" xfId="9698" xr:uid="{00000000-0005-0000-0000-00008B0B0000}"/>
    <cellStyle name="Table Head Aligned 2 2 2 3 5 2" xfId="13755" xr:uid="{00000000-0005-0000-0000-00008B0B0000}"/>
    <cellStyle name="Table Head Aligned 2 2 2 3 5 2 2" xfId="32176" xr:uid="{00000000-0005-0000-0000-00008B0B0000}"/>
    <cellStyle name="Table Head Aligned 2 2 2 3 5 2 3" xfId="50539" xr:uid="{00000000-0005-0000-0000-00008B0B0000}"/>
    <cellStyle name="Table Head Aligned 2 2 2 3 5 3" xfId="28414" xr:uid="{00000000-0005-0000-0000-00008B0B0000}"/>
    <cellStyle name="Table Head Aligned 2 2 2 3 5 3 2" xfId="46777" xr:uid="{00000000-0005-0000-0000-00008B0B0000}"/>
    <cellStyle name="Table Head Aligned 2 2 2 3 5 4" xfId="18845" xr:uid="{00000000-0005-0000-0000-00008B0B0000}"/>
    <cellStyle name="Table Head Aligned 2 2 2 3 5 5" xfId="37254" xr:uid="{00000000-0005-0000-0000-00008B0B0000}"/>
    <cellStyle name="Table Head Aligned 2 2 2 3 6" xfId="7993" xr:uid="{00000000-0005-0000-0000-00008B0B0000}"/>
    <cellStyle name="Table Head Aligned 2 2 2 3 6 2" xfId="27223" xr:uid="{00000000-0005-0000-0000-00008B0B0000}"/>
    <cellStyle name="Table Head Aligned 2 2 2 3 6 3" xfId="45588" xr:uid="{00000000-0005-0000-0000-00008B0B0000}"/>
    <cellStyle name="Table Head Aligned 2 2 2 3 7" xfId="7829" xr:uid="{00000000-0005-0000-0000-00008B0B0000}"/>
    <cellStyle name="Table Head Aligned 2 2 2 3 7 2" xfId="27088" xr:uid="{00000000-0005-0000-0000-00008B0B0000}"/>
    <cellStyle name="Table Head Aligned 2 2 2 3 7 3" xfId="45453" xr:uid="{00000000-0005-0000-0000-00008B0B0000}"/>
    <cellStyle name="Table Head Aligned 2 2 2 3 8" xfId="19290" xr:uid="{00000000-0005-0000-0000-00008B0B0000}"/>
    <cellStyle name="Table Head Aligned 2 2 2 3 8 2" xfId="37697" xr:uid="{00000000-0005-0000-0000-00008B0B0000}"/>
    <cellStyle name="Table Head Aligned 2 2 2 3 9" xfId="8934" xr:uid="{00000000-0005-0000-0000-00008B0B0000}"/>
    <cellStyle name="Table Head Aligned 2 2 2 4" xfId="1790" xr:uid="{00000000-0005-0000-0000-00008C0B0000}"/>
    <cellStyle name="Table Head Aligned 2 2 2 4 10" xfId="15182" xr:uid="{00000000-0005-0000-0000-00008C0B0000}"/>
    <cellStyle name="Table Head Aligned 2 2 2 4 2" xfId="3687" xr:uid="{00000000-0005-0000-0000-00008C0B0000}"/>
    <cellStyle name="Table Head Aligned 2 2 2 4 2 2" xfId="5860" xr:uid="{00000000-0005-0000-0000-00008C0B0000}"/>
    <cellStyle name="Table Head Aligned 2 2 2 4 2 2 2" xfId="12224" xr:uid="{00000000-0005-0000-0000-00008C0B0000}"/>
    <cellStyle name="Table Head Aligned 2 2 2 4 2 2 2 2" xfId="30671" xr:uid="{00000000-0005-0000-0000-00008C0B0000}"/>
    <cellStyle name="Table Head Aligned 2 2 2 4 2 2 2 3" xfId="49034" xr:uid="{00000000-0005-0000-0000-00008C0B0000}"/>
    <cellStyle name="Table Head Aligned 2 2 2 4 2 2 3" xfId="16550" xr:uid="{00000000-0005-0000-0000-00008C0B0000}"/>
    <cellStyle name="Table Head Aligned 2 2 2 4 2 2 3 2" xfId="34922" xr:uid="{00000000-0005-0000-0000-00008C0B0000}"/>
    <cellStyle name="Table Head Aligned 2 2 2 4 2 2 3 3" xfId="53285" xr:uid="{00000000-0005-0000-0000-00008C0B0000}"/>
    <cellStyle name="Table Head Aligned 2 2 2 4 2 2 4" xfId="25669" xr:uid="{00000000-0005-0000-0000-00008C0B0000}"/>
    <cellStyle name="Table Head Aligned 2 2 2 4 2 2 4 2" xfId="44038" xr:uid="{00000000-0005-0000-0000-00008C0B0000}"/>
    <cellStyle name="Table Head Aligned 2 2 2 4 2 2 5" xfId="21990" xr:uid="{00000000-0005-0000-0000-00008C0B0000}"/>
    <cellStyle name="Table Head Aligned 2 2 2 4 2 2 6" xfId="40369" xr:uid="{00000000-0005-0000-0000-00008C0B0000}"/>
    <cellStyle name="Table Head Aligned 2 2 2 4 2 3" xfId="6686" xr:uid="{00000000-0005-0000-0000-00008C0B0000}"/>
    <cellStyle name="Table Head Aligned 2 2 2 4 2 3 2" xfId="12977" xr:uid="{00000000-0005-0000-0000-00008C0B0000}"/>
    <cellStyle name="Table Head Aligned 2 2 2 4 2 3 2 2" xfId="31403" xr:uid="{00000000-0005-0000-0000-00008C0B0000}"/>
    <cellStyle name="Table Head Aligned 2 2 2 4 2 3 2 3" xfId="49766" xr:uid="{00000000-0005-0000-0000-00008C0B0000}"/>
    <cellStyle name="Table Head Aligned 2 2 2 4 2 3 3" xfId="17288" xr:uid="{00000000-0005-0000-0000-00008C0B0000}"/>
    <cellStyle name="Table Head Aligned 2 2 2 4 2 3 3 2" xfId="35636" xr:uid="{00000000-0005-0000-0000-00008C0B0000}"/>
    <cellStyle name="Table Head Aligned 2 2 2 4 2 3 3 3" xfId="53999" xr:uid="{00000000-0005-0000-0000-00008C0B0000}"/>
    <cellStyle name="Table Head Aligned 2 2 2 4 2 3 4" xfId="26421" xr:uid="{00000000-0005-0000-0000-00008C0B0000}"/>
    <cellStyle name="Table Head Aligned 2 2 2 4 2 3 4 2" xfId="44790" xr:uid="{00000000-0005-0000-0000-00008C0B0000}"/>
    <cellStyle name="Table Head Aligned 2 2 2 4 2 3 5" xfId="22714" xr:uid="{00000000-0005-0000-0000-00008C0B0000}"/>
    <cellStyle name="Table Head Aligned 2 2 2 4 2 3 6" xfId="41083" xr:uid="{00000000-0005-0000-0000-00008C0B0000}"/>
    <cellStyle name="Table Head Aligned 2 2 2 4 2 4" xfId="10400" xr:uid="{00000000-0005-0000-0000-00008C0B0000}"/>
    <cellStyle name="Table Head Aligned 2 2 2 4 2 4 2" xfId="14457" xr:uid="{00000000-0005-0000-0000-00008C0B0000}"/>
    <cellStyle name="Table Head Aligned 2 2 2 4 2 4 2 2" xfId="32873" xr:uid="{00000000-0005-0000-0000-00008C0B0000}"/>
    <cellStyle name="Table Head Aligned 2 2 2 4 2 4 2 3" xfId="51236" xr:uid="{00000000-0005-0000-0000-00008C0B0000}"/>
    <cellStyle name="Table Head Aligned 2 2 2 4 2 4 3" xfId="29111" xr:uid="{00000000-0005-0000-0000-00008C0B0000}"/>
    <cellStyle name="Table Head Aligned 2 2 2 4 2 4 3 2" xfId="47474" xr:uid="{00000000-0005-0000-0000-00008C0B0000}"/>
    <cellStyle name="Table Head Aligned 2 2 2 4 2 4 4" xfId="19914" xr:uid="{00000000-0005-0000-0000-00008C0B0000}"/>
    <cellStyle name="Table Head Aligned 2 2 2 4 2 4 5" xfId="38320" xr:uid="{00000000-0005-0000-0000-00008C0B0000}"/>
    <cellStyle name="Table Head Aligned 2 2 2 4 2 5" xfId="9608" xr:uid="{00000000-0005-0000-0000-00008C0B0000}"/>
    <cellStyle name="Table Head Aligned 2 2 2 4 2 5 2" xfId="28325" xr:uid="{00000000-0005-0000-0000-00008C0B0000}"/>
    <cellStyle name="Table Head Aligned 2 2 2 4 2 5 3" xfId="46688" xr:uid="{00000000-0005-0000-0000-00008C0B0000}"/>
    <cellStyle name="Table Head Aligned 2 2 2 4 2 6" xfId="13666" xr:uid="{00000000-0005-0000-0000-00008C0B0000}"/>
    <cellStyle name="Table Head Aligned 2 2 2 4 2 6 2" xfId="32087" xr:uid="{00000000-0005-0000-0000-00008C0B0000}"/>
    <cellStyle name="Table Head Aligned 2 2 2 4 2 6 3" xfId="50450" xr:uid="{00000000-0005-0000-0000-00008C0B0000}"/>
    <cellStyle name="Table Head Aligned 2 2 2 4 2 7" xfId="23595" xr:uid="{00000000-0005-0000-0000-00008C0B0000}"/>
    <cellStyle name="Table Head Aligned 2 2 2 4 2 7 2" xfId="41964" xr:uid="{00000000-0005-0000-0000-00008C0B0000}"/>
    <cellStyle name="Table Head Aligned 2 2 2 4 2 8" xfId="18707" xr:uid="{00000000-0005-0000-0000-00008C0B0000}"/>
    <cellStyle name="Table Head Aligned 2 2 2 4 2 9" xfId="37117" xr:uid="{00000000-0005-0000-0000-00008C0B0000}"/>
    <cellStyle name="Table Head Aligned 2 2 2 4 3" xfId="4727" xr:uid="{00000000-0005-0000-0000-00008C0B0000}"/>
    <cellStyle name="Table Head Aligned 2 2 2 4 3 2" xfId="11311" xr:uid="{00000000-0005-0000-0000-00008C0B0000}"/>
    <cellStyle name="Table Head Aligned 2 2 2 4 3 2 2" xfId="29923" xr:uid="{00000000-0005-0000-0000-00008C0B0000}"/>
    <cellStyle name="Table Head Aligned 2 2 2 4 3 2 3" xfId="48286" xr:uid="{00000000-0005-0000-0000-00008C0B0000}"/>
    <cellStyle name="Table Head Aligned 2 2 2 4 3 3" xfId="15453" xr:uid="{00000000-0005-0000-0000-00008C0B0000}"/>
    <cellStyle name="Table Head Aligned 2 2 2 4 3 3 2" xfId="33846" xr:uid="{00000000-0005-0000-0000-00008C0B0000}"/>
    <cellStyle name="Table Head Aligned 2 2 2 4 3 3 3" xfId="52209" xr:uid="{00000000-0005-0000-0000-00008C0B0000}"/>
    <cellStyle name="Table Head Aligned 2 2 2 4 3 4" xfId="24577" xr:uid="{00000000-0005-0000-0000-00008C0B0000}"/>
    <cellStyle name="Table Head Aligned 2 2 2 4 3 4 2" xfId="42946" xr:uid="{00000000-0005-0000-0000-00008C0B0000}"/>
    <cellStyle name="Table Head Aligned 2 2 2 4 3 5" xfId="20904" xr:uid="{00000000-0005-0000-0000-00008C0B0000}"/>
    <cellStyle name="Table Head Aligned 2 2 2 4 3 6" xfId="39293" xr:uid="{00000000-0005-0000-0000-00008C0B0000}"/>
    <cellStyle name="Table Head Aligned 2 2 2 4 4" xfId="5019" xr:uid="{00000000-0005-0000-0000-00008C0B0000}"/>
    <cellStyle name="Table Head Aligned 2 2 2 4 4 2" xfId="11542" xr:uid="{00000000-0005-0000-0000-00008C0B0000}"/>
    <cellStyle name="Table Head Aligned 2 2 2 4 4 2 2" xfId="30114" xr:uid="{00000000-0005-0000-0000-00008C0B0000}"/>
    <cellStyle name="Table Head Aligned 2 2 2 4 4 2 3" xfId="48477" xr:uid="{00000000-0005-0000-0000-00008C0B0000}"/>
    <cellStyle name="Table Head Aligned 2 2 2 4 4 3" xfId="15732" xr:uid="{00000000-0005-0000-0000-00008C0B0000}"/>
    <cellStyle name="Table Head Aligned 2 2 2 4 4 3 2" xfId="34120" xr:uid="{00000000-0005-0000-0000-00008C0B0000}"/>
    <cellStyle name="Table Head Aligned 2 2 2 4 4 3 3" xfId="52483" xr:uid="{00000000-0005-0000-0000-00008C0B0000}"/>
    <cellStyle name="Table Head Aligned 2 2 2 4 4 4" xfId="24856" xr:uid="{00000000-0005-0000-0000-00008C0B0000}"/>
    <cellStyle name="Table Head Aligned 2 2 2 4 4 4 2" xfId="43225" xr:uid="{00000000-0005-0000-0000-00008C0B0000}"/>
    <cellStyle name="Table Head Aligned 2 2 2 4 4 5" xfId="21180" xr:uid="{00000000-0005-0000-0000-00008C0B0000}"/>
    <cellStyle name="Table Head Aligned 2 2 2 4 4 6" xfId="39567" xr:uid="{00000000-0005-0000-0000-00008C0B0000}"/>
    <cellStyle name="Table Head Aligned 2 2 2 4 5" xfId="9624" xr:uid="{00000000-0005-0000-0000-00008C0B0000}"/>
    <cellStyle name="Table Head Aligned 2 2 2 4 5 2" xfId="13682" xr:uid="{00000000-0005-0000-0000-00008C0B0000}"/>
    <cellStyle name="Table Head Aligned 2 2 2 4 5 2 2" xfId="32103" xr:uid="{00000000-0005-0000-0000-00008C0B0000}"/>
    <cellStyle name="Table Head Aligned 2 2 2 4 5 2 3" xfId="50466" xr:uid="{00000000-0005-0000-0000-00008C0B0000}"/>
    <cellStyle name="Table Head Aligned 2 2 2 4 5 3" xfId="28341" xr:uid="{00000000-0005-0000-0000-00008C0B0000}"/>
    <cellStyle name="Table Head Aligned 2 2 2 4 5 3 2" xfId="46704" xr:uid="{00000000-0005-0000-0000-00008C0B0000}"/>
    <cellStyle name="Table Head Aligned 2 2 2 4 5 4" xfId="18730" xr:uid="{00000000-0005-0000-0000-00008C0B0000}"/>
    <cellStyle name="Table Head Aligned 2 2 2 4 5 5" xfId="37140" xr:uid="{00000000-0005-0000-0000-00008C0B0000}"/>
    <cellStyle name="Table Head Aligned 2 2 2 4 6" xfId="8021" xr:uid="{00000000-0005-0000-0000-00008C0B0000}"/>
    <cellStyle name="Table Head Aligned 2 2 2 4 6 2" xfId="27251" xr:uid="{00000000-0005-0000-0000-00008C0B0000}"/>
    <cellStyle name="Table Head Aligned 2 2 2 4 6 3" xfId="45616" xr:uid="{00000000-0005-0000-0000-00008C0B0000}"/>
    <cellStyle name="Table Head Aligned 2 2 2 4 7" xfId="8043" xr:uid="{00000000-0005-0000-0000-00008C0B0000}"/>
    <cellStyle name="Table Head Aligned 2 2 2 4 7 2" xfId="27269" xr:uid="{00000000-0005-0000-0000-00008C0B0000}"/>
    <cellStyle name="Table Head Aligned 2 2 2 4 7 3" xfId="45634" xr:uid="{00000000-0005-0000-0000-00008C0B0000}"/>
    <cellStyle name="Table Head Aligned 2 2 2 4 8" xfId="17877" xr:uid="{00000000-0005-0000-0000-00008C0B0000}"/>
    <cellStyle name="Table Head Aligned 2 2 2 4 8 2" xfId="36287" xr:uid="{00000000-0005-0000-0000-00008C0B0000}"/>
    <cellStyle name="Table Head Aligned 2 2 2 4 9" xfId="7383" xr:uid="{00000000-0005-0000-0000-00008C0B0000}"/>
    <cellStyle name="Table Head Aligned 2 2 2 5" xfId="3563" xr:uid="{00000000-0005-0000-0000-0000890B0000}"/>
    <cellStyle name="Table Head Aligned 2 2 2 5 2" xfId="5736" xr:uid="{00000000-0005-0000-0000-0000890B0000}"/>
    <cellStyle name="Table Head Aligned 2 2 2 5 2 2" xfId="12100" xr:uid="{00000000-0005-0000-0000-0000890B0000}"/>
    <cellStyle name="Table Head Aligned 2 2 2 5 2 2 2" xfId="30547" xr:uid="{00000000-0005-0000-0000-0000890B0000}"/>
    <cellStyle name="Table Head Aligned 2 2 2 5 2 2 3" xfId="48910" xr:uid="{00000000-0005-0000-0000-0000890B0000}"/>
    <cellStyle name="Table Head Aligned 2 2 2 5 2 3" xfId="16426" xr:uid="{00000000-0005-0000-0000-0000890B0000}"/>
    <cellStyle name="Table Head Aligned 2 2 2 5 2 3 2" xfId="34798" xr:uid="{00000000-0005-0000-0000-0000890B0000}"/>
    <cellStyle name="Table Head Aligned 2 2 2 5 2 3 3" xfId="53161" xr:uid="{00000000-0005-0000-0000-0000890B0000}"/>
    <cellStyle name="Table Head Aligned 2 2 2 5 2 4" xfId="25545" xr:uid="{00000000-0005-0000-0000-0000890B0000}"/>
    <cellStyle name="Table Head Aligned 2 2 2 5 2 4 2" xfId="43914" xr:uid="{00000000-0005-0000-0000-0000890B0000}"/>
    <cellStyle name="Table Head Aligned 2 2 2 5 2 5" xfId="21866" xr:uid="{00000000-0005-0000-0000-0000890B0000}"/>
    <cellStyle name="Table Head Aligned 2 2 2 5 2 6" xfId="40245" xr:uid="{00000000-0005-0000-0000-0000890B0000}"/>
    <cellStyle name="Table Head Aligned 2 2 2 5 3" xfId="6562" xr:uid="{00000000-0005-0000-0000-0000890B0000}"/>
    <cellStyle name="Table Head Aligned 2 2 2 5 3 2" xfId="12853" xr:uid="{00000000-0005-0000-0000-0000890B0000}"/>
    <cellStyle name="Table Head Aligned 2 2 2 5 3 2 2" xfId="31279" xr:uid="{00000000-0005-0000-0000-0000890B0000}"/>
    <cellStyle name="Table Head Aligned 2 2 2 5 3 2 3" xfId="49642" xr:uid="{00000000-0005-0000-0000-0000890B0000}"/>
    <cellStyle name="Table Head Aligned 2 2 2 5 3 3" xfId="17164" xr:uid="{00000000-0005-0000-0000-0000890B0000}"/>
    <cellStyle name="Table Head Aligned 2 2 2 5 3 3 2" xfId="35512" xr:uid="{00000000-0005-0000-0000-0000890B0000}"/>
    <cellStyle name="Table Head Aligned 2 2 2 5 3 3 3" xfId="53875" xr:uid="{00000000-0005-0000-0000-0000890B0000}"/>
    <cellStyle name="Table Head Aligned 2 2 2 5 3 4" xfId="26297" xr:uid="{00000000-0005-0000-0000-0000890B0000}"/>
    <cellStyle name="Table Head Aligned 2 2 2 5 3 4 2" xfId="44666" xr:uid="{00000000-0005-0000-0000-0000890B0000}"/>
    <cellStyle name="Table Head Aligned 2 2 2 5 3 5" xfId="22590" xr:uid="{00000000-0005-0000-0000-0000890B0000}"/>
    <cellStyle name="Table Head Aligned 2 2 2 5 3 6" xfId="40959" xr:uid="{00000000-0005-0000-0000-0000890B0000}"/>
    <cellStyle name="Table Head Aligned 2 2 2 5 4" xfId="10276" xr:uid="{00000000-0005-0000-0000-0000890B0000}"/>
    <cellStyle name="Table Head Aligned 2 2 2 5 4 2" xfId="14333" xr:uid="{00000000-0005-0000-0000-0000890B0000}"/>
    <cellStyle name="Table Head Aligned 2 2 2 5 4 2 2" xfId="32749" xr:uid="{00000000-0005-0000-0000-0000890B0000}"/>
    <cellStyle name="Table Head Aligned 2 2 2 5 4 2 3" xfId="51112" xr:uid="{00000000-0005-0000-0000-0000890B0000}"/>
    <cellStyle name="Table Head Aligned 2 2 2 5 4 3" xfId="28987" xr:uid="{00000000-0005-0000-0000-0000890B0000}"/>
    <cellStyle name="Table Head Aligned 2 2 2 5 4 3 2" xfId="47350" xr:uid="{00000000-0005-0000-0000-0000890B0000}"/>
    <cellStyle name="Table Head Aligned 2 2 2 5 4 4" xfId="19790" xr:uid="{00000000-0005-0000-0000-0000890B0000}"/>
    <cellStyle name="Table Head Aligned 2 2 2 5 4 5" xfId="38196" xr:uid="{00000000-0005-0000-0000-0000890B0000}"/>
    <cellStyle name="Table Head Aligned 2 2 2 5 5" xfId="9484" xr:uid="{00000000-0005-0000-0000-0000890B0000}"/>
    <cellStyle name="Table Head Aligned 2 2 2 5 5 2" xfId="28201" xr:uid="{00000000-0005-0000-0000-0000890B0000}"/>
    <cellStyle name="Table Head Aligned 2 2 2 5 5 3" xfId="46564" xr:uid="{00000000-0005-0000-0000-0000890B0000}"/>
    <cellStyle name="Table Head Aligned 2 2 2 5 6" xfId="13542" xr:uid="{00000000-0005-0000-0000-0000890B0000}"/>
    <cellStyle name="Table Head Aligned 2 2 2 5 6 2" xfId="31963" xr:uid="{00000000-0005-0000-0000-0000890B0000}"/>
    <cellStyle name="Table Head Aligned 2 2 2 5 6 3" xfId="50326" xr:uid="{00000000-0005-0000-0000-0000890B0000}"/>
    <cellStyle name="Table Head Aligned 2 2 2 5 7" xfId="23471" xr:uid="{00000000-0005-0000-0000-0000890B0000}"/>
    <cellStyle name="Table Head Aligned 2 2 2 5 7 2" xfId="41840" xr:uid="{00000000-0005-0000-0000-0000890B0000}"/>
    <cellStyle name="Table Head Aligned 2 2 2 5 8" xfId="18581" xr:uid="{00000000-0005-0000-0000-0000890B0000}"/>
    <cellStyle name="Table Head Aligned 2 2 2 5 9" xfId="36991" xr:uid="{00000000-0005-0000-0000-0000890B0000}"/>
    <cellStyle name="Table Head Aligned 2 2 2 6" xfId="4594" xr:uid="{00000000-0005-0000-0000-0000890B0000}"/>
    <cellStyle name="Table Head Aligned 2 2 2 6 2" xfId="11179" xr:uid="{00000000-0005-0000-0000-0000890B0000}"/>
    <cellStyle name="Table Head Aligned 2 2 2 6 2 2" xfId="29793" xr:uid="{00000000-0005-0000-0000-0000890B0000}"/>
    <cellStyle name="Table Head Aligned 2 2 2 6 2 3" xfId="48156" xr:uid="{00000000-0005-0000-0000-0000890B0000}"/>
    <cellStyle name="Table Head Aligned 2 2 2 6 3" xfId="15320" xr:uid="{00000000-0005-0000-0000-0000890B0000}"/>
    <cellStyle name="Table Head Aligned 2 2 2 6 3 2" xfId="33714" xr:uid="{00000000-0005-0000-0000-0000890B0000}"/>
    <cellStyle name="Table Head Aligned 2 2 2 6 3 3" xfId="52077" xr:uid="{00000000-0005-0000-0000-0000890B0000}"/>
    <cellStyle name="Table Head Aligned 2 2 2 6 4" xfId="24445" xr:uid="{00000000-0005-0000-0000-0000890B0000}"/>
    <cellStyle name="Table Head Aligned 2 2 2 6 4 2" xfId="42814" xr:uid="{00000000-0005-0000-0000-0000890B0000}"/>
    <cellStyle name="Table Head Aligned 2 2 2 6 5" xfId="20771" xr:uid="{00000000-0005-0000-0000-0000890B0000}"/>
    <cellStyle name="Table Head Aligned 2 2 2 6 6" xfId="39161" xr:uid="{00000000-0005-0000-0000-0000890B0000}"/>
    <cellStyle name="Table Head Aligned 2 2 2 7" xfId="61" xr:uid="{00000000-0005-0000-0000-0000890B0000}"/>
    <cellStyle name="Table Head Aligned 2 2 2 7 2" xfId="9161" xr:uid="{00000000-0005-0000-0000-0000890B0000}"/>
    <cellStyle name="Table Head Aligned 2 2 2 7 2 2" xfId="27883" xr:uid="{00000000-0005-0000-0000-0000890B0000}"/>
    <cellStyle name="Table Head Aligned 2 2 2 7 2 3" xfId="46246" xr:uid="{00000000-0005-0000-0000-0000890B0000}"/>
    <cellStyle name="Table Head Aligned 2 2 2 7 3" xfId="13220" xr:uid="{00000000-0005-0000-0000-0000890B0000}"/>
    <cellStyle name="Table Head Aligned 2 2 2 7 3 2" xfId="31641" xr:uid="{00000000-0005-0000-0000-0000890B0000}"/>
    <cellStyle name="Table Head Aligned 2 2 2 7 3 3" xfId="50004" xr:uid="{00000000-0005-0000-0000-0000890B0000}"/>
    <cellStyle name="Table Head Aligned 2 2 2 7 4" xfId="7672" xr:uid="{00000000-0005-0000-0000-0000890B0000}"/>
    <cellStyle name="Table Head Aligned 2 2 2 7 4 2" xfId="11771" xr:uid="{00000000-0005-0000-0000-0000890B0000}"/>
    <cellStyle name="Table Head Aligned 2 2 2 7 5" xfId="18153" xr:uid="{00000000-0005-0000-0000-0000890B0000}"/>
    <cellStyle name="Table Head Aligned 2 2 2 7 6" xfId="36560" xr:uid="{00000000-0005-0000-0000-0000890B0000}"/>
    <cellStyle name="Table Head Aligned 2 2 2 8" xfId="7890" xr:uid="{00000000-0005-0000-0000-0000890B0000}"/>
    <cellStyle name="Table Head Aligned 2 2 2 8 2" xfId="27127" xr:uid="{00000000-0005-0000-0000-0000890B0000}"/>
    <cellStyle name="Table Head Aligned 2 2 2 8 3" xfId="45492" xr:uid="{00000000-0005-0000-0000-0000890B0000}"/>
    <cellStyle name="Table Head Aligned 2 2 2 9" xfId="12546" xr:uid="{00000000-0005-0000-0000-0000890B0000}"/>
    <cellStyle name="Table Head Aligned 2 2 2 9 2" xfId="30978" xr:uid="{00000000-0005-0000-0000-0000890B0000}"/>
    <cellStyle name="Table Head Aligned 2 2 2 9 3" xfId="49341" xr:uid="{00000000-0005-0000-0000-0000890B0000}"/>
    <cellStyle name="Table Head Aligned 2 2 3" xfId="1507" xr:uid="{00000000-0005-0000-0000-00008D0B0000}"/>
    <cellStyle name="Table Head Aligned 2 2 3 10" xfId="8260" xr:uid="{00000000-0005-0000-0000-00008D0B0000}"/>
    <cellStyle name="Table Head Aligned 2 2 3 10 2" xfId="27390" xr:uid="{00000000-0005-0000-0000-00008D0B0000}"/>
    <cellStyle name="Table Head Aligned 2 2 3 10 3" xfId="45755" xr:uid="{00000000-0005-0000-0000-00008D0B0000}"/>
    <cellStyle name="Table Head Aligned 2 2 3 11" xfId="15635" xr:uid="{00000000-0005-0000-0000-00008D0B0000}"/>
    <cellStyle name="Table Head Aligned 2 2 3 12" xfId="7356" xr:uid="{00000000-0005-0000-0000-00008D0B0000}"/>
    <cellStyle name="Table Head Aligned 2 2 3 2" xfId="1676" xr:uid="{00000000-0005-0000-0000-00008E0B0000}"/>
    <cellStyle name="Table Head Aligned 2 2 3 2 10" xfId="6933" xr:uid="{00000000-0005-0000-0000-00008E0B0000}"/>
    <cellStyle name="Table Head Aligned 2 2 3 2 2" xfId="3574" xr:uid="{00000000-0005-0000-0000-00008E0B0000}"/>
    <cellStyle name="Table Head Aligned 2 2 3 2 2 2" xfId="5747" xr:uid="{00000000-0005-0000-0000-00008E0B0000}"/>
    <cellStyle name="Table Head Aligned 2 2 3 2 2 2 2" xfId="12111" xr:uid="{00000000-0005-0000-0000-00008E0B0000}"/>
    <cellStyle name="Table Head Aligned 2 2 3 2 2 2 2 2" xfId="30558" xr:uid="{00000000-0005-0000-0000-00008E0B0000}"/>
    <cellStyle name="Table Head Aligned 2 2 3 2 2 2 2 3" xfId="48921" xr:uid="{00000000-0005-0000-0000-00008E0B0000}"/>
    <cellStyle name="Table Head Aligned 2 2 3 2 2 2 3" xfId="16437" xr:uid="{00000000-0005-0000-0000-00008E0B0000}"/>
    <cellStyle name="Table Head Aligned 2 2 3 2 2 2 3 2" xfId="34809" xr:uid="{00000000-0005-0000-0000-00008E0B0000}"/>
    <cellStyle name="Table Head Aligned 2 2 3 2 2 2 3 3" xfId="53172" xr:uid="{00000000-0005-0000-0000-00008E0B0000}"/>
    <cellStyle name="Table Head Aligned 2 2 3 2 2 2 4" xfId="25556" xr:uid="{00000000-0005-0000-0000-00008E0B0000}"/>
    <cellStyle name="Table Head Aligned 2 2 3 2 2 2 4 2" xfId="43925" xr:uid="{00000000-0005-0000-0000-00008E0B0000}"/>
    <cellStyle name="Table Head Aligned 2 2 3 2 2 2 5" xfId="21877" xr:uid="{00000000-0005-0000-0000-00008E0B0000}"/>
    <cellStyle name="Table Head Aligned 2 2 3 2 2 2 6" xfId="40256" xr:uid="{00000000-0005-0000-0000-00008E0B0000}"/>
    <cellStyle name="Table Head Aligned 2 2 3 2 2 3" xfId="6573" xr:uid="{00000000-0005-0000-0000-00008E0B0000}"/>
    <cellStyle name="Table Head Aligned 2 2 3 2 2 3 2" xfId="12864" xr:uid="{00000000-0005-0000-0000-00008E0B0000}"/>
    <cellStyle name="Table Head Aligned 2 2 3 2 2 3 2 2" xfId="31290" xr:uid="{00000000-0005-0000-0000-00008E0B0000}"/>
    <cellStyle name="Table Head Aligned 2 2 3 2 2 3 2 3" xfId="49653" xr:uid="{00000000-0005-0000-0000-00008E0B0000}"/>
    <cellStyle name="Table Head Aligned 2 2 3 2 2 3 3" xfId="17175" xr:uid="{00000000-0005-0000-0000-00008E0B0000}"/>
    <cellStyle name="Table Head Aligned 2 2 3 2 2 3 3 2" xfId="35523" xr:uid="{00000000-0005-0000-0000-00008E0B0000}"/>
    <cellStyle name="Table Head Aligned 2 2 3 2 2 3 3 3" xfId="53886" xr:uid="{00000000-0005-0000-0000-00008E0B0000}"/>
    <cellStyle name="Table Head Aligned 2 2 3 2 2 3 4" xfId="26308" xr:uid="{00000000-0005-0000-0000-00008E0B0000}"/>
    <cellStyle name="Table Head Aligned 2 2 3 2 2 3 4 2" xfId="44677" xr:uid="{00000000-0005-0000-0000-00008E0B0000}"/>
    <cellStyle name="Table Head Aligned 2 2 3 2 2 3 5" xfId="22601" xr:uid="{00000000-0005-0000-0000-00008E0B0000}"/>
    <cellStyle name="Table Head Aligned 2 2 3 2 2 3 6" xfId="40970" xr:uid="{00000000-0005-0000-0000-00008E0B0000}"/>
    <cellStyle name="Table Head Aligned 2 2 3 2 2 4" xfId="10287" xr:uid="{00000000-0005-0000-0000-00008E0B0000}"/>
    <cellStyle name="Table Head Aligned 2 2 3 2 2 4 2" xfId="14344" xr:uid="{00000000-0005-0000-0000-00008E0B0000}"/>
    <cellStyle name="Table Head Aligned 2 2 3 2 2 4 2 2" xfId="32760" xr:uid="{00000000-0005-0000-0000-00008E0B0000}"/>
    <cellStyle name="Table Head Aligned 2 2 3 2 2 4 2 3" xfId="51123" xr:uid="{00000000-0005-0000-0000-00008E0B0000}"/>
    <cellStyle name="Table Head Aligned 2 2 3 2 2 4 3" xfId="28998" xr:uid="{00000000-0005-0000-0000-00008E0B0000}"/>
    <cellStyle name="Table Head Aligned 2 2 3 2 2 4 3 2" xfId="47361" xr:uid="{00000000-0005-0000-0000-00008E0B0000}"/>
    <cellStyle name="Table Head Aligned 2 2 3 2 2 4 4" xfId="19801" xr:uid="{00000000-0005-0000-0000-00008E0B0000}"/>
    <cellStyle name="Table Head Aligned 2 2 3 2 2 4 5" xfId="38207" xr:uid="{00000000-0005-0000-0000-00008E0B0000}"/>
    <cellStyle name="Table Head Aligned 2 2 3 2 2 5" xfId="9495" xr:uid="{00000000-0005-0000-0000-00008E0B0000}"/>
    <cellStyle name="Table Head Aligned 2 2 3 2 2 5 2" xfId="28212" xr:uid="{00000000-0005-0000-0000-00008E0B0000}"/>
    <cellStyle name="Table Head Aligned 2 2 3 2 2 5 3" xfId="46575" xr:uid="{00000000-0005-0000-0000-00008E0B0000}"/>
    <cellStyle name="Table Head Aligned 2 2 3 2 2 6" xfId="13553" xr:uid="{00000000-0005-0000-0000-00008E0B0000}"/>
    <cellStyle name="Table Head Aligned 2 2 3 2 2 6 2" xfId="31974" xr:uid="{00000000-0005-0000-0000-00008E0B0000}"/>
    <cellStyle name="Table Head Aligned 2 2 3 2 2 6 3" xfId="50337" xr:uid="{00000000-0005-0000-0000-00008E0B0000}"/>
    <cellStyle name="Table Head Aligned 2 2 3 2 2 7" xfId="23482" xr:uid="{00000000-0005-0000-0000-00008E0B0000}"/>
    <cellStyle name="Table Head Aligned 2 2 3 2 2 7 2" xfId="41851" xr:uid="{00000000-0005-0000-0000-00008E0B0000}"/>
    <cellStyle name="Table Head Aligned 2 2 3 2 2 8" xfId="18593" xr:uid="{00000000-0005-0000-0000-00008E0B0000}"/>
    <cellStyle name="Table Head Aligned 2 2 3 2 2 9" xfId="37003" xr:uid="{00000000-0005-0000-0000-00008E0B0000}"/>
    <cellStyle name="Table Head Aligned 2 2 3 2 3" xfId="4615" xr:uid="{00000000-0005-0000-0000-00008E0B0000}"/>
    <cellStyle name="Table Head Aligned 2 2 3 2 3 2" xfId="11199" xr:uid="{00000000-0005-0000-0000-00008E0B0000}"/>
    <cellStyle name="Table Head Aligned 2 2 3 2 3 2 2" xfId="29811" xr:uid="{00000000-0005-0000-0000-00008E0B0000}"/>
    <cellStyle name="Table Head Aligned 2 2 3 2 3 2 3" xfId="48174" xr:uid="{00000000-0005-0000-0000-00008E0B0000}"/>
    <cellStyle name="Table Head Aligned 2 2 3 2 3 3" xfId="15341" xr:uid="{00000000-0005-0000-0000-00008E0B0000}"/>
    <cellStyle name="Table Head Aligned 2 2 3 2 3 3 2" xfId="33734" xr:uid="{00000000-0005-0000-0000-00008E0B0000}"/>
    <cellStyle name="Table Head Aligned 2 2 3 2 3 3 3" xfId="52097" xr:uid="{00000000-0005-0000-0000-00008E0B0000}"/>
    <cellStyle name="Table Head Aligned 2 2 3 2 3 4" xfId="24465" xr:uid="{00000000-0005-0000-0000-00008E0B0000}"/>
    <cellStyle name="Table Head Aligned 2 2 3 2 3 4 2" xfId="42834" xr:uid="{00000000-0005-0000-0000-00008E0B0000}"/>
    <cellStyle name="Table Head Aligned 2 2 3 2 3 5" xfId="20792" xr:uid="{00000000-0005-0000-0000-00008E0B0000}"/>
    <cellStyle name="Table Head Aligned 2 2 3 2 3 6" xfId="39181" xr:uid="{00000000-0005-0000-0000-00008E0B0000}"/>
    <cellStyle name="Table Head Aligned 2 2 3 2 4" xfId="4152" xr:uid="{00000000-0005-0000-0000-00008E0B0000}"/>
    <cellStyle name="Table Head Aligned 2 2 3 2 4 2" xfId="10811" xr:uid="{00000000-0005-0000-0000-00008E0B0000}"/>
    <cellStyle name="Table Head Aligned 2 2 3 2 4 2 2" xfId="29483" xr:uid="{00000000-0005-0000-0000-00008E0B0000}"/>
    <cellStyle name="Table Head Aligned 2 2 3 2 4 2 3" xfId="47846" xr:uid="{00000000-0005-0000-0000-00008E0B0000}"/>
    <cellStyle name="Table Head Aligned 2 2 3 2 4 3" xfId="14905" xr:uid="{00000000-0005-0000-0000-00008E0B0000}"/>
    <cellStyle name="Table Head Aligned 2 2 3 2 4 3 2" xfId="33310" xr:uid="{00000000-0005-0000-0000-00008E0B0000}"/>
    <cellStyle name="Table Head Aligned 2 2 3 2 4 3 3" xfId="51673" xr:uid="{00000000-0005-0000-0000-00008E0B0000}"/>
    <cellStyle name="Table Head Aligned 2 2 3 2 4 4" xfId="24035" xr:uid="{00000000-0005-0000-0000-00008E0B0000}"/>
    <cellStyle name="Table Head Aligned 2 2 3 2 4 4 2" xfId="42404" xr:uid="{00000000-0005-0000-0000-00008E0B0000}"/>
    <cellStyle name="Table Head Aligned 2 2 3 2 4 5" xfId="20359" xr:uid="{00000000-0005-0000-0000-00008E0B0000}"/>
    <cellStyle name="Table Head Aligned 2 2 3 2 4 6" xfId="38757" xr:uid="{00000000-0005-0000-0000-00008E0B0000}"/>
    <cellStyle name="Table Head Aligned 2 2 3 2 5" xfId="9268" xr:uid="{00000000-0005-0000-0000-00008E0B0000}"/>
    <cellStyle name="Table Head Aligned 2 2 3 2 5 2" xfId="13325" xr:uid="{00000000-0005-0000-0000-00008E0B0000}"/>
    <cellStyle name="Table Head Aligned 2 2 3 2 5 2 2" xfId="31746" xr:uid="{00000000-0005-0000-0000-00008E0B0000}"/>
    <cellStyle name="Table Head Aligned 2 2 3 2 5 2 3" xfId="50109" xr:uid="{00000000-0005-0000-0000-00008E0B0000}"/>
    <cellStyle name="Table Head Aligned 2 2 3 2 5 3" xfId="27988" xr:uid="{00000000-0005-0000-0000-00008E0B0000}"/>
    <cellStyle name="Table Head Aligned 2 2 3 2 5 3 2" xfId="46351" xr:uid="{00000000-0005-0000-0000-00008E0B0000}"/>
    <cellStyle name="Table Head Aligned 2 2 3 2 5 4" xfId="18328" xr:uid="{00000000-0005-0000-0000-00008E0B0000}"/>
    <cellStyle name="Table Head Aligned 2 2 3 2 5 5" xfId="36734" xr:uid="{00000000-0005-0000-0000-00008E0B0000}"/>
    <cellStyle name="Table Head Aligned 2 2 3 2 6" xfId="7909" xr:uid="{00000000-0005-0000-0000-00008E0B0000}"/>
    <cellStyle name="Table Head Aligned 2 2 3 2 6 2" xfId="27141" xr:uid="{00000000-0005-0000-0000-00008E0B0000}"/>
    <cellStyle name="Table Head Aligned 2 2 3 2 6 3" xfId="45506" xr:uid="{00000000-0005-0000-0000-00008E0B0000}"/>
    <cellStyle name="Table Head Aligned 2 2 3 2 7" xfId="11600" xr:uid="{00000000-0005-0000-0000-00008E0B0000}"/>
    <cellStyle name="Table Head Aligned 2 2 3 2 7 2" xfId="30164" xr:uid="{00000000-0005-0000-0000-00008E0B0000}"/>
    <cellStyle name="Table Head Aligned 2 2 3 2 7 3" xfId="48527" xr:uid="{00000000-0005-0000-0000-00008E0B0000}"/>
    <cellStyle name="Table Head Aligned 2 2 3 2 8" xfId="18999" xr:uid="{00000000-0005-0000-0000-00008E0B0000}"/>
    <cellStyle name="Table Head Aligned 2 2 3 2 8 2" xfId="37408" xr:uid="{00000000-0005-0000-0000-00008E0B0000}"/>
    <cellStyle name="Table Head Aligned 2 2 3 2 9" xfId="8498" xr:uid="{00000000-0005-0000-0000-00008E0B0000}"/>
    <cellStyle name="Table Head Aligned 2 2 3 3" xfId="1404" xr:uid="{00000000-0005-0000-0000-00008F0B0000}"/>
    <cellStyle name="Table Head Aligned 2 2 3 3 10" xfId="7298" xr:uid="{00000000-0005-0000-0000-00008F0B0000}"/>
    <cellStyle name="Table Head Aligned 2 2 3 3 2" xfId="3437" xr:uid="{00000000-0005-0000-0000-00008F0B0000}"/>
    <cellStyle name="Table Head Aligned 2 2 3 3 2 2" xfId="5612" xr:uid="{00000000-0005-0000-0000-00008F0B0000}"/>
    <cellStyle name="Table Head Aligned 2 2 3 3 2 2 2" xfId="11976" xr:uid="{00000000-0005-0000-0000-00008F0B0000}"/>
    <cellStyle name="Table Head Aligned 2 2 3 3 2 2 2 2" xfId="30423" xr:uid="{00000000-0005-0000-0000-00008F0B0000}"/>
    <cellStyle name="Table Head Aligned 2 2 3 3 2 2 2 3" xfId="48786" xr:uid="{00000000-0005-0000-0000-00008F0B0000}"/>
    <cellStyle name="Table Head Aligned 2 2 3 3 2 2 3" xfId="16302" xr:uid="{00000000-0005-0000-0000-00008F0B0000}"/>
    <cellStyle name="Table Head Aligned 2 2 3 3 2 2 3 2" xfId="34674" xr:uid="{00000000-0005-0000-0000-00008F0B0000}"/>
    <cellStyle name="Table Head Aligned 2 2 3 3 2 2 3 3" xfId="53037" xr:uid="{00000000-0005-0000-0000-00008F0B0000}"/>
    <cellStyle name="Table Head Aligned 2 2 3 3 2 2 4" xfId="25421" xr:uid="{00000000-0005-0000-0000-00008F0B0000}"/>
    <cellStyle name="Table Head Aligned 2 2 3 3 2 2 4 2" xfId="43790" xr:uid="{00000000-0005-0000-0000-00008F0B0000}"/>
    <cellStyle name="Table Head Aligned 2 2 3 3 2 2 5" xfId="21742" xr:uid="{00000000-0005-0000-0000-00008F0B0000}"/>
    <cellStyle name="Table Head Aligned 2 2 3 3 2 2 6" xfId="40121" xr:uid="{00000000-0005-0000-0000-00008F0B0000}"/>
    <cellStyle name="Table Head Aligned 2 2 3 3 2 3" xfId="6436" xr:uid="{00000000-0005-0000-0000-00008F0B0000}"/>
    <cellStyle name="Table Head Aligned 2 2 3 3 2 3 2" xfId="12727" xr:uid="{00000000-0005-0000-0000-00008F0B0000}"/>
    <cellStyle name="Table Head Aligned 2 2 3 3 2 3 2 2" xfId="31153" xr:uid="{00000000-0005-0000-0000-00008F0B0000}"/>
    <cellStyle name="Table Head Aligned 2 2 3 3 2 3 2 3" xfId="49516" xr:uid="{00000000-0005-0000-0000-00008F0B0000}"/>
    <cellStyle name="Table Head Aligned 2 2 3 3 2 3 3" xfId="17038" xr:uid="{00000000-0005-0000-0000-00008F0B0000}"/>
    <cellStyle name="Table Head Aligned 2 2 3 3 2 3 3 2" xfId="35386" xr:uid="{00000000-0005-0000-0000-00008F0B0000}"/>
    <cellStyle name="Table Head Aligned 2 2 3 3 2 3 3 3" xfId="53749" xr:uid="{00000000-0005-0000-0000-00008F0B0000}"/>
    <cellStyle name="Table Head Aligned 2 2 3 3 2 3 4" xfId="26171" xr:uid="{00000000-0005-0000-0000-00008F0B0000}"/>
    <cellStyle name="Table Head Aligned 2 2 3 3 2 3 4 2" xfId="44540" xr:uid="{00000000-0005-0000-0000-00008F0B0000}"/>
    <cellStyle name="Table Head Aligned 2 2 3 3 2 3 5" xfId="22464" xr:uid="{00000000-0005-0000-0000-00008F0B0000}"/>
    <cellStyle name="Table Head Aligned 2 2 3 3 2 3 6" xfId="40833" xr:uid="{00000000-0005-0000-0000-00008F0B0000}"/>
    <cellStyle name="Table Head Aligned 2 2 3 3 2 4" xfId="10150" xr:uid="{00000000-0005-0000-0000-00008F0B0000}"/>
    <cellStyle name="Table Head Aligned 2 2 3 3 2 4 2" xfId="14207" xr:uid="{00000000-0005-0000-0000-00008F0B0000}"/>
    <cellStyle name="Table Head Aligned 2 2 3 3 2 4 2 2" xfId="32623" xr:uid="{00000000-0005-0000-0000-00008F0B0000}"/>
    <cellStyle name="Table Head Aligned 2 2 3 3 2 4 2 3" xfId="50986" xr:uid="{00000000-0005-0000-0000-00008F0B0000}"/>
    <cellStyle name="Table Head Aligned 2 2 3 3 2 4 3" xfId="28861" xr:uid="{00000000-0005-0000-0000-00008F0B0000}"/>
    <cellStyle name="Table Head Aligned 2 2 3 3 2 4 3 2" xfId="47224" xr:uid="{00000000-0005-0000-0000-00008F0B0000}"/>
    <cellStyle name="Table Head Aligned 2 2 3 3 2 4 4" xfId="19664" xr:uid="{00000000-0005-0000-0000-00008F0B0000}"/>
    <cellStyle name="Table Head Aligned 2 2 3 3 2 4 5" xfId="38070" xr:uid="{00000000-0005-0000-0000-00008F0B0000}"/>
    <cellStyle name="Table Head Aligned 2 2 3 3 2 5" xfId="9337" xr:uid="{00000000-0005-0000-0000-00008F0B0000}"/>
    <cellStyle name="Table Head Aligned 2 2 3 3 2 5 2" xfId="28056" xr:uid="{00000000-0005-0000-0000-00008F0B0000}"/>
    <cellStyle name="Table Head Aligned 2 2 3 3 2 5 3" xfId="46419" xr:uid="{00000000-0005-0000-0000-00008F0B0000}"/>
    <cellStyle name="Table Head Aligned 2 2 3 3 2 6" xfId="13393" xr:uid="{00000000-0005-0000-0000-00008F0B0000}"/>
    <cellStyle name="Table Head Aligned 2 2 3 3 2 6 2" xfId="31814" xr:uid="{00000000-0005-0000-0000-00008F0B0000}"/>
    <cellStyle name="Table Head Aligned 2 2 3 3 2 6 3" xfId="50177" xr:uid="{00000000-0005-0000-0000-00008F0B0000}"/>
    <cellStyle name="Table Head Aligned 2 2 3 3 2 7" xfId="23345" xr:uid="{00000000-0005-0000-0000-00008F0B0000}"/>
    <cellStyle name="Table Head Aligned 2 2 3 3 2 7 2" xfId="41714" xr:uid="{00000000-0005-0000-0000-00008F0B0000}"/>
    <cellStyle name="Table Head Aligned 2 2 3 3 2 8" xfId="18416" xr:uid="{00000000-0005-0000-0000-00008F0B0000}"/>
    <cellStyle name="Table Head Aligned 2 2 3 3 2 9" xfId="36822" xr:uid="{00000000-0005-0000-0000-00008F0B0000}"/>
    <cellStyle name="Table Head Aligned 2 2 3 3 3" xfId="4430" xr:uid="{00000000-0005-0000-0000-00008F0B0000}"/>
    <cellStyle name="Table Head Aligned 2 2 3 3 3 2" xfId="11029" xr:uid="{00000000-0005-0000-0000-00008F0B0000}"/>
    <cellStyle name="Table Head Aligned 2 2 3 3 3 2 2" xfId="29649" xr:uid="{00000000-0005-0000-0000-00008F0B0000}"/>
    <cellStyle name="Table Head Aligned 2 2 3 3 3 2 3" xfId="48012" xr:uid="{00000000-0005-0000-0000-00008F0B0000}"/>
    <cellStyle name="Table Head Aligned 2 2 3 3 3 3" xfId="15164" xr:uid="{00000000-0005-0000-0000-00008F0B0000}"/>
    <cellStyle name="Table Head Aligned 2 2 3 3 3 3 2" xfId="33561" xr:uid="{00000000-0005-0000-0000-00008F0B0000}"/>
    <cellStyle name="Table Head Aligned 2 2 3 3 3 3 3" xfId="51924" xr:uid="{00000000-0005-0000-0000-00008F0B0000}"/>
    <cellStyle name="Table Head Aligned 2 2 3 3 3 4" xfId="24292" xr:uid="{00000000-0005-0000-0000-00008F0B0000}"/>
    <cellStyle name="Table Head Aligned 2 2 3 3 3 4 2" xfId="42661" xr:uid="{00000000-0005-0000-0000-00008F0B0000}"/>
    <cellStyle name="Table Head Aligned 2 2 3 3 3 5" xfId="20615" xr:uid="{00000000-0005-0000-0000-00008F0B0000}"/>
    <cellStyle name="Table Head Aligned 2 2 3 3 3 6" xfId="39008" xr:uid="{00000000-0005-0000-0000-00008F0B0000}"/>
    <cellStyle name="Table Head Aligned 2 2 3 3 4" xfId="4040" xr:uid="{00000000-0005-0000-0000-00008F0B0000}"/>
    <cellStyle name="Table Head Aligned 2 2 3 3 4 2" xfId="10741" xr:uid="{00000000-0005-0000-0000-00008F0B0000}"/>
    <cellStyle name="Table Head Aligned 2 2 3 3 4 2 2" xfId="29444" xr:uid="{00000000-0005-0000-0000-00008F0B0000}"/>
    <cellStyle name="Table Head Aligned 2 2 3 3 4 2 3" xfId="47807" xr:uid="{00000000-0005-0000-0000-00008F0B0000}"/>
    <cellStyle name="Table Head Aligned 2 2 3 3 4 3" xfId="14801" xr:uid="{00000000-0005-0000-0000-00008F0B0000}"/>
    <cellStyle name="Table Head Aligned 2 2 3 3 4 3 2" xfId="33213" xr:uid="{00000000-0005-0000-0000-00008F0B0000}"/>
    <cellStyle name="Table Head Aligned 2 2 3 3 4 3 3" xfId="51576" xr:uid="{00000000-0005-0000-0000-00008F0B0000}"/>
    <cellStyle name="Table Head Aligned 2 2 3 3 4 4" xfId="23937" xr:uid="{00000000-0005-0000-0000-00008F0B0000}"/>
    <cellStyle name="Table Head Aligned 2 2 3 3 4 4 2" xfId="42306" xr:uid="{00000000-0005-0000-0000-00008F0B0000}"/>
    <cellStyle name="Table Head Aligned 2 2 3 3 4 5" xfId="20257" xr:uid="{00000000-0005-0000-0000-00008F0B0000}"/>
    <cellStyle name="Table Head Aligned 2 2 3 3 4 6" xfId="38660" xr:uid="{00000000-0005-0000-0000-00008F0B0000}"/>
    <cellStyle name="Table Head Aligned 2 2 3 3 5" xfId="9206" xr:uid="{00000000-0005-0000-0000-00008F0B0000}"/>
    <cellStyle name="Table Head Aligned 2 2 3 3 5 2" xfId="13264" xr:uid="{00000000-0005-0000-0000-00008F0B0000}"/>
    <cellStyle name="Table Head Aligned 2 2 3 3 5 2 2" xfId="31685" xr:uid="{00000000-0005-0000-0000-00008F0B0000}"/>
    <cellStyle name="Table Head Aligned 2 2 3 3 5 2 3" xfId="50048" xr:uid="{00000000-0005-0000-0000-00008F0B0000}"/>
    <cellStyle name="Table Head Aligned 2 2 3 3 5 3" xfId="27927" xr:uid="{00000000-0005-0000-0000-00008F0B0000}"/>
    <cellStyle name="Table Head Aligned 2 2 3 3 5 3 2" xfId="46290" xr:uid="{00000000-0005-0000-0000-00008F0B0000}"/>
    <cellStyle name="Table Head Aligned 2 2 3 3 5 4" xfId="18232" xr:uid="{00000000-0005-0000-0000-00008F0B0000}"/>
    <cellStyle name="Table Head Aligned 2 2 3 3 5 5" xfId="36638" xr:uid="{00000000-0005-0000-0000-00008F0B0000}"/>
    <cellStyle name="Table Head Aligned 2 2 3 3 6" xfId="7696" xr:uid="{00000000-0005-0000-0000-00008F0B0000}"/>
    <cellStyle name="Table Head Aligned 2 2 3 3 6 2" xfId="26978" xr:uid="{00000000-0005-0000-0000-00008F0B0000}"/>
    <cellStyle name="Table Head Aligned 2 2 3 3 6 3" xfId="45343" xr:uid="{00000000-0005-0000-0000-00008F0B0000}"/>
    <cellStyle name="Table Head Aligned 2 2 3 3 7" xfId="7670" xr:uid="{00000000-0005-0000-0000-00008F0B0000}"/>
    <cellStyle name="Table Head Aligned 2 2 3 3 7 2" xfId="26954" xr:uid="{00000000-0005-0000-0000-00008F0B0000}"/>
    <cellStyle name="Table Head Aligned 2 2 3 3 7 3" xfId="45319" xr:uid="{00000000-0005-0000-0000-00008F0B0000}"/>
    <cellStyle name="Table Head Aligned 2 2 3 3 8" xfId="19154" xr:uid="{00000000-0005-0000-0000-00008F0B0000}"/>
    <cellStyle name="Table Head Aligned 2 2 3 3 8 2" xfId="37562" xr:uid="{00000000-0005-0000-0000-00008F0B0000}"/>
    <cellStyle name="Table Head Aligned 2 2 3 3 9" xfId="8958" xr:uid="{00000000-0005-0000-0000-00008F0B0000}"/>
    <cellStyle name="Table Head Aligned 2 2 3 4" xfId="1371" xr:uid="{00000000-0005-0000-0000-0000900B0000}"/>
    <cellStyle name="Table Head Aligned 2 2 3 4 10" xfId="8194" xr:uid="{00000000-0005-0000-0000-0000900B0000}"/>
    <cellStyle name="Table Head Aligned 2 2 3 4 2" xfId="3413" xr:uid="{00000000-0005-0000-0000-0000900B0000}"/>
    <cellStyle name="Table Head Aligned 2 2 3 4 2 2" xfId="5588" xr:uid="{00000000-0005-0000-0000-0000900B0000}"/>
    <cellStyle name="Table Head Aligned 2 2 3 4 2 2 2" xfId="11952" xr:uid="{00000000-0005-0000-0000-0000900B0000}"/>
    <cellStyle name="Table Head Aligned 2 2 3 4 2 2 2 2" xfId="30399" xr:uid="{00000000-0005-0000-0000-0000900B0000}"/>
    <cellStyle name="Table Head Aligned 2 2 3 4 2 2 2 3" xfId="48762" xr:uid="{00000000-0005-0000-0000-0000900B0000}"/>
    <cellStyle name="Table Head Aligned 2 2 3 4 2 2 3" xfId="16278" xr:uid="{00000000-0005-0000-0000-0000900B0000}"/>
    <cellStyle name="Table Head Aligned 2 2 3 4 2 2 3 2" xfId="34650" xr:uid="{00000000-0005-0000-0000-0000900B0000}"/>
    <cellStyle name="Table Head Aligned 2 2 3 4 2 2 3 3" xfId="53013" xr:uid="{00000000-0005-0000-0000-0000900B0000}"/>
    <cellStyle name="Table Head Aligned 2 2 3 4 2 2 4" xfId="25397" xr:uid="{00000000-0005-0000-0000-0000900B0000}"/>
    <cellStyle name="Table Head Aligned 2 2 3 4 2 2 4 2" xfId="43766" xr:uid="{00000000-0005-0000-0000-0000900B0000}"/>
    <cellStyle name="Table Head Aligned 2 2 3 4 2 2 5" xfId="21718" xr:uid="{00000000-0005-0000-0000-0000900B0000}"/>
    <cellStyle name="Table Head Aligned 2 2 3 4 2 2 6" xfId="40097" xr:uid="{00000000-0005-0000-0000-0000900B0000}"/>
    <cellStyle name="Table Head Aligned 2 2 3 4 2 3" xfId="6412" xr:uid="{00000000-0005-0000-0000-0000900B0000}"/>
    <cellStyle name="Table Head Aligned 2 2 3 4 2 3 2" xfId="12703" xr:uid="{00000000-0005-0000-0000-0000900B0000}"/>
    <cellStyle name="Table Head Aligned 2 2 3 4 2 3 2 2" xfId="31129" xr:uid="{00000000-0005-0000-0000-0000900B0000}"/>
    <cellStyle name="Table Head Aligned 2 2 3 4 2 3 2 3" xfId="49492" xr:uid="{00000000-0005-0000-0000-0000900B0000}"/>
    <cellStyle name="Table Head Aligned 2 2 3 4 2 3 3" xfId="17014" xr:uid="{00000000-0005-0000-0000-0000900B0000}"/>
    <cellStyle name="Table Head Aligned 2 2 3 4 2 3 3 2" xfId="35362" xr:uid="{00000000-0005-0000-0000-0000900B0000}"/>
    <cellStyle name="Table Head Aligned 2 2 3 4 2 3 3 3" xfId="53725" xr:uid="{00000000-0005-0000-0000-0000900B0000}"/>
    <cellStyle name="Table Head Aligned 2 2 3 4 2 3 4" xfId="26147" xr:uid="{00000000-0005-0000-0000-0000900B0000}"/>
    <cellStyle name="Table Head Aligned 2 2 3 4 2 3 4 2" xfId="44516" xr:uid="{00000000-0005-0000-0000-0000900B0000}"/>
    <cellStyle name="Table Head Aligned 2 2 3 4 2 3 5" xfId="22440" xr:uid="{00000000-0005-0000-0000-0000900B0000}"/>
    <cellStyle name="Table Head Aligned 2 2 3 4 2 3 6" xfId="40809" xr:uid="{00000000-0005-0000-0000-0000900B0000}"/>
    <cellStyle name="Table Head Aligned 2 2 3 4 2 4" xfId="10126" xr:uid="{00000000-0005-0000-0000-0000900B0000}"/>
    <cellStyle name="Table Head Aligned 2 2 3 4 2 4 2" xfId="14183" xr:uid="{00000000-0005-0000-0000-0000900B0000}"/>
    <cellStyle name="Table Head Aligned 2 2 3 4 2 4 2 2" xfId="32599" xr:uid="{00000000-0005-0000-0000-0000900B0000}"/>
    <cellStyle name="Table Head Aligned 2 2 3 4 2 4 2 3" xfId="50962" xr:uid="{00000000-0005-0000-0000-0000900B0000}"/>
    <cellStyle name="Table Head Aligned 2 2 3 4 2 4 3" xfId="28837" xr:uid="{00000000-0005-0000-0000-0000900B0000}"/>
    <cellStyle name="Table Head Aligned 2 2 3 4 2 4 3 2" xfId="47200" xr:uid="{00000000-0005-0000-0000-0000900B0000}"/>
    <cellStyle name="Table Head Aligned 2 2 3 4 2 4 4" xfId="19640" xr:uid="{00000000-0005-0000-0000-0000900B0000}"/>
    <cellStyle name="Table Head Aligned 2 2 3 4 2 4 5" xfId="38046" xr:uid="{00000000-0005-0000-0000-0000900B0000}"/>
    <cellStyle name="Table Head Aligned 2 2 3 4 2 5" xfId="9313" xr:uid="{00000000-0005-0000-0000-0000900B0000}"/>
    <cellStyle name="Table Head Aligned 2 2 3 4 2 5 2" xfId="28032" xr:uid="{00000000-0005-0000-0000-0000900B0000}"/>
    <cellStyle name="Table Head Aligned 2 2 3 4 2 5 3" xfId="46395" xr:uid="{00000000-0005-0000-0000-0000900B0000}"/>
    <cellStyle name="Table Head Aligned 2 2 3 4 2 6" xfId="13369" xr:uid="{00000000-0005-0000-0000-0000900B0000}"/>
    <cellStyle name="Table Head Aligned 2 2 3 4 2 6 2" xfId="31790" xr:uid="{00000000-0005-0000-0000-0000900B0000}"/>
    <cellStyle name="Table Head Aligned 2 2 3 4 2 6 3" xfId="50153" xr:uid="{00000000-0005-0000-0000-0000900B0000}"/>
    <cellStyle name="Table Head Aligned 2 2 3 4 2 7" xfId="23321" xr:uid="{00000000-0005-0000-0000-0000900B0000}"/>
    <cellStyle name="Table Head Aligned 2 2 3 4 2 7 2" xfId="41690" xr:uid="{00000000-0005-0000-0000-0000900B0000}"/>
    <cellStyle name="Table Head Aligned 2 2 3 4 2 8" xfId="18389" xr:uid="{00000000-0005-0000-0000-0000900B0000}"/>
    <cellStyle name="Table Head Aligned 2 2 3 4 2 9" xfId="36795" xr:uid="{00000000-0005-0000-0000-0000900B0000}"/>
    <cellStyle name="Table Head Aligned 2 2 3 4 3" xfId="4404" xr:uid="{00000000-0005-0000-0000-0000900B0000}"/>
    <cellStyle name="Table Head Aligned 2 2 3 4 3 2" xfId="11003" xr:uid="{00000000-0005-0000-0000-0000900B0000}"/>
    <cellStyle name="Table Head Aligned 2 2 3 4 3 2 2" xfId="29625" xr:uid="{00000000-0005-0000-0000-0000900B0000}"/>
    <cellStyle name="Table Head Aligned 2 2 3 4 3 2 3" xfId="47988" xr:uid="{00000000-0005-0000-0000-0000900B0000}"/>
    <cellStyle name="Table Head Aligned 2 2 3 4 3 3" xfId="15139" xr:uid="{00000000-0005-0000-0000-0000900B0000}"/>
    <cellStyle name="Table Head Aligned 2 2 3 4 3 3 2" xfId="33536" xr:uid="{00000000-0005-0000-0000-0000900B0000}"/>
    <cellStyle name="Table Head Aligned 2 2 3 4 3 3 3" xfId="51899" xr:uid="{00000000-0005-0000-0000-0000900B0000}"/>
    <cellStyle name="Table Head Aligned 2 2 3 4 3 4" xfId="24267" xr:uid="{00000000-0005-0000-0000-0000900B0000}"/>
    <cellStyle name="Table Head Aligned 2 2 3 4 3 4 2" xfId="42636" xr:uid="{00000000-0005-0000-0000-0000900B0000}"/>
    <cellStyle name="Table Head Aligned 2 2 3 4 3 5" xfId="20590" xr:uid="{00000000-0005-0000-0000-0000900B0000}"/>
    <cellStyle name="Table Head Aligned 2 2 3 4 3 6" xfId="38983" xr:uid="{00000000-0005-0000-0000-0000900B0000}"/>
    <cellStyle name="Table Head Aligned 2 2 3 4 4" xfId="5058" xr:uid="{00000000-0005-0000-0000-0000900B0000}"/>
    <cellStyle name="Table Head Aligned 2 2 3 4 4 2" xfId="11580" xr:uid="{00000000-0005-0000-0000-0000900B0000}"/>
    <cellStyle name="Table Head Aligned 2 2 3 4 4 2 2" xfId="30148" xr:uid="{00000000-0005-0000-0000-0000900B0000}"/>
    <cellStyle name="Table Head Aligned 2 2 3 4 4 2 3" xfId="48511" xr:uid="{00000000-0005-0000-0000-0000900B0000}"/>
    <cellStyle name="Table Head Aligned 2 2 3 4 4 3" xfId="15771" xr:uid="{00000000-0005-0000-0000-0000900B0000}"/>
    <cellStyle name="Table Head Aligned 2 2 3 4 4 3 2" xfId="34158" xr:uid="{00000000-0005-0000-0000-0000900B0000}"/>
    <cellStyle name="Table Head Aligned 2 2 3 4 4 3 3" xfId="52521" xr:uid="{00000000-0005-0000-0000-0000900B0000}"/>
    <cellStyle name="Table Head Aligned 2 2 3 4 4 4" xfId="24894" xr:uid="{00000000-0005-0000-0000-0000900B0000}"/>
    <cellStyle name="Table Head Aligned 2 2 3 4 4 4 2" xfId="43263" xr:uid="{00000000-0005-0000-0000-0000900B0000}"/>
    <cellStyle name="Table Head Aligned 2 2 3 4 4 5" xfId="21219" xr:uid="{00000000-0005-0000-0000-0000900B0000}"/>
    <cellStyle name="Table Head Aligned 2 2 3 4 4 6" xfId="39605" xr:uid="{00000000-0005-0000-0000-0000900B0000}"/>
    <cellStyle name="Table Head Aligned 2 2 3 4 5" xfId="9848" xr:uid="{00000000-0005-0000-0000-0000900B0000}"/>
    <cellStyle name="Table Head Aligned 2 2 3 4 5 2" xfId="13906" xr:uid="{00000000-0005-0000-0000-0000900B0000}"/>
    <cellStyle name="Table Head Aligned 2 2 3 4 5 2 2" xfId="32324" xr:uid="{00000000-0005-0000-0000-0000900B0000}"/>
    <cellStyle name="Table Head Aligned 2 2 3 4 5 2 3" xfId="50687" xr:uid="{00000000-0005-0000-0000-0000900B0000}"/>
    <cellStyle name="Table Head Aligned 2 2 3 4 5 3" xfId="28562" xr:uid="{00000000-0005-0000-0000-0000900B0000}"/>
    <cellStyle name="Table Head Aligned 2 2 3 4 5 3 2" xfId="46925" xr:uid="{00000000-0005-0000-0000-0000900B0000}"/>
    <cellStyle name="Table Head Aligned 2 2 3 4 5 4" xfId="19099" xr:uid="{00000000-0005-0000-0000-0000900B0000}"/>
    <cellStyle name="Table Head Aligned 2 2 3 4 5 5" xfId="37507" xr:uid="{00000000-0005-0000-0000-0000900B0000}"/>
    <cellStyle name="Table Head Aligned 2 2 3 4 6" xfId="7666" xr:uid="{00000000-0005-0000-0000-0000900B0000}"/>
    <cellStyle name="Table Head Aligned 2 2 3 4 6 2" xfId="26950" xr:uid="{00000000-0005-0000-0000-0000900B0000}"/>
    <cellStyle name="Table Head Aligned 2 2 3 4 6 3" xfId="45315" xr:uid="{00000000-0005-0000-0000-0000900B0000}"/>
    <cellStyle name="Table Head Aligned 2 2 3 4 7" xfId="8987" xr:uid="{00000000-0005-0000-0000-0000900B0000}"/>
    <cellStyle name="Table Head Aligned 2 2 3 4 7 2" xfId="27717" xr:uid="{00000000-0005-0000-0000-0000900B0000}"/>
    <cellStyle name="Table Head Aligned 2 2 3 4 7 3" xfId="46080" xr:uid="{00000000-0005-0000-0000-0000900B0000}"/>
    <cellStyle name="Table Head Aligned 2 2 3 4 8" xfId="19446" xr:uid="{00000000-0005-0000-0000-0000900B0000}"/>
    <cellStyle name="Table Head Aligned 2 2 3 4 8 2" xfId="37852" xr:uid="{00000000-0005-0000-0000-0000900B0000}"/>
    <cellStyle name="Table Head Aligned 2 2 3 4 9" xfId="7591" xr:uid="{00000000-0005-0000-0000-0000900B0000}"/>
    <cellStyle name="Table Head Aligned 2 2 3 5" xfId="3513" xr:uid="{00000000-0005-0000-0000-00008D0B0000}"/>
    <cellStyle name="Table Head Aligned 2 2 3 5 2" xfId="5687" xr:uid="{00000000-0005-0000-0000-00008D0B0000}"/>
    <cellStyle name="Table Head Aligned 2 2 3 5 2 2" xfId="12051" xr:uid="{00000000-0005-0000-0000-00008D0B0000}"/>
    <cellStyle name="Table Head Aligned 2 2 3 5 2 2 2" xfId="30498" xr:uid="{00000000-0005-0000-0000-00008D0B0000}"/>
    <cellStyle name="Table Head Aligned 2 2 3 5 2 2 3" xfId="48861" xr:uid="{00000000-0005-0000-0000-00008D0B0000}"/>
    <cellStyle name="Table Head Aligned 2 2 3 5 2 3" xfId="16377" xr:uid="{00000000-0005-0000-0000-00008D0B0000}"/>
    <cellStyle name="Table Head Aligned 2 2 3 5 2 3 2" xfId="34749" xr:uid="{00000000-0005-0000-0000-00008D0B0000}"/>
    <cellStyle name="Table Head Aligned 2 2 3 5 2 3 3" xfId="53112" xr:uid="{00000000-0005-0000-0000-00008D0B0000}"/>
    <cellStyle name="Table Head Aligned 2 2 3 5 2 4" xfId="25496" xr:uid="{00000000-0005-0000-0000-00008D0B0000}"/>
    <cellStyle name="Table Head Aligned 2 2 3 5 2 4 2" xfId="43865" xr:uid="{00000000-0005-0000-0000-00008D0B0000}"/>
    <cellStyle name="Table Head Aligned 2 2 3 5 2 5" xfId="21817" xr:uid="{00000000-0005-0000-0000-00008D0B0000}"/>
    <cellStyle name="Table Head Aligned 2 2 3 5 2 6" xfId="40196" xr:uid="{00000000-0005-0000-0000-00008D0B0000}"/>
    <cellStyle name="Table Head Aligned 2 2 3 5 3" xfId="6512" xr:uid="{00000000-0005-0000-0000-00008D0B0000}"/>
    <cellStyle name="Table Head Aligned 2 2 3 5 3 2" xfId="12803" xr:uid="{00000000-0005-0000-0000-00008D0B0000}"/>
    <cellStyle name="Table Head Aligned 2 2 3 5 3 2 2" xfId="31229" xr:uid="{00000000-0005-0000-0000-00008D0B0000}"/>
    <cellStyle name="Table Head Aligned 2 2 3 5 3 2 3" xfId="49592" xr:uid="{00000000-0005-0000-0000-00008D0B0000}"/>
    <cellStyle name="Table Head Aligned 2 2 3 5 3 3" xfId="17114" xr:uid="{00000000-0005-0000-0000-00008D0B0000}"/>
    <cellStyle name="Table Head Aligned 2 2 3 5 3 3 2" xfId="35462" xr:uid="{00000000-0005-0000-0000-00008D0B0000}"/>
    <cellStyle name="Table Head Aligned 2 2 3 5 3 3 3" xfId="53825" xr:uid="{00000000-0005-0000-0000-00008D0B0000}"/>
    <cellStyle name="Table Head Aligned 2 2 3 5 3 4" xfId="26247" xr:uid="{00000000-0005-0000-0000-00008D0B0000}"/>
    <cellStyle name="Table Head Aligned 2 2 3 5 3 4 2" xfId="44616" xr:uid="{00000000-0005-0000-0000-00008D0B0000}"/>
    <cellStyle name="Table Head Aligned 2 2 3 5 3 5" xfId="22540" xr:uid="{00000000-0005-0000-0000-00008D0B0000}"/>
    <cellStyle name="Table Head Aligned 2 2 3 5 3 6" xfId="40909" xr:uid="{00000000-0005-0000-0000-00008D0B0000}"/>
    <cellStyle name="Table Head Aligned 2 2 3 5 4" xfId="10226" xr:uid="{00000000-0005-0000-0000-00008D0B0000}"/>
    <cellStyle name="Table Head Aligned 2 2 3 5 4 2" xfId="14283" xr:uid="{00000000-0005-0000-0000-00008D0B0000}"/>
    <cellStyle name="Table Head Aligned 2 2 3 5 4 2 2" xfId="32699" xr:uid="{00000000-0005-0000-0000-00008D0B0000}"/>
    <cellStyle name="Table Head Aligned 2 2 3 5 4 2 3" xfId="51062" xr:uid="{00000000-0005-0000-0000-00008D0B0000}"/>
    <cellStyle name="Table Head Aligned 2 2 3 5 4 3" xfId="28937" xr:uid="{00000000-0005-0000-0000-00008D0B0000}"/>
    <cellStyle name="Table Head Aligned 2 2 3 5 4 3 2" xfId="47300" xr:uid="{00000000-0005-0000-0000-00008D0B0000}"/>
    <cellStyle name="Table Head Aligned 2 2 3 5 4 4" xfId="19740" xr:uid="{00000000-0005-0000-0000-00008D0B0000}"/>
    <cellStyle name="Table Head Aligned 2 2 3 5 4 5" xfId="38146" xr:uid="{00000000-0005-0000-0000-00008D0B0000}"/>
    <cellStyle name="Table Head Aligned 2 2 3 5 5" xfId="9421" xr:uid="{00000000-0005-0000-0000-00008D0B0000}"/>
    <cellStyle name="Table Head Aligned 2 2 3 5 5 2" xfId="28138" xr:uid="{00000000-0005-0000-0000-00008D0B0000}"/>
    <cellStyle name="Table Head Aligned 2 2 3 5 5 3" xfId="46501" xr:uid="{00000000-0005-0000-0000-00008D0B0000}"/>
    <cellStyle name="Table Head Aligned 2 2 3 5 6" xfId="13478" xr:uid="{00000000-0005-0000-0000-00008D0B0000}"/>
    <cellStyle name="Table Head Aligned 2 2 3 5 6 2" xfId="31899" xr:uid="{00000000-0005-0000-0000-00008D0B0000}"/>
    <cellStyle name="Table Head Aligned 2 2 3 5 6 3" xfId="50262" xr:uid="{00000000-0005-0000-0000-00008D0B0000}"/>
    <cellStyle name="Table Head Aligned 2 2 3 5 7" xfId="23421" xr:uid="{00000000-0005-0000-0000-00008D0B0000}"/>
    <cellStyle name="Table Head Aligned 2 2 3 5 7 2" xfId="41790" xr:uid="{00000000-0005-0000-0000-00008D0B0000}"/>
    <cellStyle name="Table Head Aligned 2 2 3 5 8" xfId="18506" xr:uid="{00000000-0005-0000-0000-00008D0B0000}"/>
    <cellStyle name="Table Head Aligned 2 2 3 5 9" xfId="36915" xr:uid="{00000000-0005-0000-0000-00008D0B0000}"/>
    <cellStyle name="Table Head Aligned 2 2 3 6" xfId="4517" xr:uid="{00000000-0005-0000-0000-00008D0B0000}"/>
    <cellStyle name="Table Head Aligned 2 2 3 6 2" xfId="11108" xr:uid="{00000000-0005-0000-0000-00008D0B0000}"/>
    <cellStyle name="Table Head Aligned 2 2 3 6 2 2" xfId="29726" xr:uid="{00000000-0005-0000-0000-00008D0B0000}"/>
    <cellStyle name="Table Head Aligned 2 2 3 6 2 3" xfId="48089" xr:uid="{00000000-0005-0000-0000-00008D0B0000}"/>
    <cellStyle name="Table Head Aligned 2 2 3 6 3" xfId="15246" xr:uid="{00000000-0005-0000-0000-00008D0B0000}"/>
    <cellStyle name="Table Head Aligned 2 2 3 6 3 2" xfId="33640" xr:uid="{00000000-0005-0000-0000-00008D0B0000}"/>
    <cellStyle name="Table Head Aligned 2 2 3 6 3 3" xfId="52003" xr:uid="{00000000-0005-0000-0000-00008D0B0000}"/>
    <cellStyle name="Table Head Aligned 2 2 3 6 4" xfId="24371" xr:uid="{00000000-0005-0000-0000-00008D0B0000}"/>
    <cellStyle name="Table Head Aligned 2 2 3 6 4 2" xfId="42740" xr:uid="{00000000-0005-0000-0000-00008D0B0000}"/>
    <cellStyle name="Table Head Aligned 2 2 3 6 5" xfId="20695" xr:uid="{00000000-0005-0000-0000-00008D0B0000}"/>
    <cellStyle name="Table Head Aligned 2 2 3 6 6" xfId="39087" xr:uid="{00000000-0005-0000-0000-00008D0B0000}"/>
    <cellStyle name="Table Head Aligned 2 2 3 7" xfId="3994" xr:uid="{00000000-0005-0000-0000-00008D0B0000}"/>
    <cellStyle name="Table Head Aligned 2 2 3 7 2" xfId="10699" xr:uid="{00000000-0005-0000-0000-00008D0B0000}"/>
    <cellStyle name="Table Head Aligned 2 2 3 7 2 2" xfId="29404" xr:uid="{00000000-0005-0000-0000-00008D0B0000}"/>
    <cellStyle name="Table Head Aligned 2 2 3 7 2 3" xfId="47767" xr:uid="{00000000-0005-0000-0000-00008D0B0000}"/>
    <cellStyle name="Table Head Aligned 2 2 3 7 3" xfId="14755" xr:uid="{00000000-0005-0000-0000-00008D0B0000}"/>
    <cellStyle name="Table Head Aligned 2 2 3 7 3 2" xfId="33167" xr:uid="{00000000-0005-0000-0000-00008D0B0000}"/>
    <cellStyle name="Table Head Aligned 2 2 3 7 3 3" xfId="51530" xr:uid="{00000000-0005-0000-0000-00008D0B0000}"/>
    <cellStyle name="Table Head Aligned 2 2 3 7 4" xfId="23891" xr:uid="{00000000-0005-0000-0000-00008D0B0000}"/>
    <cellStyle name="Table Head Aligned 2 2 3 7 4 2" xfId="42260" xr:uid="{00000000-0005-0000-0000-00008D0B0000}"/>
    <cellStyle name="Table Head Aligned 2 2 3 7 5" xfId="20211" xr:uid="{00000000-0005-0000-0000-00008D0B0000}"/>
    <cellStyle name="Table Head Aligned 2 2 3 7 6" xfId="38614" xr:uid="{00000000-0005-0000-0000-00008D0B0000}"/>
    <cellStyle name="Table Head Aligned 2 2 3 8" xfId="9112" xr:uid="{00000000-0005-0000-0000-00008D0B0000}"/>
    <cellStyle name="Table Head Aligned 2 2 3 8 2" xfId="6154" xr:uid="{00000000-0005-0000-0000-00008D0B0000}"/>
    <cellStyle name="Table Head Aligned 2 2 3 8 2 2" xfId="25943" xr:uid="{00000000-0005-0000-0000-00008D0B0000}"/>
    <cellStyle name="Table Head Aligned 2 2 3 8 2 3" xfId="44312" xr:uid="{00000000-0005-0000-0000-00008D0B0000}"/>
    <cellStyle name="Table Head Aligned 2 2 3 8 3" xfId="27838" xr:uid="{00000000-0005-0000-0000-00008D0B0000}"/>
    <cellStyle name="Table Head Aligned 2 2 3 8 3 2" xfId="46201" xr:uid="{00000000-0005-0000-0000-00008D0B0000}"/>
    <cellStyle name="Table Head Aligned 2 2 3 8 4" xfId="18024" xr:uid="{00000000-0005-0000-0000-00008D0B0000}"/>
    <cellStyle name="Table Head Aligned 2 2 3 8 5" xfId="36432" xr:uid="{00000000-0005-0000-0000-00008D0B0000}"/>
    <cellStyle name="Table Head Aligned 2 2 3 9" xfId="7786" xr:uid="{00000000-0005-0000-0000-00008D0B0000}"/>
    <cellStyle name="Table Head Aligned 2 2 3 9 2" xfId="27057" xr:uid="{00000000-0005-0000-0000-00008D0B0000}"/>
    <cellStyle name="Table Head Aligned 2 2 3 9 3" xfId="45422" xr:uid="{00000000-0005-0000-0000-00008D0B0000}"/>
    <cellStyle name="Table Head Aligned 2 2 4" xfId="1470" xr:uid="{00000000-0005-0000-0000-0000910B0000}"/>
    <cellStyle name="Table Head Aligned 2 2 4 10" xfId="8784" xr:uid="{00000000-0005-0000-0000-0000910B0000}"/>
    <cellStyle name="Table Head Aligned 2 2 4 2" xfId="3486" xr:uid="{00000000-0005-0000-0000-0000910B0000}"/>
    <cellStyle name="Table Head Aligned 2 2 4 2 2" xfId="5661" xr:uid="{00000000-0005-0000-0000-0000910B0000}"/>
    <cellStyle name="Table Head Aligned 2 2 4 2 2 2" xfId="12025" xr:uid="{00000000-0005-0000-0000-0000910B0000}"/>
    <cellStyle name="Table Head Aligned 2 2 4 2 2 2 2" xfId="30472" xr:uid="{00000000-0005-0000-0000-0000910B0000}"/>
    <cellStyle name="Table Head Aligned 2 2 4 2 2 2 3" xfId="48835" xr:uid="{00000000-0005-0000-0000-0000910B0000}"/>
    <cellStyle name="Table Head Aligned 2 2 4 2 2 3" xfId="16351" xr:uid="{00000000-0005-0000-0000-0000910B0000}"/>
    <cellStyle name="Table Head Aligned 2 2 4 2 2 3 2" xfId="34723" xr:uid="{00000000-0005-0000-0000-0000910B0000}"/>
    <cellStyle name="Table Head Aligned 2 2 4 2 2 3 3" xfId="53086" xr:uid="{00000000-0005-0000-0000-0000910B0000}"/>
    <cellStyle name="Table Head Aligned 2 2 4 2 2 4" xfId="25470" xr:uid="{00000000-0005-0000-0000-0000910B0000}"/>
    <cellStyle name="Table Head Aligned 2 2 4 2 2 4 2" xfId="43839" xr:uid="{00000000-0005-0000-0000-0000910B0000}"/>
    <cellStyle name="Table Head Aligned 2 2 4 2 2 5" xfId="21791" xr:uid="{00000000-0005-0000-0000-0000910B0000}"/>
    <cellStyle name="Table Head Aligned 2 2 4 2 2 6" xfId="40170" xr:uid="{00000000-0005-0000-0000-0000910B0000}"/>
    <cellStyle name="Table Head Aligned 2 2 4 2 3" xfId="6485" xr:uid="{00000000-0005-0000-0000-0000910B0000}"/>
    <cellStyle name="Table Head Aligned 2 2 4 2 3 2" xfId="12776" xr:uid="{00000000-0005-0000-0000-0000910B0000}"/>
    <cellStyle name="Table Head Aligned 2 2 4 2 3 2 2" xfId="31202" xr:uid="{00000000-0005-0000-0000-0000910B0000}"/>
    <cellStyle name="Table Head Aligned 2 2 4 2 3 2 3" xfId="49565" xr:uid="{00000000-0005-0000-0000-0000910B0000}"/>
    <cellStyle name="Table Head Aligned 2 2 4 2 3 3" xfId="17087" xr:uid="{00000000-0005-0000-0000-0000910B0000}"/>
    <cellStyle name="Table Head Aligned 2 2 4 2 3 3 2" xfId="35435" xr:uid="{00000000-0005-0000-0000-0000910B0000}"/>
    <cellStyle name="Table Head Aligned 2 2 4 2 3 3 3" xfId="53798" xr:uid="{00000000-0005-0000-0000-0000910B0000}"/>
    <cellStyle name="Table Head Aligned 2 2 4 2 3 4" xfId="26220" xr:uid="{00000000-0005-0000-0000-0000910B0000}"/>
    <cellStyle name="Table Head Aligned 2 2 4 2 3 4 2" xfId="44589" xr:uid="{00000000-0005-0000-0000-0000910B0000}"/>
    <cellStyle name="Table Head Aligned 2 2 4 2 3 5" xfId="22513" xr:uid="{00000000-0005-0000-0000-0000910B0000}"/>
    <cellStyle name="Table Head Aligned 2 2 4 2 3 6" xfId="40882" xr:uid="{00000000-0005-0000-0000-0000910B0000}"/>
    <cellStyle name="Table Head Aligned 2 2 4 2 4" xfId="10199" xr:uid="{00000000-0005-0000-0000-0000910B0000}"/>
    <cellStyle name="Table Head Aligned 2 2 4 2 4 2" xfId="14256" xr:uid="{00000000-0005-0000-0000-0000910B0000}"/>
    <cellStyle name="Table Head Aligned 2 2 4 2 4 2 2" xfId="32672" xr:uid="{00000000-0005-0000-0000-0000910B0000}"/>
    <cellStyle name="Table Head Aligned 2 2 4 2 4 2 3" xfId="51035" xr:uid="{00000000-0005-0000-0000-0000910B0000}"/>
    <cellStyle name="Table Head Aligned 2 2 4 2 4 3" xfId="28910" xr:uid="{00000000-0005-0000-0000-0000910B0000}"/>
    <cellStyle name="Table Head Aligned 2 2 4 2 4 3 2" xfId="47273" xr:uid="{00000000-0005-0000-0000-0000910B0000}"/>
    <cellStyle name="Table Head Aligned 2 2 4 2 4 4" xfId="19713" xr:uid="{00000000-0005-0000-0000-0000910B0000}"/>
    <cellStyle name="Table Head Aligned 2 2 4 2 4 5" xfId="38119" xr:uid="{00000000-0005-0000-0000-0000910B0000}"/>
    <cellStyle name="Table Head Aligned 2 2 4 2 5" xfId="9392" xr:uid="{00000000-0005-0000-0000-0000910B0000}"/>
    <cellStyle name="Table Head Aligned 2 2 4 2 5 2" xfId="28111" xr:uid="{00000000-0005-0000-0000-0000910B0000}"/>
    <cellStyle name="Table Head Aligned 2 2 4 2 5 3" xfId="46474" xr:uid="{00000000-0005-0000-0000-0000910B0000}"/>
    <cellStyle name="Table Head Aligned 2 2 4 2 6" xfId="13448" xr:uid="{00000000-0005-0000-0000-0000910B0000}"/>
    <cellStyle name="Table Head Aligned 2 2 4 2 6 2" xfId="31869" xr:uid="{00000000-0005-0000-0000-0000910B0000}"/>
    <cellStyle name="Table Head Aligned 2 2 4 2 6 3" xfId="50232" xr:uid="{00000000-0005-0000-0000-0000910B0000}"/>
    <cellStyle name="Table Head Aligned 2 2 4 2 7" xfId="23394" xr:uid="{00000000-0005-0000-0000-0000910B0000}"/>
    <cellStyle name="Table Head Aligned 2 2 4 2 7 2" xfId="41763" xr:uid="{00000000-0005-0000-0000-0000910B0000}"/>
    <cellStyle name="Table Head Aligned 2 2 4 2 8" xfId="18475" xr:uid="{00000000-0005-0000-0000-0000910B0000}"/>
    <cellStyle name="Table Head Aligned 2 2 4 2 9" xfId="36881" xr:uid="{00000000-0005-0000-0000-0000910B0000}"/>
    <cellStyle name="Table Head Aligned 2 2 4 3" xfId="4485" xr:uid="{00000000-0005-0000-0000-0000910B0000}"/>
    <cellStyle name="Table Head Aligned 2 2 4 3 2" xfId="11080" xr:uid="{00000000-0005-0000-0000-0000910B0000}"/>
    <cellStyle name="Table Head Aligned 2 2 4 3 2 2" xfId="29700" xr:uid="{00000000-0005-0000-0000-0000910B0000}"/>
    <cellStyle name="Table Head Aligned 2 2 4 3 2 3" xfId="48063" xr:uid="{00000000-0005-0000-0000-0000910B0000}"/>
    <cellStyle name="Table Head Aligned 2 2 4 3 3" xfId="15219" xr:uid="{00000000-0005-0000-0000-0000910B0000}"/>
    <cellStyle name="Table Head Aligned 2 2 4 3 3 2" xfId="33614" xr:uid="{00000000-0005-0000-0000-0000910B0000}"/>
    <cellStyle name="Table Head Aligned 2 2 4 3 3 3" xfId="51977" xr:uid="{00000000-0005-0000-0000-0000910B0000}"/>
    <cellStyle name="Table Head Aligned 2 2 4 3 4" xfId="24345" xr:uid="{00000000-0005-0000-0000-0000910B0000}"/>
    <cellStyle name="Table Head Aligned 2 2 4 3 4 2" xfId="42714" xr:uid="{00000000-0005-0000-0000-0000910B0000}"/>
    <cellStyle name="Table Head Aligned 2 2 4 3 5" xfId="20669" xr:uid="{00000000-0005-0000-0000-0000910B0000}"/>
    <cellStyle name="Table Head Aligned 2 2 4 3 6" xfId="39061" xr:uid="{00000000-0005-0000-0000-0000910B0000}"/>
    <cellStyle name="Table Head Aligned 2 2 4 4" xfId="4012" xr:uid="{00000000-0005-0000-0000-0000910B0000}"/>
    <cellStyle name="Table Head Aligned 2 2 4 4 2" xfId="10716" xr:uid="{00000000-0005-0000-0000-0000910B0000}"/>
    <cellStyle name="Table Head Aligned 2 2 4 4 2 2" xfId="29420" xr:uid="{00000000-0005-0000-0000-0000910B0000}"/>
    <cellStyle name="Table Head Aligned 2 2 4 4 2 3" xfId="47783" xr:uid="{00000000-0005-0000-0000-0000910B0000}"/>
    <cellStyle name="Table Head Aligned 2 2 4 4 3" xfId="14773" xr:uid="{00000000-0005-0000-0000-0000910B0000}"/>
    <cellStyle name="Table Head Aligned 2 2 4 4 3 2" xfId="33185" xr:uid="{00000000-0005-0000-0000-0000910B0000}"/>
    <cellStyle name="Table Head Aligned 2 2 4 4 3 3" xfId="51548" xr:uid="{00000000-0005-0000-0000-0000910B0000}"/>
    <cellStyle name="Table Head Aligned 2 2 4 4 4" xfId="23909" xr:uid="{00000000-0005-0000-0000-0000910B0000}"/>
    <cellStyle name="Table Head Aligned 2 2 4 4 4 2" xfId="42278" xr:uid="{00000000-0005-0000-0000-0000910B0000}"/>
    <cellStyle name="Table Head Aligned 2 2 4 4 5" xfId="20229" xr:uid="{00000000-0005-0000-0000-0000910B0000}"/>
    <cellStyle name="Table Head Aligned 2 2 4 4 6" xfId="38632" xr:uid="{00000000-0005-0000-0000-0000910B0000}"/>
    <cellStyle name="Table Head Aligned 2 2 4 5" xfId="9128" xr:uid="{00000000-0005-0000-0000-0000910B0000}"/>
    <cellStyle name="Table Head Aligned 2 2 4 5 2" xfId="6258" xr:uid="{00000000-0005-0000-0000-0000910B0000}"/>
    <cellStyle name="Table Head Aligned 2 2 4 5 2 2" xfId="26013" xr:uid="{00000000-0005-0000-0000-0000910B0000}"/>
    <cellStyle name="Table Head Aligned 2 2 4 5 2 3" xfId="44382" xr:uid="{00000000-0005-0000-0000-0000910B0000}"/>
    <cellStyle name="Table Head Aligned 2 2 4 5 3" xfId="27854" xr:uid="{00000000-0005-0000-0000-0000910B0000}"/>
    <cellStyle name="Table Head Aligned 2 2 4 5 3 2" xfId="46217" xr:uid="{00000000-0005-0000-0000-0000910B0000}"/>
    <cellStyle name="Table Head Aligned 2 2 4 5 4" xfId="18041" xr:uid="{00000000-0005-0000-0000-0000910B0000}"/>
    <cellStyle name="Table Head Aligned 2 2 4 5 5" xfId="36449" xr:uid="{00000000-0005-0000-0000-0000910B0000}"/>
    <cellStyle name="Table Head Aligned 2 2 4 6" xfId="7756" xr:uid="{00000000-0005-0000-0000-0000910B0000}"/>
    <cellStyle name="Table Head Aligned 2 2 4 6 2" xfId="27032" xr:uid="{00000000-0005-0000-0000-0000910B0000}"/>
    <cellStyle name="Table Head Aligned 2 2 4 6 3" xfId="45397" xr:uid="{00000000-0005-0000-0000-0000910B0000}"/>
    <cellStyle name="Table Head Aligned 2 2 4 7" xfId="7213" xr:uid="{00000000-0005-0000-0000-0000910B0000}"/>
    <cellStyle name="Table Head Aligned 2 2 4 7 2" xfId="26756" xr:uid="{00000000-0005-0000-0000-0000910B0000}"/>
    <cellStyle name="Table Head Aligned 2 2 4 7 3" xfId="45124" xr:uid="{00000000-0005-0000-0000-0000910B0000}"/>
    <cellStyle name="Table Head Aligned 2 2 4 8" xfId="19202" xr:uid="{00000000-0005-0000-0000-0000910B0000}"/>
    <cellStyle name="Table Head Aligned 2 2 4 8 2" xfId="37609" xr:uid="{00000000-0005-0000-0000-0000910B0000}"/>
    <cellStyle name="Table Head Aligned 2 2 4 9" xfId="11609" xr:uid="{00000000-0005-0000-0000-0000910B0000}"/>
    <cellStyle name="Table Head Aligned 2 2 5" xfId="3378" xr:uid="{00000000-0005-0000-0000-0000880B0000}"/>
    <cellStyle name="Table Head Aligned 2 2 5 2" xfId="5553" xr:uid="{00000000-0005-0000-0000-0000880B0000}"/>
    <cellStyle name="Table Head Aligned 2 2 5 2 2" xfId="11917" xr:uid="{00000000-0005-0000-0000-0000880B0000}"/>
    <cellStyle name="Table Head Aligned 2 2 5 2 2 2" xfId="30364" xr:uid="{00000000-0005-0000-0000-0000880B0000}"/>
    <cellStyle name="Table Head Aligned 2 2 5 2 2 3" xfId="48727" xr:uid="{00000000-0005-0000-0000-0000880B0000}"/>
    <cellStyle name="Table Head Aligned 2 2 5 2 3" xfId="16243" xr:uid="{00000000-0005-0000-0000-0000880B0000}"/>
    <cellStyle name="Table Head Aligned 2 2 5 2 3 2" xfId="34615" xr:uid="{00000000-0005-0000-0000-0000880B0000}"/>
    <cellStyle name="Table Head Aligned 2 2 5 2 3 3" xfId="52978" xr:uid="{00000000-0005-0000-0000-0000880B0000}"/>
    <cellStyle name="Table Head Aligned 2 2 5 2 4" xfId="25362" xr:uid="{00000000-0005-0000-0000-0000880B0000}"/>
    <cellStyle name="Table Head Aligned 2 2 5 2 4 2" xfId="43731" xr:uid="{00000000-0005-0000-0000-0000880B0000}"/>
    <cellStyle name="Table Head Aligned 2 2 5 2 5" xfId="21683" xr:uid="{00000000-0005-0000-0000-0000880B0000}"/>
    <cellStyle name="Table Head Aligned 2 2 5 2 6" xfId="40062" xr:uid="{00000000-0005-0000-0000-0000880B0000}"/>
    <cellStyle name="Table Head Aligned 2 2 5 3" xfId="6377" xr:uid="{00000000-0005-0000-0000-0000880B0000}"/>
    <cellStyle name="Table Head Aligned 2 2 5 3 2" xfId="12668" xr:uid="{00000000-0005-0000-0000-0000880B0000}"/>
    <cellStyle name="Table Head Aligned 2 2 5 3 2 2" xfId="31094" xr:uid="{00000000-0005-0000-0000-0000880B0000}"/>
    <cellStyle name="Table Head Aligned 2 2 5 3 2 3" xfId="49457" xr:uid="{00000000-0005-0000-0000-0000880B0000}"/>
    <cellStyle name="Table Head Aligned 2 2 5 3 3" xfId="16979" xr:uid="{00000000-0005-0000-0000-0000880B0000}"/>
    <cellStyle name="Table Head Aligned 2 2 5 3 3 2" xfId="35327" xr:uid="{00000000-0005-0000-0000-0000880B0000}"/>
    <cellStyle name="Table Head Aligned 2 2 5 3 3 3" xfId="53690" xr:uid="{00000000-0005-0000-0000-0000880B0000}"/>
    <cellStyle name="Table Head Aligned 2 2 5 3 4" xfId="26112" xr:uid="{00000000-0005-0000-0000-0000880B0000}"/>
    <cellStyle name="Table Head Aligned 2 2 5 3 4 2" xfId="44481" xr:uid="{00000000-0005-0000-0000-0000880B0000}"/>
    <cellStyle name="Table Head Aligned 2 2 5 3 5" xfId="22405" xr:uid="{00000000-0005-0000-0000-0000880B0000}"/>
    <cellStyle name="Table Head Aligned 2 2 5 3 6" xfId="40774" xr:uid="{00000000-0005-0000-0000-0000880B0000}"/>
    <cellStyle name="Table Head Aligned 2 2 5 4" xfId="10091" xr:uid="{00000000-0005-0000-0000-0000880B0000}"/>
    <cellStyle name="Table Head Aligned 2 2 5 4 2" xfId="14148" xr:uid="{00000000-0005-0000-0000-0000880B0000}"/>
    <cellStyle name="Table Head Aligned 2 2 5 4 2 2" xfId="32564" xr:uid="{00000000-0005-0000-0000-0000880B0000}"/>
    <cellStyle name="Table Head Aligned 2 2 5 4 2 3" xfId="50927" xr:uid="{00000000-0005-0000-0000-0000880B0000}"/>
    <cellStyle name="Table Head Aligned 2 2 5 4 3" xfId="28802" xr:uid="{00000000-0005-0000-0000-0000880B0000}"/>
    <cellStyle name="Table Head Aligned 2 2 5 4 3 2" xfId="47165" xr:uid="{00000000-0005-0000-0000-0000880B0000}"/>
    <cellStyle name="Table Head Aligned 2 2 5 4 4" xfId="19605" xr:uid="{00000000-0005-0000-0000-0000880B0000}"/>
    <cellStyle name="Table Head Aligned 2 2 5 4 5" xfId="38011" xr:uid="{00000000-0005-0000-0000-0000880B0000}"/>
    <cellStyle name="Table Head Aligned 2 2 5 5" xfId="9243" xr:uid="{00000000-0005-0000-0000-0000880B0000}"/>
    <cellStyle name="Table Head Aligned 2 2 5 5 2" xfId="27963" xr:uid="{00000000-0005-0000-0000-0000880B0000}"/>
    <cellStyle name="Table Head Aligned 2 2 5 5 3" xfId="46326" xr:uid="{00000000-0005-0000-0000-0000880B0000}"/>
    <cellStyle name="Table Head Aligned 2 2 5 6" xfId="13300" xr:uid="{00000000-0005-0000-0000-0000880B0000}"/>
    <cellStyle name="Table Head Aligned 2 2 5 6 2" xfId="31721" xr:uid="{00000000-0005-0000-0000-0000880B0000}"/>
    <cellStyle name="Table Head Aligned 2 2 5 6 3" xfId="50084" xr:uid="{00000000-0005-0000-0000-0000880B0000}"/>
    <cellStyle name="Table Head Aligned 2 2 5 7" xfId="23286" xr:uid="{00000000-0005-0000-0000-0000880B0000}"/>
    <cellStyle name="Table Head Aligned 2 2 5 7 2" xfId="41655" xr:uid="{00000000-0005-0000-0000-0000880B0000}"/>
    <cellStyle name="Table Head Aligned 2 2 5 8" xfId="18295" xr:uid="{00000000-0005-0000-0000-0000880B0000}"/>
    <cellStyle name="Table Head Aligned 2 2 5 9" xfId="36701" xr:uid="{00000000-0005-0000-0000-0000880B0000}"/>
    <cellStyle name="Table Head Aligned 2 2 6" xfId="4328" xr:uid="{00000000-0005-0000-0000-0000880B0000}"/>
    <cellStyle name="Table Head Aligned 2 2 6 2" xfId="10936" xr:uid="{00000000-0005-0000-0000-0000880B0000}"/>
    <cellStyle name="Table Head Aligned 2 2 6 2 2" xfId="29566" xr:uid="{00000000-0005-0000-0000-0000880B0000}"/>
    <cellStyle name="Table Head Aligned 2 2 6 2 3" xfId="47929" xr:uid="{00000000-0005-0000-0000-0000880B0000}"/>
    <cellStyle name="Table Head Aligned 2 2 6 3" xfId="15072" xr:uid="{00000000-0005-0000-0000-0000880B0000}"/>
    <cellStyle name="Table Head Aligned 2 2 6 3 2" xfId="33474" xr:uid="{00000000-0005-0000-0000-0000880B0000}"/>
    <cellStyle name="Table Head Aligned 2 2 6 3 3" xfId="51837" xr:uid="{00000000-0005-0000-0000-0000880B0000}"/>
    <cellStyle name="Table Head Aligned 2 2 6 4" xfId="24203" xr:uid="{00000000-0005-0000-0000-0000880B0000}"/>
    <cellStyle name="Table Head Aligned 2 2 6 4 2" xfId="42572" xr:uid="{00000000-0005-0000-0000-0000880B0000}"/>
    <cellStyle name="Table Head Aligned 2 2 6 5" xfId="20524" xr:uid="{00000000-0005-0000-0000-0000880B0000}"/>
    <cellStyle name="Table Head Aligned 2 2 6 6" xfId="38921" xr:uid="{00000000-0005-0000-0000-0000880B0000}"/>
    <cellStyle name="Table Head Aligned 2 2 7" xfId="4808" xr:uid="{00000000-0005-0000-0000-0000880B0000}"/>
    <cellStyle name="Table Head Aligned 2 2 7 2" xfId="11369" xr:uid="{00000000-0005-0000-0000-0000880B0000}"/>
    <cellStyle name="Table Head Aligned 2 2 7 2 2" xfId="29962" xr:uid="{00000000-0005-0000-0000-0000880B0000}"/>
    <cellStyle name="Table Head Aligned 2 2 7 2 3" xfId="48325" xr:uid="{00000000-0005-0000-0000-0000880B0000}"/>
    <cellStyle name="Table Head Aligned 2 2 7 3" xfId="15534" xr:uid="{00000000-0005-0000-0000-0000880B0000}"/>
    <cellStyle name="Table Head Aligned 2 2 7 3 2" xfId="33927" xr:uid="{00000000-0005-0000-0000-0000880B0000}"/>
    <cellStyle name="Table Head Aligned 2 2 7 3 3" xfId="52290" xr:uid="{00000000-0005-0000-0000-0000880B0000}"/>
    <cellStyle name="Table Head Aligned 2 2 7 4" xfId="24658" xr:uid="{00000000-0005-0000-0000-0000880B0000}"/>
    <cellStyle name="Table Head Aligned 2 2 7 4 2" xfId="43027" xr:uid="{00000000-0005-0000-0000-0000880B0000}"/>
    <cellStyle name="Table Head Aligned 2 2 7 5" xfId="20985" xr:uid="{00000000-0005-0000-0000-0000880B0000}"/>
    <cellStyle name="Table Head Aligned 2 2 7 6" xfId="39374" xr:uid="{00000000-0005-0000-0000-0000880B0000}"/>
    <cellStyle name="Table Head Aligned 2 2 8" xfId="7580" xr:uid="{00000000-0005-0000-0000-0000880B0000}"/>
    <cellStyle name="Table Head Aligned 2 2 8 2" xfId="26888" xr:uid="{00000000-0005-0000-0000-0000880B0000}"/>
    <cellStyle name="Table Head Aligned 2 2 8 3" xfId="45253" xr:uid="{00000000-0005-0000-0000-0000880B0000}"/>
    <cellStyle name="Table Head Aligned 2 2 9" xfId="7510" xr:uid="{00000000-0005-0000-0000-0000880B0000}"/>
    <cellStyle name="Table Head Aligned 2 2 9 2" xfId="26863" xr:uid="{00000000-0005-0000-0000-0000880B0000}"/>
    <cellStyle name="Table Head Aligned 2 2 9 3" xfId="45228" xr:uid="{00000000-0005-0000-0000-0000880B0000}"/>
    <cellStyle name="Table Head Aligned 2 3" xfId="1455" xr:uid="{00000000-0005-0000-0000-0000920B0000}"/>
    <cellStyle name="Table Head Aligned 2 3 10" xfId="8709" xr:uid="{00000000-0005-0000-0000-0000920B0000}"/>
    <cellStyle name="Table Head Aligned 2 3 2" xfId="3474" xr:uid="{00000000-0005-0000-0000-0000920B0000}"/>
    <cellStyle name="Table Head Aligned 2 3 2 2" xfId="5649" xr:uid="{00000000-0005-0000-0000-0000920B0000}"/>
    <cellStyle name="Table Head Aligned 2 3 2 2 2" xfId="12013" xr:uid="{00000000-0005-0000-0000-0000920B0000}"/>
    <cellStyle name="Table Head Aligned 2 3 2 2 2 2" xfId="30460" xr:uid="{00000000-0005-0000-0000-0000920B0000}"/>
    <cellStyle name="Table Head Aligned 2 3 2 2 2 3" xfId="48823" xr:uid="{00000000-0005-0000-0000-0000920B0000}"/>
    <cellStyle name="Table Head Aligned 2 3 2 2 3" xfId="16339" xr:uid="{00000000-0005-0000-0000-0000920B0000}"/>
    <cellStyle name="Table Head Aligned 2 3 2 2 3 2" xfId="34711" xr:uid="{00000000-0005-0000-0000-0000920B0000}"/>
    <cellStyle name="Table Head Aligned 2 3 2 2 3 3" xfId="53074" xr:uid="{00000000-0005-0000-0000-0000920B0000}"/>
    <cellStyle name="Table Head Aligned 2 3 2 2 4" xfId="25458" xr:uid="{00000000-0005-0000-0000-0000920B0000}"/>
    <cellStyle name="Table Head Aligned 2 3 2 2 4 2" xfId="43827" xr:uid="{00000000-0005-0000-0000-0000920B0000}"/>
    <cellStyle name="Table Head Aligned 2 3 2 2 5" xfId="21779" xr:uid="{00000000-0005-0000-0000-0000920B0000}"/>
    <cellStyle name="Table Head Aligned 2 3 2 2 6" xfId="40158" xr:uid="{00000000-0005-0000-0000-0000920B0000}"/>
    <cellStyle name="Table Head Aligned 2 3 2 3" xfId="6473" xr:uid="{00000000-0005-0000-0000-0000920B0000}"/>
    <cellStyle name="Table Head Aligned 2 3 2 3 2" xfId="12764" xr:uid="{00000000-0005-0000-0000-0000920B0000}"/>
    <cellStyle name="Table Head Aligned 2 3 2 3 2 2" xfId="31190" xr:uid="{00000000-0005-0000-0000-0000920B0000}"/>
    <cellStyle name="Table Head Aligned 2 3 2 3 2 3" xfId="49553" xr:uid="{00000000-0005-0000-0000-0000920B0000}"/>
    <cellStyle name="Table Head Aligned 2 3 2 3 3" xfId="17075" xr:uid="{00000000-0005-0000-0000-0000920B0000}"/>
    <cellStyle name="Table Head Aligned 2 3 2 3 3 2" xfId="35423" xr:uid="{00000000-0005-0000-0000-0000920B0000}"/>
    <cellStyle name="Table Head Aligned 2 3 2 3 3 3" xfId="53786" xr:uid="{00000000-0005-0000-0000-0000920B0000}"/>
    <cellStyle name="Table Head Aligned 2 3 2 3 4" xfId="26208" xr:uid="{00000000-0005-0000-0000-0000920B0000}"/>
    <cellStyle name="Table Head Aligned 2 3 2 3 4 2" xfId="44577" xr:uid="{00000000-0005-0000-0000-0000920B0000}"/>
    <cellStyle name="Table Head Aligned 2 3 2 3 5" xfId="22501" xr:uid="{00000000-0005-0000-0000-0000920B0000}"/>
    <cellStyle name="Table Head Aligned 2 3 2 3 6" xfId="40870" xr:uid="{00000000-0005-0000-0000-0000920B0000}"/>
    <cellStyle name="Table Head Aligned 2 3 2 4" xfId="10187" xr:uid="{00000000-0005-0000-0000-0000920B0000}"/>
    <cellStyle name="Table Head Aligned 2 3 2 4 2" xfId="14244" xr:uid="{00000000-0005-0000-0000-0000920B0000}"/>
    <cellStyle name="Table Head Aligned 2 3 2 4 2 2" xfId="32660" xr:uid="{00000000-0005-0000-0000-0000920B0000}"/>
    <cellStyle name="Table Head Aligned 2 3 2 4 2 3" xfId="51023" xr:uid="{00000000-0005-0000-0000-0000920B0000}"/>
    <cellStyle name="Table Head Aligned 2 3 2 4 3" xfId="28898" xr:uid="{00000000-0005-0000-0000-0000920B0000}"/>
    <cellStyle name="Table Head Aligned 2 3 2 4 3 2" xfId="47261" xr:uid="{00000000-0005-0000-0000-0000920B0000}"/>
    <cellStyle name="Table Head Aligned 2 3 2 4 4" xfId="19701" xr:uid="{00000000-0005-0000-0000-0000920B0000}"/>
    <cellStyle name="Table Head Aligned 2 3 2 4 5" xfId="38107" xr:uid="{00000000-0005-0000-0000-0000920B0000}"/>
    <cellStyle name="Table Head Aligned 2 3 2 5" xfId="9378" xr:uid="{00000000-0005-0000-0000-0000920B0000}"/>
    <cellStyle name="Table Head Aligned 2 3 2 5 2" xfId="28097" xr:uid="{00000000-0005-0000-0000-0000920B0000}"/>
    <cellStyle name="Table Head Aligned 2 3 2 5 3" xfId="46460" xr:uid="{00000000-0005-0000-0000-0000920B0000}"/>
    <cellStyle name="Table Head Aligned 2 3 2 6" xfId="13434" xr:uid="{00000000-0005-0000-0000-0000920B0000}"/>
    <cellStyle name="Table Head Aligned 2 3 2 6 2" xfId="31855" xr:uid="{00000000-0005-0000-0000-0000920B0000}"/>
    <cellStyle name="Table Head Aligned 2 3 2 6 3" xfId="50218" xr:uid="{00000000-0005-0000-0000-0000920B0000}"/>
    <cellStyle name="Table Head Aligned 2 3 2 7" xfId="23382" xr:uid="{00000000-0005-0000-0000-0000920B0000}"/>
    <cellStyle name="Table Head Aligned 2 3 2 7 2" xfId="41751" xr:uid="{00000000-0005-0000-0000-0000920B0000}"/>
    <cellStyle name="Table Head Aligned 2 3 2 8" xfId="18460" xr:uid="{00000000-0005-0000-0000-0000920B0000}"/>
    <cellStyle name="Table Head Aligned 2 3 2 9" xfId="36866" xr:uid="{00000000-0005-0000-0000-0000920B0000}"/>
    <cellStyle name="Table Head Aligned 2 3 3" xfId="4472" xr:uid="{00000000-0005-0000-0000-0000920B0000}"/>
    <cellStyle name="Table Head Aligned 2 3 3 2" xfId="11068" xr:uid="{00000000-0005-0000-0000-0000920B0000}"/>
    <cellStyle name="Table Head Aligned 2 3 3 2 2" xfId="29688" xr:uid="{00000000-0005-0000-0000-0000920B0000}"/>
    <cellStyle name="Table Head Aligned 2 3 3 2 3" xfId="48051" xr:uid="{00000000-0005-0000-0000-0000920B0000}"/>
    <cellStyle name="Table Head Aligned 2 3 3 3" xfId="15206" xr:uid="{00000000-0005-0000-0000-0000920B0000}"/>
    <cellStyle name="Table Head Aligned 2 3 3 3 2" xfId="33601" xr:uid="{00000000-0005-0000-0000-0000920B0000}"/>
    <cellStyle name="Table Head Aligned 2 3 3 3 3" xfId="51964" xr:uid="{00000000-0005-0000-0000-0000920B0000}"/>
    <cellStyle name="Table Head Aligned 2 3 3 4" xfId="24332" xr:uid="{00000000-0005-0000-0000-0000920B0000}"/>
    <cellStyle name="Table Head Aligned 2 3 3 4 2" xfId="42701" xr:uid="{00000000-0005-0000-0000-0000920B0000}"/>
    <cellStyle name="Table Head Aligned 2 3 3 5" xfId="20656" xr:uid="{00000000-0005-0000-0000-0000920B0000}"/>
    <cellStyle name="Table Head Aligned 2 3 3 6" xfId="39048" xr:uid="{00000000-0005-0000-0000-0000920B0000}"/>
    <cellStyle name="Table Head Aligned 2 3 4" xfId="4020" xr:uid="{00000000-0005-0000-0000-0000920B0000}"/>
    <cellStyle name="Table Head Aligned 2 3 4 2" xfId="10724" xr:uid="{00000000-0005-0000-0000-0000920B0000}"/>
    <cellStyle name="Table Head Aligned 2 3 4 2 2" xfId="29428" xr:uid="{00000000-0005-0000-0000-0000920B0000}"/>
    <cellStyle name="Table Head Aligned 2 3 4 2 3" xfId="47791" xr:uid="{00000000-0005-0000-0000-0000920B0000}"/>
    <cellStyle name="Table Head Aligned 2 3 4 3" xfId="14781" xr:uid="{00000000-0005-0000-0000-0000920B0000}"/>
    <cellStyle name="Table Head Aligned 2 3 4 3 2" xfId="33193" xr:uid="{00000000-0005-0000-0000-0000920B0000}"/>
    <cellStyle name="Table Head Aligned 2 3 4 3 3" xfId="51556" xr:uid="{00000000-0005-0000-0000-0000920B0000}"/>
    <cellStyle name="Table Head Aligned 2 3 4 4" xfId="23917" xr:uid="{00000000-0005-0000-0000-0000920B0000}"/>
    <cellStyle name="Table Head Aligned 2 3 4 4 2" xfId="42286" xr:uid="{00000000-0005-0000-0000-0000920B0000}"/>
    <cellStyle name="Table Head Aligned 2 3 4 5" xfId="20237" xr:uid="{00000000-0005-0000-0000-0000920B0000}"/>
    <cellStyle name="Table Head Aligned 2 3 4 6" xfId="38640" xr:uid="{00000000-0005-0000-0000-0000920B0000}"/>
    <cellStyle name="Table Head Aligned 2 3 5" xfId="9828" xr:uid="{00000000-0005-0000-0000-0000920B0000}"/>
    <cellStyle name="Table Head Aligned 2 3 5 2" xfId="13885" xr:uid="{00000000-0005-0000-0000-0000920B0000}"/>
    <cellStyle name="Table Head Aligned 2 3 5 2 2" xfId="32305" xr:uid="{00000000-0005-0000-0000-0000920B0000}"/>
    <cellStyle name="Table Head Aligned 2 3 5 2 3" xfId="50668" xr:uid="{00000000-0005-0000-0000-0000920B0000}"/>
    <cellStyle name="Table Head Aligned 2 3 5 3" xfId="28543" xr:uid="{00000000-0005-0000-0000-0000920B0000}"/>
    <cellStyle name="Table Head Aligned 2 3 5 3 2" xfId="46906" xr:uid="{00000000-0005-0000-0000-0000920B0000}"/>
    <cellStyle name="Table Head Aligned 2 3 5 4" xfId="19048" xr:uid="{00000000-0005-0000-0000-0000920B0000}"/>
    <cellStyle name="Table Head Aligned 2 3 5 5" xfId="37457" xr:uid="{00000000-0005-0000-0000-0000920B0000}"/>
    <cellStyle name="Table Head Aligned 2 3 6" xfId="7742" xr:uid="{00000000-0005-0000-0000-0000920B0000}"/>
    <cellStyle name="Table Head Aligned 2 3 6 2" xfId="27019" xr:uid="{00000000-0005-0000-0000-0000920B0000}"/>
    <cellStyle name="Table Head Aligned 2 3 6 3" xfId="45384" xr:uid="{00000000-0005-0000-0000-0000920B0000}"/>
    <cellStyle name="Table Head Aligned 2 3 7" xfId="7412" xr:uid="{00000000-0005-0000-0000-0000920B0000}"/>
    <cellStyle name="Table Head Aligned 2 3 7 2" xfId="26804" xr:uid="{00000000-0005-0000-0000-0000920B0000}"/>
    <cellStyle name="Table Head Aligned 2 3 7 3" xfId="45172" xr:uid="{00000000-0005-0000-0000-0000920B0000}"/>
    <cellStyle name="Table Head Aligned 2 3 8" xfId="18176" xr:uid="{00000000-0005-0000-0000-0000920B0000}"/>
    <cellStyle name="Table Head Aligned 2 3 8 2" xfId="36582" xr:uid="{00000000-0005-0000-0000-0000920B0000}"/>
    <cellStyle name="Table Head Aligned 2 3 9" xfId="8544" xr:uid="{00000000-0005-0000-0000-0000920B0000}"/>
    <cellStyle name="Table Head Aligned 2 4" xfId="1924" xr:uid="{00000000-0005-0000-0000-0000930B0000}"/>
    <cellStyle name="Table Head Aligned 2 4 10" xfId="7499" xr:uid="{00000000-0005-0000-0000-0000930B0000}"/>
    <cellStyle name="Table Head Aligned 2 4 2" xfId="3742" xr:uid="{00000000-0005-0000-0000-0000930B0000}"/>
    <cellStyle name="Table Head Aligned 2 4 2 2" xfId="5915" xr:uid="{00000000-0005-0000-0000-0000930B0000}"/>
    <cellStyle name="Table Head Aligned 2 4 2 2 2" xfId="12279" xr:uid="{00000000-0005-0000-0000-0000930B0000}"/>
    <cellStyle name="Table Head Aligned 2 4 2 2 2 2" xfId="30726" xr:uid="{00000000-0005-0000-0000-0000930B0000}"/>
    <cellStyle name="Table Head Aligned 2 4 2 2 2 3" xfId="49089" xr:uid="{00000000-0005-0000-0000-0000930B0000}"/>
    <cellStyle name="Table Head Aligned 2 4 2 2 3" xfId="16605" xr:uid="{00000000-0005-0000-0000-0000930B0000}"/>
    <cellStyle name="Table Head Aligned 2 4 2 2 3 2" xfId="34977" xr:uid="{00000000-0005-0000-0000-0000930B0000}"/>
    <cellStyle name="Table Head Aligned 2 4 2 2 3 3" xfId="53340" xr:uid="{00000000-0005-0000-0000-0000930B0000}"/>
    <cellStyle name="Table Head Aligned 2 4 2 2 4" xfId="25724" xr:uid="{00000000-0005-0000-0000-0000930B0000}"/>
    <cellStyle name="Table Head Aligned 2 4 2 2 4 2" xfId="44093" xr:uid="{00000000-0005-0000-0000-0000930B0000}"/>
    <cellStyle name="Table Head Aligned 2 4 2 2 5" xfId="22045" xr:uid="{00000000-0005-0000-0000-0000930B0000}"/>
    <cellStyle name="Table Head Aligned 2 4 2 2 6" xfId="40424" xr:uid="{00000000-0005-0000-0000-0000930B0000}"/>
    <cellStyle name="Table Head Aligned 2 4 2 3" xfId="6741" xr:uid="{00000000-0005-0000-0000-0000930B0000}"/>
    <cellStyle name="Table Head Aligned 2 4 2 3 2" xfId="13032" xr:uid="{00000000-0005-0000-0000-0000930B0000}"/>
    <cellStyle name="Table Head Aligned 2 4 2 3 2 2" xfId="31458" xr:uid="{00000000-0005-0000-0000-0000930B0000}"/>
    <cellStyle name="Table Head Aligned 2 4 2 3 2 3" xfId="49821" xr:uid="{00000000-0005-0000-0000-0000930B0000}"/>
    <cellStyle name="Table Head Aligned 2 4 2 3 3" xfId="17343" xr:uid="{00000000-0005-0000-0000-0000930B0000}"/>
    <cellStyle name="Table Head Aligned 2 4 2 3 3 2" xfId="35691" xr:uid="{00000000-0005-0000-0000-0000930B0000}"/>
    <cellStyle name="Table Head Aligned 2 4 2 3 3 3" xfId="54054" xr:uid="{00000000-0005-0000-0000-0000930B0000}"/>
    <cellStyle name="Table Head Aligned 2 4 2 3 4" xfId="26476" xr:uid="{00000000-0005-0000-0000-0000930B0000}"/>
    <cellStyle name="Table Head Aligned 2 4 2 3 4 2" xfId="44845" xr:uid="{00000000-0005-0000-0000-0000930B0000}"/>
    <cellStyle name="Table Head Aligned 2 4 2 3 5" xfId="22769" xr:uid="{00000000-0005-0000-0000-0000930B0000}"/>
    <cellStyle name="Table Head Aligned 2 4 2 3 6" xfId="41138" xr:uid="{00000000-0005-0000-0000-0000930B0000}"/>
    <cellStyle name="Table Head Aligned 2 4 2 4" xfId="10455" xr:uid="{00000000-0005-0000-0000-0000930B0000}"/>
    <cellStyle name="Table Head Aligned 2 4 2 4 2" xfId="14512" xr:uid="{00000000-0005-0000-0000-0000930B0000}"/>
    <cellStyle name="Table Head Aligned 2 4 2 4 2 2" xfId="32928" xr:uid="{00000000-0005-0000-0000-0000930B0000}"/>
    <cellStyle name="Table Head Aligned 2 4 2 4 2 3" xfId="51291" xr:uid="{00000000-0005-0000-0000-0000930B0000}"/>
    <cellStyle name="Table Head Aligned 2 4 2 4 3" xfId="29166" xr:uid="{00000000-0005-0000-0000-0000930B0000}"/>
    <cellStyle name="Table Head Aligned 2 4 2 4 3 2" xfId="47529" xr:uid="{00000000-0005-0000-0000-0000930B0000}"/>
    <cellStyle name="Table Head Aligned 2 4 2 4 4" xfId="19969" xr:uid="{00000000-0005-0000-0000-0000930B0000}"/>
    <cellStyle name="Table Head Aligned 2 4 2 4 5" xfId="38375" xr:uid="{00000000-0005-0000-0000-0000930B0000}"/>
    <cellStyle name="Table Head Aligned 2 4 2 5" xfId="9671" xr:uid="{00000000-0005-0000-0000-0000930B0000}"/>
    <cellStyle name="Table Head Aligned 2 4 2 5 2" xfId="28387" xr:uid="{00000000-0005-0000-0000-0000930B0000}"/>
    <cellStyle name="Table Head Aligned 2 4 2 5 3" xfId="46750" xr:uid="{00000000-0005-0000-0000-0000930B0000}"/>
    <cellStyle name="Table Head Aligned 2 4 2 6" xfId="13728" xr:uid="{00000000-0005-0000-0000-0000930B0000}"/>
    <cellStyle name="Table Head Aligned 2 4 2 6 2" xfId="32149" xr:uid="{00000000-0005-0000-0000-0000930B0000}"/>
    <cellStyle name="Table Head Aligned 2 4 2 6 3" xfId="50512" xr:uid="{00000000-0005-0000-0000-0000930B0000}"/>
    <cellStyle name="Table Head Aligned 2 4 2 7" xfId="23650" xr:uid="{00000000-0005-0000-0000-0000930B0000}"/>
    <cellStyle name="Table Head Aligned 2 4 2 7 2" xfId="42019" xr:uid="{00000000-0005-0000-0000-0000930B0000}"/>
    <cellStyle name="Table Head Aligned 2 4 2 8" xfId="18796" xr:uid="{00000000-0005-0000-0000-0000930B0000}"/>
    <cellStyle name="Table Head Aligned 2 4 2 9" xfId="37205" xr:uid="{00000000-0005-0000-0000-0000930B0000}"/>
    <cellStyle name="Table Head Aligned 2 4 3" xfId="4835" xr:uid="{00000000-0005-0000-0000-0000930B0000}"/>
    <cellStyle name="Table Head Aligned 2 4 3 2" xfId="11396" xr:uid="{00000000-0005-0000-0000-0000930B0000}"/>
    <cellStyle name="Table Head Aligned 2 4 3 2 2" xfId="29988" xr:uid="{00000000-0005-0000-0000-0000930B0000}"/>
    <cellStyle name="Table Head Aligned 2 4 3 2 3" xfId="48351" xr:uid="{00000000-0005-0000-0000-0000930B0000}"/>
    <cellStyle name="Table Head Aligned 2 4 3 3" xfId="15561" xr:uid="{00000000-0005-0000-0000-0000930B0000}"/>
    <cellStyle name="Table Head Aligned 2 4 3 3 2" xfId="33954" xr:uid="{00000000-0005-0000-0000-0000930B0000}"/>
    <cellStyle name="Table Head Aligned 2 4 3 3 3" xfId="52317" xr:uid="{00000000-0005-0000-0000-0000930B0000}"/>
    <cellStyle name="Table Head Aligned 2 4 3 4" xfId="24685" xr:uid="{00000000-0005-0000-0000-0000930B0000}"/>
    <cellStyle name="Table Head Aligned 2 4 3 4 2" xfId="43054" xr:uid="{00000000-0005-0000-0000-0000930B0000}"/>
    <cellStyle name="Table Head Aligned 2 4 3 5" xfId="21012" xr:uid="{00000000-0005-0000-0000-0000930B0000}"/>
    <cellStyle name="Table Head Aligned 2 4 3 6" xfId="39401" xr:uid="{00000000-0005-0000-0000-0000930B0000}"/>
    <cellStyle name="Table Head Aligned 2 4 4" xfId="5003" xr:uid="{00000000-0005-0000-0000-0000930B0000}"/>
    <cellStyle name="Table Head Aligned 2 4 4 2" xfId="11528" xr:uid="{00000000-0005-0000-0000-0000930B0000}"/>
    <cellStyle name="Table Head Aligned 2 4 4 2 2" xfId="30101" xr:uid="{00000000-0005-0000-0000-0000930B0000}"/>
    <cellStyle name="Table Head Aligned 2 4 4 2 3" xfId="48464" xr:uid="{00000000-0005-0000-0000-0000930B0000}"/>
    <cellStyle name="Table Head Aligned 2 4 4 3" xfId="15717" xr:uid="{00000000-0005-0000-0000-0000930B0000}"/>
    <cellStyle name="Table Head Aligned 2 4 4 3 2" xfId="34105" xr:uid="{00000000-0005-0000-0000-0000930B0000}"/>
    <cellStyle name="Table Head Aligned 2 4 4 3 3" xfId="52468" xr:uid="{00000000-0005-0000-0000-0000930B0000}"/>
    <cellStyle name="Table Head Aligned 2 4 4 4" xfId="24841" xr:uid="{00000000-0005-0000-0000-0000930B0000}"/>
    <cellStyle name="Table Head Aligned 2 4 4 4 2" xfId="43210" xr:uid="{00000000-0005-0000-0000-0000930B0000}"/>
    <cellStyle name="Table Head Aligned 2 4 4 5" xfId="21165" xr:uid="{00000000-0005-0000-0000-0000930B0000}"/>
    <cellStyle name="Table Head Aligned 2 4 4 6" xfId="39552" xr:uid="{00000000-0005-0000-0000-0000930B0000}"/>
    <cellStyle name="Table Head Aligned 2 4 5" xfId="9029" xr:uid="{00000000-0005-0000-0000-0000930B0000}"/>
    <cellStyle name="Table Head Aligned 2 4 5 2" xfId="6920" xr:uid="{00000000-0005-0000-0000-0000930B0000}"/>
    <cellStyle name="Table Head Aligned 2 4 5 2 2" xfId="26655" xr:uid="{00000000-0005-0000-0000-0000930B0000}"/>
    <cellStyle name="Table Head Aligned 2 4 5 2 3" xfId="45024" xr:uid="{00000000-0005-0000-0000-0000930B0000}"/>
    <cellStyle name="Table Head Aligned 2 4 5 3" xfId="27755" xr:uid="{00000000-0005-0000-0000-0000930B0000}"/>
    <cellStyle name="Table Head Aligned 2 4 5 3 2" xfId="46118" xr:uid="{00000000-0005-0000-0000-0000930B0000}"/>
    <cellStyle name="Table Head Aligned 2 4 5 4" xfId="17924" xr:uid="{00000000-0005-0000-0000-0000930B0000}"/>
    <cellStyle name="Table Head Aligned 2 4 5 5" xfId="36332" xr:uid="{00000000-0005-0000-0000-0000930B0000}"/>
    <cellStyle name="Table Head Aligned 2 4 6" xfId="8123" xr:uid="{00000000-0005-0000-0000-0000930B0000}"/>
    <cellStyle name="Table Head Aligned 2 4 6 2" xfId="27328" xr:uid="{00000000-0005-0000-0000-0000930B0000}"/>
    <cellStyle name="Table Head Aligned 2 4 6 3" xfId="45693" xr:uid="{00000000-0005-0000-0000-0000930B0000}"/>
    <cellStyle name="Table Head Aligned 2 4 7" xfId="8744" xr:uid="{00000000-0005-0000-0000-0000930B0000}"/>
    <cellStyle name="Table Head Aligned 2 4 7 2" xfId="27617" xr:uid="{00000000-0005-0000-0000-0000930B0000}"/>
    <cellStyle name="Table Head Aligned 2 4 7 3" xfId="45980" xr:uid="{00000000-0005-0000-0000-0000930B0000}"/>
    <cellStyle name="Table Head Aligned 2 4 8" xfId="18393" xr:uid="{00000000-0005-0000-0000-0000930B0000}"/>
    <cellStyle name="Table Head Aligned 2 4 8 2" xfId="36799" xr:uid="{00000000-0005-0000-0000-0000930B0000}"/>
    <cellStyle name="Table Head Aligned 2 4 9" xfId="7247" xr:uid="{00000000-0005-0000-0000-0000930B0000}"/>
    <cellStyle name="Table Head Aligned 2 5" xfId="2339" xr:uid="{00000000-0005-0000-0000-0000940B0000}"/>
    <cellStyle name="Table Head Aligned 2 5 10" xfId="7781" xr:uid="{00000000-0005-0000-0000-0000940B0000}"/>
    <cellStyle name="Table Head Aligned 2 5 2" xfId="3787" xr:uid="{00000000-0005-0000-0000-0000940B0000}"/>
    <cellStyle name="Table Head Aligned 2 5 2 2" xfId="5960" xr:uid="{00000000-0005-0000-0000-0000940B0000}"/>
    <cellStyle name="Table Head Aligned 2 5 2 2 2" xfId="12324" xr:uid="{00000000-0005-0000-0000-0000940B0000}"/>
    <cellStyle name="Table Head Aligned 2 5 2 2 2 2" xfId="30771" xr:uid="{00000000-0005-0000-0000-0000940B0000}"/>
    <cellStyle name="Table Head Aligned 2 5 2 2 2 3" xfId="49134" xr:uid="{00000000-0005-0000-0000-0000940B0000}"/>
    <cellStyle name="Table Head Aligned 2 5 2 2 3" xfId="16650" xr:uid="{00000000-0005-0000-0000-0000940B0000}"/>
    <cellStyle name="Table Head Aligned 2 5 2 2 3 2" xfId="35022" xr:uid="{00000000-0005-0000-0000-0000940B0000}"/>
    <cellStyle name="Table Head Aligned 2 5 2 2 3 3" xfId="53385" xr:uid="{00000000-0005-0000-0000-0000940B0000}"/>
    <cellStyle name="Table Head Aligned 2 5 2 2 4" xfId="25769" xr:uid="{00000000-0005-0000-0000-0000940B0000}"/>
    <cellStyle name="Table Head Aligned 2 5 2 2 4 2" xfId="44138" xr:uid="{00000000-0005-0000-0000-0000940B0000}"/>
    <cellStyle name="Table Head Aligned 2 5 2 2 5" xfId="22090" xr:uid="{00000000-0005-0000-0000-0000940B0000}"/>
    <cellStyle name="Table Head Aligned 2 5 2 2 6" xfId="40469" xr:uid="{00000000-0005-0000-0000-0000940B0000}"/>
    <cellStyle name="Table Head Aligned 2 5 2 3" xfId="6786" xr:uid="{00000000-0005-0000-0000-0000940B0000}"/>
    <cellStyle name="Table Head Aligned 2 5 2 3 2" xfId="13077" xr:uid="{00000000-0005-0000-0000-0000940B0000}"/>
    <cellStyle name="Table Head Aligned 2 5 2 3 2 2" xfId="31503" xr:uid="{00000000-0005-0000-0000-0000940B0000}"/>
    <cellStyle name="Table Head Aligned 2 5 2 3 2 3" xfId="49866" xr:uid="{00000000-0005-0000-0000-0000940B0000}"/>
    <cellStyle name="Table Head Aligned 2 5 2 3 3" xfId="17388" xr:uid="{00000000-0005-0000-0000-0000940B0000}"/>
    <cellStyle name="Table Head Aligned 2 5 2 3 3 2" xfId="35736" xr:uid="{00000000-0005-0000-0000-0000940B0000}"/>
    <cellStyle name="Table Head Aligned 2 5 2 3 3 3" xfId="54099" xr:uid="{00000000-0005-0000-0000-0000940B0000}"/>
    <cellStyle name="Table Head Aligned 2 5 2 3 4" xfId="26521" xr:uid="{00000000-0005-0000-0000-0000940B0000}"/>
    <cellStyle name="Table Head Aligned 2 5 2 3 4 2" xfId="44890" xr:uid="{00000000-0005-0000-0000-0000940B0000}"/>
    <cellStyle name="Table Head Aligned 2 5 2 3 5" xfId="22814" xr:uid="{00000000-0005-0000-0000-0000940B0000}"/>
    <cellStyle name="Table Head Aligned 2 5 2 3 6" xfId="41183" xr:uid="{00000000-0005-0000-0000-0000940B0000}"/>
    <cellStyle name="Table Head Aligned 2 5 2 4" xfId="10500" xr:uid="{00000000-0005-0000-0000-0000940B0000}"/>
    <cellStyle name="Table Head Aligned 2 5 2 4 2" xfId="14557" xr:uid="{00000000-0005-0000-0000-0000940B0000}"/>
    <cellStyle name="Table Head Aligned 2 5 2 4 2 2" xfId="32973" xr:uid="{00000000-0005-0000-0000-0000940B0000}"/>
    <cellStyle name="Table Head Aligned 2 5 2 4 2 3" xfId="51336" xr:uid="{00000000-0005-0000-0000-0000940B0000}"/>
    <cellStyle name="Table Head Aligned 2 5 2 4 3" xfId="29211" xr:uid="{00000000-0005-0000-0000-0000940B0000}"/>
    <cellStyle name="Table Head Aligned 2 5 2 4 3 2" xfId="47574" xr:uid="{00000000-0005-0000-0000-0000940B0000}"/>
    <cellStyle name="Table Head Aligned 2 5 2 4 4" xfId="20014" xr:uid="{00000000-0005-0000-0000-0000940B0000}"/>
    <cellStyle name="Table Head Aligned 2 5 2 4 5" xfId="38420" xr:uid="{00000000-0005-0000-0000-0000940B0000}"/>
    <cellStyle name="Table Head Aligned 2 5 2 5" xfId="9771" xr:uid="{00000000-0005-0000-0000-0000940B0000}"/>
    <cellStyle name="Table Head Aligned 2 5 2 5 2" xfId="28486" xr:uid="{00000000-0005-0000-0000-0000940B0000}"/>
    <cellStyle name="Table Head Aligned 2 5 2 5 3" xfId="46849" xr:uid="{00000000-0005-0000-0000-0000940B0000}"/>
    <cellStyle name="Table Head Aligned 2 5 2 6" xfId="13828" xr:uid="{00000000-0005-0000-0000-0000940B0000}"/>
    <cellStyle name="Table Head Aligned 2 5 2 6 2" xfId="32248" xr:uid="{00000000-0005-0000-0000-0000940B0000}"/>
    <cellStyle name="Table Head Aligned 2 5 2 6 3" xfId="50611" xr:uid="{00000000-0005-0000-0000-0000940B0000}"/>
    <cellStyle name="Table Head Aligned 2 5 2 7" xfId="23695" xr:uid="{00000000-0005-0000-0000-0000940B0000}"/>
    <cellStyle name="Table Head Aligned 2 5 2 7 2" xfId="42064" xr:uid="{00000000-0005-0000-0000-0000940B0000}"/>
    <cellStyle name="Table Head Aligned 2 5 2 8" xfId="18953" xr:uid="{00000000-0005-0000-0000-0000940B0000}"/>
    <cellStyle name="Table Head Aligned 2 5 2 9" xfId="37362" xr:uid="{00000000-0005-0000-0000-0000940B0000}"/>
    <cellStyle name="Table Head Aligned 2 5 3" xfId="4987" xr:uid="{00000000-0005-0000-0000-0000940B0000}"/>
    <cellStyle name="Table Head Aligned 2 5 3 2" xfId="11517" xr:uid="{00000000-0005-0000-0000-0000940B0000}"/>
    <cellStyle name="Table Head Aligned 2 5 3 2 2" xfId="30090" xr:uid="{00000000-0005-0000-0000-0000940B0000}"/>
    <cellStyle name="Table Head Aligned 2 5 3 2 3" xfId="48453" xr:uid="{00000000-0005-0000-0000-0000940B0000}"/>
    <cellStyle name="Table Head Aligned 2 5 3 3" xfId="15703" xr:uid="{00000000-0005-0000-0000-0000940B0000}"/>
    <cellStyle name="Table Head Aligned 2 5 3 3 2" xfId="34092" xr:uid="{00000000-0005-0000-0000-0000940B0000}"/>
    <cellStyle name="Table Head Aligned 2 5 3 3 3" xfId="52455" xr:uid="{00000000-0005-0000-0000-0000940B0000}"/>
    <cellStyle name="Table Head Aligned 2 5 3 4" xfId="24827" xr:uid="{00000000-0005-0000-0000-0000940B0000}"/>
    <cellStyle name="Table Head Aligned 2 5 3 4 2" xfId="43196" xr:uid="{00000000-0005-0000-0000-0000940B0000}"/>
    <cellStyle name="Table Head Aligned 2 5 3 5" xfId="21152" xr:uid="{00000000-0005-0000-0000-0000940B0000}"/>
    <cellStyle name="Table Head Aligned 2 5 3 6" xfId="39539" xr:uid="{00000000-0005-0000-0000-0000940B0000}"/>
    <cellStyle name="Table Head Aligned 2 5 4" xfId="6127" xr:uid="{00000000-0005-0000-0000-0000940B0000}"/>
    <cellStyle name="Table Head Aligned 2 5 4 2" xfId="12481" xr:uid="{00000000-0005-0000-0000-0000940B0000}"/>
    <cellStyle name="Table Head Aligned 2 5 4 2 2" xfId="30921" xr:uid="{00000000-0005-0000-0000-0000940B0000}"/>
    <cellStyle name="Table Head Aligned 2 5 4 2 3" xfId="49284" xr:uid="{00000000-0005-0000-0000-0000940B0000}"/>
    <cellStyle name="Table Head Aligned 2 5 4 3" xfId="16800" xr:uid="{00000000-0005-0000-0000-0000940B0000}"/>
    <cellStyle name="Table Head Aligned 2 5 4 3 2" xfId="35169" xr:uid="{00000000-0005-0000-0000-0000940B0000}"/>
    <cellStyle name="Table Head Aligned 2 5 4 3 3" xfId="53532" xr:uid="{00000000-0005-0000-0000-0000940B0000}"/>
    <cellStyle name="Table Head Aligned 2 5 4 4" xfId="25923" xr:uid="{00000000-0005-0000-0000-0000940B0000}"/>
    <cellStyle name="Table Head Aligned 2 5 4 4 2" xfId="44292" xr:uid="{00000000-0005-0000-0000-0000940B0000}"/>
    <cellStyle name="Table Head Aligned 2 5 4 5" xfId="22239" xr:uid="{00000000-0005-0000-0000-0000940B0000}"/>
    <cellStyle name="Table Head Aligned 2 5 4 6" xfId="40616" xr:uid="{00000000-0005-0000-0000-0000940B0000}"/>
    <cellStyle name="Table Head Aligned 2 5 5" xfId="9935" xr:uid="{00000000-0005-0000-0000-0000940B0000}"/>
    <cellStyle name="Table Head Aligned 2 5 5 2" xfId="13992" xr:uid="{00000000-0005-0000-0000-0000940B0000}"/>
    <cellStyle name="Table Head Aligned 2 5 5 2 2" xfId="32409" xr:uid="{00000000-0005-0000-0000-0000940B0000}"/>
    <cellStyle name="Table Head Aligned 2 5 5 2 3" xfId="50772" xr:uid="{00000000-0005-0000-0000-0000940B0000}"/>
    <cellStyle name="Table Head Aligned 2 5 5 3" xfId="28647" xr:uid="{00000000-0005-0000-0000-0000940B0000}"/>
    <cellStyle name="Table Head Aligned 2 5 5 3 2" xfId="47010" xr:uid="{00000000-0005-0000-0000-0000940B0000}"/>
    <cellStyle name="Table Head Aligned 2 5 5 4" xfId="19241" xr:uid="{00000000-0005-0000-0000-0000940B0000}"/>
    <cellStyle name="Table Head Aligned 2 5 5 5" xfId="37648" xr:uid="{00000000-0005-0000-0000-0000940B0000}"/>
    <cellStyle name="Table Head Aligned 2 5 6" xfId="8380" xr:uid="{00000000-0005-0000-0000-0000940B0000}"/>
    <cellStyle name="Table Head Aligned 2 5 6 2" xfId="27447" xr:uid="{00000000-0005-0000-0000-0000940B0000}"/>
    <cellStyle name="Table Head Aligned 2 5 6 3" xfId="45811" xr:uid="{00000000-0005-0000-0000-0000940B0000}"/>
    <cellStyle name="Table Head Aligned 2 5 7" xfId="8475" xr:uid="{00000000-0005-0000-0000-0000940B0000}"/>
    <cellStyle name="Table Head Aligned 2 5 7 2" xfId="27497" xr:uid="{00000000-0005-0000-0000-0000940B0000}"/>
    <cellStyle name="Table Head Aligned 2 5 7 3" xfId="45861" xr:uid="{00000000-0005-0000-0000-0000940B0000}"/>
    <cellStyle name="Table Head Aligned 2 5 8" xfId="18125" xr:uid="{00000000-0005-0000-0000-0000940B0000}"/>
    <cellStyle name="Table Head Aligned 2 5 8 2" xfId="36532" xr:uid="{00000000-0005-0000-0000-0000940B0000}"/>
    <cellStyle name="Table Head Aligned 2 5 9" xfId="8603" xr:uid="{00000000-0005-0000-0000-0000940B0000}"/>
    <cellStyle name="Table Head Aligned 2 6" xfId="3351" xr:uid="{00000000-0005-0000-0000-0000870B0000}"/>
    <cellStyle name="Table Head Aligned 2 6 2" xfId="5526" xr:uid="{00000000-0005-0000-0000-0000870B0000}"/>
    <cellStyle name="Table Head Aligned 2 6 2 2" xfId="11890" xr:uid="{00000000-0005-0000-0000-0000870B0000}"/>
    <cellStyle name="Table Head Aligned 2 6 2 2 2" xfId="30337" xr:uid="{00000000-0005-0000-0000-0000870B0000}"/>
    <cellStyle name="Table Head Aligned 2 6 2 2 3" xfId="48700" xr:uid="{00000000-0005-0000-0000-0000870B0000}"/>
    <cellStyle name="Table Head Aligned 2 6 2 3" xfId="16216" xr:uid="{00000000-0005-0000-0000-0000870B0000}"/>
    <cellStyle name="Table Head Aligned 2 6 2 3 2" xfId="34588" xr:uid="{00000000-0005-0000-0000-0000870B0000}"/>
    <cellStyle name="Table Head Aligned 2 6 2 3 3" xfId="52951" xr:uid="{00000000-0005-0000-0000-0000870B0000}"/>
    <cellStyle name="Table Head Aligned 2 6 2 4" xfId="25335" xr:uid="{00000000-0005-0000-0000-0000870B0000}"/>
    <cellStyle name="Table Head Aligned 2 6 2 4 2" xfId="43704" xr:uid="{00000000-0005-0000-0000-0000870B0000}"/>
    <cellStyle name="Table Head Aligned 2 6 2 5" xfId="21656" xr:uid="{00000000-0005-0000-0000-0000870B0000}"/>
    <cellStyle name="Table Head Aligned 2 6 2 6" xfId="40035" xr:uid="{00000000-0005-0000-0000-0000870B0000}"/>
    <cellStyle name="Table Head Aligned 2 6 3" xfId="6350" xr:uid="{00000000-0005-0000-0000-0000870B0000}"/>
    <cellStyle name="Table Head Aligned 2 6 3 2" xfId="12641" xr:uid="{00000000-0005-0000-0000-0000870B0000}"/>
    <cellStyle name="Table Head Aligned 2 6 3 2 2" xfId="31067" xr:uid="{00000000-0005-0000-0000-0000870B0000}"/>
    <cellStyle name="Table Head Aligned 2 6 3 2 3" xfId="49430" xr:uid="{00000000-0005-0000-0000-0000870B0000}"/>
    <cellStyle name="Table Head Aligned 2 6 3 3" xfId="16952" xr:uid="{00000000-0005-0000-0000-0000870B0000}"/>
    <cellStyle name="Table Head Aligned 2 6 3 3 2" xfId="35300" xr:uid="{00000000-0005-0000-0000-0000870B0000}"/>
    <cellStyle name="Table Head Aligned 2 6 3 3 3" xfId="53663" xr:uid="{00000000-0005-0000-0000-0000870B0000}"/>
    <cellStyle name="Table Head Aligned 2 6 3 4" xfId="26085" xr:uid="{00000000-0005-0000-0000-0000870B0000}"/>
    <cellStyle name="Table Head Aligned 2 6 3 4 2" xfId="44454" xr:uid="{00000000-0005-0000-0000-0000870B0000}"/>
    <cellStyle name="Table Head Aligned 2 6 3 5" xfId="22378" xr:uid="{00000000-0005-0000-0000-0000870B0000}"/>
    <cellStyle name="Table Head Aligned 2 6 3 6" xfId="40747" xr:uid="{00000000-0005-0000-0000-0000870B0000}"/>
    <cellStyle name="Table Head Aligned 2 6 4" xfId="10064" xr:uid="{00000000-0005-0000-0000-0000870B0000}"/>
    <cellStyle name="Table Head Aligned 2 6 4 2" xfId="14121" xr:uid="{00000000-0005-0000-0000-0000870B0000}"/>
    <cellStyle name="Table Head Aligned 2 6 4 2 2" xfId="32537" xr:uid="{00000000-0005-0000-0000-0000870B0000}"/>
    <cellStyle name="Table Head Aligned 2 6 4 2 3" xfId="50900" xr:uid="{00000000-0005-0000-0000-0000870B0000}"/>
    <cellStyle name="Table Head Aligned 2 6 4 3" xfId="28775" xr:uid="{00000000-0005-0000-0000-0000870B0000}"/>
    <cellStyle name="Table Head Aligned 2 6 4 3 2" xfId="47138" xr:uid="{00000000-0005-0000-0000-0000870B0000}"/>
    <cellStyle name="Table Head Aligned 2 6 4 4" xfId="19578" xr:uid="{00000000-0005-0000-0000-0000870B0000}"/>
    <cellStyle name="Table Head Aligned 2 6 4 5" xfId="37984" xr:uid="{00000000-0005-0000-0000-0000870B0000}"/>
    <cellStyle name="Table Head Aligned 2 6 5" xfId="9199" xr:uid="{00000000-0005-0000-0000-0000870B0000}"/>
    <cellStyle name="Table Head Aligned 2 6 5 2" xfId="27920" xr:uid="{00000000-0005-0000-0000-0000870B0000}"/>
    <cellStyle name="Table Head Aligned 2 6 5 3" xfId="46283" xr:uid="{00000000-0005-0000-0000-0000870B0000}"/>
    <cellStyle name="Table Head Aligned 2 6 6" xfId="13257" xr:uid="{00000000-0005-0000-0000-0000870B0000}"/>
    <cellStyle name="Table Head Aligned 2 6 6 2" xfId="31678" xr:uid="{00000000-0005-0000-0000-0000870B0000}"/>
    <cellStyle name="Table Head Aligned 2 6 6 3" xfId="50041" xr:uid="{00000000-0005-0000-0000-0000870B0000}"/>
    <cellStyle name="Table Head Aligned 2 6 7" xfId="23259" xr:uid="{00000000-0005-0000-0000-0000870B0000}"/>
    <cellStyle name="Table Head Aligned 2 6 7 2" xfId="41628" xr:uid="{00000000-0005-0000-0000-0000870B0000}"/>
    <cellStyle name="Table Head Aligned 2 6 8" xfId="18218" xr:uid="{00000000-0005-0000-0000-0000870B0000}"/>
    <cellStyle name="Table Head Aligned 2 6 9" xfId="36624" xr:uid="{00000000-0005-0000-0000-0000870B0000}"/>
    <cellStyle name="Table Head Aligned 2 7" xfId="4204" xr:uid="{00000000-0005-0000-0000-0000870B0000}"/>
    <cellStyle name="Table Head Aligned 2 7 2" xfId="10853" xr:uid="{00000000-0005-0000-0000-0000870B0000}"/>
    <cellStyle name="Table Head Aligned 2 7 2 2" xfId="29524" xr:uid="{00000000-0005-0000-0000-0000870B0000}"/>
    <cellStyle name="Table Head Aligned 2 7 2 3" xfId="47887" xr:uid="{00000000-0005-0000-0000-0000870B0000}"/>
    <cellStyle name="Table Head Aligned 2 7 3" xfId="14950" xr:uid="{00000000-0005-0000-0000-0000870B0000}"/>
    <cellStyle name="Table Head Aligned 2 7 3 2" xfId="33354" xr:uid="{00000000-0005-0000-0000-0000870B0000}"/>
    <cellStyle name="Table Head Aligned 2 7 3 3" xfId="51717" xr:uid="{00000000-0005-0000-0000-0000870B0000}"/>
    <cellStyle name="Table Head Aligned 2 7 4" xfId="24083" xr:uid="{00000000-0005-0000-0000-0000870B0000}"/>
    <cellStyle name="Table Head Aligned 2 7 4 2" xfId="42452" xr:uid="{00000000-0005-0000-0000-0000870B0000}"/>
    <cellStyle name="Table Head Aligned 2 7 5" xfId="20403" xr:uid="{00000000-0005-0000-0000-0000870B0000}"/>
    <cellStyle name="Table Head Aligned 2 7 6" xfId="38801" xr:uid="{00000000-0005-0000-0000-0000870B0000}"/>
    <cellStyle name="Table Head Aligned 2 8" xfId="4085" xr:uid="{00000000-0005-0000-0000-0000870B0000}"/>
    <cellStyle name="Table Head Aligned 2 8 2" xfId="10781" xr:uid="{00000000-0005-0000-0000-0000870B0000}"/>
    <cellStyle name="Table Head Aligned 2 8 2 2" xfId="29479" xr:uid="{00000000-0005-0000-0000-0000870B0000}"/>
    <cellStyle name="Table Head Aligned 2 8 2 3" xfId="47842" xr:uid="{00000000-0005-0000-0000-0000870B0000}"/>
    <cellStyle name="Table Head Aligned 2 8 3" xfId="14841" xr:uid="{00000000-0005-0000-0000-0000870B0000}"/>
    <cellStyle name="Table Head Aligned 2 8 3 2" xfId="33248" xr:uid="{00000000-0005-0000-0000-0000870B0000}"/>
    <cellStyle name="Table Head Aligned 2 8 3 3" xfId="51611" xr:uid="{00000000-0005-0000-0000-0000870B0000}"/>
    <cellStyle name="Table Head Aligned 2 8 4" xfId="23972" xr:uid="{00000000-0005-0000-0000-0000870B0000}"/>
    <cellStyle name="Table Head Aligned 2 8 4 2" xfId="42341" xr:uid="{00000000-0005-0000-0000-0000870B0000}"/>
    <cellStyle name="Table Head Aligned 2 8 5" xfId="20295" xr:uid="{00000000-0005-0000-0000-0000870B0000}"/>
    <cellStyle name="Table Head Aligned 2 8 6" xfId="38695" xr:uid="{00000000-0005-0000-0000-0000870B0000}"/>
    <cellStyle name="Table Head Aligned 2 9" xfId="7470" xr:uid="{00000000-0005-0000-0000-0000870B0000}"/>
    <cellStyle name="Table Head Aligned 2 9 2" xfId="26837" xr:uid="{00000000-0005-0000-0000-0000870B0000}"/>
    <cellStyle name="Table Head Aligned 2 9 3" xfId="45202" xr:uid="{00000000-0005-0000-0000-0000870B0000}"/>
    <cellStyle name="Table Head Aligned 3" xfId="1829" xr:uid="{00000000-0005-0000-0000-0000950B0000}"/>
    <cellStyle name="Table Head Aligned 3 10" xfId="11717" xr:uid="{00000000-0005-0000-0000-0000950B0000}"/>
    <cellStyle name="Table Head Aligned 3 2" xfId="3704" xr:uid="{00000000-0005-0000-0000-0000950B0000}"/>
    <cellStyle name="Table Head Aligned 3 2 2" xfId="5877" xr:uid="{00000000-0005-0000-0000-0000950B0000}"/>
    <cellStyle name="Table Head Aligned 3 2 2 2" xfId="12241" xr:uid="{00000000-0005-0000-0000-0000950B0000}"/>
    <cellStyle name="Table Head Aligned 3 2 2 2 2" xfId="30688" xr:uid="{00000000-0005-0000-0000-0000950B0000}"/>
    <cellStyle name="Table Head Aligned 3 2 2 2 3" xfId="49051" xr:uid="{00000000-0005-0000-0000-0000950B0000}"/>
    <cellStyle name="Table Head Aligned 3 2 2 3" xfId="16567" xr:uid="{00000000-0005-0000-0000-0000950B0000}"/>
    <cellStyle name="Table Head Aligned 3 2 2 3 2" xfId="34939" xr:uid="{00000000-0005-0000-0000-0000950B0000}"/>
    <cellStyle name="Table Head Aligned 3 2 2 3 3" xfId="53302" xr:uid="{00000000-0005-0000-0000-0000950B0000}"/>
    <cellStyle name="Table Head Aligned 3 2 2 4" xfId="25686" xr:uid="{00000000-0005-0000-0000-0000950B0000}"/>
    <cellStyle name="Table Head Aligned 3 2 2 4 2" xfId="44055" xr:uid="{00000000-0005-0000-0000-0000950B0000}"/>
    <cellStyle name="Table Head Aligned 3 2 2 5" xfId="22007" xr:uid="{00000000-0005-0000-0000-0000950B0000}"/>
    <cellStyle name="Table Head Aligned 3 2 2 6" xfId="40386" xr:uid="{00000000-0005-0000-0000-0000950B0000}"/>
    <cellStyle name="Table Head Aligned 3 2 3" xfId="6703" xr:uid="{00000000-0005-0000-0000-0000950B0000}"/>
    <cellStyle name="Table Head Aligned 3 2 3 2" xfId="12994" xr:uid="{00000000-0005-0000-0000-0000950B0000}"/>
    <cellStyle name="Table Head Aligned 3 2 3 2 2" xfId="31420" xr:uid="{00000000-0005-0000-0000-0000950B0000}"/>
    <cellStyle name="Table Head Aligned 3 2 3 2 3" xfId="49783" xr:uid="{00000000-0005-0000-0000-0000950B0000}"/>
    <cellStyle name="Table Head Aligned 3 2 3 3" xfId="17305" xr:uid="{00000000-0005-0000-0000-0000950B0000}"/>
    <cellStyle name="Table Head Aligned 3 2 3 3 2" xfId="35653" xr:uid="{00000000-0005-0000-0000-0000950B0000}"/>
    <cellStyle name="Table Head Aligned 3 2 3 3 3" xfId="54016" xr:uid="{00000000-0005-0000-0000-0000950B0000}"/>
    <cellStyle name="Table Head Aligned 3 2 3 4" xfId="26438" xr:uid="{00000000-0005-0000-0000-0000950B0000}"/>
    <cellStyle name="Table Head Aligned 3 2 3 4 2" xfId="44807" xr:uid="{00000000-0005-0000-0000-0000950B0000}"/>
    <cellStyle name="Table Head Aligned 3 2 3 5" xfId="22731" xr:uid="{00000000-0005-0000-0000-0000950B0000}"/>
    <cellStyle name="Table Head Aligned 3 2 3 6" xfId="41100" xr:uid="{00000000-0005-0000-0000-0000950B0000}"/>
    <cellStyle name="Table Head Aligned 3 2 4" xfId="10417" xr:uid="{00000000-0005-0000-0000-0000950B0000}"/>
    <cellStyle name="Table Head Aligned 3 2 4 2" xfId="14474" xr:uid="{00000000-0005-0000-0000-0000950B0000}"/>
    <cellStyle name="Table Head Aligned 3 2 4 2 2" xfId="32890" xr:uid="{00000000-0005-0000-0000-0000950B0000}"/>
    <cellStyle name="Table Head Aligned 3 2 4 2 3" xfId="51253" xr:uid="{00000000-0005-0000-0000-0000950B0000}"/>
    <cellStyle name="Table Head Aligned 3 2 4 3" xfId="29128" xr:uid="{00000000-0005-0000-0000-0000950B0000}"/>
    <cellStyle name="Table Head Aligned 3 2 4 3 2" xfId="47491" xr:uid="{00000000-0005-0000-0000-0000950B0000}"/>
    <cellStyle name="Table Head Aligned 3 2 4 4" xfId="19931" xr:uid="{00000000-0005-0000-0000-0000950B0000}"/>
    <cellStyle name="Table Head Aligned 3 2 4 5" xfId="38337" xr:uid="{00000000-0005-0000-0000-0000950B0000}"/>
    <cellStyle name="Table Head Aligned 3 2 5" xfId="9628" xr:uid="{00000000-0005-0000-0000-0000950B0000}"/>
    <cellStyle name="Table Head Aligned 3 2 5 2" xfId="28345" xr:uid="{00000000-0005-0000-0000-0000950B0000}"/>
    <cellStyle name="Table Head Aligned 3 2 5 3" xfId="46708" xr:uid="{00000000-0005-0000-0000-0000950B0000}"/>
    <cellStyle name="Table Head Aligned 3 2 6" xfId="13686" xr:uid="{00000000-0005-0000-0000-0000950B0000}"/>
    <cellStyle name="Table Head Aligned 3 2 6 2" xfId="32107" xr:uid="{00000000-0005-0000-0000-0000950B0000}"/>
    <cellStyle name="Table Head Aligned 3 2 6 3" xfId="50470" xr:uid="{00000000-0005-0000-0000-0000950B0000}"/>
    <cellStyle name="Table Head Aligned 3 2 7" xfId="23612" xr:uid="{00000000-0005-0000-0000-0000950B0000}"/>
    <cellStyle name="Table Head Aligned 3 2 7 2" xfId="41981" xr:uid="{00000000-0005-0000-0000-0000950B0000}"/>
    <cellStyle name="Table Head Aligned 3 2 8" xfId="18736" xr:uid="{00000000-0005-0000-0000-0000950B0000}"/>
    <cellStyle name="Table Head Aligned 3 2 9" xfId="37146" xr:uid="{00000000-0005-0000-0000-0000950B0000}"/>
    <cellStyle name="Table Head Aligned 3 3" xfId="4755" xr:uid="{00000000-0005-0000-0000-0000950B0000}"/>
    <cellStyle name="Table Head Aligned 3 3 2" xfId="11334" xr:uid="{00000000-0005-0000-0000-0000950B0000}"/>
    <cellStyle name="Table Head Aligned 3 3 2 2" xfId="29944" xr:uid="{00000000-0005-0000-0000-0000950B0000}"/>
    <cellStyle name="Table Head Aligned 3 3 2 3" xfId="48307" xr:uid="{00000000-0005-0000-0000-0000950B0000}"/>
    <cellStyle name="Table Head Aligned 3 3 3" xfId="15481" xr:uid="{00000000-0005-0000-0000-0000950B0000}"/>
    <cellStyle name="Table Head Aligned 3 3 3 2" xfId="33874" xr:uid="{00000000-0005-0000-0000-0000950B0000}"/>
    <cellStyle name="Table Head Aligned 3 3 3 3" xfId="52237" xr:uid="{00000000-0005-0000-0000-0000950B0000}"/>
    <cellStyle name="Table Head Aligned 3 3 4" xfId="24605" xr:uid="{00000000-0005-0000-0000-0000950B0000}"/>
    <cellStyle name="Table Head Aligned 3 3 4 2" xfId="42974" xr:uid="{00000000-0005-0000-0000-0000950B0000}"/>
    <cellStyle name="Table Head Aligned 3 3 5" xfId="20932" xr:uid="{00000000-0005-0000-0000-0000950B0000}"/>
    <cellStyle name="Table Head Aligned 3 3 6" xfId="39321" xr:uid="{00000000-0005-0000-0000-0000950B0000}"/>
    <cellStyle name="Table Head Aligned 3 4" xfId="4158" xr:uid="{00000000-0005-0000-0000-0000950B0000}"/>
    <cellStyle name="Table Head Aligned 3 4 2" xfId="10814" xr:uid="{00000000-0005-0000-0000-0000950B0000}"/>
    <cellStyle name="Table Head Aligned 3 4 2 2" xfId="29486" xr:uid="{00000000-0005-0000-0000-0000950B0000}"/>
    <cellStyle name="Table Head Aligned 3 4 2 3" xfId="47849" xr:uid="{00000000-0005-0000-0000-0000950B0000}"/>
    <cellStyle name="Table Head Aligned 3 4 3" xfId="14909" xr:uid="{00000000-0005-0000-0000-0000950B0000}"/>
    <cellStyle name="Table Head Aligned 3 4 3 2" xfId="33313" xr:uid="{00000000-0005-0000-0000-0000950B0000}"/>
    <cellStyle name="Table Head Aligned 3 4 3 3" xfId="51676" xr:uid="{00000000-0005-0000-0000-0000950B0000}"/>
    <cellStyle name="Table Head Aligned 3 4 4" xfId="24038" xr:uid="{00000000-0005-0000-0000-0000950B0000}"/>
    <cellStyle name="Table Head Aligned 3 4 4 2" xfId="42407" xr:uid="{00000000-0005-0000-0000-0000950B0000}"/>
    <cellStyle name="Table Head Aligned 3 4 5" xfId="20362" xr:uid="{00000000-0005-0000-0000-0000950B0000}"/>
    <cellStyle name="Table Head Aligned 3 4 6" xfId="38760" xr:uid="{00000000-0005-0000-0000-0000950B0000}"/>
    <cellStyle name="Table Head Aligned 3 5" xfId="9689" xr:uid="{00000000-0005-0000-0000-0000950B0000}"/>
    <cellStyle name="Table Head Aligned 3 5 2" xfId="13746" xr:uid="{00000000-0005-0000-0000-0000950B0000}"/>
    <cellStyle name="Table Head Aligned 3 5 2 2" xfId="32167" xr:uid="{00000000-0005-0000-0000-0000950B0000}"/>
    <cellStyle name="Table Head Aligned 3 5 2 3" xfId="50530" xr:uid="{00000000-0005-0000-0000-0000950B0000}"/>
    <cellStyle name="Table Head Aligned 3 5 3" xfId="28405" xr:uid="{00000000-0005-0000-0000-0000950B0000}"/>
    <cellStyle name="Table Head Aligned 3 5 3 2" xfId="46768" xr:uid="{00000000-0005-0000-0000-0000950B0000}"/>
    <cellStyle name="Table Head Aligned 3 5 4" xfId="18835" xr:uid="{00000000-0005-0000-0000-0000950B0000}"/>
    <cellStyle name="Table Head Aligned 3 5 5" xfId="37244" xr:uid="{00000000-0005-0000-0000-0000950B0000}"/>
    <cellStyle name="Table Head Aligned 3 6" xfId="8051" xr:uid="{00000000-0005-0000-0000-0000950B0000}"/>
    <cellStyle name="Table Head Aligned 3 6 2" xfId="27275" xr:uid="{00000000-0005-0000-0000-0000950B0000}"/>
    <cellStyle name="Table Head Aligned 3 6 3" xfId="45640" xr:uid="{00000000-0005-0000-0000-0000950B0000}"/>
    <cellStyle name="Table Head Aligned 3 7" xfId="8725" xr:uid="{00000000-0005-0000-0000-0000950B0000}"/>
    <cellStyle name="Table Head Aligned 3 7 2" xfId="27606" xr:uid="{00000000-0005-0000-0000-0000950B0000}"/>
    <cellStyle name="Table Head Aligned 3 7 3" xfId="45969" xr:uid="{00000000-0005-0000-0000-0000950B0000}"/>
    <cellStyle name="Table Head Aligned 3 8" xfId="18253" xr:uid="{00000000-0005-0000-0000-0000950B0000}"/>
    <cellStyle name="Table Head Aligned 3 8 2" xfId="36659" xr:uid="{00000000-0005-0000-0000-0000950B0000}"/>
    <cellStyle name="Table Head Aligned 3 9" xfId="8585" xr:uid="{00000000-0005-0000-0000-0000950B0000}"/>
    <cellStyle name="Table Head Aligned 4" xfId="2917" xr:uid="{00000000-0005-0000-0000-0000960B0000}"/>
    <cellStyle name="Table Head Aligned 4 10" xfId="35940" xr:uid="{00000000-0005-0000-0000-0000960B0000}"/>
    <cellStyle name="Table Head Aligned 4 2" xfId="3828" xr:uid="{00000000-0005-0000-0000-0000960B0000}"/>
    <cellStyle name="Table Head Aligned 4 2 2" xfId="6001" xr:uid="{00000000-0005-0000-0000-0000960B0000}"/>
    <cellStyle name="Table Head Aligned 4 2 2 2" xfId="12365" xr:uid="{00000000-0005-0000-0000-0000960B0000}"/>
    <cellStyle name="Table Head Aligned 4 2 2 2 2" xfId="30812" xr:uid="{00000000-0005-0000-0000-0000960B0000}"/>
    <cellStyle name="Table Head Aligned 4 2 2 2 3" xfId="49175" xr:uid="{00000000-0005-0000-0000-0000960B0000}"/>
    <cellStyle name="Table Head Aligned 4 2 2 3" xfId="16691" xr:uid="{00000000-0005-0000-0000-0000960B0000}"/>
    <cellStyle name="Table Head Aligned 4 2 2 3 2" xfId="35063" xr:uid="{00000000-0005-0000-0000-0000960B0000}"/>
    <cellStyle name="Table Head Aligned 4 2 2 3 3" xfId="53426" xr:uid="{00000000-0005-0000-0000-0000960B0000}"/>
    <cellStyle name="Table Head Aligned 4 2 2 4" xfId="25810" xr:uid="{00000000-0005-0000-0000-0000960B0000}"/>
    <cellStyle name="Table Head Aligned 4 2 2 4 2" xfId="44179" xr:uid="{00000000-0005-0000-0000-0000960B0000}"/>
    <cellStyle name="Table Head Aligned 4 2 2 5" xfId="22131" xr:uid="{00000000-0005-0000-0000-0000960B0000}"/>
    <cellStyle name="Table Head Aligned 4 2 2 6" xfId="40510" xr:uid="{00000000-0005-0000-0000-0000960B0000}"/>
    <cellStyle name="Table Head Aligned 4 2 3" xfId="6827" xr:uid="{00000000-0005-0000-0000-0000960B0000}"/>
    <cellStyle name="Table Head Aligned 4 2 3 2" xfId="13118" xr:uid="{00000000-0005-0000-0000-0000960B0000}"/>
    <cellStyle name="Table Head Aligned 4 2 3 2 2" xfId="31544" xr:uid="{00000000-0005-0000-0000-0000960B0000}"/>
    <cellStyle name="Table Head Aligned 4 2 3 2 3" xfId="49907" xr:uid="{00000000-0005-0000-0000-0000960B0000}"/>
    <cellStyle name="Table Head Aligned 4 2 3 3" xfId="17429" xr:uid="{00000000-0005-0000-0000-0000960B0000}"/>
    <cellStyle name="Table Head Aligned 4 2 3 3 2" xfId="35777" xr:uid="{00000000-0005-0000-0000-0000960B0000}"/>
    <cellStyle name="Table Head Aligned 4 2 3 3 3" xfId="54140" xr:uid="{00000000-0005-0000-0000-0000960B0000}"/>
    <cellStyle name="Table Head Aligned 4 2 3 4" xfId="26562" xr:uid="{00000000-0005-0000-0000-0000960B0000}"/>
    <cellStyle name="Table Head Aligned 4 2 3 4 2" xfId="44931" xr:uid="{00000000-0005-0000-0000-0000960B0000}"/>
    <cellStyle name="Table Head Aligned 4 2 3 5" xfId="22855" xr:uid="{00000000-0005-0000-0000-0000960B0000}"/>
    <cellStyle name="Table Head Aligned 4 2 3 6" xfId="41224" xr:uid="{00000000-0005-0000-0000-0000960B0000}"/>
    <cellStyle name="Table Head Aligned 4 2 4" xfId="10541" xr:uid="{00000000-0005-0000-0000-0000960B0000}"/>
    <cellStyle name="Table Head Aligned 4 2 4 2" xfId="14598" xr:uid="{00000000-0005-0000-0000-0000960B0000}"/>
    <cellStyle name="Table Head Aligned 4 2 4 2 2" xfId="33014" xr:uid="{00000000-0005-0000-0000-0000960B0000}"/>
    <cellStyle name="Table Head Aligned 4 2 4 2 3" xfId="51377" xr:uid="{00000000-0005-0000-0000-0000960B0000}"/>
    <cellStyle name="Table Head Aligned 4 2 4 3" xfId="29252" xr:uid="{00000000-0005-0000-0000-0000960B0000}"/>
    <cellStyle name="Table Head Aligned 4 2 4 3 2" xfId="47615" xr:uid="{00000000-0005-0000-0000-0000960B0000}"/>
    <cellStyle name="Table Head Aligned 4 2 4 4" xfId="20055" xr:uid="{00000000-0005-0000-0000-0000960B0000}"/>
    <cellStyle name="Table Head Aligned 4 2 4 5" xfId="38461" xr:uid="{00000000-0005-0000-0000-0000960B0000}"/>
    <cellStyle name="Table Head Aligned 4 2 5" xfId="9901" xr:uid="{00000000-0005-0000-0000-0000960B0000}"/>
    <cellStyle name="Table Head Aligned 4 2 5 2" xfId="28614" xr:uid="{00000000-0005-0000-0000-0000960B0000}"/>
    <cellStyle name="Table Head Aligned 4 2 5 3" xfId="46977" xr:uid="{00000000-0005-0000-0000-0000960B0000}"/>
    <cellStyle name="Table Head Aligned 4 2 6" xfId="13958" xr:uid="{00000000-0005-0000-0000-0000960B0000}"/>
    <cellStyle name="Table Head Aligned 4 2 6 2" xfId="32376" xr:uid="{00000000-0005-0000-0000-0000960B0000}"/>
    <cellStyle name="Table Head Aligned 4 2 6 3" xfId="50739" xr:uid="{00000000-0005-0000-0000-0000960B0000}"/>
    <cellStyle name="Table Head Aligned 4 2 7" xfId="23736" xr:uid="{00000000-0005-0000-0000-0000960B0000}"/>
    <cellStyle name="Table Head Aligned 4 2 7 2" xfId="42105" xr:uid="{00000000-0005-0000-0000-0000960B0000}"/>
    <cellStyle name="Table Head Aligned 4 2 8" xfId="19185" xr:uid="{00000000-0005-0000-0000-0000960B0000}"/>
    <cellStyle name="Table Head Aligned 4 2 9" xfId="37593" xr:uid="{00000000-0005-0000-0000-0000960B0000}"/>
    <cellStyle name="Table Head Aligned 4 3" xfId="5189" xr:uid="{00000000-0005-0000-0000-0000960B0000}"/>
    <cellStyle name="Table Head Aligned 4 3 2" xfId="11679" xr:uid="{00000000-0005-0000-0000-0000960B0000}"/>
    <cellStyle name="Table Head Aligned 4 3 2 2" xfId="30220" xr:uid="{00000000-0005-0000-0000-0000960B0000}"/>
    <cellStyle name="Table Head Aligned 4 3 2 3" xfId="48583" xr:uid="{00000000-0005-0000-0000-0000960B0000}"/>
    <cellStyle name="Table Head Aligned 4 3 3" xfId="15881" xr:uid="{00000000-0005-0000-0000-0000960B0000}"/>
    <cellStyle name="Table Head Aligned 4 3 3 2" xfId="34255" xr:uid="{00000000-0005-0000-0000-0000960B0000}"/>
    <cellStyle name="Table Head Aligned 4 3 3 3" xfId="52618" xr:uid="{00000000-0005-0000-0000-0000960B0000}"/>
    <cellStyle name="Table Head Aligned 4 3 4" xfId="25002" xr:uid="{00000000-0005-0000-0000-0000960B0000}"/>
    <cellStyle name="Table Head Aligned 4 3 4 2" xfId="43371" xr:uid="{00000000-0005-0000-0000-0000960B0000}"/>
    <cellStyle name="Table Head Aligned 4 3 5" xfId="21323" xr:uid="{00000000-0005-0000-0000-0000960B0000}"/>
    <cellStyle name="Table Head Aligned 4 3 6" xfId="39702" xr:uid="{00000000-0005-0000-0000-0000960B0000}"/>
    <cellStyle name="Table Head Aligned 4 4" xfId="6208" xr:uid="{00000000-0005-0000-0000-0000960B0000}"/>
    <cellStyle name="Table Head Aligned 4 4 2" xfId="12537" xr:uid="{00000000-0005-0000-0000-0000960B0000}"/>
    <cellStyle name="Table Head Aligned 4 4 2 2" xfId="30969" xr:uid="{00000000-0005-0000-0000-0000960B0000}"/>
    <cellStyle name="Table Head Aligned 4 4 2 3" xfId="49332" xr:uid="{00000000-0005-0000-0000-0000960B0000}"/>
    <cellStyle name="Table Head Aligned 4 4 3" xfId="16853" xr:uid="{00000000-0005-0000-0000-0000960B0000}"/>
    <cellStyle name="Table Head Aligned 4 4 3 2" xfId="35212" xr:uid="{00000000-0005-0000-0000-0000960B0000}"/>
    <cellStyle name="Table Head Aligned 4 4 3 3" xfId="53575" xr:uid="{00000000-0005-0000-0000-0000960B0000}"/>
    <cellStyle name="Table Head Aligned 4 4 4" xfId="25981" xr:uid="{00000000-0005-0000-0000-0000960B0000}"/>
    <cellStyle name="Table Head Aligned 4 4 4 2" xfId="44350" xr:uid="{00000000-0005-0000-0000-0000960B0000}"/>
    <cellStyle name="Table Head Aligned 4 4 5" xfId="22286" xr:uid="{00000000-0005-0000-0000-0000960B0000}"/>
    <cellStyle name="Table Head Aligned 4 4 6" xfId="40659" xr:uid="{00000000-0005-0000-0000-0000960B0000}"/>
    <cellStyle name="Table Head Aligned 4 5" xfId="10034" xr:uid="{00000000-0005-0000-0000-0000960B0000}"/>
    <cellStyle name="Table Head Aligned 4 5 2" xfId="14091" xr:uid="{00000000-0005-0000-0000-0000960B0000}"/>
    <cellStyle name="Table Head Aligned 4 5 2 2" xfId="32507" xr:uid="{00000000-0005-0000-0000-0000960B0000}"/>
    <cellStyle name="Table Head Aligned 4 5 2 3" xfId="50870" xr:uid="{00000000-0005-0000-0000-0000960B0000}"/>
    <cellStyle name="Table Head Aligned 4 5 3" xfId="28745" xr:uid="{00000000-0005-0000-0000-0000960B0000}"/>
    <cellStyle name="Table Head Aligned 4 5 3 2" xfId="47108" xr:uid="{00000000-0005-0000-0000-0000960B0000}"/>
    <cellStyle name="Table Head Aligned 4 5 4" xfId="19467" xr:uid="{00000000-0005-0000-0000-0000960B0000}"/>
    <cellStyle name="Table Head Aligned 4 5 5" xfId="37873" xr:uid="{00000000-0005-0000-0000-0000960B0000}"/>
    <cellStyle name="Table Head Aligned 4 6" xfId="8756" xr:uid="{00000000-0005-0000-0000-0000960B0000}"/>
    <cellStyle name="Table Head Aligned 4 6 2" xfId="27624" xr:uid="{00000000-0005-0000-0000-0000960B0000}"/>
    <cellStyle name="Table Head Aligned 4 6 3" xfId="45987" xr:uid="{00000000-0005-0000-0000-0000960B0000}"/>
    <cellStyle name="Table Head Aligned 4 7" xfId="8452" xr:uid="{00000000-0005-0000-0000-0000960B0000}"/>
    <cellStyle name="Table Head Aligned 4 7 2" xfId="27492" xr:uid="{00000000-0005-0000-0000-0000960B0000}"/>
    <cellStyle name="Table Head Aligned 4 7 3" xfId="45856" xr:uid="{00000000-0005-0000-0000-0000960B0000}"/>
    <cellStyle name="Table Head Aligned 4 8" xfId="22938" xr:uid="{00000000-0005-0000-0000-0000960B0000}"/>
    <cellStyle name="Table Head Aligned 4 8 2" xfId="41307" xr:uid="{00000000-0005-0000-0000-0000960B0000}"/>
    <cellStyle name="Table Head Aligned 4 9" xfId="8341" xr:uid="{00000000-0005-0000-0000-0000960B0000}"/>
    <cellStyle name="Table Head Aligned 5" xfId="3162" xr:uid="{00000000-0005-0000-0000-0000970B0000}"/>
    <cellStyle name="Table Head Aligned 5 2" xfId="3858" xr:uid="{00000000-0005-0000-0000-0000970B0000}"/>
    <cellStyle name="Table Head Aligned 5 2 2" xfId="6031" xr:uid="{00000000-0005-0000-0000-0000970B0000}"/>
    <cellStyle name="Table Head Aligned 5 2 2 2" xfId="12395" xr:uid="{00000000-0005-0000-0000-0000970B0000}"/>
    <cellStyle name="Table Head Aligned 5 2 2 2 2" xfId="30842" xr:uid="{00000000-0005-0000-0000-0000970B0000}"/>
    <cellStyle name="Table Head Aligned 5 2 2 2 3" xfId="49205" xr:uid="{00000000-0005-0000-0000-0000970B0000}"/>
    <cellStyle name="Table Head Aligned 5 2 2 3" xfId="16721" xr:uid="{00000000-0005-0000-0000-0000970B0000}"/>
    <cellStyle name="Table Head Aligned 5 2 2 3 2" xfId="35093" xr:uid="{00000000-0005-0000-0000-0000970B0000}"/>
    <cellStyle name="Table Head Aligned 5 2 2 3 3" xfId="53456" xr:uid="{00000000-0005-0000-0000-0000970B0000}"/>
    <cellStyle name="Table Head Aligned 5 2 2 4" xfId="25840" xr:uid="{00000000-0005-0000-0000-0000970B0000}"/>
    <cellStyle name="Table Head Aligned 5 2 2 4 2" xfId="44209" xr:uid="{00000000-0005-0000-0000-0000970B0000}"/>
    <cellStyle name="Table Head Aligned 5 2 2 5" xfId="22161" xr:uid="{00000000-0005-0000-0000-0000970B0000}"/>
    <cellStyle name="Table Head Aligned 5 2 2 6" xfId="40540" xr:uid="{00000000-0005-0000-0000-0000970B0000}"/>
    <cellStyle name="Table Head Aligned 5 2 3" xfId="6857" xr:uid="{00000000-0005-0000-0000-0000970B0000}"/>
    <cellStyle name="Table Head Aligned 5 2 3 2" xfId="13148" xr:uid="{00000000-0005-0000-0000-0000970B0000}"/>
    <cellStyle name="Table Head Aligned 5 2 3 2 2" xfId="31574" xr:uid="{00000000-0005-0000-0000-0000970B0000}"/>
    <cellStyle name="Table Head Aligned 5 2 3 2 3" xfId="49937" xr:uid="{00000000-0005-0000-0000-0000970B0000}"/>
    <cellStyle name="Table Head Aligned 5 2 3 3" xfId="17459" xr:uid="{00000000-0005-0000-0000-0000970B0000}"/>
    <cellStyle name="Table Head Aligned 5 2 3 3 2" xfId="35807" xr:uid="{00000000-0005-0000-0000-0000970B0000}"/>
    <cellStyle name="Table Head Aligned 5 2 3 3 3" xfId="54170" xr:uid="{00000000-0005-0000-0000-0000970B0000}"/>
    <cellStyle name="Table Head Aligned 5 2 3 4" xfId="26592" xr:uid="{00000000-0005-0000-0000-0000970B0000}"/>
    <cellStyle name="Table Head Aligned 5 2 3 4 2" xfId="44961" xr:uid="{00000000-0005-0000-0000-0000970B0000}"/>
    <cellStyle name="Table Head Aligned 5 2 3 5" xfId="22885" xr:uid="{00000000-0005-0000-0000-0000970B0000}"/>
    <cellStyle name="Table Head Aligned 5 2 3 6" xfId="41254" xr:uid="{00000000-0005-0000-0000-0000970B0000}"/>
    <cellStyle name="Table Head Aligned 5 2 4" xfId="10571" xr:uid="{00000000-0005-0000-0000-0000970B0000}"/>
    <cellStyle name="Table Head Aligned 5 2 4 2" xfId="14628" xr:uid="{00000000-0005-0000-0000-0000970B0000}"/>
    <cellStyle name="Table Head Aligned 5 2 4 2 2" xfId="33044" xr:uid="{00000000-0005-0000-0000-0000970B0000}"/>
    <cellStyle name="Table Head Aligned 5 2 4 2 3" xfId="51407" xr:uid="{00000000-0005-0000-0000-0000970B0000}"/>
    <cellStyle name="Table Head Aligned 5 2 4 3" xfId="29282" xr:uid="{00000000-0005-0000-0000-0000970B0000}"/>
    <cellStyle name="Table Head Aligned 5 2 4 3 2" xfId="47645" xr:uid="{00000000-0005-0000-0000-0000970B0000}"/>
    <cellStyle name="Table Head Aligned 5 2 4 4" xfId="20085" xr:uid="{00000000-0005-0000-0000-0000970B0000}"/>
    <cellStyle name="Table Head Aligned 5 2 4 5" xfId="38491" xr:uid="{00000000-0005-0000-0000-0000970B0000}"/>
    <cellStyle name="Table Head Aligned 5 2 5" xfId="9957" xr:uid="{00000000-0005-0000-0000-0000970B0000}"/>
    <cellStyle name="Table Head Aligned 5 2 5 2" xfId="28669" xr:uid="{00000000-0005-0000-0000-0000970B0000}"/>
    <cellStyle name="Table Head Aligned 5 2 5 3" xfId="47032" xr:uid="{00000000-0005-0000-0000-0000970B0000}"/>
    <cellStyle name="Table Head Aligned 5 2 6" xfId="14014" xr:uid="{00000000-0005-0000-0000-0000970B0000}"/>
    <cellStyle name="Table Head Aligned 5 2 6 2" xfId="32431" xr:uid="{00000000-0005-0000-0000-0000970B0000}"/>
    <cellStyle name="Table Head Aligned 5 2 6 3" xfId="50794" xr:uid="{00000000-0005-0000-0000-0000970B0000}"/>
    <cellStyle name="Table Head Aligned 5 2 7" xfId="23766" xr:uid="{00000000-0005-0000-0000-0000970B0000}"/>
    <cellStyle name="Table Head Aligned 5 2 7 2" xfId="42135" xr:uid="{00000000-0005-0000-0000-0000970B0000}"/>
    <cellStyle name="Table Head Aligned 5 2 8" xfId="19294" xr:uid="{00000000-0005-0000-0000-0000970B0000}"/>
    <cellStyle name="Table Head Aligned 5 2 9" xfId="37701" xr:uid="{00000000-0005-0000-0000-0000970B0000}"/>
    <cellStyle name="Table Head Aligned 5 3" xfId="5378" xr:uid="{00000000-0005-0000-0000-0000970B0000}"/>
    <cellStyle name="Table Head Aligned 5 3 2" xfId="11796" xr:uid="{00000000-0005-0000-0000-0000970B0000}"/>
    <cellStyle name="Table Head Aligned 5 3 2 2" xfId="30269" xr:uid="{00000000-0005-0000-0000-0000970B0000}"/>
    <cellStyle name="Table Head Aligned 5 3 2 3" xfId="48632" xr:uid="{00000000-0005-0000-0000-0000970B0000}"/>
    <cellStyle name="Table Head Aligned 5 3 3" xfId="16070" xr:uid="{00000000-0005-0000-0000-0000970B0000}"/>
    <cellStyle name="Table Head Aligned 5 3 3 2" xfId="34442" xr:uid="{00000000-0005-0000-0000-0000970B0000}"/>
    <cellStyle name="Table Head Aligned 5 3 3 3" xfId="52805" xr:uid="{00000000-0005-0000-0000-0000970B0000}"/>
    <cellStyle name="Table Head Aligned 5 3 4" xfId="25189" xr:uid="{00000000-0005-0000-0000-0000970B0000}"/>
    <cellStyle name="Table Head Aligned 5 3 4 2" xfId="43558" xr:uid="{00000000-0005-0000-0000-0000970B0000}"/>
    <cellStyle name="Table Head Aligned 5 3 5" xfId="21510" xr:uid="{00000000-0005-0000-0000-0000970B0000}"/>
    <cellStyle name="Table Head Aligned 5 3 6" xfId="39889" xr:uid="{00000000-0005-0000-0000-0000970B0000}"/>
    <cellStyle name="Table Head Aligned 5 4" xfId="6271" xr:uid="{00000000-0005-0000-0000-0000970B0000}"/>
    <cellStyle name="Table Head Aligned 5 4 2" xfId="12574" xr:uid="{00000000-0005-0000-0000-0000970B0000}"/>
    <cellStyle name="Table Head Aligned 5 4 2 2" xfId="31003" xr:uid="{00000000-0005-0000-0000-0000970B0000}"/>
    <cellStyle name="Table Head Aligned 5 4 2 3" xfId="49366" xr:uid="{00000000-0005-0000-0000-0000970B0000}"/>
    <cellStyle name="Table Head Aligned 5 4 3" xfId="16887" xr:uid="{00000000-0005-0000-0000-0000970B0000}"/>
    <cellStyle name="Table Head Aligned 5 4 3 2" xfId="35242" xr:uid="{00000000-0005-0000-0000-0000970B0000}"/>
    <cellStyle name="Table Head Aligned 5 4 3 3" xfId="53605" xr:uid="{00000000-0005-0000-0000-0000970B0000}"/>
    <cellStyle name="Table Head Aligned 5 4 4" xfId="26021" xr:uid="{00000000-0005-0000-0000-0000970B0000}"/>
    <cellStyle name="Table Head Aligned 5 4 4 2" xfId="44390" xr:uid="{00000000-0005-0000-0000-0000970B0000}"/>
    <cellStyle name="Table Head Aligned 5 4 5" xfId="22319" xr:uid="{00000000-0005-0000-0000-0000970B0000}"/>
    <cellStyle name="Table Head Aligned 5 4 6" xfId="40689" xr:uid="{00000000-0005-0000-0000-0000970B0000}"/>
    <cellStyle name="Table Head Aligned 5 5" xfId="8904" xr:uid="{00000000-0005-0000-0000-0000970B0000}"/>
    <cellStyle name="Table Head Aligned 5 5 2" xfId="27681" xr:uid="{00000000-0005-0000-0000-0000970B0000}"/>
    <cellStyle name="Table Head Aligned 5 5 3" xfId="46044" xr:uid="{00000000-0005-0000-0000-0000970B0000}"/>
    <cellStyle name="Table Head Aligned 5 6" xfId="6301" xr:uid="{00000000-0005-0000-0000-0000970B0000}"/>
    <cellStyle name="Table Head Aligned 5 6 2" xfId="26043" xr:uid="{00000000-0005-0000-0000-0000970B0000}"/>
    <cellStyle name="Table Head Aligned 5 6 3" xfId="44412" xr:uid="{00000000-0005-0000-0000-0000970B0000}"/>
    <cellStyle name="Table Head Aligned 5 7" xfId="23118" xr:uid="{00000000-0005-0000-0000-0000970B0000}"/>
    <cellStyle name="Table Head Aligned 5 7 2" xfId="41487" xr:uid="{00000000-0005-0000-0000-0000970B0000}"/>
    <cellStyle name="Table Head Aligned 5 8" xfId="17696" xr:uid="{00000000-0005-0000-0000-0000970B0000}"/>
    <cellStyle name="Table Head Aligned 5 9" xfId="36120" xr:uid="{00000000-0005-0000-0000-0000970B0000}"/>
    <cellStyle name="Table Head Aligned 6" xfId="3196" xr:uid="{00000000-0005-0000-0000-0000980B0000}"/>
    <cellStyle name="Table Head Aligned 6 2" xfId="3874" xr:uid="{00000000-0005-0000-0000-0000980B0000}"/>
    <cellStyle name="Table Head Aligned 6 2 2" xfId="6047" xr:uid="{00000000-0005-0000-0000-0000980B0000}"/>
    <cellStyle name="Table Head Aligned 6 2 2 2" xfId="12411" xr:uid="{00000000-0005-0000-0000-0000980B0000}"/>
    <cellStyle name="Table Head Aligned 6 2 2 2 2" xfId="30858" xr:uid="{00000000-0005-0000-0000-0000980B0000}"/>
    <cellStyle name="Table Head Aligned 6 2 2 2 3" xfId="49221" xr:uid="{00000000-0005-0000-0000-0000980B0000}"/>
    <cellStyle name="Table Head Aligned 6 2 2 3" xfId="16737" xr:uid="{00000000-0005-0000-0000-0000980B0000}"/>
    <cellStyle name="Table Head Aligned 6 2 2 3 2" xfId="35109" xr:uid="{00000000-0005-0000-0000-0000980B0000}"/>
    <cellStyle name="Table Head Aligned 6 2 2 3 3" xfId="53472" xr:uid="{00000000-0005-0000-0000-0000980B0000}"/>
    <cellStyle name="Table Head Aligned 6 2 2 4" xfId="25856" xr:uid="{00000000-0005-0000-0000-0000980B0000}"/>
    <cellStyle name="Table Head Aligned 6 2 2 4 2" xfId="44225" xr:uid="{00000000-0005-0000-0000-0000980B0000}"/>
    <cellStyle name="Table Head Aligned 6 2 2 5" xfId="22177" xr:uid="{00000000-0005-0000-0000-0000980B0000}"/>
    <cellStyle name="Table Head Aligned 6 2 2 6" xfId="40556" xr:uid="{00000000-0005-0000-0000-0000980B0000}"/>
    <cellStyle name="Table Head Aligned 6 2 3" xfId="6873" xr:uid="{00000000-0005-0000-0000-0000980B0000}"/>
    <cellStyle name="Table Head Aligned 6 2 3 2" xfId="13164" xr:uid="{00000000-0005-0000-0000-0000980B0000}"/>
    <cellStyle name="Table Head Aligned 6 2 3 2 2" xfId="31590" xr:uid="{00000000-0005-0000-0000-0000980B0000}"/>
    <cellStyle name="Table Head Aligned 6 2 3 2 3" xfId="49953" xr:uid="{00000000-0005-0000-0000-0000980B0000}"/>
    <cellStyle name="Table Head Aligned 6 2 3 3" xfId="17475" xr:uid="{00000000-0005-0000-0000-0000980B0000}"/>
    <cellStyle name="Table Head Aligned 6 2 3 3 2" xfId="35823" xr:uid="{00000000-0005-0000-0000-0000980B0000}"/>
    <cellStyle name="Table Head Aligned 6 2 3 3 3" xfId="54186" xr:uid="{00000000-0005-0000-0000-0000980B0000}"/>
    <cellStyle name="Table Head Aligned 6 2 3 4" xfId="26608" xr:uid="{00000000-0005-0000-0000-0000980B0000}"/>
    <cellStyle name="Table Head Aligned 6 2 3 4 2" xfId="44977" xr:uid="{00000000-0005-0000-0000-0000980B0000}"/>
    <cellStyle name="Table Head Aligned 6 2 3 5" xfId="22901" xr:uid="{00000000-0005-0000-0000-0000980B0000}"/>
    <cellStyle name="Table Head Aligned 6 2 3 6" xfId="41270" xr:uid="{00000000-0005-0000-0000-0000980B0000}"/>
    <cellStyle name="Table Head Aligned 6 2 4" xfId="10587" xr:uid="{00000000-0005-0000-0000-0000980B0000}"/>
    <cellStyle name="Table Head Aligned 6 2 4 2" xfId="14644" xr:uid="{00000000-0005-0000-0000-0000980B0000}"/>
    <cellStyle name="Table Head Aligned 6 2 4 2 2" xfId="33060" xr:uid="{00000000-0005-0000-0000-0000980B0000}"/>
    <cellStyle name="Table Head Aligned 6 2 4 2 3" xfId="51423" xr:uid="{00000000-0005-0000-0000-0000980B0000}"/>
    <cellStyle name="Table Head Aligned 6 2 4 3" xfId="29298" xr:uid="{00000000-0005-0000-0000-0000980B0000}"/>
    <cellStyle name="Table Head Aligned 6 2 4 3 2" xfId="47661" xr:uid="{00000000-0005-0000-0000-0000980B0000}"/>
    <cellStyle name="Table Head Aligned 6 2 4 4" xfId="20101" xr:uid="{00000000-0005-0000-0000-0000980B0000}"/>
    <cellStyle name="Table Head Aligned 6 2 4 5" xfId="38507" xr:uid="{00000000-0005-0000-0000-0000980B0000}"/>
    <cellStyle name="Table Head Aligned 6 2 5" xfId="9975" xr:uid="{00000000-0005-0000-0000-0000980B0000}"/>
    <cellStyle name="Table Head Aligned 6 2 5 2" xfId="28687" xr:uid="{00000000-0005-0000-0000-0000980B0000}"/>
    <cellStyle name="Table Head Aligned 6 2 5 3" xfId="47050" xr:uid="{00000000-0005-0000-0000-0000980B0000}"/>
    <cellStyle name="Table Head Aligned 6 2 6" xfId="14032" xr:uid="{00000000-0005-0000-0000-0000980B0000}"/>
    <cellStyle name="Table Head Aligned 6 2 6 2" xfId="32449" xr:uid="{00000000-0005-0000-0000-0000980B0000}"/>
    <cellStyle name="Table Head Aligned 6 2 6 3" xfId="50812" xr:uid="{00000000-0005-0000-0000-0000980B0000}"/>
    <cellStyle name="Table Head Aligned 6 2 7" xfId="23782" xr:uid="{00000000-0005-0000-0000-0000980B0000}"/>
    <cellStyle name="Table Head Aligned 6 2 7 2" xfId="42151" xr:uid="{00000000-0005-0000-0000-0000980B0000}"/>
    <cellStyle name="Table Head Aligned 6 2 8" xfId="19316" xr:uid="{00000000-0005-0000-0000-0000980B0000}"/>
    <cellStyle name="Table Head Aligned 6 2 9" xfId="37723" xr:uid="{00000000-0005-0000-0000-0000980B0000}"/>
    <cellStyle name="Table Head Aligned 6 3" xfId="5402" xr:uid="{00000000-0005-0000-0000-0000980B0000}"/>
    <cellStyle name="Table Head Aligned 6 3 2" xfId="11813" xr:uid="{00000000-0005-0000-0000-0000980B0000}"/>
    <cellStyle name="Table Head Aligned 6 3 2 2" xfId="30285" xr:uid="{00000000-0005-0000-0000-0000980B0000}"/>
    <cellStyle name="Table Head Aligned 6 3 2 3" xfId="48648" xr:uid="{00000000-0005-0000-0000-0000980B0000}"/>
    <cellStyle name="Table Head Aligned 6 3 3" xfId="16093" xr:uid="{00000000-0005-0000-0000-0000980B0000}"/>
    <cellStyle name="Table Head Aligned 6 3 3 2" xfId="34465" xr:uid="{00000000-0005-0000-0000-0000980B0000}"/>
    <cellStyle name="Table Head Aligned 6 3 3 3" xfId="52828" xr:uid="{00000000-0005-0000-0000-0000980B0000}"/>
    <cellStyle name="Table Head Aligned 6 3 4" xfId="25212" xr:uid="{00000000-0005-0000-0000-0000980B0000}"/>
    <cellStyle name="Table Head Aligned 6 3 4 2" xfId="43581" xr:uid="{00000000-0005-0000-0000-0000980B0000}"/>
    <cellStyle name="Table Head Aligned 6 3 5" xfId="21533" xr:uid="{00000000-0005-0000-0000-0000980B0000}"/>
    <cellStyle name="Table Head Aligned 6 3 6" xfId="39912" xr:uid="{00000000-0005-0000-0000-0000980B0000}"/>
    <cellStyle name="Table Head Aligned 6 4" xfId="6294" xr:uid="{00000000-0005-0000-0000-0000980B0000}"/>
    <cellStyle name="Table Head Aligned 6 4 2" xfId="12593" xr:uid="{00000000-0005-0000-0000-0000980B0000}"/>
    <cellStyle name="Table Head Aligned 6 4 2 2" xfId="31021" xr:uid="{00000000-0005-0000-0000-0000980B0000}"/>
    <cellStyle name="Table Head Aligned 6 4 2 3" xfId="49384" xr:uid="{00000000-0005-0000-0000-0000980B0000}"/>
    <cellStyle name="Table Head Aligned 6 4 3" xfId="16905" xr:uid="{00000000-0005-0000-0000-0000980B0000}"/>
    <cellStyle name="Table Head Aligned 6 4 3 2" xfId="35258" xr:uid="{00000000-0005-0000-0000-0000980B0000}"/>
    <cellStyle name="Table Head Aligned 6 4 3 3" xfId="53621" xr:uid="{00000000-0005-0000-0000-0000980B0000}"/>
    <cellStyle name="Table Head Aligned 6 4 4" xfId="26038" xr:uid="{00000000-0005-0000-0000-0000980B0000}"/>
    <cellStyle name="Table Head Aligned 6 4 4 2" xfId="44407" xr:uid="{00000000-0005-0000-0000-0000980B0000}"/>
    <cellStyle name="Table Head Aligned 6 4 5" xfId="22335" xr:uid="{00000000-0005-0000-0000-0000980B0000}"/>
    <cellStyle name="Table Head Aligned 6 4 6" xfId="40705" xr:uid="{00000000-0005-0000-0000-0000980B0000}"/>
    <cellStyle name="Table Head Aligned 6 5" xfId="8930" xr:uid="{00000000-0005-0000-0000-0000980B0000}"/>
    <cellStyle name="Table Head Aligned 6 5 2" xfId="27701" xr:uid="{00000000-0005-0000-0000-0000980B0000}"/>
    <cellStyle name="Table Head Aligned 6 5 3" xfId="46064" xr:uid="{00000000-0005-0000-0000-0000980B0000}"/>
    <cellStyle name="Table Head Aligned 6 6" xfId="6974" xr:uid="{00000000-0005-0000-0000-0000980B0000}"/>
    <cellStyle name="Table Head Aligned 6 6 2" xfId="26689" xr:uid="{00000000-0005-0000-0000-0000980B0000}"/>
    <cellStyle name="Table Head Aligned 6 6 3" xfId="45058" xr:uid="{00000000-0005-0000-0000-0000980B0000}"/>
    <cellStyle name="Table Head Aligned 6 7" xfId="23141" xr:uid="{00000000-0005-0000-0000-0000980B0000}"/>
    <cellStyle name="Table Head Aligned 6 7 2" xfId="41510" xr:uid="{00000000-0005-0000-0000-0000980B0000}"/>
    <cellStyle name="Table Head Aligned 6 8" xfId="17722" xr:uid="{00000000-0005-0000-0000-0000980B0000}"/>
    <cellStyle name="Table Head Aligned 6 9" xfId="36143" xr:uid="{00000000-0005-0000-0000-0000980B0000}"/>
    <cellStyle name="Table Head Aligned 7" xfId="3308" xr:uid="{00000000-0005-0000-0000-0000990B0000}"/>
    <cellStyle name="Table Head Aligned 7 2" xfId="3890" xr:uid="{00000000-0005-0000-0000-0000990B0000}"/>
    <cellStyle name="Table Head Aligned 7 2 2" xfId="6063" xr:uid="{00000000-0005-0000-0000-0000990B0000}"/>
    <cellStyle name="Table Head Aligned 7 2 2 2" xfId="12427" xr:uid="{00000000-0005-0000-0000-0000990B0000}"/>
    <cellStyle name="Table Head Aligned 7 2 2 2 2" xfId="30874" xr:uid="{00000000-0005-0000-0000-0000990B0000}"/>
    <cellStyle name="Table Head Aligned 7 2 2 2 3" xfId="49237" xr:uid="{00000000-0005-0000-0000-0000990B0000}"/>
    <cellStyle name="Table Head Aligned 7 2 2 3" xfId="16753" xr:uid="{00000000-0005-0000-0000-0000990B0000}"/>
    <cellStyle name="Table Head Aligned 7 2 2 3 2" xfId="35125" xr:uid="{00000000-0005-0000-0000-0000990B0000}"/>
    <cellStyle name="Table Head Aligned 7 2 2 3 3" xfId="53488" xr:uid="{00000000-0005-0000-0000-0000990B0000}"/>
    <cellStyle name="Table Head Aligned 7 2 2 4" xfId="25872" xr:uid="{00000000-0005-0000-0000-0000990B0000}"/>
    <cellStyle name="Table Head Aligned 7 2 2 4 2" xfId="44241" xr:uid="{00000000-0005-0000-0000-0000990B0000}"/>
    <cellStyle name="Table Head Aligned 7 2 2 5" xfId="22193" xr:uid="{00000000-0005-0000-0000-0000990B0000}"/>
    <cellStyle name="Table Head Aligned 7 2 2 6" xfId="40572" xr:uid="{00000000-0005-0000-0000-0000990B0000}"/>
    <cellStyle name="Table Head Aligned 7 2 3" xfId="6889" xr:uid="{00000000-0005-0000-0000-0000990B0000}"/>
    <cellStyle name="Table Head Aligned 7 2 3 2" xfId="13180" xr:uid="{00000000-0005-0000-0000-0000990B0000}"/>
    <cellStyle name="Table Head Aligned 7 2 3 2 2" xfId="31606" xr:uid="{00000000-0005-0000-0000-0000990B0000}"/>
    <cellStyle name="Table Head Aligned 7 2 3 2 3" xfId="49969" xr:uid="{00000000-0005-0000-0000-0000990B0000}"/>
    <cellStyle name="Table Head Aligned 7 2 3 3" xfId="17491" xr:uid="{00000000-0005-0000-0000-0000990B0000}"/>
    <cellStyle name="Table Head Aligned 7 2 3 3 2" xfId="35839" xr:uid="{00000000-0005-0000-0000-0000990B0000}"/>
    <cellStyle name="Table Head Aligned 7 2 3 3 3" xfId="54202" xr:uid="{00000000-0005-0000-0000-0000990B0000}"/>
    <cellStyle name="Table Head Aligned 7 2 3 4" xfId="26624" xr:uid="{00000000-0005-0000-0000-0000990B0000}"/>
    <cellStyle name="Table Head Aligned 7 2 3 4 2" xfId="44993" xr:uid="{00000000-0005-0000-0000-0000990B0000}"/>
    <cellStyle name="Table Head Aligned 7 2 3 5" xfId="22917" xr:uid="{00000000-0005-0000-0000-0000990B0000}"/>
    <cellStyle name="Table Head Aligned 7 2 3 6" xfId="41286" xr:uid="{00000000-0005-0000-0000-0000990B0000}"/>
    <cellStyle name="Table Head Aligned 7 2 4" xfId="10603" xr:uid="{00000000-0005-0000-0000-0000990B0000}"/>
    <cellStyle name="Table Head Aligned 7 2 4 2" xfId="14660" xr:uid="{00000000-0005-0000-0000-0000990B0000}"/>
    <cellStyle name="Table Head Aligned 7 2 4 2 2" xfId="33076" xr:uid="{00000000-0005-0000-0000-0000990B0000}"/>
    <cellStyle name="Table Head Aligned 7 2 4 2 3" xfId="51439" xr:uid="{00000000-0005-0000-0000-0000990B0000}"/>
    <cellStyle name="Table Head Aligned 7 2 4 3" xfId="29314" xr:uid="{00000000-0005-0000-0000-0000990B0000}"/>
    <cellStyle name="Table Head Aligned 7 2 4 3 2" xfId="47677" xr:uid="{00000000-0005-0000-0000-0000990B0000}"/>
    <cellStyle name="Table Head Aligned 7 2 4 4" xfId="20117" xr:uid="{00000000-0005-0000-0000-0000990B0000}"/>
    <cellStyle name="Table Head Aligned 7 2 4 5" xfId="38523" xr:uid="{00000000-0005-0000-0000-0000990B0000}"/>
    <cellStyle name="Table Head Aligned 7 2 5" xfId="9997" xr:uid="{00000000-0005-0000-0000-0000990B0000}"/>
    <cellStyle name="Table Head Aligned 7 2 5 2" xfId="28709" xr:uid="{00000000-0005-0000-0000-0000990B0000}"/>
    <cellStyle name="Table Head Aligned 7 2 5 3" xfId="47072" xr:uid="{00000000-0005-0000-0000-0000990B0000}"/>
    <cellStyle name="Table Head Aligned 7 2 6" xfId="14054" xr:uid="{00000000-0005-0000-0000-0000990B0000}"/>
    <cellStyle name="Table Head Aligned 7 2 6 2" xfId="32471" xr:uid="{00000000-0005-0000-0000-0000990B0000}"/>
    <cellStyle name="Table Head Aligned 7 2 6 3" xfId="50834" xr:uid="{00000000-0005-0000-0000-0000990B0000}"/>
    <cellStyle name="Table Head Aligned 7 2 7" xfId="23798" xr:uid="{00000000-0005-0000-0000-0000990B0000}"/>
    <cellStyle name="Table Head Aligned 7 2 7 2" xfId="42167" xr:uid="{00000000-0005-0000-0000-0000990B0000}"/>
    <cellStyle name="Table Head Aligned 7 2 8" xfId="19366" xr:uid="{00000000-0005-0000-0000-0000990B0000}"/>
    <cellStyle name="Table Head Aligned 7 2 9" xfId="37773" xr:uid="{00000000-0005-0000-0000-0000990B0000}"/>
    <cellStyle name="Table Head Aligned 7 3" xfId="5494" xr:uid="{00000000-0005-0000-0000-0000990B0000}"/>
    <cellStyle name="Table Head Aligned 7 3 2" xfId="11860" xr:uid="{00000000-0005-0000-0000-0000990B0000}"/>
    <cellStyle name="Table Head Aligned 7 3 2 2" xfId="30307" xr:uid="{00000000-0005-0000-0000-0000990B0000}"/>
    <cellStyle name="Table Head Aligned 7 3 2 3" xfId="48670" xr:uid="{00000000-0005-0000-0000-0000990B0000}"/>
    <cellStyle name="Table Head Aligned 7 3 3" xfId="16185" xr:uid="{00000000-0005-0000-0000-0000990B0000}"/>
    <cellStyle name="Table Head Aligned 7 3 3 2" xfId="34557" xr:uid="{00000000-0005-0000-0000-0000990B0000}"/>
    <cellStyle name="Table Head Aligned 7 3 3 3" xfId="52920" xr:uid="{00000000-0005-0000-0000-0000990B0000}"/>
    <cellStyle name="Table Head Aligned 7 3 4" xfId="25304" xr:uid="{00000000-0005-0000-0000-0000990B0000}"/>
    <cellStyle name="Table Head Aligned 7 3 4 2" xfId="43673" xr:uid="{00000000-0005-0000-0000-0000990B0000}"/>
    <cellStyle name="Table Head Aligned 7 3 5" xfId="21625" xr:uid="{00000000-0005-0000-0000-0000990B0000}"/>
    <cellStyle name="Table Head Aligned 7 3 6" xfId="40004" xr:uid="{00000000-0005-0000-0000-0000990B0000}"/>
    <cellStyle name="Table Head Aligned 7 4" xfId="6323" xr:uid="{00000000-0005-0000-0000-0000990B0000}"/>
    <cellStyle name="Table Head Aligned 7 4 2" xfId="12614" xr:uid="{00000000-0005-0000-0000-0000990B0000}"/>
    <cellStyle name="Table Head Aligned 7 4 2 2" xfId="31040" xr:uid="{00000000-0005-0000-0000-0000990B0000}"/>
    <cellStyle name="Table Head Aligned 7 4 2 3" xfId="49403" xr:uid="{00000000-0005-0000-0000-0000990B0000}"/>
    <cellStyle name="Table Head Aligned 7 4 3" xfId="16925" xr:uid="{00000000-0005-0000-0000-0000990B0000}"/>
    <cellStyle name="Table Head Aligned 7 4 3 2" xfId="35274" xr:uid="{00000000-0005-0000-0000-0000990B0000}"/>
    <cellStyle name="Table Head Aligned 7 4 3 3" xfId="53637" xr:uid="{00000000-0005-0000-0000-0000990B0000}"/>
    <cellStyle name="Table Head Aligned 7 4 4" xfId="26059" xr:uid="{00000000-0005-0000-0000-0000990B0000}"/>
    <cellStyle name="Table Head Aligned 7 4 4 2" xfId="44428" xr:uid="{00000000-0005-0000-0000-0000990B0000}"/>
    <cellStyle name="Table Head Aligned 7 4 5" xfId="22352" xr:uid="{00000000-0005-0000-0000-0000990B0000}"/>
    <cellStyle name="Table Head Aligned 7 4 6" xfId="40721" xr:uid="{00000000-0005-0000-0000-0000990B0000}"/>
    <cellStyle name="Table Head Aligned 7 5" xfId="8995" xr:uid="{00000000-0005-0000-0000-0000990B0000}"/>
    <cellStyle name="Table Head Aligned 7 5 2" xfId="27723" xr:uid="{00000000-0005-0000-0000-0000990B0000}"/>
    <cellStyle name="Table Head Aligned 7 5 3" xfId="46086" xr:uid="{00000000-0005-0000-0000-0000990B0000}"/>
    <cellStyle name="Table Head Aligned 7 6" xfId="8424" xr:uid="{00000000-0005-0000-0000-0000990B0000}"/>
    <cellStyle name="Table Head Aligned 7 6 2" xfId="27485" xr:uid="{00000000-0005-0000-0000-0000990B0000}"/>
    <cellStyle name="Table Head Aligned 7 6 3" xfId="45849" xr:uid="{00000000-0005-0000-0000-0000990B0000}"/>
    <cellStyle name="Table Head Aligned 7 7" xfId="23231" xr:uid="{00000000-0005-0000-0000-0000990B0000}"/>
    <cellStyle name="Table Head Aligned 7 7 2" xfId="41600" xr:uid="{00000000-0005-0000-0000-0000990B0000}"/>
    <cellStyle name="Table Head Aligned 7 8" xfId="17819" xr:uid="{00000000-0005-0000-0000-0000990B0000}"/>
    <cellStyle name="Table Head Aligned 7 9" xfId="36233" xr:uid="{00000000-0005-0000-0000-0000990B0000}"/>
    <cellStyle name="Table Head Aligned 8" xfId="7339" xr:uid="{00000000-0005-0000-0000-0000860B0000}"/>
    <cellStyle name="Table Head Aligned 8 2" xfId="26782" xr:uid="{00000000-0005-0000-0000-0000860B0000}"/>
    <cellStyle name="Table Head Aligned 8 3" xfId="45150" xr:uid="{00000000-0005-0000-0000-0000860B0000}"/>
    <cellStyle name="Table Head Blue" xfId="869" xr:uid="{00000000-0005-0000-0000-00009A0B0000}"/>
    <cellStyle name="Table Head Blue 2" xfId="2256" xr:uid="{00000000-0005-0000-0000-00009B0B0000}"/>
    <cellStyle name="Table Head Blue 3" xfId="2699" xr:uid="{00000000-0005-0000-0000-00009C0B0000}"/>
    <cellStyle name="Table Head Green" xfId="870" xr:uid="{00000000-0005-0000-0000-00009D0B0000}"/>
    <cellStyle name="Table Head Green 10" xfId="7341" xr:uid="{00000000-0005-0000-0000-00009D0B0000}"/>
    <cellStyle name="Table Head Green 10 2" xfId="26783" xr:uid="{00000000-0005-0000-0000-00009D0B0000}"/>
    <cellStyle name="Table Head Green 10 3" xfId="45151" xr:uid="{00000000-0005-0000-0000-00009D0B0000}"/>
    <cellStyle name="Table Head Green 2" xfId="1082" xr:uid="{00000000-0005-0000-0000-00009E0B0000}"/>
    <cellStyle name="Table Head Green 2 10" xfId="7471" xr:uid="{00000000-0005-0000-0000-00009E0B0000}"/>
    <cellStyle name="Table Head Green 2 10 2" xfId="26838" xr:uid="{00000000-0005-0000-0000-00009E0B0000}"/>
    <cellStyle name="Table Head Green 2 10 3" xfId="45203" xr:uid="{00000000-0005-0000-0000-00009E0B0000}"/>
    <cellStyle name="Table Head Green 2 11" xfId="8286" xr:uid="{00000000-0005-0000-0000-00009E0B0000}"/>
    <cellStyle name="Table Head Green 2 11 2" xfId="27406" xr:uid="{00000000-0005-0000-0000-00009E0B0000}"/>
    <cellStyle name="Table Head Green 2 11 3" xfId="45771" xr:uid="{00000000-0005-0000-0000-00009E0B0000}"/>
    <cellStyle name="Table Head Green 2 12" xfId="8841" xr:uid="{00000000-0005-0000-0000-00009E0B0000}"/>
    <cellStyle name="Table Head Green 2 2" xfId="1249" xr:uid="{00000000-0005-0000-0000-00009F0B0000}"/>
    <cellStyle name="Table Head Green 2 2 10" xfId="22310" xr:uid="{00000000-0005-0000-0000-00009F0B0000}"/>
    <cellStyle name="Table Head Green 2 2 2" xfId="1652" xr:uid="{00000000-0005-0000-0000-0000A00B0000}"/>
    <cellStyle name="Table Head Green 2 2 2 10" xfId="19200" xr:uid="{00000000-0005-0000-0000-0000A00B0000}"/>
    <cellStyle name="Table Head Green 2 2 2 10 2" xfId="37607" xr:uid="{00000000-0005-0000-0000-0000A00B0000}"/>
    <cellStyle name="Table Head Green 2 2 2 11" xfId="16908" xr:uid="{00000000-0005-0000-0000-0000A00B0000}"/>
    <cellStyle name="Table Head Green 2 2 2 12" xfId="7318" xr:uid="{00000000-0005-0000-0000-0000A00B0000}"/>
    <cellStyle name="Table Head Green 2 2 2 2" xfId="1733" xr:uid="{00000000-0005-0000-0000-0000A10B0000}"/>
    <cellStyle name="Table Head Green 2 2 2 2 10" xfId="8058" xr:uid="{00000000-0005-0000-0000-0000A10B0000}"/>
    <cellStyle name="Table Head Green 2 2 2 2 2" xfId="3630" xr:uid="{00000000-0005-0000-0000-0000A10B0000}"/>
    <cellStyle name="Table Head Green 2 2 2 2 2 2" xfId="5803" xr:uid="{00000000-0005-0000-0000-0000A10B0000}"/>
    <cellStyle name="Table Head Green 2 2 2 2 2 2 2" xfId="12167" xr:uid="{00000000-0005-0000-0000-0000A10B0000}"/>
    <cellStyle name="Table Head Green 2 2 2 2 2 2 2 2" xfId="30614" xr:uid="{00000000-0005-0000-0000-0000A10B0000}"/>
    <cellStyle name="Table Head Green 2 2 2 2 2 2 2 3" xfId="48977" xr:uid="{00000000-0005-0000-0000-0000A10B0000}"/>
    <cellStyle name="Table Head Green 2 2 2 2 2 2 3" xfId="16493" xr:uid="{00000000-0005-0000-0000-0000A10B0000}"/>
    <cellStyle name="Table Head Green 2 2 2 2 2 2 3 2" xfId="34865" xr:uid="{00000000-0005-0000-0000-0000A10B0000}"/>
    <cellStyle name="Table Head Green 2 2 2 2 2 2 3 3" xfId="53228" xr:uid="{00000000-0005-0000-0000-0000A10B0000}"/>
    <cellStyle name="Table Head Green 2 2 2 2 2 2 4" xfId="25612" xr:uid="{00000000-0005-0000-0000-0000A10B0000}"/>
    <cellStyle name="Table Head Green 2 2 2 2 2 2 4 2" xfId="43981" xr:uid="{00000000-0005-0000-0000-0000A10B0000}"/>
    <cellStyle name="Table Head Green 2 2 2 2 2 2 5" xfId="21933" xr:uid="{00000000-0005-0000-0000-0000A10B0000}"/>
    <cellStyle name="Table Head Green 2 2 2 2 2 2 6" xfId="40312" xr:uid="{00000000-0005-0000-0000-0000A10B0000}"/>
    <cellStyle name="Table Head Green 2 2 2 2 2 3" xfId="6629" xr:uid="{00000000-0005-0000-0000-0000A10B0000}"/>
    <cellStyle name="Table Head Green 2 2 2 2 2 3 2" xfId="12920" xr:uid="{00000000-0005-0000-0000-0000A10B0000}"/>
    <cellStyle name="Table Head Green 2 2 2 2 2 3 2 2" xfId="31346" xr:uid="{00000000-0005-0000-0000-0000A10B0000}"/>
    <cellStyle name="Table Head Green 2 2 2 2 2 3 2 3" xfId="49709" xr:uid="{00000000-0005-0000-0000-0000A10B0000}"/>
    <cellStyle name="Table Head Green 2 2 2 2 2 3 3" xfId="17231" xr:uid="{00000000-0005-0000-0000-0000A10B0000}"/>
    <cellStyle name="Table Head Green 2 2 2 2 2 3 3 2" xfId="35579" xr:uid="{00000000-0005-0000-0000-0000A10B0000}"/>
    <cellStyle name="Table Head Green 2 2 2 2 2 3 3 3" xfId="53942" xr:uid="{00000000-0005-0000-0000-0000A10B0000}"/>
    <cellStyle name="Table Head Green 2 2 2 2 2 3 4" xfId="26364" xr:uid="{00000000-0005-0000-0000-0000A10B0000}"/>
    <cellStyle name="Table Head Green 2 2 2 2 2 3 4 2" xfId="44733" xr:uid="{00000000-0005-0000-0000-0000A10B0000}"/>
    <cellStyle name="Table Head Green 2 2 2 2 2 3 5" xfId="22657" xr:uid="{00000000-0005-0000-0000-0000A10B0000}"/>
    <cellStyle name="Table Head Green 2 2 2 2 2 3 6" xfId="41026" xr:uid="{00000000-0005-0000-0000-0000A10B0000}"/>
    <cellStyle name="Table Head Green 2 2 2 2 2 4" xfId="10343" xr:uid="{00000000-0005-0000-0000-0000A10B0000}"/>
    <cellStyle name="Table Head Green 2 2 2 2 2 4 2" xfId="14400" xr:uid="{00000000-0005-0000-0000-0000A10B0000}"/>
    <cellStyle name="Table Head Green 2 2 2 2 2 4 2 2" xfId="32816" xr:uid="{00000000-0005-0000-0000-0000A10B0000}"/>
    <cellStyle name="Table Head Green 2 2 2 2 2 4 2 3" xfId="51179" xr:uid="{00000000-0005-0000-0000-0000A10B0000}"/>
    <cellStyle name="Table Head Green 2 2 2 2 2 4 3" xfId="29054" xr:uid="{00000000-0005-0000-0000-0000A10B0000}"/>
    <cellStyle name="Table Head Green 2 2 2 2 2 4 3 2" xfId="47417" xr:uid="{00000000-0005-0000-0000-0000A10B0000}"/>
    <cellStyle name="Table Head Green 2 2 2 2 2 4 4" xfId="19857" xr:uid="{00000000-0005-0000-0000-0000A10B0000}"/>
    <cellStyle name="Table Head Green 2 2 2 2 2 4 5" xfId="38263" xr:uid="{00000000-0005-0000-0000-0000A10B0000}"/>
    <cellStyle name="Table Head Green 2 2 2 2 2 5" xfId="9551" xr:uid="{00000000-0005-0000-0000-0000A10B0000}"/>
    <cellStyle name="Table Head Green 2 2 2 2 2 5 2" xfId="28268" xr:uid="{00000000-0005-0000-0000-0000A10B0000}"/>
    <cellStyle name="Table Head Green 2 2 2 2 2 5 3" xfId="46631" xr:uid="{00000000-0005-0000-0000-0000A10B0000}"/>
    <cellStyle name="Table Head Green 2 2 2 2 2 6" xfId="13609" xr:uid="{00000000-0005-0000-0000-0000A10B0000}"/>
    <cellStyle name="Table Head Green 2 2 2 2 2 6 2" xfId="32030" xr:uid="{00000000-0005-0000-0000-0000A10B0000}"/>
    <cellStyle name="Table Head Green 2 2 2 2 2 6 3" xfId="50393" xr:uid="{00000000-0005-0000-0000-0000A10B0000}"/>
    <cellStyle name="Table Head Green 2 2 2 2 2 7" xfId="23538" xr:uid="{00000000-0005-0000-0000-0000A10B0000}"/>
    <cellStyle name="Table Head Green 2 2 2 2 2 7 2" xfId="41907" xr:uid="{00000000-0005-0000-0000-0000A10B0000}"/>
    <cellStyle name="Table Head Green 2 2 2 2 2 8" xfId="18650" xr:uid="{00000000-0005-0000-0000-0000A10B0000}"/>
    <cellStyle name="Table Head Green 2 2 2 2 2 9" xfId="37060" xr:uid="{00000000-0005-0000-0000-0000A10B0000}"/>
    <cellStyle name="Table Head Green 2 2 2 2 3" xfId="4670" xr:uid="{00000000-0005-0000-0000-0000A10B0000}"/>
    <cellStyle name="Table Head Green 2 2 2 2 3 2" xfId="11254" xr:uid="{00000000-0005-0000-0000-0000A10B0000}"/>
    <cellStyle name="Table Head Green 2 2 2 2 3 2 2" xfId="29866" xr:uid="{00000000-0005-0000-0000-0000A10B0000}"/>
    <cellStyle name="Table Head Green 2 2 2 2 3 2 3" xfId="48229" xr:uid="{00000000-0005-0000-0000-0000A10B0000}"/>
    <cellStyle name="Table Head Green 2 2 2 2 3 3" xfId="15396" xr:uid="{00000000-0005-0000-0000-0000A10B0000}"/>
    <cellStyle name="Table Head Green 2 2 2 2 3 3 2" xfId="33789" xr:uid="{00000000-0005-0000-0000-0000A10B0000}"/>
    <cellStyle name="Table Head Green 2 2 2 2 3 3 3" xfId="52152" xr:uid="{00000000-0005-0000-0000-0000A10B0000}"/>
    <cellStyle name="Table Head Green 2 2 2 2 3 4" xfId="24520" xr:uid="{00000000-0005-0000-0000-0000A10B0000}"/>
    <cellStyle name="Table Head Green 2 2 2 2 3 4 2" xfId="42889" xr:uid="{00000000-0005-0000-0000-0000A10B0000}"/>
    <cellStyle name="Table Head Green 2 2 2 2 3 5" xfId="20847" xr:uid="{00000000-0005-0000-0000-0000A10B0000}"/>
    <cellStyle name="Table Head Green 2 2 2 2 3 6" xfId="39236" xr:uid="{00000000-0005-0000-0000-0000A10B0000}"/>
    <cellStyle name="Table Head Green 2 2 2 2 4" xfId="3964" xr:uid="{00000000-0005-0000-0000-0000A10B0000}"/>
    <cellStyle name="Table Head Green 2 2 2 2 4 2" xfId="10669" xr:uid="{00000000-0005-0000-0000-0000A10B0000}"/>
    <cellStyle name="Table Head Green 2 2 2 2 4 2 2" xfId="29375" xr:uid="{00000000-0005-0000-0000-0000A10B0000}"/>
    <cellStyle name="Table Head Green 2 2 2 2 4 2 3" xfId="47738" xr:uid="{00000000-0005-0000-0000-0000A10B0000}"/>
    <cellStyle name="Table Head Green 2 2 2 2 4 3" xfId="14727" xr:uid="{00000000-0005-0000-0000-0000A10B0000}"/>
    <cellStyle name="Table Head Green 2 2 2 2 4 3 2" xfId="33139" xr:uid="{00000000-0005-0000-0000-0000A10B0000}"/>
    <cellStyle name="Table Head Green 2 2 2 2 4 3 3" xfId="51502" xr:uid="{00000000-0005-0000-0000-0000A10B0000}"/>
    <cellStyle name="Table Head Green 2 2 2 2 4 4" xfId="23863" xr:uid="{00000000-0005-0000-0000-0000A10B0000}"/>
    <cellStyle name="Table Head Green 2 2 2 2 4 4 2" xfId="42232" xr:uid="{00000000-0005-0000-0000-0000A10B0000}"/>
    <cellStyle name="Table Head Green 2 2 2 2 4 5" xfId="20181" xr:uid="{00000000-0005-0000-0000-0000A10B0000}"/>
    <cellStyle name="Table Head Green 2 2 2 2 4 6" xfId="38586" xr:uid="{00000000-0005-0000-0000-0000A10B0000}"/>
    <cellStyle name="Table Head Green 2 2 2 2 5" xfId="9807" xr:uid="{00000000-0005-0000-0000-0000A10B0000}"/>
    <cellStyle name="Table Head Green 2 2 2 2 5 2" xfId="13864" xr:uid="{00000000-0005-0000-0000-0000A10B0000}"/>
    <cellStyle name="Table Head Green 2 2 2 2 5 2 2" xfId="32284" xr:uid="{00000000-0005-0000-0000-0000A10B0000}"/>
    <cellStyle name="Table Head Green 2 2 2 2 5 2 3" xfId="50647" xr:uid="{00000000-0005-0000-0000-0000A10B0000}"/>
    <cellStyle name="Table Head Green 2 2 2 2 5 3" xfId="28522" xr:uid="{00000000-0005-0000-0000-0000A10B0000}"/>
    <cellStyle name="Table Head Green 2 2 2 2 5 3 2" xfId="46885" xr:uid="{00000000-0005-0000-0000-0000A10B0000}"/>
    <cellStyle name="Table Head Green 2 2 2 2 5 4" xfId="19022" xr:uid="{00000000-0005-0000-0000-0000A10B0000}"/>
    <cellStyle name="Table Head Green 2 2 2 2 5 5" xfId="37431" xr:uid="{00000000-0005-0000-0000-0000A10B0000}"/>
    <cellStyle name="Table Head Green 2 2 2 2 6" xfId="7964" xr:uid="{00000000-0005-0000-0000-0000A10B0000}"/>
    <cellStyle name="Table Head Green 2 2 2 2 6 2" xfId="27194" xr:uid="{00000000-0005-0000-0000-0000A10B0000}"/>
    <cellStyle name="Table Head Green 2 2 2 2 6 3" xfId="45559" xr:uid="{00000000-0005-0000-0000-0000A10B0000}"/>
    <cellStyle name="Table Head Green 2 2 2 2 7" xfId="8244" xr:uid="{00000000-0005-0000-0000-0000A10B0000}"/>
    <cellStyle name="Table Head Green 2 2 2 2 7 2" xfId="27381" xr:uid="{00000000-0005-0000-0000-0000A10B0000}"/>
    <cellStyle name="Table Head Green 2 2 2 2 7 3" xfId="45746" xr:uid="{00000000-0005-0000-0000-0000A10B0000}"/>
    <cellStyle name="Table Head Green 2 2 2 2 8" xfId="17870" xr:uid="{00000000-0005-0000-0000-0000A10B0000}"/>
    <cellStyle name="Table Head Green 2 2 2 2 8 2" xfId="36280" xr:uid="{00000000-0005-0000-0000-0000A10B0000}"/>
    <cellStyle name="Table Head Green 2 2 2 2 9" xfId="11479" xr:uid="{00000000-0005-0000-0000-0000A10B0000}"/>
    <cellStyle name="Table Head Green 2 2 2 3" xfId="1763" xr:uid="{00000000-0005-0000-0000-0000A20B0000}"/>
    <cellStyle name="Table Head Green 2 2 2 3 10" xfId="7934" xr:uid="{00000000-0005-0000-0000-0000A20B0000}"/>
    <cellStyle name="Table Head Green 2 2 2 3 2" xfId="3660" xr:uid="{00000000-0005-0000-0000-0000A20B0000}"/>
    <cellStyle name="Table Head Green 2 2 2 3 2 2" xfId="5833" xr:uid="{00000000-0005-0000-0000-0000A20B0000}"/>
    <cellStyle name="Table Head Green 2 2 2 3 2 2 2" xfId="12197" xr:uid="{00000000-0005-0000-0000-0000A20B0000}"/>
    <cellStyle name="Table Head Green 2 2 2 3 2 2 2 2" xfId="30644" xr:uid="{00000000-0005-0000-0000-0000A20B0000}"/>
    <cellStyle name="Table Head Green 2 2 2 3 2 2 2 3" xfId="49007" xr:uid="{00000000-0005-0000-0000-0000A20B0000}"/>
    <cellStyle name="Table Head Green 2 2 2 3 2 2 3" xfId="16523" xr:uid="{00000000-0005-0000-0000-0000A20B0000}"/>
    <cellStyle name="Table Head Green 2 2 2 3 2 2 3 2" xfId="34895" xr:uid="{00000000-0005-0000-0000-0000A20B0000}"/>
    <cellStyle name="Table Head Green 2 2 2 3 2 2 3 3" xfId="53258" xr:uid="{00000000-0005-0000-0000-0000A20B0000}"/>
    <cellStyle name="Table Head Green 2 2 2 3 2 2 4" xfId="25642" xr:uid="{00000000-0005-0000-0000-0000A20B0000}"/>
    <cellStyle name="Table Head Green 2 2 2 3 2 2 4 2" xfId="44011" xr:uid="{00000000-0005-0000-0000-0000A20B0000}"/>
    <cellStyle name="Table Head Green 2 2 2 3 2 2 5" xfId="21963" xr:uid="{00000000-0005-0000-0000-0000A20B0000}"/>
    <cellStyle name="Table Head Green 2 2 2 3 2 2 6" xfId="40342" xr:uid="{00000000-0005-0000-0000-0000A20B0000}"/>
    <cellStyle name="Table Head Green 2 2 2 3 2 3" xfId="6659" xr:uid="{00000000-0005-0000-0000-0000A20B0000}"/>
    <cellStyle name="Table Head Green 2 2 2 3 2 3 2" xfId="12950" xr:uid="{00000000-0005-0000-0000-0000A20B0000}"/>
    <cellStyle name="Table Head Green 2 2 2 3 2 3 2 2" xfId="31376" xr:uid="{00000000-0005-0000-0000-0000A20B0000}"/>
    <cellStyle name="Table Head Green 2 2 2 3 2 3 2 3" xfId="49739" xr:uid="{00000000-0005-0000-0000-0000A20B0000}"/>
    <cellStyle name="Table Head Green 2 2 2 3 2 3 3" xfId="17261" xr:uid="{00000000-0005-0000-0000-0000A20B0000}"/>
    <cellStyle name="Table Head Green 2 2 2 3 2 3 3 2" xfId="35609" xr:uid="{00000000-0005-0000-0000-0000A20B0000}"/>
    <cellStyle name="Table Head Green 2 2 2 3 2 3 3 3" xfId="53972" xr:uid="{00000000-0005-0000-0000-0000A20B0000}"/>
    <cellStyle name="Table Head Green 2 2 2 3 2 3 4" xfId="26394" xr:uid="{00000000-0005-0000-0000-0000A20B0000}"/>
    <cellStyle name="Table Head Green 2 2 2 3 2 3 4 2" xfId="44763" xr:uid="{00000000-0005-0000-0000-0000A20B0000}"/>
    <cellStyle name="Table Head Green 2 2 2 3 2 3 5" xfId="22687" xr:uid="{00000000-0005-0000-0000-0000A20B0000}"/>
    <cellStyle name="Table Head Green 2 2 2 3 2 3 6" xfId="41056" xr:uid="{00000000-0005-0000-0000-0000A20B0000}"/>
    <cellStyle name="Table Head Green 2 2 2 3 2 4" xfId="10373" xr:uid="{00000000-0005-0000-0000-0000A20B0000}"/>
    <cellStyle name="Table Head Green 2 2 2 3 2 4 2" xfId="14430" xr:uid="{00000000-0005-0000-0000-0000A20B0000}"/>
    <cellStyle name="Table Head Green 2 2 2 3 2 4 2 2" xfId="32846" xr:uid="{00000000-0005-0000-0000-0000A20B0000}"/>
    <cellStyle name="Table Head Green 2 2 2 3 2 4 2 3" xfId="51209" xr:uid="{00000000-0005-0000-0000-0000A20B0000}"/>
    <cellStyle name="Table Head Green 2 2 2 3 2 4 3" xfId="29084" xr:uid="{00000000-0005-0000-0000-0000A20B0000}"/>
    <cellStyle name="Table Head Green 2 2 2 3 2 4 3 2" xfId="47447" xr:uid="{00000000-0005-0000-0000-0000A20B0000}"/>
    <cellStyle name="Table Head Green 2 2 2 3 2 4 4" xfId="19887" xr:uid="{00000000-0005-0000-0000-0000A20B0000}"/>
    <cellStyle name="Table Head Green 2 2 2 3 2 4 5" xfId="38293" xr:uid="{00000000-0005-0000-0000-0000A20B0000}"/>
    <cellStyle name="Table Head Green 2 2 2 3 2 5" xfId="9581" xr:uid="{00000000-0005-0000-0000-0000A20B0000}"/>
    <cellStyle name="Table Head Green 2 2 2 3 2 5 2" xfId="28298" xr:uid="{00000000-0005-0000-0000-0000A20B0000}"/>
    <cellStyle name="Table Head Green 2 2 2 3 2 5 3" xfId="46661" xr:uid="{00000000-0005-0000-0000-0000A20B0000}"/>
    <cellStyle name="Table Head Green 2 2 2 3 2 6" xfId="13639" xr:uid="{00000000-0005-0000-0000-0000A20B0000}"/>
    <cellStyle name="Table Head Green 2 2 2 3 2 6 2" xfId="32060" xr:uid="{00000000-0005-0000-0000-0000A20B0000}"/>
    <cellStyle name="Table Head Green 2 2 2 3 2 6 3" xfId="50423" xr:uid="{00000000-0005-0000-0000-0000A20B0000}"/>
    <cellStyle name="Table Head Green 2 2 2 3 2 7" xfId="23568" xr:uid="{00000000-0005-0000-0000-0000A20B0000}"/>
    <cellStyle name="Table Head Green 2 2 2 3 2 7 2" xfId="41937" xr:uid="{00000000-0005-0000-0000-0000A20B0000}"/>
    <cellStyle name="Table Head Green 2 2 2 3 2 8" xfId="18680" xr:uid="{00000000-0005-0000-0000-0000A20B0000}"/>
    <cellStyle name="Table Head Green 2 2 2 3 2 9" xfId="37090" xr:uid="{00000000-0005-0000-0000-0000A20B0000}"/>
    <cellStyle name="Table Head Green 2 2 2 3 3" xfId="4700" xr:uid="{00000000-0005-0000-0000-0000A20B0000}"/>
    <cellStyle name="Table Head Green 2 2 2 3 3 2" xfId="11284" xr:uid="{00000000-0005-0000-0000-0000A20B0000}"/>
    <cellStyle name="Table Head Green 2 2 2 3 3 2 2" xfId="29896" xr:uid="{00000000-0005-0000-0000-0000A20B0000}"/>
    <cellStyle name="Table Head Green 2 2 2 3 3 2 3" xfId="48259" xr:uid="{00000000-0005-0000-0000-0000A20B0000}"/>
    <cellStyle name="Table Head Green 2 2 2 3 3 3" xfId="15426" xr:uid="{00000000-0005-0000-0000-0000A20B0000}"/>
    <cellStyle name="Table Head Green 2 2 2 3 3 3 2" xfId="33819" xr:uid="{00000000-0005-0000-0000-0000A20B0000}"/>
    <cellStyle name="Table Head Green 2 2 2 3 3 3 3" xfId="52182" xr:uid="{00000000-0005-0000-0000-0000A20B0000}"/>
    <cellStyle name="Table Head Green 2 2 2 3 3 4" xfId="24550" xr:uid="{00000000-0005-0000-0000-0000A20B0000}"/>
    <cellStyle name="Table Head Green 2 2 2 3 3 4 2" xfId="42919" xr:uid="{00000000-0005-0000-0000-0000A20B0000}"/>
    <cellStyle name="Table Head Green 2 2 2 3 3 5" xfId="20877" xr:uid="{00000000-0005-0000-0000-0000A20B0000}"/>
    <cellStyle name="Table Head Green 2 2 2 3 3 6" xfId="39266" xr:uid="{00000000-0005-0000-0000-0000A20B0000}"/>
    <cellStyle name="Table Head Green 2 2 2 3 4" xfId="3953" xr:uid="{00000000-0005-0000-0000-0000A20B0000}"/>
    <cellStyle name="Table Head Green 2 2 2 3 4 2" xfId="10658" xr:uid="{00000000-0005-0000-0000-0000A20B0000}"/>
    <cellStyle name="Table Head Green 2 2 2 3 4 2 2" xfId="29364" xr:uid="{00000000-0005-0000-0000-0000A20B0000}"/>
    <cellStyle name="Table Head Green 2 2 2 3 4 2 3" xfId="47727" xr:uid="{00000000-0005-0000-0000-0000A20B0000}"/>
    <cellStyle name="Table Head Green 2 2 2 3 4 3" xfId="14716" xr:uid="{00000000-0005-0000-0000-0000A20B0000}"/>
    <cellStyle name="Table Head Green 2 2 2 3 4 3 2" xfId="33128" xr:uid="{00000000-0005-0000-0000-0000A20B0000}"/>
    <cellStyle name="Table Head Green 2 2 2 3 4 3 3" xfId="51491" xr:uid="{00000000-0005-0000-0000-0000A20B0000}"/>
    <cellStyle name="Table Head Green 2 2 2 3 4 4" xfId="23852" xr:uid="{00000000-0005-0000-0000-0000A20B0000}"/>
    <cellStyle name="Table Head Green 2 2 2 3 4 4 2" xfId="42221" xr:uid="{00000000-0005-0000-0000-0000A20B0000}"/>
    <cellStyle name="Table Head Green 2 2 2 3 4 5" xfId="20170" xr:uid="{00000000-0005-0000-0000-0000A20B0000}"/>
    <cellStyle name="Table Head Green 2 2 2 3 4 6" xfId="38575" xr:uid="{00000000-0005-0000-0000-0000A20B0000}"/>
    <cellStyle name="Table Head Green 2 2 2 3 5" xfId="9067" xr:uid="{00000000-0005-0000-0000-0000A20B0000}"/>
    <cellStyle name="Table Head Green 2 2 2 3 5 2" xfId="8144" xr:uid="{00000000-0005-0000-0000-0000A20B0000}"/>
    <cellStyle name="Table Head Green 2 2 2 3 5 2 2" xfId="27348" xr:uid="{00000000-0005-0000-0000-0000A20B0000}"/>
    <cellStyle name="Table Head Green 2 2 2 3 5 2 3" xfId="45713" xr:uid="{00000000-0005-0000-0000-0000A20B0000}"/>
    <cellStyle name="Table Head Green 2 2 2 3 5 3" xfId="27793" xr:uid="{00000000-0005-0000-0000-0000A20B0000}"/>
    <cellStyle name="Table Head Green 2 2 2 3 5 3 2" xfId="46156" xr:uid="{00000000-0005-0000-0000-0000A20B0000}"/>
    <cellStyle name="Table Head Green 2 2 2 3 5 4" xfId="17967" xr:uid="{00000000-0005-0000-0000-0000A20B0000}"/>
    <cellStyle name="Table Head Green 2 2 2 3 5 5" xfId="36375" xr:uid="{00000000-0005-0000-0000-0000A20B0000}"/>
    <cellStyle name="Table Head Green 2 2 2 3 6" xfId="7994" xr:uid="{00000000-0005-0000-0000-0000A20B0000}"/>
    <cellStyle name="Table Head Green 2 2 2 3 6 2" xfId="27224" xr:uid="{00000000-0005-0000-0000-0000A20B0000}"/>
    <cellStyle name="Table Head Green 2 2 2 3 6 3" xfId="45589" xr:uid="{00000000-0005-0000-0000-0000A20B0000}"/>
    <cellStyle name="Table Head Green 2 2 2 3 7" xfId="7810" xr:uid="{00000000-0005-0000-0000-0000A20B0000}"/>
    <cellStyle name="Table Head Green 2 2 2 3 7 2" xfId="27080" xr:uid="{00000000-0005-0000-0000-0000A20B0000}"/>
    <cellStyle name="Table Head Green 2 2 2 3 7 3" xfId="45445" xr:uid="{00000000-0005-0000-0000-0000A20B0000}"/>
    <cellStyle name="Table Head Green 2 2 2 3 8" xfId="19097" xr:uid="{00000000-0005-0000-0000-0000A20B0000}"/>
    <cellStyle name="Table Head Green 2 2 2 3 8 2" xfId="37505" xr:uid="{00000000-0005-0000-0000-0000A20B0000}"/>
    <cellStyle name="Table Head Green 2 2 2 3 9" xfId="7066" xr:uid="{00000000-0005-0000-0000-0000A20B0000}"/>
    <cellStyle name="Table Head Green 2 2 2 4" xfId="1791" xr:uid="{00000000-0005-0000-0000-0000A30B0000}"/>
    <cellStyle name="Table Head Green 2 2 2 4 10" xfId="8212" xr:uid="{00000000-0005-0000-0000-0000A30B0000}"/>
    <cellStyle name="Table Head Green 2 2 2 4 2" xfId="3688" xr:uid="{00000000-0005-0000-0000-0000A30B0000}"/>
    <cellStyle name="Table Head Green 2 2 2 4 2 2" xfId="5861" xr:uid="{00000000-0005-0000-0000-0000A30B0000}"/>
    <cellStyle name="Table Head Green 2 2 2 4 2 2 2" xfId="12225" xr:uid="{00000000-0005-0000-0000-0000A30B0000}"/>
    <cellStyle name="Table Head Green 2 2 2 4 2 2 2 2" xfId="30672" xr:uid="{00000000-0005-0000-0000-0000A30B0000}"/>
    <cellStyle name="Table Head Green 2 2 2 4 2 2 2 3" xfId="49035" xr:uid="{00000000-0005-0000-0000-0000A30B0000}"/>
    <cellStyle name="Table Head Green 2 2 2 4 2 2 3" xfId="16551" xr:uid="{00000000-0005-0000-0000-0000A30B0000}"/>
    <cellStyle name="Table Head Green 2 2 2 4 2 2 3 2" xfId="34923" xr:uid="{00000000-0005-0000-0000-0000A30B0000}"/>
    <cellStyle name="Table Head Green 2 2 2 4 2 2 3 3" xfId="53286" xr:uid="{00000000-0005-0000-0000-0000A30B0000}"/>
    <cellStyle name="Table Head Green 2 2 2 4 2 2 4" xfId="25670" xr:uid="{00000000-0005-0000-0000-0000A30B0000}"/>
    <cellStyle name="Table Head Green 2 2 2 4 2 2 4 2" xfId="44039" xr:uid="{00000000-0005-0000-0000-0000A30B0000}"/>
    <cellStyle name="Table Head Green 2 2 2 4 2 2 5" xfId="21991" xr:uid="{00000000-0005-0000-0000-0000A30B0000}"/>
    <cellStyle name="Table Head Green 2 2 2 4 2 2 6" xfId="40370" xr:uid="{00000000-0005-0000-0000-0000A30B0000}"/>
    <cellStyle name="Table Head Green 2 2 2 4 2 3" xfId="6687" xr:uid="{00000000-0005-0000-0000-0000A30B0000}"/>
    <cellStyle name="Table Head Green 2 2 2 4 2 3 2" xfId="12978" xr:uid="{00000000-0005-0000-0000-0000A30B0000}"/>
    <cellStyle name="Table Head Green 2 2 2 4 2 3 2 2" xfId="31404" xr:uid="{00000000-0005-0000-0000-0000A30B0000}"/>
    <cellStyle name="Table Head Green 2 2 2 4 2 3 2 3" xfId="49767" xr:uid="{00000000-0005-0000-0000-0000A30B0000}"/>
    <cellStyle name="Table Head Green 2 2 2 4 2 3 3" xfId="17289" xr:uid="{00000000-0005-0000-0000-0000A30B0000}"/>
    <cellStyle name="Table Head Green 2 2 2 4 2 3 3 2" xfId="35637" xr:uid="{00000000-0005-0000-0000-0000A30B0000}"/>
    <cellStyle name="Table Head Green 2 2 2 4 2 3 3 3" xfId="54000" xr:uid="{00000000-0005-0000-0000-0000A30B0000}"/>
    <cellStyle name="Table Head Green 2 2 2 4 2 3 4" xfId="26422" xr:uid="{00000000-0005-0000-0000-0000A30B0000}"/>
    <cellStyle name="Table Head Green 2 2 2 4 2 3 4 2" xfId="44791" xr:uid="{00000000-0005-0000-0000-0000A30B0000}"/>
    <cellStyle name="Table Head Green 2 2 2 4 2 3 5" xfId="22715" xr:uid="{00000000-0005-0000-0000-0000A30B0000}"/>
    <cellStyle name="Table Head Green 2 2 2 4 2 3 6" xfId="41084" xr:uid="{00000000-0005-0000-0000-0000A30B0000}"/>
    <cellStyle name="Table Head Green 2 2 2 4 2 4" xfId="10401" xr:uid="{00000000-0005-0000-0000-0000A30B0000}"/>
    <cellStyle name="Table Head Green 2 2 2 4 2 4 2" xfId="14458" xr:uid="{00000000-0005-0000-0000-0000A30B0000}"/>
    <cellStyle name="Table Head Green 2 2 2 4 2 4 2 2" xfId="32874" xr:uid="{00000000-0005-0000-0000-0000A30B0000}"/>
    <cellStyle name="Table Head Green 2 2 2 4 2 4 2 3" xfId="51237" xr:uid="{00000000-0005-0000-0000-0000A30B0000}"/>
    <cellStyle name="Table Head Green 2 2 2 4 2 4 3" xfId="29112" xr:uid="{00000000-0005-0000-0000-0000A30B0000}"/>
    <cellStyle name="Table Head Green 2 2 2 4 2 4 3 2" xfId="47475" xr:uid="{00000000-0005-0000-0000-0000A30B0000}"/>
    <cellStyle name="Table Head Green 2 2 2 4 2 4 4" xfId="19915" xr:uid="{00000000-0005-0000-0000-0000A30B0000}"/>
    <cellStyle name="Table Head Green 2 2 2 4 2 4 5" xfId="38321" xr:uid="{00000000-0005-0000-0000-0000A30B0000}"/>
    <cellStyle name="Table Head Green 2 2 2 4 2 5" xfId="9609" xr:uid="{00000000-0005-0000-0000-0000A30B0000}"/>
    <cellStyle name="Table Head Green 2 2 2 4 2 5 2" xfId="28326" xr:uid="{00000000-0005-0000-0000-0000A30B0000}"/>
    <cellStyle name="Table Head Green 2 2 2 4 2 5 3" xfId="46689" xr:uid="{00000000-0005-0000-0000-0000A30B0000}"/>
    <cellStyle name="Table Head Green 2 2 2 4 2 6" xfId="13667" xr:uid="{00000000-0005-0000-0000-0000A30B0000}"/>
    <cellStyle name="Table Head Green 2 2 2 4 2 6 2" xfId="32088" xr:uid="{00000000-0005-0000-0000-0000A30B0000}"/>
    <cellStyle name="Table Head Green 2 2 2 4 2 6 3" xfId="50451" xr:uid="{00000000-0005-0000-0000-0000A30B0000}"/>
    <cellStyle name="Table Head Green 2 2 2 4 2 7" xfId="23596" xr:uid="{00000000-0005-0000-0000-0000A30B0000}"/>
    <cellStyle name="Table Head Green 2 2 2 4 2 7 2" xfId="41965" xr:uid="{00000000-0005-0000-0000-0000A30B0000}"/>
    <cellStyle name="Table Head Green 2 2 2 4 2 8" xfId="18708" xr:uid="{00000000-0005-0000-0000-0000A30B0000}"/>
    <cellStyle name="Table Head Green 2 2 2 4 2 9" xfId="37118" xr:uid="{00000000-0005-0000-0000-0000A30B0000}"/>
    <cellStyle name="Table Head Green 2 2 2 4 3" xfId="4728" xr:uid="{00000000-0005-0000-0000-0000A30B0000}"/>
    <cellStyle name="Table Head Green 2 2 2 4 3 2" xfId="11312" xr:uid="{00000000-0005-0000-0000-0000A30B0000}"/>
    <cellStyle name="Table Head Green 2 2 2 4 3 2 2" xfId="29924" xr:uid="{00000000-0005-0000-0000-0000A30B0000}"/>
    <cellStyle name="Table Head Green 2 2 2 4 3 2 3" xfId="48287" xr:uid="{00000000-0005-0000-0000-0000A30B0000}"/>
    <cellStyle name="Table Head Green 2 2 2 4 3 3" xfId="15454" xr:uid="{00000000-0005-0000-0000-0000A30B0000}"/>
    <cellStyle name="Table Head Green 2 2 2 4 3 3 2" xfId="33847" xr:uid="{00000000-0005-0000-0000-0000A30B0000}"/>
    <cellStyle name="Table Head Green 2 2 2 4 3 3 3" xfId="52210" xr:uid="{00000000-0005-0000-0000-0000A30B0000}"/>
    <cellStyle name="Table Head Green 2 2 2 4 3 4" xfId="24578" xr:uid="{00000000-0005-0000-0000-0000A30B0000}"/>
    <cellStyle name="Table Head Green 2 2 2 4 3 4 2" xfId="42947" xr:uid="{00000000-0005-0000-0000-0000A30B0000}"/>
    <cellStyle name="Table Head Green 2 2 2 4 3 5" xfId="20905" xr:uid="{00000000-0005-0000-0000-0000A30B0000}"/>
    <cellStyle name="Table Head Green 2 2 2 4 3 6" xfId="39294" xr:uid="{00000000-0005-0000-0000-0000A30B0000}"/>
    <cellStyle name="Table Head Green 2 2 2 4 4" xfId="4858" xr:uid="{00000000-0005-0000-0000-0000A30B0000}"/>
    <cellStyle name="Table Head Green 2 2 2 4 4 2" xfId="11416" xr:uid="{00000000-0005-0000-0000-0000A30B0000}"/>
    <cellStyle name="Table Head Green 2 2 2 4 4 2 2" xfId="30006" xr:uid="{00000000-0005-0000-0000-0000A30B0000}"/>
    <cellStyle name="Table Head Green 2 2 2 4 4 2 3" xfId="48369" xr:uid="{00000000-0005-0000-0000-0000A30B0000}"/>
    <cellStyle name="Table Head Green 2 2 2 4 4 3" xfId="15584" xr:uid="{00000000-0005-0000-0000-0000A30B0000}"/>
    <cellStyle name="Table Head Green 2 2 2 4 4 3 2" xfId="33975" xr:uid="{00000000-0005-0000-0000-0000A30B0000}"/>
    <cellStyle name="Table Head Green 2 2 2 4 4 3 3" xfId="52338" xr:uid="{00000000-0005-0000-0000-0000A30B0000}"/>
    <cellStyle name="Table Head Green 2 2 2 4 4 4" xfId="24706" xr:uid="{00000000-0005-0000-0000-0000A30B0000}"/>
    <cellStyle name="Table Head Green 2 2 2 4 4 4 2" xfId="43075" xr:uid="{00000000-0005-0000-0000-0000A30B0000}"/>
    <cellStyle name="Table Head Green 2 2 2 4 4 5" xfId="21033" xr:uid="{00000000-0005-0000-0000-0000A30B0000}"/>
    <cellStyle name="Table Head Green 2 2 2 4 4 6" xfId="39422" xr:uid="{00000000-0005-0000-0000-0000A30B0000}"/>
    <cellStyle name="Table Head Green 2 2 2 4 5" xfId="9210" xr:uid="{00000000-0005-0000-0000-0000A30B0000}"/>
    <cellStyle name="Table Head Green 2 2 2 4 5 2" xfId="13268" xr:uid="{00000000-0005-0000-0000-0000A30B0000}"/>
    <cellStyle name="Table Head Green 2 2 2 4 5 2 2" xfId="31689" xr:uid="{00000000-0005-0000-0000-0000A30B0000}"/>
    <cellStyle name="Table Head Green 2 2 2 4 5 2 3" xfId="50052" xr:uid="{00000000-0005-0000-0000-0000A30B0000}"/>
    <cellStyle name="Table Head Green 2 2 2 4 5 3" xfId="27931" xr:uid="{00000000-0005-0000-0000-0000A30B0000}"/>
    <cellStyle name="Table Head Green 2 2 2 4 5 3 2" xfId="46294" xr:uid="{00000000-0005-0000-0000-0000A30B0000}"/>
    <cellStyle name="Table Head Green 2 2 2 4 5 4" xfId="18237" xr:uid="{00000000-0005-0000-0000-0000A30B0000}"/>
    <cellStyle name="Table Head Green 2 2 2 4 5 5" xfId="36643" xr:uid="{00000000-0005-0000-0000-0000A30B0000}"/>
    <cellStyle name="Table Head Green 2 2 2 4 6" xfId="8022" xr:uid="{00000000-0005-0000-0000-0000A30B0000}"/>
    <cellStyle name="Table Head Green 2 2 2 4 6 2" xfId="27252" xr:uid="{00000000-0005-0000-0000-0000A30B0000}"/>
    <cellStyle name="Table Head Green 2 2 2 4 6 3" xfId="45617" xr:uid="{00000000-0005-0000-0000-0000A30B0000}"/>
    <cellStyle name="Table Head Green 2 2 2 4 7" xfId="7386" xr:uid="{00000000-0005-0000-0000-0000A30B0000}"/>
    <cellStyle name="Table Head Green 2 2 2 4 7 2" xfId="26786" xr:uid="{00000000-0005-0000-0000-0000A30B0000}"/>
    <cellStyle name="Table Head Green 2 2 2 4 7 3" xfId="45154" xr:uid="{00000000-0005-0000-0000-0000A30B0000}"/>
    <cellStyle name="Table Head Green 2 2 2 4 8" xfId="18377" xr:uid="{00000000-0005-0000-0000-0000A30B0000}"/>
    <cellStyle name="Table Head Green 2 2 2 4 8 2" xfId="36783" xr:uid="{00000000-0005-0000-0000-0000A30B0000}"/>
    <cellStyle name="Table Head Green 2 2 2 4 9" xfId="14904" xr:uid="{00000000-0005-0000-0000-0000A30B0000}"/>
    <cellStyle name="Table Head Green 2 2 2 5" xfId="3564" xr:uid="{00000000-0005-0000-0000-0000A00B0000}"/>
    <cellStyle name="Table Head Green 2 2 2 5 2" xfId="5737" xr:uid="{00000000-0005-0000-0000-0000A00B0000}"/>
    <cellStyle name="Table Head Green 2 2 2 5 2 2" xfId="12101" xr:uid="{00000000-0005-0000-0000-0000A00B0000}"/>
    <cellStyle name="Table Head Green 2 2 2 5 2 2 2" xfId="30548" xr:uid="{00000000-0005-0000-0000-0000A00B0000}"/>
    <cellStyle name="Table Head Green 2 2 2 5 2 2 3" xfId="48911" xr:uid="{00000000-0005-0000-0000-0000A00B0000}"/>
    <cellStyle name="Table Head Green 2 2 2 5 2 3" xfId="16427" xr:uid="{00000000-0005-0000-0000-0000A00B0000}"/>
    <cellStyle name="Table Head Green 2 2 2 5 2 3 2" xfId="34799" xr:uid="{00000000-0005-0000-0000-0000A00B0000}"/>
    <cellStyle name="Table Head Green 2 2 2 5 2 3 3" xfId="53162" xr:uid="{00000000-0005-0000-0000-0000A00B0000}"/>
    <cellStyle name="Table Head Green 2 2 2 5 2 4" xfId="25546" xr:uid="{00000000-0005-0000-0000-0000A00B0000}"/>
    <cellStyle name="Table Head Green 2 2 2 5 2 4 2" xfId="43915" xr:uid="{00000000-0005-0000-0000-0000A00B0000}"/>
    <cellStyle name="Table Head Green 2 2 2 5 2 5" xfId="21867" xr:uid="{00000000-0005-0000-0000-0000A00B0000}"/>
    <cellStyle name="Table Head Green 2 2 2 5 2 6" xfId="40246" xr:uid="{00000000-0005-0000-0000-0000A00B0000}"/>
    <cellStyle name="Table Head Green 2 2 2 5 3" xfId="6563" xr:uid="{00000000-0005-0000-0000-0000A00B0000}"/>
    <cellStyle name="Table Head Green 2 2 2 5 3 2" xfId="12854" xr:uid="{00000000-0005-0000-0000-0000A00B0000}"/>
    <cellStyle name="Table Head Green 2 2 2 5 3 2 2" xfId="31280" xr:uid="{00000000-0005-0000-0000-0000A00B0000}"/>
    <cellStyle name="Table Head Green 2 2 2 5 3 2 3" xfId="49643" xr:uid="{00000000-0005-0000-0000-0000A00B0000}"/>
    <cellStyle name="Table Head Green 2 2 2 5 3 3" xfId="17165" xr:uid="{00000000-0005-0000-0000-0000A00B0000}"/>
    <cellStyle name="Table Head Green 2 2 2 5 3 3 2" xfId="35513" xr:uid="{00000000-0005-0000-0000-0000A00B0000}"/>
    <cellStyle name="Table Head Green 2 2 2 5 3 3 3" xfId="53876" xr:uid="{00000000-0005-0000-0000-0000A00B0000}"/>
    <cellStyle name="Table Head Green 2 2 2 5 3 4" xfId="26298" xr:uid="{00000000-0005-0000-0000-0000A00B0000}"/>
    <cellStyle name="Table Head Green 2 2 2 5 3 4 2" xfId="44667" xr:uid="{00000000-0005-0000-0000-0000A00B0000}"/>
    <cellStyle name="Table Head Green 2 2 2 5 3 5" xfId="22591" xr:uid="{00000000-0005-0000-0000-0000A00B0000}"/>
    <cellStyle name="Table Head Green 2 2 2 5 3 6" xfId="40960" xr:uid="{00000000-0005-0000-0000-0000A00B0000}"/>
    <cellStyle name="Table Head Green 2 2 2 5 4" xfId="10277" xr:uid="{00000000-0005-0000-0000-0000A00B0000}"/>
    <cellStyle name="Table Head Green 2 2 2 5 4 2" xfId="14334" xr:uid="{00000000-0005-0000-0000-0000A00B0000}"/>
    <cellStyle name="Table Head Green 2 2 2 5 4 2 2" xfId="32750" xr:uid="{00000000-0005-0000-0000-0000A00B0000}"/>
    <cellStyle name="Table Head Green 2 2 2 5 4 2 3" xfId="51113" xr:uid="{00000000-0005-0000-0000-0000A00B0000}"/>
    <cellStyle name="Table Head Green 2 2 2 5 4 3" xfId="28988" xr:uid="{00000000-0005-0000-0000-0000A00B0000}"/>
    <cellStyle name="Table Head Green 2 2 2 5 4 3 2" xfId="47351" xr:uid="{00000000-0005-0000-0000-0000A00B0000}"/>
    <cellStyle name="Table Head Green 2 2 2 5 4 4" xfId="19791" xr:uid="{00000000-0005-0000-0000-0000A00B0000}"/>
    <cellStyle name="Table Head Green 2 2 2 5 4 5" xfId="38197" xr:uid="{00000000-0005-0000-0000-0000A00B0000}"/>
    <cellStyle name="Table Head Green 2 2 2 5 5" xfId="9485" xr:uid="{00000000-0005-0000-0000-0000A00B0000}"/>
    <cellStyle name="Table Head Green 2 2 2 5 5 2" xfId="28202" xr:uid="{00000000-0005-0000-0000-0000A00B0000}"/>
    <cellStyle name="Table Head Green 2 2 2 5 5 3" xfId="46565" xr:uid="{00000000-0005-0000-0000-0000A00B0000}"/>
    <cellStyle name="Table Head Green 2 2 2 5 6" xfId="13543" xr:uid="{00000000-0005-0000-0000-0000A00B0000}"/>
    <cellStyle name="Table Head Green 2 2 2 5 6 2" xfId="31964" xr:uid="{00000000-0005-0000-0000-0000A00B0000}"/>
    <cellStyle name="Table Head Green 2 2 2 5 6 3" xfId="50327" xr:uid="{00000000-0005-0000-0000-0000A00B0000}"/>
    <cellStyle name="Table Head Green 2 2 2 5 7" xfId="23472" xr:uid="{00000000-0005-0000-0000-0000A00B0000}"/>
    <cellStyle name="Table Head Green 2 2 2 5 7 2" xfId="41841" xr:uid="{00000000-0005-0000-0000-0000A00B0000}"/>
    <cellStyle name="Table Head Green 2 2 2 5 8" xfId="18582" xr:uid="{00000000-0005-0000-0000-0000A00B0000}"/>
    <cellStyle name="Table Head Green 2 2 2 5 9" xfId="36992" xr:uid="{00000000-0005-0000-0000-0000A00B0000}"/>
    <cellStyle name="Table Head Green 2 2 2 6" xfId="4595" xr:uid="{00000000-0005-0000-0000-0000A00B0000}"/>
    <cellStyle name="Table Head Green 2 2 2 6 2" xfId="11180" xr:uid="{00000000-0005-0000-0000-0000A00B0000}"/>
    <cellStyle name="Table Head Green 2 2 2 6 2 2" xfId="29794" xr:uid="{00000000-0005-0000-0000-0000A00B0000}"/>
    <cellStyle name="Table Head Green 2 2 2 6 2 3" xfId="48157" xr:uid="{00000000-0005-0000-0000-0000A00B0000}"/>
    <cellStyle name="Table Head Green 2 2 2 6 3" xfId="15321" xr:uid="{00000000-0005-0000-0000-0000A00B0000}"/>
    <cellStyle name="Table Head Green 2 2 2 6 3 2" xfId="33715" xr:uid="{00000000-0005-0000-0000-0000A00B0000}"/>
    <cellStyle name="Table Head Green 2 2 2 6 3 3" xfId="52078" xr:uid="{00000000-0005-0000-0000-0000A00B0000}"/>
    <cellStyle name="Table Head Green 2 2 2 6 4" xfId="24446" xr:uid="{00000000-0005-0000-0000-0000A00B0000}"/>
    <cellStyle name="Table Head Green 2 2 2 6 4 2" xfId="42815" xr:uid="{00000000-0005-0000-0000-0000A00B0000}"/>
    <cellStyle name="Table Head Green 2 2 2 6 5" xfId="20772" xr:uid="{00000000-0005-0000-0000-0000A00B0000}"/>
    <cellStyle name="Table Head Green 2 2 2 6 6" xfId="39162" xr:uid="{00000000-0005-0000-0000-0000A00B0000}"/>
    <cellStyle name="Table Head Green 2 2 2 7" xfId="5152" xr:uid="{00000000-0005-0000-0000-0000A00B0000}"/>
    <cellStyle name="Table Head Green 2 2 2 7 2" xfId="11655" xr:uid="{00000000-0005-0000-0000-0000A00B0000}"/>
    <cellStyle name="Table Head Green 2 2 2 7 2 2" xfId="30203" xr:uid="{00000000-0005-0000-0000-0000A00B0000}"/>
    <cellStyle name="Table Head Green 2 2 2 7 2 3" xfId="48566" xr:uid="{00000000-0005-0000-0000-0000A00B0000}"/>
    <cellStyle name="Table Head Green 2 2 2 7 3" xfId="15855" xr:uid="{00000000-0005-0000-0000-0000A00B0000}"/>
    <cellStyle name="Table Head Green 2 2 2 7 3 2" xfId="34239" xr:uid="{00000000-0005-0000-0000-0000A00B0000}"/>
    <cellStyle name="Table Head Green 2 2 2 7 3 3" xfId="52602" xr:uid="{00000000-0005-0000-0000-0000A00B0000}"/>
    <cellStyle name="Table Head Green 2 2 2 7 4" xfId="24979" xr:uid="{00000000-0005-0000-0000-0000A00B0000}"/>
    <cellStyle name="Table Head Green 2 2 2 7 4 2" xfId="43348" xr:uid="{00000000-0005-0000-0000-0000A00B0000}"/>
    <cellStyle name="Table Head Green 2 2 2 7 5" xfId="21301" xr:uid="{00000000-0005-0000-0000-0000A00B0000}"/>
    <cellStyle name="Table Head Green 2 2 2 7 6" xfId="39686" xr:uid="{00000000-0005-0000-0000-0000A00B0000}"/>
    <cellStyle name="Table Head Green 2 2 2 8" xfId="7891" xr:uid="{00000000-0005-0000-0000-0000A00B0000}"/>
    <cellStyle name="Table Head Green 2 2 2 8 2" xfId="27128" xr:uid="{00000000-0005-0000-0000-0000A00B0000}"/>
    <cellStyle name="Table Head Green 2 2 2 8 3" xfId="45493" xr:uid="{00000000-0005-0000-0000-0000A00B0000}"/>
    <cellStyle name="Table Head Green 2 2 2 9" xfId="11403" xr:uid="{00000000-0005-0000-0000-0000A00B0000}"/>
    <cellStyle name="Table Head Green 2 2 2 9 2" xfId="29994" xr:uid="{00000000-0005-0000-0000-0000A00B0000}"/>
    <cellStyle name="Table Head Green 2 2 2 9 3" xfId="48357" xr:uid="{00000000-0005-0000-0000-0000A00B0000}"/>
    <cellStyle name="Table Head Green 2 2 3" xfId="1506" xr:uid="{00000000-0005-0000-0000-0000A40B0000}"/>
    <cellStyle name="Table Head Green 2 2 3 10" xfId="8529" xr:uid="{00000000-0005-0000-0000-0000A40B0000}"/>
    <cellStyle name="Table Head Green 2 2 3 10 2" xfId="27516" xr:uid="{00000000-0005-0000-0000-0000A40B0000}"/>
    <cellStyle name="Table Head Green 2 2 3 10 3" xfId="45880" xr:uid="{00000000-0005-0000-0000-0000A40B0000}"/>
    <cellStyle name="Table Head Green 2 2 3 11" xfId="8947" xr:uid="{00000000-0005-0000-0000-0000A40B0000}"/>
    <cellStyle name="Table Head Green 2 2 3 12" xfId="8565" xr:uid="{00000000-0005-0000-0000-0000A40B0000}"/>
    <cellStyle name="Table Head Green 2 2 3 2" xfId="1675" xr:uid="{00000000-0005-0000-0000-0000A50B0000}"/>
    <cellStyle name="Table Head Green 2 2 3 2 10" xfId="8164" xr:uid="{00000000-0005-0000-0000-0000A50B0000}"/>
    <cellStyle name="Table Head Green 2 2 3 2 2" xfId="3573" xr:uid="{00000000-0005-0000-0000-0000A50B0000}"/>
    <cellStyle name="Table Head Green 2 2 3 2 2 2" xfId="5746" xr:uid="{00000000-0005-0000-0000-0000A50B0000}"/>
    <cellStyle name="Table Head Green 2 2 3 2 2 2 2" xfId="12110" xr:uid="{00000000-0005-0000-0000-0000A50B0000}"/>
    <cellStyle name="Table Head Green 2 2 3 2 2 2 2 2" xfId="30557" xr:uid="{00000000-0005-0000-0000-0000A50B0000}"/>
    <cellStyle name="Table Head Green 2 2 3 2 2 2 2 3" xfId="48920" xr:uid="{00000000-0005-0000-0000-0000A50B0000}"/>
    <cellStyle name="Table Head Green 2 2 3 2 2 2 3" xfId="16436" xr:uid="{00000000-0005-0000-0000-0000A50B0000}"/>
    <cellStyle name="Table Head Green 2 2 3 2 2 2 3 2" xfId="34808" xr:uid="{00000000-0005-0000-0000-0000A50B0000}"/>
    <cellStyle name="Table Head Green 2 2 3 2 2 2 3 3" xfId="53171" xr:uid="{00000000-0005-0000-0000-0000A50B0000}"/>
    <cellStyle name="Table Head Green 2 2 3 2 2 2 4" xfId="25555" xr:uid="{00000000-0005-0000-0000-0000A50B0000}"/>
    <cellStyle name="Table Head Green 2 2 3 2 2 2 4 2" xfId="43924" xr:uid="{00000000-0005-0000-0000-0000A50B0000}"/>
    <cellStyle name="Table Head Green 2 2 3 2 2 2 5" xfId="21876" xr:uid="{00000000-0005-0000-0000-0000A50B0000}"/>
    <cellStyle name="Table Head Green 2 2 3 2 2 2 6" xfId="40255" xr:uid="{00000000-0005-0000-0000-0000A50B0000}"/>
    <cellStyle name="Table Head Green 2 2 3 2 2 3" xfId="6572" xr:uid="{00000000-0005-0000-0000-0000A50B0000}"/>
    <cellStyle name="Table Head Green 2 2 3 2 2 3 2" xfId="12863" xr:uid="{00000000-0005-0000-0000-0000A50B0000}"/>
    <cellStyle name="Table Head Green 2 2 3 2 2 3 2 2" xfId="31289" xr:uid="{00000000-0005-0000-0000-0000A50B0000}"/>
    <cellStyle name="Table Head Green 2 2 3 2 2 3 2 3" xfId="49652" xr:uid="{00000000-0005-0000-0000-0000A50B0000}"/>
    <cellStyle name="Table Head Green 2 2 3 2 2 3 3" xfId="17174" xr:uid="{00000000-0005-0000-0000-0000A50B0000}"/>
    <cellStyle name="Table Head Green 2 2 3 2 2 3 3 2" xfId="35522" xr:uid="{00000000-0005-0000-0000-0000A50B0000}"/>
    <cellStyle name="Table Head Green 2 2 3 2 2 3 3 3" xfId="53885" xr:uid="{00000000-0005-0000-0000-0000A50B0000}"/>
    <cellStyle name="Table Head Green 2 2 3 2 2 3 4" xfId="26307" xr:uid="{00000000-0005-0000-0000-0000A50B0000}"/>
    <cellStyle name="Table Head Green 2 2 3 2 2 3 4 2" xfId="44676" xr:uid="{00000000-0005-0000-0000-0000A50B0000}"/>
    <cellStyle name="Table Head Green 2 2 3 2 2 3 5" xfId="22600" xr:uid="{00000000-0005-0000-0000-0000A50B0000}"/>
    <cellStyle name="Table Head Green 2 2 3 2 2 3 6" xfId="40969" xr:uid="{00000000-0005-0000-0000-0000A50B0000}"/>
    <cellStyle name="Table Head Green 2 2 3 2 2 4" xfId="10286" xr:uid="{00000000-0005-0000-0000-0000A50B0000}"/>
    <cellStyle name="Table Head Green 2 2 3 2 2 4 2" xfId="14343" xr:uid="{00000000-0005-0000-0000-0000A50B0000}"/>
    <cellStyle name="Table Head Green 2 2 3 2 2 4 2 2" xfId="32759" xr:uid="{00000000-0005-0000-0000-0000A50B0000}"/>
    <cellStyle name="Table Head Green 2 2 3 2 2 4 2 3" xfId="51122" xr:uid="{00000000-0005-0000-0000-0000A50B0000}"/>
    <cellStyle name="Table Head Green 2 2 3 2 2 4 3" xfId="28997" xr:uid="{00000000-0005-0000-0000-0000A50B0000}"/>
    <cellStyle name="Table Head Green 2 2 3 2 2 4 3 2" xfId="47360" xr:uid="{00000000-0005-0000-0000-0000A50B0000}"/>
    <cellStyle name="Table Head Green 2 2 3 2 2 4 4" xfId="19800" xr:uid="{00000000-0005-0000-0000-0000A50B0000}"/>
    <cellStyle name="Table Head Green 2 2 3 2 2 4 5" xfId="38206" xr:uid="{00000000-0005-0000-0000-0000A50B0000}"/>
    <cellStyle name="Table Head Green 2 2 3 2 2 5" xfId="9494" xr:uid="{00000000-0005-0000-0000-0000A50B0000}"/>
    <cellStyle name="Table Head Green 2 2 3 2 2 5 2" xfId="28211" xr:uid="{00000000-0005-0000-0000-0000A50B0000}"/>
    <cellStyle name="Table Head Green 2 2 3 2 2 5 3" xfId="46574" xr:uid="{00000000-0005-0000-0000-0000A50B0000}"/>
    <cellStyle name="Table Head Green 2 2 3 2 2 6" xfId="13552" xr:uid="{00000000-0005-0000-0000-0000A50B0000}"/>
    <cellStyle name="Table Head Green 2 2 3 2 2 6 2" xfId="31973" xr:uid="{00000000-0005-0000-0000-0000A50B0000}"/>
    <cellStyle name="Table Head Green 2 2 3 2 2 6 3" xfId="50336" xr:uid="{00000000-0005-0000-0000-0000A50B0000}"/>
    <cellStyle name="Table Head Green 2 2 3 2 2 7" xfId="23481" xr:uid="{00000000-0005-0000-0000-0000A50B0000}"/>
    <cellStyle name="Table Head Green 2 2 3 2 2 7 2" xfId="41850" xr:uid="{00000000-0005-0000-0000-0000A50B0000}"/>
    <cellStyle name="Table Head Green 2 2 3 2 2 8" xfId="18592" xr:uid="{00000000-0005-0000-0000-0000A50B0000}"/>
    <cellStyle name="Table Head Green 2 2 3 2 2 9" xfId="37002" xr:uid="{00000000-0005-0000-0000-0000A50B0000}"/>
    <cellStyle name="Table Head Green 2 2 3 2 3" xfId="4614" xr:uid="{00000000-0005-0000-0000-0000A50B0000}"/>
    <cellStyle name="Table Head Green 2 2 3 2 3 2" xfId="11198" xr:uid="{00000000-0005-0000-0000-0000A50B0000}"/>
    <cellStyle name="Table Head Green 2 2 3 2 3 2 2" xfId="29810" xr:uid="{00000000-0005-0000-0000-0000A50B0000}"/>
    <cellStyle name="Table Head Green 2 2 3 2 3 2 3" xfId="48173" xr:uid="{00000000-0005-0000-0000-0000A50B0000}"/>
    <cellStyle name="Table Head Green 2 2 3 2 3 3" xfId="15340" xr:uid="{00000000-0005-0000-0000-0000A50B0000}"/>
    <cellStyle name="Table Head Green 2 2 3 2 3 3 2" xfId="33733" xr:uid="{00000000-0005-0000-0000-0000A50B0000}"/>
    <cellStyle name="Table Head Green 2 2 3 2 3 3 3" xfId="52096" xr:uid="{00000000-0005-0000-0000-0000A50B0000}"/>
    <cellStyle name="Table Head Green 2 2 3 2 3 4" xfId="24464" xr:uid="{00000000-0005-0000-0000-0000A50B0000}"/>
    <cellStyle name="Table Head Green 2 2 3 2 3 4 2" xfId="42833" xr:uid="{00000000-0005-0000-0000-0000A50B0000}"/>
    <cellStyle name="Table Head Green 2 2 3 2 3 5" xfId="20791" xr:uid="{00000000-0005-0000-0000-0000A50B0000}"/>
    <cellStyle name="Table Head Green 2 2 3 2 3 6" xfId="39180" xr:uid="{00000000-0005-0000-0000-0000A50B0000}"/>
    <cellStyle name="Table Head Green 2 2 3 2 4" xfId="3906" xr:uid="{00000000-0005-0000-0000-0000A50B0000}"/>
    <cellStyle name="Table Head Green 2 2 3 2 4 2" xfId="10619" xr:uid="{00000000-0005-0000-0000-0000A50B0000}"/>
    <cellStyle name="Table Head Green 2 2 3 2 4 2 2" xfId="29330" xr:uid="{00000000-0005-0000-0000-0000A50B0000}"/>
    <cellStyle name="Table Head Green 2 2 3 2 4 2 3" xfId="47693" xr:uid="{00000000-0005-0000-0000-0000A50B0000}"/>
    <cellStyle name="Table Head Green 2 2 3 2 4 3" xfId="14676" xr:uid="{00000000-0005-0000-0000-0000A50B0000}"/>
    <cellStyle name="Table Head Green 2 2 3 2 4 3 2" xfId="33092" xr:uid="{00000000-0005-0000-0000-0000A50B0000}"/>
    <cellStyle name="Table Head Green 2 2 3 2 4 3 3" xfId="51455" xr:uid="{00000000-0005-0000-0000-0000A50B0000}"/>
    <cellStyle name="Table Head Green 2 2 3 2 4 4" xfId="23814" xr:uid="{00000000-0005-0000-0000-0000A50B0000}"/>
    <cellStyle name="Table Head Green 2 2 3 2 4 4 2" xfId="42183" xr:uid="{00000000-0005-0000-0000-0000A50B0000}"/>
    <cellStyle name="Table Head Green 2 2 3 2 4 5" xfId="20133" xr:uid="{00000000-0005-0000-0000-0000A50B0000}"/>
    <cellStyle name="Table Head Green 2 2 3 2 4 6" xfId="38539" xr:uid="{00000000-0005-0000-0000-0000A50B0000}"/>
    <cellStyle name="Table Head Green 2 2 3 2 5" xfId="9453" xr:uid="{00000000-0005-0000-0000-0000A50B0000}"/>
    <cellStyle name="Table Head Green 2 2 3 2 5 2" xfId="13510" xr:uid="{00000000-0005-0000-0000-0000A50B0000}"/>
    <cellStyle name="Table Head Green 2 2 3 2 5 2 2" xfId="31931" xr:uid="{00000000-0005-0000-0000-0000A50B0000}"/>
    <cellStyle name="Table Head Green 2 2 3 2 5 2 3" xfId="50294" xr:uid="{00000000-0005-0000-0000-0000A50B0000}"/>
    <cellStyle name="Table Head Green 2 2 3 2 5 3" xfId="28170" xr:uid="{00000000-0005-0000-0000-0000A50B0000}"/>
    <cellStyle name="Table Head Green 2 2 3 2 5 3 2" xfId="46533" xr:uid="{00000000-0005-0000-0000-0000A50B0000}"/>
    <cellStyle name="Table Head Green 2 2 3 2 5 4" xfId="18541" xr:uid="{00000000-0005-0000-0000-0000A50B0000}"/>
    <cellStyle name="Table Head Green 2 2 3 2 5 5" xfId="36950" xr:uid="{00000000-0005-0000-0000-0000A50B0000}"/>
    <cellStyle name="Table Head Green 2 2 3 2 6" xfId="7908" xr:uid="{00000000-0005-0000-0000-0000A50B0000}"/>
    <cellStyle name="Table Head Green 2 2 3 2 6 2" xfId="27140" xr:uid="{00000000-0005-0000-0000-0000A50B0000}"/>
    <cellStyle name="Table Head Green 2 2 3 2 6 3" xfId="45505" xr:uid="{00000000-0005-0000-0000-0000A50B0000}"/>
    <cellStyle name="Table Head Green 2 2 3 2 7" xfId="12440" xr:uid="{00000000-0005-0000-0000-0000A50B0000}"/>
    <cellStyle name="Table Head Green 2 2 3 2 7 2" xfId="30887" xr:uid="{00000000-0005-0000-0000-0000A50B0000}"/>
    <cellStyle name="Table Head Green 2 2 3 2 7 3" xfId="49250" xr:uid="{00000000-0005-0000-0000-0000A50B0000}"/>
    <cellStyle name="Table Head Green 2 2 3 2 8" xfId="17865" xr:uid="{00000000-0005-0000-0000-0000A50B0000}"/>
    <cellStyle name="Table Head Green 2 2 3 2 8 2" xfId="36275" xr:uid="{00000000-0005-0000-0000-0000A50B0000}"/>
    <cellStyle name="Table Head Green 2 2 3 2 9" xfId="7054" xr:uid="{00000000-0005-0000-0000-0000A50B0000}"/>
    <cellStyle name="Table Head Green 2 2 3 3" xfId="1472" xr:uid="{00000000-0005-0000-0000-0000A60B0000}"/>
    <cellStyle name="Table Head Green 2 2 3 3 10" xfId="7536" xr:uid="{00000000-0005-0000-0000-0000A60B0000}"/>
    <cellStyle name="Table Head Green 2 2 3 3 2" xfId="3488" xr:uid="{00000000-0005-0000-0000-0000A60B0000}"/>
    <cellStyle name="Table Head Green 2 2 3 3 2 2" xfId="5663" xr:uid="{00000000-0005-0000-0000-0000A60B0000}"/>
    <cellStyle name="Table Head Green 2 2 3 3 2 2 2" xfId="12027" xr:uid="{00000000-0005-0000-0000-0000A60B0000}"/>
    <cellStyle name="Table Head Green 2 2 3 3 2 2 2 2" xfId="30474" xr:uid="{00000000-0005-0000-0000-0000A60B0000}"/>
    <cellStyle name="Table Head Green 2 2 3 3 2 2 2 3" xfId="48837" xr:uid="{00000000-0005-0000-0000-0000A60B0000}"/>
    <cellStyle name="Table Head Green 2 2 3 3 2 2 3" xfId="16353" xr:uid="{00000000-0005-0000-0000-0000A60B0000}"/>
    <cellStyle name="Table Head Green 2 2 3 3 2 2 3 2" xfId="34725" xr:uid="{00000000-0005-0000-0000-0000A60B0000}"/>
    <cellStyle name="Table Head Green 2 2 3 3 2 2 3 3" xfId="53088" xr:uid="{00000000-0005-0000-0000-0000A60B0000}"/>
    <cellStyle name="Table Head Green 2 2 3 3 2 2 4" xfId="25472" xr:uid="{00000000-0005-0000-0000-0000A60B0000}"/>
    <cellStyle name="Table Head Green 2 2 3 3 2 2 4 2" xfId="43841" xr:uid="{00000000-0005-0000-0000-0000A60B0000}"/>
    <cellStyle name="Table Head Green 2 2 3 3 2 2 5" xfId="21793" xr:uid="{00000000-0005-0000-0000-0000A60B0000}"/>
    <cellStyle name="Table Head Green 2 2 3 3 2 2 6" xfId="40172" xr:uid="{00000000-0005-0000-0000-0000A60B0000}"/>
    <cellStyle name="Table Head Green 2 2 3 3 2 3" xfId="6487" xr:uid="{00000000-0005-0000-0000-0000A60B0000}"/>
    <cellStyle name="Table Head Green 2 2 3 3 2 3 2" xfId="12778" xr:uid="{00000000-0005-0000-0000-0000A60B0000}"/>
    <cellStyle name="Table Head Green 2 2 3 3 2 3 2 2" xfId="31204" xr:uid="{00000000-0005-0000-0000-0000A60B0000}"/>
    <cellStyle name="Table Head Green 2 2 3 3 2 3 2 3" xfId="49567" xr:uid="{00000000-0005-0000-0000-0000A60B0000}"/>
    <cellStyle name="Table Head Green 2 2 3 3 2 3 3" xfId="17089" xr:uid="{00000000-0005-0000-0000-0000A60B0000}"/>
    <cellStyle name="Table Head Green 2 2 3 3 2 3 3 2" xfId="35437" xr:uid="{00000000-0005-0000-0000-0000A60B0000}"/>
    <cellStyle name="Table Head Green 2 2 3 3 2 3 3 3" xfId="53800" xr:uid="{00000000-0005-0000-0000-0000A60B0000}"/>
    <cellStyle name="Table Head Green 2 2 3 3 2 3 4" xfId="26222" xr:uid="{00000000-0005-0000-0000-0000A60B0000}"/>
    <cellStyle name="Table Head Green 2 2 3 3 2 3 4 2" xfId="44591" xr:uid="{00000000-0005-0000-0000-0000A60B0000}"/>
    <cellStyle name="Table Head Green 2 2 3 3 2 3 5" xfId="22515" xr:uid="{00000000-0005-0000-0000-0000A60B0000}"/>
    <cellStyle name="Table Head Green 2 2 3 3 2 3 6" xfId="40884" xr:uid="{00000000-0005-0000-0000-0000A60B0000}"/>
    <cellStyle name="Table Head Green 2 2 3 3 2 4" xfId="10201" xr:uid="{00000000-0005-0000-0000-0000A60B0000}"/>
    <cellStyle name="Table Head Green 2 2 3 3 2 4 2" xfId="14258" xr:uid="{00000000-0005-0000-0000-0000A60B0000}"/>
    <cellStyle name="Table Head Green 2 2 3 3 2 4 2 2" xfId="32674" xr:uid="{00000000-0005-0000-0000-0000A60B0000}"/>
    <cellStyle name="Table Head Green 2 2 3 3 2 4 2 3" xfId="51037" xr:uid="{00000000-0005-0000-0000-0000A60B0000}"/>
    <cellStyle name="Table Head Green 2 2 3 3 2 4 3" xfId="28912" xr:uid="{00000000-0005-0000-0000-0000A60B0000}"/>
    <cellStyle name="Table Head Green 2 2 3 3 2 4 3 2" xfId="47275" xr:uid="{00000000-0005-0000-0000-0000A60B0000}"/>
    <cellStyle name="Table Head Green 2 2 3 3 2 4 4" xfId="19715" xr:uid="{00000000-0005-0000-0000-0000A60B0000}"/>
    <cellStyle name="Table Head Green 2 2 3 3 2 4 5" xfId="38121" xr:uid="{00000000-0005-0000-0000-0000A60B0000}"/>
    <cellStyle name="Table Head Green 2 2 3 3 2 5" xfId="9394" xr:uid="{00000000-0005-0000-0000-0000A60B0000}"/>
    <cellStyle name="Table Head Green 2 2 3 3 2 5 2" xfId="28113" xr:uid="{00000000-0005-0000-0000-0000A60B0000}"/>
    <cellStyle name="Table Head Green 2 2 3 3 2 5 3" xfId="46476" xr:uid="{00000000-0005-0000-0000-0000A60B0000}"/>
    <cellStyle name="Table Head Green 2 2 3 3 2 6" xfId="13450" xr:uid="{00000000-0005-0000-0000-0000A60B0000}"/>
    <cellStyle name="Table Head Green 2 2 3 3 2 6 2" xfId="31871" xr:uid="{00000000-0005-0000-0000-0000A60B0000}"/>
    <cellStyle name="Table Head Green 2 2 3 3 2 6 3" xfId="50234" xr:uid="{00000000-0005-0000-0000-0000A60B0000}"/>
    <cellStyle name="Table Head Green 2 2 3 3 2 7" xfId="23396" xr:uid="{00000000-0005-0000-0000-0000A60B0000}"/>
    <cellStyle name="Table Head Green 2 2 3 3 2 7 2" xfId="41765" xr:uid="{00000000-0005-0000-0000-0000A60B0000}"/>
    <cellStyle name="Table Head Green 2 2 3 3 2 8" xfId="18477" xr:uid="{00000000-0005-0000-0000-0000A60B0000}"/>
    <cellStyle name="Table Head Green 2 2 3 3 2 9" xfId="36883" xr:uid="{00000000-0005-0000-0000-0000A60B0000}"/>
    <cellStyle name="Table Head Green 2 2 3 3 3" xfId="4487" xr:uid="{00000000-0005-0000-0000-0000A60B0000}"/>
    <cellStyle name="Table Head Green 2 2 3 3 3 2" xfId="11082" xr:uid="{00000000-0005-0000-0000-0000A60B0000}"/>
    <cellStyle name="Table Head Green 2 2 3 3 3 2 2" xfId="29702" xr:uid="{00000000-0005-0000-0000-0000A60B0000}"/>
    <cellStyle name="Table Head Green 2 2 3 3 3 2 3" xfId="48065" xr:uid="{00000000-0005-0000-0000-0000A60B0000}"/>
    <cellStyle name="Table Head Green 2 2 3 3 3 3" xfId="15221" xr:uid="{00000000-0005-0000-0000-0000A60B0000}"/>
    <cellStyle name="Table Head Green 2 2 3 3 3 3 2" xfId="33616" xr:uid="{00000000-0005-0000-0000-0000A60B0000}"/>
    <cellStyle name="Table Head Green 2 2 3 3 3 3 3" xfId="51979" xr:uid="{00000000-0005-0000-0000-0000A60B0000}"/>
    <cellStyle name="Table Head Green 2 2 3 3 3 4" xfId="24347" xr:uid="{00000000-0005-0000-0000-0000A60B0000}"/>
    <cellStyle name="Table Head Green 2 2 3 3 3 4 2" xfId="42716" xr:uid="{00000000-0005-0000-0000-0000A60B0000}"/>
    <cellStyle name="Table Head Green 2 2 3 3 3 5" xfId="20671" xr:uid="{00000000-0005-0000-0000-0000A60B0000}"/>
    <cellStyle name="Table Head Green 2 2 3 3 3 6" xfId="39063" xr:uid="{00000000-0005-0000-0000-0000A60B0000}"/>
    <cellStyle name="Table Head Green 2 2 3 3 4" xfId="4010" xr:uid="{00000000-0005-0000-0000-0000A60B0000}"/>
    <cellStyle name="Table Head Green 2 2 3 3 4 2" xfId="10714" xr:uid="{00000000-0005-0000-0000-0000A60B0000}"/>
    <cellStyle name="Table Head Green 2 2 3 3 4 2 2" xfId="29418" xr:uid="{00000000-0005-0000-0000-0000A60B0000}"/>
    <cellStyle name="Table Head Green 2 2 3 3 4 2 3" xfId="47781" xr:uid="{00000000-0005-0000-0000-0000A60B0000}"/>
    <cellStyle name="Table Head Green 2 2 3 3 4 3" xfId="14771" xr:uid="{00000000-0005-0000-0000-0000A60B0000}"/>
    <cellStyle name="Table Head Green 2 2 3 3 4 3 2" xfId="33183" xr:uid="{00000000-0005-0000-0000-0000A60B0000}"/>
    <cellStyle name="Table Head Green 2 2 3 3 4 3 3" xfId="51546" xr:uid="{00000000-0005-0000-0000-0000A60B0000}"/>
    <cellStyle name="Table Head Green 2 2 3 3 4 4" xfId="23907" xr:uid="{00000000-0005-0000-0000-0000A60B0000}"/>
    <cellStyle name="Table Head Green 2 2 3 3 4 4 2" xfId="42276" xr:uid="{00000000-0005-0000-0000-0000A60B0000}"/>
    <cellStyle name="Table Head Green 2 2 3 3 4 5" xfId="20227" xr:uid="{00000000-0005-0000-0000-0000A60B0000}"/>
    <cellStyle name="Table Head Green 2 2 3 3 4 6" xfId="38630" xr:uid="{00000000-0005-0000-0000-0000A60B0000}"/>
    <cellStyle name="Table Head Green 2 2 3 3 5" xfId="9723" xr:uid="{00000000-0005-0000-0000-0000A60B0000}"/>
    <cellStyle name="Table Head Green 2 2 3 3 5 2" xfId="13780" xr:uid="{00000000-0005-0000-0000-0000A60B0000}"/>
    <cellStyle name="Table Head Green 2 2 3 3 5 2 2" xfId="32201" xr:uid="{00000000-0005-0000-0000-0000A60B0000}"/>
    <cellStyle name="Table Head Green 2 2 3 3 5 2 3" xfId="50564" xr:uid="{00000000-0005-0000-0000-0000A60B0000}"/>
    <cellStyle name="Table Head Green 2 2 3 3 5 3" xfId="28439" xr:uid="{00000000-0005-0000-0000-0000A60B0000}"/>
    <cellStyle name="Table Head Green 2 2 3 3 5 3 2" xfId="46802" xr:uid="{00000000-0005-0000-0000-0000A60B0000}"/>
    <cellStyle name="Table Head Green 2 2 3 3 5 4" xfId="18874" xr:uid="{00000000-0005-0000-0000-0000A60B0000}"/>
    <cellStyle name="Table Head Green 2 2 3 3 5 5" xfId="37283" xr:uid="{00000000-0005-0000-0000-0000A60B0000}"/>
    <cellStyle name="Table Head Green 2 2 3 3 6" xfId="7758" xr:uid="{00000000-0005-0000-0000-0000A60B0000}"/>
    <cellStyle name="Table Head Green 2 2 3 3 6 2" xfId="27034" xr:uid="{00000000-0005-0000-0000-0000A60B0000}"/>
    <cellStyle name="Table Head Green 2 2 3 3 6 3" xfId="45399" xr:uid="{00000000-0005-0000-0000-0000A60B0000}"/>
    <cellStyle name="Table Head Green 2 2 3 3 7" xfId="8266" xr:uid="{00000000-0005-0000-0000-0000A60B0000}"/>
    <cellStyle name="Table Head Green 2 2 3 3 7 2" xfId="27396" xr:uid="{00000000-0005-0000-0000-0000A60B0000}"/>
    <cellStyle name="Table Head Green 2 2 3 3 7 3" xfId="45761" xr:uid="{00000000-0005-0000-0000-0000A60B0000}"/>
    <cellStyle name="Table Head Green 2 2 3 3 8" xfId="19286" xr:uid="{00000000-0005-0000-0000-0000A60B0000}"/>
    <cellStyle name="Table Head Green 2 2 3 3 8 2" xfId="37693" xr:uid="{00000000-0005-0000-0000-0000A60B0000}"/>
    <cellStyle name="Table Head Green 2 2 3 3 9" xfId="13896" xr:uid="{00000000-0005-0000-0000-0000A60B0000}"/>
    <cellStyle name="Table Head Green 2 2 3 4" xfId="1669" xr:uid="{00000000-0005-0000-0000-0000A70B0000}"/>
    <cellStyle name="Table Head Green 2 2 3 4 10" xfId="8469" xr:uid="{00000000-0005-0000-0000-0000A70B0000}"/>
    <cellStyle name="Table Head Green 2 2 3 4 2" xfId="3567" xr:uid="{00000000-0005-0000-0000-0000A70B0000}"/>
    <cellStyle name="Table Head Green 2 2 3 4 2 2" xfId="5740" xr:uid="{00000000-0005-0000-0000-0000A70B0000}"/>
    <cellStyle name="Table Head Green 2 2 3 4 2 2 2" xfId="12104" xr:uid="{00000000-0005-0000-0000-0000A70B0000}"/>
    <cellStyle name="Table Head Green 2 2 3 4 2 2 2 2" xfId="30551" xr:uid="{00000000-0005-0000-0000-0000A70B0000}"/>
    <cellStyle name="Table Head Green 2 2 3 4 2 2 2 3" xfId="48914" xr:uid="{00000000-0005-0000-0000-0000A70B0000}"/>
    <cellStyle name="Table Head Green 2 2 3 4 2 2 3" xfId="16430" xr:uid="{00000000-0005-0000-0000-0000A70B0000}"/>
    <cellStyle name="Table Head Green 2 2 3 4 2 2 3 2" xfId="34802" xr:uid="{00000000-0005-0000-0000-0000A70B0000}"/>
    <cellStyle name="Table Head Green 2 2 3 4 2 2 3 3" xfId="53165" xr:uid="{00000000-0005-0000-0000-0000A70B0000}"/>
    <cellStyle name="Table Head Green 2 2 3 4 2 2 4" xfId="25549" xr:uid="{00000000-0005-0000-0000-0000A70B0000}"/>
    <cellStyle name="Table Head Green 2 2 3 4 2 2 4 2" xfId="43918" xr:uid="{00000000-0005-0000-0000-0000A70B0000}"/>
    <cellStyle name="Table Head Green 2 2 3 4 2 2 5" xfId="21870" xr:uid="{00000000-0005-0000-0000-0000A70B0000}"/>
    <cellStyle name="Table Head Green 2 2 3 4 2 2 6" xfId="40249" xr:uid="{00000000-0005-0000-0000-0000A70B0000}"/>
    <cellStyle name="Table Head Green 2 2 3 4 2 3" xfId="6566" xr:uid="{00000000-0005-0000-0000-0000A70B0000}"/>
    <cellStyle name="Table Head Green 2 2 3 4 2 3 2" xfId="12857" xr:uid="{00000000-0005-0000-0000-0000A70B0000}"/>
    <cellStyle name="Table Head Green 2 2 3 4 2 3 2 2" xfId="31283" xr:uid="{00000000-0005-0000-0000-0000A70B0000}"/>
    <cellStyle name="Table Head Green 2 2 3 4 2 3 2 3" xfId="49646" xr:uid="{00000000-0005-0000-0000-0000A70B0000}"/>
    <cellStyle name="Table Head Green 2 2 3 4 2 3 3" xfId="17168" xr:uid="{00000000-0005-0000-0000-0000A70B0000}"/>
    <cellStyle name="Table Head Green 2 2 3 4 2 3 3 2" xfId="35516" xr:uid="{00000000-0005-0000-0000-0000A70B0000}"/>
    <cellStyle name="Table Head Green 2 2 3 4 2 3 3 3" xfId="53879" xr:uid="{00000000-0005-0000-0000-0000A70B0000}"/>
    <cellStyle name="Table Head Green 2 2 3 4 2 3 4" xfId="26301" xr:uid="{00000000-0005-0000-0000-0000A70B0000}"/>
    <cellStyle name="Table Head Green 2 2 3 4 2 3 4 2" xfId="44670" xr:uid="{00000000-0005-0000-0000-0000A70B0000}"/>
    <cellStyle name="Table Head Green 2 2 3 4 2 3 5" xfId="22594" xr:uid="{00000000-0005-0000-0000-0000A70B0000}"/>
    <cellStyle name="Table Head Green 2 2 3 4 2 3 6" xfId="40963" xr:uid="{00000000-0005-0000-0000-0000A70B0000}"/>
    <cellStyle name="Table Head Green 2 2 3 4 2 4" xfId="10280" xr:uid="{00000000-0005-0000-0000-0000A70B0000}"/>
    <cellStyle name="Table Head Green 2 2 3 4 2 4 2" xfId="14337" xr:uid="{00000000-0005-0000-0000-0000A70B0000}"/>
    <cellStyle name="Table Head Green 2 2 3 4 2 4 2 2" xfId="32753" xr:uid="{00000000-0005-0000-0000-0000A70B0000}"/>
    <cellStyle name="Table Head Green 2 2 3 4 2 4 2 3" xfId="51116" xr:uid="{00000000-0005-0000-0000-0000A70B0000}"/>
    <cellStyle name="Table Head Green 2 2 3 4 2 4 3" xfId="28991" xr:uid="{00000000-0005-0000-0000-0000A70B0000}"/>
    <cellStyle name="Table Head Green 2 2 3 4 2 4 3 2" xfId="47354" xr:uid="{00000000-0005-0000-0000-0000A70B0000}"/>
    <cellStyle name="Table Head Green 2 2 3 4 2 4 4" xfId="19794" xr:uid="{00000000-0005-0000-0000-0000A70B0000}"/>
    <cellStyle name="Table Head Green 2 2 3 4 2 4 5" xfId="38200" xr:uid="{00000000-0005-0000-0000-0000A70B0000}"/>
    <cellStyle name="Table Head Green 2 2 3 4 2 5" xfId="9488" xr:uid="{00000000-0005-0000-0000-0000A70B0000}"/>
    <cellStyle name="Table Head Green 2 2 3 4 2 5 2" xfId="28205" xr:uid="{00000000-0005-0000-0000-0000A70B0000}"/>
    <cellStyle name="Table Head Green 2 2 3 4 2 5 3" xfId="46568" xr:uid="{00000000-0005-0000-0000-0000A70B0000}"/>
    <cellStyle name="Table Head Green 2 2 3 4 2 6" xfId="13546" xr:uid="{00000000-0005-0000-0000-0000A70B0000}"/>
    <cellStyle name="Table Head Green 2 2 3 4 2 6 2" xfId="31967" xr:uid="{00000000-0005-0000-0000-0000A70B0000}"/>
    <cellStyle name="Table Head Green 2 2 3 4 2 6 3" xfId="50330" xr:uid="{00000000-0005-0000-0000-0000A70B0000}"/>
    <cellStyle name="Table Head Green 2 2 3 4 2 7" xfId="23475" xr:uid="{00000000-0005-0000-0000-0000A70B0000}"/>
    <cellStyle name="Table Head Green 2 2 3 4 2 7 2" xfId="41844" xr:uid="{00000000-0005-0000-0000-0000A70B0000}"/>
    <cellStyle name="Table Head Green 2 2 3 4 2 8" xfId="18586" xr:uid="{00000000-0005-0000-0000-0000A70B0000}"/>
    <cellStyle name="Table Head Green 2 2 3 4 2 9" xfId="36996" xr:uid="{00000000-0005-0000-0000-0000A70B0000}"/>
    <cellStyle name="Table Head Green 2 2 3 4 3" xfId="4609" xr:uid="{00000000-0005-0000-0000-0000A70B0000}"/>
    <cellStyle name="Table Head Green 2 2 3 4 3 2" xfId="11193" xr:uid="{00000000-0005-0000-0000-0000A70B0000}"/>
    <cellStyle name="Table Head Green 2 2 3 4 3 2 2" xfId="29805" xr:uid="{00000000-0005-0000-0000-0000A70B0000}"/>
    <cellStyle name="Table Head Green 2 2 3 4 3 2 3" xfId="48168" xr:uid="{00000000-0005-0000-0000-0000A70B0000}"/>
    <cellStyle name="Table Head Green 2 2 3 4 3 3" xfId="15335" xr:uid="{00000000-0005-0000-0000-0000A70B0000}"/>
    <cellStyle name="Table Head Green 2 2 3 4 3 3 2" xfId="33728" xr:uid="{00000000-0005-0000-0000-0000A70B0000}"/>
    <cellStyle name="Table Head Green 2 2 3 4 3 3 3" xfId="52091" xr:uid="{00000000-0005-0000-0000-0000A70B0000}"/>
    <cellStyle name="Table Head Green 2 2 3 4 3 4" xfId="24459" xr:uid="{00000000-0005-0000-0000-0000A70B0000}"/>
    <cellStyle name="Table Head Green 2 2 3 4 3 4 2" xfId="42828" xr:uid="{00000000-0005-0000-0000-0000A70B0000}"/>
    <cellStyle name="Table Head Green 2 2 3 4 3 5" xfId="20786" xr:uid="{00000000-0005-0000-0000-0000A70B0000}"/>
    <cellStyle name="Table Head Green 2 2 3 4 3 6" xfId="39175" xr:uid="{00000000-0005-0000-0000-0000A70B0000}"/>
    <cellStyle name="Table Head Green 2 2 3 4 4" xfId="5149" xr:uid="{00000000-0005-0000-0000-0000A70B0000}"/>
    <cellStyle name="Table Head Green 2 2 3 4 4 2" xfId="11654" xr:uid="{00000000-0005-0000-0000-0000A70B0000}"/>
    <cellStyle name="Table Head Green 2 2 3 4 4 2 2" xfId="30202" xr:uid="{00000000-0005-0000-0000-0000A70B0000}"/>
    <cellStyle name="Table Head Green 2 2 3 4 4 2 3" xfId="48565" xr:uid="{00000000-0005-0000-0000-0000A70B0000}"/>
    <cellStyle name="Table Head Green 2 2 3 4 4 3" xfId="15853" xr:uid="{00000000-0005-0000-0000-0000A70B0000}"/>
    <cellStyle name="Table Head Green 2 2 3 4 4 3 2" xfId="34237" xr:uid="{00000000-0005-0000-0000-0000A70B0000}"/>
    <cellStyle name="Table Head Green 2 2 3 4 4 3 3" xfId="52600" xr:uid="{00000000-0005-0000-0000-0000A70B0000}"/>
    <cellStyle name="Table Head Green 2 2 3 4 4 4" xfId="24976" xr:uid="{00000000-0005-0000-0000-0000A70B0000}"/>
    <cellStyle name="Table Head Green 2 2 3 4 4 4 2" xfId="43345" xr:uid="{00000000-0005-0000-0000-0000A70B0000}"/>
    <cellStyle name="Table Head Green 2 2 3 4 4 5" xfId="21299" xr:uid="{00000000-0005-0000-0000-0000A70B0000}"/>
    <cellStyle name="Table Head Green 2 2 3 4 4 6" xfId="39684" xr:uid="{00000000-0005-0000-0000-0000A70B0000}"/>
    <cellStyle name="Table Head Green 2 2 3 4 5" xfId="9454" xr:uid="{00000000-0005-0000-0000-0000A70B0000}"/>
    <cellStyle name="Table Head Green 2 2 3 4 5 2" xfId="13511" xr:uid="{00000000-0005-0000-0000-0000A70B0000}"/>
    <cellStyle name="Table Head Green 2 2 3 4 5 2 2" xfId="31932" xr:uid="{00000000-0005-0000-0000-0000A70B0000}"/>
    <cellStyle name="Table Head Green 2 2 3 4 5 2 3" xfId="50295" xr:uid="{00000000-0005-0000-0000-0000A70B0000}"/>
    <cellStyle name="Table Head Green 2 2 3 4 5 3" xfId="28171" xr:uid="{00000000-0005-0000-0000-0000A70B0000}"/>
    <cellStyle name="Table Head Green 2 2 3 4 5 3 2" xfId="46534" xr:uid="{00000000-0005-0000-0000-0000A70B0000}"/>
    <cellStyle name="Table Head Green 2 2 3 4 5 4" xfId="18542" xr:uid="{00000000-0005-0000-0000-0000A70B0000}"/>
    <cellStyle name="Table Head Green 2 2 3 4 5 5" xfId="36951" xr:uid="{00000000-0005-0000-0000-0000A70B0000}"/>
    <cellStyle name="Table Head Green 2 2 3 4 6" xfId="7902" xr:uid="{00000000-0005-0000-0000-0000A70B0000}"/>
    <cellStyle name="Table Head Green 2 2 3 4 6 2" xfId="27134" xr:uid="{00000000-0005-0000-0000-0000A70B0000}"/>
    <cellStyle name="Table Head Green 2 2 3 4 6 3" xfId="45499" xr:uid="{00000000-0005-0000-0000-0000A70B0000}"/>
    <cellStyle name="Table Head Green 2 2 3 4 7" xfId="8922" xr:uid="{00000000-0005-0000-0000-0000A70B0000}"/>
    <cellStyle name="Table Head Green 2 2 3 4 7 2" xfId="27695" xr:uid="{00000000-0005-0000-0000-0000A70B0000}"/>
    <cellStyle name="Table Head Green 2 2 3 4 7 3" xfId="46058" xr:uid="{00000000-0005-0000-0000-0000A70B0000}"/>
    <cellStyle name="Table Head Green 2 2 3 4 8" xfId="18012" xr:uid="{00000000-0005-0000-0000-0000A70B0000}"/>
    <cellStyle name="Table Head Green 2 2 3 4 8 2" xfId="36420" xr:uid="{00000000-0005-0000-0000-0000A70B0000}"/>
    <cellStyle name="Table Head Green 2 2 3 4 9" xfId="7464" xr:uid="{00000000-0005-0000-0000-0000A70B0000}"/>
    <cellStyle name="Table Head Green 2 2 3 5" xfId="3512" xr:uid="{00000000-0005-0000-0000-0000A40B0000}"/>
    <cellStyle name="Table Head Green 2 2 3 5 2" xfId="5686" xr:uid="{00000000-0005-0000-0000-0000A40B0000}"/>
    <cellStyle name="Table Head Green 2 2 3 5 2 2" xfId="12050" xr:uid="{00000000-0005-0000-0000-0000A40B0000}"/>
    <cellStyle name="Table Head Green 2 2 3 5 2 2 2" xfId="30497" xr:uid="{00000000-0005-0000-0000-0000A40B0000}"/>
    <cellStyle name="Table Head Green 2 2 3 5 2 2 3" xfId="48860" xr:uid="{00000000-0005-0000-0000-0000A40B0000}"/>
    <cellStyle name="Table Head Green 2 2 3 5 2 3" xfId="16376" xr:uid="{00000000-0005-0000-0000-0000A40B0000}"/>
    <cellStyle name="Table Head Green 2 2 3 5 2 3 2" xfId="34748" xr:uid="{00000000-0005-0000-0000-0000A40B0000}"/>
    <cellStyle name="Table Head Green 2 2 3 5 2 3 3" xfId="53111" xr:uid="{00000000-0005-0000-0000-0000A40B0000}"/>
    <cellStyle name="Table Head Green 2 2 3 5 2 4" xfId="25495" xr:uid="{00000000-0005-0000-0000-0000A40B0000}"/>
    <cellStyle name="Table Head Green 2 2 3 5 2 4 2" xfId="43864" xr:uid="{00000000-0005-0000-0000-0000A40B0000}"/>
    <cellStyle name="Table Head Green 2 2 3 5 2 5" xfId="21816" xr:uid="{00000000-0005-0000-0000-0000A40B0000}"/>
    <cellStyle name="Table Head Green 2 2 3 5 2 6" xfId="40195" xr:uid="{00000000-0005-0000-0000-0000A40B0000}"/>
    <cellStyle name="Table Head Green 2 2 3 5 3" xfId="6511" xr:uid="{00000000-0005-0000-0000-0000A40B0000}"/>
    <cellStyle name="Table Head Green 2 2 3 5 3 2" xfId="12802" xr:uid="{00000000-0005-0000-0000-0000A40B0000}"/>
    <cellStyle name="Table Head Green 2 2 3 5 3 2 2" xfId="31228" xr:uid="{00000000-0005-0000-0000-0000A40B0000}"/>
    <cellStyle name="Table Head Green 2 2 3 5 3 2 3" xfId="49591" xr:uid="{00000000-0005-0000-0000-0000A40B0000}"/>
    <cellStyle name="Table Head Green 2 2 3 5 3 3" xfId="17113" xr:uid="{00000000-0005-0000-0000-0000A40B0000}"/>
    <cellStyle name="Table Head Green 2 2 3 5 3 3 2" xfId="35461" xr:uid="{00000000-0005-0000-0000-0000A40B0000}"/>
    <cellStyle name="Table Head Green 2 2 3 5 3 3 3" xfId="53824" xr:uid="{00000000-0005-0000-0000-0000A40B0000}"/>
    <cellStyle name="Table Head Green 2 2 3 5 3 4" xfId="26246" xr:uid="{00000000-0005-0000-0000-0000A40B0000}"/>
    <cellStyle name="Table Head Green 2 2 3 5 3 4 2" xfId="44615" xr:uid="{00000000-0005-0000-0000-0000A40B0000}"/>
    <cellStyle name="Table Head Green 2 2 3 5 3 5" xfId="22539" xr:uid="{00000000-0005-0000-0000-0000A40B0000}"/>
    <cellStyle name="Table Head Green 2 2 3 5 3 6" xfId="40908" xr:uid="{00000000-0005-0000-0000-0000A40B0000}"/>
    <cellStyle name="Table Head Green 2 2 3 5 4" xfId="10225" xr:uid="{00000000-0005-0000-0000-0000A40B0000}"/>
    <cellStyle name="Table Head Green 2 2 3 5 4 2" xfId="14282" xr:uid="{00000000-0005-0000-0000-0000A40B0000}"/>
    <cellStyle name="Table Head Green 2 2 3 5 4 2 2" xfId="32698" xr:uid="{00000000-0005-0000-0000-0000A40B0000}"/>
    <cellStyle name="Table Head Green 2 2 3 5 4 2 3" xfId="51061" xr:uid="{00000000-0005-0000-0000-0000A40B0000}"/>
    <cellStyle name="Table Head Green 2 2 3 5 4 3" xfId="28936" xr:uid="{00000000-0005-0000-0000-0000A40B0000}"/>
    <cellStyle name="Table Head Green 2 2 3 5 4 3 2" xfId="47299" xr:uid="{00000000-0005-0000-0000-0000A40B0000}"/>
    <cellStyle name="Table Head Green 2 2 3 5 4 4" xfId="19739" xr:uid="{00000000-0005-0000-0000-0000A40B0000}"/>
    <cellStyle name="Table Head Green 2 2 3 5 4 5" xfId="38145" xr:uid="{00000000-0005-0000-0000-0000A40B0000}"/>
    <cellStyle name="Table Head Green 2 2 3 5 5" xfId="9420" xr:uid="{00000000-0005-0000-0000-0000A40B0000}"/>
    <cellStyle name="Table Head Green 2 2 3 5 5 2" xfId="28137" xr:uid="{00000000-0005-0000-0000-0000A40B0000}"/>
    <cellStyle name="Table Head Green 2 2 3 5 5 3" xfId="46500" xr:uid="{00000000-0005-0000-0000-0000A40B0000}"/>
    <cellStyle name="Table Head Green 2 2 3 5 6" xfId="13477" xr:uid="{00000000-0005-0000-0000-0000A40B0000}"/>
    <cellStyle name="Table Head Green 2 2 3 5 6 2" xfId="31898" xr:uid="{00000000-0005-0000-0000-0000A40B0000}"/>
    <cellStyle name="Table Head Green 2 2 3 5 6 3" xfId="50261" xr:uid="{00000000-0005-0000-0000-0000A40B0000}"/>
    <cellStyle name="Table Head Green 2 2 3 5 7" xfId="23420" xr:uid="{00000000-0005-0000-0000-0000A40B0000}"/>
    <cellStyle name="Table Head Green 2 2 3 5 7 2" xfId="41789" xr:uid="{00000000-0005-0000-0000-0000A40B0000}"/>
    <cellStyle name="Table Head Green 2 2 3 5 8" xfId="18505" xr:uid="{00000000-0005-0000-0000-0000A40B0000}"/>
    <cellStyle name="Table Head Green 2 2 3 5 9" xfId="36914" xr:uid="{00000000-0005-0000-0000-0000A40B0000}"/>
    <cellStyle name="Table Head Green 2 2 3 6" xfId="4516" xr:uid="{00000000-0005-0000-0000-0000A40B0000}"/>
    <cellStyle name="Table Head Green 2 2 3 6 2" xfId="11107" xr:uid="{00000000-0005-0000-0000-0000A40B0000}"/>
    <cellStyle name="Table Head Green 2 2 3 6 2 2" xfId="29725" xr:uid="{00000000-0005-0000-0000-0000A40B0000}"/>
    <cellStyle name="Table Head Green 2 2 3 6 2 3" xfId="48088" xr:uid="{00000000-0005-0000-0000-0000A40B0000}"/>
    <cellStyle name="Table Head Green 2 2 3 6 3" xfId="15245" xr:uid="{00000000-0005-0000-0000-0000A40B0000}"/>
    <cellStyle name="Table Head Green 2 2 3 6 3 2" xfId="33639" xr:uid="{00000000-0005-0000-0000-0000A40B0000}"/>
    <cellStyle name="Table Head Green 2 2 3 6 3 3" xfId="52002" xr:uid="{00000000-0005-0000-0000-0000A40B0000}"/>
    <cellStyle name="Table Head Green 2 2 3 6 4" xfId="24370" xr:uid="{00000000-0005-0000-0000-0000A40B0000}"/>
    <cellStyle name="Table Head Green 2 2 3 6 4 2" xfId="42739" xr:uid="{00000000-0005-0000-0000-0000A40B0000}"/>
    <cellStyle name="Table Head Green 2 2 3 6 5" xfId="20694" xr:uid="{00000000-0005-0000-0000-0000A40B0000}"/>
    <cellStyle name="Table Head Green 2 2 3 6 6" xfId="39086" xr:uid="{00000000-0005-0000-0000-0000A40B0000}"/>
    <cellStyle name="Table Head Green 2 2 3 7" xfId="3995" xr:uid="{00000000-0005-0000-0000-0000A40B0000}"/>
    <cellStyle name="Table Head Green 2 2 3 7 2" xfId="10700" xr:uid="{00000000-0005-0000-0000-0000A40B0000}"/>
    <cellStyle name="Table Head Green 2 2 3 7 2 2" xfId="29405" xr:uid="{00000000-0005-0000-0000-0000A40B0000}"/>
    <cellStyle name="Table Head Green 2 2 3 7 2 3" xfId="47768" xr:uid="{00000000-0005-0000-0000-0000A40B0000}"/>
    <cellStyle name="Table Head Green 2 2 3 7 3" xfId="14756" xr:uid="{00000000-0005-0000-0000-0000A40B0000}"/>
    <cellStyle name="Table Head Green 2 2 3 7 3 2" xfId="33168" xr:uid="{00000000-0005-0000-0000-0000A40B0000}"/>
    <cellStyle name="Table Head Green 2 2 3 7 3 3" xfId="51531" xr:uid="{00000000-0005-0000-0000-0000A40B0000}"/>
    <cellStyle name="Table Head Green 2 2 3 7 4" xfId="23892" xr:uid="{00000000-0005-0000-0000-0000A40B0000}"/>
    <cellStyle name="Table Head Green 2 2 3 7 4 2" xfId="42261" xr:uid="{00000000-0005-0000-0000-0000A40B0000}"/>
    <cellStyle name="Table Head Green 2 2 3 7 5" xfId="20212" xr:uid="{00000000-0005-0000-0000-0000A40B0000}"/>
    <cellStyle name="Table Head Green 2 2 3 7 6" xfId="38615" xr:uid="{00000000-0005-0000-0000-0000A40B0000}"/>
    <cellStyle name="Table Head Green 2 2 3 8" xfId="9113" xr:uid="{00000000-0005-0000-0000-0000A40B0000}"/>
    <cellStyle name="Table Head Green 2 2 3 8 2" xfId="8409" xr:uid="{00000000-0005-0000-0000-0000A40B0000}"/>
    <cellStyle name="Table Head Green 2 2 3 8 2 2" xfId="27470" xr:uid="{00000000-0005-0000-0000-0000A40B0000}"/>
    <cellStyle name="Table Head Green 2 2 3 8 2 3" xfId="45834" xr:uid="{00000000-0005-0000-0000-0000A40B0000}"/>
    <cellStyle name="Table Head Green 2 2 3 8 3" xfId="27839" xr:uid="{00000000-0005-0000-0000-0000A40B0000}"/>
    <cellStyle name="Table Head Green 2 2 3 8 3 2" xfId="46202" xr:uid="{00000000-0005-0000-0000-0000A40B0000}"/>
    <cellStyle name="Table Head Green 2 2 3 8 4" xfId="18025" xr:uid="{00000000-0005-0000-0000-0000A40B0000}"/>
    <cellStyle name="Table Head Green 2 2 3 8 5" xfId="36433" xr:uid="{00000000-0005-0000-0000-0000A40B0000}"/>
    <cellStyle name="Table Head Green 2 2 3 9" xfId="7785" xr:uid="{00000000-0005-0000-0000-0000A40B0000}"/>
    <cellStyle name="Table Head Green 2 2 3 9 2" xfId="27056" xr:uid="{00000000-0005-0000-0000-0000A40B0000}"/>
    <cellStyle name="Table Head Green 2 2 3 9 3" xfId="45421" xr:uid="{00000000-0005-0000-0000-0000A40B0000}"/>
    <cellStyle name="Table Head Green 2 2 4" xfId="1471" xr:uid="{00000000-0005-0000-0000-0000A80B0000}"/>
    <cellStyle name="Table Head Green 2 2 4 10" xfId="8510" xr:uid="{00000000-0005-0000-0000-0000A80B0000}"/>
    <cellStyle name="Table Head Green 2 2 4 2" xfId="3487" xr:uid="{00000000-0005-0000-0000-0000A80B0000}"/>
    <cellStyle name="Table Head Green 2 2 4 2 2" xfId="5662" xr:uid="{00000000-0005-0000-0000-0000A80B0000}"/>
    <cellStyle name="Table Head Green 2 2 4 2 2 2" xfId="12026" xr:uid="{00000000-0005-0000-0000-0000A80B0000}"/>
    <cellStyle name="Table Head Green 2 2 4 2 2 2 2" xfId="30473" xr:uid="{00000000-0005-0000-0000-0000A80B0000}"/>
    <cellStyle name="Table Head Green 2 2 4 2 2 2 3" xfId="48836" xr:uid="{00000000-0005-0000-0000-0000A80B0000}"/>
    <cellStyle name="Table Head Green 2 2 4 2 2 3" xfId="16352" xr:uid="{00000000-0005-0000-0000-0000A80B0000}"/>
    <cellStyle name="Table Head Green 2 2 4 2 2 3 2" xfId="34724" xr:uid="{00000000-0005-0000-0000-0000A80B0000}"/>
    <cellStyle name="Table Head Green 2 2 4 2 2 3 3" xfId="53087" xr:uid="{00000000-0005-0000-0000-0000A80B0000}"/>
    <cellStyle name="Table Head Green 2 2 4 2 2 4" xfId="25471" xr:uid="{00000000-0005-0000-0000-0000A80B0000}"/>
    <cellStyle name="Table Head Green 2 2 4 2 2 4 2" xfId="43840" xr:uid="{00000000-0005-0000-0000-0000A80B0000}"/>
    <cellStyle name="Table Head Green 2 2 4 2 2 5" xfId="21792" xr:uid="{00000000-0005-0000-0000-0000A80B0000}"/>
    <cellStyle name="Table Head Green 2 2 4 2 2 6" xfId="40171" xr:uid="{00000000-0005-0000-0000-0000A80B0000}"/>
    <cellStyle name="Table Head Green 2 2 4 2 3" xfId="6486" xr:uid="{00000000-0005-0000-0000-0000A80B0000}"/>
    <cellStyle name="Table Head Green 2 2 4 2 3 2" xfId="12777" xr:uid="{00000000-0005-0000-0000-0000A80B0000}"/>
    <cellStyle name="Table Head Green 2 2 4 2 3 2 2" xfId="31203" xr:uid="{00000000-0005-0000-0000-0000A80B0000}"/>
    <cellStyle name="Table Head Green 2 2 4 2 3 2 3" xfId="49566" xr:uid="{00000000-0005-0000-0000-0000A80B0000}"/>
    <cellStyle name="Table Head Green 2 2 4 2 3 3" xfId="17088" xr:uid="{00000000-0005-0000-0000-0000A80B0000}"/>
    <cellStyle name="Table Head Green 2 2 4 2 3 3 2" xfId="35436" xr:uid="{00000000-0005-0000-0000-0000A80B0000}"/>
    <cellStyle name="Table Head Green 2 2 4 2 3 3 3" xfId="53799" xr:uid="{00000000-0005-0000-0000-0000A80B0000}"/>
    <cellStyle name="Table Head Green 2 2 4 2 3 4" xfId="26221" xr:uid="{00000000-0005-0000-0000-0000A80B0000}"/>
    <cellStyle name="Table Head Green 2 2 4 2 3 4 2" xfId="44590" xr:uid="{00000000-0005-0000-0000-0000A80B0000}"/>
    <cellStyle name="Table Head Green 2 2 4 2 3 5" xfId="22514" xr:uid="{00000000-0005-0000-0000-0000A80B0000}"/>
    <cellStyle name="Table Head Green 2 2 4 2 3 6" xfId="40883" xr:uid="{00000000-0005-0000-0000-0000A80B0000}"/>
    <cellStyle name="Table Head Green 2 2 4 2 4" xfId="10200" xr:uid="{00000000-0005-0000-0000-0000A80B0000}"/>
    <cellStyle name="Table Head Green 2 2 4 2 4 2" xfId="14257" xr:uid="{00000000-0005-0000-0000-0000A80B0000}"/>
    <cellStyle name="Table Head Green 2 2 4 2 4 2 2" xfId="32673" xr:uid="{00000000-0005-0000-0000-0000A80B0000}"/>
    <cellStyle name="Table Head Green 2 2 4 2 4 2 3" xfId="51036" xr:uid="{00000000-0005-0000-0000-0000A80B0000}"/>
    <cellStyle name="Table Head Green 2 2 4 2 4 3" xfId="28911" xr:uid="{00000000-0005-0000-0000-0000A80B0000}"/>
    <cellStyle name="Table Head Green 2 2 4 2 4 3 2" xfId="47274" xr:uid="{00000000-0005-0000-0000-0000A80B0000}"/>
    <cellStyle name="Table Head Green 2 2 4 2 4 4" xfId="19714" xr:uid="{00000000-0005-0000-0000-0000A80B0000}"/>
    <cellStyle name="Table Head Green 2 2 4 2 4 5" xfId="38120" xr:uid="{00000000-0005-0000-0000-0000A80B0000}"/>
    <cellStyle name="Table Head Green 2 2 4 2 5" xfId="9393" xr:uid="{00000000-0005-0000-0000-0000A80B0000}"/>
    <cellStyle name="Table Head Green 2 2 4 2 5 2" xfId="28112" xr:uid="{00000000-0005-0000-0000-0000A80B0000}"/>
    <cellStyle name="Table Head Green 2 2 4 2 5 3" xfId="46475" xr:uid="{00000000-0005-0000-0000-0000A80B0000}"/>
    <cellStyle name="Table Head Green 2 2 4 2 6" xfId="13449" xr:uid="{00000000-0005-0000-0000-0000A80B0000}"/>
    <cellStyle name="Table Head Green 2 2 4 2 6 2" xfId="31870" xr:uid="{00000000-0005-0000-0000-0000A80B0000}"/>
    <cellStyle name="Table Head Green 2 2 4 2 6 3" xfId="50233" xr:uid="{00000000-0005-0000-0000-0000A80B0000}"/>
    <cellStyle name="Table Head Green 2 2 4 2 7" xfId="23395" xr:uid="{00000000-0005-0000-0000-0000A80B0000}"/>
    <cellStyle name="Table Head Green 2 2 4 2 7 2" xfId="41764" xr:uid="{00000000-0005-0000-0000-0000A80B0000}"/>
    <cellStyle name="Table Head Green 2 2 4 2 8" xfId="18476" xr:uid="{00000000-0005-0000-0000-0000A80B0000}"/>
    <cellStyle name="Table Head Green 2 2 4 2 9" xfId="36882" xr:uid="{00000000-0005-0000-0000-0000A80B0000}"/>
    <cellStyle name="Table Head Green 2 2 4 3" xfId="4486" xr:uid="{00000000-0005-0000-0000-0000A80B0000}"/>
    <cellStyle name="Table Head Green 2 2 4 3 2" xfId="11081" xr:uid="{00000000-0005-0000-0000-0000A80B0000}"/>
    <cellStyle name="Table Head Green 2 2 4 3 2 2" xfId="29701" xr:uid="{00000000-0005-0000-0000-0000A80B0000}"/>
    <cellStyle name="Table Head Green 2 2 4 3 2 3" xfId="48064" xr:uid="{00000000-0005-0000-0000-0000A80B0000}"/>
    <cellStyle name="Table Head Green 2 2 4 3 3" xfId="15220" xr:uid="{00000000-0005-0000-0000-0000A80B0000}"/>
    <cellStyle name="Table Head Green 2 2 4 3 3 2" xfId="33615" xr:uid="{00000000-0005-0000-0000-0000A80B0000}"/>
    <cellStyle name="Table Head Green 2 2 4 3 3 3" xfId="51978" xr:uid="{00000000-0005-0000-0000-0000A80B0000}"/>
    <cellStyle name="Table Head Green 2 2 4 3 4" xfId="24346" xr:uid="{00000000-0005-0000-0000-0000A80B0000}"/>
    <cellStyle name="Table Head Green 2 2 4 3 4 2" xfId="42715" xr:uid="{00000000-0005-0000-0000-0000A80B0000}"/>
    <cellStyle name="Table Head Green 2 2 4 3 5" xfId="20670" xr:uid="{00000000-0005-0000-0000-0000A80B0000}"/>
    <cellStyle name="Table Head Green 2 2 4 3 6" xfId="39062" xr:uid="{00000000-0005-0000-0000-0000A80B0000}"/>
    <cellStyle name="Table Head Green 2 2 4 4" xfId="4011" xr:uid="{00000000-0005-0000-0000-0000A80B0000}"/>
    <cellStyle name="Table Head Green 2 2 4 4 2" xfId="10715" xr:uid="{00000000-0005-0000-0000-0000A80B0000}"/>
    <cellStyle name="Table Head Green 2 2 4 4 2 2" xfId="29419" xr:uid="{00000000-0005-0000-0000-0000A80B0000}"/>
    <cellStyle name="Table Head Green 2 2 4 4 2 3" xfId="47782" xr:uid="{00000000-0005-0000-0000-0000A80B0000}"/>
    <cellStyle name="Table Head Green 2 2 4 4 3" xfId="14772" xr:uid="{00000000-0005-0000-0000-0000A80B0000}"/>
    <cellStyle name="Table Head Green 2 2 4 4 3 2" xfId="33184" xr:uid="{00000000-0005-0000-0000-0000A80B0000}"/>
    <cellStyle name="Table Head Green 2 2 4 4 3 3" xfId="51547" xr:uid="{00000000-0005-0000-0000-0000A80B0000}"/>
    <cellStyle name="Table Head Green 2 2 4 4 4" xfId="23908" xr:uid="{00000000-0005-0000-0000-0000A80B0000}"/>
    <cellStyle name="Table Head Green 2 2 4 4 4 2" xfId="42277" xr:uid="{00000000-0005-0000-0000-0000A80B0000}"/>
    <cellStyle name="Table Head Green 2 2 4 4 5" xfId="20228" xr:uid="{00000000-0005-0000-0000-0000A80B0000}"/>
    <cellStyle name="Table Head Green 2 2 4 4 6" xfId="38631" xr:uid="{00000000-0005-0000-0000-0000A80B0000}"/>
    <cellStyle name="Table Head Green 2 2 4 5" xfId="9825" xr:uid="{00000000-0005-0000-0000-0000A80B0000}"/>
    <cellStyle name="Table Head Green 2 2 4 5 2" xfId="13882" xr:uid="{00000000-0005-0000-0000-0000A80B0000}"/>
    <cellStyle name="Table Head Green 2 2 4 5 2 2" xfId="32302" xr:uid="{00000000-0005-0000-0000-0000A80B0000}"/>
    <cellStyle name="Table Head Green 2 2 4 5 2 3" xfId="50665" xr:uid="{00000000-0005-0000-0000-0000A80B0000}"/>
    <cellStyle name="Table Head Green 2 2 4 5 3" xfId="28540" xr:uid="{00000000-0005-0000-0000-0000A80B0000}"/>
    <cellStyle name="Table Head Green 2 2 4 5 3 2" xfId="46903" xr:uid="{00000000-0005-0000-0000-0000A80B0000}"/>
    <cellStyle name="Table Head Green 2 2 4 5 4" xfId="19045" xr:uid="{00000000-0005-0000-0000-0000A80B0000}"/>
    <cellStyle name="Table Head Green 2 2 4 5 5" xfId="37454" xr:uid="{00000000-0005-0000-0000-0000A80B0000}"/>
    <cellStyle name="Table Head Green 2 2 4 6" xfId="7757" xr:uid="{00000000-0005-0000-0000-0000A80B0000}"/>
    <cellStyle name="Table Head Green 2 2 4 6 2" xfId="27033" xr:uid="{00000000-0005-0000-0000-0000A80B0000}"/>
    <cellStyle name="Table Head Green 2 2 4 6 3" xfId="45398" xr:uid="{00000000-0005-0000-0000-0000A80B0000}"/>
    <cellStyle name="Table Head Green 2 2 4 7" xfId="8535" xr:uid="{00000000-0005-0000-0000-0000A80B0000}"/>
    <cellStyle name="Table Head Green 2 2 4 7 2" xfId="27520" xr:uid="{00000000-0005-0000-0000-0000A80B0000}"/>
    <cellStyle name="Table Head Green 2 2 4 7 3" xfId="45884" xr:uid="{00000000-0005-0000-0000-0000A80B0000}"/>
    <cellStyle name="Table Head Green 2 2 4 8" xfId="17854" xr:uid="{00000000-0005-0000-0000-0000A80B0000}"/>
    <cellStyle name="Table Head Green 2 2 4 8 2" xfId="36264" xr:uid="{00000000-0005-0000-0000-0000A80B0000}"/>
    <cellStyle name="Table Head Green 2 2 4 9" xfId="10808" xr:uid="{00000000-0005-0000-0000-0000A80B0000}"/>
    <cellStyle name="Table Head Green 2 2 5" xfId="3379" xr:uid="{00000000-0005-0000-0000-00009F0B0000}"/>
    <cellStyle name="Table Head Green 2 2 5 2" xfId="5554" xr:uid="{00000000-0005-0000-0000-00009F0B0000}"/>
    <cellStyle name="Table Head Green 2 2 5 2 2" xfId="11918" xr:uid="{00000000-0005-0000-0000-00009F0B0000}"/>
    <cellStyle name="Table Head Green 2 2 5 2 2 2" xfId="30365" xr:uid="{00000000-0005-0000-0000-00009F0B0000}"/>
    <cellStyle name="Table Head Green 2 2 5 2 2 3" xfId="48728" xr:uid="{00000000-0005-0000-0000-00009F0B0000}"/>
    <cellStyle name="Table Head Green 2 2 5 2 3" xfId="16244" xr:uid="{00000000-0005-0000-0000-00009F0B0000}"/>
    <cellStyle name="Table Head Green 2 2 5 2 3 2" xfId="34616" xr:uid="{00000000-0005-0000-0000-00009F0B0000}"/>
    <cellStyle name="Table Head Green 2 2 5 2 3 3" xfId="52979" xr:uid="{00000000-0005-0000-0000-00009F0B0000}"/>
    <cellStyle name="Table Head Green 2 2 5 2 4" xfId="25363" xr:uid="{00000000-0005-0000-0000-00009F0B0000}"/>
    <cellStyle name="Table Head Green 2 2 5 2 4 2" xfId="43732" xr:uid="{00000000-0005-0000-0000-00009F0B0000}"/>
    <cellStyle name="Table Head Green 2 2 5 2 5" xfId="21684" xr:uid="{00000000-0005-0000-0000-00009F0B0000}"/>
    <cellStyle name="Table Head Green 2 2 5 2 6" xfId="40063" xr:uid="{00000000-0005-0000-0000-00009F0B0000}"/>
    <cellStyle name="Table Head Green 2 2 5 3" xfId="6378" xr:uid="{00000000-0005-0000-0000-00009F0B0000}"/>
    <cellStyle name="Table Head Green 2 2 5 3 2" xfId="12669" xr:uid="{00000000-0005-0000-0000-00009F0B0000}"/>
    <cellStyle name="Table Head Green 2 2 5 3 2 2" xfId="31095" xr:uid="{00000000-0005-0000-0000-00009F0B0000}"/>
    <cellStyle name="Table Head Green 2 2 5 3 2 3" xfId="49458" xr:uid="{00000000-0005-0000-0000-00009F0B0000}"/>
    <cellStyle name="Table Head Green 2 2 5 3 3" xfId="16980" xr:uid="{00000000-0005-0000-0000-00009F0B0000}"/>
    <cellStyle name="Table Head Green 2 2 5 3 3 2" xfId="35328" xr:uid="{00000000-0005-0000-0000-00009F0B0000}"/>
    <cellStyle name="Table Head Green 2 2 5 3 3 3" xfId="53691" xr:uid="{00000000-0005-0000-0000-00009F0B0000}"/>
    <cellStyle name="Table Head Green 2 2 5 3 4" xfId="26113" xr:uid="{00000000-0005-0000-0000-00009F0B0000}"/>
    <cellStyle name="Table Head Green 2 2 5 3 4 2" xfId="44482" xr:uid="{00000000-0005-0000-0000-00009F0B0000}"/>
    <cellStyle name="Table Head Green 2 2 5 3 5" xfId="22406" xr:uid="{00000000-0005-0000-0000-00009F0B0000}"/>
    <cellStyle name="Table Head Green 2 2 5 3 6" xfId="40775" xr:uid="{00000000-0005-0000-0000-00009F0B0000}"/>
    <cellStyle name="Table Head Green 2 2 5 4" xfId="10092" xr:uid="{00000000-0005-0000-0000-00009F0B0000}"/>
    <cellStyle name="Table Head Green 2 2 5 4 2" xfId="14149" xr:uid="{00000000-0005-0000-0000-00009F0B0000}"/>
    <cellStyle name="Table Head Green 2 2 5 4 2 2" xfId="32565" xr:uid="{00000000-0005-0000-0000-00009F0B0000}"/>
    <cellStyle name="Table Head Green 2 2 5 4 2 3" xfId="50928" xr:uid="{00000000-0005-0000-0000-00009F0B0000}"/>
    <cellStyle name="Table Head Green 2 2 5 4 3" xfId="28803" xr:uid="{00000000-0005-0000-0000-00009F0B0000}"/>
    <cellStyle name="Table Head Green 2 2 5 4 3 2" xfId="47166" xr:uid="{00000000-0005-0000-0000-00009F0B0000}"/>
    <cellStyle name="Table Head Green 2 2 5 4 4" xfId="19606" xr:uid="{00000000-0005-0000-0000-00009F0B0000}"/>
    <cellStyle name="Table Head Green 2 2 5 4 5" xfId="38012" xr:uid="{00000000-0005-0000-0000-00009F0B0000}"/>
    <cellStyle name="Table Head Green 2 2 5 5" xfId="9244" xr:uid="{00000000-0005-0000-0000-00009F0B0000}"/>
    <cellStyle name="Table Head Green 2 2 5 5 2" xfId="27964" xr:uid="{00000000-0005-0000-0000-00009F0B0000}"/>
    <cellStyle name="Table Head Green 2 2 5 5 3" xfId="46327" xr:uid="{00000000-0005-0000-0000-00009F0B0000}"/>
    <cellStyle name="Table Head Green 2 2 5 6" xfId="13301" xr:uid="{00000000-0005-0000-0000-00009F0B0000}"/>
    <cellStyle name="Table Head Green 2 2 5 6 2" xfId="31722" xr:uid="{00000000-0005-0000-0000-00009F0B0000}"/>
    <cellStyle name="Table Head Green 2 2 5 6 3" xfId="50085" xr:uid="{00000000-0005-0000-0000-00009F0B0000}"/>
    <cellStyle name="Table Head Green 2 2 5 7" xfId="23287" xr:uid="{00000000-0005-0000-0000-00009F0B0000}"/>
    <cellStyle name="Table Head Green 2 2 5 7 2" xfId="41656" xr:uid="{00000000-0005-0000-0000-00009F0B0000}"/>
    <cellStyle name="Table Head Green 2 2 5 8" xfId="18296" xr:uid="{00000000-0005-0000-0000-00009F0B0000}"/>
    <cellStyle name="Table Head Green 2 2 5 9" xfId="36702" xr:uid="{00000000-0005-0000-0000-00009F0B0000}"/>
    <cellStyle name="Table Head Green 2 2 6" xfId="4329" xr:uid="{00000000-0005-0000-0000-00009F0B0000}"/>
    <cellStyle name="Table Head Green 2 2 6 2" xfId="10937" xr:uid="{00000000-0005-0000-0000-00009F0B0000}"/>
    <cellStyle name="Table Head Green 2 2 6 2 2" xfId="29567" xr:uid="{00000000-0005-0000-0000-00009F0B0000}"/>
    <cellStyle name="Table Head Green 2 2 6 2 3" xfId="47930" xr:uid="{00000000-0005-0000-0000-00009F0B0000}"/>
    <cellStyle name="Table Head Green 2 2 6 3" xfId="15073" xr:uid="{00000000-0005-0000-0000-00009F0B0000}"/>
    <cellStyle name="Table Head Green 2 2 6 3 2" xfId="33475" xr:uid="{00000000-0005-0000-0000-00009F0B0000}"/>
    <cellStyle name="Table Head Green 2 2 6 3 3" xfId="51838" xr:uid="{00000000-0005-0000-0000-00009F0B0000}"/>
    <cellStyle name="Table Head Green 2 2 6 4" xfId="24204" xr:uid="{00000000-0005-0000-0000-00009F0B0000}"/>
    <cellStyle name="Table Head Green 2 2 6 4 2" xfId="42573" xr:uid="{00000000-0005-0000-0000-00009F0B0000}"/>
    <cellStyle name="Table Head Green 2 2 6 5" xfId="20525" xr:uid="{00000000-0005-0000-0000-00009F0B0000}"/>
    <cellStyle name="Table Head Green 2 2 6 6" xfId="38922" xr:uid="{00000000-0005-0000-0000-00009F0B0000}"/>
    <cellStyle name="Table Head Green 2 2 7" xfId="5071" xr:uid="{00000000-0005-0000-0000-00009F0B0000}"/>
    <cellStyle name="Table Head Green 2 2 7 2" xfId="11593" xr:uid="{00000000-0005-0000-0000-00009F0B0000}"/>
    <cellStyle name="Table Head Green 2 2 7 2 2" xfId="30160" xr:uid="{00000000-0005-0000-0000-00009F0B0000}"/>
    <cellStyle name="Table Head Green 2 2 7 2 3" xfId="48523" xr:uid="{00000000-0005-0000-0000-00009F0B0000}"/>
    <cellStyle name="Table Head Green 2 2 7 3" xfId="15784" xr:uid="{00000000-0005-0000-0000-00009F0B0000}"/>
    <cellStyle name="Table Head Green 2 2 7 3 2" xfId="34171" xr:uid="{00000000-0005-0000-0000-00009F0B0000}"/>
    <cellStyle name="Table Head Green 2 2 7 3 3" xfId="52534" xr:uid="{00000000-0005-0000-0000-00009F0B0000}"/>
    <cellStyle name="Table Head Green 2 2 7 4" xfId="24907" xr:uid="{00000000-0005-0000-0000-00009F0B0000}"/>
    <cellStyle name="Table Head Green 2 2 7 4 2" xfId="43276" xr:uid="{00000000-0005-0000-0000-00009F0B0000}"/>
    <cellStyle name="Table Head Green 2 2 7 5" xfId="21232" xr:uid="{00000000-0005-0000-0000-00009F0B0000}"/>
    <cellStyle name="Table Head Green 2 2 7 6" xfId="39618" xr:uid="{00000000-0005-0000-0000-00009F0B0000}"/>
    <cellStyle name="Table Head Green 2 2 8" xfId="7581" xr:uid="{00000000-0005-0000-0000-00009F0B0000}"/>
    <cellStyle name="Table Head Green 2 2 8 2" xfId="26889" xr:uid="{00000000-0005-0000-0000-00009F0B0000}"/>
    <cellStyle name="Table Head Green 2 2 8 3" xfId="45254" xr:uid="{00000000-0005-0000-0000-00009F0B0000}"/>
    <cellStyle name="Table Head Green 2 2 9" xfId="7261" xr:uid="{00000000-0005-0000-0000-00009F0B0000}"/>
    <cellStyle name="Table Head Green 2 2 9 2" xfId="26777" xr:uid="{00000000-0005-0000-0000-00009F0B0000}"/>
    <cellStyle name="Table Head Green 2 2 9 3" xfId="45145" xr:uid="{00000000-0005-0000-0000-00009F0B0000}"/>
    <cellStyle name="Table Head Green 2 3" xfId="1456" xr:uid="{00000000-0005-0000-0000-0000A90B0000}"/>
    <cellStyle name="Table Head Green 2 3 10" xfId="8427" xr:uid="{00000000-0005-0000-0000-0000A90B0000}"/>
    <cellStyle name="Table Head Green 2 3 2" xfId="3475" xr:uid="{00000000-0005-0000-0000-0000A90B0000}"/>
    <cellStyle name="Table Head Green 2 3 2 2" xfId="5650" xr:uid="{00000000-0005-0000-0000-0000A90B0000}"/>
    <cellStyle name="Table Head Green 2 3 2 2 2" xfId="12014" xr:uid="{00000000-0005-0000-0000-0000A90B0000}"/>
    <cellStyle name="Table Head Green 2 3 2 2 2 2" xfId="30461" xr:uid="{00000000-0005-0000-0000-0000A90B0000}"/>
    <cellStyle name="Table Head Green 2 3 2 2 2 3" xfId="48824" xr:uid="{00000000-0005-0000-0000-0000A90B0000}"/>
    <cellStyle name="Table Head Green 2 3 2 2 3" xfId="16340" xr:uid="{00000000-0005-0000-0000-0000A90B0000}"/>
    <cellStyle name="Table Head Green 2 3 2 2 3 2" xfId="34712" xr:uid="{00000000-0005-0000-0000-0000A90B0000}"/>
    <cellStyle name="Table Head Green 2 3 2 2 3 3" xfId="53075" xr:uid="{00000000-0005-0000-0000-0000A90B0000}"/>
    <cellStyle name="Table Head Green 2 3 2 2 4" xfId="25459" xr:uid="{00000000-0005-0000-0000-0000A90B0000}"/>
    <cellStyle name="Table Head Green 2 3 2 2 4 2" xfId="43828" xr:uid="{00000000-0005-0000-0000-0000A90B0000}"/>
    <cellStyle name="Table Head Green 2 3 2 2 5" xfId="21780" xr:uid="{00000000-0005-0000-0000-0000A90B0000}"/>
    <cellStyle name="Table Head Green 2 3 2 2 6" xfId="40159" xr:uid="{00000000-0005-0000-0000-0000A90B0000}"/>
    <cellStyle name="Table Head Green 2 3 2 3" xfId="6474" xr:uid="{00000000-0005-0000-0000-0000A90B0000}"/>
    <cellStyle name="Table Head Green 2 3 2 3 2" xfId="12765" xr:uid="{00000000-0005-0000-0000-0000A90B0000}"/>
    <cellStyle name="Table Head Green 2 3 2 3 2 2" xfId="31191" xr:uid="{00000000-0005-0000-0000-0000A90B0000}"/>
    <cellStyle name="Table Head Green 2 3 2 3 2 3" xfId="49554" xr:uid="{00000000-0005-0000-0000-0000A90B0000}"/>
    <cellStyle name="Table Head Green 2 3 2 3 3" xfId="17076" xr:uid="{00000000-0005-0000-0000-0000A90B0000}"/>
    <cellStyle name="Table Head Green 2 3 2 3 3 2" xfId="35424" xr:uid="{00000000-0005-0000-0000-0000A90B0000}"/>
    <cellStyle name="Table Head Green 2 3 2 3 3 3" xfId="53787" xr:uid="{00000000-0005-0000-0000-0000A90B0000}"/>
    <cellStyle name="Table Head Green 2 3 2 3 4" xfId="26209" xr:uid="{00000000-0005-0000-0000-0000A90B0000}"/>
    <cellStyle name="Table Head Green 2 3 2 3 4 2" xfId="44578" xr:uid="{00000000-0005-0000-0000-0000A90B0000}"/>
    <cellStyle name="Table Head Green 2 3 2 3 5" xfId="22502" xr:uid="{00000000-0005-0000-0000-0000A90B0000}"/>
    <cellStyle name="Table Head Green 2 3 2 3 6" xfId="40871" xr:uid="{00000000-0005-0000-0000-0000A90B0000}"/>
    <cellStyle name="Table Head Green 2 3 2 4" xfId="10188" xr:uid="{00000000-0005-0000-0000-0000A90B0000}"/>
    <cellStyle name="Table Head Green 2 3 2 4 2" xfId="14245" xr:uid="{00000000-0005-0000-0000-0000A90B0000}"/>
    <cellStyle name="Table Head Green 2 3 2 4 2 2" xfId="32661" xr:uid="{00000000-0005-0000-0000-0000A90B0000}"/>
    <cellStyle name="Table Head Green 2 3 2 4 2 3" xfId="51024" xr:uid="{00000000-0005-0000-0000-0000A90B0000}"/>
    <cellStyle name="Table Head Green 2 3 2 4 3" xfId="28899" xr:uid="{00000000-0005-0000-0000-0000A90B0000}"/>
    <cellStyle name="Table Head Green 2 3 2 4 3 2" xfId="47262" xr:uid="{00000000-0005-0000-0000-0000A90B0000}"/>
    <cellStyle name="Table Head Green 2 3 2 4 4" xfId="19702" xr:uid="{00000000-0005-0000-0000-0000A90B0000}"/>
    <cellStyle name="Table Head Green 2 3 2 4 5" xfId="38108" xr:uid="{00000000-0005-0000-0000-0000A90B0000}"/>
    <cellStyle name="Table Head Green 2 3 2 5" xfId="9379" xr:uid="{00000000-0005-0000-0000-0000A90B0000}"/>
    <cellStyle name="Table Head Green 2 3 2 5 2" xfId="28098" xr:uid="{00000000-0005-0000-0000-0000A90B0000}"/>
    <cellStyle name="Table Head Green 2 3 2 5 3" xfId="46461" xr:uid="{00000000-0005-0000-0000-0000A90B0000}"/>
    <cellStyle name="Table Head Green 2 3 2 6" xfId="13435" xr:uid="{00000000-0005-0000-0000-0000A90B0000}"/>
    <cellStyle name="Table Head Green 2 3 2 6 2" xfId="31856" xr:uid="{00000000-0005-0000-0000-0000A90B0000}"/>
    <cellStyle name="Table Head Green 2 3 2 6 3" xfId="50219" xr:uid="{00000000-0005-0000-0000-0000A90B0000}"/>
    <cellStyle name="Table Head Green 2 3 2 7" xfId="23383" xr:uid="{00000000-0005-0000-0000-0000A90B0000}"/>
    <cellStyle name="Table Head Green 2 3 2 7 2" xfId="41752" xr:uid="{00000000-0005-0000-0000-0000A90B0000}"/>
    <cellStyle name="Table Head Green 2 3 2 8" xfId="18461" xr:uid="{00000000-0005-0000-0000-0000A90B0000}"/>
    <cellStyle name="Table Head Green 2 3 2 9" xfId="36867" xr:uid="{00000000-0005-0000-0000-0000A90B0000}"/>
    <cellStyle name="Table Head Green 2 3 3" xfId="4473" xr:uid="{00000000-0005-0000-0000-0000A90B0000}"/>
    <cellStyle name="Table Head Green 2 3 3 2" xfId="11069" xr:uid="{00000000-0005-0000-0000-0000A90B0000}"/>
    <cellStyle name="Table Head Green 2 3 3 2 2" xfId="29689" xr:uid="{00000000-0005-0000-0000-0000A90B0000}"/>
    <cellStyle name="Table Head Green 2 3 3 2 3" xfId="48052" xr:uid="{00000000-0005-0000-0000-0000A90B0000}"/>
    <cellStyle name="Table Head Green 2 3 3 3" xfId="15207" xr:uid="{00000000-0005-0000-0000-0000A90B0000}"/>
    <cellStyle name="Table Head Green 2 3 3 3 2" xfId="33602" xr:uid="{00000000-0005-0000-0000-0000A90B0000}"/>
    <cellStyle name="Table Head Green 2 3 3 3 3" xfId="51965" xr:uid="{00000000-0005-0000-0000-0000A90B0000}"/>
    <cellStyle name="Table Head Green 2 3 3 4" xfId="24333" xr:uid="{00000000-0005-0000-0000-0000A90B0000}"/>
    <cellStyle name="Table Head Green 2 3 3 4 2" xfId="42702" xr:uid="{00000000-0005-0000-0000-0000A90B0000}"/>
    <cellStyle name="Table Head Green 2 3 3 5" xfId="20657" xr:uid="{00000000-0005-0000-0000-0000A90B0000}"/>
    <cellStyle name="Table Head Green 2 3 3 6" xfId="39049" xr:uid="{00000000-0005-0000-0000-0000A90B0000}"/>
    <cellStyle name="Table Head Green 2 3 4" xfId="4992" xr:uid="{00000000-0005-0000-0000-0000A90B0000}"/>
    <cellStyle name="Table Head Green 2 3 4 2" xfId="11522" xr:uid="{00000000-0005-0000-0000-0000A90B0000}"/>
    <cellStyle name="Table Head Green 2 3 4 2 2" xfId="30095" xr:uid="{00000000-0005-0000-0000-0000A90B0000}"/>
    <cellStyle name="Table Head Green 2 3 4 2 3" xfId="48458" xr:uid="{00000000-0005-0000-0000-0000A90B0000}"/>
    <cellStyle name="Table Head Green 2 3 4 3" xfId="15708" xr:uid="{00000000-0005-0000-0000-0000A90B0000}"/>
    <cellStyle name="Table Head Green 2 3 4 3 2" xfId="34097" xr:uid="{00000000-0005-0000-0000-0000A90B0000}"/>
    <cellStyle name="Table Head Green 2 3 4 3 3" xfId="52460" xr:uid="{00000000-0005-0000-0000-0000A90B0000}"/>
    <cellStyle name="Table Head Green 2 3 4 4" xfId="24832" xr:uid="{00000000-0005-0000-0000-0000A90B0000}"/>
    <cellStyle name="Table Head Green 2 3 4 4 2" xfId="43201" xr:uid="{00000000-0005-0000-0000-0000A90B0000}"/>
    <cellStyle name="Table Head Green 2 3 4 5" xfId="21157" xr:uid="{00000000-0005-0000-0000-0000A90B0000}"/>
    <cellStyle name="Table Head Green 2 3 4 6" xfId="39544" xr:uid="{00000000-0005-0000-0000-0000A90B0000}"/>
    <cellStyle name="Table Head Green 2 3 5" xfId="9726" xr:uid="{00000000-0005-0000-0000-0000A90B0000}"/>
    <cellStyle name="Table Head Green 2 3 5 2" xfId="13783" xr:uid="{00000000-0005-0000-0000-0000A90B0000}"/>
    <cellStyle name="Table Head Green 2 3 5 2 2" xfId="32204" xr:uid="{00000000-0005-0000-0000-0000A90B0000}"/>
    <cellStyle name="Table Head Green 2 3 5 2 3" xfId="50567" xr:uid="{00000000-0005-0000-0000-0000A90B0000}"/>
    <cellStyle name="Table Head Green 2 3 5 3" xfId="28442" xr:uid="{00000000-0005-0000-0000-0000A90B0000}"/>
    <cellStyle name="Table Head Green 2 3 5 3 2" xfId="46805" xr:uid="{00000000-0005-0000-0000-0000A90B0000}"/>
    <cellStyle name="Table Head Green 2 3 5 4" xfId="18878" xr:uid="{00000000-0005-0000-0000-0000A90B0000}"/>
    <cellStyle name="Table Head Green 2 3 5 5" xfId="37287" xr:uid="{00000000-0005-0000-0000-0000A90B0000}"/>
    <cellStyle name="Table Head Green 2 3 6" xfId="7743" xr:uid="{00000000-0005-0000-0000-0000A90B0000}"/>
    <cellStyle name="Table Head Green 2 3 6 2" xfId="27020" xr:uid="{00000000-0005-0000-0000-0000A90B0000}"/>
    <cellStyle name="Table Head Green 2 3 6 3" xfId="45385" xr:uid="{00000000-0005-0000-0000-0000A90B0000}"/>
    <cellStyle name="Table Head Green 2 3 7" xfId="7411" xr:uid="{00000000-0005-0000-0000-0000A90B0000}"/>
    <cellStyle name="Table Head Green 2 3 7 2" xfId="26803" xr:uid="{00000000-0005-0000-0000-0000A90B0000}"/>
    <cellStyle name="Table Head Green 2 3 7 3" xfId="45171" xr:uid="{00000000-0005-0000-0000-0000A90B0000}"/>
    <cellStyle name="Table Head Green 2 3 8" xfId="18064" xr:uid="{00000000-0005-0000-0000-0000A90B0000}"/>
    <cellStyle name="Table Head Green 2 3 8 2" xfId="36471" xr:uid="{00000000-0005-0000-0000-0000A90B0000}"/>
    <cellStyle name="Table Head Green 2 3 9" xfId="11412" xr:uid="{00000000-0005-0000-0000-0000A90B0000}"/>
    <cellStyle name="Table Head Green 2 4" xfId="1925" xr:uid="{00000000-0005-0000-0000-0000AA0B0000}"/>
    <cellStyle name="Table Head Green 2 4 10" xfId="8446" xr:uid="{00000000-0005-0000-0000-0000AA0B0000}"/>
    <cellStyle name="Table Head Green 2 4 2" xfId="3743" xr:uid="{00000000-0005-0000-0000-0000AA0B0000}"/>
    <cellStyle name="Table Head Green 2 4 2 2" xfId="5916" xr:uid="{00000000-0005-0000-0000-0000AA0B0000}"/>
    <cellStyle name="Table Head Green 2 4 2 2 2" xfId="12280" xr:uid="{00000000-0005-0000-0000-0000AA0B0000}"/>
    <cellStyle name="Table Head Green 2 4 2 2 2 2" xfId="30727" xr:uid="{00000000-0005-0000-0000-0000AA0B0000}"/>
    <cellStyle name="Table Head Green 2 4 2 2 2 3" xfId="49090" xr:uid="{00000000-0005-0000-0000-0000AA0B0000}"/>
    <cellStyle name="Table Head Green 2 4 2 2 3" xfId="16606" xr:uid="{00000000-0005-0000-0000-0000AA0B0000}"/>
    <cellStyle name="Table Head Green 2 4 2 2 3 2" xfId="34978" xr:uid="{00000000-0005-0000-0000-0000AA0B0000}"/>
    <cellStyle name="Table Head Green 2 4 2 2 3 3" xfId="53341" xr:uid="{00000000-0005-0000-0000-0000AA0B0000}"/>
    <cellStyle name="Table Head Green 2 4 2 2 4" xfId="25725" xr:uid="{00000000-0005-0000-0000-0000AA0B0000}"/>
    <cellStyle name="Table Head Green 2 4 2 2 4 2" xfId="44094" xr:uid="{00000000-0005-0000-0000-0000AA0B0000}"/>
    <cellStyle name="Table Head Green 2 4 2 2 5" xfId="22046" xr:uid="{00000000-0005-0000-0000-0000AA0B0000}"/>
    <cellStyle name="Table Head Green 2 4 2 2 6" xfId="40425" xr:uid="{00000000-0005-0000-0000-0000AA0B0000}"/>
    <cellStyle name="Table Head Green 2 4 2 3" xfId="6742" xr:uid="{00000000-0005-0000-0000-0000AA0B0000}"/>
    <cellStyle name="Table Head Green 2 4 2 3 2" xfId="13033" xr:uid="{00000000-0005-0000-0000-0000AA0B0000}"/>
    <cellStyle name="Table Head Green 2 4 2 3 2 2" xfId="31459" xr:uid="{00000000-0005-0000-0000-0000AA0B0000}"/>
    <cellStyle name="Table Head Green 2 4 2 3 2 3" xfId="49822" xr:uid="{00000000-0005-0000-0000-0000AA0B0000}"/>
    <cellStyle name="Table Head Green 2 4 2 3 3" xfId="17344" xr:uid="{00000000-0005-0000-0000-0000AA0B0000}"/>
    <cellStyle name="Table Head Green 2 4 2 3 3 2" xfId="35692" xr:uid="{00000000-0005-0000-0000-0000AA0B0000}"/>
    <cellStyle name="Table Head Green 2 4 2 3 3 3" xfId="54055" xr:uid="{00000000-0005-0000-0000-0000AA0B0000}"/>
    <cellStyle name="Table Head Green 2 4 2 3 4" xfId="26477" xr:uid="{00000000-0005-0000-0000-0000AA0B0000}"/>
    <cellStyle name="Table Head Green 2 4 2 3 4 2" xfId="44846" xr:uid="{00000000-0005-0000-0000-0000AA0B0000}"/>
    <cellStyle name="Table Head Green 2 4 2 3 5" xfId="22770" xr:uid="{00000000-0005-0000-0000-0000AA0B0000}"/>
    <cellStyle name="Table Head Green 2 4 2 3 6" xfId="41139" xr:uid="{00000000-0005-0000-0000-0000AA0B0000}"/>
    <cellStyle name="Table Head Green 2 4 2 4" xfId="10456" xr:uid="{00000000-0005-0000-0000-0000AA0B0000}"/>
    <cellStyle name="Table Head Green 2 4 2 4 2" xfId="14513" xr:uid="{00000000-0005-0000-0000-0000AA0B0000}"/>
    <cellStyle name="Table Head Green 2 4 2 4 2 2" xfId="32929" xr:uid="{00000000-0005-0000-0000-0000AA0B0000}"/>
    <cellStyle name="Table Head Green 2 4 2 4 2 3" xfId="51292" xr:uid="{00000000-0005-0000-0000-0000AA0B0000}"/>
    <cellStyle name="Table Head Green 2 4 2 4 3" xfId="29167" xr:uid="{00000000-0005-0000-0000-0000AA0B0000}"/>
    <cellStyle name="Table Head Green 2 4 2 4 3 2" xfId="47530" xr:uid="{00000000-0005-0000-0000-0000AA0B0000}"/>
    <cellStyle name="Table Head Green 2 4 2 4 4" xfId="19970" xr:uid="{00000000-0005-0000-0000-0000AA0B0000}"/>
    <cellStyle name="Table Head Green 2 4 2 4 5" xfId="38376" xr:uid="{00000000-0005-0000-0000-0000AA0B0000}"/>
    <cellStyle name="Table Head Green 2 4 2 5" xfId="9672" xr:uid="{00000000-0005-0000-0000-0000AA0B0000}"/>
    <cellStyle name="Table Head Green 2 4 2 5 2" xfId="28388" xr:uid="{00000000-0005-0000-0000-0000AA0B0000}"/>
    <cellStyle name="Table Head Green 2 4 2 5 3" xfId="46751" xr:uid="{00000000-0005-0000-0000-0000AA0B0000}"/>
    <cellStyle name="Table Head Green 2 4 2 6" xfId="13729" xr:uid="{00000000-0005-0000-0000-0000AA0B0000}"/>
    <cellStyle name="Table Head Green 2 4 2 6 2" xfId="32150" xr:uid="{00000000-0005-0000-0000-0000AA0B0000}"/>
    <cellStyle name="Table Head Green 2 4 2 6 3" xfId="50513" xr:uid="{00000000-0005-0000-0000-0000AA0B0000}"/>
    <cellStyle name="Table Head Green 2 4 2 7" xfId="23651" xr:uid="{00000000-0005-0000-0000-0000AA0B0000}"/>
    <cellStyle name="Table Head Green 2 4 2 7 2" xfId="42020" xr:uid="{00000000-0005-0000-0000-0000AA0B0000}"/>
    <cellStyle name="Table Head Green 2 4 2 8" xfId="18797" xr:uid="{00000000-0005-0000-0000-0000AA0B0000}"/>
    <cellStyle name="Table Head Green 2 4 2 9" xfId="37206" xr:uid="{00000000-0005-0000-0000-0000AA0B0000}"/>
    <cellStyle name="Table Head Green 2 4 3" xfId="4836" xr:uid="{00000000-0005-0000-0000-0000AA0B0000}"/>
    <cellStyle name="Table Head Green 2 4 3 2" xfId="11397" xr:uid="{00000000-0005-0000-0000-0000AA0B0000}"/>
    <cellStyle name="Table Head Green 2 4 3 2 2" xfId="29989" xr:uid="{00000000-0005-0000-0000-0000AA0B0000}"/>
    <cellStyle name="Table Head Green 2 4 3 2 3" xfId="48352" xr:uid="{00000000-0005-0000-0000-0000AA0B0000}"/>
    <cellStyle name="Table Head Green 2 4 3 3" xfId="15562" xr:uid="{00000000-0005-0000-0000-0000AA0B0000}"/>
    <cellStyle name="Table Head Green 2 4 3 3 2" xfId="33955" xr:uid="{00000000-0005-0000-0000-0000AA0B0000}"/>
    <cellStyle name="Table Head Green 2 4 3 3 3" xfId="52318" xr:uid="{00000000-0005-0000-0000-0000AA0B0000}"/>
    <cellStyle name="Table Head Green 2 4 3 4" xfId="24686" xr:uid="{00000000-0005-0000-0000-0000AA0B0000}"/>
    <cellStyle name="Table Head Green 2 4 3 4 2" xfId="43055" xr:uid="{00000000-0005-0000-0000-0000AA0B0000}"/>
    <cellStyle name="Table Head Green 2 4 3 5" xfId="21013" xr:uid="{00000000-0005-0000-0000-0000AA0B0000}"/>
    <cellStyle name="Table Head Green 2 4 3 6" xfId="39402" xr:uid="{00000000-0005-0000-0000-0000AA0B0000}"/>
    <cellStyle name="Table Head Green 2 4 4" xfId="4843" xr:uid="{00000000-0005-0000-0000-0000AA0B0000}"/>
    <cellStyle name="Table Head Green 2 4 4 2" xfId="11404" xr:uid="{00000000-0005-0000-0000-0000AA0B0000}"/>
    <cellStyle name="Table Head Green 2 4 4 2 2" xfId="29995" xr:uid="{00000000-0005-0000-0000-0000AA0B0000}"/>
    <cellStyle name="Table Head Green 2 4 4 2 3" xfId="48358" xr:uid="{00000000-0005-0000-0000-0000AA0B0000}"/>
    <cellStyle name="Table Head Green 2 4 4 3" xfId="15569" xr:uid="{00000000-0005-0000-0000-0000AA0B0000}"/>
    <cellStyle name="Table Head Green 2 4 4 3 2" xfId="33961" xr:uid="{00000000-0005-0000-0000-0000AA0B0000}"/>
    <cellStyle name="Table Head Green 2 4 4 3 3" xfId="52324" xr:uid="{00000000-0005-0000-0000-0000AA0B0000}"/>
    <cellStyle name="Table Head Green 2 4 4 4" xfId="24692" xr:uid="{00000000-0005-0000-0000-0000AA0B0000}"/>
    <cellStyle name="Table Head Green 2 4 4 4 2" xfId="43061" xr:uid="{00000000-0005-0000-0000-0000AA0B0000}"/>
    <cellStyle name="Table Head Green 2 4 4 5" xfId="21019" xr:uid="{00000000-0005-0000-0000-0000AA0B0000}"/>
    <cellStyle name="Table Head Green 2 4 4 6" xfId="39408" xr:uid="{00000000-0005-0000-0000-0000AA0B0000}"/>
    <cellStyle name="Table Head Green 2 4 5" xfId="9028" xr:uid="{00000000-0005-0000-0000-0000AA0B0000}"/>
    <cellStyle name="Table Head Green 2 4 5 2" xfId="6921" xr:uid="{00000000-0005-0000-0000-0000AA0B0000}"/>
    <cellStyle name="Table Head Green 2 4 5 2 2" xfId="26656" xr:uid="{00000000-0005-0000-0000-0000AA0B0000}"/>
    <cellStyle name="Table Head Green 2 4 5 2 3" xfId="45025" xr:uid="{00000000-0005-0000-0000-0000AA0B0000}"/>
    <cellStyle name="Table Head Green 2 4 5 3" xfId="27754" xr:uid="{00000000-0005-0000-0000-0000AA0B0000}"/>
    <cellStyle name="Table Head Green 2 4 5 3 2" xfId="46117" xr:uid="{00000000-0005-0000-0000-0000AA0B0000}"/>
    <cellStyle name="Table Head Green 2 4 5 4" xfId="17923" xr:uid="{00000000-0005-0000-0000-0000AA0B0000}"/>
    <cellStyle name="Table Head Green 2 4 5 5" xfId="36331" xr:uid="{00000000-0005-0000-0000-0000AA0B0000}"/>
    <cellStyle name="Table Head Green 2 4 6" xfId="8124" xr:uid="{00000000-0005-0000-0000-0000AA0B0000}"/>
    <cellStyle name="Table Head Green 2 4 6 2" xfId="27329" xr:uid="{00000000-0005-0000-0000-0000AA0B0000}"/>
    <cellStyle name="Table Head Green 2 4 6 3" xfId="45694" xr:uid="{00000000-0005-0000-0000-0000AA0B0000}"/>
    <cellStyle name="Table Head Green 2 4 7" xfId="7719" xr:uid="{00000000-0005-0000-0000-0000AA0B0000}"/>
    <cellStyle name="Table Head Green 2 4 7 2" xfId="26997" xr:uid="{00000000-0005-0000-0000-0000AA0B0000}"/>
    <cellStyle name="Table Head Green 2 4 7 3" xfId="45362" xr:uid="{00000000-0005-0000-0000-0000AA0B0000}"/>
    <cellStyle name="Table Head Green 2 4 8" xfId="18887" xr:uid="{00000000-0005-0000-0000-0000AA0B0000}"/>
    <cellStyle name="Table Head Green 2 4 8 2" xfId="37296" xr:uid="{00000000-0005-0000-0000-0000AA0B0000}"/>
    <cellStyle name="Table Head Green 2 4 9" xfId="7245" xr:uid="{00000000-0005-0000-0000-0000AA0B0000}"/>
    <cellStyle name="Table Head Green 2 5" xfId="2340" xr:uid="{00000000-0005-0000-0000-0000AB0B0000}"/>
    <cellStyle name="Table Head Green 2 5 10" xfId="7874" xr:uid="{00000000-0005-0000-0000-0000AB0B0000}"/>
    <cellStyle name="Table Head Green 2 5 2" xfId="3788" xr:uid="{00000000-0005-0000-0000-0000AB0B0000}"/>
    <cellStyle name="Table Head Green 2 5 2 2" xfId="5961" xr:uid="{00000000-0005-0000-0000-0000AB0B0000}"/>
    <cellStyle name="Table Head Green 2 5 2 2 2" xfId="12325" xr:uid="{00000000-0005-0000-0000-0000AB0B0000}"/>
    <cellStyle name="Table Head Green 2 5 2 2 2 2" xfId="30772" xr:uid="{00000000-0005-0000-0000-0000AB0B0000}"/>
    <cellStyle name="Table Head Green 2 5 2 2 2 3" xfId="49135" xr:uid="{00000000-0005-0000-0000-0000AB0B0000}"/>
    <cellStyle name="Table Head Green 2 5 2 2 3" xfId="16651" xr:uid="{00000000-0005-0000-0000-0000AB0B0000}"/>
    <cellStyle name="Table Head Green 2 5 2 2 3 2" xfId="35023" xr:uid="{00000000-0005-0000-0000-0000AB0B0000}"/>
    <cellStyle name="Table Head Green 2 5 2 2 3 3" xfId="53386" xr:uid="{00000000-0005-0000-0000-0000AB0B0000}"/>
    <cellStyle name="Table Head Green 2 5 2 2 4" xfId="25770" xr:uid="{00000000-0005-0000-0000-0000AB0B0000}"/>
    <cellStyle name="Table Head Green 2 5 2 2 4 2" xfId="44139" xr:uid="{00000000-0005-0000-0000-0000AB0B0000}"/>
    <cellStyle name="Table Head Green 2 5 2 2 5" xfId="22091" xr:uid="{00000000-0005-0000-0000-0000AB0B0000}"/>
    <cellStyle name="Table Head Green 2 5 2 2 6" xfId="40470" xr:uid="{00000000-0005-0000-0000-0000AB0B0000}"/>
    <cellStyle name="Table Head Green 2 5 2 3" xfId="6787" xr:uid="{00000000-0005-0000-0000-0000AB0B0000}"/>
    <cellStyle name="Table Head Green 2 5 2 3 2" xfId="13078" xr:uid="{00000000-0005-0000-0000-0000AB0B0000}"/>
    <cellStyle name="Table Head Green 2 5 2 3 2 2" xfId="31504" xr:uid="{00000000-0005-0000-0000-0000AB0B0000}"/>
    <cellStyle name="Table Head Green 2 5 2 3 2 3" xfId="49867" xr:uid="{00000000-0005-0000-0000-0000AB0B0000}"/>
    <cellStyle name="Table Head Green 2 5 2 3 3" xfId="17389" xr:uid="{00000000-0005-0000-0000-0000AB0B0000}"/>
    <cellStyle name="Table Head Green 2 5 2 3 3 2" xfId="35737" xr:uid="{00000000-0005-0000-0000-0000AB0B0000}"/>
    <cellStyle name="Table Head Green 2 5 2 3 3 3" xfId="54100" xr:uid="{00000000-0005-0000-0000-0000AB0B0000}"/>
    <cellStyle name="Table Head Green 2 5 2 3 4" xfId="26522" xr:uid="{00000000-0005-0000-0000-0000AB0B0000}"/>
    <cellStyle name="Table Head Green 2 5 2 3 4 2" xfId="44891" xr:uid="{00000000-0005-0000-0000-0000AB0B0000}"/>
    <cellStyle name="Table Head Green 2 5 2 3 5" xfId="22815" xr:uid="{00000000-0005-0000-0000-0000AB0B0000}"/>
    <cellStyle name="Table Head Green 2 5 2 3 6" xfId="41184" xr:uid="{00000000-0005-0000-0000-0000AB0B0000}"/>
    <cellStyle name="Table Head Green 2 5 2 4" xfId="10501" xr:uid="{00000000-0005-0000-0000-0000AB0B0000}"/>
    <cellStyle name="Table Head Green 2 5 2 4 2" xfId="14558" xr:uid="{00000000-0005-0000-0000-0000AB0B0000}"/>
    <cellStyle name="Table Head Green 2 5 2 4 2 2" xfId="32974" xr:uid="{00000000-0005-0000-0000-0000AB0B0000}"/>
    <cellStyle name="Table Head Green 2 5 2 4 2 3" xfId="51337" xr:uid="{00000000-0005-0000-0000-0000AB0B0000}"/>
    <cellStyle name="Table Head Green 2 5 2 4 3" xfId="29212" xr:uid="{00000000-0005-0000-0000-0000AB0B0000}"/>
    <cellStyle name="Table Head Green 2 5 2 4 3 2" xfId="47575" xr:uid="{00000000-0005-0000-0000-0000AB0B0000}"/>
    <cellStyle name="Table Head Green 2 5 2 4 4" xfId="20015" xr:uid="{00000000-0005-0000-0000-0000AB0B0000}"/>
    <cellStyle name="Table Head Green 2 5 2 4 5" xfId="38421" xr:uid="{00000000-0005-0000-0000-0000AB0B0000}"/>
    <cellStyle name="Table Head Green 2 5 2 5" xfId="9772" xr:uid="{00000000-0005-0000-0000-0000AB0B0000}"/>
    <cellStyle name="Table Head Green 2 5 2 5 2" xfId="28487" xr:uid="{00000000-0005-0000-0000-0000AB0B0000}"/>
    <cellStyle name="Table Head Green 2 5 2 5 3" xfId="46850" xr:uid="{00000000-0005-0000-0000-0000AB0B0000}"/>
    <cellStyle name="Table Head Green 2 5 2 6" xfId="13829" xr:uid="{00000000-0005-0000-0000-0000AB0B0000}"/>
    <cellStyle name="Table Head Green 2 5 2 6 2" xfId="32249" xr:uid="{00000000-0005-0000-0000-0000AB0B0000}"/>
    <cellStyle name="Table Head Green 2 5 2 6 3" xfId="50612" xr:uid="{00000000-0005-0000-0000-0000AB0B0000}"/>
    <cellStyle name="Table Head Green 2 5 2 7" xfId="23696" xr:uid="{00000000-0005-0000-0000-0000AB0B0000}"/>
    <cellStyle name="Table Head Green 2 5 2 7 2" xfId="42065" xr:uid="{00000000-0005-0000-0000-0000AB0B0000}"/>
    <cellStyle name="Table Head Green 2 5 2 8" xfId="18954" xr:uid="{00000000-0005-0000-0000-0000AB0B0000}"/>
    <cellStyle name="Table Head Green 2 5 2 9" xfId="37363" xr:uid="{00000000-0005-0000-0000-0000AB0B0000}"/>
    <cellStyle name="Table Head Green 2 5 3" xfId="4988" xr:uid="{00000000-0005-0000-0000-0000AB0B0000}"/>
    <cellStyle name="Table Head Green 2 5 3 2" xfId="11518" xr:uid="{00000000-0005-0000-0000-0000AB0B0000}"/>
    <cellStyle name="Table Head Green 2 5 3 2 2" xfId="30091" xr:uid="{00000000-0005-0000-0000-0000AB0B0000}"/>
    <cellStyle name="Table Head Green 2 5 3 2 3" xfId="48454" xr:uid="{00000000-0005-0000-0000-0000AB0B0000}"/>
    <cellStyle name="Table Head Green 2 5 3 3" xfId="15704" xr:uid="{00000000-0005-0000-0000-0000AB0B0000}"/>
    <cellStyle name="Table Head Green 2 5 3 3 2" xfId="34093" xr:uid="{00000000-0005-0000-0000-0000AB0B0000}"/>
    <cellStyle name="Table Head Green 2 5 3 3 3" xfId="52456" xr:uid="{00000000-0005-0000-0000-0000AB0B0000}"/>
    <cellStyle name="Table Head Green 2 5 3 4" xfId="24828" xr:uid="{00000000-0005-0000-0000-0000AB0B0000}"/>
    <cellStyle name="Table Head Green 2 5 3 4 2" xfId="43197" xr:uid="{00000000-0005-0000-0000-0000AB0B0000}"/>
    <cellStyle name="Table Head Green 2 5 3 5" xfId="21153" xr:uid="{00000000-0005-0000-0000-0000AB0B0000}"/>
    <cellStyle name="Table Head Green 2 5 3 6" xfId="39540" xr:uid="{00000000-0005-0000-0000-0000AB0B0000}"/>
    <cellStyle name="Table Head Green 2 5 4" xfId="6128" xr:uid="{00000000-0005-0000-0000-0000AB0B0000}"/>
    <cellStyle name="Table Head Green 2 5 4 2" xfId="12482" xr:uid="{00000000-0005-0000-0000-0000AB0B0000}"/>
    <cellStyle name="Table Head Green 2 5 4 2 2" xfId="30922" xr:uid="{00000000-0005-0000-0000-0000AB0B0000}"/>
    <cellStyle name="Table Head Green 2 5 4 2 3" xfId="49285" xr:uid="{00000000-0005-0000-0000-0000AB0B0000}"/>
    <cellStyle name="Table Head Green 2 5 4 3" xfId="16801" xr:uid="{00000000-0005-0000-0000-0000AB0B0000}"/>
    <cellStyle name="Table Head Green 2 5 4 3 2" xfId="35170" xr:uid="{00000000-0005-0000-0000-0000AB0B0000}"/>
    <cellStyle name="Table Head Green 2 5 4 3 3" xfId="53533" xr:uid="{00000000-0005-0000-0000-0000AB0B0000}"/>
    <cellStyle name="Table Head Green 2 5 4 4" xfId="25924" xr:uid="{00000000-0005-0000-0000-0000AB0B0000}"/>
    <cellStyle name="Table Head Green 2 5 4 4 2" xfId="44293" xr:uid="{00000000-0005-0000-0000-0000AB0B0000}"/>
    <cellStyle name="Table Head Green 2 5 4 5" xfId="22240" xr:uid="{00000000-0005-0000-0000-0000AB0B0000}"/>
    <cellStyle name="Table Head Green 2 5 4 6" xfId="40617" xr:uid="{00000000-0005-0000-0000-0000AB0B0000}"/>
    <cellStyle name="Table Head Green 2 5 5" xfId="9782" xr:uid="{00000000-0005-0000-0000-0000AB0B0000}"/>
    <cellStyle name="Table Head Green 2 5 5 2" xfId="13839" xr:uid="{00000000-0005-0000-0000-0000AB0B0000}"/>
    <cellStyle name="Table Head Green 2 5 5 2 2" xfId="32259" xr:uid="{00000000-0005-0000-0000-0000AB0B0000}"/>
    <cellStyle name="Table Head Green 2 5 5 2 3" xfId="50622" xr:uid="{00000000-0005-0000-0000-0000AB0B0000}"/>
    <cellStyle name="Table Head Green 2 5 5 3" xfId="28497" xr:uid="{00000000-0005-0000-0000-0000AB0B0000}"/>
    <cellStyle name="Table Head Green 2 5 5 3 2" xfId="46860" xr:uid="{00000000-0005-0000-0000-0000AB0B0000}"/>
    <cellStyle name="Table Head Green 2 5 5 4" xfId="18984" xr:uid="{00000000-0005-0000-0000-0000AB0B0000}"/>
    <cellStyle name="Table Head Green 2 5 5 5" xfId="37393" xr:uid="{00000000-0005-0000-0000-0000AB0B0000}"/>
    <cellStyle name="Table Head Green 2 5 6" xfId="8381" xr:uid="{00000000-0005-0000-0000-0000AB0B0000}"/>
    <cellStyle name="Table Head Green 2 5 6 2" xfId="27448" xr:uid="{00000000-0005-0000-0000-0000AB0B0000}"/>
    <cellStyle name="Table Head Green 2 5 6 3" xfId="45812" xr:uid="{00000000-0005-0000-0000-0000AB0B0000}"/>
    <cellStyle name="Table Head Green 2 5 7" xfId="8206" xr:uid="{00000000-0005-0000-0000-0000AB0B0000}"/>
    <cellStyle name="Table Head Green 2 5 7 2" xfId="27369" xr:uid="{00000000-0005-0000-0000-0000AB0B0000}"/>
    <cellStyle name="Table Head Green 2 5 7 3" xfId="45734" xr:uid="{00000000-0005-0000-0000-0000AB0B0000}"/>
    <cellStyle name="Table Head Green 2 5 8" xfId="18815" xr:uid="{00000000-0005-0000-0000-0000AB0B0000}"/>
    <cellStyle name="Table Head Green 2 5 8 2" xfId="37224" xr:uid="{00000000-0005-0000-0000-0000AB0B0000}"/>
    <cellStyle name="Table Head Green 2 5 9" xfId="7348" xr:uid="{00000000-0005-0000-0000-0000AB0B0000}"/>
    <cellStyle name="Table Head Green 2 6" xfId="2788" xr:uid="{00000000-0005-0000-0000-0000AC0B0000}"/>
    <cellStyle name="Table Head Green 2 6 10" xfId="35927" xr:uid="{00000000-0005-0000-0000-0000AC0B0000}"/>
    <cellStyle name="Table Head Green 2 6 2" xfId="3823" xr:uid="{00000000-0005-0000-0000-0000AC0B0000}"/>
    <cellStyle name="Table Head Green 2 6 2 2" xfId="5996" xr:uid="{00000000-0005-0000-0000-0000AC0B0000}"/>
    <cellStyle name="Table Head Green 2 6 2 2 2" xfId="12360" xr:uid="{00000000-0005-0000-0000-0000AC0B0000}"/>
    <cellStyle name="Table Head Green 2 6 2 2 2 2" xfId="30807" xr:uid="{00000000-0005-0000-0000-0000AC0B0000}"/>
    <cellStyle name="Table Head Green 2 6 2 2 2 3" xfId="49170" xr:uid="{00000000-0005-0000-0000-0000AC0B0000}"/>
    <cellStyle name="Table Head Green 2 6 2 2 3" xfId="16686" xr:uid="{00000000-0005-0000-0000-0000AC0B0000}"/>
    <cellStyle name="Table Head Green 2 6 2 2 3 2" xfId="35058" xr:uid="{00000000-0005-0000-0000-0000AC0B0000}"/>
    <cellStyle name="Table Head Green 2 6 2 2 3 3" xfId="53421" xr:uid="{00000000-0005-0000-0000-0000AC0B0000}"/>
    <cellStyle name="Table Head Green 2 6 2 2 4" xfId="25805" xr:uid="{00000000-0005-0000-0000-0000AC0B0000}"/>
    <cellStyle name="Table Head Green 2 6 2 2 4 2" xfId="44174" xr:uid="{00000000-0005-0000-0000-0000AC0B0000}"/>
    <cellStyle name="Table Head Green 2 6 2 2 5" xfId="22126" xr:uid="{00000000-0005-0000-0000-0000AC0B0000}"/>
    <cellStyle name="Table Head Green 2 6 2 2 6" xfId="40505" xr:uid="{00000000-0005-0000-0000-0000AC0B0000}"/>
    <cellStyle name="Table Head Green 2 6 2 3" xfId="6822" xr:uid="{00000000-0005-0000-0000-0000AC0B0000}"/>
    <cellStyle name="Table Head Green 2 6 2 3 2" xfId="13113" xr:uid="{00000000-0005-0000-0000-0000AC0B0000}"/>
    <cellStyle name="Table Head Green 2 6 2 3 2 2" xfId="31539" xr:uid="{00000000-0005-0000-0000-0000AC0B0000}"/>
    <cellStyle name="Table Head Green 2 6 2 3 2 3" xfId="49902" xr:uid="{00000000-0005-0000-0000-0000AC0B0000}"/>
    <cellStyle name="Table Head Green 2 6 2 3 3" xfId="17424" xr:uid="{00000000-0005-0000-0000-0000AC0B0000}"/>
    <cellStyle name="Table Head Green 2 6 2 3 3 2" xfId="35772" xr:uid="{00000000-0005-0000-0000-0000AC0B0000}"/>
    <cellStyle name="Table Head Green 2 6 2 3 3 3" xfId="54135" xr:uid="{00000000-0005-0000-0000-0000AC0B0000}"/>
    <cellStyle name="Table Head Green 2 6 2 3 4" xfId="26557" xr:uid="{00000000-0005-0000-0000-0000AC0B0000}"/>
    <cellStyle name="Table Head Green 2 6 2 3 4 2" xfId="44926" xr:uid="{00000000-0005-0000-0000-0000AC0B0000}"/>
    <cellStyle name="Table Head Green 2 6 2 3 5" xfId="22850" xr:uid="{00000000-0005-0000-0000-0000AC0B0000}"/>
    <cellStyle name="Table Head Green 2 6 2 3 6" xfId="41219" xr:uid="{00000000-0005-0000-0000-0000AC0B0000}"/>
    <cellStyle name="Table Head Green 2 6 2 4" xfId="10536" xr:uid="{00000000-0005-0000-0000-0000AC0B0000}"/>
    <cellStyle name="Table Head Green 2 6 2 4 2" xfId="14593" xr:uid="{00000000-0005-0000-0000-0000AC0B0000}"/>
    <cellStyle name="Table Head Green 2 6 2 4 2 2" xfId="33009" xr:uid="{00000000-0005-0000-0000-0000AC0B0000}"/>
    <cellStyle name="Table Head Green 2 6 2 4 2 3" xfId="51372" xr:uid="{00000000-0005-0000-0000-0000AC0B0000}"/>
    <cellStyle name="Table Head Green 2 6 2 4 3" xfId="29247" xr:uid="{00000000-0005-0000-0000-0000AC0B0000}"/>
    <cellStyle name="Table Head Green 2 6 2 4 3 2" xfId="47610" xr:uid="{00000000-0005-0000-0000-0000AC0B0000}"/>
    <cellStyle name="Table Head Green 2 6 2 4 4" xfId="20050" xr:uid="{00000000-0005-0000-0000-0000AC0B0000}"/>
    <cellStyle name="Table Head Green 2 6 2 4 5" xfId="38456" xr:uid="{00000000-0005-0000-0000-0000AC0B0000}"/>
    <cellStyle name="Table Head Green 2 6 2 5" xfId="9869" xr:uid="{00000000-0005-0000-0000-0000AC0B0000}"/>
    <cellStyle name="Table Head Green 2 6 2 5 2" xfId="28583" xr:uid="{00000000-0005-0000-0000-0000AC0B0000}"/>
    <cellStyle name="Table Head Green 2 6 2 5 3" xfId="46946" xr:uid="{00000000-0005-0000-0000-0000AC0B0000}"/>
    <cellStyle name="Table Head Green 2 6 2 6" xfId="13927" xr:uid="{00000000-0005-0000-0000-0000AC0B0000}"/>
    <cellStyle name="Table Head Green 2 6 2 6 2" xfId="32345" xr:uid="{00000000-0005-0000-0000-0000AC0B0000}"/>
    <cellStyle name="Table Head Green 2 6 2 6 3" xfId="50708" xr:uid="{00000000-0005-0000-0000-0000AC0B0000}"/>
    <cellStyle name="Table Head Green 2 6 2 7" xfId="23731" xr:uid="{00000000-0005-0000-0000-0000AC0B0000}"/>
    <cellStyle name="Table Head Green 2 6 2 7 2" xfId="42100" xr:uid="{00000000-0005-0000-0000-0000AC0B0000}"/>
    <cellStyle name="Table Head Green 2 6 2 8" xfId="19123" xr:uid="{00000000-0005-0000-0000-0000AC0B0000}"/>
    <cellStyle name="Table Head Green 2 6 2 9" xfId="37531" xr:uid="{00000000-0005-0000-0000-0000AC0B0000}"/>
    <cellStyle name="Table Head Green 2 6 3" xfId="5147" xr:uid="{00000000-0005-0000-0000-0000AC0B0000}"/>
    <cellStyle name="Table Head Green 2 6 3 2" xfId="11652" xr:uid="{00000000-0005-0000-0000-0000AC0B0000}"/>
    <cellStyle name="Table Head Green 2 6 3 2 2" xfId="30200" xr:uid="{00000000-0005-0000-0000-0000AC0B0000}"/>
    <cellStyle name="Table Head Green 2 6 3 2 3" xfId="48563" xr:uid="{00000000-0005-0000-0000-0000AC0B0000}"/>
    <cellStyle name="Table Head Green 2 6 3 3" xfId="15851" xr:uid="{00000000-0005-0000-0000-0000AC0B0000}"/>
    <cellStyle name="Table Head Green 2 6 3 3 2" xfId="34235" xr:uid="{00000000-0005-0000-0000-0000AC0B0000}"/>
    <cellStyle name="Table Head Green 2 6 3 3 3" xfId="52598" xr:uid="{00000000-0005-0000-0000-0000AC0B0000}"/>
    <cellStyle name="Table Head Green 2 6 3 4" xfId="24974" xr:uid="{00000000-0005-0000-0000-0000AC0B0000}"/>
    <cellStyle name="Table Head Green 2 6 3 4 2" xfId="43343" xr:uid="{00000000-0005-0000-0000-0000AC0B0000}"/>
    <cellStyle name="Table Head Green 2 6 3 5" xfId="21297" xr:uid="{00000000-0005-0000-0000-0000AC0B0000}"/>
    <cellStyle name="Table Head Green 2 6 3 6" xfId="39682" xr:uid="{00000000-0005-0000-0000-0000AC0B0000}"/>
    <cellStyle name="Table Head Green 2 6 4" xfId="6197" xr:uid="{00000000-0005-0000-0000-0000AC0B0000}"/>
    <cellStyle name="Table Head Green 2 6 4 2" xfId="12532" xr:uid="{00000000-0005-0000-0000-0000AC0B0000}"/>
    <cellStyle name="Table Head Green 2 6 4 2 2" xfId="30964" xr:uid="{00000000-0005-0000-0000-0000AC0B0000}"/>
    <cellStyle name="Table Head Green 2 6 4 2 3" xfId="49327" xr:uid="{00000000-0005-0000-0000-0000AC0B0000}"/>
    <cellStyle name="Table Head Green 2 6 4 3" xfId="16847" xr:uid="{00000000-0005-0000-0000-0000AC0B0000}"/>
    <cellStyle name="Table Head Green 2 6 4 3 2" xfId="35207" xr:uid="{00000000-0005-0000-0000-0000AC0B0000}"/>
    <cellStyle name="Table Head Green 2 6 4 3 3" xfId="53570" xr:uid="{00000000-0005-0000-0000-0000AC0B0000}"/>
    <cellStyle name="Table Head Green 2 6 4 4" xfId="25974" xr:uid="{00000000-0005-0000-0000-0000AC0B0000}"/>
    <cellStyle name="Table Head Green 2 6 4 4 2" xfId="44343" xr:uid="{00000000-0005-0000-0000-0000AC0B0000}"/>
    <cellStyle name="Table Head Green 2 6 4 5" xfId="22281" xr:uid="{00000000-0005-0000-0000-0000AC0B0000}"/>
    <cellStyle name="Table Head Green 2 6 4 6" xfId="40654" xr:uid="{00000000-0005-0000-0000-0000AC0B0000}"/>
    <cellStyle name="Table Head Green 2 6 5" xfId="10029" xr:uid="{00000000-0005-0000-0000-0000AC0B0000}"/>
    <cellStyle name="Table Head Green 2 6 5 2" xfId="14086" xr:uid="{00000000-0005-0000-0000-0000AC0B0000}"/>
    <cellStyle name="Table Head Green 2 6 5 2 2" xfId="32502" xr:uid="{00000000-0005-0000-0000-0000AC0B0000}"/>
    <cellStyle name="Table Head Green 2 6 5 2 3" xfId="50865" xr:uid="{00000000-0005-0000-0000-0000AC0B0000}"/>
    <cellStyle name="Table Head Green 2 6 5 3" xfId="28740" xr:uid="{00000000-0005-0000-0000-0000AC0B0000}"/>
    <cellStyle name="Table Head Green 2 6 5 3 2" xfId="47103" xr:uid="{00000000-0005-0000-0000-0000AC0B0000}"/>
    <cellStyle name="Table Head Green 2 6 5 4" xfId="19408" xr:uid="{00000000-0005-0000-0000-0000AC0B0000}"/>
    <cellStyle name="Table Head Green 2 6 5 5" xfId="37814" xr:uid="{00000000-0005-0000-0000-0000AC0B0000}"/>
    <cellStyle name="Table Head Green 2 6 6" xfId="8656" xr:uid="{00000000-0005-0000-0000-0000AC0B0000}"/>
    <cellStyle name="Table Head Green 2 6 6 2" xfId="27564" xr:uid="{00000000-0005-0000-0000-0000AC0B0000}"/>
    <cellStyle name="Table Head Green 2 6 6 3" xfId="45927" xr:uid="{00000000-0005-0000-0000-0000AC0B0000}"/>
    <cellStyle name="Table Head Green 2 6 7" xfId="8092" xr:uid="{00000000-0005-0000-0000-0000AC0B0000}"/>
    <cellStyle name="Table Head Green 2 6 7 2" xfId="27299" xr:uid="{00000000-0005-0000-0000-0000AC0B0000}"/>
    <cellStyle name="Table Head Green 2 6 7 3" xfId="45664" xr:uid="{00000000-0005-0000-0000-0000AC0B0000}"/>
    <cellStyle name="Table Head Green 2 6 8" xfId="18801" xr:uid="{00000000-0005-0000-0000-0000AC0B0000}"/>
    <cellStyle name="Table Head Green 2 6 8 2" xfId="37210" xr:uid="{00000000-0005-0000-0000-0000AC0B0000}"/>
    <cellStyle name="Table Head Green 2 6 9" xfId="8473" xr:uid="{00000000-0005-0000-0000-0000AC0B0000}"/>
    <cellStyle name="Table Head Green 2 7" xfId="3352" xr:uid="{00000000-0005-0000-0000-00009E0B0000}"/>
    <cellStyle name="Table Head Green 2 7 2" xfId="5527" xr:uid="{00000000-0005-0000-0000-00009E0B0000}"/>
    <cellStyle name="Table Head Green 2 7 2 2" xfId="11891" xr:uid="{00000000-0005-0000-0000-00009E0B0000}"/>
    <cellStyle name="Table Head Green 2 7 2 2 2" xfId="30338" xr:uid="{00000000-0005-0000-0000-00009E0B0000}"/>
    <cellStyle name="Table Head Green 2 7 2 2 3" xfId="48701" xr:uid="{00000000-0005-0000-0000-00009E0B0000}"/>
    <cellStyle name="Table Head Green 2 7 2 3" xfId="16217" xr:uid="{00000000-0005-0000-0000-00009E0B0000}"/>
    <cellStyle name="Table Head Green 2 7 2 3 2" xfId="34589" xr:uid="{00000000-0005-0000-0000-00009E0B0000}"/>
    <cellStyle name="Table Head Green 2 7 2 3 3" xfId="52952" xr:uid="{00000000-0005-0000-0000-00009E0B0000}"/>
    <cellStyle name="Table Head Green 2 7 2 4" xfId="25336" xr:uid="{00000000-0005-0000-0000-00009E0B0000}"/>
    <cellStyle name="Table Head Green 2 7 2 4 2" xfId="43705" xr:uid="{00000000-0005-0000-0000-00009E0B0000}"/>
    <cellStyle name="Table Head Green 2 7 2 5" xfId="21657" xr:uid="{00000000-0005-0000-0000-00009E0B0000}"/>
    <cellStyle name="Table Head Green 2 7 2 6" xfId="40036" xr:uid="{00000000-0005-0000-0000-00009E0B0000}"/>
    <cellStyle name="Table Head Green 2 7 3" xfId="6351" xr:uid="{00000000-0005-0000-0000-00009E0B0000}"/>
    <cellStyle name="Table Head Green 2 7 3 2" xfId="12642" xr:uid="{00000000-0005-0000-0000-00009E0B0000}"/>
    <cellStyle name="Table Head Green 2 7 3 2 2" xfId="31068" xr:uid="{00000000-0005-0000-0000-00009E0B0000}"/>
    <cellStyle name="Table Head Green 2 7 3 2 3" xfId="49431" xr:uid="{00000000-0005-0000-0000-00009E0B0000}"/>
    <cellStyle name="Table Head Green 2 7 3 3" xfId="16953" xr:uid="{00000000-0005-0000-0000-00009E0B0000}"/>
    <cellStyle name="Table Head Green 2 7 3 3 2" xfId="35301" xr:uid="{00000000-0005-0000-0000-00009E0B0000}"/>
    <cellStyle name="Table Head Green 2 7 3 3 3" xfId="53664" xr:uid="{00000000-0005-0000-0000-00009E0B0000}"/>
    <cellStyle name="Table Head Green 2 7 3 4" xfId="26086" xr:uid="{00000000-0005-0000-0000-00009E0B0000}"/>
    <cellStyle name="Table Head Green 2 7 3 4 2" xfId="44455" xr:uid="{00000000-0005-0000-0000-00009E0B0000}"/>
    <cellStyle name="Table Head Green 2 7 3 5" xfId="22379" xr:uid="{00000000-0005-0000-0000-00009E0B0000}"/>
    <cellStyle name="Table Head Green 2 7 3 6" xfId="40748" xr:uid="{00000000-0005-0000-0000-00009E0B0000}"/>
    <cellStyle name="Table Head Green 2 7 4" xfId="10065" xr:uid="{00000000-0005-0000-0000-00009E0B0000}"/>
    <cellStyle name="Table Head Green 2 7 4 2" xfId="14122" xr:uid="{00000000-0005-0000-0000-00009E0B0000}"/>
    <cellStyle name="Table Head Green 2 7 4 2 2" xfId="32538" xr:uid="{00000000-0005-0000-0000-00009E0B0000}"/>
    <cellStyle name="Table Head Green 2 7 4 2 3" xfId="50901" xr:uid="{00000000-0005-0000-0000-00009E0B0000}"/>
    <cellStyle name="Table Head Green 2 7 4 3" xfId="28776" xr:uid="{00000000-0005-0000-0000-00009E0B0000}"/>
    <cellStyle name="Table Head Green 2 7 4 3 2" xfId="47139" xr:uid="{00000000-0005-0000-0000-00009E0B0000}"/>
    <cellStyle name="Table Head Green 2 7 4 4" xfId="19579" xr:uid="{00000000-0005-0000-0000-00009E0B0000}"/>
    <cellStyle name="Table Head Green 2 7 4 5" xfId="37985" xr:uid="{00000000-0005-0000-0000-00009E0B0000}"/>
    <cellStyle name="Table Head Green 2 7 5" xfId="9200" xr:uid="{00000000-0005-0000-0000-00009E0B0000}"/>
    <cellStyle name="Table Head Green 2 7 5 2" xfId="27921" xr:uid="{00000000-0005-0000-0000-00009E0B0000}"/>
    <cellStyle name="Table Head Green 2 7 5 3" xfId="46284" xr:uid="{00000000-0005-0000-0000-00009E0B0000}"/>
    <cellStyle name="Table Head Green 2 7 6" xfId="13258" xr:uid="{00000000-0005-0000-0000-00009E0B0000}"/>
    <cellStyle name="Table Head Green 2 7 6 2" xfId="31679" xr:uid="{00000000-0005-0000-0000-00009E0B0000}"/>
    <cellStyle name="Table Head Green 2 7 6 3" xfId="50042" xr:uid="{00000000-0005-0000-0000-00009E0B0000}"/>
    <cellStyle name="Table Head Green 2 7 7" xfId="23260" xr:uid="{00000000-0005-0000-0000-00009E0B0000}"/>
    <cellStyle name="Table Head Green 2 7 7 2" xfId="41629" xr:uid="{00000000-0005-0000-0000-00009E0B0000}"/>
    <cellStyle name="Table Head Green 2 7 8" xfId="18219" xr:uid="{00000000-0005-0000-0000-00009E0B0000}"/>
    <cellStyle name="Table Head Green 2 7 9" xfId="36625" xr:uid="{00000000-0005-0000-0000-00009E0B0000}"/>
    <cellStyle name="Table Head Green 2 8" xfId="4205" xr:uid="{00000000-0005-0000-0000-00009E0B0000}"/>
    <cellStyle name="Table Head Green 2 8 2" xfId="10854" xr:uid="{00000000-0005-0000-0000-00009E0B0000}"/>
    <cellStyle name="Table Head Green 2 8 2 2" xfId="29525" xr:uid="{00000000-0005-0000-0000-00009E0B0000}"/>
    <cellStyle name="Table Head Green 2 8 2 3" xfId="47888" xr:uid="{00000000-0005-0000-0000-00009E0B0000}"/>
    <cellStyle name="Table Head Green 2 8 3" xfId="14951" xr:uid="{00000000-0005-0000-0000-00009E0B0000}"/>
    <cellStyle name="Table Head Green 2 8 3 2" xfId="33355" xr:uid="{00000000-0005-0000-0000-00009E0B0000}"/>
    <cellStyle name="Table Head Green 2 8 3 3" xfId="51718" xr:uid="{00000000-0005-0000-0000-00009E0B0000}"/>
    <cellStyle name="Table Head Green 2 8 4" xfId="24084" xr:uid="{00000000-0005-0000-0000-00009E0B0000}"/>
    <cellStyle name="Table Head Green 2 8 4 2" xfId="42453" xr:uid="{00000000-0005-0000-0000-00009E0B0000}"/>
    <cellStyle name="Table Head Green 2 8 5" xfId="20404" xr:uid="{00000000-0005-0000-0000-00009E0B0000}"/>
    <cellStyle name="Table Head Green 2 8 6" xfId="38802" xr:uid="{00000000-0005-0000-0000-00009E0B0000}"/>
    <cellStyle name="Table Head Green 2 9" xfId="4084" xr:uid="{00000000-0005-0000-0000-00009E0B0000}"/>
    <cellStyle name="Table Head Green 2 9 2" xfId="10780" xr:uid="{00000000-0005-0000-0000-00009E0B0000}"/>
    <cellStyle name="Table Head Green 2 9 2 2" xfId="29478" xr:uid="{00000000-0005-0000-0000-00009E0B0000}"/>
    <cellStyle name="Table Head Green 2 9 2 3" xfId="47841" xr:uid="{00000000-0005-0000-0000-00009E0B0000}"/>
    <cellStyle name="Table Head Green 2 9 3" xfId="14840" xr:uid="{00000000-0005-0000-0000-00009E0B0000}"/>
    <cellStyle name="Table Head Green 2 9 3 2" xfId="33247" xr:uid="{00000000-0005-0000-0000-00009E0B0000}"/>
    <cellStyle name="Table Head Green 2 9 3 3" xfId="51610" xr:uid="{00000000-0005-0000-0000-00009E0B0000}"/>
    <cellStyle name="Table Head Green 2 9 4" xfId="23971" xr:uid="{00000000-0005-0000-0000-00009E0B0000}"/>
    <cellStyle name="Table Head Green 2 9 4 2" xfId="42340" xr:uid="{00000000-0005-0000-0000-00009E0B0000}"/>
    <cellStyle name="Table Head Green 2 9 5" xfId="20294" xr:uid="{00000000-0005-0000-0000-00009E0B0000}"/>
    <cellStyle name="Table Head Green 2 9 6" xfId="38694" xr:uid="{00000000-0005-0000-0000-00009E0B0000}"/>
    <cellStyle name="Table Head Green 3" xfId="1828" xr:uid="{00000000-0005-0000-0000-0000AD0B0000}"/>
    <cellStyle name="Table Head Green 3 10" xfId="8587" xr:uid="{00000000-0005-0000-0000-0000AD0B0000}"/>
    <cellStyle name="Table Head Green 3 2" xfId="3703" xr:uid="{00000000-0005-0000-0000-0000AD0B0000}"/>
    <cellStyle name="Table Head Green 3 2 2" xfId="5876" xr:uid="{00000000-0005-0000-0000-0000AD0B0000}"/>
    <cellStyle name="Table Head Green 3 2 2 2" xfId="12240" xr:uid="{00000000-0005-0000-0000-0000AD0B0000}"/>
    <cellStyle name="Table Head Green 3 2 2 2 2" xfId="30687" xr:uid="{00000000-0005-0000-0000-0000AD0B0000}"/>
    <cellStyle name="Table Head Green 3 2 2 2 3" xfId="49050" xr:uid="{00000000-0005-0000-0000-0000AD0B0000}"/>
    <cellStyle name="Table Head Green 3 2 2 3" xfId="16566" xr:uid="{00000000-0005-0000-0000-0000AD0B0000}"/>
    <cellStyle name="Table Head Green 3 2 2 3 2" xfId="34938" xr:uid="{00000000-0005-0000-0000-0000AD0B0000}"/>
    <cellStyle name="Table Head Green 3 2 2 3 3" xfId="53301" xr:uid="{00000000-0005-0000-0000-0000AD0B0000}"/>
    <cellStyle name="Table Head Green 3 2 2 4" xfId="25685" xr:uid="{00000000-0005-0000-0000-0000AD0B0000}"/>
    <cellStyle name="Table Head Green 3 2 2 4 2" xfId="44054" xr:uid="{00000000-0005-0000-0000-0000AD0B0000}"/>
    <cellStyle name="Table Head Green 3 2 2 5" xfId="22006" xr:uid="{00000000-0005-0000-0000-0000AD0B0000}"/>
    <cellStyle name="Table Head Green 3 2 2 6" xfId="40385" xr:uid="{00000000-0005-0000-0000-0000AD0B0000}"/>
    <cellStyle name="Table Head Green 3 2 3" xfId="6702" xr:uid="{00000000-0005-0000-0000-0000AD0B0000}"/>
    <cellStyle name="Table Head Green 3 2 3 2" xfId="12993" xr:uid="{00000000-0005-0000-0000-0000AD0B0000}"/>
    <cellStyle name="Table Head Green 3 2 3 2 2" xfId="31419" xr:uid="{00000000-0005-0000-0000-0000AD0B0000}"/>
    <cellStyle name="Table Head Green 3 2 3 2 3" xfId="49782" xr:uid="{00000000-0005-0000-0000-0000AD0B0000}"/>
    <cellStyle name="Table Head Green 3 2 3 3" xfId="17304" xr:uid="{00000000-0005-0000-0000-0000AD0B0000}"/>
    <cellStyle name="Table Head Green 3 2 3 3 2" xfId="35652" xr:uid="{00000000-0005-0000-0000-0000AD0B0000}"/>
    <cellStyle name="Table Head Green 3 2 3 3 3" xfId="54015" xr:uid="{00000000-0005-0000-0000-0000AD0B0000}"/>
    <cellStyle name="Table Head Green 3 2 3 4" xfId="26437" xr:uid="{00000000-0005-0000-0000-0000AD0B0000}"/>
    <cellStyle name="Table Head Green 3 2 3 4 2" xfId="44806" xr:uid="{00000000-0005-0000-0000-0000AD0B0000}"/>
    <cellStyle name="Table Head Green 3 2 3 5" xfId="22730" xr:uid="{00000000-0005-0000-0000-0000AD0B0000}"/>
    <cellStyle name="Table Head Green 3 2 3 6" xfId="41099" xr:uid="{00000000-0005-0000-0000-0000AD0B0000}"/>
    <cellStyle name="Table Head Green 3 2 4" xfId="10416" xr:uid="{00000000-0005-0000-0000-0000AD0B0000}"/>
    <cellStyle name="Table Head Green 3 2 4 2" xfId="14473" xr:uid="{00000000-0005-0000-0000-0000AD0B0000}"/>
    <cellStyle name="Table Head Green 3 2 4 2 2" xfId="32889" xr:uid="{00000000-0005-0000-0000-0000AD0B0000}"/>
    <cellStyle name="Table Head Green 3 2 4 2 3" xfId="51252" xr:uid="{00000000-0005-0000-0000-0000AD0B0000}"/>
    <cellStyle name="Table Head Green 3 2 4 3" xfId="29127" xr:uid="{00000000-0005-0000-0000-0000AD0B0000}"/>
    <cellStyle name="Table Head Green 3 2 4 3 2" xfId="47490" xr:uid="{00000000-0005-0000-0000-0000AD0B0000}"/>
    <cellStyle name="Table Head Green 3 2 4 4" xfId="19930" xr:uid="{00000000-0005-0000-0000-0000AD0B0000}"/>
    <cellStyle name="Table Head Green 3 2 4 5" xfId="38336" xr:uid="{00000000-0005-0000-0000-0000AD0B0000}"/>
    <cellStyle name="Table Head Green 3 2 5" xfId="9627" xr:uid="{00000000-0005-0000-0000-0000AD0B0000}"/>
    <cellStyle name="Table Head Green 3 2 5 2" xfId="28344" xr:uid="{00000000-0005-0000-0000-0000AD0B0000}"/>
    <cellStyle name="Table Head Green 3 2 5 3" xfId="46707" xr:uid="{00000000-0005-0000-0000-0000AD0B0000}"/>
    <cellStyle name="Table Head Green 3 2 6" xfId="13685" xr:uid="{00000000-0005-0000-0000-0000AD0B0000}"/>
    <cellStyle name="Table Head Green 3 2 6 2" xfId="32106" xr:uid="{00000000-0005-0000-0000-0000AD0B0000}"/>
    <cellStyle name="Table Head Green 3 2 6 3" xfId="50469" xr:uid="{00000000-0005-0000-0000-0000AD0B0000}"/>
    <cellStyle name="Table Head Green 3 2 7" xfId="23611" xr:uid="{00000000-0005-0000-0000-0000AD0B0000}"/>
    <cellStyle name="Table Head Green 3 2 7 2" xfId="41980" xr:uid="{00000000-0005-0000-0000-0000AD0B0000}"/>
    <cellStyle name="Table Head Green 3 2 8" xfId="18735" xr:uid="{00000000-0005-0000-0000-0000AD0B0000}"/>
    <cellStyle name="Table Head Green 3 2 9" xfId="37145" xr:uid="{00000000-0005-0000-0000-0000AD0B0000}"/>
    <cellStyle name="Table Head Green 3 3" xfId="4754" xr:uid="{00000000-0005-0000-0000-0000AD0B0000}"/>
    <cellStyle name="Table Head Green 3 3 2" xfId="11333" xr:uid="{00000000-0005-0000-0000-0000AD0B0000}"/>
    <cellStyle name="Table Head Green 3 3 2 2" xfId="29943" xr:uid="{00000000-0005-0000-0000-0000AD0B0000}"/>
    <cellStyle name="Table Head Green 3 3 2 3" xfId="48306" xr:uid="{00000000-0005-0000-0000-0000AD0B0000}"/>
    <cellStyle name="Table Head Green 3 3 3" xfId="15480" xr:uid="{00000000-0005-0000-0000-0000AD0B0000}"/>
    <cellStyle name="Table Head Green 3 3 3 2" xfId="33873" xr:uid="{00000000-0005-0000-0000-0000AD0B0000}"/>
    <cellStyle name="Table Head Green 3 3 3 3" xfId="52236" xr:uid="{00000000-0005-0000-0000-0000AD0B0000}"/>
    <cellStyle name="Table Head Green 3 3 4" xfId="24604" xr:uid="{00000000-0005-0000-0000-0000AD0B0000}"/>
    <cellStyle name="Table Head Green 3 3 4 2" xfId="42973" xr:uid="{00000000-0005-0000-0000-0000AD0B0000}"/>
    <cellStyle name="Table Head Green 3 3 5" xfId="20931" xr:uid="{00000000-0005-0000-0000-0000AD0B0000}"/>
    <cellStyle name="Table Head Green 3 3 6" xfId="39320" xr:uid="{00000000-0005-0000-0000-0000AD0B0000}"/>
    <cellStyle name="Table Head Green 3 4" xfId="3930" xr:uid="{00000000-0005-0000-0000-0000AD0B0000}"/>
    <cellStyle name="Table Head Green 3 4 2" xfId="10636" xr:uid="{00000000-0005-0000-0000-0000AD0B0000}"/>
    <cellStyle name="Table Head Green 3 4 2 2" xfId="29345" xr:uid="{00000000-0005-0000-0000-0000AD0B0000}"/>
    <cellStyle name="Table Head Green 3 4 2 3" xfId="47708" xr:uid="{00000000-0005-0000-0000-0000AD0B0000}"/>
    <cellStyle name="Table Head Green 3 4 3" xfId="14695" xr:uid="{00000000-0005-0000-0000-0000AD0B0000}"/>
    <cellStyle name="Table Head Green 3 4 3 2" xfId="33108" xr:uid="{00000000-0005-0000-0000-0000AD0B0000}"/>
    <cellStyle name="Table Head Green 3 4 3 3" xfId="51471" xr:uid="{00000000-0005-0000-0000-0000AD0B0000}"/>
    <cellStyle name="Table Head Green 3 4 4" xfId="23832" xr:uid="{00000000-0005-0000-0000-0000AD0B0000}"/>
    <cellStyle name="Table Head Green 3 4 4 2" xfId="42201" xr:uid="{00000000-0005-0000-0000-0000AD0B0000}"/>
    <cellStyle name="Table Head Green 3 4 5" xfId="20150" xr:uid="{00000000-0005-0000-0000-0000AD0B0000}"/>
    <cellStyle name="Table Head Green 3 4 6" xfId="38555" xr:uid="{00000000-0005-0000-0000-0000AD0B0000}"/>
    <cellStyle name="Table Head Green 3 5" xfId="9791" xr:uid="{00000000-0005-0000-0000-0000AD0B0000}"/>
    <cellStyle name="Table Head Green 3 5 2" xfId="13848" xr:uid="{00000000-0005-0000-0000-0000AD0B0000}"/>
    <cellStyle name="Table Head Green 3 5 2 2" xfId="32268" xr:uid="{00000000-0005-0000-0000-0000AD0B0000}"/>
    <cellStyle name="Table Head Green 3 5 2 3" xfId="50631" xr:uid="{00000000-0005-0000-0000-0000AD0B0000}"/>
    <cellStyle name="Table Head Green 3 5 3" xfId="28506" xr:uid="{00000000-0005-0000-0000-0000AD0B0000}"/>
    <cellStyle name="Table Head Green 3 5 3 2" xfId="46869" xr:uid="{00000000-0005-0000-0000-0000AD0B0000}"/>
    <cellStyle name="Table Head Green 3 5 4" xfId="19005" xr:uid="{00000000-0005-0000-0000-0000AD0B0000}"/>
    <cellStyle name="Table Head Green 3 5 5" xfId="37414" xr:uid="{00000000-0005-0000-0000-0000AD0B0000}"/>
    <cellStyle name="Table Head Green 3 6" xfId="8050" xr:uid="{00000000-0005-0000-0000-0000AD0B0000}"/>
    <cellStyle name="Table Head Green 3 6 2" xfId="27274" xr:uid="{00000000-0005-0000-0000-0000AD0B0000}"/>
    <cellStyle name="Table Head Green 3 6 3" xfId="45639" xr:uid="{00000000-0005-0000-0000-0000AD0B0000}"/>
    <cellStyle name="Table Head Green 3 7" xfId="8726" xr:uid="{00000000-0005-0000-0000-0000AD0B0000}"/>
    <cellStyle name="Table Head Green 3 7 2" xfId="27607" xr:uid="{00000000-0005-0000-0000-0000AD0B0000}"/>
    <cellStyle name="Table Head Green 3 7 3" xfId="45970" xr:uid="{00000000-0005-0000-0000-0000AD0B0000}"/>
    <cellStyle name="Table Head Green 3 8" xfId="18110" xr:uid="{00000000-0005-0000-0000-0000AD0B0000}"/>
    <cellStyle name="Table Head Green 3 8 2" xfId="36517" xr:uid="{00000000-0005-0000-0000-0000AD0B0000}"/>
    <cellStyle name="Table Head Green 3 9" xfId="11475" xr:uid="{00000000-0005-0000-0000-0000AD0B0000}"/>
    <cellStyle name="Table Head Green 4" xfId="2257" xr:uid="{00000000-0005-0000-0000-0000AE0B0000}"/>
    <cellStyle name="Table Head Green 4 10" xfId="7814" xr:uid="{00000000-0005-0000-0000-0000AE0B0000}"/>
    <cellStyle name="Table Head Green 4 2" xfId="3760" xr:uid="{00000000-0005-0000-0000-0000AE0B0000}"/>
    <cellStyle name="Table Head Green 4 2 2" xfId="5933" xr:uid="{00000000-0005-0000-0000-0000AE0B0000}"/>
    <cellStyle name="Table Head Green 4 2 2 2" xfId="12297" xr:uid="{00000000-0005-0000-0000-0000AE0B0000}"/>
    <cellStyle name="Table Head Green 4 2 2 2 2" xfId="30744" xr:uid="{00000000-0005-0000-0000-0000AE0B0000}"/>
    <cellStyle name="Table Head Green 4 2 2 2 3" xfId="49107" xr:uid="{00000000-0005-0000-0000-0000AE0B0000}"/>
    <cellStyle name="Table Head Green 4 2 2 3" xfId="16623" xr:uid="{00000000-0005-0000-0000-0000AE0B0000}"/>
    <cellStyle name="Table Head Green 4 2 2 3 2" xfId="34995" xr:uid="{00000000-0005-0000-0000-0000AE0B0000}"/>
    <cellStyle name="Table Head Green 4 2 2 3 3" xfId="53358" xr:uid="{00000000-0005-0000-0000-0000AE0B0000}"/>
    <cellStyle name="Table Head Green 4 2 2 4" xfId="25742" xr:uid="{00000000-0005-0000-0000-0000AE0B0000}"/>
    <cellStyle name="Table Head Green 4 2 2 4 2" xfId="44111" xr:uid="{00000000-0005-0000-0000-0000AE0B0000}"/>
    <cellStyle name="Table Head Green 4 2 2 5" xfId="22063" xr:uid="{00000000-0005-0000-0000-0000AE0B0000}"/>
    <cellStyle name="Table Head Green 4 2 2 6" xfId="40442" xr:uid="{00000000-0005-0000-0000-0000AE0B0000}"/>
    <cellStyle name="Table Head Green 4 2 3" xfId="6759" xr:uid="{00000000-0005-0000-0000-0000AE0B0000}"/>
    <cellStyle name="Table Head Green 4 2 3 2" xfId="13050" xr:uid="{00000000-0005-0000-0000-0000AE0B0000}"/>
    <cellStyle name="Table Head Green 4 2 3 2 2" xfId="31476" xr:uid="{00000000-0005-0000-0000-0000AE0B0000}"/>
    <cellStyle name="Table Head Green 4 2 3 2 3" xfId="49839" xr:uid="{00000000-0005-0000-0000-0000AE0B0000}"/>
    <cellStyle name="Table Head Green 4 2 3 3" xfId="17361" xr:uid="{00000000-0005-0000-0000-0000AE0B0000}"/>
    <cellStyle name="Table Head Green 4 2 3 3 2" xfId="35709" xr:uid="{00000000-0005-0000-0000-0000AE0B0000}"/>
    <cellStyle name="Table Head Green 4 2 3 3 3" xfId="54072" xr:uid="{00000000-0005-0000-0000-0000AE0B0000}"/>
    <cellStyle name="Table Head Green 4 2 3 4" xfId="26494" xr:uid="{00000000-0005-0000-0000-0000AE0B0000}"/>
    <cellStyle name="Table Head Green 4 2 3 4 2" xfId="44863" xr:uid="{00000000-0005-0000-0000-0000AE0B0000}"/>
    <cellStyle name="Table Head Green 4 2 3 5" xfId="22787" xr:uid="{00000000-0005-0000-0000-0000AE0B0000}"/>
    <cellStyle name="Table Head Green 4 2 3 6" xfId="41156" xr:uid="{00000000-0005-0000-0000-0000AE0B0000}"/>
    <cellStyle name="Table Head Green 4 2 4" xfId="10473" xr:uid="{00000000-0005-0000-0000-0000AE0B0000}"/>
    <cellStyle name="Table Head Green 4 2 4 2" xfId="14530" xr:uid="{00000000-0005-0000-0000-0000AE0B0000}"/>
    <cellStyle name="Table Head Green 4 2 4 2 2" xfId="32946" xr:uid="{00000000-0005-0000-0000-0000AE0B0000}"/>
    <cellStyle name="Table Head Green 4 2 4 2 3" xfId="51309" xr:uid="{00000000-0005-0000-0000-0000AE0B0000}"/>
    <cellStyle name="Table Head Green 4 2 4 3" xfId="29184" xr:uid="{00000000-0005-0000-0000-0000AE0B0000}"/>
    <cellStyle name="Table Head Green 4 2 4 3 2" xfId="47547" xr:uid="{00000000-0005-0000-0000-0000AE0B0000}"/>
    <cellStyle name="Table Head Green 4 2 4 4" xfId="19987" xr:uid="{00000000-0005-0000-0000-0000AE0B0000}"/>
    <cellStyle name="Table Head Green 4 2 4 5" xfId="38393" xr:uid="{00000000-0005-0000-0000-0000AE0B0000}"/>
    <cellStyle name="Table Head Green 4 2 5" xfId="9740" xr:uid="{00000000-0005-0000-0000-0000AE0B0000}"/>
    <cellStyle name="Table Head Green 4 2 5 2" xfId="28455" xr:uid="{00000000-0005-0000-0000-0000AE0B0000}"/>
    <cellStyle name="Table Head Green 4 2 5 3" xfId="46818" xr:uid="{00000000-0005-0000-0000-0000AE0B0000}"/>
    <cellStyle name="Table Head Green 4 2 6" xfId="13797" xr:uid="{00000000-0005-0000-0000-0000AE0B0000}"/>
    <cellStyle name="Table Head Green 4 2 6 2" xfId="32217" xr:uid="{00000000-0005-0000-0000-0000AE0B0000}"/>
    <cellStyle name="Table Head Green 4 2 6 3" xfId="50580" xr:uid="{00000000-0005-0000-0000-0000AE0B0000}"/>
    <cellStyle name="Table Head Green 4 2 7" xfId="23668" xr:uid="{00000000-0005-0000-0000-0000AE0B0000}"/>
    <cellStyle name="Table Head Green 4 2 7 2" xfId="42037" xr:uid="{00000000-0005-0000-0000-0000AE0B0000}"/>
    <cellStyle name="Table Head Green 4 2 8" xfId="18915" xr:uid="{00000000-0005-0000-0000-0000AE0B0000}"/>
    <cellStyle name="Table Head Green 4 2 9" xfId="37324" xr:uid="{00000000-0005-0000-0000-0000AE0B0000}"/>
    <cellStyle name="Table Head Green 4 3" xfId="4951" xr:uid="{00000000-0005-0000-0000-0000AE0B0000}"/>
    <cellStyle name="Table Head Green 4 3 2" xfId="11486" xr:uid="{00000000-0005-0000-0000-0000AE0B0000}"/>
    <cellStyle name="Table Head Green 4 3 2 2" xfId="30062" xr:uid="{00000000-0005-0000-0000-0000AE0B0000}"/>
    <cellStyle name="Table Head Green 4 3 2 3" xfId="48425" xr:uid="{00000000-0005-0000-0000-0000AE0B0000}"/>
    <cellStyle name="Table Head Green 4 3 3" xfId="15670" xr:uid="{00000000-0005-0000-0000-0000AE0B0000}"/>
    <cellStyle name="Table Head Green 4 3 3 2" xfId="34059" xr:uid="{00000000-0005-0000-0000-0000AE0B0000}"/>
    <cellStyle name="Table Head Green 4 3 3 3" xfId="52422" xr:uid="{00000000-0005-0000-0000-0000AE0B0000}"/>
    <cellStyle name="Table Head Green 4 3 4" xfId="24792" xr:uid="{00000000-0005-0000-0000-0000AE0B0000}"/>
    <cellStyle name="Table Head Green 4 3 4 2" xfId="43161" xr:uid="{00000000-0005-0000-0000-0000AE0B0000}"/>
    <cellStyle name="Table Head Green 4 3 5" xfId="21119" xr:uid="{00000000-0005-0000-0000-0000AE0B0000}"/>
    <cellStyle name="Table Head Green 4 3 6" xfId="39506" xr:uid="{00000000-0005-0000-0000-0000AE0B0000}"/>
    <cellStyle name="Table Head Green 4 4" xfId="6088" xr:uid="{00000000-0005-0000-0000-0000AE0B0000}"/>
    <cellStyle name="Table Head Green 4 4 2" xfId="12445" xr:uid="{00000000-0005-0000-0000-0000AE0B0000}"/>
    <cellStyle name="Table Head Green 4 4 2 2" xfId="30892" xr:uid="{00000000-0005-0000-0000-0000AE0B0000}"/>
    <cellStyle name="Table Head Green 4 4 2 3" xfId="49255" xr:uid="{00000000-0005-0000-0000-0000AE0B0000}"/>
    <cellStyle name="Table Head Green 4 4 3" xfId="16770" xr:uid="{00000000-0005-0000-0000-0000AE0B0000}"/>
    <cellStyle name="Table Head Green 4 4 3 2" xfId="35142" xr:uid="{00000000-0005-0000-0000-0000AE0B0000}"/>
    <cellStyle name="Table Head Green 4 4 3 3" xfId="53505" xr:uid="{00000000-0005-0000-0000-0000AE0B0000}"/>
    <cellStyle name="Table Head Green 4 4 4" xfId="25896" xr:uid="{00000000-0005-0000-0000-0000AE0B0000}"/>
    <cellStyle name="Table Head Green 4 4 4 2" xfId="44265" xr:uid="{00000000-0005-0000-0000-0000AE0B0000}"/>
    <cellStyle name="Table Head Green 4 4 5" xfId="22210" xr:uid="{00000000-0005-0000-0000-0000AE0B0000}"/>
    <cellStyle name="Table Head Green 4 4 6" xfId="40589" xr:uid="{00000000-0005-0000-0000-0000AE0B0000}"/>
    <cellStyle name="Table Head Green 4 5" xfId="9684" xr:uid="{00000000-0005-0000-0000-0000AE0B0000}"/>
    <cellStyle name="Table Head Green 4 5 2" xfId="13741" xr:uid="{00000000-0005-0000-0000-0000AE0B0000}"/>
    <cellStyle name="Table Head Green 4 5 2 2" xfId="32162" xr:uid="{00000000-0005-0000-0000-0000AE0B0000}"/>
    <cellStyle name="Table Head Green 4 5 2 3" xfId="50525" xr:uid="{00000000-0005-0000-0000-0000AE0B0000}"/>
    <cellStyle name="Table Head Green 4 5 3" xfId="28400" xr:uid="{00000000-0005-0000-0000-0000AE0B0000}"/>
    <cellStyle name="Table Head Green 4 5 3 2" xfId="46763" xr:uid="{00000000-0005-0000-0000-0000AE0B0000}"/>
    <cellStyle name="Table Head Green 4 5 4" xfId="18826" xr:uid="{00000000-0005-0000-0000-0000AE0B0000}"/>
    <cellStyle name="Table Head Green 4 5 5" xfId="37235" xr:uid="{00000000-0005-0000-0000-0000AE0B0000}"/>
    <cellStyle name="Table Head Green 4 6" xfId="8325" xr:uid="{00000000-0005-0000-0000-0000AE0B0000}"/>
    <cellStyle name="Table Head Green 4 6 2" xfId="27412" xr:uid="{00000000-0005-0000-0000-0000AE0B0000}"/>
    <cellStyle name="Table Head Green 4 6 3" xfId="45777" xr:uid="{00000000-0005-0000-0000-0000AE0B0000}"/>
    <cellStyle name="Table Head Green 4 7" xfId="7112" xr:uid="{00000000-0005-0000-0000-0000AE0B0000}"/>
    <cellStyle name="Table Head Green 4 7 2" xfId="26723" xr:uid="{00000000-0005-0000-0000-0000AE0B0000}"/>
    <cellStyle name="Table Head Green 4 7 3" xfId="45091" xr:uid="{00000000-0005-0000-0000-0000AE0B0000}"/>
    <cellStyle name="Table Head Green 4 8" xfId="19451" xr:uid="{00000000-0005-0000-0000-0000AE0B0000}"/>
    <cellStyle name="Table Head Green 4 8 2" xfId="37857" xr:uid="{00000000-0005-0000-0000-0000AE0B0000}"/>
    <cellStyle name="Table Head Green 4 9" xfId="15080" xr:uid="{00000000-0005-0000-0000-0000AE0B0000}"/>
    <cellStyle name="Table Head Green 5" xfId="2700" xr:uid="{00000000-0005-0000-0000-0000AF0B0000}"/>
    <cellStyle name="Table Head Green 5 10" xfId="35902" xr:uid="{00000000-0005-0000-0000-0000AF0B0000}"/>
    <cellStyle name="Table Head Green 5 2" xfId="3804" xr:uid="{00000000-0005-0000-0000-0000AF0B0000}"/>
    <cellStyle name="Table Head Green 5 2 2" xfId="5977" xr:uid="{00000000-0005-0000-0000-0000AF0B0000}"/>
    <cellStyle name="Table Head Green 5 2 2 2" xfId="12341" xr:uid="{00000000-0005-0000-0000-0000AF0B0000}"/>
    <cellStyle name="Table Head Green 5 2 2 2 2" xfId="30788" xr:uid="{00000000-0005-0000-0000-0000AF0B0000}"/>
    <cellStyle name="Table Head Green 5 2 2 2 3" xfId="49151" xr:uid="{00000000-0005-0000-0000-0000AF0B0000}"/>
    <cellStyle name="Table Head Green 5 2 2 3" xfId="16667" xr:uid="{00000000-0005-0000-0000-0000AF0B0000}"/>
    <cellStyle name="Table Head Green 5 2 2 3 2" xfId="35039" xr:uid="{00000000-0005-0000-0000-0000AF0B0000}"/>
    <cellStyle name="Table Head Green 5 2 2 3 3" xfId="53402" xr:uid="{00000000-0005-0000-0000-0000AF0B0000}"/>
    <cellStyle name="Table Head Green 5 2 2 4" xfId="25786" xr:uid="{00000000-0005-0000-0000-0000AF0B0000}"/>
    <cellStyle name="Table Head Green 5 2 2 4 2" xfId="44155" xr:uid="{00000000-0005-0000-0000-0000AF0B0000}"/>
    <cellStyle name="Table Head Green 5 2 2 5" xfId="22107" xr:uid="{00000000-0005-0000-0000-0000AF0B0000}"/>
    <cellStyle name="Table Head Green 5 2 2 6" xfId="40486" xr:uid="{00000000-0005-0000-0000-0000AF0B0000}"/>
    <cellStyle name="Table Head Green 5 2 3" xfId="6803" xr:uid="{00000000-0005-0000-0000-0000AF0B0000}"/>
    <cellStyle name="Table Head Green 5 2 3 2" xfId="13094" xr:uid="{00000000-0005-0000-0000-0000AF0B0000}"/>
    <cellStyle name="Table Head Green 5 2 3 2 2" xfId="31520" xr:uid="{00000000-0005-0000-0000-0000AF0B0000}"/>
    <cellStyle name="Table Head Green 5 2 3 2 3" xfId="49883" xr:uid="{00000000-0005-0000-0000-0000AF0B0000}"/>
    <cellStyle name="Table Head Green 5 2 3 3" xfId="17405" xr:uid="{00000000-0005-0000-0000-0000AF0B0000}"/>
    <cellStyle name="Table Head Green 5 2 3 3 2" xfId="35753" xr:uid="{00000000-0005-0000-0000-0000AF0B0000}"/>
    <cellStyle name="Table Head Green 5 2 3 3 3" xfId="54116" xr:uid="{00000000-0005-0000-0000-0000AF0B0000}"/>
    <cellStyle name="Table Head Green 5 2 3 4" xfId="26538" xr:uid="{00000000-0005-0000-0000-0000AF0B0000}"/>
    <cellStyle name="Table Head Green 5 2 3 4 2" xfId="44907" xr:uid="{00000000-0005-0000-0000-0000AF0B0000}"/>
    <cellStyle name="Table Head Green 5 2 3 5" xfId="22831" xr:uid="{00000000-0005-0000-0000-0000AF0B0000}"/>
    <cellStyle name="Table Head Green 5 2 3 6" xfId="41200" xr:uid="{00000000-0005-0000-0000-0000AF0B0000}"/>
    <cellStyle name="Table Head Green 5 2 4" xfId="10517" xr:uid="{00000000-0005-0000-0000-0000AF0B0000}"/>
    <cellStyle name="Table Head Green 5 2 4 2" xfId="14574" xr:uid="{00000000-0005-0000-0000-0000AF0B0000}"/>
    <cellStyle name="Table Head Green 5 2 4 2 2" xfId="32990" xr:uid="{00000000-0005-0000-0000-0000AF0B0000}"/>
    <cellStyle name="Table Head Green 5 2 4 2 3" xfId="51353" xr:uid="{00000000-0005-0000-0000-0000AF0B0000}"/>
    <cellStyle name="Table Head Green 5 2 4 3" xfId="29228" xr:uid="{00000000-0005-0000-0000-0000AF0B0000}"/>
    <cellStyle name="Table Head Green 5 2 4 3 2" xfId="47591" xr:uid="{00000000-0005-0000-0000-0000AF0B0000}"/>
    <cellStyle name="Table Head Green 5 2 4 4" xfId="20031" xr:uid="{00000000-0005-0000-0000-0000AF0B0000}"/>
    <cellStyle name="Table Head Green 5 2 4 5" xfId="38437" xr:uid="{00000000-0005-0000-0000-0000AF0B0000}"/>
    <cellStyle name="Table Head Green 5 2 5" xfId="9843" xr:uid="{00000000-0005-0000-0000-0000AF0B0000}"/>
    <cellStyle name="Table Head Green 5 2 5 2" xfId="28557" xr:uid="{00000000-0005-0000-0000-0000AF0B0000}"/>
    <cellStyle name="Table Head Green 5 2 5 3" xfId="46920" xr:uid="{00000000-0005-0000-0000-0000AF0B0000}"/>
    <cellStyle name="Table Head Green 5 2 6" xfId="13901" xr:uid="{00000000-0005-0000-0000-0000AF0B0000}"/>
    <cellStyle name="Table Head Green 5 2 6 2" xfId="32319" xr:uid="{00000000-0005-0000-0000-0000AF0B0000}"/>
    <cellStyle name="Table Head Green 5 2 6 3" xfId="50682" xr:uid="{00000000-0005-0000-0000-0000AF0B0000}"/>
    <cellStyle name="Table Head Green 5 2 7" xfId="23712" xr:uid="{00000000-0005-0000-0000-0000AF0B0000}"/>
    <cellStyle name="Table Head Green 5 2 7 2" xfId="42081" xr:uid="{00000000-0005-0000-0000-0000AF0B0000}"/>
    <cellStyle name="Table Head Green 5 2 8" xfId="19086" xr:uid="{00000000-0005-0000-0000-0000AF0B0000}"/>
    <cellStyle name="Table Head Green 5 2 9" xfId="37494" xr:uid="{00000000-0005-0000-0000-0000AF0B0000}"/>
    <cellStyle name="Table Head Green 5 3" xfId="5114" xr:uid="{00000000-0005-0000-0000-0000AF0B0000}"/>
    <cellStyle name="Table Head Green 5 3 2" xfId="11623" xr:uid="{00000000-0005-0000-0000-0000AF0B0000}"/>
    <cellStyle name="Table Head Green 5 3 2 2" xfId="30176" xr:uid="{00000000-0005-0000-0000-0000AF0B0000}"/>
    <cellStyle name="Table Head Green 5 3 2 3" xfId="48539" xr:uid="{00000000-0005-0000-0000-0000AF0B0000}"/>
    <cellStyle name="Table Head Green 5 3 3" xfId="15823" xr:uid="{00000000-0005-0000-0000-0000AF0B0000}"/>
    <cellStyle name="Table Head Green 5 3 3 2" xfId="34208" xr:uid="{00000000-0005-0000-0000-0000AF0B0000}"/>
    <cellStyle name="Table Head Green 5 3 3 3" xfId="52571" xr:uid="{00000000-0005-0000-0000-0000AF0B0000}"/>
    <cellStyle name="Table Head Green 5 3 4" xfId="24945" xr:uid="{00000000-0005-0000-0000-0000AF0B0000}"/>
    <cellStyle name="Table Head Green 5 3 4 2" xfId="43314" xr:uid="{00000000-0005-0000-0000-0000AF0B0000}"/>
    <cellStyle name="Table Head Green 5 3 5" xfId="21270" xr:uid="{00000000-0005-0000-0000-0000AF0B0000}"/>
    <cellStyle name="Table Head Green 5 3 6" xfId="39655" xr:uid="{00000000-0005-0000-0000-0000AF0B0000}"/>
    <cellStyle name="Table Head Green 5 4" xfId="6167" xr:uid="{00000000-0005-0000-0000-0000AF0B0000}"/>
    <cellStyle name="Table Head Green 5 4 2" xfId="12504" xr:uid="{00000000-0005-0000-0000-0000AF0B0000}"/>
    <cellStyle name="Table Head Green 5 4 2 2" xfId="30941" xr:uid="{00000000-0005-0000-0000-0000AF0B0000}"/>
    <cellStyle name="Table Head Green 5 4 2 3" xfId="49304" xr:uid="{00000000-0005-0000-0000-0000AF0B0000}"/>
    <cellStyle name="Table Head Green 5 4 3" xfId="16822" xr:uid="{00000000-0005-0000-0000-0000AF0B0000}"/>
    <cellStyle name="Table Head Green 5 4 3 2" xfId="35187" xr:uid="{00000000-0005-0000-0000-0000AF0B0000}"/>
    <cellStyle name="Table Head Green 5 4 3 3" xfId="53550" xr:uid="{00000000-0005-0000-0000-0000AF0B0000}"/>
    <cellStyle name="Table Head Green 5 4 4" xfId="25954" xr:uid="{00000000-0005-0000-0000-0000AF0B0000}"/>
    <cellStyle name="Table Head Green 5 4 4 2" xfId="44323" xr:uid="{00000000-0005-0000-0000-0000AF0B0000}"/>
    <cellStyle name="Table Head Green 5 4 5" xfId="22259" xr:uid="{00000000-0005-0000-0000-0000AF0B0000}"/>
    <cellStyle name="Table Head Green 5 4 6" xfId="40634" xr:uid="{00000000-0005-0000-0000-0000AF0B0000}"/>
    <cellStyle name="Table Head Green 5 5" xfId="9849" xr:uid="{00000000-0005-0000-0000-0000AF0B0000}"/>
    <cellStyle name="Table Head Green 5 5 2" xfId="13907" xr:uid="{00000000-0005-0000-0000-0000AF0B0000}"/>
    <cellStyle name="Table Head Green 5 5 2 2" xfId="32325" xr:uid="{00000000-0005-0000-0000-0000AF0B0000}"/>
    <cellStyle name="Table Head Green 5 5 2 3" xfId="50688" xr:uid="{00000000-0005-0000-0000-0000AF0B0000}"/>
    <cellStyle name="Table Head Green 5 5 3" xfId="28563" xr:uid="{00000000-0005-0000-0000-0000AF0B0000}"/>
    <cellStyle name="Table Head Green 5 5 3 2" xfId="46926" xr:uid="{00000000-0005-0000-0000-0000AF0B0000}"/>
    <cellStyle name="Table Head Green 5 5 4" xfId="19100" xr:uid="{00000000-0005-0000-0000-0000AF0B0000}"/>
    <cellStyle name="Table Head Green 5 5 5" xfId="37508" xr:uid="{00000000-0005-0000-0000-0000AF0B0000}"/>
    <cellStyle name="Table Head Green 5 6" xfId="8596" xr:uid="{00000000-0005-0000-0000-0000AF0B0000}"/>
    <cellStyle name="Table Head Green 5 6 2" xfId="27531" xr:uid="{00000000-0005-0000-0000-0000AF0B0000}"/>
    <cellStyle name="Table Head Green 5 6 3" xfId="45895" xr:uid="{00000000-0005-0000-0000-0000AF0B0000}"/>
    <cellStyle name="Table Head Green 5 7" xfId="8063" xr:uid="{00000000-0005-0000-0000-0000AF0B0000}"/>
    <cellStyle name="Table Head Green 5 7 2" xfId="27276" xr:uid="{00000000-0005-0000-0000-0000AF0B0000}"/>
    <cellStyle name="Table Head Green 5 7 3" xfId="45641" xr:uid="{00000000-0005-0000-0000-0000AF0B0000}"/>
    <cellStyle name="Table Head Green 5 8" xfId="18551" xr:uid="{00000000-0005-0000-0000-0000AF0B0000}"/>
    <cellStyle name="Table Head Green 5 8 2" xfId="36960" xr:uid="{00000000-0005-0000-0000-0000AF0B0000}"/>
    <cellStyle name="Table Head Green 5 9" xfId="7160" xr:uid="{00000000-0005-0000-0000-0000AF0B0000}"/>
    <cellStyle name="Table Head Green 6" xfId="2916" xr:uid="{00000000-0005-0000-0000-0000B00B0000}"/>
    <cellStyle name="Table Head Green 6 10" xfId="35939" xr:uid="{00000000-0005-0000-0000-0000B00B0000}"/>
    <cellStyle name="Table Head Green 6 2" xfId="3827" xr:uid="{00000000-0005-0000-0000-0000B00B0000}"/>
    <cellStyle name="Table Head Green 6 2 2" xfId="6000" xr:uid="{00000000-0005-0000-0000-0000B00B0000}"/>
    <cellStyle name="Table Head Green 6 2 2 2" xfId="12364" xr:uid="{00000000-0005-0000-0000-0000B00B0000}"/>
    <cellStyle name="Table Head Green 6 2 2 2 2" xfId="30811" xr:uid="{00000000-0005-0000-0000-0000B00B0000}"/>
    <cellStyle name="Table Head Green 6 2 2 2 3" xfId="49174" xr:uid="{00000000-0005-0000-0000-0000B00B0000}"/>
    <cellStyle name="Table Head Green 6 2 2 3" xfId="16690" xr:uid="{00000000-0005-0000-0000-0000B00B0000}"/>
    <cellStyle name="Table Head Green 6 2 2 3 2" xfId="35062" xr:uid="{00000000-0005-0000-0000-0000B00B0000}"/>
    <cellStyle name="Table Head Green 6 2 2 3 3" xfId="53425" xr:uid="{00000000-0005-0000-0000-0000B00B0000}"/>
    <cellStyle name="Table Head Green 6 2 2 4" xfId="25809" xr:uid="{00000000-0005-0000-0000-0000B00B0000}"/>
    <cellStyle name="Table Head Green 6 2 2 4 2" xfId="44178" xr:uid="{00000000-0005-0000-0000-0000B00B0000}"/>
    <cellStyle name="Table Head Green 6 2 2 5" xfId="22130" xr:uid="{00000000-0005-0000-0000-0000B00B0000}"/>
    <cellStyle name="Table Head Green 6 2 2 6" xfId="40509" xr:uid="{00000000-0005-0000-0000-0000B00B0000}"/>
    <cellStyle name="Table Head Green 6 2 3" xfId="6826" xr:uid="{00000000-0005-0000-0000-0000B00B0000}"/>
    <cellStyle name="Table Head Green 6 2 3 2" xfId="13117" xr:uid="{00000000-0005-0000-0000-0000B00B0000}"/>
    <cellStyle name="Table Head Green 6 2 3 2 2" xfId="31543" xr:uid="{00000000-0005-0000-0000-0000B00B0000}"/>
    <cellStyle name="Table Head Green 6 2 3 2 3" xfId="49906" xr:uid="{00000000-0005-0000-0000-0000B00B0000}"/>
    <cellStyle name="Table Head Green 6 2 3 3" xfId="17428" xr:uid="{00000000-0005-0000-0000-0000B00B0000}"/>
    <cellStyle name="Table Head Green 6 2 3 3 2" xfId="35776" xr:uid="{00000000-0005-0000-0000-0000B00B0000}"/>
    <cellStyle name="Table Head Green 6 2 3 3 3" xfId="54139" xr:uid="{00000000-0005-0000-0000-0000B00B0000}"/>
    <cellStyle name="Table Head Green 6 2 3 4" xfId="26561" xr:uid="{00000000-0005-0000-0000-0000B00B0000}"/>
    <cellStyle name="Table Head Green 6 2 3 4 2" xfId="44930" xr:uid="{00000000-0005-0000-0000-0000B00B0000}"/>
    <cellStyle name="Table Head Green 6 2 3 5" xfId="22854" xr:uid="{00000000-0005-0000-0000-0000B00B0000}"/>
    <cellStyle name="Table Head Green 6 2 3 6" xfId="41223" xr:uid="{00000000-0005-0000-0000-0000B00B0000}"/>
    <cellStyle name="Table Head Green 6 2 4" xfId="10540" xr:uid="{00000000-0005-0000-0000-0000B00B0000}"/>
    <cellStyle name="Table Head Green 6 2 4 2" xfId="14597" xr:uid="{00000000-0005-0000-0000-0000B00B0000}"/>
    <cellStyle name="Table Head Green 6 2 4 2 2" xfId="33013" xr:uid="{00000000-0005-0000-0000-0000B00B0000}"/>
    <cellStyle name="Table Head Green 6 2 4 2 3" xfId="51376" xr:uid="{00000000-0005-0000-0000-0000B00B0000}"/>
    <cellStyle name="Table Head Green 6 2 4 3" xfId="29251" xr:uid="{00000000-0005-0000-0000-0000B00B0000}"/>
    <cellStyle name="Table Head Green 6 2 4 3 2" xfId="47614" xr:uid="{00000000-0005-0000-0000-0000B00B0000}"/>
    <cellStyle name="Table Head Green 6 2 4 4" xfId="20054" xr:uid="{00000000-0005-0000-0000-0000B00B0000}"/>
    <cellStyle name="Table Head Green 6 2 4 5" xfId="38460" xr:uid="{00000000-0005-0000-0000-0000B00B0000}"/>
    <cellStyle name="Table Head Green 6 2 5" xfId="9900" xr:uid="{00000000-0005-0000-0000-0000B00B0000}"/>
    <cellStyle name="Table Head Green 6 2 5 2" xfId="28613" xr:uid="{00000000-0005-0000-0000-0000B00B0000}"/>
    <cellStyle name="Table Head Green 6 2 5 3" xfId="46976" xr:uid="{00000000-0005-0000-0000-0000B00B0000}"/>
    <cellStyle name="Table Head Green 6 2 6" xfId="13957" xr:uid="{00000000-0005-0000-0000-0000B00B0000}"/>
    <cellStyle name="Table Head Green 6 2 6 2" xfId="32375" xr:uid="{00000000-0005-0000-0000-0000B00B0000}"/>
    <cellStyle name="Table Head Green 6 2 6 3" xfId="50738" xr:uid="{00000000-0005-0000-0000-0000B00B0000}"/>
    <cellStyle name="Table Head Green 6 2 7" xfId="23735" xr:uid="{00000000-0005-0000-0000-0000B00B0000}"/>
    <cellStyle name="Table Head Green 6 2 7 2" xfId="42104" xr:uid="{00000000-0005-0000-0000-0000B00B0000}"/>
    <cellStyle name="Table Head Green 6 2 8" xfId="19184" xr:uid="{00000000-0005-0000-0000-0000B00B0000}"/>
    <cellStyle name="Table Head Green 6 2 9" xfId="37592" xr:uid="{00000000-0005-0000-0000-0000B00B0000}"/>
    <cellStyle name="Table Head Green 6 3" xfId="5188" xr:uid="{00000000-0005-0000-0000-0000B00B0000}"/>
    <cellStyle name="Table Head Green 6 3 2" xfId="11678" xr:uid="{00000000-0005-0000-0000-0000B00B0000}"/>
    <cellStyle name="Table Head Green 6 3 2 2" xfId="30219" xr:uid="{00000000-0005-0000-0000-0000B00B0000}"/>
    <cellStyle name="Table Head Green 6 3 2 3" xfId="48582" xr:uid="{00000000-0005-0000-0000-0000B00B0000}"/>
    <cellStyle name="Table Head Green 6 3 3" xfId="15880" xr:uid="{00000000-0005-0000-0000-0000B00B0000}"/>
    <cellStyle name="Table Head Green 6 3 3 2" xfId="34254" xr:uid="{00000000-0005-0000-0000-0000B00B0000}"/>
    <cellStyle name="Table Head Green 6 3 3 3" xfId="52617" xr:uid="{00000000-0005-0000-0000-0000B00B0000}"/>
    <cellStyle name="Table Head Green 6 3 4" xfId="25001" xr:uid="{00000000-0005-0000-0000-0000B00B0000}"/>
    <cellStyle name="Table Head Green 6 3 4 2" xfId="43370" xr:uid="{00000000-0005-0000-0000-0000B00B0000}"/>
    <cellStyle name="Table Head Green 6 3 5" xfId="21322" xr:uid="{00000000-0005-0000-0000-0000B00B0000}"/>
    <cellStyle name="Table Head Green 6 3 6" xfId="39701" xr:uid="{00000000-0005-0000-0000-0000B00B0000}"/>
    <cellStyle name="Table Head Green 6 4" xfId="6207" xr:uid="{00000000-0005-0000-0000-0000B00B0000}"/>
    <cellStyle name="Table Head Green 6 4 2" xfId="12536" xr:uid="{00000000-0005-0000-0000-0000B00B0000}"/>
    <cellStyle name="Table Head Green 6 4 2 2" xfId="30968" xr:uid="{00000000-0005-0000-0000-0000B00B0000}"/>
    <cellStyle name="Table Head Green 6 4 2 3" xfId="49331" xr:uid="{00000000-0005-0000-0000-0000B00B0000}"/>
    <cellStyle name="Table Head Green 6 4 3" xfId="16852" xr:uid="{00000000-0005-0000-0000-0000B00B0000}"/>
    <cellStyle name="Table Head Green 6 4 3 2" xfId="35211" xr:uid="{00000000-0005-0000-0000-0000B00B0000}"/>
    <cellStyle name="Table Head Green 6 4 3 3" xfId="53574" xr:uid="{00000000-0005-0000-0000-0000B00B0000}"/>
    <cellStyle name="Table Head Green 6 4 4" xfId="25980" xr:uid="{00000000-0005-0000-0000-0000B00B0000}"/>
    <cellStyle name="Table Head Green 6 4 4 2" xfId="44349" xr:uid="{00000000-0005-0000-0000-0000B00B0000}"/>
    <cellStyle name="Table Head Green 6 4 5" xfId="22285" xr:uid="{00000000-0005-0000-0000-0000B00B0000}"/>
    <cellStyle name="Table Head Green 6 4 6" xfId="40658" xr:uid="{00000000-0005-0000-0000-0000B00B0000}"/>
    <cellStyle name="Table Head Green 6 5" xfId="10033" xr:uid="{00000000-0005-0000-0000-0000B00B0000}"/>
    <cellStyle name="Table Head Green 6 5 2" xfId="14090" xr:uid="{00000000-0005-0000-0000-0000B00B0000}"/>
    <cellStyle name="Table Head Green 6 5 2 2" xfId="32506" xr:uid="{00000000-0005-0000-0000-0000B00B0000}"/>
    <cellStyle name="Table Head Green 6 5 2 3" xfId="50869" xr:uid="{00000000-0005-0000-0000-0000B00B0000}"/>
    <cellStyle name="Table Head Green 6 5 3" xfId="28744" xr:uid="{00000000-0005-0000-0000-0000B00B0000}"/>
    <cellStyle name="Table Head Green 6 5 3 2" xfId="47107" xr:uid="{00000000-0005-0000-0000-0000B00B0000}"/>
    <cellStyle name="Table Head Green 6 5 4" xfId="19466" xr:uid="{00000000-0005-0000-0000-0000B00B0000}"/>
    <cellStyle name="Table Head Green 6 5 5" xfId="37872" xr:uid="{00000000-0005-0000-0000-0000B00B0000}"/>
    <cellStyle name="Table Head Green 6 6" xfId="8755" xr:uid="{00000000-0005-0000-0000-0000B00B0000}"/>
    <cellStyle name="Table Head Green 6 6 2" xfId="27623" xr:uid="{00000000-0005-0000-0000-0000B00B0000}"/>
    <cellStyle name="Table Head Green 6 6 3" xfId="45986" xr:uid="{00000000-0005-0000-0000-0000B00B0000}"/>
    <cellStyle name="Table Head Green 6 7" xfId="7004" xr:uid="{00000000-0005-0000-0000-0000B00B0000}"/>
    <cellStyle name="Table Head Green 6 7 2" xfId="26701" xr:uid="{00000000-0005-0000-0000-0000B00B0000}"/>
    <cellStyle name="Table Head Green 6 7 3" xfId="45070" xr:uid="{00000000-0005-0000-0000-0000B00B0000}"/>
    <cellStyle name="Table Head Green 6 8" xfId="22937" xr:uid="{00000000-0005-0000-0000-0000B00B0000}"/>
    <cellStyle name="Table Head Green 6 8 2" xfId="41306" xr:uid="{00000000-0005-0000-0000-0000B00B0000}"/>
    <cellStyle name="Table Head Green 6 9" xfId="11330" xr:uid="{00000000-0005-0000-0000-0000B00B0000}"/>
    <cellStyle name="Table Head Green 7" xfId="3161" xr:uid="{00000000-0005-0000-0000-0000B10B0000}"/>
    <cellStyle name="Table Head Green 7 2" xfId="3857" xr:uid="{00000000-0005-0000-0000-0000B10B0000}"/>
    <cellStyle name="Table Head Green 7 2 2" xfId="6030" xr:uid="{00000000-0005-0000-0000-0000B10B0000}"/>
    <cellStyle name="Table Head Green 7 2 2 2" xfId="12394" xr:uid="{00000000-0005-0000-0000-0000B10B0000}"/>
    <cellStyle name="Table Head Green 7 2 2 2 2" xfId="30841" xr:uid="{00000000-0005-0000-0000-0000B10B0000}"/>
    <cellStyle name="Table Head Green 7 2 2 2 3" xfId="49204" xr:uid="{00000000-0005-0000-0000-0000B10B0000}"/>
    <cellStyle name="Table Head Green 7 2 2 3" xfId="16720" xr:uid="{00000000-0005-0000-0000-0000B10B0000}"/>
    <cellStyle name="Table Head Green 7 2 2 3 2" xfId="35092" xr:uid="{00000000-0005-0000-0000-0000B10B0000}"/>
    <cellStyle name="Table Head Green 7 2 2 3 3" xfId="53455" xr:uid="{00000000-0005-0000-0000-0000B10B0000}"/>
    <cellStyle name="Table Head Green 7 2 2 4" xfId="25839" xr:uid="{00000000-0005-0000-0000-0000B10B0000}"/>
    <cellStyle name="Table Head Green 7 2 2 4 2" xfId="44208" xr:uid="{00000000-0005-0000-0000-0000B10B0000}"/>
    <cellStyle name="Table Head Green 7 2 2 5" xfId="22160" xr:uid="{00000000-0005-0000-0000-0000B10B0000}"/>
    <cellStyle name="Table Head Green 7 2 2 6" xfId="40539" xr:uid="{00000000-0005-0000-0000-0000B10B0000}"/>
    <cellStyle name="Table Head Green 7 2 3" xfId="6856" xr:uid="{00000000-0005-0000-0000-0000B10B0000}"/>
    <cellStyle name="Table Head Green 7 2 3 2" xfId="13147" xr:uid="{00000000-0005-0000-0000-0000B10B0000}"/>
    <cellStyle name="Table Head Green 7 2 3 2 2" xfId="31573" xr:uid="{00000000-0005-0000-0000-0000B10B0000}"/>
    <cellStyle name="Table Head Green 7 2 3 2 3" xfId="49936" xr:uid="{00000000-0005-0000-0000-0000B10B0000}"/>
    <cellStyle name="Table Head Green 7 2 3 3" xfId="17458" xr:uid="{00000000-0005-0000-0000-0000B10B0000}"/>
    <cellStyle name="Table Head Green 7 2 3 3 2" xfId="35806" xr:uid="{00000000-0005-0000-0000-0000B10B0000}"/>
    <cellStyle name="Table Head Green 7 2 3 3 3" xfId="54169" xr:uid="{00000000-0005-0000-0000-0000B10B0000}"/>
    <cellStyle name="Table Head Green 7 2 3 4" xfId="26591" xr:uid="{00000000-0005-0000-0000-0000B10B0000}"/>
    <cellStyle name="Table Head Green 7 2 3 4 2" xfId="44960" xr:uid="{00000000-0005-0000-0000-0000B10B0000}"/>
    <cellStyle name="Table Head Green 7 2 3 5" xfId="22884" xr:uid="{00000000-0005-0000-0000-0000B10B0000}"/>
    <cellStyle name="Table Head Green 7 2 3 6" xfId="41253" xr:uid="{00000000-0005-0000-0000-0000B10B0000}"/>
    <cellStyle name="Table Head Green 7 2 4" xfId="10570" xr:uid="{00000000-0005-0000-0000-0000B10B0000}"/>
    <cellStyle name="Table Head Green 7 2 4 2" xfId="14627" xr:uid="{00000000-0005-0000-0000-0000B10B0000}"/>
    <cellStyle name="Table Head Green 7 2 4 2 2" xfId="33043" xr:uid="{00000000-0005-0000-0000-0000B10B0000}"/>
    <cellStyle name="Table Head Green 7 2 4 2 3" xfId="51406" xr:uid="{00000000-0005-0000-0000-0000B10B0000}"/>
    <cellStyle name="Table Head Green 7 2 4 3" xfId="29281" xr:uid="{00000000-0005-0000-0000-0000B10B0000}"/>
    <cellStyle name="Table Head Green 7 2 4 3 2" xfId="47644" xr:uid="{00000000-0005-0000-0000-0000B10B0000}"/>
    <cellStyle name="Table Head Green 7 2 4 4" xfId="20084" xr:uid="{00000000-0005-0000-0000-0000B10B0000}"/>
    <cellStyle name="Table Head Green 7 2 4 5" xfId="38490" xr:uid="{00000000-0005-0000-0000-0000B10B0000}"/>
    <cellStyle name="Table Head Green 7 2 5" xfId="9956" xr:uid="{00000000-0005-0000-0000-0000B10B0000}"/>
    <cellStyle name="Table Head Green 7 2 5 2" xfId="28668" xr:uid="{00000000-0005-0000-0000-0000B10B0000}"/>
    <cellStyle name="Table Head Green 7 2 5 3" xfId="47031" xr:uid="{00000000-0005-0000-0000-0000B10B0000}"/>
    <cellStyle name="Table Head Green 7 2 6" xfId="14013" xr:uid="{00000000-0005-0000-0000-0000B10B0000}"/>
    <cellStyle name="Table Head Green 7 2 6 2" xfId="32430" xr:uid="{00000000-0005-0000-0000-0000B10B0000}"/>
    <cellStyle name="Table Head Green 7 2 6 3" xfId="50793" xr:uid="{00000000-0005-0000-0000-0000B10B0000}"/>
    <cellStyle name="Table Head Green 7 2 7" xfId="23765" xr:uid="{00000000-0005-0000-0000-0000B10B0000}"/>
    <cellStyle name="Table Head Green 7 2 7 2" xfId="42134" xr:uid="{00000000-0005-0000-0000-0000B10B0000}"/>
    <cellStyle name="Table Head Green 7 2 8" xfId="19293" xr:uid="{00000000-0005-0000-0000-0000B10B0000}"/>
    <cellStyle name="Table Head Green 7 2 9" xfId="37700" xr:uid="{00000000-0005-0000-0000-0000B10B0000}"/>
    <cellStyle name="Table Head Green 7 3" xfId="5377" xr:uid="{00000000-0005-0000-0000-0000B10B0000}"/>
    <cellStyle name="Table Head Green 7 3 2" xfId="11795" xr:uid="{00000000-0005-0000-0000-0000B10B0000}"/>
    <cellStyle name="Table Head Green 7 3 2 2" xfId="30268" xr:uid="{00000000-0005-0000-0000-0000B10B0000}"/>
    <cellStyle name="Table Head Green 7 3 2 3" xfId="48631" xr:uid="{00000000-0005-0000-0000-0000B10B0000}"/>
    <cellStyle name="Table Head Green 7 3 3" xfId="16069" xr:uid="{00000000-0005-0000-0000-0000B10B0000}"/>
    <cellStyle name="Table Head Green 7 3 3 2" xfId="34441" xr:uid="{00000000-0005-0000-0000-0000B10B0000}"/>
    <cellStyle name="Table Head Green 7 3 3 3" xfId="52804" xr:uid="{00000000-0005-0000-0000-0000B10B0000}"/>
    <cellStyle name="Table Head Green 7 3 4" xfId="25188" xr:uid="{00000000-0005-0000-0000-0000B10B0000}"/>
    <cellStyle name="Table Head Green 7 3 4 2" xfId="43557" xr:uid="{00000000-0005-0000-0000-0000B10B0000}"/>
    <cellStyle name="Table Head Green 7 3 5" xfId="21509" xr:uid="{00000000-0005-0000-0000-0000B10B0000}"/>
    <cellStyle name="Table Head Green 7 3 6" xfId="39888" xr:uid="{00000000-0005-0000-0000-0000B10B0000}"/>
    <cellStyle name="Table Head Green 7 4" xfId="6270" xr:uid="{00000000-0005-0000-0000-0000B10B0000}"/>
    <cellStyle name="Table Head Green 7 4 2" xfId="12573" xr:uid="{00000000-0005-0000-0000-0000B10B0000}"/>
    <cellStyle name="Table Head Green 7 4 2 2" xfId="31002" xr:uid="{00000000-0005-0000-0000-0000B10B0000}"/>
    <cellStyle name="Table Head Green 7 4 2 3" xfId="49365" xr:uid="{00000000-0005-0000-0000-0000B10B0000}"/>
    <cellStyle name="Table Head Green 7 4 3" xfId="16886" xr:uid="{00000000-0005-0000-0000-0000B10B0000}"/>
    <cellStyle name="Table Head Green 7 4 3 2" xfId="35241" xr:uid="{00000000-0005-0000-0000-0000B10B0000}"/>
    <cellStyle name="Table Head Green 7 4 3 3" xfId="53604" xr:uid="{00000000-0005-0000-0000-0000B10B0000}"/>
    <cellStyle name="Table Head Green 7 4 4" xfId="26020" xr:uid="{00000000-0005-0000-0000-0000B10B0000}"/>
    <cellStyle name="Table Head Green 7 4 4 2" xfId="44389" xr:uid="{00000000-0005-0000-0000-0000B10B0000}"/>
    <cellStyle name="Table Head Green 7 4 5" xfId="22318" xr:uid="{00000000-0005-0000-0000-0000B10B0000}"/>
    <cellStyle name="Table Head Green 7 4 6" xfId="40688" xr:uid="{00000000-0005-0000-0000-0000B10B0000}"/>
    <cellStyle name="Table Head Green 7 5" xfId="8903" xr:uid="{00000000-0005-0000-0000-0000B10B0000}"/>
    <cellStyle name="Table Head Green 7 5 2" xfId="27680" xr:uid="{00000000-0005-0000-0000-0000B10B0000}"/>
    <cellStyle name="Table Head Green 7 5 3" xfId="46043" xr:uid="{00000000-0005-0000-0000-0000B10B0000}"/>
    <cellStyle name="Table Head Green 7 6" xfId="7813" xr:uid="{00000000-0005-0000-0000-0000B10B0000}"/>
    <cellStyle name="Table Head Green 7 6 2" xfId="27083" xr:uid="{00000000-0005-0000-0000-0000B10B0000}"/>
    <cellStyle name="Table Head Green 7 6 3" xfId="45448" xr:uid="{00000000-0005-0000-0000-0000B10B0000}"/>
    <cellStyle name="Table Head Green 7 7" xfId="23117" xr:uid="{00000000-0005-0000-0000-0000B10B0000}"/>
    <cellStyle name="Table Head Green 7 7 2" xfId="41486" xr:uid="{00000000-0005-0000-0000-0000B10B0000}"/>
    <cellStyle name="Table Head Green 7 8" xfId="17695" xr:uid="{00000000-0005-0000-0000-0000B10B0000}"/>
    <cellStyle name="Table Head Green 7 9" xfId="36119" xr:uid="{00000000-0005-0000-0000-0000B10B0000}"/>
    <cellStyle name="Table Head Green 8" xfId="3195" xr:uid="{00000000-0005-0000-0000-0000B20B0000}"/>
    <cellStyle name="Table Head Green 8 2" xfId="3873" xr:uid="{00000000-0005-0000-0000-0000B20B0000}"/>
    <cellStyle name="Table Head Green 8 2 2" xfId="6046" xr:uid="{00000000-0005-0000-0000-0000B20B0000}"/>
    <cellStyle name="Table Head Green 8 2 2 2" xfId="12410" xr:uid="{00000000-0005-0000-0000-0000B20B0000}"/>
    <cellStyle name="Table Head Green 8 2 2 2 2" xfId="30857" xr:uid="{00000000-0005-0000-0000-0000B20B0000}"/>
    <cellStyle name="Table Head Green 8 2 2 2 3" xfId="49220" xr:uid="{00000000-0005-0000-0000-0000B20B0000}"/>
    <cellStyle name="Table Head Green 8 2 2 3" xfId="16736" xr:uid="{00000000-0005-0000-0000-0000B20B0000}"/>
    <cellStyle name="Table Head Green 8 2 2 3 2" xfId="35108" xr:uid="{00000000-0005-0000-0000-0000B20B0000}"/>
    <cellStyle name="Table Head Green 8 2 2 3 3" xfId="53471" xr:uid="{00000000-0005-0000-0000-0000B20B0000}"/>
    <cellStyle name="Table Head Green 8 2 2 4" xfId="25855" xr:uid="{00000000-0005-0000-0000-0000B20B0000}"/>
    <cellStyle name="Table Head Green 8 2 2 4 2" xfId="44224" xr:uid="{00000000-0005-0000-0000-0000B20B0000}"/>
    <cellStyle name="Table Head Green 8 2 2 5" xfId="22176" xr:uid="{00000000-0005-0000-0000-0000B20B0000}"/>
    <cellStyle name="Table Head Green 8 2 2 6" xfId="40555" xr:uid="{00000000-0005-0000-0000-0000B20B0000}"/>
    <cellStyle name="Table Head Green 8 2 3" xfId="6872" xr:uid="{00000000-0005-0000-0000-0000B20B0000}"/>
    <cellStyle name="Table Head Green 8 2 3 2" xfId="13163" xr:uid="{00000000-0005-0000-0000-0000B20B0000}"/>
    <cellStyle name="Table Head Green 8 2 3 2 2" xfId="31589" xr:uid="{00000000-0005-0000-0000-0000B20B0000}"/>
    <cellStyle name="Table Head Green 8 2 3 2 3" xfId="49952" xr:uid="{00000000-0005-0000-0000-0000B20B0000}"/>
    <cellStyle name="Table Head Green 8 2 3 3" xfId="17474" xr:uid="{00000000-0005-0000-0000-0000B20B0000}"/>
    <cellStyle name="Table Head Green 8 2 3 3 2" xfId="35822" xr:uid="{00000000-0005-0000-0000-0000B20B0000}"/>
    <cellStyle name="Table Head Green 8 2 3 3 3" xfId="54185" xr:uid="{00000000-0005-0000-0000-0000B20B0000}"/>
    <cellStyle name="Table Head Green 8 2 3 4" xfId="26607" xr:uid="{00000000-0005-0000-0000-0000B20B0000}"/>
    <cellStyle name="Table Head Green 8 2 3 4 2" xfId="44976" xr:uid="{00000000-0005-0000-0000-0000B20B0000}"/>
    <cellStyle name="Table Head Green 8 2 3 5" xfId="22900" xr:uid="{00000000-0005-0000-0000-0000B20B0000}"/>
    <cellStyle name="Table Head Green 8 2 3 6" xfId="41269" xr:uid="{00000000-0005-0000-0000-0000B20B0000}"/>
    <cellStyle name="Table Head Green 8 2 4" xfId="10586" xr:uid="{00000000-0005-0000-0000-0000B20B0000}"/>
    <cellStyle name="Table Head Green 8 2 4 2" xfId="14643" xr:uid="{00000000-0005-0000-0000-0000B20B0000}"/>
    <cellStyle name="Table Head Green 8 2 4 2 2" xfId="33059" xr:uid="{00000000-0005-0000-0000-0000B20B0000}"/>
    <cellStyle name="Table Head Green 8 2 4 2 3" xfId="51422" xr:uid="{00000000-0005-0000-0000-0000B20B0000}"/>
    <cellStyle name="Table Head Green 8 2 4 3" xfId="29297" xr:uid="{00000000-0005-0000-0000-0000B20B0000}"/>
    <cellStyle name="Table Head Green 8 2 4 3 2" xfId="47660" xr:uid="{00000000-0005-0000-0000-0000B20B0000}"/>
    <cellStyle name="Table Head Green 8 2 4 4" xfId="20100" xr:uid="{00000000-0005-0000-0000-0000B20B0000}"/>
    <cellStyle name="Table Head Green 8 2 4 5" xfId="38506" xr:uid="{00000000-0005-0000-0000-0000B20B0000}"/>
    <cellStyle name="Table Head Green 8 2 5" xfId="9974" xr:uid="{00000000-0005-0000-0000-0000B20B0000}"/>
    <cellStyle name="Table Head Green 8 2 5 2" xfId="28686" xr:uid="{00000000-0005-0000-0000-0000B20B0000}"/>
    <cellStyle name="Table Head Green 8 2 5 3" xfId="47049" xr:uid="{00000000-0005-0000-0000-0000B20B0000}"/>
    <cellStyle name="Table Head Green 8 2 6" xfId="14031" xr:uid="{00000000-0005-0000-0000-0000B20B0000}"/>
    <cellStyle name="Table Head Green 8 2 6 2" xfId="32448" xr:uid="{00000000-0005-0000-0000-0000B20B0000}"/>
    <cellStyle name="Table Head Green 8 2 6 3" xfId="50811" xr:uid="{00000000-0005-0000-0000-0000B20B0000}"/>
    <cellStyle name="Table Head Green 8 2 7" xfId="23781" xr:uid="{00000000-0005-0000-0000-0000B20B0000}"/>
    <cellStyle name="Table Head Green 8 2 7 2" xfId="42150" xr:uid="{00000000-0005-0000-0000-0000B20B0000}"/>
    <cellStyle name="Table Head Green 8 2 8" xfId="19315" xr:uid="{00000000-0005-0000-0000-0000B20B0000}"/>
    <cellStyle name="Table Head Green 8 2 9" xfId="37722" xr:uid="{00000000-0005-0000-0000-0000B20B0000}"/>
    <cellStyle name="Table Head Green 8 3" xfId="5401" xr:uid="{00000000-0005-0000-0000-0000B20B0000}"/>
    <cellStyle name="Table Head Green 8 3 2" xfId="11812" xr:uid="{00000000-0005-0000-0000-0000B20B0000}"/>
    <cellStyle name="Table Head Green 8 3 2 2" xfId="30284" xr:uid="{00000000-0005-0000-0000-0000B20B0000}"/>
    <cellStyle name="Table Head Green 8 3 2 3" xfId="48647" xr:uid="{00000000-0005-0000-0000-0000B20B0000}"/>
    <cellStyle name="Table Head Green 8 3 3" xfId="16092" xr:uid="{00000000-0005-0000-0000-0000B20B0000}"/>
    <cellStyle name="Table Head Green 8 3 3 2" xfId="34464" xr:uid="{00000000-0005-0000-0000-0000B20B0000}"/>
    <cellStyle name="Table Head Green 8 3 3 3" xfId="52827" xr:uid="{00000000-0005-0000-0000-0000B20B0000}"/>
    <cellStyle name="Table Head Green 8 3 4" xfId="25211" xr:uid="{00000000-0005-0000-0000-0000B20B0000}"/>
    <cellStyle name="Table Head Green 8 3 4 2" xfId="43580" xr:uid="{00000000-0005-0000-0000-0000B20B0000}"/>
    <cellStyle name="Table Head Green 8 3 5" xfId="21532" xr:uid="{00000000-0005-0000-0000-0000B20B0000}"/>
    <cellStyle name="Table Head Green 8 3 6" xfId="39911" xr:uid="{00000000-0005-0000-0000-0000B20B0000}"/>
    <cellStyle name="Table Head Green 8 4" xfId="6293" xr:uid="{00000000-0005-0000-0000-0000B20B0000}"/>
    <cellStyle name="Table Head Green 8 4 2" xfId="12592" xr:uid="{00000000-0005-0000-0000-0000B20B0000}"/>
    <cellStyle name="Table Head Green 8 4 2 2" xfId="31020" xr:uid="{00000000-0005-0000-0000-0000B20B0000}"/>
    <cellStyle name="Table Head Green 8 4 2 3" xfId="49383" xr:uid="{00000000-0005-0000-0000-0000B20B0000}"/>
    <cellStyle name="Table Head Green 8 4 3" xfId="16904" xr:uid="{00000000-0005-0000-0000-0000B20B0000}"/>
    <cellStyle name="Table Head Green 8 4 3 2" xfId="35257" xr:uid="{00000000-0005-0000-0000-0000B20B0000}"/>
    <cellStyle name="Table Head Green 8 4 3 3" xfId="53620" xr:uid="{00000000-0005-0000-0000-0000B20B0000}"/>
    <cellStyle name="Table Head Green 8 4 4" xfId="26037" xr:uid="{00000000-0005-0000-0000-0000B20B0000}"/>
    <cellStyle name="Table Head Green 8 4 4 2" xfId="44406" xr:uid="{00000000-0005-0000-0000-0000B20B0000}"/>
    <cellStyle name="Table Head Green 8 4 5" xfId="22334" xr:uid="{00000000-0005-0000-0000-0000B20B0000}"/>
    <cellStyle name="Table Head Green 8 4 6" xfId="40704" xr:uid="{00000000-0005-0000-0000-0000B20B0000}"/>
    <cellStyle name="Table Head Green 8 5" xfId="8929" xr:uid="{00000000-0005-0000-0000-0000B20B0000}"/>
    <cellStyle name="Table Head Green 8 5 2" xfId="27700" xr:uid="{00000000-0005-0000-0000-0000B20B0000}"/>
    <cellStyle name="Table Head Green 8 5 3" xfId="46063" xr:uid="{00000000-0005-0000-0000-0000B20B0000}"/>
    <cellStyle name="Table Head Green 8 6" xfId="6975" xr:uid="{00000000-0005-0000-0000-0000B20B0000}"/>
    <cellStyle name="Table Head Green 8 6 2" xfId="26690" xr:uid="{00000000-0005-0000-0000-0000B20B0000}"/>
    <cellStyle name="Table Head Green 8 6 3" xfId="45059" xr:uid="{00000000-0005-0000-0000-0000B20B0000}"/>
    <cellStyle name="Table Head Green 8 7" xfId="23140" xr:uid="{00000000-0005-0000-0000-0000B20B0000}"/>
    <cellStyle name="Table Head Green 8 7 2" xfId="41509" xr:uid="{00000000-0005-0000-0000-0000B20B0000}"/>
    <cellStyle name="Table Head Green 8 8" xfId="17721" xr:uid="{00000000-0005-0000-0000-0000B20B0000}"/>
    <cellStyle name="Table Head Green 8 9" xfId="36142" xr:uid="{00000000-0005-0000-0000-0000B20B0000}"/>
    <cellStyle name="Table Head Green 9" xfId="3307" xr:uid="{00000000-0005-0000-0000-0000B30B0000}"/>
    <cellStyle name="Table Head Green 9 2" xfId="3889" xr:uid="{00000000-0005-0000-0000-0000B30B0000}"/>
    <cellStyle name="Table Head Green 9 2 2" xfId="6062" xr:uid="{00000000-0005-0000-0000-0000B30B0000}"/>
    <cellStyle name="Table Head Green 9 2 2 2" xfId="12426" xr:uid="{00000000-0005-0000-0000-0000B30B0000}"/>
    <cellStyle name="Table Head Green 9 2 2 2 2" xfId="30873" xr:uid="{00000000-0005-0000-0000-0000B30B0000}"/>
    <cellStyle name="Table Head Green 9 2 2 2 3" xfId="49236" xr:uid="{00000000-0005-0000-0000-0000B30B0000}"/>
    <cellStyle name="Table Head Green 9 2 2 3" xfId="16752" xr:uid="{00000000-0005-0000-0000-0000B30B0000}"/>
    <cellStyle name="Table Head Green 9 2 2 3 2" xfId="35124" xr:uid="{00000000-0005-0000-0000-0000B30B0000}"/>
    <cellStyle name="Table Head Green 9 2 2 3 3" xfId="53487" xr:uid="{00000000-0005-0000-0000-0000B30B0000}"/>
    <cellStyle name="Table Head Green 9 2 2 4" xfId="25871" xr:uid="{00000000-0005-0000-0000-0000B30B0000}"/>
    <cellStyle name="Table Head Green 9 2 2 4 2" xfId="44240" xr:uid="{00000000-0005-0000-0000-0000B30B0000}"/>
    <cellStyle name="Table Head Green 9 2 2 5" xfId="22192" xr:uid="{00000000-0005-0000-0000-0000B30B0000}"/>
    <cellStyle name="Table Head Green 9 2 2 6" xfId="40571" xr:uid="{00000000-0005-0000-0000-0000B30B0000}"/>
    <cellStyle name="Table Head Green 9 2 3" xfId="6888" xr:uid="{00000000-0005-0000-0000-0000B30B0000}"/>
    <cellStyle name="Table Head Green 9 2 3 2" xfId="13179" xr:uid="{00000000-0005-0000-0000-0000B30B0000}"/>
    <cellStyle name="Table Head Green 9 2 3 2 2" xfId="31605" xr:uid="{00000000-0005-0000-0000-0000B30B0000}"/>
    <cellStyle name="Table Head Green 9 2 3 2 3" xfId="49968" xr:uid="{00000000-0005-0000-0000-0000B30B0000}"/>
    <cellStyle name="Table Head Green 9 2 3 3" xfId="17490" xr:uid="{00000000-0005-0000-0000-0000B30B0000}"/>
    <cellStyle name="Table Head Green 9 2 3 3 2" xfId="35838" xr:uid="{00000000-0005-0000-0000-0000B30B0000}"/>
    <cellStyle name="Table Head Green 9 2 3 3 3" xfId="54201" xr:uid="{00000000-0005-0000-0000-0000B30B0000}"/>
    <cellStyle name="Table Head Green 9 2 3 4" xfId="26623" xr:uid="{00000000-0005-0000-0000-0000B30B0000}"/>
    <cellStyle name="Table Head Green 9 2 3 4 2" xfId="44992" xr:uid="{00000000-0005-0000-0000-0000B30B0000}"/>
    <cellStyle name="Table Head Green 9 2 3 5" xfId="22916" xr:uid="{00000000-0005-0000-0000-0000B30B0000}"/>
    <cellStyle name="Table Head Green 9 2 3 6" xfId="41285" xr:uid="{00000000-0005-0000-0000-0000B30B0000}"/>
    <cellStyle name="Table Head Green 9 2 4" xfId="10602" xr:uid="{00000000-0005-0000-0000-0000B30B0000}"/>
    <cellStyle name="Table Head Green 9 2 4 2" xfId="14659" xr:uid="{00000000-0005-0000-0000-0000B30B0000}"/>
    <cellStyle name="Table Head Green 9 2 4 2 2" xfId="33075" xr:uid="{00000000-0005-0000-0000-0000B30B0000}"/>
    <cellStyle name="Table Head Green 9 2 4 2 3" xfId="51438" xr:uid="{00000000-0005-0000-0000-0000B30B0000}"/>
    <cellStyle name="Table Head Green 9 2 4 3" xfId="29313" xr:uid="{00000000-0005-0000-0000-0000B30B0000}"/>
    <cellStyle name="Table Head Green 9 2 4 3 2" xfId="47676" xr:uid="{00000000-0005-0000-0000-0000B30B0000}"/>
    <cellStyle name="Table Head Green 9 2 4 4" xfId="20116" xr:uid="{00000000-0005-0000-0000-0000B30B0000}"/>
    <cellStyle name="Table Head Green 9 2 4 5" xfId="38522" xr:uid="{00000000-0005-0000-0000-0000B30B0000}"/>
    <cellStyle name="Table Head Green 9 2 5" xfId="9996" xr:uid="{00000000-0005-0000-0000-0000B30B0000}"/>
    <cellStyle name="Table Head Green 9 2 5 2" xfId="28708" xr:uid="{00000000-0005-0000-0000-0000B30B0000}"/>
    <cellStyle name="Table Head Green 9 2 5 3" xfId="47071" xr:uid="{00000000-0005-0000-0000-0000B30B0000}"/>
    <cellStyle name="Table Head Green 9 2 6" xfId="14053" xr:uid="{00000000-0005-0000-0000-0000B30B0000}"/>
    <cellStyle name="Table Head Green 9 2 6 2" xfId="32470" xr:uid="{00000000-0005-0000-0000-0000B30B0000}"/>
    <cellStyle name="Table Head Green 9 2 6 3" xfId="50833" xr:uid="{00000000-0005-0000-0000-0000B30B0000}"/>
    <cellStyle name="Table Head Green 9 2 7" xfId="23797" xr:uid="{00000000-0005-0000-0000-0000B30B0000}"/>
    <cellStyle name="Table Head Green 9 2 7 2" xfId="42166" xr:uid="{00000000-0005-0000-0000-0000B30B0000}"/>
    <cellStyle name="Table Head Green 9 2 8" xfId="19365" xr:uid="{00000000-0005-0000-0000-0000B30B0000}"/>
    <cellStyle name="Table Head Green 9 2 9" xfId="37772" xr:uid="{00000000-0005-0000-0000-0000B30B0000}"/>
    <cellStyle name="Table Head Green 9 3" xfId="5493" xr:uid="{00000000-0005-0000-0000-0000B30B0000}"/>
    <cellStyle name="Table Head Green 9 3 2" xfId="11859" xr:uid="{00000000-0005-0000-0000-0000B30B0000}"/>
    <cellStyle name="Table Head Green 9 3 2 2" xfId="30306" xr:uid="{00000000-0005-0000-0000-0000B30B0000}"/>
    <cellStyle name="Table Head Green 9 3 2 3" xfId="48669" xr:uid="{00000000-0005-0000-0000-0000B30B0000}"/>
    <cellStyle name="Table Head Green 9 3 3" xfId="16184" xr:uid="{00000000-0005-0000-0000-0000B30B0000}"/>
    <cellStyle name="Table Head Green 9 3 3 2" xfId="34556" xr:uid="{00000000-0005-0000-0000-0000B30B0000}"/>
    <cellStyle name="Table Head Green 9 3 3 3" xfId="52919" xr:uid="{00000000-0005-0000-0000-0000B30B0000}"/>
    <cellStyle name="Table Head Green 9 3 4" xfId="25303" xr:uid="{00000000-0005-0000-0000-0000B30B0000}"/>
    <cellStyle name="Table Head Green 9 3 4 2" xfId="43672" xr:uid="{00000000-0005-0000-0000-0000B30B0000}"/>
    <cellStyle name="Table Head Green 9 3 5" xfId="21624" xr:uid="{00000000-0005-0000-0000-0000B30B0000}"/>
    <cellStyle name="Table Head Green 9 3 6" xfId="40003" xr:uid="{00000000-0005-0000-0000-0000B30B0000}"/>
    <cellStyle name="Table Head Green 9 4" xfId="6322" xr:uid="{00000000-0005-0000-0000-0000B30B0000}"/>
    <cellStyle name="Table Head Green 9 4 2" xfId="12613" xr:uid="{00000000-0005-0000-0000-0000B30B0000}"/>
    <cellStyle name="Table Head Green 9 4 2 2" xfId="31039" xr:uid="{00000000-0005-0000-0000-0000B30B0000}"/>
    <cellStyle name="Table Head Green 9 4 2 3" xfId="49402" xr:uid="{00000000-0005-0000-0000-0000B30B0000}"/>
    <cellStyle name="Table Head Green 9 4 3" xfId="16924" xr:uid="{00000000-0005-0000-0000-0000B30B0000}"/>
    <cellStyle name="Table Head Green 9 4 3 2" xfId="35273" xr:uid="{00000000-0005-0000-0000-0000B30B0000}"/>
    <cellStyle name="Table Head Green 9 4 3 3" xfId="53636" xr:uid="{00000000-0005-0000-0000-0000B30B0000}"/>
    <cellStyle name="Table Head Green 9 4 4" xfId="26058" xr:uid="{00000000-0005-0000-0000-0000B30B0000}"/>
    <cellStyle name="Table Head Green 9 4 4 2" xfId="44427" xr:uid="{00000000-0005-0000-0000-0000B30B0000}"/>
    <cellStyle name="Table Head Green 9 4 5" xfId="22351" xr:uid="{00000000-0005-0000-0000-0000B30B0000}"/>
    <cellStyle name="Table Head Green 9 4 6" xfId="40720" xr:uid="{00000000-0005-0000-0000-0000B30B0000}"/>
    <cellStyle name="Table Head Green 9 5" xfId="8994" xr:uid="{00000000-0005-0000-0000-0000B30B0000}"/>
    <cellStyle name="Table Head Green 9 5 2" xfId="27722" xr:uid="{00000000-0005-0000-0000-0000B30B0000}"/>
    <cellStyle name="Table Head Green 9 5 3" xfId="46085" xr:uid="{00000000-0005-0000-0000-0000B30B0000}"/>
    <cellStyle name="Table Head Green 9 6" xfId="6948" xr:uid="{00000000-0005-0000-0000-0000B30B0000}"/>
    <cellStyle name="Table Head Green 9 6 2" xfId="26680" xr:uid="{00000000-0005-0000-0000-0000B30B0000}"/>
    <cellStyle name="Table Head Green 9 6 3" xfId="45049" xr:uid="{00000000-0005-0000-0000-0000B30B0000}"/>
    <cellStyle name="Table Head Green 9 7" xfId="23230" xr:uid="{00000000-0005-0000-0000-0000B30B0000}"/>
    <cellStyle name="Table Head Green 9 7 2" xfId="41599" xr:uid="{00000000-0005-0000-0000-0000B30B0000}"/>
    <cellStyle name="Table Head Green 9 8" xfId="17818" xr:uid="{00000000-0005-0000-0000-0000B30B0000}"/>
    <cellStyle name="Table Head Green 9 9" xfId="36232" xr:uid="{00000000-0005-0000-0000-0000B30B0000}"/>
    <cellStyle name="Table Head_Briefing Book Outputs - Pro Forma 1 4.27" xfId="871" xr:uid="{00000000-0005-0000-0000-0000B40B0000}"/>
    <cellStyle name="Table Sub Head" xfId="872" xr:uid="{00000000-0005-0000-0000-0000B50B0000}"/>
    <cellStyle name="Table Sub Head 2" xfId="2258" xr:uid="{00000000-0005-0000-0000-0000B60B0000}"/>
    <cellStyle name="Table Sub Head 3" xfId="2701" xr:uid="{00000000-0005-0000-0000-0000B70B0000}"/>
    <cellStyle name="Table Text" xfId="873" xr:uid="{00000000-0005-0000-0000-0000B80B0000}"/>
    <cellStyle name="Table Text 2" xfId="2259" xr:uid="{00000000-0005-0000-0000-0000B90B0000}"/>
    <cellStyle name="Table Text 3" xfId="2702" xr:uid="{00000000-0005-0000-0000-0000BA0B0000}"/>
    <cellStyle name="Table Title" xfId="874" xr:uid="{00000000-0005-0000-0000-0000BB0B0000}"/>
    <cellStyle name="Table Title 2" xfId="2260" xr:uid="{00000000-0005-0000-0000-0000BC0B0000}"/>
    <cellStyle name="Table Title 3" xfId="2703" xr:uid="{00000000-0005-0000-0000-0000BD0B0000}"/>
    <cellStyle name="Table Units" xfId="875" xr:uid="{00000000-0005-0000-0000-0000BE0B0000}"/>
    <cellStyle name="Table Units 2" xfId="986" xr:uid="{00000000-0005-0000-0000-0000BF0B0000}"/>
    <cellStyle name="Table Units 2 2" xfId="4156" xr:uid="{00000000-0005-0000-0000-0000BF0B0000}"/>
    <cellStyle name="Table Units 3" xfId="1201" xr:uid="{00000000-0005-0000-0000-0000C00B0000}"/>
    <cellStyle name="Table Units 3 2" xfId="1480" xr:uid="{00000000-0005-0000-0000-0000C10B0000}"/>
    <cellStyle name="Table Units 3 2 2" xfId="4494" xr:uid="{00000000-0005-0000-0000-0000C10B0000}"/>
    <cellStyle name="Table Units 4" xfId="2261" xr:uid="{00000000-0005-0000-0000-0000C20B0000}"/>
    <cellStyle name="Table Units 4 2" xfId="4952" xr:uid="{00000000-0005-0000-0000-0000C20B0000}"/>
    <cellStyle name="Table Units 5" xfId="2704" xr:uid="{00000000-0005-0000-0000-0000C30B0000}"/>
    <cellStyle name="Table Units 5 2" xfId="5115" xr:uid="{00000000-0005-0000-0000-0000C30B0000}"/>
    <cellStyle name="Table-#" xfId="876" xr:uid="{00000000-0005-0000-0000-0000C40B0000}"/>
    <cellStyle name="Table-Body" xfId="877" xr:uid="{00000000-0005-0000-0000-0000C50B0000}"/>
    <cellStyle name="Table-Body 2" xfId="2262" xr:uid="{00000000-0005-0000-0000-0000C60B0000}"/>
    <cellStyle name="Table-Body 3" xfId="2705" xr:uid="{00000000-0005-0000-0000-0000C70B0000}"/>
    <cellStyle name="Table-Headings" xfId="878" xr:uid="{00000000-0005-0000-0000-0000C80B0000}"/>
    <cellStyle name="Table-Titles" xfId="879" xr:uid="{00000000-0005-0000-0000-0000C90B0000}"/>
    <cellStyle name="Test [green]" xfId="880" xr:uid="{00000000-0005-0000-0000-0000CA0B0000}"/>
    <cellStyle name="Test [green] 2" xfId="2263" xr:uid="{00000000-0005-0000-0000-0000CB0B0000}"/>
    <cellStyle name="Test [green] 3" xfId="2706" xr:uid="{00000000-0005-0000-0000-0000CC0B0000}"/>
    <cellStyle name="Text 1" xfId="881" xr:uid="{00000000-0005-0000-0000-0000CD0B0000}"/>
    <cellStyle name="Text 1 2" xfId="2264" xr:uid="{00000000-0005-0000-0000-0000CE0B0000}"/>
    <cellStyle name="Text 1 3" xfId="2707" xr:uid="{00000000-0005-0000-0000-0000CF0B0000}"/>
    <cellStyle name="Text 8" xfId="882" xr:uid="{00000000-0005-0000-0000-0000D00B0000}"/>
    <cellStyle name="Text Head 1" xfId="883" xr:uid="{00000000-0005-0000-0000-0000D10B0000}"/>
    <cellStyle name="Text Head 1 2" xfId="2265" xr:uid="{00000000-0005-0000-0000-0000D20B0000}"/>
    <cellStyle name="Text Head 1 3" xfId="2708" xr:uid="{00000000-0005-0000-0000-0000D30B0000}"/>
    <cellStyle name="Text Indent A" xfId="884" xr:uid="{00000000-0005-0000-0000-0000D40B0000}"/>
    <cellStyle name="Text Indent B" xfId="885" xr:uid="{00000000-0005-0000-0000-0000D50B0000}"/>
    <cellStyle name="Text Indent B 2" xfId="2266" xr:uid="{00000000-0005-0000-0000-0000D60B0000}"/>
    <cellStyle name="Text Indent B 3" xfId="2709" xr:uid="{00000000-0005-0000-0000-0000D70B0000}"/>
    <cellStyle name="Text Indent C" xfId="886" xr:uid="{00000000-0005-0000-0000-0000D80B0000}"/>
    <cellStyle name="Text Indent C 2" xfId="2267" xr:uid="{00000000-0005-0000-0000-0000D90B0000}"/>
    <cellStyle name="Text Indent C 3" xfId="2710" xr:uid="{00000000-0005-0000-0000-0000DA0B0000}"/>
    <cellStyle name="text left" xfId="887" xr:uid="{00000000-0005-0000-0000-0000DB0B0000}"/>
    <cellStyle name="textbold" xfId="888" xr:uid="{00000000-0005-0000-0000-0000DC0B0000}"/>
    <cellStyle name="textbold 2" xfId="2268" xr:uid="{00000000-0005-0000-0000-0000DD0B0000}"/>
    <cellStyle name="textbold 3" xfId="2711" xr:uid="{00000000-0005-0000-0000-0000DE0B0000}"/>
    <cellStyle name="TextNormal" xfId="970" xr:uid="{00000000-0005-0000-0000-0000DF0B0000}"/>
    <cellStyle name="TextNormal 2" xfId="2302" xr:uid="{00000000-0005-0000-0000-0000E00B0000}"/>
    <cellStyle name="TFCF" xfId="889" xr:uid="{00000000-0005-0000-0000-0000E10B0000}"/>
    <cellStyle name="TFCF 2" xfId="2269" xr:uid="{00000000-0005-0000-0000-0000E20B0000}"/>
    <cellStyle name="TFCF 3" xfId="2712" xr:uid="{00000000-0005-0000-0000-0000E30B0000}"/>
    <cellStyle name="thenums" xfId="890" xr:uid="{00000000-0005-0000-0000-0000E40B0000}"/>
    <cellStyle name="thenums 2" xfId="2915" xr:uid="{00000000-0005-0000-0000-0000E50B0000}"/>
    <cellStyle name="thenums 3" xfId="3194" xr:uid="{00000000-0005-0000-0000-0000E60B0000}"/>
    <cellStyle name="threedecplace" xfId="891" xr:uid="{00000000-0005-0000-0000-0000E70B0000}"/>
    <cellStyle name="threedecplace 2" xfId="2270" xr:uid="{00000000-0005-0000-0000-0000E80B0000}"/>
    <cellStyle name="threedecplace 3" xfId="2713" xr:uid="{00000000-0005-0000-0000-0000E90B0000}"/>
    <cellStyle name="Time Strip" xfId="892" xr:uid="{00000000-0005-0000-0000-0000EA0B0000}"/>
    <cellStyle name="Time Strip 2" xfId="1083" xr:uid="{00000000-0005-0000-0000-0000EB0B0000}"/>
    <cellStyle name="Time Strip 2 2" xfId="4206" xr:uid="{00000000-0005-0000-0000-0000EB0B0000}"/>
    <cellStyle name="Time Strip 2 2 2" xfId="14952" xr:uid="{00000000-0005-0000-0000-0000EB0B0000}"/>
    <cellStyle name="Time Strip 2 2 2 2" xfId="33356" xr:uid="{00000000-0005-0000-0000-0000EB0B0000}"/>
    <cellStyle name="Time Strip 2 2 2 3" xfId="51719" xr:uid="{00000000-0005-0000-0000-0000EB0B0000}"/>
    <cellStyle name="Time Strip 2 2 3" xfId="24085" xr:uid="{00000000-0005-0000-0000-0000EB0B0000}"/>
    <cellStyle name="Time Strip 2 2 3 2" xfId="42454" xr:uid="{00000000-0005-0000-0000-0000EB0B0000}"/>
    <cellStyle name="Time Strip 2 2 4" xfId="20405" xr:uid="{00000000-0005-0000-0000-0000EB0B0000}"/>
    <cellStyle name="Time Strip 2 2 5" xfId="38803" xr:uid="{00000000-0005-0000-0000-0000EB0B0000}"/>
    <cellStyle name="Time Strip 2 3" xfId="18767" xr:uid="{00000000-0005-0000-0000-0000EB0B0000}"/>
    <cellStyle name="Time Strip 2 3 2" xfId="37176" xr:uid="{00000000-0005-0000-0000-0000EB0B0000}"/>
    <cellStyle name="Time Strip 2 4" xfId="8224" xr:uid="{00000000-0005-0000-0000-0000EB0B0000}"/>
    <cellStyle name="Time Strip 2 5" xfId="7365" xr:uid="{00000000-0005-0000-0000-0000EB0B0000}"/>
    <cellStyle name="Times 10" xfId="893" xr:uid="{00000000-0005-0000-0000-0000EC0B0000}"/>
    <cellStyle name="Times 10 2" xfId="2271" xr:uid="{00000000-0005-0000-0000-0000ED0B0000}"/>
    <cellStyle name="Times 10 3" xfId="2714" xr:uid="{00000000-0005-0000-0000-0000EE0B0000}"/>
    <cellStyle name="Times 12" xfId="894" xr:uid="{00000000-0005-0000-0000-0000EF0B0000}"/>
    <cellStyle name="Times 12 2" xfId="2272" xr:uid="{00000000-0005-0000-0000-0000F00B0000}"/>
    <cellStyle name="Times 12 3" xfId="2715" xr:uid="{00000000-0005-0000-0000-0000F10B0000}"/>
    <cellStyle name="Times New Roman" xfId="895" xr:uid="{00000000-0005-0000-0000-0000F20B0000}"/>
    <cellStyle name="Times New Roman 2" xfId="2273" xr:uid="{00000000-0005-0000-0000-0000F30B0000}"/>
    <cellStyle name="Times New Roman 3" xfId="2716" xr:uid="{00000000-0005-0000-0000-0000F40B0000}"/>
    <cellStyle name="Title" xfId="12" builtinId="15" customBuiltin="1"/>
    <cellStyle name="Title - PROJECT" xfId="896" xr:uid="{00000000-0005-0000-0000-0000F60B0000}"/>
    <cellStyle name="Title - PROJECT 2" xfId="2274" xr:uid="{00000000-0005-0000-0000-0000F70B0000}"/>
    <cellStyle name="Title - PROJECT 3" xfId="2717" xr:uid="{00000000-0005-0000-0000-0000F80B0000}"/>
    <cellStyle name="Title - Underline" xfId="897" xr:uid="{00000000-0005-0000-0000-0000F90B0000}"/>
    <cellStyle name="Title - Underline 2" xfId="2275" xr:uid="{00000000-0005-0000-0000-0000FA0B0000}"/>
    <cellStyle name="Title - Underline 3" xfId="2718" xr:uid="{00000000-0005-0000-0000-0000FB0B0000}"/>
    <cellStyle name="Title [Helv]" xfId="898" xr:uid="{00000000-0005-0000-0000-0000FC0B0000}"/>
    <cellStyle name="Title [Helv] 2" xfId="1084" xr:uid="{00000000-0005-0000-0000-0000FD0B0000}"/>
    <cellStyle name="Title [Helv] 2 10" xfId="7517" xr:uid="{00000000-0005-0000-0000-0000FD0B0000}"/>
    <cellStyle name="Title [Helv] 2 10 2" xfId="26864" xr:uid="{00000000-0005-0000-0000-0000FD0B0000}"/>
    <cellStyle name="Title [Helv] 2 10 3" xfId="45229" xr:uid="{00000000-0005-0000-0000-0000FD0B0000}"/>
    <cellStyle name="Title [Helv] 2 11" xfId="11656" xr:uid="{00000000-0005-0000-0000-0000FD0B0000}"/>
    <cellStyle name="Title [Helv] 2 2" xfId="1250" xr:uid="{00000000-0005-0000-0000-0000FE0B0000}"/>
    <cellStyle name="Title [Helv] 2 2 10" xfId="22253" xr:uid="{00000000-0005-0000-0000-0000FE0B0000}"/>
    <cellStyle name="Title [Helv] 2 2 2" xfId="1653" xr:uid="{00000000-0005-0000-0000-0000FF0B0000}"/>
    <cellStyle name="Title [Helv] 2 2 2 10" xfId="19259" xr:uid="{00000000-0005-0000-0000-0000FF0B0000}"/>
    <cellStyle name="Title [Helv] 2 2 2 10 2" xfId="37666" xr:uid="{00000000-0005-0000-0000-0000FF0B0000}"/>
    <cellStyle name="Title [Helv] 2 2 2 11" xfId="14677" xr:uid="{00000000-0005-0000-0000-0000FF0B0000}"/>
    <cellStyle name="Title [Helv] 2 2 2 12" xfId="8770" xr:uid="{00000000-0005-0000-0000-0000FF0B0000}"/>
    <cellStyle name="Title [Helv] 2 2 2 2" xfId="1734" xr:uid="{00000000-0005-0000-0000-0000000C0000}"/>
    <cellStyle name="Title [Helv] 2 2 2 2 10" xfId="17678" xr:uid="{00000000-0005-0000-0000-0000000C0000}"/>
    <cellStyle name="Title [Helv] 2 2 2 2 2" xfId="3631" xr:uid="{00000000-0005-0000-0000-0000000C0000}"/>
    <cellStyle name="Title [Helv] 2 2 2 2 2 2" xfId="5804" xr:uid="{00000000-0005-0000-0000-0000000C0000}"/>
    <cellStyle name="Title [Helv] 2 2 2 2 2 2 2" xfId="12168" xr:uid="{00000000-0005-0000-0000-0000000C0000}"/>
    <cellStyle name="Title [Helv] 2 2 2 2 2 2 2 2" xfId="30615" xr:uid="{00000000-0005-0000-0000-0000000C0000}"/>
    <cellStyle name="Title [Helv] 2 2 2 2 2 2 2 3" xfId="48978" xr:uid="{00000000-0005-0000-0000-0000000C0000}"/>
    <cellStyle name="Title [Helv] 2 2 2 2 2 2 3" xfId="16494" xr:uid="{00000000-0005-0000-0000-0000000C0000}"/>
    <cellStyle name="Title [Helv] 2 2 2 2 2 2 3 2" xfId="34866" xr:uid="{00000000-0005-0000-0000-0000000C0000}"/>
    <cellStyle name="Title [Helv] 2 2 2 2 2 2 3 3" xfId="53229" xr:uid="{00000000-0005-0000-0000-0000000C0000}"/>
    <cellStyle name="Title [Helv] 2 2 2 2 2 2 4" xfId="25613" xr:uid="{00000000-0005-0000-0000-0000000C0000}"/>
    <cellStyle name="Title [Helv] 2 2 2 2 2 2 4 2" xfId="43982" xr:uid="{00000000-0005-0000-0000-0000000C0000}"/>
    <cellStyle name="Title [Helv] 2 2 2 2 2 2 5" xfId="21934" xr:uid="{00000000-0005-0000-0000-0000000C0000}"/>
    <cellStyle name="Title [Helv] 2 2 2 2 2 2 6" xfId="40313" xr:uid="{00000000-0005-0000-0000-0000000C0000}"/>
    <cellStyle name="Title [Helv] 2 2 2 2 2 3" xfId="6630" xr:uid="{00000000-0005-0000-0000-0000000C0000}"/>
    <cellStyle name="Title [Helv] 2 2 2 2 2 3 2" xfId="12921" xr:uid="{00000000-0005-0000-0000-0000000C0000}"/>
    <cellStyle name="Title [Helv] 2 2 2 2 2 3 2 2" xfId="31347" xr:uid="{00000000-0005-0000-0000-0000000C0000}"/>
    <cellStyle name="Title [Helv] 2 2 2 2 2 3 2 3" xfId="49710" xr:uid="{00000000-0005-0000-0000-0000000C0000}"/>
    <cellStyle name="Title [Helv] 2 2 2 2 2 3 3" xfId="17232" xr:uid="{00000000-0005-0000-0000-0000000C0000}"/>
    <cellStyle name="Title [Helv] 2 2 2 2 2 3 3 2" xfId="35580" xr:uid="{00000000-0005-0000-0000-0000000C0000}"/>
    <cellStyle name="Title [Helv] 2 2 2 2 2 3 3 3" xfId="53943" xr:uid="{00000000-0005-0000-0000-0000000C0000}"/>
    <cellStyle name="Title [Helv] 2 2 2 2 2 3 4" xfId="26365" xr:uid="{00000000-0005-0000-0000-0000000C0000}"/>
    <cellStyle name="Title [Helv] 2 2 2 2 2 3 4 2" xfId="44734" xr:uid="{00000000-0005-0000-0000-0000000C0000}"/>
    <cellStyle name="Title [Helv] 2 2 2 2 2 3 5" xfId="22658" xr:uid="{00000000-0005-0000-0000-0000000C0000}"/>
    <cellStyle name="Title [Helv] 2 2 2 2 2 3 6" xfId="41027" xr:uid="{00000000-0005-0000-0000-0000000C0000}"/>
    <cellStyle name="Title [Helv] 2 2 2 2 2 4" xfId="10344" xr:uid="{00000000-0005-0000-0000-0000000C0000}"/>
    <cellStyle name="Title [Helv] 2 2 2 2 2 4 2" xfId="14401" xr:uid="{00000000-0005-0000-0000-0000000C0000}"/>
    <cellStyle name="Title [Helv] 2 2 2 2 2 4 2 2" xfId="32817" xr:uid="{00000000-0005-0000-0000-0000000C0000}"/>
    <cellStyle name="Title [Helv] 2 2 2 2 2 4 2 3" xfId="51180" xr:uid="{00000000-0005-0000-0000-0000000C0000}"/>
    <cellStyle name="Title [Helv] 2 2 2 2 2 4 3" xfId="29055" xr:uid="{00000000-0005-0000-0000-0000000C0000}"/>
    <cellStyle name="Title [Helv] 2 2 2 2 2 4 3 2" xfId="47418" xr:uid="{00000000-0005-0000-0000-0000000C0000}"/>
    <cellStyle name="Title [Helv] 2 2 2 2 2 4 4" xfId="19858" xr:uid="{00000000-0005-0000-0000-0000000C0000}"/>
    <cellStyle name="Title [Helv] 2 2 2 2 2 4 5" xfId="38264" xr:uid="{00000000-0005-0000-0000-0000000C0000}"/>
    <cellStyle name="Title [Helv] 2 2 2 2 2 5" xfId="9552" xr:uid="{00000000-0005-0000-0000-0000000C0000}"/>
    <cellStyle name="Title [Helv] 2 2 2 2 2 5 2" xfId="28269" xr:uid="{00000000-0005-0000-0000-0000000C0000}"/>
    <cellStyle name="Title [Helv] 2 2 2 2 2 5 3" xfId="46632" xr:uid="{00000000-0005-0000-0000-0000000C0000}"/>
    <cellStyle name="Title [Helv] 2 2 2 2 2 6" xfId="13610" xr:uid="{00000000-0005-0000-0000-0000000C0000}"/>
    <cellStyle name="Title [Helv] 2 2 2 2 2 6 2" xfId="32031" xr:uid="{00000000-0005-0000-0000-0000000C0000}"/>
    <cellStyle name="Title [Helv] 2 2 2 2 2 6 3" xfId="50394" xr:uid="{00000000-0005-0000-0000-0000000C0000}"/>
    <cellStyle name="Title [Helv] 2 2 2 2 2 7" xfId="23539" xr:uid="{00000000-0005-0000-0000-0000000C0000}"/>
    <cellStyle name="Title [Helv] 2 2 2 2 2 7 2" xfId="41908" xr:uid="{00000000-0005-0000-0000-0000000C0000}"/>
    <cellStyle name="Title [Helv] 2 2 2 2 2 8" xfId="18651" xr:uid="{00000000-0005-0000-0000-0000000C0000}"/>
    <cellStyle name="Title [Helv] 2 2 2 2 2 9" xfId="37061" xr:uid="{00000000-0005-0000-0000-0000000C0000}"/>
    <cellStyle name="Title [Helv] 2 2 2 2 3" xfId="4671" xr:uid="{00000000-0005-0000-0000-0000000C0000}"/>
    <cellStyle name="Title [Helv] 2 2 2 2 3 2" xfId="11255" xr:uid="{00000000-0005-0000-0000-0000000C0000}"/>
    <cellStyle name="Title [Helv] 2 2 2 2 3 2 2" xfId="29867" xr:uid="{00000000-0005-0000-0000-0000000C0000}"/>
    <cellStyle name="Title [Helv] 2 2 2 2 3 2 3" xfId="48230" xr:uid="{00000000-0005-0000-0000-0000000C0000}"/>
    <cellStyle name="Title [Helv] 2 2 2 2 3 3" xfId="15397" xr:uid="{00000000-0005-0000-0000-0000000C0000}"/>
    <cellStyle name="Title [Helv] 2 2 2 2 3 3 2" xfId="33790" xr:uid="{00000000-0005-0000-0000-0000000C0000}"/>
    <cellStyle name="Title [Helv] 2 2 2 2 3 3 3" xfId="52153" xr:uid="{00000000-0005-0000-0000-0000000C0000}"/>
    <cellStyle name="Title [Helv] 2 2 2 2 3 4" xfId="24521" xr:uid="{00000000-0005-0000-0000-0000000C0000}"/>
    <cellStyle name="Title [Helv] 2 2 2 2 3 4 2" xfId="42890" xr:uid="{00000000-0005-0000-0000-0000000C0000}"/>
    <cellStyle name="Title [Helv] 2 2 2 2 3 5" xfId="20848" xr:uid="{00000000-0005-0000-0000-0000000C0000}"/>
    <cellStyle name="Title [Helv] 2 2 2 2 3 6" xfId="39237" xr:uid="{00000000-0005-0000-0000-0000000C0000}"/>
    <cellStyle name="Title [Helv] 2 2 2 2 4" xfId="5034" xr:uid="{00000000-0005-0000-0000-0000000C0000}"/>
    <cellStyle name="Title [Helv] 2 2 2 2 4 2" xfId="11557" xr:uid="{00000000-0005-0000-0000-0000000C0000}"/>
    <cellStyle name="Title [Helv] 2 2 2 2 4 2 2" xfId="30129" xr:uid="{00000000-0005-0000-0000-0000000C0000}"/>
    <cellStyle name="Title [Helv] 2 2 2 2 4 2 3" xfId="48492" xr:uid="{00000000-0005-0000-0000-0000000C0000}"/>
    <cellStyle name="Title [Helv] 2 2 2 2 4 3" xfId="15747" xr:uid="{00000000-0005-0000-0000-0000000C0000}"/>
    <cellStyle name="Title [Helv] 2 2 2 2 4 3 2" xfId="34135" xr:uid="{00000000-0005-0000-0000-0000000C0000}"/>
    <cellStyle name="Title [Helv] 2 2 2 2 4 3 3" xfId="52498" xr:uid="{00000000-0005-0000-0000-0000000C0000}"/>
    <cellStyle name="Title [Helv] 2 2 2 2 4 4" xfId="24871" xr:uid="{00000000-0005-0000-0000-0000000C0000}"/>
    <cellStyle name="Title [Helv] 2 2 2 2 4 4 2" xfId="43240" xr:uid="{00000000-0005-0000-0000-0000000C0000}"/>
    <cellStyle name="Title [Helv] 2 2 2 2 4 5" xfId="21195" xr:uid="{00000000-0005-0000-0000-0000000C0000}"/>
    <cellStyle name="Title [Helv] 2 2 2 2 4 6" xfId="39582" xr:uid="{00000000-0005-0000-0000-0000000C0000}"/>
    <cellStyle name="Title [Helv] 2 2 2 2 5" xfId="9705" xr:uid="{00000000-0005-0000-0000-0000000C0000}"/>
    <cellStyle name="Title [Helv] 2 2 2 2 5 2" xfId="13762" xr:uid="{00000000-0005-0000-0000-0000000C0000}"/>
    <cellStyle name="Title [Helv] 2 2 2 2 5 2 2" xfId="32183" xr:uid="{00000000-0005-0000-0000-0000000C0000}"/>
    <cellStyle name="Title [Helv] 2 2 2 2 5 2 3" xfId="50546" xr:uid="{00000000-0005-0000-0000-0000000C0000}"/>
    <cellStyle name="Title [Helv] 2 2 2 2 5 3" xfId="28421" xr:uid="{00000000-0005-0000-0000-0000000C0000}"/>
    <cellStyle name="Title [Helv] 2 2 2 2 5 3 2" xfId="46784" xr:uid="{00000000-0005-0000-0000-0000000C0000}"/>
    <cellStyle name="Title [Helv] 2 2 2 2 5 4" xfId="18852" xr:uid="{00000000-0005-0000-0000-0000000C0000}"/>
    <cellStyle name="Title [Helv] 2 2 2 2 5 5" xfId="37261" xr:uid="{00000000-0005-0000-0000-0000000C0000}"/>
    <cellStyle name="Title [Helv] 2 2 2 2 6" xfId="7965" xr:uid="{00000000-0005-0000-0000-0000000C0000}"/>
    <cellStyle name="Title [Helv] 2 2 2 2 6 2" xfId="27195" xr:uid="{00000000-0005-0000-0000-0000000C0000}"/>
    <cellStyle name="Title [Helv] 2 2 2 2 6 3" xfId="45560" xr:uid="{00000000-0005-0000-0000-0000000C0000}"/>
    <cellStyle name="Title [Helv] 2 2 2 2 7" xfId="8691" xr:uid="{00000000-0005-0000-0000-0000000C0000}"/>
    <cellStyle name="Title [Helv] 2 2 2 2 7 2" xfId="27586" xr:uid="{00000000-0005-0000-0000-0000000C0000}"/>
    <cellStyle name="Title [Helv] 2 2 2 2 7 3" xfId="45949" xr:uid="{00000000-0005-0000-0000-0000000C0000}"/>
    <cellStyle name="Title [Helv] 2 2 2 2 8" xfId="18177" xr:uid="{00000000-0005-0000-0000-0000000C0000}"/>
    <cellStyle name="Title [Helv] 2 2 2 2 8 2" xfId="36583" xr:uid="{00000000-0005-0000-0000-0000000C0000}"/>
    <cellStyle name="Title [Helv] 2 2 2 2 9" xfId="16907" xr:uid="{00000000-0005-0000-0000-0000000C0000}"/>
    <cellStyle name="Title [Helv] 2 2 2 3" xfId="1764" xr:uid="{00000000-0005-0000-0000-0000010C0000}"/>
    <cellStyle name="Title [Helv] 2 2 2 3 10" xfId="7287" xr:uid="{00000000-0005-0000-0000-0000010C0000}"/>
    <cellStyle name="Title [Helv] 2 2 2 3 2" xfId="3661" xr:uid="{00000000-0005-0000-0000-0000010C0000}"/>
    <cellStyle name="Title [Helv] 2 2 2 3 2 2" xfId="5834" xr:uid="{00000000-0005-0000-0000-0000010C0000}"/>
    <cellStyle name="Title [Helv] 2 2 2 3 2 2 2" xfId="12198" xr:uid="{00000000-0005-0000-0000-0000010C0000}"/>
    <cellStyle name="Title [Helv] 2 2 2 3 2 2 2 2" xfId="30645" xr:uid="{00000000-0005-0000-0000-0000010C0000}"/>
    <cellStyle name="Title [Helv] 2 2 2 3 2 2 2 3" xfId="49008" xr:uid="{00000000-0005-0000-0000-0000010C0000}"/>
    <cellStyle name="Title [Helv] 2 2 2 3 2 2 3" xfId="16524" xr:uid="{00000000-0005-0000-0000-0000010C0000}"/>
    <cellStyle name="Title [Helv] 2 2 2 3 2 2 3 2" xfId="34896" xr:uid="{00000000-0005-0000-0000-0000010C0000}"/>
    <cellStyle name="Title [Helv] 2 2 2 3 2 2 3 3" xfId="53259" xr:uid="{00000000-0005-0000-0000-0000010C0000}"/>
    <cellStyle name="Title [Helv] 2 2 2 3 2 2 4" xfId="25643" xr:uid="{00000000-0005-0000-0000-0000010C0000}"/>
    <cellStyle name="Title [Helv] 2 2 2 3 2 2 4 2" xfId="44012" xr:uid="{00000000-0005-0000-0000-0000010C0000}"/>
    <cellStyle name="Title [Helv] 2 2 2 3 2 2 5" xfId="21964" xr:uid="{00000000-0005-0000-0000-0000010C0000}"/>
    <cellStyle name="Title [Helv] 2 2 2 3 2 2 6" xfId="40343" xr:uid="{00000000-0005-0000-0000-0000010C0000}"/>
    <cellStyle name="Title [Helv] 2 2 2 3 2 3" xfId="6660" xr:uid="{00000000-0005-0000-0000-0000010C0000}"/>
    <cellStyle name="Title [Helv] 2 2 2 3 2 3 2" xfId="12951" xr:uid="{00000000-0005-0000-0000-0000010C0000}"/>
    <cellStyle name="Title [Helv] 2 2 2 3 2 3 2 2" xfId="31377" xr:uid="{00000000-0005-0000-0000-0000010C0000}"/>
    <cellStyle name="Title [Helv] 2 2 2 3 2 3 2 3" xfId="49740" xr:uid="{00000000-0005-0000-0000-0000010C0000}"/>
    <cellStyle name="Title [Helv] 2 2 2 3 2 3 3" xfId="17262" xr:uid="{00000000-0005-0000-0000-0000010C0000}"/>
    <cellStyle name="Title [Helv] 2 2 2 3 2 3 3 2" xfId="35610" xr:uid="{00000000-0005-0000-0000-0000010C0000}"/>
    <cellStyle name="Title [Helv] 2 2 2 3 2 3 3 3" xfId="53973" xr:uid="{00000000-0005-0000-0000-0000010C0000}"/>
    <cellStyle name="Title [Helv] 2 2 2 3 2 3 4" xfId="26395" xr:uid="{00000000-0005-0000-0000-0000010C0000}"/>
    <cellStyle name="Title [Helv] 2 2 2 3 2 3 4 2" xfId="44764" xr:uid="{00000000-0005-0000-0000-0000010C0000}"/>
    <cellStyle name="Title [Helv] 2 2 2 3 2 3 5" xfId="22688" xr:uid="{00000000-0005-0000-0000-0000010C0000}"/>
    <cellStyle name="Title [Helv] 2 2 2 3 2 3 6" xfId="41057" xr:uid="{00000000-0005-0000-0000-0000010C0000}"/>
    <cellStyle name="Title [Helv] 2 2 2 3 2 4" xfId="10374" xr:uid="{00000000-0005-0000-0000-0000010C0000}"/>
    <cellStyle name="Title [Helv] 2 2 2 3 2 4 2" xfId="14431" xr:uid="{00000000-0005-0000-0000-0000010C0000}"/>
    <cellStyle name="Title [Helv] 2 2 2 3 2 4 2 2" xfId="32847" xr:uid="{00000000-0005-0000-0000-0000010C0000}"/>
    <cellStyle name="Title [Helv] 2 2 2 3 2 4 2 3" xfId="51210" xr:uid="{00000000-0005-0000-0000-0000010C0000}"/>
    <cellStyle name="Title [Helv] 2 2 2 3 2 4 3" xfId="29085" xr:uid="{00000000-0005-0000-0000-0000010C0000}"/>
    <cellStyle name="Title [Helv] 2 2 2 3 2 4 3 2" xfId="47448" xr:uid="{00000000-0005-0000-0000-0000010C0000}"/>
    <cellStyle name="Title [Helv] 2 2 2 3 2 4 4" xfId="19888" xr:uid="{00000000-0005-0000-0000-0000010C0000}"/>
    <cellStyle name="Title [Helv] 2 2 2 3 2 4 5" xfId="38294" xr:uid="{00000000-0005-0000-0000-0000010C0000}"/>
    <cellStyle name="Title [Helv] 2 2 2 3 2 5" xfId="9582" xr:uid="{00000000-0005-0000-0000-0000010C0000}"/>
    <cellStyle name="Title [Helv] 2 2 2 3 2 5 2" xfId="28299" xr:uid="{00000000-0005-0000-0000-0000010C0000}"/>
    <cellStyle name="Title [Helv] 2 2 2 3 2 5 3" xfId="46662" xr:uid="{00000000-0005-0000-0000-0000010C0000}"/>
    <cellStyle name="Title [Helv] 2 2 2 3 2 6" xfId="13640" xr:uid="{00000000-0005-0000-0000-0000010C0000}"/>
    <cellStyle name="Title [Helv] 2 2 2 3 2 6 2" xfId="32061" xr:uid="{00000000-0005-0000-0000-0000010C0000}"/>
    <cellStyle name="Title [Helv] 2 2 2 3 2 6 3" xfId="50424" xr:uid="{00000000-0005-0000-0000-0000010C0000}"/>
    <cellStyle name="Title [Helv] 2 2 2 3 2 7" xfId="23569" xr:uid="{00000000-0005-0000-0000-0000010C0000}"/>
    <cellStyle name="Title [Helv] 2 2 2 3 2 7 2" xfId="41938" xr:uid="{00000000-0005-0000-0000-0000010C0000}"/>
    <cellStyle name="Title [Helv] 2 2 2 3 2 8" xfId="18681" xr:uid="{00000000-0005-0000-0000-0000010C0000}"/>
    <cellStyle name="Title [Helv] 2 2 2 3 2 9" xfId="37091" xr:uid="{00000000-0005-0000-0000-0000010C0000}"/>
    <cellStyle name="Title [Helv] 2 2 2 3 3" xfId="4701" xr:uid="{00000000-0005-0000-0000-0000010C0000}"/>
    <cellStyle name="Title [Helv] 2 2 2 3 3 2" xfId="11285" xr:uid="{00000000-0005-0000-0000-0000010C0000}"/>
    <cellStyle name="Title [Helv] 2 2 2 3 3 2 2" xfId="29897" xr:uid="{00000000-0005-0000-0000-0000010C0000}"/>
    <cellStyle name="Title [Helv] 2 2 2 3 3 2 3" xfId="48260" xr:uid="{00000000-0005-0000-0000-0000010C0000}"/>
    <cellStyle name="Title [Helv] 2 2 2 3 3 3" xfId="15427" xr:uid="{00000000-0005-0000-0000-0000010C0000}"/>
    <cellStyle name="Title [Helv] 2 2 2 3 3 3 2" xfId="33820" xr:uid="{00000000-0005-0000-0000-0000010C0000}"/>
    <cellStyle name="Title [Helv] 2 2 2 3 3 3 3" xfId="52183" xr:uid="{00000000-0005-0000-0000-0000010C0000}"/>
    <cellStyle name="Title [Helv] 2 2 2 3 3 4" xfId="24551" xr:uid="{00000000-0005-0000-0000-0000010C0000}"/>
    <cellStyle name="Title [Helv] 2 2 2 3 3 4 2" xfId="42920" xr:uid="{00000000-0005-0000-0000-0000010C0000}"/>
    <cellStyle name="Title [Helv] 2 2 2 3 3 5" xfId="20878" xr:uid="{00000000-0005-0000-0000-0000010C0000}"/>
    <cellStyle name="Title [Helv] 2 2 2 3 3 6" xfId="39267" xr:uid="{00000000-0005-0000-0000-0000010C0000}"/>
    <cellStyle name="Title [Helv] 2 2 2 3 4" xfId="3952" xr:uid="{00000000-0005-0000-0000-0000010C0000}"/>
    <cellStyle name="Title [Helv] 2 2 2 3 4 2" xfId="10657" xr:uid="{00000000-0005-0000-0000-0000010C0000}"/>
    <cellStyle name="Title [Helv] 2 2 2 3 4 2 2" xfId="29363" xr:uid="{00000000-0005-0000-0000-0000010C0000}"/>
    <cellStyle name="Title [Helv] 2 2 2 3 4 2 3" xfId="47726" xr:uid="{00000000-0005-0000-0000-0000010C0000}"/>
    <cellStyle name="Title [Helv] 2 2 2 3 4 3" xfId="14715" xr:uid="{00000000-0005-0000-0000-0000010C0000}"/>
    <cellStyle name="Title [Helv] 2 2 2 3 4 3 2" xfId="33127" xr:uid="{00000000-0005-0000-0000-0000010C0000}"/>
    <cellStyle name="Title [Helv] 2 2 2 3 4 3 3" xfId="51490" xr:uid="{00000000-0005-0000-0000-0000010C0000}"/>
    <cellStyle name="Title [Helv] 2 2 2 3 4 4" xfId="23851" xr:uid="{00000000-0005-0000-0000-0000010C0000}"/>
    <cellStyle name="Title [Helv] 2 2 2 3 4 4 2" xfId="42220" xr:uid="{00000000-0005-0000-0000-0000010C0000}"/>
    <cellStyle name="Title [Helv] 2 2 2 3 4 5" xfId="20169" xr:uid="{00000000-0005-0000-0000-0000010C0000}"/>
    <cellStyle name="Title [Helv] 2 2 2 3 4 6" xfId="38574" xr:uid="{00000000-0005-0000-0000-0000010C0000}"/>
    <cellStyle name="Title [Helv] 2 2 2 3 5" xfId="9799" xr:uid="{00000000-0005-0000-0000-0000010C0000}"/>
    <cellStyle name="Title [Helv] 2 2 2 3 5 2" xfId="13856" xr:uid="{00000000-0005-0000-0000-0000010C0000}"/>
    <cellStyle name="Title [Helv] 2 2 2 3 5 2 2" xfId="32276" xr:uid="{00000000-0005-0000-0000-0000010C0000}"/>
    <cellStyle name="Title [Helv] 2 2 2 3 5 2 3" xfId="50639" xr:uid="{00000000-0005-0000-0000-0000010C0000}"/>
    <cellStyle name="Title [Helv] 2 2 2 3 5 3" xfId="28514" xr:uid="{00000000-0005-0000-0000-0000010C0000}"/>
    <cellStyle name="Title [Helv] 2 2 2 3 5 3 2" xfId="46877" xr:uid="{00000000-0005-0000-0000-0000010C0000}"/>
    <cellStyle name="Title [Helv] 2 2 2 3 5 4" xfId="19014" xr:uid="{00000000-0005-0000-0000-0000010C0000}"/>
    <cellStyle name="Title [Helv] 2 2 2 3 5 5" xfId="37423" xr:uid="{00000000-0005-0000-0000-0000010C0000}"/>
    <cellStyle name="Title [Helv] 2 2 2 3 6" xfId="7995" xr:uid="{00000000-0005-0000-0000-0000010C0000}"/>
    <cellStyle name="Title [Helv] 2 2 2 3 6 2" xfId="27225" xr:uid="{00000000-0005-0000-0000-0000010C0000}"/>
    <cellStyle name="Title [Helv] 2 2 2 3 6 3" xfId="45590" xr:uid="{00000000-0005-0000-0000-0000010C0000}"/>
    <cellStyle name="Title [Helv] 2 2 2 3 7" xfId="7844" xr:uid="{00000000-0005-0000-0000-0000010C0000}"/>
    <cellStyle name="Title [Helv] 2 2 2 3 7 2" xfId="27099" xr:uid="{00000000-0005-0000-0000-0000010C0000}"/>
    <cellStyle name="Title [Helv] 2 2 2 3 7 3" xfId="45464" xr:uid="{00000000-0005-0000-0000-0000010C0000}"/>
    <cellStyle name="Title [Helv] 2 2 2 3 8" xfId="18108" xr:uid="{00000000-0005-0000-0000-0000010C0000}"/>
    <cellStyle name="Title [Helv] 2 2 2 3 8 2" xfId="36515" xr:uid="{00000000-0005-0000-0000-0000010C0000}"/>
    <cellStyle name="Title [Helv] 2 2 2 3 9" xfId="12562" xr:uid="{00000000-0005-0000-0000-0000010C0000}"/>
    <cellStyle name="Title [Helv] 2 2 2 4" xfId="1792" xr:uid="{00000000-0005-0000-0000-0000020C0000}"/>
    <cellStyle name="Title [Helv] 2 2 2 4 10" xfId="8986" xr:uid="{00000000-0005-0000-0000-0000020C0000}"/>
    <cellStyle name="Title [Helv] 2 2 2 4 2" xfId="3689" xr:uid="{00000000-0005-0000-0000-0000020C0000}"/>
    <cellStyle name="Title [Helv] 2 2 2 4 2 2" xfId="5862" xr:uid="{00000000-0005-0000-0000-0000020C0000}"/>
    <cellStyle name="Title [Helv] 2 2 2 4 2 2 2" xfId="12226" xr:uid="{00000000-0005-0000-0000-0000020C0000}"/>
    <cellStyle name="Title [Helv] 2 2 2 4 2 2 2 2" xfId="30673" xr:uid="{00000000-0005-0000-0000-0000020C0000}"/>
    <cellStyle name="Title [Helv] 2 2 2 4 2 2 2 3" xfId="49036" xr:uid="{00000000-0005-0000-0000-0000020C0000}"/>
    <cellStyle name="Title [Helv] 2 2 2 4 2 2 3" xfId="16552" xr:uid="{00000000-0005-0000-0000-0000020C0000}"/>
    <cellStyle name="Title [Helv] 2 2 2 4 2 2 3 2" xfId="34924" xr:uid="{00000000-0005-0000-0000-0000020C0000}"/>
    <cellStyle name="Title [Helv] 2 2 2 4 2 2 3 3" xfId="53287" xr:uid="{00000000-0005-0000-0000-0000020C0000}"/>
    <cellStyle name="Title [Helv] 2 2 2 4 2 2 4" xfId="25671" xr:uid="{00000000-0005-0000-0000-0000020C0000}"/>
    <cellStyle name="Title [Helv] 2 2 2 4 2 2 4 2" xfId="44040" xr:uid="{00000000-0005-0000-0000-0000020C0000}"/>
    <cellStyle name="Title [Helv] 2 2 2 4 2 2 5" xfId="21992" xr:uid="{00000000-0005-0000-0000-0000020C0000}"/>
    <cellStyle name="Title [Helv] 2 2 2 4 2 2 6" xfId="40371" xr:uid="{00000000-0005-0000-0000-0000020C0000}"/>
    <cellStyle name="Title [Helv] 2 2 2 4 2 3" xfId="6688" xr:uid="{00000000-0005-0000-0000-0000020C0000}"/>
    <cellStyle name="Title [Helv] 2 2 2 4 2 3 2" xfId="12979" xr:uid="{00000000-0005-0000-0000-0000020C0000}"/>
    <cellStyle name="Title [Helv] 2 2 2 4 2 3 2 2" xfId="31405" xr:uid="{00000000-0005-0000-0000-0000020C0000}"/>
    <cellStyle name="Title [Helv] 2 2 2 4 2 3 2 3" xfId="49768" xr:uid="{00000000-0005-0000-0000-0000020C0000}"/>
    <cellStyle name="Title [Helv] 2 2 2 4 2 3 3" xfId="17290" xr:uid="{00000000-0005-0000-0000-0000020C0000}"/>
    <cellStyle name="Title [Helv] 2 2 2 4 2 3 3 2" xfId="35638" xr:uid="{00000000-0005-0000-0000-0000020C0000}"/>
    <cellStyle name="Title [Helv] 2 2 2 4 2 3 3 3" xfId="54001" xr:uid="{00000000-0005-0000-0000-0000020C0000}"/>
    <cellStyle name="Title [Helv] 2 2 2 4 2 3 4" xfId="26423" xr:uid="{00000000-0005-0000-0000-0000020C0000}"/>
    <cellStyle name="Title [Helv] 2 2 2 4 2 3 4 2" xfId="44792" xr:uid="{00000000-0005-0000-0000-0000020C0000}"/>
    <cellStyle name="Title [Helv] 2 2 2 4 2 3 5" xfId="22716" xr:uid="{00000000-0005-0000-0000-0000020C0000}"/>
    <cellStyle name="Title [Helv] 2 2 2 4 2 3 6" xfId="41085" xr:uid="{00000000-0005-0000-0000-0000020C0000}"/>
    <cellStyle name="Title [Helv] 2 2 2 4 2 4" xfId="10402" xr:uid="{00000000-0005-0000-0000-0000020C0000}"/>
    <cellStyle name="Title [Helv] 2 2 2 4 2 4 2" xfId="14459" xr:uid="{00000000-0005-0000-0000-0000020C0000}"/>
    <cellStyle name="Title [Helv] 2 2 2 4 2 4 2 2" xfId="32875" xr:uid="{00000000-0005-0000-0000-0000020C0000}"/>
    <cellStyle name="Title [Helv] 2 2 2 4 2 4 2 3" xfId="51238" xr:uid="{00000000-0005-0000-0000-0000020C0000}"/>
    <cellStyle name="Title [Helv] 2 2 2 4 2 4 3" xfId="29113" xr:uid="{00000000-0005-0000-0000-0000020C0000}"/>
    <cellStyle name="Title [Helv] 2 2 2 4 2 4 3 2" xfId="47476" xr:uid="{00000000-0005-0000-0000-0000020C0000}"/>
    <cellStyle name="Title [Helv] 2 2 2 4 2 4 4" xfId="19916" xr:uid="{00000000-0005-0000-0000-0000020C0000}"/>
    <cellStyle name="Title [Helv] 2 2 2 4 2 4 5" xfId="38322" xr:uid="{00000000-0005-0000-0000-0000020C0000}"/>
    <cellStyle name="Title [Helv] 2 2 2 4 2 5" xfId="9610" xr:uid="{00000000-0005-0000-0000-0000020C0000}"/>
    <cellStyle name="Title [Helv] 2 2 2 4 2 5 2" xfId="28327" xr:uid="{00000000-0005-0000-0000-0000020C0000}"/>
    <cellStyle name="Title [Helv] 2 2 2 4 2 5 3" xfId="46690" xr:uid="{00000000-0005-0000-0000-0000020C0000}"/>
    <cellStyle name="Title [Helv] 2 2 2 4 2 6" xfId="13668" xr:uid="{00000000-0005-0000-0000-0000020C0000}"/>
    <cellStyle name="Title [Helv] 2 2 2 4 2 6 2" xfId="32089" xr:uid="{00000000-0005-0000-0000-0000020C0000}"/>
    <cellStyle name="Title [Helv] 2 2 2 4 2 6 3" xfId="50452" xr:uid="{00000000-0005-0000-0000-0000020C0000}"/>
    <cellStyle name="Title [Helv] 2 2 2 4 2 7" xfId="23597" xr:uid="{00000000-0005-0000-0000-0000020C0000}"/>
    <cellStyle name="Title [Helv] 2 2 2 4 2 7 2" xfId="41966" xr:uid="{00000000-0005-0000-0000-0000020C0000}"/>
    <cellStyle name="Title [Helv] 2 2 2 4 2 8" xfId="18709" xr:uid="{00000000-0005-0000-0000-0000020C0000}"/>
    <cellStyle name="Title [Helv] 2 2 2 4 2 9" xfId="37119" xr:uid="{00000000-0005-0000-0000-0000020C0000}"/>
    <cellStyle name="Title [Helv] 2 2 2 4 3" xfId="4729" xr:uid="{00000000-0005-0000-0000-0000020C0000}"/>
    <cellStyle name="Title [Helv] 2 2 2 4 3 2" xfId="11313" xr:uid="{00000000-0005-0000-0000-0000020C0000}"/>
    <cellStyle name="Title [Helv] 2 2 2 4 3 2 2" xfId="29925" xr:uid="{00000000-0005-0000-0000-0000020C0000}"/>
    <cellStyle name="Title [Helv] 2 2 2 4 3 2 3" xfId="48288" xr:uid="{00000000-0005-0000-0000-0000020C0000}"/>
    <cellStyle name="Title [Helv] 2 2 2 4 3 3" xfId="15455" xr:uid="{00000000-0005-0000-0000-0000020C0000}"/>
    <cellStyle name="Title [Helv] 2 2 2 4 3 3 2" xfId="33848" xr:uid="{00000000-0005-0000-0000-0000020C0000}"/>
    <cellStyle name="Title [Helv] 2 2 2 4 3 3 3" xfId="52211" xr:uid="{00000000-0005-0000-0000-0000020C0000}"/>
    <cellStyle name="Title [Helv] 2 2 2 4 3 4" xfId="24579" xr:uid="{00000000-0005-0000-0000-0000020C0000}"/>
    <cellStyle name="Title [Helv] 2 2 2 4 3 4 2" xfId="42948" xr:uid="{00000000-0005-0000-0000-0000020C0000}"/>
    <cellStyle name="Title [Helv] 2 2 2 4 3 5" xfId="20906" xr:uid="{00000000-0005-0000-0000-0000020C0000}"/>
    <cellStyle name="Title [Helv] 2 2 2 4 3 6" xfId="39295" xr:uid="{00000000-0005-0000-0000-0000020C0000}"/>
    <cellStyle name="Title [Helv] 2 2 2 4 4" xfId="3940" xr:uid="{00000000-0005-0000-0000-0000020C0000}"/>
    <cellStyle name="Title [Helv] 2 2 2 4 4 2" xfId="10645" xr:uid="{00000000-0005-0000-0000-0000020C0000}"/>
    <cellStyle name="Title [Helv] 2 2 2 4 4 2 2" xfId="29351" xr:uid="{00000000-0005-0000-0000-0000020C0000}"/>
    <cellStyle name="Title [Helv] 2 2 2 4 4 2 3" xfId="47714" xr:uid="{00000000-0005-0000-0000-0000020C0000}"/>
    <cellStyle name="Title [Helv] 2 2 2 4 4 3" xfId="14703" xr:uid="{00000000-0005-0000-0000-0000020C0000}"/>
    <cellStyle name="Title [Helv] 2 2 2 4 4 3 2" xfId="33115" xr:uid="{00000000-0005-0000-0000-0000020C0000}"/>
    <cellStyle name="Title [Helv] 2 2 2 4 4 3 3" xfId="51478" xr:uid="{00000000-0005-0000-0000-0000020C0000}"/>
    <cellStyle name="Title [Helv] 2 2 2 4 4 4" xfId="23839" xr:uid="{00000000-0005-0000-0000-0000020C0000}"/>
    <cellStyle name="Title [Helv] 2 2 2 4 4 4 2" xfId="42208" xr:uid="{00000000-0005-0000-0000-0000020C0000}"/>
    <cellStyle name="Title [Helv] 2 2 2 4 4 5" xfId="20157" xr:uid="{00000000-0005-0000-0000-0000020C0000}"/>
    <cellStyle name="Title [Helv] 2 2 2 4 4 6" xfId="38562" xr:uid="{00000000-0005-0000-0000-0000020C0000}"/>
    <cellStyle name="Title [Helv] 2 2 2 4 5" xfId="9056" xr:uid="{00000000-0005-0000-0000-0000020C0000}"/>
    <cellStyle name="Title [Helv] 2 2 2 4 5 2" xfId="6903" xr:uid="{00000000-0005-0000-0000-0000020C0000}"/>
    <cellStyle name="Title [Helv] 2 2 2 4 5 2 2" xfId="26638" xr:uid="{00000000-0005-0000-0000-0000020C0000}"/>
    <cellStyle name="Title [Helv] 2 2 2 4 5 2 3" xfId="45007" xr:uid="{00000000-0005-0000-0000-0000020C0000}"/>
    <cellStyle name="Title [Helv] 2 2 2 4 5 3" xfId="27782" xr:uid="{00000000-0005-0000-0000-0000020C0000}"/>
    <cellStyle name="Title [Helv] 2 2 2 4 5 3 2" xfId="46145" xr:uid="{00000000-0005-0000-0000-0000020C0000}"/>
    <cellStyle name="Title [Helv] 2 2 2 4 5 4" xfId="17956" xr:uid="{00000000-0005-0000-0000-0000020C0000}"/>
    <cellStyle name="Title [Helv] 2 2 2 4 5 5" xfId="36364" xr:uid="{00000000-0005-0000-0000-0000020C0000}"/>
    <cellStyle name="Title [Helv] 2 2 2 4 6" xfId="8023" xr:uid="{00000000-0005-0000-0000-0000020C0000}"/>
    <cellStyle name="Title [Helv] 2 2 2 4 6 2" xfId="27253" xr:uid="{00000000-0005-0000-0000-0000020C0000}"/>
    <cellStyle name="Title [Helv] 2 2 2 4 6 3" xfId="45618" xr:uid="{00000000-0005-0000-0000-0000020C0000}"/>
    <cellStyle name="Title [Helv] 2 2 2 4 7" xfId="12610" xr:uid="{00000000-0005-0000-0000-0000020C0000}"/>
    <cellStyle name="Title [Helv] 2 2 2 4 7 2" xfId="31036" xr:uid="{00000000-0005-0000-0000-0000020C0000}"/>
    <cellStyle name="Title [Helv] 2 2 2 4 7 3" xfId="49399" xr:uid="{00000000-0005-0000-0000-0000020C0000}"/>
    <cellStyle name="Title [Helv] 2 2 2 4 8" xfId="19350" xr:uid="{00000000-0005-0000-0000-0000020C0000}"/>
    <cellStyle name="Title [Helv] 2 2 2 4 8 2" xfId="37757" xr:uid="{00000000-0005-0000-0000-0000020C0000}"/>
    <cellStyle name="Title [Helv] 2 2 2 4 9" xfId="15829" xr:uid="{00000000-0005-0000-0000-0000020C0000}"/>
    <cellStyle name="Title [Helv] 2 2 2 5" xfId="3565" xr:uid="{00000000-0005-0000-0000-0000FF0B0000}"/>
    <cellStyle name="Title [Helv] 2 2 2 5 2" xfId="5738" xr:uid="{00000000-0005-0000-0000-0000FF0B0000}"/>
    <cellStyle name="Title [Helv] 2 2 2 5 2 2" xfId="12102" xr:uid="{00000000-0005-0000-0000-0000FF0B0000}"/>
    <cellStyle name="Title [Helv] 2 2 2 5 2 2 2" xfId="30549" xr:uid="{00000000-0005-0000-0000-0000FF0B0000}"/>
    <cellStyle name="Title [Helv] 2 2 2 5 2 2 3" xfId="48912" xr:uid="{00000000-0005-0000-0000-0000FF0B0000}"/>
    <cellStyle name="Title [Helv] 2 2 2 5 2 3" xfId="16428" xr:uid="{00000000-0005-0000-0000-0000FF0B0000}"/>
    <cellStyle name="Title [Helv] 2 2 2 5 2 3 2" xfId="34800" xr:uid="{00000000-0005-0000-0000-0000FF0B0000}"/>
    <cellStyle name="Title [Helv] 2 2 2 5 2 3 3" xfId="53163" xr:uid="{00000000-0005-0000-0000-0000FF0B0000}"/>
    <cellStyle name="Title [Helv] 2 2 2 5 2 4" xfId="25547" xr:uid="{00000000-0005-0000-0000-0000FF0B0000}"/>
    <cellStyle name="Title [Helv] 2 2 2 5 2 4 2" xfId="43916" xr:uid="{00000000-0005-0000-0000-0000FF0B0000}"/>
    <cellStyle name="Title [Helv] 2 2 2 5 2 5" xfId="21868" xr:uid="{00000000-0005-0000-0000-0000FF0B0000}"/>
    <cellStyle name="Title [Helv] 2 2 2 5 2 6" xfId="40247" xr:uid="{00000000-0005-0000-0000-0000FF0B0000}"/>
    <cellStyle name="Title [Helv] 2 2 2 5 3" xfId="6564" xr:uid="{00000000-0005-0000-0000-0000FF0B0000}"/>
    <cellStyle name="Title [Helv] 2 2 2 5 3 2" xfId="12855" xr:uid="{00000000-0005-0000-0000-0000FF0B0000}"/>
    <cellStyle name="Title [Helv] 2 2 2 5 3 2 2" xfId="31281" xr:uid="{00000000-0005-0000-0000-0000FF0B0000}"/>
    <cellStyle name="Title [Helv] 2 2 2 5 3 2 3" xfId="49644" xr:uid="{00000000-0005-0000-0000-0000FF0B0000}"/>
    <cellStyle name="Title [Helv] 2 2 2 5 3 3" xfId="17166" xr:uid="{00000000-0005-0000-0000-0000FF0B0000}"/>
    <cellStyle name="Title [Helv] 2 2 2 5 3 3 2" xfId="35514" xr:uid="{00000000-0005-0000-0000-0000FF0B0000}"/>
    <cellStyle name="Title [Helv] 2 2 2 5 3 3 3" xfId="53877" xr:uid="{00000000-0005-0000-0000-0000FF0B0000}"/>
    <cellStyle name="Title [Helv] 2 2 2 5 3 4" xfId="26299" xr:uid="{00000000-0005-0000-0000-0000FF0B0000}"/>
    <cellStyle name="Title [Helv] 2 2 2 5 3 4 2" xfId="44668" xr:uid="{00000000-0005-0000-0000-0000FF0B0000}"/>
    <cellStyle name="Title [Helv] 2 2 2 5 3 5" xfId="22592" xr:uid="{00000000-0005-0000-0000-0000FF0B0000}"/>
    <cellStyle name="Title [Helv] 2 2 2 5 3 6" xfId="40961" xr:uid="{00000000-0005-0000-0000-0000FF0B0000}"/>
    <cellStyle name="Title [Helv] 2 2 2 5 4" xfId="10278" xr:uid="{00000000-0005-0000-0000-0000FF0B0000}"/>
    <cellStyle name="Title [Helv] 2 2 2 5 4 2" xfId="14335" xr:uid="{00000000-0005-0000-0000-0000FF0B0000}"/>
    <cellStyle name="Title [Helv] 2 2 2 5 4 2 2" xfId="32751" xr:uid="{00000000-0005-0000-0000-0000FF0B0000}"/>
    <cellStyle name="Title [Helv] 2 2 2 5 4 2 3" xfId="51114" xr:uid="{00000000-0005-0000-0000-0000FF0B0000}"/>
    <cellStyle name="Title [Helv] 2 2 2 5 4 3" xfId="28989" xr:uid="{00000000-0005-0000-0000-0000FF0B0000}"/>
    <cellStyle name="Title [Helv] 2 2 2 5 4 3 2" xfId="47352" xr:uid="{00000000-0005-0000-0000-0000FF0B0000}"/>
    <cellStyle name="Title [Helv] 2 2 2 5 4 4" xfId="19792" xr:uid="{00000000-0005-0000-0000-0000FF0B0000}"/>
    <cellStyle name="Title [Helv] 2 2 2 5 4 5" xfId="38198" xr:uid="{00000000-0005-0000-0000-0000FF0B0000}"/>
    <cellStyle name="Title [Helv] 2 2 2 5 5" xfId="9486" xr:uid="{00000000-0005-0000-0000-0000FF0B0000}"/>
    <cellStyle name="Title [Helv] 2 2 2 5 5 2" xfId="28203" xr:uid="{00000000-0005-0000-0000-0000FF0B0000}"/>
    <cellStyle name="Title [Helv] 2 2 2 5 5 3" xfId="46566" xr:uid="{00000000-0005-0000-0000-0000FF0B0000}"/>
    <cellStyle name="Title [Helv] 2 2 2 5 6" xfId="13544" xr:uid="{00000000-0005-0000-0000-0000FF0B0000}"/>
    <cellStyle name="Title [Helv] 2 2 2 5 6 2" xfId="31965" xr:uid="{00000000-0005-0000-0000-0000FF0B0000}"/>
    <cellStyle name="Title [Helv] 2 2 2 5 6 3" xfId="50328" xr:uid="{00000000-0005-0000-0000-0000FF0B0000}"/>
    <cellStyle name="Title [Helv] 2 2 2 5 7" xfId="23473" xr:uid="{00000000-0005-0000-0000-0000FF0B0000}"/>
    <cellStyle name="Title [Helv] 2 2 2 5 7 2" xfId="41842" xr:uid="{00000000-0005-0000-0000-0000FF0B0000}"/>
    <cellStyle name="Title [Helv] 2 2 2 5 8" xfId="18583" xr:uid="{00000000-0005-0000-0000-0000FF0B0000}"/>
    <cellStyle name="Title [Helv] 2 2 2 5 9" xfId="36993" xr:uid="{00000000-0005-0000-0000-0000FF0B0000}"/>
    <cellStyle name="Title [Helv] 2 2 2 6" xfId="4596" xr:uid="{00000000-0005-0000-0000-0000FF0B0000}"/>
    <cellStyle name="Title [Helv] 2 2 2 6 2" xfId="11181" xr:uid="{00000000-0005-0000-0000-0000FF0B0000}"/>
    <cellStyle name="Title [Helv] 2 2 2 6 2 2" xfId="29795" xr:uid="{00000000-0005-0000-0000-0000FF0B0000}"/>
    <cellStyle name="Title [Helv] 2 2 2 6 2 3" xfId="48158" xr:uid="{00000000-0005-0000-0000-0000FF0B0000}"/>
    <cellStyle name="Title [Helv] 2 2 2 6 3" xfId="15322" xr:uid="{00000000-0005-0000-0000-0000FF0B0000}"/>
    <cellStyle name="Title [Helv] 2 2 2 6 3 2" xfId="33716" xr:uid="{00000000-0005-0000-0000-0000FF0B0000}"/>
    <cellStyle name="Title [Helv] 2 2 2 6 3 3" xfId="52079" xr:uid="{00000000-0005-0000-0000-0000FF0B0000}"/>
    <cellStyle name="Title [Helv] 2 2 2 6 4" xfId="24447" xr:uid="{00000000-0005-0000-0000-0000FF0B0000}"/>
    <cellStyle name="Title [Helv] 2 2 2 6 4 2" xfId="42816" xr:uid="{00000000-0005-0000-0000-0000FF0B0000}"/>
    <cellStyle name="Title [Helv] 2 2 2 6 5" xfId="20773" xr:uid="{00000000-0005-0000-0000-0000FF0B0000}"/>
    <cellStyle name="Title [Helv] 2 2 2 6 6" xfId="39163" xr:uid="{00000000-0005-0000-0000-0000FF0B0000}"/>
    <cellStyle name="Title [Helv] 2 2 2 7" xfId="4162" xr:uid="{00000000-0005-0000-0000-0000FF0B0000}"/>
    <cellStyle name="Title [Helv] 2 2 2 7 2" xfId="10818" xr:uid="{00000000-0005-0000-0000-0000FF0B0000}"/>
    <cellStyle name="Title [Helv] 2 2 2 7 2 2" xfId="29490" xr:uid="{00000000-0005-0000-0000-0000FF0B0000}"/>
    <cellStyle name="Title [Helv] 2 2 2 7 2 3" xfId="47853" xr:uid="{00000000-0005-0000-0000-0000FF0B0000}"/>
    <cellStyle name="Title [Helv] 2 2 2 7 3" xfId="14913" xr:uid="{00000000-0005-0000-0000-0000FF0B0000}"/>
    <cellStyle name="Title [Helv] 2 2 2 7 3 2" xfId="33317" xr:uid="{00000000-0005-0000-0000-0000FF0B0000}"/>
    <cellStyle name="Title [Helv] 2 2 2 7 3 3" xfId="51680" xr:uid="{00000000-0005-0000-0000-0000FF0B0000}"/>
    <cellStyle name="Title [Helv] 2 2 2 7 4" xfId="24042" xr:uid="{00000000-0005-0000-0000-0000FF0B0000}"/>
    <cellStyle name="Title [Helv] 2 2 2 7 4 2" xfId="42411" xr:uid="{00000000-0005-0000-0000-0000FF0B0000}"/>
    <cellStyle name="Title [Helv] 2 2 2 7 5" xfId="20366" xr:uid="{00000000-0005-0000-0000-0000FF0B0000}"/>
    <cellStyle name="Title [Helv] 2 2 2 7 6" xfId="38764" xr:uid="{00000000-0005-0000-0000-0000FF0B0000}"/>
    <cellStyle name="Title [Helv] 2 2 2 8" xfId="7892" xr:uid="{00000000-0005-0000-0000-0000FF0B0000}"/>
    <cellStyle name="Title [Helv] 2 2 2 8 2" xfId="27129" xr:uid="{00000000-0005-0000-0000-0000FF0B0000}"/>
    <cellStyle name="Title [Helv] 2 2 2 8 3" xfId="45494" xr:uid="{00000000-0005-0000-0000-0000FF0B0000}"/>
    <cellStyle name="Title [Helv] 2 2 2 9" xfId="10621" xr:uid="{00000000-0005-0000-0000-0000FF0B0000}"/>
    <cellStyle name="Title [Helv] 2 2 2 9 2" xfId="29331" xr:uid="{00000000-0005-0000-0000-0000FF0B0000}"/>
    <cellStyle name="Title [Helv] 2 2 2 9 3" xfId="47694" xr:uid="{00000000-0005-0000-0000-0000FF0B0000}"/>
    <cellStyle name="Title [Helv] 2 2 3" xfId="1505" xr:uid="{00000000-0005-0000-0000-0000030C0000}"/>
    <cellStyle name="Title [Helv] 2 2 3 10" xfId="7205" xr:uid="{00000000-0005-0000-0000-0000030C0000}"/>
    <cellStyle name="Title [Helv] 2 2 3 10 2" xfId="26749" xr:uid="{00000000-0005-0000-0000-0000030C0000}"/>
    <cellStyle name="Title [Helv] 2 2 3 10 3" xfId="45117" xr:uid="{00000000-0005-0000-0000-0000030C0000}"/>
    <cellStyle name="Title [Helv] 2 2 3 11" xfId="8684" xr:uid="{00000000-0005-0000-0000-0000030C0000}"/>
    <cellStyle name="Title [Helv] 2 2 3 12" xfId="6972" xr:uid="{00000000-0005-0000-0000-0000030C0000}"/>
    <cellStyle name="Title [Helv] 2 2 3 2" xfId="1674" xr:uid="{00000000-0005-0000-0000-0000040C0000}"/>
    <cellStyle name="Title [Helv] 2 2 3 2 10" xfId="6222" xr:uid="{00000000-0005-0000-0000-0000040C0000}"/>
    <cellStyle name="Title [Helv] 2 2 3 2 2" xfId="3572" xr:uid="{00000000-0005-0000-0000-0000040C0000}"/>
    <cellStyle name="Title [Helv] 2 2 3 2 2 2" xfId="5745" xr:uid="{00000000-0005-0000-0000-0000040C0000}"/>
    <cellStyle name="Title [Helv] 2 2 3 2 2 2 2" xfId="12109" xr:uid="{00000000-0005-0000-0000-0000040C0000}"/>
    <cellStyle name="Title [Helv] 2 2 3 2 2 2 2 2" xfId="30556" xr:uid="{00000000-0005-0000-0000-0000040C0000}"/>
    <cellStyle name="Title [Helv] 2 2 3 2 2 2 2 3" xfId="48919" xr:uid="{00000000-0005-0000-0000-0000040C0000}"/>
    <cellStyle name="Title [Helv] 2 2 3 2 2 2 3" xfId="16435" xr:uid="{00000000-0005-0000-0000-0000040C0000}"/>
    <cellStyle name="Title [Helv] 2 2 3 2 2 2 3 2" xfId="34807" xr:uid="{00000000-0005-0000-0000-0000040C0000}"/>
    <cellStyle name="Title [Helv] 2 2 3 2 2 2 3 3" xfId="53170" xr:uid="{00000000-0005-0000-0000-0000040C0000}"/>
    <cellStyle name="Title [Helv] 2 2 3 2 2 2 4" xfId="25554" xr:uid="{00000000-0005-0000-0000-0000040C0000}"/>
    <cellStyle name="Title [Helv] 2 2 3 2 2 2 4 2" xfId="43923" xr:uid="{00000000-0005-0000-0000-0000040C0000}"/>
    <cellStyle name="Title [Helv] 2 2 3 2 2 2 5" xfId="21875" xr:uid="{00000000-0005-0000-0000-0000040C0000}"/>
    <cellStyle name="Title [Helv] 2 2 3 2 2 2 6" xfId="40254" xr:uid="{00000000-0005-0000-0000-0000040C0000}"/>
    <cellStyle name="Title [Helv] 2 2 3 2 2 3" xfId="6571" xr:uid="{00000000-0005-0000-0000-0000040C0000}"/>
    <cellStyle name="Title [Helv] 2 2 3 2 2 3 2" xfId="12862" xr:uid="{00000000-0005-0000-0000-0000040C0000}"/>
    <cellStyle name="Title [Helv] 2 2 3 2 2 3 2 2" xfId="31288" xr:uid="{00000000-0005-0000-0000-0000040C0000}"/>
    <cellStyle name="Title [Helv] 2 2 3 2 2 3 2 3" xfId="49651" xr:uid="{00000000-0005-0000-0000-0000040C0000}"/>
    <cellStyle name="Title [Helv] 2 2 3 2 2 3 3" xfId="17173" xr:uid="{00000000-0005-0000-0000-0000040C0000}"/>
    <cellStyle name="Title [Helv] 2 2 3 2 2 3 3 2" xfId="35521" xr:uid="{00000000-0005-0000-0000-0000040C0000}"/>
    <cellStyle name="Title [Helv] 2 2 3 2 2 3 3 3" xfId="53884" xr:uid="{00000000-0005-0000-0000-0000040C0000}"/>
    <cellStyle name="Title [Helv] 2 2 3 2 2 3 4" xfId="26306" xr:uid="{00000000-0005-0000-0000-0000040C0000}"/>
    <cellStyle name="Title [Helv] 2 2 3 2 2 3 4 2" xfId="44675" xr:uid="{00000000-0005-0000-0000-0000040C0000}"/>
    <cellStyle name="Title [Helv] 2 2 3 2 2 3 5" xfId="22599" xr:uid="{00000000-0005-0000-0000-0000040C0000}"/>
    <cellStyle name="Title [Helv] 2 2 3 2 2 3 6" xfId="40968" xr:uid="{00000000-0005-0000-0000-0000040C0000}"/>
    <cellStyle name="Title [Helv] 2 2 3 2 2 4" xfId="10285" xr:uid="{00000000-0005-0000-0000-0000040C0000}"/>
    <cellStyle name="Title [Helv] 2 2 3 2 2 4 2" xfId="14342" xr:uid="{00000000-0005-0000-0000-0000040C0000}"/>
    <cellStyle name="Title [Helv] 2 2 3 2 2 4 2 2" xfId="32758" xr:uid="{00000000-0005-0000-0000-0000040C0000}"/>
    <cellStyle name="Title [Helv] 2 2 3 2 2 4 2 3" xfId="51121" xr:uid="{00000000-0005-0000-0000-0000040C0000}"/>
    <cellStyle name="Title [Helv] 2 2 3 2 2 4 3" xfId="28996" xr:uid="{00000000-0005-0000-0000-0000040C0000}"/>
    <cellStyle name="Title [Helv] 2 2 3 2 2 4 3 2" xfId="47359" xr:uid="{00000000-0005-0000-0000-0000040C0000}"/>
    <cellStyle name="Title [Helv] 2 2 3 2 2 4 4" xfId="19799" xr:uid="{00000000-0005-0000-0000-0000040C0000}"/>
    <cellStyle name="Title [Helv] 2 2 3 2 2 4 5" xfId="38205" xr:uid="{00000000-0005-0000-0000-0000040C0000}"/>
    <cellStyle name="Title [Helv] 2 2 3 2 2 5" xfId="9493" xr:uid="{00000000-0005-0000-0000-0000040C0000}"/>
    <cellStyle name="Title [Helv] 2 2 3 2 2 5 2" xfId="28210" xr:uid="{00000000-0005-0000-0000-0000040C0000}"/>
    <cellStyle name="Title [Helv] 2 2 3 2 2 5 3" xfId="46573" xr:uid="{00000000-0005-0000-0000-0000040C0000}"/>
    <cellStyle name="Title [Helv] 2 2 3 2 2 6" xfId="13551" xr:uid="{00000000-0005-0000-0000-0000040C0000}"/>
    <cellStyle name="Title [Helv] 2 2 3 2 2 6 2" xfId="31972" xr:uid="{00000000-0005-0000-0000-0000040C0000}"/>
    <cellStyle name="Title [Helv] 2 2 3 2 2 6 3" xfId="50335" xr:uid="{00000000-0005-0000-0000-0000040C0000}"/>
    <cellStyle name="Title [Helv] 2 2 3 2 2 7" xfId="23480" xr:uid="{00000000-0005-0000-0000-0000040C0000}"/>
    <cellStyle name="Title [Helv] 2 2 3 2 2 7 2" xfId="41849" xr:uid="{00000000-0005-0000-0000-0000040C0000}"/>
    <cellStyle name="Title [Helv] 2 2 3 2 2 8" xfId="18591" xr:uid="{00000000-0005-0000-0000-0000040C0000}"/>
    <cellStyle name="Title [Helv] 2 2 3 2 2 9" xfId="37001" xr:uid="{00000000-0005-0000-0000-0000040C0000}"/>
    <cellStyle name="Title [Helv] 2 2 3 2 3" xfId="4613" xr:uid="{00000000-0005-0000-0000-0000040C0000}"/>
    <cellStyle name="Title [Helv] 2 2 3 2 3 2" xfId="11197" xr:uid="{00000000-0005-0000-0000-0000040C0000}"/>
    <cellStyle name="Title [Helv] 2 2 3 2 3 2 2" xfId="29809" xr:uid="{00000000-0005-0000-0000-0000040C0000}"/>
    <cellStyle name="Title [Helv] 2 2 3 2 3 2 3" xfId="48172" xr:uid="{00000000-0005-0000-0000-0000040C0000}"/>
    <cellStyle name="Title [Helv] 2 2 3 2 3 3" xfId="15339" xr:uid="{00000000-0005-0000-0000-0000040C0000}"/>
    <cellStyle name="Title [Helv] 2 2 3 2 3 3 2" xfId="33732" xr:uid="{00000000-0005-0000-0000-0000040C0000}"/>
    <cellStyle name="Title [Helv] 2 2 3 2 3 3 3" xfId="52095" xr:uid="{00000000-0005-0000-0000-0000040C0000}"/>
    <cellStyle name="Title [Helv] 2 2 3 2 3 4" xfId="24463" xr:uid="{00000000-0005-0000-0000-0000040C0000}"/>
    <cellStyle name="Title [Helv] 2 2 3 2 3 4 2" xfId="42832" xr:uid="{00000000-0005-0000-0000-0000040C0000}"/>
    <cellStyle name="Title [Helv] 2 2 3 2 3 5" xfId="20790" xr:uid="{00000000-0005-0000-0000-0000040C0000}"/>
    <cellStyle name="Title [Helv] 2 2 3 2 3 6" xfId="39179" xr:uid="{00000000-0005-0000-0000-0000040C0000}"/>
    <cellStyle name="Title [Helv] 2 2 3 2 4" xfId="5158" xr:uid="{00000000-0005-0000-0000-0000040C0000}"/>
    <cellStyle name="Title [Helv] 2 2 3 2 4 2" xfId="11661" xr:uid="{00000000-0005-0000-0000-0000040C0000}"/>
    <cellStyle name="Title [Helv] 2 2 3 2 4 2 2" xfId="30208" xr:uid="{00000000-0005-0000-0000-0000040C0000}"/>
    <cellStyle name="Title [Helv] 2 2 3 2 4 2 3" xfId="48571" xr:uid="{00000000-0005-0000-0000-0000040C0000}"/>
    <cellStyle name="Title [Helv] 2 2 3 2 4 3" xfId="15860" xr:uid="{00000000-0005-0000-0000-0000040C0000}"/>
    <cellStyle name="Title [Helv] 2 2 3 2 4 3 2" xfId="34241" xr:uid="{00000000-0005-0000-0000-0000040C0000}"/>
    <cellStyle name="Title [Helv] 2 2 3 2 4 3 3" xfId="52604" xr:uid="{00000000-0005-0000-0000-0000040C0000}"/>
    <cellStyle name="Title [Helv] 2 2 3 2 4 4" xfId="24981" xr:uid="{00000000-0005-0000-0000-0000040C0000}"/>
    <cellStyle name="Title [Helv] 2 2 3 2 4 4 2" xfId="43350" xr:uid="{00000000-0005-0000-0000-0000040C0000}"/>
    <cellStyle name="Title [Helv] 2 2 3 2 4 5" xfId="21306" xr:uid="{00000000-0005-0000-0000-0000040C0000}"/>
    <cellStyle name="Title [Helv] 2 2 3 2 4 6" xfId="39688" xr:uid="{00000000-0005-0000-0000-0000040C0000}"/>
    <cellStyle name="Title [Helv] 2 2 3 2 5" xfId="9269" xr:uid="{00000000-0005-0000-0000-0000040C0000}"/>
    <cellStyle name="Title [Helv] 2 2 3 2 5 2" xfId="13326" xr:uid="{00000000-0005-0000-0000-0000040C0000}"/>
    <cellStyle name="Title [Helv] 2 2 3 2 5 2 2" xfId="31747" xr:uid="{00000000-0005-0000-0000-0000040C0000}"/>
    <cellStyle name="Title [Helv] 2 2 3 2 5 2 3" xfId="50110" xr:uid="{00000000-0005-0000-0000-0000040C0000}"/>
    <cellStyle name="Title [Helv] 2 2 3 2 5 3" xfId="27989" xr:uid="{00000000-0005-0000-0000-0000040C0000}"/>
    <cellStyle name="Title [Helv] 2 2 3 2 5 3 2" xfId="46352" xr:uid="{00000000-0005-0000-0000-0000040C0000}"/>
    <cellStyle name="Title [Helv] 2 2 3 2 5 4" xfId="18329" xr:uid="{00000000-0005-0000-0000-0000040C0000}"/>
    <cellStyle name="Title [Helv] 2 2 3 2 5 5" xfId="36735" xr:uid="{00000000-0005-0000-0000-0000040C0000}"/>
    <cellStyle name="Title [Helv] 2 2 3 2 6" xfId="7907" xr:uid="{00000000-0005-0000-0000-0000040C0000}"/>
    <cellStyle name="Title [Helv] 2 2 3 2 6 2" xfId="27139" xr:uid="{00000000-0005-0000-0000-0000040C0000}"/>
    <cellStyle name="Title [Helv] 2 2 3 2 6 3" xfId="45504" xr:uid="{00000000-0005-0000-0000-0000040C0000}"/>
    <cellStyle name="Title [Helv] 2 2 3 2 7" xfId="8678" xr:uid="{00000000-0005-0000-0000-0000040C0000}"/>
    <cellStyle name="Title [Helv] 2 2 3 2 7 2" xfId="27580" xr:uid="{00000000-0005-0000-0000-0000040C0000}"/>
    <cellStyle name="Title [Helv] 2 2 3 2 7 3" xfId="45943" xr:uid="{00000000-0005-0000-0000-0000040C0000}"/>
    <cellStyle name="Title [Helv] 2 2 3 2 8" xfId="19289" xr:uid="{00000000-0005-0000-0000-0000040C0000}"/>
    <cellStyle name="Title [Helv] 2 2 3 2 8 2" xfId="37696" xr:uid="{00000000-0005-0000-0000-0000040C0000}"/>
    <cellStyle name="Title [Helv] 2 2 3 2 9" xfId="8578" xr:uid="{00000000-0005-0000-0000-0000040C0000}"/>
    <cellStyle name="Title [Helv] 2 2 3 3" xfId="1403" xr:uid="{00000000-0005-0000-0000-0000050C0000}"/>
    <cellStyle name="Title [Helv] 2 2 3 3 10" xfId="17579" xr:uid="{00000000-0005-0000-0000-0000050C0000}"/>
    <cellStyle name="Title [Helv] 2 2 3 3 2" xfId="3436" xr:uid="{00000000-0005-0000-0000-0000050C0000}"/>
    <cellStyle name="Title [Helv] 2 2 3 3 2 2" xfId="5611" xr:uid="{00000000-0005-0000-0000-0000050C0000}"/>
    <cellStyle name="Title [Helv] 2 2 3 3 2 2 2" xfId="11975" xr:uid="{00000000-0005-0000-0000-0000050C0000}"/>
    <cellStyle name="Title [Helv] 2 2 3 3 2 2 2 2" xfId="30422" xr:uid="{00000000-0005-0000-0000-0000050C0000}"/>
    <cellStyle name="Title [Helv] 2 2 3 3 2 2 2 3" xfId="48785" xr:uid="{00000000-0005-0000-0000-0000050C0000}"/>
    <cellStyle name="Title [Helv] 2 2 3 3 2 2 3" xfId="16301" xr:uid="{00000000-0005-0000-0000-0000050C0000}"/>
    <cellStyle name="Title [Helv] 2 2 3 3 2 2 3 2" xfId="34673" xr:uid="{00000000-0005-0000-0000-0000050C0000}"/>
    <cellStyle name="Title [Helv] 2 2 3 3 2 2 3 3" xfId="53036" xr:uid="{00000000-0005-0000-0000-0000050C0000}"/>
    <cellStyle name="Title [Helv] 2 2 3 3 2 2 4" xfId="25420" xr:uid="{00000000-0005-0000-0000-0000050C0000}"/>
    <cellStyle name="Title [Helv] 2 2 3 3 2 2 4 2" xfId="43789" xr:uid="{00000000-0005-0000-0000-0000050C0000}"/>
    <cellStyle name="Title [Helv] 2 2 3 3 2 2 5" xfId="21741" xr:uid="{00000000-0005-0000-0000-0000050C0000}"/>
    <cellStyle name="Title [Helv] 2 2 3 3 2 2 6" xfId="40120" xr:uid="{00000000-0005-0000-0000-0000050C0000}"/>
    <cellStyle name="Title [Helv] 2 2 3 3 2 3" xfId="6435" xr:uid="{00000000-0005-0000-0000-0000050C0000}"/>
    <cellStyle name="Title [Helv] 2 2 3 3 2 3 2" xfId="12726" xr:uid="{00000000-0005-0000-0000-0000050C0000}"/>
    <cellStyle name="Title [Helv] 2 2 3 3 2 3 2 2" xfId="31152" xr:uid="{00000000-0005-0000-0000-0000050C0000}"/>
    <cellStyle name="Title [Helv] 2 2 3 3 2 3 2 3" xfId="49515" xr:uid="{00000000-0005-0000-0000-0000050C0000}"/>
    <cellStyle name="Title [Helv] 2 2 3 3 2 3 3" xfId="17037" xr:uid="{00000000-0005-0000-0000-0000050C0000}"/>
    <cellStyle name="Title [Helv] 2 2 3 3 2 3 3 2" xfId="35385" xr:uid="{00000000-0005-0000-0000-0000050C0000}"/>
    <cellStyle name="Title [Helv] 2 2 3 3 2 3 3 3" xfId="53748" xr:uid="{00000000-0005-0000-0000-0000050C0000}"/>
    <cellStyle name="Title [Helv] 2 2 3 3 2 3 4" xfId="26170" xr:uid="{00000000-0005-0000-0000-0000050C0000}"/>
    <cellStyle name="Title [Helv] 2 2 3 3 2 3 4 2" xfId="44539" xr:uid="{00000000-0005-0000-0000-0000050C0000}"/>
    <cellStyle name="Title [Helv] 2 2 3 3 2 3 5" xfId="22463" xr:uid="{00000000-0005-0000-0000-0000050C0000}"/>
    <cellStyle name="Title [Helv] 2 2 3 3 2 3 6" xfId="40832" xr:uid="{00000000-0005-0000-0000-0000050C0000}"/>
    <cellStyle name="Title [Helv] 2 2 3 3 2 4" xfId="10149" xr:uid="{00000000-0005-0000-0000-0000050C0000}"/>
    <cellStyle name="Title [Helv] 2 2 3 3 2 4 2" xfId="14206" xr:uid="{00000000-0005-0000-0000-0000050C0000}"/>
    <cellStyle name="Title [Helv] 2 2 3 3 2 4 2 2" xfId="32622" xr:uid="{00000000-0005-0000-0000-0000050C0000}"/>
    <cellStyle name="Title [Helv] 2 2 3 3 2 4 2 3" xfId="50985" xr:uid="{00000000-0005-0000-0000-0000050C0000}"/>
    <cellStyle name="Title [Helv] 2 2 3 3 2 4 3" xfId="28860" xr:uid="{00000000-0005-0000-0000-0000050C0000}"/>
    <cellStyle name="Title [Helv] 2 2 3 3 2 4 3 2" xfId="47223" xr:uid="{00000000-0005-0000-0000-0000050C0000}"/>
    <cellStyle name="Title [Helv] 2 2 3 3 2 4 4" xfId="19663" xr:uid="{00000000-0005-0000-0000-0000050C0000}"/>
    <cellStyle name="Title [Helv] 2 2 3 3 2 4 5" xfId="38069" xr:uid="{00000000-0005-0000-0000-0000050C0000}"/>
    <cellStyle name="Title [Helv] 2 2 3 3 2 5" xfId="9336" xr:uid="{00000000-0005-0000-0000-0000050C0000}"/>
    <cellStyle name="Title [Helv] 2 2 3 3 2 5 2" xfId="28055" xr:uid="{00000000-0005-0000-0000-0000050C0000}"/>
    <cellStyle name="Title [Helv] 2 2 3 3 2 5 3" xfId="46418" xr:uid="{00000000-0005-0000-0000-0000050C0000}"/>
    <cellStyle name="Title [Helv] 2 2 3 3 2 6" xfId="13392" xr:uid="{00000000-0005-0000-0000-0000050C0000}"/>
    <cellStyle name="Title [Helv] 2 2 3 3 2 6 2" xfId="31813" xr:uid="{00000000-0005-0000-0000-0000050C0000}"/>
    <cellStyle name="Title [Helv] 2 2 3 3 2 6 3" xfId="50176" xr:uid="{00000000-0005-0000-0000-0000050C0000}"/>
    <cellStyle name="Title [Helv] 2 2 3 3 2 7" xfId="23344" xr:uid="{00000000-0005-0000-0000-0000050C0000}"/>
    <cellStyle name="Title [Helv] 2 2 3 3 2 7 2" xfId="41713" xr:uid="{00000000-0005-0000-0000-0000050C0000}"/>
    <cellStyle name="Title [Helv] 2 2 3 3 2 8" xfId="18415" xr:uid="{00000000-0005-0000-0000-0000050C0000}"/>
    <cellStyle name="Title [Helv] 2 2 3 3 2 9" xfId="36821" xr:uid="{00000000-0005-0000-0000-0000050C0000}"/>
    <cellStyle name="Title [Helv] 2 2 3 3 3" xfId="4429" xr:uid="{00000000-0005-0000-0000-0000050C0000}"/>
    <cellStyle name="Title [Helv] 2 2 3 3 3 2" xfId="11028" xr:uid="{00000000-0005-0000-0000-0000050C0000}"/>
    <cellStyle name="Title [Helv] 2 2 3 3 3 2 2" xfId="29648" xr:uid="{00000000-0005-0000-0000-0000050C0000}"/>
    <cellStyle name="Title [Helv] 2 2 3 3 3 2 3" xfId="48011" xr:uid="{00000000-0005-0000-0000-0000050C0000}"/>
    <cellStyle name="Title [Helv] 2 2 3 3 3 3" xfId="15163" xr:uid="{00000000-0005-0000-0000-0000050C0000}"/>
    <cellStyle name="Title [Helv] 2 2 3 3 3 3 2" xfId="33560" xr:uid="{00000000-0005-0000-0000-0000050C0000}"/>
    <cellStyle name="Title [Helv] 2 2 3 3 3 3 3" xfId="51923" xr:uid="{00000000-0005-0000-0000-0000050C0000}"/>
    <cellStyle name="Title [Helv] 2 2 3 3 3 4" xfId="24291" xr:uid="{00000000-0005-0000-0000-0000050C0000}"/>
    <cellStyle name="Title [Helv] 2 2 3 3 3 4 2" xfId="42660" xr:uid="{00000000-0005-0000-0000-0000050C0000}"/>
    <cellStyle name="Title [Helv] 2 2 3 3 3 5" xfId="20614" xr:uid="{00000000-0005-0000-0000-0000050C0000}"/>
    <cellStyle name="Title [Helv] 2 2 3 3 3 6" xfId="39007" xr:uid="{00000000-0005-0000-0000-0000050C0000}"/>
    <cellStyle name="Title [Helv] 2 2 3 3 4" xfId="4041" xr:uid="{00000000-0005-0000-0000-0000050C0000}"/>
    <cellStyle name="Title [Helv] 2 2 3 3 4 2" xfId="10742" xr:uid="{00000000-0005-0000-0000-0000050C0000}"/>
    <cellStyle name="Title [Helv] 2 2 3 3 4 2 2" xfId="29445" xr:uid="{00000000-0005-0000-0000-0000050C0000}"/>
    <cellStyle name="Title [Helv] 2 2 3 3 4 2 3" xfId="47808" xr:uid="{00000000-0005-0000-0000-0000050C0000}"/>
    <cellStyle name="Title [Helv] 2 2 3 3 4 3" xfId="14802" xr:uid="{00000000-0005-0000-0000-0000050C0000}"/>
    <cellStyle name="Title [Helv] 2 2 3 3 4 3 2" xfId="33214" xr:uid="{00000000-0005-0000-0000-0000050C0000}"/>
    <cellStyle name="Title [Helv] 2 2 3 3 4 3 3" xfId="51577" xr:uid="{00000000-0005-0000-0000-0000050C0000}"/>
    <cellStyle name="Title [Helv] 2 2 3 3 4 4" xfId="23938" xr:uid="{00000000-0005-0000-0000-0000050C0000}"/>
    <cellStyle name="Title [Helv] 2 2 3 3 4 4 2" xfId="42307" xr:uid="{00000000-0005-0000-0000-0000050C0000}"/>
    <cellStyle name="Title [Helv] 2 2 3 3 4 5" xfId="20258" xr:uid="{00000000-0005-0000-0000-0000050C0000}"/>
    <cellStyle name="Title [Helv] 2 2 3 3 4 6" xfId="38661" xr:uid="{00000000-0005-0000-0000-0000050C0000}"/>
    <cellStyle name="Title [Helv] 2 2 3 3 5" xfId="9385" xr:uid="{00000000-0005-0000-0000-0000050C0000}"/>
    <cellStyle name="Title [Helv] 2 2 3 3 5 2" xfId="13441" xr:uid="{00000000-0005-0000-0000-0000050C0000}"/>
    <cellStyle name="Title [Helv] 2 2 3 3 5 2 2" xfId="31862" xr:uid="{00000000-0005-0000-0000-0000050C0000}"/>
    <cellStyle name="Title [Helv] 2 2 3 3 5 2 3" xfId="50225" xr:uid="{00000000-0005-0000-0000-0000050C0000}"/>
    <cellStyle name="Title [Helv] 2 2 3 3 5 3" xfId="28104" xr:uid="{00000000-0005-0000-0000-0000050C0000}"/>
    <cellStyle name="Title [Helv] 2 2 3 3 5 3 2" xfId="46467" xr:uid="{00000000-0005-0000-0000-0000050C0000}"/>
    <cellStyle name="Title [Helv] 2 2 3 3 5 4" xfId="18468" xr:uid="{00000000-0005-0000-0000-0000050C0000}"/>
    <cellStyle name="Title [Helv] 2 2 3 3 5 5" xfId="36874" xr:uid="{00000000-0005-0000-0000-0000050C0000}"/>
    <cellStyle name="Title [Helv] 2 2 3 3 6" xfId="7695" xr:uid="{00000000-0005-0000-0000-0000050C0000}"/>
    <cellStyle name="Title [Helv] 2 2 3 3 6 2" xfId="26977" xr:uid="{00000000-0005-0000-0000-0000050C0000}"/>
    <cellStyle name="Title [Helv] 2 2 3 3 6 3" xfId="45342" xr:uid="{00000000-0005-0000-0000-0000050C0000}"/>
    <cellStyle name="Title [Helv] 2 2 3 3 7" xfId="7622" xr:uid="{00000000-0005-0000-0000-0000050C0000}"/>
    <cellStyle name="Title [Helv] 2 2 3 3 7 2" xfId="26917" xr:uid="{00000000-0005-0000-0000-0000050C0000}"/>
    <cellStyle name="Title [Helv] 2 2 3 3 7 3" xfId="45282" xr:uid="{00000000-0005-0000-0000-0000050C0000}"/>
    <cellStyle name="Title [Helv] 2 2 3 3 8" xfId="19430" xr:uid="{00000000-0005-0000-0000-0000050C0000}"/>
    <cellStyle name="Title [Helv] 2 2 3 3 8 2" xfId="37836" xr:uid="{00000000-0005-0000-0000-0000050C0000}"/>
    <cellStyle name="Title [Helv] 2 2 3 3 9" xfId="7549" xr:uid="{00000000-0005-0000-0000-0000050C0000}"/>
    <cellStyle name="Title [Helv] 2 2 3 4" xfId="1339" xr:uid="{00000000-0005-0000-0000-0000060C0000}"/>
    <cellStyle name="Title [Helv] 2 2 3 4 10" xfId="7269" xr:uid="{00000000-0005-0000-0000-0000060C0000}"/>
    <cellStyle name="Title [Helv] 2 2 3 4 2" xfId="3386" xr:uid="{00000000-0005-0000-0000-0000060C0000}"/>
    <cellStyle name="Title [Helv] 2 2 3 4 2 2" xfId="5561" xr:uid="{00000000-0005-0000-0000-0000060C0000}"/>
    <cellStyle name="Title [Helv] 2 2 3 4 2 2 2" xfId="11925" xr:uid="{00000000-0005-0000-0000-0000060C0000}"/>
    <cellStyle name="Title [Helv] 2 2 3 4 2 2 2 2" xfId="30372" xr:uid="{00000000-0005-0000-0000-0000060C0000}"/>
    <cellStyle name="Title [Helv] 2 2 3 4 2 2 2 3" xfId="48735" xr:uid="{00000000-0005-0000-0000-0000060C0000}"/>
    <cellStyle name="Title [Helv] 2 2 3 4 2 2 3" xfId="16251" xr:uid="{00000000-0005-0000-0000-0000060C0000}"/>
    <cellStyle name="Title [Helv] 2 2 3 4 2 2 3 2" xfId="34623" xr:uid="{00000000-0005-0000-0000-0000060C0000}"/>
    <cellStyle name="Title [Helv] 2 2 3 4 2 2 3 3" xfId="52986" xr:uid="{00000000-0005-0000-0000-0000060C0000}"/>
    <cellStyle name="Title [Helv] 2 2 3 4 2 2 4" xfId="25370" xr:uid="{00000000-0005-0000-0000-0000060C0000}"/>
    <cellStyle name="Title [Helv] 2 2 3 4 2 2 4 2" xfId="43739" xr:uid="{00000000-0005-0000-0000-0000060C0000}"/>
    <cellStyle name="Title [Helv] 2 2 3 4 2 2 5" xfId="21691" xr:uid="{00000000-0005-0000-0000-0000060C0000}"/>
    <cellStyle name="Title [Helv] 2 2 3 4 2 2 6" xfId="40070" xr:uid="{00000000-0005-0000-0000-0000060C0000}"/>
    <cellStyle name="Title [Helv] 2 2 3 4 2 3" xfId="6385" xr:uid="{00000000-0005-0000-0000-0000060C0000}"/>
    <cellStyle name="Title [Helv] 2 2 3 4 2 3 2" xfId="12676" xr:uid="{00000000-0005-0000-0000-0000060C0000}"/>
    <cellStyle name="Title [Helv] 2 2 3 4 2 3 2 2" xfId="31102" xr:uid="{00000000-0005-0000-0000-0000060C0000}"/>
    <cellStyle name="Title [Helv] 2 2 3 4 2 3 2 3" xfId="49465" xr:uid="{00000000-0005-0000-0000-0000060C0000}"/>
    <cellStyle name="Title [Helv] 2 2 3 4 2 3 3" xfId="16987" xr:uid="{00000000-0005-0000-0000-0000060C0000}"/>
    <cellStyle name="Title [Helv] 2 2 3 4 2 3 3 2" xfId="35335" xr:uid="{00000000-0005-0000-0000-0000060C0000}"/>
    <cellStyle name="Title [Helv] 2 2 3 4 2 3 3 3" xfId="53698" xr:uid="{00000000-0005-0000-0000-0000060C0000}"/>
    <cellStyle name="Title [Helv] 2 2 3 4 2 3 4" xfId="26120" xr:uid="{00000000-0005-0000-0000-0000060C0000}"/>
    <cellStyle name="Title [Helv] 2 2 3 4 2 3 4 2" xfId="44489" xr:uid="{00000000-0005-0000-0000-0000060C0000}"/>
    <cellStyle name="Title [Helv] 2 2 3 4 2 3 5" xfId="22413" xr:uid="{00000000-0005-0000-0000-0000060C0000}"/>
    <cellStyle name="Title [Helv] 2 2 3 4 2 3 6" xfId="40782" xr:uid="{00000000-0005-0000-0000-0000060C0000}"/>
    <cellStyle name="Title [Helv] 2 2 3 4 2 4" xfId="10099" xr:uid="{00000000-0005-0000-0000-0000060C0000}"/>
    <cellStyle name="Title [Helv] 2 2 3 4 2 4 2" xfId="14156" xr:uid="{00000000-0005-0000-0000-0000060C0000}"/>
    <cellStyle name="Title [Helv] 2 2 3 4 2 4 2 2" xfId="32572" xr:uid="{00000000-0005-0000-0000-0000060C0000}"/>
    <cellStyle name="Title [Helv] 2 2 3 4 2 4 2 3" xfId="50935" xr:uid="{00000000-0005-0000-0000-0000060C0000}"/>
    <cellStyle name="Title [Helv] 2 2 3 4 2 4 3" xfId="28810" xr:uid="{00000000-0005-0000-0000-0000060C0000}"/>
    <cellStyle name="Title [Helv] 2 2 3 4 2 4 3 2" xfId="47173" xr:uid="{00000000-0005-0000-0000-0000060C0000}"/>
    <cellStyle name="Title [Helv] 2 2 3 4 2 4 4" xfId="19613" xr:uid="{00000000-0005-0000-0000-0000060C0000}"/>
    <cellStyle name="Title [Helv] 2 2 3 4 2 4 5" xfId="38019" xr:uid="{00000000-0005-0000-0000-0000060C0000}"/>
    <cellStyle name="Title [Helv] 2 2 3 4 2 5" xfId="9286" xr:uid="{00000000-0005-0000-0000-0000060C0000}"/>
    <cellStyle name="Title [Helv] 2 2 3 4 2 5 2" xfId="28005" xr:uid="{00000000-0005-0000-0000-0000060C0000}"/>
    <cellStyle name="Title [Helv] 2 2 3 4 2 5 3" xfId="46368" xr:uid="{00000000-0005-0000-0000-0000060C0000}"/>
    <cellStyle name="Title [Helv] 2 2 3 4 2 6" xfId="13342" xr:uid="{00000000-0005-0000-0000-0000060C0000}"/>
    <cellStyle name="Title [Helv] 2 2 3 4 2 6 2" xfId="31763" xr:uid="{00000000-0005-0000-0000-0000060C0000}"/>
    <cellStyle name="Title [Helv] 2 2 3 4 2 6 3" xfId="50126" xr:uid="{00000000-0005-0000-0000-0000060C0000}"/>
    <cellStyle name="Title [Helv] 2 2 3 4 2 7" xfId="23294" xr:uid="{00000000-0005-0000-0000-0000060C0000}"/>
    <cellStyle name="Title [Helv] 2 2 3 4 2 7 2" xfId="41663" xr:uid="{00000000-0005-0000-0000-0000060C0000}"/>
    <cellStyle name="Title [Helv] 2 2 3 4 2 8" xfId="18360" xr:uid="{00000000-0005-0000-0000-0000060C0000}"/>
    <cellStyle name="Title [Helv] 2 2 3 4 2 9" xfId="36766" xr:uid="{00000000-0005-0000-0000-0000060C0000}"/>
    <cellStyle name="Title [Helv] 2 2 3 4 3" xfId="4375" xr:uid="{00000000-0005-0000-0000-0000060C0000}"/>
    <cellStyle name="Title [Helv] 2 2 3 4 3 2" xfId="10975" xr:uid="{00000000-0005-0000-0000-0000060C0000}"/>
    <cellStyle name="Title [Helv] 2 2 3 4 3 2 2" xfId="29597" xr:uid="{00000000-0005-0000-0000-0000060C0000}"/>
    <cellStyle name="Title [Helv] 2 2 3 4 3 2 3" xfId="47960" xr:uid="{00000000-0005-0000-0000-0000060C0000}"/>
    <cellStyle name="Title [Helv] 2 2 3 4 3 3" xfId="15111" xr:uid="{00000000-0005-0000-0000-0000060C0000}"/>
    <cellStyle name="Title [Helv] 2 2 3 4 3 3 2" xfId="33508" xr:uid="{00000000-0005-0000-0000-0000060C0000}"/>
    <cellStyle name="Title [Helv] 2 2 3 4 3 3 3" xfId="51871" xr:uid="{00000000-0005-0000-0000-0000060C0000}"/>
    <cellStyle name="Title [Helv] 2 2 3 4 3 4" xfId="24239" xr:uid="{00000000-0005-0000-0000-0000060C0000}"/>
    <cellStyle name="Title [Helv] 2 2 3 4 3 4 2" xfId="42608" xr:uid="{00000000-0005-0000-0000-0000060C0000}"/>
    <cellStyle name="Title [Helv] 2 2 3 4 3 5" xfId="20562" xr:uid="{00000000-0005-0000-0000-0000060C0000}"/>
    <cellStyle name="Title [Helv] 2 2 3 4 3 6" xfId="38955" xr:uid="{00000000-0005-0000-0000-0000060C0000}"/>
    <cellStyle name="Title [Helv] 2 2 3 4 4" xfId="4899" xr:uid="{00000000-0005-0000-0000-0000060C0000}"/>
    <cellStyle name="Title [Helv] 2 2 3 4 4 2" xfId="11455" xr:uid="{00000000-0005-0000-0000-0000060C0000}"/>
    <cellStyle name="Title [Helv] 2 2 3 4 4 2 2" xfId="30043" xr:uid="{00000000-0005-0000-0000-0000060C0000}"/>
    <cellStyle name="Title [Helv] 2 2 3 4 4 2 3" xfId="48406" xr:uid="{00000000-0005-0000-0000-0000060C0000}"/>
    <cellStyle name="Title [Helv] 2 2 3 4 4 3" xfId="15625" xr:uid="{00000000-0005-0000-0000-0000060C0000}"/>
    <cellStyle name="Title [Helv] 2 2 3 4 4 3 2" xfId="34016" xr:uid="{00000000-0005-0000-0000-0000060C0000}"/>
    <cellStyle name="Title [Helv] 2 2 3 4 4 3 3" xfId="52379" xr:uid="{00000000-0005-0000-0000-0000060C0000}"/>
    <cellStyle name="Title [Helv] 2 2 3 4 4 4" xfId="24747" xr:uid="{00000000-0005-0000-0000-0000060C0000}"/>
    <cellStyle name="Title [Helv] 2 2 3 4 4 4 2" xfId="43116" xr:uid="{00000000-0005-0000-0000-0000060C0000}"/>
    <cellStyle name="Title [Helv] 2 2 3 4 4 5" xfId="21074" xr:uid="{00000000-0005-0000-0000-0000060C0000}"/>
    <cellStyle name="Title [Helv] 2 2 3 4 4 6" xfId="39463" xr:uid="{00000000-0005-0000-0000-0000060C0000}"/>
    <cellStyle name="Title [Helv] 2 2 3 4 5" xfId="9884" xr:uid="{00000000-0005-0000-0000-0000060C0000}"/>
    <cellStyle name="Title [Helv] 2 2 3 4 5 2" xfId="13942" xr:uid="{00000000-0005-0000-0000-0000060C0000}"/>
    <cellStyle name="Title [Helv] 2 2 3 4 5 2 2" xfId="32360" xr:uid="{00000000-0005-0000-0000-0000060C0000}"/>
    <cellStyle name="Title [Helv] 2 2 3 4 5 2 3" xfId="50723" xr:uid="{00000000-0005-0000-0000-0000060C0000}"/>
    <cellStyle name="Title [Helv] 2 2 3 4 5 3" xfId="28598" xr:uid="{00000000-0005-0000-0000-0000060C0000}"/>
    <cellStyle name="Title [Helv] 2 2 3 4 5 3 2" xfId="46961" xr:uid="{00000000-0005-0000-0000-0000060C0000}"/>
    <cellStyle name="Title [Helv] 2 2 3 4 5 4" xfId="19147" xr:uid="{00000000-0005-0000-0000-0000060C0000}"/>
    <cellStyle name="Title [Helv] 2 2 3 4 5 5" xfId="37555" xr:uid="{00000000-0005-0000-0000-0000060C0000}"/>
    <cellStyle name="Title [Helv] 2 2 3 4 6" xfId="7636" xr:uid="{00000000-0005-0000-0000-0000060C0000}"/>
    <cellStyle name="Title [Helv] 2 2 3 4 6 2" xfId="26923" xr:uid="{00000000-0005-0000-0000-0000060C0000}"/>
    <cellStyle name="Title [Helv] 2 2 3 4 6 3" xfId="45288" xr:uid="{00000000-0005-0000-0000-0000060C0000}"/>
    <cellStyle name="Title [Helv] 2 2 3 4 7" xfId="7230" xr:uid="{00000000-0005-0000-0000-0000060C0000}"/>
    <cellStyle name="Title [Helv] 2 2 3 4 7 2" xfId="26773" xr:uid="{00000000-0005-0000-0000-0000060C0000}"/>
    <cellStyle name="Title [Helv] 2 2 3 4 7 3" xfId="45141" xr:uid="{00000000-0005-0000-0000-0000060C0000}"/>
    <cellStyle name="Title [Helv] 2 2 3 4 8" xfId="19368" xr:uid="{00000000-0005-0000-0000-0000060C0000}"/>
    <cellStyle name="Title [Helv] 2 2 3 4 8 2" xfId="37775" xr:uid="{00000000-0005-0000-0000-0000060C0000}"/>
    <cellStyle name="Title [Helv] 2 2 3 4 9" xfId="8460" xr:uid="{00000000-0005-0000-0000-0000060C0000}"/>
    <cellStyle name="Title [Helv] 2 2 3 5" xfId="3511" xr:uid="{00000000-0005-0000-0000-0000030C0000}"/>
    <cellStyle name="Title [Helv] 2 2 3 5 2" xfId="5685" xr:uid="{00000000-0005-0000-0000-0000030C0000}"/>
    <cellStyle name="Title [Helv] 2 2 3 5 2 2" xfId="12049" xr:uid="{00000000-0005-0000-0000-0000030C0000}"/>
    <cellStyle name="Title [Helv] 2 2 3 5 2 2 2" xfId="30496" xr:uid="{00000000-0005-0000-0000-0000030C0000}"/>
    <cellStyle name="Title [Helv] 2 2 3 5 2 2 3" xfId="48859" xr:uid="{00000000-0005-0000-0000-0000030C0000}"/>
    <cellStyle name="Title [Helv] 2 2 3 5 2 3" xfId="16375" xr:uid="{00000000-0005-0000-0000-0000030C0000}"/>
    <cellStyle name="Title [Helv] 2 2 3 5 2 3 2" xfId="34747" xr:uid="{00000000-0005-0000-0000-0000030C0000}"/>
    <cellStyle name="Title [Helv] 2 2 3 5 2 3 3" xfId="53110" xr:uid="{00000000-0005-0000-0000-0000030C0000}"/>
    <cellStyle name="Title [Helv] 2 2 3 5 2 4" xfId="25494" xr:uid="{00000000-0005-0000-0000-0000030C0000}"/>
    <cellStyle name="Title [Helv] 2 2 3 5 2 4 2" xfId="43863" xr:uid="{00000000-0005-0000-0000-0000030C0000}"/>
    <cellStyle name="Title [Helv] 2 2 3 5 2 5" xfId="21815" xr:uid="{00000000-0005-0000-0000-0000030C0000}"/>
    <cellStyle name="Title [Helv] 2 2 3 5 2 6" xfId="40194" xr:uid="{00000000-0005-0000-0000-0000030C0000}"/>
    <cellStyle name="Title [Helv] 2 2 3 5 3" xfId="6510" xr:uid="{00000000-0005-0000-0000-0000030C0000}"/>
    <cellStyle name="Title [Helv] 2 2 3 5 3 2" xfId="12801" xr:uid="{00000000-0005-0000-0000-0000030C0000}"/>
    <cellStyle name="Title [Helv] 2 2 3 5 3 2 2" xfId="31227" xr:uid="{00000000-0005-0000-0000-0000030C0000}"/>
    <cellStyle name="Title [Helv] 2 2 3 5 3 2 3" xfId="49590" xr:uid="{00000000-0005-0000-0000-0000030C0000}"/>
    <cellStyle name="Title [Helv] 2 2 3 5 3 3" xfId="17112" xr:uid="{00000000-0005-0000-0000-0000030C0000}"/>
    <cellStyle name="Title [Helv] 2 2 3 5 3 3 2" xfId="35460" xr:uid="{00000000-0005-0000-0000-0000030C0000}"/>
    <cellStyle name="Title [Helv] 2 2 3 5 3 3 3" xfId="53823" xr:uid="{00000000-0005-0000-0000-0000030C0000}"/>
    <cellStyle name="Title [Helv] 2 2 3 5 3 4" xfId="26245" xr:uid="{00000000-0005-0000-0000-0000030C0000}"/>
    <cellStyle name="Title [Helv] 2 2 3 5 3 4 2" xfId="44614" xr:uid="{00000000-0005-0000-0000-0000030C0000}"/>
    <cellStyle name="Title [Helv] 2 2 3 5 3 5" xfId="22538" xr:uid="{00000000-0005-0000-0000-0000030C0000}"/>
    <cellStyle name="Title [Helv] 2 2 3 5 3 6" xfId="40907" xr:uid="{00000000-0005-0000-0000-0000030C0000}"/>
    <cellStyle name="Title [Helv] 2 2 3 5 4" xfId="10224" xr:uid="{00000000-0005-0000-0000-0000030C0000}"/>
    <cellStyle name="Title [Helv] 2 2 3 5 4 2" xfId="14281" xr:uid="{00000000-0005-0000-0000-0000030C0000}"/>
    <cellStyle name="Title [Helv] 2 2 3 5 4 2 2" xfId="32697" xr:uid="{00000000-0005-0000-0000-0000030C0000}"/>
    <cellStyle name="Title [Helv] 2 2 3 5 4 2 3" xfId="51060" xr:uid="{00000000-0005-0000-0000-0000030C0000}"/>
    <cellStyle name="Title [Helv] 2 2 3 5 4 3" xfId="28935" xr:uid="{00000000-0005-0000-0000-0000030C0000}"/>
    <cellStyle name="Title [Helv] 2 2 3 5 4 3 2" xfId="47298" xr:uid="{00000000-0005-0000-0000-0000030C0000}"/>
    <cellStyle name="Title [Helv] 2 2 3 5 4 4" xfId="19738" xr:uid="{00000000-0005-0000-0000-0000030C0000}"/>
    <cellStyle name="Title [Helv] 2 2 3 5 4 5" xfId="38144" xr:uid="{00000000-0005-0000-0000-0000030C0000}"/>
    <cellStyle name="Title [Helv] 2 2 3 5 5" xfId="9419" xr:uid="{00000000-0005-0000-0000-0000030C0000}"/>
    <cellStyle name="Title [Helv] 2 2 3 5 5 2" xfId="28136" xr:uid="{00000000-0005-0000-0000-0000030C0000}"/>
    <cellStyle name="Title [Helv] 2 2 3 5 5 3" xfId="46499" xr:uid="{00000000-0005-0000-0000-0000030C0000}"/>
    <cellStyle name="Title [Helv] 2 2 3 5 6" xfId="13476" xr:uid="{00000000-0005-0000-0000-0000030C0000}"/>
    <cellStyle name="Title [Helv] 2 2 3 5 6 2" xfId="31897" xr:uid="{00000000-0005-0000-0000-0000030C0000}"/>
    <cellStyle name="Title [Helv] 2 2 3 5 6 3" xfId="50260" xr:uid="{00000000-0005-0000-0000-0000030C0000}"/>
    <cellStyle name="Title [Helv] 2 2 3 5 7" xfId="23419" xr:uid="{00000000-0005-0000-0000-0000030C0000}"/>
    <cellStyle name="Title [Helv] 2 2 3 5 7 2" xfId="41788" xr:uid="{00000000-0005-0000-0000-0000030C0000}"/>
    <cellStyle name="Title [Helv] 2 2 3 5 8" xfId="18504" xr:uid="{00000000-0005-0000-0000-0000030C0000}"/>
    <cellStyle name="Title [Helv] 2 2 3 5 9" xfId="36913" xr:uid="{00000000-0005-0000-0000-0000030C0000}"/>
    <cellStyle name="Title [Helv] 2 2 3 6" xfId="4515" xr:uid="{00000000-0005-0000-0000-0000030C0000}"/>
    <cellStyle name="Title [Helv] 2 2 3 6 2" xfId="11106" xr:uid="{00000000-0005-0000-0000-0000030C0000}"/>
    <cellStyle name="Title [Helv] 2 2 3 6 2 2" xfId="29724" xr:uid="{00000000-0005-0000-0000-0000030C0000}"/>
    <cellStyle name="Title [Helv] 2 2 3 6 2 3" xfId="48087" xr:uid="{00000000-0005-0000-0000-0000030C0000}"/>
    <cellStyle name="Title [Helv] 2 2 3 6 3" xfId="15244" xr:uid="{00000000-0005-0000-0000-0000030C0000}"/>
    <cellStyle name="Title [Helv] 2 2 3 6 3 2" xfId="33638" xr:uid="{00000000-0005-0000-0000-0000030C0000}"/>
    <cellStyle name="Title [Helv] 2 2 3 6 3 3" xfId="52001" xr:uid="{00000000-0005-0000-0000-0000030C0000}"/>
    <cellStyle name="Title [Helv] 2 2 3 6 4" xfId="24369" xr:uid="{00000000-0005-0000-0000-0000030C0000}"/>
    <cellStyle name="Title [Helv] 2 2 3 6 4 2" xfId="42738" xr:uid="{00000000-0005-0000-0000-0000030C0000}"/>
    <cellStyle name="Title [Helv] 2 2 3 6 5" xfId="20693" xr:uid="{00000000-0005-0000-0000-0000030C0000}"/>
    <cellStyle name="Title [Helv] 2 2 3 6 6" xfId="39085" xr:uid="{00000000-0005-0000-0000-0000030C0000}"/>
    <cellStyle name="Title [Helv] 2 2 3 7" xfId="4879" xr:uid="{00000000-0005-0000-0000-0000030C0000}"/>
    <cellStyle name="Title [Helv] 2 2 3 7 2" xfId="11437" xr:uid="{00000000-0005-0000-0000-0000030C0000}"/>
    <cellStyle name="Title [Helv] 2 2 3 7 2 2" xfId="30027" xr:uid="{00000000-0005-0000-0000-0000030C0000}"/>
    <cellStyle name="Title [Helv] 2 2 3 7 2 3" xfId="48390" xr:uid="{00000000-0005-0000-0000-0000030C0000}"/>
    <cellStyle name="Title [Helv] 2 2 3 7 3" xfId="15605" xr:uid="{00000000-0005-0000-0000-0000030C0000}"/>
    <cellStyle name="Title [Helv] 2 2 3 7 3 2" xfId="33996" xr:uid="{00000000-0005-0000-0000-0000030C0000}"/>
    <cellStyle name="Title [Helv] 2 2 3 7 3 3" xfId="52359" xr:uid="{00000000-0005-0000-0000-0000030C0000}"/>
    <cellStyle name="Title [Helv] 2 2 3 7 4" xfId="24727" xr:uid="{00000000-0005-0000-0000-0000030C0000}"/>
    <cellStyle name="Title [Helv] 2 2 3 7 4 2" xfId="43096" xr:uid="{00000000-0005-0000-0000-0000030C0000}"/>
    <cellStyle name="Title [Helv] 2 2 3 7 5" xfId="21054" xr:uid="{00000000-0005-0000-0000-0000030C0000}"/>
    <cellStyle name="Title [Helv] 2 2 3 7 6" xfId="39443" xr:uid="{00000000-0005-0000-0000-0000030C0000}"/>
    <cellStyle name="Title [Helv] 2 2 3 8" xfId="9114" xr:uid="{00000000-0005-0000-0000-0000030C0000}"/>
    <cellStyle name="Title [Helv] 2 2 3 8 2" xfId="8138" xr:uid="{00000000-0005-0000-0000-0000030C0000}"/>
    <cellStyle name="Title [Helv] 2 2 3 8 2 2" xfId="27342" xr:uid="{00000000-0005-0000-0000-0000030C0000}"/>
    <cellStyle name="Title [Helv] 2 2 3 8 2 3" xfId="45707" xr:uid="{00000000-0005-0000-0000-0000030C0000}"/>
    <cellStyle name="Title [Helv] 2 2 3 8 3" xfId="27840" xr:uid="{00000000-0005-0000-0000-0000030C0000}"/>
    <cellStyle name="Title [Helv] 2 2 3 8 3 2" xfId="46203" xr:uid="{00000000-0005-0000-0000-0000030C0000}"/>
    <cellStyle name="Title [Helv] 2 2 3 8 4" xfId="18026" xr:uid="{00000000-0005-0000-0000-0000030C0000}"/>
    <cellStyle name="Title [Helv] 2 2 3 8 5" xfId="36434" xr:uid="{00000000-0005-0000-0000-0000030C0000}"/>
    <cellStyle name="Title [Helv] 2 2 3 9" xfId="7784" xr:uid="{00000000-0005-0000-0000-0000030C0000}"/>
    <cellStyle name="Title [Helv] 2 2 3 9 2" xfId="27055" xr:uid="{00000000-0005-0000-0000-0000030C0000}"/>
    <cellStyle name="Title [Helv] 2 2 3 9 3" xfId="45420" xr:uid="{00000000-0005-0000-0000-0000030C0000}"/>
    <cellStyle name="Title [Helv] 2 2 4" xfId="1400" xr:uid="{00000000-0005-0000-0000-0000070C0000}"/>
    <cellStyle name="Title [Helv] 2 2 4 10" xfId="17578" xr:uid="{00000000-0005-0000-0000-0000070C0000}"/>
    <cellStyle name="Title [Helv] 2 2 4 2" xfId="3433" xr:uid="{00000000-0005-0000-0000-0000070C0000}"/>
    <cellStyle name="Title [Helv] 2 2 4 2 2" xfId="5608" xr:uid="{00000000-0005-0000-0000-0000070C0000}"/>
    <cellStyle name="Title [Helv] 2 2 4 2 2 2" xfId="11972" xr:uid="{00000000-0005-0000-0000-0000070C0000}"/>
    <cellStyle name="Title [Helv] 2 2 4 2 2 2 2" xfId="30419" xr:uid="{00000000-0005-0000-0000-0000070C0000}"/>
    <cellStyle name="Title [Helv] 2 2 4 2 2 2 3" xfId="48782" xr:uid="{00000000-0005-0000-0000-0000070C0000}"/>
    <cellStyle name="Title [Helv] 2 2 4 2 2 3" xfId="16298" xr:uid="{00000000-0005-0000-0000-0000070C0000}"/>
    <cellStyle name="Title [Helv] 2 2 4 2 2 3 2" xfId="34670" xr:uid="{00000000-0005-0000-0000-0000070C0000}"/>
    <cellStyle name="Title [Helv] 2 2 4 2 2 3 3" xfId="53033" xr:uid="{00000000-0005-0000-0000-0000070C0000}"/>
    <cellStyle name="Title [Helv] 2 2 4 2 2 4" xfId="25417" xr:uid="{00000000-0005-0000-0000-0000070C0000}"/>
    <cellStyle name="Title [Helv] 2 2 4 2 2 4 2" xfId="43786" xr:uid="{00000000-0005-0000-0000-0000070C0000}"/>
    <cellStyle name="Title [Helv] 2 2 4 2 2 5" xfId="21738" xr:uid="{00000000-0005-0000-0000-0000070C0000}"/>
    <cellStyle name="Title [Helv] 2 2 4 2 2 6" xfId="40117" xr:uid="{00000000-0005-0000-0000-0000070C0000}"/>
    <cellStyle name="Title [Helv] 2 2 4 2 3" xfId="6432" xr:uid="{00000000-0005-0000-0000-0000070C0000}"/>
    <cellStyle name="Title [Helv] 2 2 4 2 3 2" xfId="12723" xr:uid="{00000000-0005-0000-0000-0000070C0000}"/>
    <cellStyle name="Title [Helv] 2 2 4 2 3 2 2" xfId="31149" xr:uid="{00000000-0005-0000-0000-0000070C0000}"/>
    <cellStyle name="Title [Helv] 2 2 4 2 3 2 3" xfId="49512" xr:uid="{00000000-0005-0000-0000-0000070C0000}"/>
    <cellStyle name="Title [Helv] 2 2 4 2 3 3" xfId="17034" xr:uid="{00000000-0005-0000-0000-0000070C0000}"/>
    <cellStyle name="Title [Helv] 2 2 4 2 3 3 2" xfId="35382" xr:uid="{00000000-0005-0000-0000-0000070C0000}"/>
    <cellStyle name="Title [Helv] 2 2 4 2 3 3 3" xfId="53745" xr:uid="{00000000-0005-0000-0000-0000070C0000}"/>
    <cellStyle name="Title [Helv] 2 2 4 2 3 4" xfId="26167" xr:uid="{00000000-0005-0000-0000-0000070C0000}"/>
    <cellStyle name="Title [Helv] 2 2 4 2 3 4 2" xfId="44536" xr:uid="{00000000-0005-0000-0000-0000070C0000}"/>
    <cellStyle name="Title [Helv] 2 2 4 2 3 5" xfId="22460" xr:uid="{00000000-0005-0000-0000-0000070C0000}"/>
    <cellStyle name="Title [Helv] 2 2 4 2 3 6" xfId="40829" xr:uid="{00000000-0005-0000-0000-0000070C0000}"/>
    <cellStyle name="Title [Helv] 2 2 4 2 4" xfId="10146" xr:uid="{00000000-0005-0000-0000-0000070C0000}"/>
    <cellStyle name="Title [Helv] 2 2 4 2 4 2" xfId="14203" xr:uid="{00000000-0005-0000-0000-0000070C0000}"/>
    <cellStyle name="Title [Helv] 2 2 4 2 4 2 2" xfId="32619" xr:uid="{00000000-0005-0000-0000-0000070C0000}"/>
    <cellStyle name="Title [Helv] 2 2 4 2 4 2 3" xfId="50982" xr:uid="{00000000-0005-0000-0000-0000070C0000}"/>
    <cellStyle name="Title [Helv] 2 2 4 2 4 3" xfId="28857" xr:uid="{00000000-0005-0000-0000-0000070C0000}"/>
    <cellStyle name="Title [Helv] 2 2 4 2 4 3 2" xfId="47220" xr:uid="{00000000-0005-0000-0000-0000070C0000}"/>
    <cellStyle name="Title [Helv] 2 2 4 2 4 4" xfId="19660" xr:uid="{00000000-0005-0000-0000-0000070C0000}"/>
    <cellStyle name="Title [Helv] 2 2 4 2 4 5" xfId="38066" xr:uid="{00000000-0005-0000-0000-0000070C0000}"/>
    <cellStyle name="Title [Helv] 2 2 4 2 5" xfId="9333" xr:uid="{00000000-0005-0000-0000-0000070C0000}"/>
    <cellStyle name="Title [Helv] 2 2 4 2 5 2" xfId="28052" xr:uid="{00000000-0005-0000-0000-0000070C0000}"/>
    <cellStyle name="Title [Helv] 2 2 4 2 5 3" xfId="46415" xr:uid="{00000000-0005-0000-0000-0000070C0000}"/>
    <cellStyle name="Title [Helv] 2 2 4 2 6" xfId="13389" xr:uid="{00000000-0005-0000-0000-0000070C0000}"/>
    <cellStyle name="Title [Helv] 2 2 4 2 6 2" xfId="31810" xr:uid="{00000000-0005-0000-0000-0000070C0000}"/>
    <cellStyle name="Title [Helv] 2 2 4 2 6 3" xfId="50173" xr:uid="{00000000-0005-0000-0000-0000070C0000}"/>
    <cellStyle name="Title [Helv] 2 2 4 2 7" xfId="23341" xr:uid="{00000000-0005-0000-0000-0000070C0000}"/>
    <cellStyle name="Title [Helv] 2 2 4 2 7 2" xfId="41710" xr:uid="{00000000-0005-0000-0000-0000070C0000}"/>
    <cellStyle name="Title [Helv] 2 2 4 2 8" xfId="18412" xr:uid="{00000000-0005-0000-0000-0000070C0000}"/>
    <cellStyle name="Title [Helv] 2 2 4 2 9" xfId="36818" xr:uid="{00000000-0005-0000-0000-0000070C0000}"/>
    <cellStyle name="Title [Helv] 2 2 4 3" xfId="4426" xr:uid="{00000000-0005-0000-0000-0000070C0000}"/>
    <cellStyle name="Title [Helv] 2 2 4 3 2" xfId="11025" xr:uid="{00000000-0005-0000-0000-0000070C0000}"/>
    <cellStyle name="Title [Helv] 2 2 4 3 2 2" xfId="29645" xr:uid="{00000000-0005-0000-0000-0000070C0000}"/>
    <cellStyle name="Title [Helv] 2 2 4 3 2 3" xfId="48008" xr:uid="{00000000-0005-0000-0000-0000070C0000}"/>
    <cellStyle name="Title [Helv] 2 2 4 3 3" xfId="15160" xr:uid="{00000000-0005-0000-0000-0000070C0000}"/>
    <cellStyle name="Title [Helv] 2 2 4 3 3 2" xfId="33557" xr:uid="{00000000-0005-0000-0000-0000070C0000}"/>
    <cellStyle name="Title [Helv] 2 2 4 3 3 3" xfId="51920" xr:uid="{00000000-0005-0000-0000-0000070C0000}"/>
    <cellStyle name="Title [Helv] 2 2 4 3 4" xfId="24288" xr:uid="{00000000-0005-0000-0000-0000070C0000}"/>
    <cellStyle name="Title [Helv] 2 2 4 3 4 2" xfId="42657" xr:uid="{00000000-0005-0000-0000-0000070C0000}"/>
    <cellStyle name="Title [Helv] 2 2 4 3 5" xfId="20611" xr:uid="{00000000-0005-0000-0000-0000070C0000}"/>
    <cellStyle name="Title [Helv] 2 2 4 3 6" xfId="39004" xr:uid="{00000000-0005-0000-0000-0000070C0000}"/>
    <cellStyle name="Title [Helv] 2 2 4 4" xfId="5056" xr:uid="{00000000-0005-0000-0000-0000070C0000}"/>
    <cellStyle name="Title [Helv] 2 2 4 4 2" xfId="11578" xr:uid="{00000000-0005-0000-0000-0000070C0000}"/>
    <cellStyle name="Title [Helv] 2 2 4 4 2 2" xfId="30146" xr:uid="{00000000-0005-0000-0000-0000070C0000}"/>
    <cellStyle name="Title [Helv] 2 2 4 4 2 3" xfId="48509" xr:uid="{00000000-0005-0000-0000-0000070C0000}"/>
    <cellStyle name="Title [Helv] 2 2 4 4 3" xfId="15769" xr:uid="{00000000-0005-0000-0000-0000070C0000}"/>
    <cellStyle name="Title [Helv] 2 2 4 4 3 2" xfId="34156" xr:uid="{00000000-0005-0000-0000-0000070C0000}"/>
    <cellStyle name="Title [Helv] 2 2 4 4 3 3" xfId="52519" xr:uid="{00000000-0005-0000-0000-0000070C0000}"/>
    <cellStyle name="Title [Helv] 2 2 4 4 4" xfId="24892" xr:uid="{00000000-0005-0000-0000-0000070C0000}"/>
    <cellStyle name="Title [Helv] 2 2 4 4 4 2" xfId="43261" xr:uid="{00000000-0005-0000-0000-0000070C0000}"/>
    <cellStyle name="Title [Helv] 2 2 4 4 5" xfId="21217" xr:uid="{00000000-0005-0000-0000-0000070C0000}"/>
    <cellStyle name="Title [Helv] 2 2 4 4 6" xfId="39603" xr:uid="{00000000-0005-0000-0000-0000070C0000}"/>
    <cellStyle name="Title [Helv] 2 2 4 5" xfId="9953" xr:uid="{00000000-0005-0000-0000-0000070C0000}"/>
    <cellStyle name="Title [Helv] 2 2 4 5 2" xfId="14010" xr:uid="{00000000-0005-0000-0000-0000070C0000}"/>
    <cellStyle name="Title [Helv] 2 2 4 5 2 2" xfId="32427" xr:uid="{00000000-0005-0000-0000-0000070C0000}"/>
    <cellStyle name="Title [Helv] 2 2 4 5 2 3" xfId="50790" xr:uid="{00000000-0005-0000-0000-0000070C0000}"/>
    <cellStyle name="Title [Helv] 2 2 4 5 3" xfId="28665" xr:uid="{00000000-0005-0000-0000-0000070C0000}"/>
    <cellStyle name="Title [Helv] 2 2 4 5 3 2" xfId="47028" xr:uid="{00000000-0005-0000-0000-0000070C0000}"/>
    <cellStyle name="Title [Helv] 2 2 4 5 4" xfId="19285" xr:uid="{00000000-0005-0000-0000-0000070C0000}"/>
    <cellStyle name="Title [Helv] 2 2 4 5 5" xfId="37692" xr:uid="{00000000-0005-0000-0000-0000070C0000}"/>
    <cellStyle name="Title [Helv] 2 2 4 6" xfId="7692" xr:uid="{00000000-0005-0000-0000-0000070C0000}"/>
    <cellStyle name="Title [Helv] 2 2 4 6 2" xfId="26974" xr:uid="{00000000-0005-0000-0000-0000070C0000}"/>
    <cellStyle name="Title [Helv] 2 2 4 6 3" xfId="45339" xr:uid="{00000000-0005-0000-0000-0000070C0000}"/>
    <cellStyle name="Title [Helv] 2 2 4 7" xfId="7848" xr:uid="{00000000-0005-0000-0000-0000070C0000}"/>
    <cellStyle name="Title [Helv] 2 2 4 7 2" xfId="27102" xr:uid="{00000000-0005-0000-0000-0000070C0000}"/>
    <cellStyle name="Title [Helv] 2 2 4 7 3" xfId="45467" xr:uid="{00000000-0005-0000-0000-0000070C0000}"/>
    <cellStyle name="Title [Helv] 2 2 4 8" xfId="19383" xr:uid="{00000000-0005-0000-0000-0000070C0000}"/>
    <cellStyle name="Title [Helv] 2 2 4 8 2" xfId="37790" xr:uid="{00000000-0005-0000-0000-0000070C0000}"/>
    <cellStyle name="Title [Helv] 2 2 4 9" xfId="7254" xr:uid="{00000000-0005-0000-0000-0000070C0000}"/>
    <cellStyle name="Title [Helv] 2 2 5" xfId="3380" xr:uid="{00000000-0005-0000-0000-0000FE0B0000}"/>
    <cellStyle name="Title [Helv] 2 2 5 2" xfId="5555" xr:uid="{00000000-0005-0000-0000-0000FE0B0000}"/>
    <cellStyle name="Title [Helv] 2 2 5 2 2" xfId="11919" xr:uid="{00000000-0005-0000-0000-0000FE0B0000}"/>
    <cellStyle name="Title [Helv] 2 2 5 2 2 2" xfId="30366" xr:uid="{00000000-0005-0000-0000-0000FE0B0000}"/>
    <cellStyle name="Title [Helv] 2 2 5 2 2 3" xfId="48729" xr:uid="{00000000-0005-0000-0000-0000FE0B0000}"/>
    <cellStyle name="Title [Helv] 2 2 5 2 3" xfId="16245" xr:uid="{00000000-0005-0000-0000-0000FE0B0000}"/>
    <cellStyle name="Title [Helv] 2 2 5 2 3 2" xfId="34617" xr:uid="{00000000-0005-0000-0000-0000FE0B0000}"/>
    <cellStyle name="Title [Helv] 2 2 5 2 3 3" xfId="52980" xr:uid="{00000000-0005-0000-0000-0000FE0B0000}"/>
    <cellStyle name="Title [Helv] 2 2 5 2 4" xfId="25364" xr:uid="{00000000-0005-0000-0000-0000FE0B0000}"/>
    <cellStyle name="Title [Helv] 2 2 5 2 4 2" xfId="43733" xr:uid="{00000000-0005-0000-0000-0000FE0B0000}"/>
    <cellStyle name="Title [Helv] 2 2 5 2 5" xfId="21685" xr:uid="{00000000-0005-0000-0000-0000FE0B0000}"/>
    <cellStyle name="Title [Helv] 2 2 5 2 6" xfId="40064" xr:uid="{00000000-0005-0000-0000-0000FE0B0000}"/>
    <cellStyle name="Title [Helv] 2 2 5 3" xfId="6379" xr:uid="{00000000-0005-0000-0000-0000FE0B0000}"/>
    <cellStyle name="Title [Helv] 2 2 5 3 2" xfId="12670" xr:uid="{00000000-0005-0000-0000-0000FE0B0000}"/>
    <cellStyle name="Title [Helv] 2 2 5 3 2 2" xfId="31096" xr:uid="{00000000-0005-0000-0000-0000FE0B0000}"/>
    <cellStyle name="Title [Helv] 2 2 5 3 2 3" xfId="49459" xr:uid="{00000000-0005-0000-0000-0000FE0B0000}"/>
    <cellStyle name="Title [Helv] 2 2 5 3 3" xfId="16981" xr:uid="{00000000-0005-0000-0000-0000FE0B0000}"/>
    <cellStyle name="Title [Helv] 2 2 5 3 3 2" xfId="35329" xr:uid="{00000000-0005-0000-0000-0000FE0B0000}"/>
    <cellStyle name="Title [Helv] 2 2 5 3 3 3" xfId="53692" xr:uid="{00000000-0005-0000-0000-0000FE0B0000}"/>
    <cellStyle name="Title [Helv] 2 2 5 3 4" xfId="26114" xr:uid="{00000000-0005-0000-0000-0000FE0B0000}"/>
    <cellStyle name="Title [Helv] 2 2 5 3 4 2" xfId="44483" xr:uid="{00000000-0005-0000-0000-0000FE0B0000}"/>
    <cellStyle name="Title [Helv] 2 2 5 3 5" xfId="22407" xr:uid="{00000000-0005-0000-0000-0000FE0B0000}"/>
    <cellStyle name="Title [Helv] 2 2 5 3 6" xfId="40776" xr:uid="{00000000-0005-0000-0000-0000FE0B0000}"/>
    <cellStyle name="Title [Helv] 2 2 5 4" xfId="10093" xr:uid="{00000000-0005-0000-0000-0000FE0B0000}"/>
    <cellStyle name="Title [Helv] 2 2 5 4 2" xfId="14150" xr:uid="{00000000-0005-0000-0000-0000FE0B0000}"/>
    <cellStyle name="Title [Helv] 2 2 5 4 2 2" xfId="32566" xr:uid="{00000000-0005-0000-0000-0000FE0B0000}"/>
    <cellStyle name="Title [Helv] 2 2 5 4 2 3" xfId="50929" xr:uid="{00000000-0005-0000-0000-0000FE0B0000}"/>
    <cellStyle name="Title [Helv] 2 2 5 4 3" xfId="28804" xr:uid="{00000000-0005-0000-0000-0000FE0B0000}"/>
    <cellStyle name="Title [Helv] 2 2 5 4 3 2" xfId="47167" xr:uid="{00000000-0005-0000-0000-0000FE0B0000}"/>
    <cellStyle name="Title [Helv] 2 2 5 4 4" xfId="19607" xr:uid="{00000000-0005-0000-0000-0000FE0B0000}"/>
    <cellStyle name="Title [Helv] 2 2 5 4 5" xfId="38013" xr:uid="{00000000-0005-0000-0000-0000FE0B0000}"/>
    <cellStyle name="Title [Helv] 2 2 5 5" xfId="9245" xr:uid="{00000000-0005-0000-0000-0000FE0B0000}"/>
    <cellStyle name="Title [Helv] 2 2 5 5 2" xfId="27965" xr:uid="{00000000-0005-0000-0000-0000FE0B0000}"/>
    <cellStyle name="Title [Helv] 2 2 5 5 3" xfId="46328" xr:uid="{00000000-0005-0000-0000-0000FE0B0000}"/>
    <cellStyle name="Title [Helv] 2 2 5 6" xfId="13302" xr:uid="{00000000-0005-0000-0000-0000FE0B0000}"/>
    <cellStyle name="Title [Helv] 2 2 5 6 2" xfId="31723" xr:uid="{00000000-0005-0000-0000-0000FE0B0000}"/>
    <cellStyle name="Title [Helv] 2 2 5 6 3" xfId="50086" xr:uid="{00000000-0005-0000-0000-0000FE0B0000}"/>
    <cellStyle name="Title [Helv] 2 2 5 7" xfId="23288" xr:uid="{00000000-0005-0000-0000-0000FE0B0000}"/>
    <cellStyle name="Title [Helv] 2 2 5 7 2" xfId="41657" xr:uid="{00000000-0005-0000-0000-0000FE0B0000}"/>
    <cellStyle name="Title [Helv] 2 2 5 8" xfId="18297" xr:uid="{00000000-0005-0000-0000-0000FE0B0000}"/>
    <cellStyle name="Title [Helv] 2 2 5 9" xfId="36703" xr:uid="{00000000-0005-0000-0000-0000FE0B0000}"/>
    <cellStyle name="Title [Helv] 2 2 6" xfId="4330" xr:uid="{00000000-0005-0000-0000-0000FE0B0000}"/>
    <cellStyle name="Title [Helv] 2 2 6 2" xfId="10938" xr:uid="{00000000-0005-0000-0000-0000FE0B0000}"/>
    <cellStyle name="Title [Helv] 2 2 6 2 2" xfId="29568" xr:uid="{00000000-0005-0000-0000-0000FE0B0000}"/>
    <cellStyle name="Title [Helv] 2 2 6 2 3" xfId="47931" xr:uid="{00000000-0005-0000-0000-0000FE0B0000}"/>
    <cellStyle name="Title [Helv] 2 2 6 3" xfId="15074" xr:uid="{00000000-0005-0000-0000-0000FE0B0000}"/>
    <cellStyle name="Title [Helv] 2 2 6 3 2" xfId="33476" xr:uid="{00000000-0005-0000-0000-0000FE0B0000}"/>
    <cellStyle name="Title [Helv] 2 2 6 3 3" xfId="51839" xr:uid="{00000000-0005-0000-0000-0000FE0B0000}"/>
    <cellStyle name="Title [Helv] 2 2 6 4" xfId="24205" xr:uid="{00000000-0005-0000-0000-0000FE0B0000}"/>
    <cellStyle name="Title [Helv] 2 2 6 4 2" xfId="42574" xr:uid="{00000000-0005-0000-0000-0000FE0B0000}"/>
    <cellStyle name="Title [Helv] 2 2 6 5" xfId="20526" xr:uid="{00000000-0005-0000-0000-0000FE0B0000}"/>
    <cellStyle name="Title [Helv] 2 2 6 6" xfId="38923" xr:uid="{00000000-0005-0000-0000-0000FE0B0000}"/>
    <cellStyle name="Title [Helv] 2 2 7" xfId="4905" xr:uid="{00000000-0005-0000-0000-0000FE0B0000}"/>
    <cellStyle name="Title [Helv] 2 2 7 2" xfId="11460" xr:uid="{00000000-0005-0000-0000-0000FE0B0000}"/>
    <cellStyle name="Title [Helv] 2 2 7 2 2" xfId="30048" xr:uid="{00000000-0005-0000-0000-0000FE0B0000}"/>
    <cellStyle name="Title [Helv] 2 2 7 2 3" xfId="48411" xr:uid="{00000000-0005-0000-0000-0000FE0B0000}"/>
    <cellStyle name="Title [Helv] 2 2 7 3" xfId="15631" xr:uid="{00000000-0005-0000-0000-0000FE0B0000}"/>
    <cellStyle name="Title [Helv] 2 2 7 3 2" xfId="34022" xr:uid="{00000000-0005-0000-0000-0000FE0B0000}"/>
    <cellStyle name="Title [Helv] 2 2 7 3 3" xfId="52385" xr:uid="{00000000-0005-0000-0000-0000FE0B0000}"/>
    <cellStyle name="Title [Helv] 2 2 7 4" xfId="24753" xr:uid="{00000000-0005-0000-0000-0000FE0B0000}"/>
    <cellStyle name="Title [Helv] 2 2 7 4 2" xfId="43122" xr:uid="{00000000-0005-0000-0000-0000FE0B0000}"/>
    <cellStyle name="Title [Helv] 2 2 7 5" xfId="21080" xr:uid="{00000000-0005-0000-0000-0000FE0B0000}"/>
    <cellStyle name="Title [Helv] 2 2 7 6" xfId="39469" xr:uid="{00000000-0005-0000-0000-0000FE0B0000}"/>
    <cellStyle name="Title [Helv] 2 2 8" xfId="7582" xr:uid="{00000000-0005-0000-0000-0000FE0B0000}"/>
    <cellStyle name="Title [Helv] 2 2 8 2" xfId="26890" xr:uid="{00000000-0005-0000-0000-0000FE0B0000}"/>
    <cellStyle name="Title [Helv] 2 2 8 3" xfId="45255" xr:uid="{00000000-0005-0000-0000-0000FE0B0000}"/>
    <cellStyle name="Title [Helv] 2 2 9" xfId="8553" xr:uid="{00000000-0005-0000-0000-0000FE0B0000}"/>
    <cellStyle name="Title [Helv] 2 2 9 2" xfId="27526" xr:uid="{00000000-0005-0000-0000-0000FE0B0000}"/>
    <cellStyle name="Title [Helv] 2 2 9 3" xfId="45890" xr:uid="{00000000-0005-0000-0000-0000FE0B0000}"/>
    <cellStyle name="Title [Helv] 2 3" xfId="1457" xr:uid="{00000000-0005-0000-0000-0000080C0000}"/>
    <cellStyle name="Title [Helv] 2 3 10" xfId="8052" xr:uid="{00000000-0005-0000-0000-0000080C0000}"/>
    <cellStyle name="Title [Helv] 2 3 2" xfId="3476" xr:uid="{00000000-0005-0000-0000-0000080C0000}"/>
    <cellStyle name="Title [Helv] 2 3 2 2" xfId="5651" xr:uid="{00000000-0005-0000-0000-0000080C0000}"/>
    <cellStyle name="Title [Helv] 2 3 2 2 2" xfId="12015" xr:uid="{00000000-0005-0000-0000-0000080C0000}"/>
    <cellStyle name="Title [Helv] 2 3 2 2 2 2" xfId="30462" xr:uid="{00000000-0005-0000-0000-0000080C0000}"/>
    <cellStyle name="Title [Helv] 2 3 2 2 2 3" xfId="48825" xr:uid="{00000000-0005-0000-0000-0000080C0000}"/>
    <cellStyle name="Title [Helv] 2 3 2 2 3" xfId="16341" xr:uid="{00000000-0005-0000-0000-0000080C0000}"/>
    <cellStyle name="Title [Helv] 2 3 2 2 3 2" xfId="34713" xr:uid="{00000000-0005-0000-0000-0000080C0000}"/>
    <cellStyle name="Title [Helv] 2 3 2 2 3 3" xfId="53076" xr:uid="{00000000-0005-0000-0000-0000080C0000}"/>
    <cellStyle name="Title [Helv] 2 3 2 2 4" xfId="25460" xr:uid="{00000000-0005-0000-0000-0000080C0000}"/>
    <cellStyle name="Title [Helv] 2 3 2 2 4 2" xfId="43829" xr:uid="{00000000-0005-0000-0000-0000080C0000}"/>
    <cellStyle name="Title [Helv] 2 3 2 2 5" xfId="21781" xr:uid="{00000000-0005-0000-0000-0000080C0000}"/>
    <cellStyle name="Title [Helv] 2 3 2 2 6" xfId="40160" xr:uid="{00000000-0005-0000-0000-0000080C0000}"/>
    <cellStyle name="Title [Helv] 2 3 2 3" xfId="6475" xr:uid="{00000000-0005-0000-0000-0000080C0000}"/>
    <cellStyle name="Title [Helv] 2 3 2 3 2" xfId="12766" xr:uid="{00000000-0005-0000-0000-0000080C0000}"/>
    <cellStyle name="Title [Helv] 2 3 2 3 2 2" xfId="31192" xr:uid="{00000000-0005-0000-0000-0000080C0000}"/>
    <cellStyle name="Title [Helv] 2 3 2 3 2 3" xfId="49555" xr:uid="{00000000-0005-0000-0000-0000080C0000}"/>
    <cellStyle name="Title [Helv] 2 3 2 3 3" xfId="17077" xr:uid="{00000000-0005-0000-0000-0000080C0000}"/>
    <cellStyle name="Title [Helv] 2 3 2 3 3 2" xfId="35425" xr:uid="{00000000-0005-0000-0000-0000080C0000}"/>
    <cellStyle name="Title [Helv] 2 3 2 3 3 3" xfId="53788" xr:uid="{00000000-0005-0000-0000-0000080C0000}"/>
    <cellStyle name="Title [Helv] 2 3 2 3 4" xfId="26210" xr:uid="{00000000-0005-0000-0000-0000080C0000}"/>
    <cellStyle name="Title [Helv] 2 3 2 3 4 2" xfId="44579" xr:uid="{00000000-0005-0000-0000-0000080C0000}"/>
    <cellStyle name="Title [Helv] 2 3 2 3 5" xfId="22503" xr:uid="{00000000-0005-0000-0000-0000080C0000}"/>
    <cellStyle name="Title [Helv] 2 3 2 3 6" xfId="40872" xr:uid="{00000000-0005-0000-0000-0000080C0000}"/>
    <cellStyle name="Title [Helv] 2 3 2 4" xfId="10189" xr:uid="{00000000-0005-0000-0000-0000080C0000}"/>
    <cellStyle name="Title [Helv] 2 3 2 4 2" xfId="14246" xr:uid="{00000000-0005-0000-0000-0000080C0000}"/>
    <cellStyle name="Title [Helv] 2 3 2 4 2 2" xfId="32662" xr:uid="{00000000-0005-0000-0000-0000080C0000}"/>
    <cellStyle name="Title [Helv] 2 3 2 4 2 3" xfId="51025" xr:uid="{00000000-0005-0000-0000-0000080C0000}"/>
    <cellStyle name="Title [Helv] 2 3 2 4 3" xfId="28900" xr:uid="{00000000-0005-0000-0000-0000080C0000}"/>
    <cellStyle name="Title [Helv] 2 3 2 4 3 2" xfId="47263" xr:uid="{00000000-0005-0000-0000-0000080C0000}"/>
    <cellStyle name="Title [Helv] 2 3 2 4 4" xfId="19703" xr:uid="{00000000-0005-0000-0000-0000080C0000}"/>
    <cellStyle name="Title [Helv] 2 3 2 4 5" xfId="38109" xr:uid="{00000000-0005-0000-0000-0000080C0000}"/>
    <cellStyle name="Title [Helv] 2 3 2 5" xfId="9380" xr:uid="{00000000-0005-0000-0000-0000080C0000}"/>
    <cellStyle name="Title [Helv] 2 3 2 5 2" xfId="28099" xr:uid="{00000000-0005-0000-0000-0000080C0000}"/>
    <cellStyle name="Title [Helv] 2 3 2 5 3" xfId="46462" xr:uid="{00000000-0005-0000-0000-0000080C0000}"/>
    <cellStyle name="Title [Helv] 2 3 2 6" xfId="13436" xr:uid="{00000000-0005-0000-0000-0000080C0000}"/>
    <cellStyle name="Title [Helv] 2 3 2 6 2" xfId="31857" xr:uid="{00000000-0005-0000-0000-0000080C0000}"/>
    <cellStyle name="Title [Helv] 2 3 2 6 3" xfId="50220" xr:uid="{00000000-0005-0000-0000-0000080C0000}"/>
    <cellStyle name="Title [Helv] 2 3 2 7" xfId="23384" xr:uid="{00000000-0005-0000-0000-0000080C0000}"/>
    <cellStyle name="Title [Helv] 2 3 2 7 2" xfId="41753" xr:uid="{00000000-0005-0000-0000-0000080C0000}"/>
    <cellStyle name="Title [Helv] 2 3 2 8" xfId="18462" xr:uid="{00000000-0005-0000-0000-0000080C0000}"/>
    <cellStyle name="Title [Helv] 2 3 2 9" xfId="36868" xr:uid="{00000000-0005-0000-0000-0000080C0000}"/>
    <cellStyle name="Title [Helv] 2 3 3" xfId="4474" xr:uid="{00000000-0005-0000-0000-0000080C0000}"/>
    <cellStyle name="Title [Helv] 2 3 3 2" xfId="11070" xr:uid="{00000000-0005-0000-0000-0000080C0000}"/>
    <cellStyle name="Title [Helv] 2 3 3 2 2" xfId="29690" xr:uid="{00000000-0005-0000-0000-0000080C0000}"/>
    <cellStyle name="Title [Helv] 2 3 3 2 3" xfId="48053" xr:uid="{00000000-0005-0000-0000-0000080C0000}"/>
    <cellStyle name="Title [Helv] 2 3 3 3" xfId="15208" xr:uid="{00000000-0005-0000-0000-0000080C0000}"/>
    <cellStyle name="Title [Helv] 2 3 3 3 2" xfId="33603" xr:uid="{00000000-0005-0000-0000-0000080C0000}"/>
    <cellStyle name="Title [Helv] 2 3 3 3 3" xfId="51966" xr:uid="{00000000-0005-0000-0000-0000080C0000}"/>
    <cellStyle name="Title [Helv] 2 3 3 4" xfId="24334" xr:uid="{00000000-0005-0000-0000-0000080C0000}"/>
    <cellStyle name="Title [Helv] 2 3 3 4 2" xfId="42703" xr:uid="{00000000-0005-0000-0000-0000080C0000}"/>
    <cellStyle name="Title [Helv] 2 3 3 5" xfId="20658" xr:uid="{00000000-0005-0000-0000-0000080C0000}"/>
    <cellStyle name="Title [Helv] 2 3 3 6" xfId="39050" xr:uid="{00000000-0005-0000-0000-0000080C0000}"/>
    <cellStyle name="Title [Helv] 2 3 4" xfId="5281" xr:uid="{00000000-0005-0000-0000-0000080C0000}"/>
    <cellStyle name="Title [Helv] 2 3 4 2" xfId="11736" xr:uid="{00000000-0005-0000-0000-0000080C0000}"/>
    <cellStyle name="Title [Helv] 2 3 4 2 2" xfId="30241" xr:uid="{00000000-0005-0000-0000-0000080C0000}"/>
    <cellStyle name="Title [Helv] 2 3 4 2 3" xfId="48604" xr:uid="{00000000-0005-0000-0000-0000080C0000}"/>
    <cellStyle name="Title [Helv] 2 3 4 3" xfId="15973" xr:uid="{00000000-0005-0000-0000-0000080C0000}"/>
    <cellStyle name="Title [Helv] 2 3 4 3 2" xfId="34347" xr:uid="{00000000-0005-0000-0000-0000080C0000}"/>
    <cellStyle name="Title [Helv] 2 3 4 3 3" xfId="52710" xr:uid="{00000000-0005-0000-0000-0000080C0000}"/>
    <cellStyle name="Title [Helv] 2 3 4 4" xfId="25094" xr:uid="{00000000-0005-0000-0000-0000080C0000}"/>
    <cellStyle name="Title [Helv] 2 3 4 4 2" xfId="43463" xr:uid="{00000000-0005-0000-0000-0000080C0000}"/>
    <cellStyle name="Title [Helv] 2 3 4 5" xfId="21415" xr:uid="{00000000-0005-0000-0000-0000080C0000}"/>
    <cellStyle name="Title [Helv] 2 3 4 6" xfId="39794" xr:uid="{00000000-0005-0000-0000-0000080C0000}"/>
    <cellStyle name="Title [Helv] 2 3 5" xfId="9131" xr:uid="{00000000-0005-0000-0000-0000080C0000}"/>
    <cellStyle name="Title [Helv] 2 3 5 2" xfId="8628" xr:uid="{00000000-0005-0000-0000-0000080C0000}"/>
    <cellStyle name="Title [Helv] 2 3 5 2 2" xfId="27539" xr:uid="{00000000-0005-0000-0000-0000080C0000}"/>
    <cellStyle name="Title [Helv] 2 3 5 2 3" xfId="45903" xr:uid="{00000000-0005-0000-0000-0000080C0000}"/>
    <cellStyle name="Title [Helv] 2 3 5 3" xfId="27857" xr:uid="{00000000-0005-0000-0000-0000080C0000}"/>
    <cellStyle name="Title [Helv] 2 3 5 3 2" xfId="46220" xr:uid="{00000000-0005-0000-0000-0000080C0000}"/>
    <cellStyle name="Title [Helv] 2 3 5 4" xfId="18044" xr:uid="{00000000-0005-0000-0000-0000080C0000}"/>
    <cellStyle name="Title [Helv] 2 3 5 5" xfId="36452" xr:uid="{00000000-0005-0000-0000-0000080C0000}"/>
    <cellStyle name="Title [Helv] 2 3 6" xfId="7744" xr:uid="{00000000-0005-0000-0000-0000080C0000}"/>
    <cellStyle name="Title [Helv] 2 3 6 2" xfId="27021" xr:uid="{00000000-0005-0000-0000-0000080C0000}"/>
    <cellStyle name="Title [Helv] 2 3 6 3" xfId="45386" xr:uid="{00000000-0005-0000-0000-0000080C0000}"/>
    <cellStyle name="Title [Helv] 2 3 7" xfId="7410" xr:uid="{00000000-0005-0000-0000-0000080C0000}"/>
    <cellStyle name="Title [Helv] 2 3 7 2" xfId="26802" xr:uid="{00000000-0005-0000-0000-0000080C0000}"/>
    <cellStyle name="Title [Helv] 2 3 7 3" xfId="45170" xr:uid="{00000000-0005-0000-0000-0000080C0000}"/>
    <cellStyle name="Title [Helv] 2 3 8" xfId="18180" xr:uid="{00000000-0005-0000-0000-0000080C0000}"/>
    <cellStyle name="Title [Helv] 2 3 8 2" xfId="36586" xr:uid="{00000000-0005-0000-0000-0000080C0000}"/>
    <cellStyle name="Title [Helv] 2 3 9" xfId="7021" xr:uid="{00000000-0005-0000-0000-0000080C0000}"/>
    <cellStyle name="Title [Helv] 2 4" xfId="1926" xr:uid="{00000000-0005-0000-0000-0000090C0000}"/>
    <cellStyle name="Title [Helv] 2 4 10" xfId="7280" xr:uid="{00000000-0005-0000-0000-0000090C0000}"/>
    <cellStyle name="Title [Helv] 2 4 2" xfId="3744" xr:uid="{00000000-0005-0000-0000-0000090C0000}"/>
    <cellStyle name="Title [Helv] 2 4 2 2" xfId="5917" xr:uid="{00000000-0005-0000-0000-0000090C0000}"/>
    <cellStyle name="Title [Helv] 2 4 2 2 2" xfId="12281" xr:uid="{00000000-0005-0000-0000-0000090C0000}"/>
    <cellStyle name="Title [Helv] 2 4 2 2 2 2" xfId="30728" xr:uid="{00000000-0005-0000-0000-0000090C0000}"/>
    <cellStyle name="Title [Helv] 2 4 2 2 2 3" xfId="49091" xr:uid="{00000000-0005-0000-0000-0000090C0000}"/>
    <cellStyle name="Title [Helv] 2 4 2 2 3" xfId="16607" xr:uid="{00000000-0005-0000-0000-0000090C0000}"/>
    <cellStyle name="Title [Helv] 2 4 2 2 3 2" xfId="34979" xr:uid="{00000000-0005-0000-0000-0000090C0000}"/>
    <cellStyle name="Title [Helv] 2 4 2 2 3 3" xfId="53342" xr:uid="{00000000-0005-0000-0000-0000090C0000}"/>
    <cellStyle name="Title [Helv] 2 4 2 2 4" xfId="25726" xr:uid="{00000000-0005-0000-0000-0000090C0000}"/>
    <cellStyle name="Title [Helv] 2 4 2 2 4 2" xfId="44095" xr:uid="{00000000-0005-0000-0000-0000090C0000}"/>
    <cellStyle name="Title [Helv] 2 4 2 2 5" xfId="22047" xr:uid="{00000000-0005-0000-0000-0000090C0000}"/>
    <cellStyle name="Title [Helv] 2 4 2 2 6" xfId="40426" xr:uid="{00000000-0005-0000-0000-0000090C0000}"/>
    <cellStyle name="Title [Helv] 2 4 2 3" xfId="6743" xr:uid="{00000000-0005-0000-0000-0000090C0000}"/>
    <cellStyle name="Title [Helv] 2 4 2 3 2" xfId="13034" xr:uid="{00000000-0005-0000-0000-0000090C0000}"/>
    <cellStyle name="Title [Helv] 2 4 2 3 2 2" xfId="31460" xr:uid="{00000000-0005-0000-0000-0000090C0000}"/>
    <cellStyle name="Title [Helv] 2 4 2 3 2 3" xfId="49823" xr:uid="{00000000-0005-0000-0000-0000090C0000}"/>
    <cellStyle name="Title [Helv] 2 4 2 3 3" xfId="17345" xr:uid="{00000000-0005-0000-0000-0000090C0000}"/>
    <cellStyle name="Title [Helv] 2 4 2 3 3 2" xfId="35693" xr:uid="{00000000-0005-0000-0000-0000090C0000}"/>
    <cellStyle name="Title [Helv] 2 4 2 3 3 3" xfId="54056" xr:uid="{00000000-0005-0000-0000-0000090C0000}"/>
    <cellStyle name="Title [Helv] 2 4 2 3 4" xfId="26478" xr:uid="{00000000-0005-0000-0000-0000090C0000}"/>
    <cellStyle name="Title [Helv] 2 4 2 3 4 2" xfId="44847" xr:uid="{00000000-0005-0000-0000-0000090C0000}"/>
    <cellStyle name="Title [Helv] 2 4 2 3 5" xfId="22771" xr:uid="{00000000-0005-0000-0000-0000090C0000}"/>
    <cellStyle name="Title [Helv] 2 4 2 3 6" xfId="41140" xr:uid="{00000000-0005-0000-0000-0000090C0000}"/>
    <cellStyle name="Title [Helv] 2 4 2 4" xfId="10457" xr:uid="{00000000-0005-0000-0000-0000090C0000}"/>
    <cellStyle name="Title [Helv] 2 4 2 4 2" xfId="14514" xr:uid="{00000000-0005-0000-0000-0000090C0000}"/>
    <cellStyle name="Title [Helv] 2 4 2 4 2 2" xfId="32930" xr:uid="{00000000-0005-0000-0000-0000090C0000}"/>
    <cellStyle name="Title [Helv] 2 4 2 4 2 3" xfId="51293" xr:uid="{00000000-0005-0000-0000-0000090C0000}"/>
    <cellStyle name="Title [Helv] 2 4 2 4 3" xfId="29168" xr:uid="{00000000-0005-0000-0000-0000090C0000}"/>
    <cellStyle name="Title [Helv] 2 4 2 4 3 2" xfId="47531" xr:uid="{00000000-0005-0000-0000-0000090C0000}"/>
    <cellStyle name="Title [Helv] 2 4 2 4 4" xfId="19971" xr:uid="{00000000-0005-0000-0000-0000090C0000}"/>
    <cellStyle name="Title [Helv] 2 4 2 4 5" xfId="38377" xr:uid="{00000000-0005-0000-0000-0000090C0000}"/>
    <cellStyle name="Title [Helv] 2 4 2 5" xfId="9673" xr:uid="{00000000-0005-0000-0000-0000090C0000}"/>
    <cellStyle name="Title [Helv] 2 4 2 5 2" xfId="28389" xr:uid="{00000000-0005-0000-0000-0000090C0000}"/>
    <cellStyle name="Title [Helv] 2 4 2 5 3" xfId="46752" xr:uid="{00000000-0005-0000-0000-0000090C0000}"/>
    <cellStyle name="Title [Helv] 2 4 2 6" xfId="13730" xr:uid="{00000000-0005-0000-0000-0000090C0000}"/>
    <cellStyle name="Title [Helv] 2 4 2 6 2" xfId="32151" xr:uid="{00000000-0005-0000-0000-0000090C0000}"/>
    <cellStyle name="Title [Helv] 2 4 2 6 3" xfId="50514" xr:uid="{00000000-0005-0000-0000-0000090C0000}"/>
    <cellStyle name="Title [Helv] 2 4 2 7" xfId="23652" xr:uid="{00000000-0005-0000-0000-0000090C0000}"/>
    <cellStyle name="Title [Helv] 2 4 2 7 2" xfId="42021" xr:uid="{00000000-0005-0000-0000-0000090C0000}"/>
    <cellStyle name="Title [Helv] 2 4 2 8" xfId="18798" xr:uid="{00000000-0005-0000-0000-0000090C0000}"/>
    <cellStyle name="Title [Helv] 2 4 2 9" xfId="37207" xr:uid="{00000000-0005-0000-0000-0000090C0000}"/>
    <cellStyle name="Title [Helv] 2 4 3" xfId="4837" xr:uid="{00000000-0005-0000-0000-0000090C0000}"/>
    <cellStyle name="Title [Helv] 2 4 3 2" xfId="11398" xr:uid="{00000000-0005-0000-0000-0000090C0000}"/>
    <cellStyle name="Title [Helv] 2 4 3 2 2" xfId="29990" xr:uid="{00000000-0005-0000-0000-0000090C0000}"/>
    <cellStyle name="Title [Helv] 2 4 3 2 3" xfId="48353" xr:uid="{00000000-0005-0000-0000-0000090C0000}"/>
    <cellStyle name="Title [Helv] 2 4 3 3" xfId="15563" xr:uid="{00000000-0005-0000-0000-0000090C0000}"/>
    <cellStyle name="Title [Helv] 2 4 3 3 2" xfId="33956" xr:uid="{00000000-0005-0000-0000-0000090C0000}"/>
    <cellStyle name="Title [Helv] 2 4 3 3 3" xfId="52319" xr:uid="{00000000-0005-0000-0000-0000090C0000}"/>
    <cellStyle name="Title [Helv] 2 4 3 4" xfId="24687" xr:uid="{00000000-0005-0000-0000-0000090C0000}"/>
    <cellStyle name="Title [Helv] 2 4 3 4 2" xfId="43056" xr:uid="{00000000-0005-0000-0000-0000090C0000}"/>
    <cellStyle name="Title [Helv] 2 4 3 5" xfId="21014" xr:uid="{00000000-0005-0000-0000-0000090C0000}"/>
    <cellStyle name="Title [Helv] 2 4 3 6" xfId="39403" xr:uid="{00000000-0005-0000-0000-0000090C0000}"/>
    <cellStyle name="Title [Helv] 2 4 4" xfId="3920" xr:uid="{00000000-0005-0000-0000-0000090C0000}"/>
    <cellStyle name="Title [Helv] 2 4 4 2" xfId="10628" xr:uid="{00000000-0005-0000-0000-0000090C0000}"/>
    <cellStyle name="Title [Helv] 2 4 4 2 2" xfId="29338" xr:uid="{00000000-0005-0000-0000-0000090C0000}"/>
    <cellStyle name="Title [Helv] 2 4 4 2 3" xfId="47701" xr:uid="{00000000-0005-0000-0000-0000090C0000}"/>
    <cellStyle name="Title [Helv] 2 4 4 3" xfId="14685" xr:uid="{00000000-0005-0000-0000-0000090C0000}"/>
    <cellStyle name="Title [Helv] 2 4 4 3 2" xfId="33099" xr:uid="{00000000-0005-0000-0000-0000090C0000}"/>
    <cellStyle name="Title [Helv] 2 4 4 3 3" xfId="51462" xr:uid="{00000000-0005-0000-0000-0000090C0000}"/>
    <cellStyle name="Title [Helv] 2 4 4 4" xfId="23823" xr:uid="{00000000-0005-0000-0000-0000090C0000}"/>
    <cellStyle name="Title [Helv] 2 4 4 4 2" xfId="42192" xr:uid="{00000000-0005-0000-0000-0000090C0000}"/>
    <cellStyle name="Title [Helv] 2 4 4 5" xfId="20141" xr:uid="{00000000-0005-0000-0000-0000090C0000}"/>
    <cellStyle name="Title [Helv] 2 4 4 6" xfId="38546" xr:uid="{00000000-0005-0000-0000-0000090C0000}"/>
    <cellStyle name="Title [Helv] 2 4 5" xfId="9027" xr:uid="{00000000-0005-0000-0000-0000090C0000}"/>
    <cellStyle name="Title [Helv] 2 4 5 2" xfId="6922" xr:uid="{00000000-0005-0000-0000-0000090C0000}"/>
    <cellStyle name="Title [Helv] 2 4 5 2 2" xfId="26657" xr:uid="{00000000-0005-0000-0000-0000090C0000}"/>
    <cellStyle name="Title [Helv] 2 4 5 2 3" xfId="45026" xr:uid="{00000000-0005-0000-0000-0000090C0000}"/>
    <cellStyle name="Title [Helv] 2 4 5 3" xfId="27753" xr:uid="{00000000-0005-0000-0000-0000090C0000}"/>
    <cellStyle name="Title [Helv] 2 4 5 3 2" xfId="46116" xr:uid="{00000000-0005-0000-0000-0000090C0000}"/>
    <cellStyle name="Title [Helv] 2 4 5 4" xfId="17922" xr:uid="{00000000-0005-0000-0000-0000090C0000}"/>
    <cellStyle name="Title [Helv] 2 4 5 5" xfId="36330" xr:uid="{00000000-0005-0000-0000-0000090C0000}"/>
    <cellStyle name="Title [Helv] 2 4 6" xfId="8125" xr:uid="{00000000-0005-0000-0000-0000090C0000}"/>
    <cellStyle name="Title [Helv] 2 4 6 2" xfId="27330" xr:uid="{00000000-0005-0000-0000-0000090C0000}"/>
    <cellStyle name="Title [Helv] 2 4 6 3" xfId="45695" xr:uid="{00000000-0005-0000-0000-0000090C0000}"/>
    <cellStyle name="Title [Helv] 2 4 7" xfId="7598" xr:uid="{00000000-0005-0000-0000-0000090C0000}"/>
    <cellStyle name="Title [Helv] 2 4 7 2" xfId="26901" xr:uid="{00000000-0005-0000-0000-0000090C0000}"/>
    <cellStyle name="Title [Helv] 2 4 7 3" xfId="45266" xr:uid="{00000000-0005-0000-0000-0000090C0000}"/>
    <cellStyle name="Title [Helv] 2 4 8" xfId="19192" xr:uid="{00000000-0005-0000-0000-0000090C0000}"/>
    <cellStyle name="Title [Helv] 2 4 8 2" xfId="37599" xr:uid="{00000000-0005-0000-0000-0000090C0000}"/>
    <cellStyle name="Title [Helv] 2 4 9" xfId="7246" xr:uid="{00000000-0005-0000-0000-0000090C0000}"/>
    <cellStyle name="Title [Helv] 2 5" xfId="2341" xr:uid="{00000000-0005-0000-0000-00000A0C0000}"/>
    <cellStyle name="Title [Helv] 2 5 10" xfId="8792" xr:uid="{00000000-0005-0000-0000-00000A0C0000}"/>
    <cellStyle name="Title [Helv] 2 5 2" xfId="3789" xr:uid="{00000000-0005-0000-0000-00000A0C0000}"/>
    <cellStyle name="Title [Helv] 2 5 2 2" xfId="5962" xr:uid="{00000000-0005-0000-0000-00000A0C0000}"/>
    <cellStyle name="Title [Helv] 2 5 2 2 2" xfId="12326" xr:uid="{00000000-0005-0000-0000-00000A0C0000}"/>
    <cellStyle name="Title [Helv] 2 5 2 2 2 2" xfId="30773" xr:uid="{00000000-0005-0000-0000-00000A0C0000}"/>
    <cellStyle name="Title [Helv] 2 5 2 2 2 3" xfId="49136" xr:uid="{00000000-0005-0000-0000-00000A0C0000}"/>
    <cellStyle name="Title [Helv] 2 5 2 2 3" xfId="16652" xr:uid="{00000000-0005-0000-0000-00000A0C0000}"/>
    <cellStyle name="Title [Helv] 2 5 2 2 3 2" xfId="35024" xr:uid="{00000000-0005-0000-0000-00000A0C0000}"/>
    <cellStyle name="Title [Helv] 2 5 2 2 3 3" xfId="53387" xr:uid="{00000000-0005-0000-0000-00000A0C0000}"/>
    <cellStyle name="Title [Helv] 2 5 2 2 4" xfId="25771" xr:uid="{00000000-0005-0000-0000-00000A0C0000}"/>
    <cellStyle name="Title [Helv] 2 5 2 2 4 2" xfId="44140" xr:uid="{00000000-0005-0000-0000-00000A0C0000}"/>
    <cellStyle name="Title [Helv] 2 5 2 2 5" xfId="22092" xr:uid="{00000000-0005-0000-0000-00000A0C0000}"/>
    <cellStyle name="Title [Helv] 2 5 2 2 6" xfId="40471" xr:uid="{00000000-0005-0000-0000-00000A0C0000}"/>
    <cellStyle name="Title [Helv] 2 5 2 3" xfId="6788" xr:uid="{00000000-0005-0000-0000-00000A0C0000}"/>
    <cellStyle name="Title [Helv] 2 5 2 3 2" xfId="13079" xr:uid="{00000000-0005-0000-0000-00000A0C0000}"/>
    <cellStyle name="Title [Helv] 2 5 2 3 2 2" xfId="31505" xr:uid="{00000000-0005-0000-0000-00000A0C0000}"/>
    <cellStyle name="Title [Helv] 2 5 2 3 2 3" xfId="49868" xr:uid="{00000000-0005-0000-0000-00000A0C0000}"/>
    <cellStyle name="Title [Helv] 2 5 2 3 3" xfId="17390" xr:uid="{00000000-0005-0000-0000-00000A0C0000}"/>
    <cellStyle name="Title [Helv] 2 5 2 3 3 2" xfId="35738" xr:uid="{00000000-0005-0000-0000-00000A0C0000}"/>
    <cellStyle name="Title [Helv] 2 5 2 3 3 3" xfId="54101" xr:uid="{00000000-0005-0000-0000-00000A0C0000}"/>
    <cellStyle name="Title [Helv] 2 5 2 3 4" xfId="26523" xr:uid="{00000000-0005-0000-0000-00000A0C0000}"/>
    <cellStyle name="Title [Helv] 2 5 2 3 4 2" xfId="44892" xr:uid="{00000000-0005-0000-0000-00000A0C0000}"/>
    <cellStyle name="Title [Helv] 2 5 2 3 5" xfId="22816" xr:uid="{00000000-0005-0000-0000-00000A0C0000}"/>
    <cellStyle name="Title [Helv] 2 5 2 3 6" xfId="41185" xr:uid="{00000000-0005-0000-0000-00000A0C0000}"/>
    <cellStyle name="Title [Helv] 2 5 2 4" xfId="10502" xr:uid="{00000000-0005-0000-0000-00000A0C0000}"/>
    <cellStyle name="Title [Helv] 2 5 2 4 2" xfId="14559" xr:uid="{00000000-0005-0000-0000-00000A0C0000}"/>
    <cellStyle name="Title [Helv] 2 5 2 4 2 2" xfId="32975" xr:uid="{00000000-0005-0000-0000-00000A0C0000}"/>
    <cellStyle name="Title [Helv] 2 5 2 4 2 3" xfId="51338" xr:uid="{00000000-0005-0000-0000-00000A0C0000}"/>
    <cellStyle name="Title [Helv] 2 5 2 4 3" xfId="29213" xr:uid="{00000000-0005-0000-0000-00000A0C0000}"/>
    <cellStyle name="Title [Helv] 2 5 2 4 3 2" xfId="47576" xr:uid="{00000000-0005-0000-0000-00000A0C0000}"/>
    <cellStyle name="Title [Helv] 2 5 2 4 4" xfId="20016" xr:uid="{00000000-0005-0000-0000-00000A0C0000}"/>
    <cellStyle name="Title [Helv] 2 5 2 4 5" xfId="38422" xr:uid="{00000000-0005-0000-0000-00000A0C0000}"/>
    <cellStyle name="Title [Helv] 2 5 2 5" xfId="9773" xr:uid="{00000000-0005-0000-0000-00000A0C0000}"/>
    <cellStyle name="Title [Helv] 2 5 2 5 2" xfId="28488" xr:uid="{00000000-0005-0000-0000-00000A0C0000}"/>
    <cellStyle name="Title [Helv] 2 5 2 5 3" xfId="46851" xr:uid="{00000000-0005-0000-0000-00000A0C0000}"/>
    <cellStyle name="Title [Helv] 2 5 2 6" xfId="13830" xr:uid="{00000000-0005-0000-0000-00000A0C0000}"/>
    <cellStyle name="Title [Helv] 2 5 2 6 2" xfId="32250" xr:uid="{00000000-0005-0000-0000-00000A0C0000}"/>
    <cellStyle name="Title [Helv] 2 5 2 6 3" xfId="50613" xr:uid="{00000000-0005-0000-0000-00000A0C0000}"/>
    <cellStyle name="Title [Helv] 2 5 2 7" xfId="23697" xr:uid="{00000000-0005-0000-0000-00000A0C0000}"/>
    <cellStyle name="Title [Helv] 2 5 2 7 2" xfId="42066" xr:uid="{00000000-0005-0000-0000-00000A0C0000}"/>
    <cellStyle name="Title [Helv] 2 5 2 8" xfId="18955" xr:uid="{00000000-0005-0000-0000-00000A0C0000}"/>
    <cellStyle name="Title [Helv] 2 5 2 9" xfId="37364" xr:uid="{00000000-0005-0000-0000-00000A0C0000}"/>
    <cellStyle name="Title [Helv] 2 5 3" xfId="4989" xr:uid="{00000000-0005-0000-0000-00000A0C0000}"/>
    <cellStyle name="Title [Helv] 2 5 3 2" xfId="11519" xr:uid="{00000000-0005-0000-0000-00000A0C0000}"/>
    <cellStyle name="Title [Helv] 2 5 3 2 2" xfId="30092" xr:uid="{00000000-0005-0000-0000-00000A0C0000}"/>
    <cellStyle name="Title [Helv] 2 5 3 2 3" xfId="48455" xr:uid="{00000000-0005-0000-0000-00000A0C0000}"/>
    <cellStyle name="Title [Helv] 2 5 3 3" xfId="15705" xr:uid="{00000000-0005-0000-0000-00000A0C0000}"/>
    <cellStyle name="Title [Helv] 2 5 3 3 2" xfId="34094" xr:uid="{00000000-0005-0000-0000-00000A0C0000}"/>
    <cellStyle name="Title [Helv] 2 5 3 3 3" xfId="52457" xr:uid="{00000000-0005-0000-0000-00000A0C0000}"/>
    <cellStyle name="Title [Helv] 2 5 3 4" xfId="24829" xr:uid="{00000000-0005-0000-0000-00000A0C0000}"/>
    <cellStyle name="Title [Helv] 2 5 3 4 2" xfId="43198" xr:uid="{00000000-0005-0000-0000-00000A0C0000}"/>
    <cellStyle name="Title [Helv] 2 5 3 5" xfId="21154" xr:uid="{00000000-0005-0000-0000-00000A0C0000}"/>
    <cellStyle name="Title [Helv] 2 5 3 6" xfId="39541" xr:uid="{00000000-0005-0000-0000-00000A0C0000}"/>
    <cellStyle name="Title [Helv] 2 5 4" xfId="6129" xr:uid="{00000000-0005-0000-0000-00000A0C0000}"/>
    <cellStyle name="Title [Helv] 2 5 4 2" xfId="12483" xr:uid="{00000000-0005-0000-0000-00000A0C0000}"/>
    <cellStyle name="Title [Helv] 2 5 4 2 2" xfId="30923" xr:uid="{00000000-0005-0000-0000-00000A0C0000}"/>
    <cellStyle name="Title [Helv] 2 5 4 2 3" xfId="49286" xr:uid="{00000000-0005-0000-0000-00000A0C0000}"/>
    <cellStyle name="Title [Helv] 2 5 4 3" xfId="16802" xr:uid="{00000000-0005-0000-0000-00000A0C0000}"/>
    <cellStyle name="Title [Helv] 2 5 4 3 2" xfId="35171" xr:uid="{00000000-0005-0000-0000-00000A0C0000}"/>
    <cellStyle name="Title [Helv] 2 5 4 3 3" xfId="53534" xr:uid="{00000000-0005-0000-0000-00000A0C0000}"/>
    <cellStyle name="Title [Helv] 2 5 4 4" xfId="25925" xr:uid="{00000000-0005-0000-0000-00000A0C0000}"/>
    <cellStyle name="Title [Helv] 2 5 4 4 2" xfId="44294" xr:uid="{00000000-0005-0000-0000-00000A0C0000}"/>
    <cellStyle name="Title [Helv] 2 5 4 5" xfId="22241" xr:uid="{00000000-0005-0000-0000-00000A0C0000}"/>
    <cellStyle name="Title [Helv] 2 5 4 6" xfId="40618" xr:uid="{00000000-0005-0000-0000-00000A0C0000}"/>
    <cellStyle name="Title [Helv] 2 5 5" xfId="9678" xr:uid="{00000000-0005-0000-0000-00000A0C0000}"/>
    <cellStyle name="Title [Helv] 2 5 5 2" xfId="13735" xr:uid="{00000000-0005-0000-0000-00000A0C0000}"/>
    <cellStyle name="Title [Helv] 2 5 5 2 2" xfId="32156" xr:uid="{00000000-0005-0000-0000-00000A0C0000}"/>
    <cellStyle name="Title [Helv] 2 5 5 2 3" xfId="50519" xr:uid="{00000000-0005-0000-0000-00000A0C0000}"/>
    <cellStyle name="Title [Helv] 2 5 5 3" xfId="28394" xr:uid="{00000000-0005-0000-0000-00000A0C0000}"/>
    <cellStyle name="Title [Helv] 2 5 5 3 2" xfId="46757" xr:uid="{00000000-0005-0000-0000-00000A0C0000}"/>
    <cellStyle name="Title [Helv] 2 5 5 4" xfId="18819" xr:uid="{00000000-0005-0000-0000-00000A0C0000}"/>
    <cellStyle name="Title [Helv] 2 5 5 5" xfId="37228" xr:uid="{00000000-0005-0000-0000-00000A0C0000}"/>
    <cellStyle name="Title [Helv] 2 5 6" xfId="8382" xr:uid="{00000000-0005-0000-0000-00000A0C0000}"/>
    <cellStyle name="Title [Helv] 2 5 6 2" xfId="27449" xr:uid="{00000000-0005-0000-0000-00000A0C0000}"/>
    <cellStyle name="Title [Helv] 2 5 6 3" xfId="45813" xr:uid="{00000000-0005-0000-0000-00000A0C0000}"/>
    <cellStyle name="Title [Helv] 2 5 7" xfId="7101" xr:uid="{00000000-0005-0000-0000-00000A0C0000}"/>
    <cellStyle name="Title [Helv] 2 5 7 2" xfId="26717" xr:uid="{00000000-0005-0000-0000-00000A0C0000}"/>
    <cellStyle name="Title [Helv] 2 5 7 3" xfId="45085" xr:uid="{00000000-0005-0000-0000-00000A0C0000}"/>
    <cellStyle name="Title [Helv] 2 5 8" xfId="19001" xr:uid="{00000000-0005-0000-0000-00000A0C0000}"/>
    <cellStyle name="Title [Helv] 2 5 8 2" xfId="37410" xr:uid="{00000000-0005-0000-0000-00000A0C0000}"/>
    <cellStyle name="Title [Helv] 2 5 9" xfId="7349" xr:uid="{00000000-0005-0000-0000-00000A0C0000}"/>
    <cellStyle name="Title [Helv] 2 6" xfId="3353" xr:uid="{00000000-0005-0000-0000-0000FD0B0000}"/>
    <cellStyle name="Title [Helv] 2 6 2" xfId="5528" xr:uid="{00000000-0005-0000-0000-0000FD0B0000}"/>
    <cellStyle name="Title [Helv] 2 6 2 2" xfId="11892" xr:uid="{00000000-0005-0000-0000-0000FD0B0000}"/>
    <cellStyle name="Title [Helv] 2 6 2 2 2" xfId="30339" xr:uid="{00000000-0005-0000-0000-0000FD0B0000}"/>
    <cellStyle name="Title [Helv] 2 6 2 2 3" xfId="48702" xr:uid="{00000000-0005-0000-0000-0000FD0B0000}"/>
    <cellStyle name="Title [Helv] 2 6 2 3" xfId="16218" xr:uid="{00000000-0005-0000-0000-0000FD0B0000}"/>
    <cellStyle name="Title [Helv] 2 6 2 3 2" xfId="34590" xr:uid="{00000000-0005-0000-0000-0000FD0B0000}"/>
    <cellStyle name="Title [Helv] 2 6 2 3 3" xfId="52953" xr:uid="{00000000-0005-0000-0000-0000FD0B0000}"/>
    <cellStyle name="Title [Helv] 2 6 2 4" xfId="25337" xr:uid="{00000000-0005-0000-0000-0000FD0B0000}"/>
    <cellStyle name="Title [Helv] 2 6 2 4 2" xfId="43706" xr:uid="{00000000-0005-0000-0000-0000FD0B0000}"/>
    <cellStyle name="Title [Helv] 2 6 2 5" xfId="21658" xr:uid="{00000000-0005-0000-0000-0000FD0B0000}"/>
    <cellStyle name="Title [Helv] 2 6 2 6" xfId="40037" xr:uid="{00000000-0005-0000-0000-0000FD0B0000}"/>
    <cellStyle name="Title [Helv] 2 6 3" xfId="6352" xr:uid="{00000000-0005-0000-0000-0000FD0B0000}"/>
    <cellStyle name="Title [Helv] 2 6 3 2" xfId="12643" xr:uid="{00000000-0005-0000-0000-0000FD0B0000}"/>
    <cellStyle name="Title [Helv] 2 6 3 2 2" xfId="31069" xr:uid="{00000000-0005-0000-0000-0000FD0B0000}"/>
    <cellStyle name="Title [Helv] 2 6 3 2 3" xfId="49432" xr:uid="{00000000-0005-0000-0000-0000FD0B0000}"/>
    <cellStyle name="Title [Helv] 2 6 3 3" xfId="16954" xr:uid="{00000000-0005-0000-0000-0000FD0B0000}"/>
    <cellStyle name="Title [Helv] 2 6 3 3 2" xfId="35302" xr:uid="{00000000-0005-0000-0000-0000FD0B0000}"/>
    <cellStyle name="Title [Helv] 2 6 3 3 3" xfId="53665" xr:uid="{00000000-0005-0000-0000-0000FD0B0000}"/>
    <cellStyle name="Title [Helv] 2 6 3 4" xfId="26087" xr:uid="{00000000-0005-0000-0000-0000FD0B0000}"/>
    <cellStyle name="Title [Helv] 2 6 3 4 2" xfId="44456" xr:uid="{00000000-0005-0000-0000-0000FD0B0000}"/>
    <cellStyle name="Title [Helv] 2 6 3 5" xfId="22380" xr:uid="{00000000-0005-0000-0000-0000FD0B0000}"/>
    <cellStyle name="Title [Helv] 2 6 3 6" xfId="40749" xr:uid="{00000000-0005-0000-0000-0000FD0B0000}"/>
    <cellStyle name="Title [Helv] 2 6 4" xfId="10066" xr:uid="{00000000-0005-0000-0000-0000FD0B0000}"/>
    <cellStyle name="Title [Helv] 2 6 4 2" xfId="14123" xr:uid="{00000000-0005-0000-0000-0000FD0B0000}"/>
    <cellStyle name="Title [Helv] 2 6 4 2 2" xfId="32539" xr:uid="{00000000-0005-0000-0000-0000FD0B0000}"/>
    <cellStyle name="Title [Helv] 2 6 4 2 3" xfId="50902" xr:uid="{00000000-0005-0000-0000-0000FD0B0000}"/>
    <cellStyle name="Title [Helv] 2 6 4 3" xfId="28777" xr:uid="{00000000-0005-0000-0000-0000FD0B0000}"/>
    <cellStyle name="Title [Helv] 2 6 4 3 2" xfId="47140" xr:uid="{00000000-0005-0000-0000-0000FD0B0000}"/>
    <cellStyle name="Title [Helv] 2 6 4 4" xfId="19580" xr:uid="{00000000-0005-0000-0000-0000FD0B0000}"/>
    <cellStyle name="Title [Helv] 2 6 4 5" xfId="37986" xr:uid="{00000000-0005-0000-0000-0000FD0B0000}"/>
    <cellStyle name="Title [Helv] 2 6 5" xfId="9201" xr:uid="{00000000-0005-0000-0000-0000FD0B0000}"/>
    <cellStyle name="Title [Helv] 2 6 5 2" xfId="27922" xr:uid="{00000000-0005-0000-0000-0000FD0B0000}"/>
    <cellStyle name="Title [Helv] 2 6 5 3" xfId="46285" xr:uid="{00000000-0005-0000-0000-0000FD0B0000}"/>
    <cellStyle name="Title [Helv] 2 6 6" xfId="13259" xr:uid="{00000000-0005-0000-0000-0000FD0B0000}"/>
    <cellStyle name="Title [Helv] 2 6 6 2" xfId="31680" xr:uid="{00000000-0005-0000-0000-0000FD0B0000}"/>
    <cellStyle name="Title [Helv] 2 6 6 3" xfId="50043" xr:uid="{00000000-0005-0000-0000-0000FD0B0000}"/>
    <cellStyle name="Title [Helv] 2 6 7" xfId="23261" xr:uid="{00000000-0005-0000-0000-0000FD0B0000}"/>
    <cellStyle name="Title [Helv] 2 6 7 2" xfId="41630" xr:uid="{00000000-0005-0000-0000-0000FD0B0000}"/>
    <cellStyle name="Title [Helv] 2 6 8" xfId="18220" xr:uid="{00000000-0005-0000-0000-0000FD0B0000}"/>
    <cellStyle name="Title [Helv] 2 6 9" xfId="36626" xr:uid="{00000000-0005-0000-0000-0000FD0B0000}"/>
    <cellStyle name="Title [Helv] 2 7" xfId="4207" xr:uid="{00000000-0005-0000-0000-0000FD0B0000}"/>
    <cellStyle name="Title [Helv] 2 7 2" xfId="10855" xr:uid="{00000000-0005-0000-0000-0000FD0B0000}"/>
    <cellStyle name="Title [Helv] 2 7 2 2" xfId="29526" xr:uid="{00000000-0005-0000-0000-0000FD0B0000}"/>
    <cellStyle name="Title [Helv] 2 7 2 3" xfId="47889" xr:uid="{00000000-0005-0000-0000-0000FD0B0000}"/>
    <cellStyle name="Title [Helv] 2 7 3" xfId="14953" xr:uid="{00000000-0005-0000-0000-0000FD0B0000}"/>
    <cellStyle name="Title [Helv] 2 7 3 2" xfId="33357" xr:uid="{00000000-0005-0000-0000-0000FD0B0000}"/>
    <cellStyle name="Title [Helv] 2 7 3 3" xfId="51720" xr:uid="{00000000-0005-0000-0000-0000FD0B0000}"/>
    <cellStyle name="Title [Helv] 2 7 4" xfId="24086" xr:uid="{00000000-0005-0000-0000-0000FD0B0000}"/>
    <cellStyle name="Title [Helv] 2 7 4 2" xfId="42455" xr:uid="{00000000-0005-0000-0000-0000FD0B0000}"/>
    <cellStyle name="Title [Helv] 2 7 5" xfId="20406" xr:uid="{00000000-0005-0000-0000-0000FD0B0000}"/>
    <cellStyle name="Title [Helv] 2 7 6" xfId="38804" xr:uid="{00000000-0005-0000-0000-0000FD0B0000}"/>
    <cellStyle name="Title [Helv] 2 8" xfId="4083" xr:uid="{00000000-0005-0000-0000-0000FD0B0000}"/>
    <cellStyle name="Title [Helv] 2 8 2" xfId="10779" xr:uid="{00000000-0005-0000-0000-0000FD0B0000}"/>
    <cellStyle name="Title [Helv] 2 8 2 2" xfId="29477" xr:uid="{00000000-0005-0000-0000-0000FD0B0000}"/>
    <cellStyle name="Title [Helv] 2 8 2 3" xfId="47840" xr:uid="{00000000-0005-0000-0000-0000FD0B0000}"/>
    <cellStyle name="Title [Helv] 2 8 3" xfId="14839" xr:uid="{00000000-0005-0000-0000-0000FD0B0000}"/>
    <cellStyle name="Title [Helv] 2 8 3 2" xfId="33246" xr:uid="{00000000-0005-0000-0000-0000FD0B0000}"/>
    <cellStyle name="Title [Helv] 2 8 3 3" xfId="51609" xr:uid="{00000000-0005-0000-0000-0000FD0B0000}"/>
    <cellStyle name="Title [Helv] 2 8 4" xfId="23970" xr:uid="{00000000-0005-0000-0000-0000FD0B0000}"/>
    <cellStyle name="Title [Helv] 2 8 4 2" xfId="42339" xr:uid="{00000000-0005-0000-0000-0000FD0B0000}"/>
    <cellStyle name="Title [Helv] 2 8 5" xfId="20293" xr:uid="{00000000-0005-0000-0000-0000FD0B0000}"/>
    <cellStyle name="Title [Helv] 2 8 6" xfId="38693" xr:uid="{00000000-0005-0000-0000-0000FD0B0000}"/>
    <cellStyle name="Title [Helv] 2 9" xfId="7473" xr:uid="{00000000-0005-0000-0000-0000FD0B0000}"/>
    <cellStyle name="Title [Helv] 2 9 2" xfId="26839" xr:uid="{00000000-0005-0000-0000-0000FD0B0000}"/>
    <cellStyle name="Title [Helv] 2 9 3" xfId="45204" xr:uid="{00000000-0005-0000-0000-0000FD0B0000}"/>
    <cellStyle name="Title [Helv] 3" xfId="1827" xr:uid="{00000000-0005-0000-0000-00000B0C0000}"/>
    <cellStyle name="Title [Helv] 3 10" xfId="8759" xr:uid="{00000000-0005-0000-0000-00000B0C0000}"/>
    <cellStyle name="Title [Helv] 3 2" xfId="3702" xr:uid="{00000000-0005-0000-0000-00000B0C0000}"/>
    <cellStyle name="Title [Helv] 3 2 2" xfId="5875" xr:uid="{00000000-0005-0000-0000-00000B0C0000}"/>
    <cellStyle name="Title [Helv] 3 2 2 2" xfId="12239" xr:uid="{00000000-0005-0000-0000-00000B0C0000}"/>
    <cellStyle name="Title [Helv] 3 2 2 2 2" xfId="30686" xr:uid="{00000000-0005-0000-0000-00000B0C0000}"/>
    <cellStyle name="Title [Helv] 3 2 2 2 3" xfId="49049" xr:uid="{00000000-0005-0000-0000-00000B0C0000}"/>
    <cellStyle name="Title [Helv] 3 2 2 3" xfId="16565" xr:uid="{00000000-0005-0000-0000-00000B0C0000}"/>
    <cellStyle name="Title [Helv] 3 2 2 3 2" xfId="34937" xr:uid="{00000000-0005-0000-0000-00000B0C0000}"/>
    <cellStyle name="Title [Helv] 3 2 2 3 3" xfId="53300" xr:uid="{00000000-0005-0000-0000-00000B0C0000}"/>
    <cellStyle name="Title [Helv] 3 2 2 4" xfId="25684" xr:uid="{00000000-0005-0000-0000-00000B0C0000}"/>
    <cellStyle name="Title [Helv] 3 2 2 4 2" xfId="44053" xr:uid="{00000000-0005-0000-0000-00000B0C0000}"/>
    <cellStyle name="Title [Helv] 3 2 2 5" xfId="22005" xr:uid="{00000000-0005-0000-0000-00000B0C0000}"/>
    <cellStyle name="Title [Helv] 3 2 2 6" xfId="40384" xr:uid="{00000000-0005-0000-0000-00000B0C0000}"/>
    <cellStyle name="Title [Helv] 3 2 3" xfId="6701" xr:uid="{00000000-0005-0000-0000-00000B0C0000}"/>
    <cellStyle name="Title [Helv] 3 2 3 2" xfId="12992" xr:uid="{00000000-0005-0000-0000-00000B0C0000}"/>
    <cellStyle name="Title [Helv] 3 2 3 2 2" xfId="31418" xr:uid="{00000000-0005-0000-0000-00000B0C0000}"/>
    <cellStyle name="Title [Helv] 3 2 3 2 3" xfId="49781" xr:uid="{00000000-0005-0000-0000-00000B0C0000}"/>
    <cellStyle name="Title [Helv] 3 2 3 3" xfId="17303" xr:uid="{00000000-0005-0000-0000-00000B0C0000}"/>
    <cellStyle name="Title [Helv] 3 2 3 3 2" xfId="35651" xr:uid="{00000000-0005-0000-0000-00000B0C0000}"/>
    <cellStyle name="Title [Helv] 3 2 3 3 3" xfId="54014" xr:uid="{00000000-0005-0000-0000-00000B0C0000}"/>
    <cellStyle name="Title [Helv] 3 2 3 4" xfId="26436" xr:uid="{00000000-0005-0000-0000-00000B0C0000}"/>
    <cellStyle name="Title [Helv] 3 2 3 4 2" xfId="44805" xr:uid="{00000000-0005-0000-0000-00000B0C0000}"/>
    <cellStyle name="Title [Helv] 3 2 3 5" xfId="22729" xr:uid="{00000000-0005-0000-0000-00000B0C0000}"/>
    <cellStyle name="Title [Helv] 3 2 3 6" xfId="41098" xr:uid="{00000000-0005-0000-0000-00000B0C0000}"/>
    <cellStyle name="Title [Helv] 3 2 4" xfId="10415" xr:uid="{00000000-0005-0000-0000-00000B0C0000}"/>
    <cellStyle name="Title [Helv] 3 2 4 2" xfId="14472" xr:uid="{00000000-0005-0000-0000-00000B0C0000}"/>
    <cellStyle name="Title [Helv] 3 2 4 2 2" xfId="32888" xr:uid="{00000000-0005-0000-0000-00000B0C0000}"/>
    <cellStyle name="Title [Helv] 3 2 4 2 3" xfId="51251" xr:uid="{00000000-0005-0000-0000-00000B0C0000}"/>
    <cellStyle name="Title [Helv] 3 2 4 3" xfId="29126" xr:uid="{00000000-0005-0000-0000-00000B0C0000}"/>
    <cellStyle name="Title [Helv] 3 2 4 3 2" xfId="47489" xr:uid="{00000000-0005-0000-0000-00000B0C0000}"/>
    <cellStyle name="Title [Helv] 3 2 4 4" xfId="19929" xr:uid="{00000000-0005-0000-0000-00000B0C0000}"/>
    <cellStyle name="Title [Helv] 3 2 4 5" xfId="38335" xr:uid="{00000000-0005-0000-0000-00000B0C0000}"/>
    <cellStyle name="Title [Helv] 3 2 5" xfId="9626" xr:uid="{00000000-0005-0000-0000-00000B0C0000}"/>
    <cellStyle name="Title [Helv] 3 2 5 2" xfId="28343" xr:uid="{00000000-0005-0000-0000-00000B0C0000}"/>
    <cellStyle name="Title [Helv] 3 2 5 3" xfId="46706" xr:uid="{00000000-0005-0000-0000-00000B0C0000}"/>
    <cellStyle name="Title [Helv] 3 2 6" xfId="13684" xr:uid="{00000000-0005-0000-0000-00000B0C0000}"/>
    <cellStyle name="Title [Helv] 3 2 6 2" xfId="32105" xr:uid="{00000000-0005-0000-0000-00000B0C0000}"/>
    <cellStyle name="Title [Helv] 3 2 6 3" xfId="50468" xr:uid="{00000000-0005-0000-0000-00000B0C0000}"/>
    <cellStyle name="Title [Helv] 3 2 7" xfId="23610" xr:uid="{00000000-0005-0000-0000-00000B0C0000}"/>
    <cellStyle name="Title [Helv] 3 2 7 2" xfId="41979" xr:uid="{00000000-0005-0000-0000-00000B0C0000}"/>
    <cellStyle name="Title [Helv] 3 2 8" xfId="18734" xr:uid="{00000000-0005-0000-0000-00000B0C0000}"/>
    <cellStyle name="Title [Helv] 3 2 9" xfId="37144" xr:uid="{00000000-0005-0000-0000-00000B0C0000}"/>
    <cellStyle name="Title [Helv] 3 3" xfId="4753" xr:uid="{00000000-0005-0000-0000-00000B0C0000}"/>
    <cellStyle name="Title [Helv] 3 3 2" xfId="11332" xr:uid="{00000000-0005-0000-0000-00000B0C0000}"/>
    <cellStyle name="Title [Helv] 3 3 2 2" xfId="29942" xr:uid="{00000000-0005-0000-0000-00000B0C0000}"/>
    <cellStyle name="Title [Helv] 3 3 2 3" xfId="48305" xr:uid="{00000000-0005-0000-0000-00000B0C0000}"/>
    <cellStyle name="Title [Helv] 3 3 3" xfId="15479" xr:uid="{00000000-0005-0000-0000-00000B0C0000}"/>
    <cellStyle name="Title [Helv] 3 3 3 2" xfId="33872" xr:uid="{00000000-0005-0000-0000-00000B0C0000}"/>
    <cellStyle name="Title [Helv] 3 3 3 3" xfId="52235" xr:uid="{00000000-0005-0000-0000-00000B0C0000}"/>
    <cellStyle name="Title [Helv] 3 3 4" xfId="24603" xr:uid="{00000000-0005-0000-0000-00000B0C0000}"/>
    <cellStyle name="Title [Helv] 3 3 4 2" xfId="42972" xr:uid="{00000000-0005-0000-0000-00000B0C0000}"/>
    <cellStyle name="Title [Helv] 3 3 5" xfId="20930" xr:uid="{00000000-0005-0000-0000-00000B0C0000}"/>
    <cellStyle name="Title [Helv] 3 3 6" xfId="39319" xr:uid="{00000000-0005-0000-0000-00000B0C0000}"/>
    <cellStyle name="Title [Helv] 3 4" xfId="4852" xr:uid="{00000000-0005-0000-0000-00000B0C0000}"/>
    <cellStyle name="Title [Helv] 3 4 2" xfId="11410" xr:uid="{00000000-0005-0000-0000-00000B0C0000}"/>
    <cellStyle name="Title [Helv] 3 4 2 2" xfId="30001" xr:uid="{00000000-0005-0000-0000-00000B0C0000}"/>
    <cellStyle name="Title [Helv] 3 4 2 3" xfId="48364" xr:uid="{00000000-0005-0000-0000-00000B0C0000}"/>
    <cellStyle name="Title [Helv] 3 4 3" xfId="15578" xr:uid="{00000000-0005-0000-0000-00000B0C0000}"/>
    <cellStyle name="Title [Helv] 3 4 3 2" xfId="33970" xr:uid="{00000000-0005-0000-0000-00000B0C0000}"/>
    <cellStyle name="Title [Helv] 3 4 3 3" xfId="52333" xr:uid="{00000000-0005-0000-0000-00000B0C0000}"/>
    <cellStyle name="Title [Helv] 3 4 4" xfId="24701" xr:uid="{00000000-0005-0000-0000-00000B0C0000}"/>
    <cellStyle name="Title [Helv] 3 4 4 2" xfId="43070" xr:uid="{00000000-0005-0000-0000-00000B0C0000}"/>
    <cellStyle name="Title [Helv] 3 4 5" xfId="21028" xr:uid="{00000000-0005-0000-0000-00000B0C0000}"/>
    <cellStyle name="Title [Helv] 3 4 6" xfId="39417" xr:uid="{00000000-0005-0000-0000-00000B0C0000}"/>
    <cellStyle name="Title [Helv] 3 5" xfId="9053" xr:uid="{00000000-0005-0000-0000-00000B0C0000}"/>
    <cellStyle name="Title [Helv] 3 5 2" xfId="6906" xr:uid="{00000000-0005-0000-0000-00000B0C0000}"/>
    <cellStyle name="Title [Helv] 3 5 2 2" xfId="26641" xr:uid="{00000000-0005-0000-0000-00000B0C0000}"/>
    <cellStyle name="Title [Helv] 3 5 2 3" xfId="45010" xr:uid="{00000000-0005-0000-0000-00000B0C0000}"/>
    <cellStyle name="Title [Helv] 3 5 3" xfId="27779" xr:uid="{00000000-0005-0000-0000-00000B0C0000}"/>
    <cellStyle name="Title [Helv] 3 5 3 2" xfId="46142" xr:uid="{00000000-0005-0000-0000-00000B0C0000}"/>
    <cellStyle name="Title [Helv] 3 5 4" xfId="17950" xr:uid="{00000000-0005-0000-0000-00000B0C0000}"/>
    <cellStyle name="Title [Helv] 3 5 5" xfId="36358" xr:uid="{00000000-0005-0000-0000-00000B0C0000}"/>
    <cellStyle name="Title [Helv] 3 6" xfId="8049" xr:uid="{00000000-0005-0000-0000-00000B0C0000}"/>
    <cellStyle name="Title [Helv] 3 6 2" xfId="27273" xr:uid="{00000000-0005-0000-0000-00000B0C0000}"/>
    <cellStyle name="Title [Helv] 3 6 3" xfId="45638" xr:uid="{00000000-0005-0000-0000-00000B0C0000}"/>
    <cellStyle name="Title [Helv] 3 7" xfId="8727" xr:uid="{00000000-0005-0000-0000-00000B0C0000}"/>
    <cellStyle name="Title [Helv] 3 7 2" xfId="27608" xr:uid="{00000000-0005-0000-0000-00000B0C0000}"/>
    <cellStyle name="Title [Helv] 3 7 3" xfId="45971" xr:uid="{00000000-0005-0000-0000-00000B0C0000}"/>
    <cellStyle name="Title [Helv] 3 8" xfId="19324" xr:uid="{00000000-0005-0000-0000-00000B0C0000}"/>
    <cellStyle name="Title [Helv] 3 8 2" xfId="37731" xr:uid="{00000000-0005-0000-0000-00000B0C0000}"/>
    <cellStyle name="Title [Helv] 3 9" xfId="11482" xr:uid="{00000000-0005-0000-0000-00000B0C0000}"/>
    <cellStyle name="Title [Helv] 4" xfId="2914" xr:uid="{00000000-0005-0000-0000-00000C0C0000}"/>
    <cellStyle name="Title [Helv] 4 10" xfId="35938" xr:uid="{00000000-0005-0000-0000-00000C0C0000}"/>
    <cellStyle name="Title [Helv] 4 2" xfId="3826" xr:uid="{00000000-0005-0000-0000-00000C0C0000}"/>
    <cellStyle name="Title [Helv] 4 2 2" xfId="5999" xr:uid="{00000000-0005-0000-0000-00000C0C0000}"/>
    <cellStyle name="Title [Helv] 4 2 2 2" xfId="12363" xr:uid="{00000000-0005-0000-0000-00000C0C0000}"/>
    <cellStyle name="Title [Helv] 4 2 2 2 2" xfId="30810" xr:uid="{00000000-0005-0000-0000-00000C0C0000}"/>
    <cellStyle name="Title [Helv] 4 2 2 2 3" xfId="49173" xr:uid="{00000000-0005-0000-0000-00000C0C0000}"/>
    <cellStyle name="Title [Helv] 4 2 2 3" xfId="16689" xr:uid="{00000000-0005-0000-0000-00000C0C0000}"/>
    <cellStyle name="Title [Helv] 4 2 2 3 2" xfId="35061" xr:uid="{00000000-0005-0000-0000-00000C0C0000}"/>
    <cellStyle name="Title [Helv] 4 2 2 3 3" xfId="53424" xr:uid="{00000000-0005-0000-0000-00000C0C0000}"/>
    <cellStyle name="Title [Helv] 4 2 2 4" xfId="25808" xr:uid="{00000000-0005-0000-0000-00000C0C0000}"/>
    <cellStyle name="Title [Helv] 4 2 2 4 2" xfId="44177" xr:uid="{00000000-0005-0000-0000-00000C0C0000}"/>
    <cellStyle name="Title [Helv] 4 2 2 5" xfId="22129" xr:uid="{00000000-0005-0000-0000-00000C0C0000}"/>
    <cellStyle name="Title [Helv] 4 2 2 6" xfId="40508" xr:uid="{00000000-0005-0000-0000-00000C0C0000}"/>
    <cellStyle name="Title [Helv] 4 2 3" xfId="6825" xr:uid="{00000000-0005-0000-0000-00000C0C0000}"/>
    <cellStyle name="Title [Helv] 4 2 3 2" xfId="13116" xr:uid="{00000000-0005-0000-0000-00000C0C0000}"/>
    <cellStyle name="Title [Helv] 4 2 3 2 2" xfId="31542" xr:uid="{00000000-0005-0000-0000-00000C0C0000}"/>
    <cellStyle name="Title [Helv] 4 2 3 2 3" xfId="49905" xr:uid="{00000000-0005-0000-0000-00000C0C0000}"/>
    <cellStyle name="Title [Helv] 4 2 3 3" xfId="17427" xr:uid="{00000000-0005-0000-0000-00000C0C0000}"/>
    <cellStyle name="Title [Helv] 4 2 3 3 2" xfId="35775" xr:uid="{00000000-0005-0000-0000-00000C0C0000}"/>
    <cellStyle name="Title [Helv] 4 2 3 3 3" xfId="54138" xr:uid="{00000000-0005-0000-0000-00000C0C0000}"/>
    <cellStyle name="Title [Helv] 4 2 3 4" xfId="26560" xr:uid="{00000000-0005-0000-0000-00000C0C0000}"/>
    <cellStyle name="Title [Helv] 4 2 3 4 2" xfId="44929" xr:uid="{00000000-0005-0000-0000-00000C0C0000}"/>
    <cellStyle name="Title [Helv] 4 2 3 5" xfId="22853" xr:uid="{00000000-0005-0000-0000-00000C0C0000}"/>
    <cellStyle name="Title [Helv] 4 2 3 6" xfId="41222" xr:uid="{00000000-0005-0000-0000-00000C0C0000}"/>
    <cellStyle name="Title [Helv] 4 2 4" xfId="10539" xr:uid="{00000000-0005-0000-0000-00000C0C0000}"/>
    <cellStyle name="Title [Helv] 4 2 4 2" xfId="14596" xr:uid="{00000000-0005-0000-0000-00000C0C0000}"/>
    <cellStyle name="Title [Helv] 4 2 4 2 2" xfId="33012" xr:uid="{00000000-0005-0000-0000-00000C0C0000}"/>
    <cellStyle name="Title [Helv] 4 2 4 2 3" xfId="51375" xr:uid="{00000000-0005-0000-0000-00000C0C0000}"/>
    <cellStyle name="Title [Helv] 4 2 4 3" xfId="29250" xr:uid="{00000000-0005-0000-0000-00000C0C0000}"/>
    <cellStyle name="Title [Helv] 4 2 4 3 2" xfId="47613" xr:uid="{00000000-0005-0000-0000-00000C0C0000}"/>
    <cellStyle name="Title [Helv] 4 2 4 4" xfId="20053" xr:uid="{00000000-0005-0000-0000-00000C0C0000}"/>
    <cellStyle name="Title [Helv] 4 2 4 5" xfId="38459" xr:uid="{00000000-0005-0000-0000-00000C0C0000}"/>
    <cellStyle name="Title [Helv] 4 2 5" xfId="9899" xr:uid="{00000000-0005-0000-0000-00000C0C0000}"/>
    <cellStyle name="Title [Helv] 4 2 5 2" xfId="28612" xr:uid="{00000000-0005-0000-0000-00000C0C0000}"/>
    <cellStyle name="Title [Helv] 4 2 5 3" xfId="46975" xr:uid="{00000000-0005-0000-0000-00000C0C0000}"/>
    <cellStyle name="Title [Helv] 4 2 6" xfId="13956" xr:uid="{00000000-0005-0000-0000-00000C0C0000}"/>
    <cellStyle name="Title [Helv] 4 2 6 2" xfId="32374" xr:uid="{00000000-0005-0000-0000-00000C0C0000}"/>
    <cellStyle name="Title [Helv] 4 2 6 3" xfId="50737" xr:uid="{00000000-0005-0000-0000-00000C0C0000}"/>
    <cellStyle name="Title [Helv] 4 2 7" xfId="23734" xr:uid="{00000000-0005-0000-0000-00000C0C0000}"/>
    <cellStyle name="Title [Helv] 4 2 7 2" xfId="42103" xr:uid="{00000000-0005-0000-0000-00000C0C0000}"/>
    <cellStyle name="Title [Helv] 4 2 8" xfId="19182" xr:uid="{00000000-0005-0000-0000-00000C0C0000}"/>
    <cellStyle name="Title [Helv] 4 2 9" xfId="37590" xr:uid="{00000000-0005-0000-0000-00000C0C0000}"/>
    <cellStyle name="Title [Helv] 4 3" xfId="5187" xr:uid="{00000000-0005-0000-0000-00000C0C0000}"/>
    <cellStyle name="Title [Helv] 4 3 2" xfId="11677" xr:uid="{00000000-0005-0000-0000-00000C0C0000}"/>
    <cellStyle name="Title [Helv] 4 3 2 2" xfId="30218" xr:uid="{00000000-0005-0000-0000-00000C0C0000}"/>
    <cellStyle name="Title [Helv] 4 3 2 3" xfId="48581" xr:uid="{00000000-0005-0000-0000-00000C0C0000}"/>
    <cellStyle name="Title [Helv] 4 3 3" xfId="15879" xr:uid="{00000000-0005-0000-0000-00000C0C0000}"/>
    <cellStyle name="Title [Helv] 4 3 3 2" xfId="34253" xr:uid="{00000000-0005-0000-0000-00000C0C0000}"/>
    <cellStyle name="Title [Helv] 4 3 3 3" xfId="52616" xr:uid="{00000000-0005-0000-0000-00000C0C0000}"/>
    <cellStyle name="Title [Helv] 4 3 4" xfId="25000" xr:uid="{00000000-0005-0000-0000-00000C0C0000}"/>
    <cellStyle name="Title [Helv] 4 3 4 2" xfId="43369" xr:uid="{00000000-0005-0000-0000-00000C0C0000}"/>
    <cellStyle name="Title [Helv] 4 3 5" xfId="21321" xr:uid="{00000000-0005-0000-0000-00000C0C0000}"/>
    <cellStyle name="Title [Helv] 4 3 6" xfId="39700" xr:uid="{00000000-0005-0000-0000-00000C0C0000}"/>
    <cellStyle name="Title [Helv] 4 4" xfId="6206" xr:uid="{00000000-0005-0000-0000-00000C0C0000}"/>
    <cellStyle name="Title [Helv] 4 4 2" xfId="12535" xr:uid="{00000000-0005-0000-0000-00000C0C0000}"/>
    <cellStyle name="Title [Helv] 4 4 2 2" xfId="30967" xr:uid="{00000000-0005-0000-0000-00000C0C0000}"/>
    <cellStyle name="Title [Helv] 4 4 2 3" xfId="49330" xr:uid="{00000000-0005-0000-0000-00000C0C0000}"/>
    <cellStyle name="Title [Helv] 4 4 3" xfId="16851" xr:uid="{00000000-0005-0000-0000-00000C0C0000}"/>
    <cellStyle name="Title [Helv] 4 4 3 2" xfId="35210" xr:uid="{00000000-0005-0000-0000-00000C0C0000}"/>
    <cellStyle name="Title [Helv] 4 4 3 3" xfId="53573" xr:uid="{00000000-0005-0000-0000-00000C0C0000}"/>
    <cellStyle name="Title [Helv] 4 4 4" xfId="25979" xr:uid="{00000000-0005-0000-0000-00000C0C0000}"/>
    <cellStyle name="Title [Helv] 4 4 4 2" xfId="44348" xr:uid="{00000000-0005-0000-0000-00000C0C0000}"/>
    <cellStyle name="Title [Helv] 4 4 5" xfId="22284" xr:uid="{00000000-0005-0000-0000-00000C0C0000}"/>
    <cellStyle name="Title [Helv] 4 4 6" xfId="40657" xr:uid="{00000000-0005-0000-0000-00000C0C0000}"/>
    <cellStyle name="Title [Helv] 4 5" xfId="10032" xr:uid="{00000000-0005-0000-0000-00000C0C0000}"/>
    <cellStyle name="Title [Helv] 4 5 2" xfId="14089" xr:uid="{00000000-0005-0000-0000-00000C0C0000}"/>
    <cellStyle name="Title [Helv] 4 5 2 2" xfId="32505" xr:uid="{00000000-0005-0000-0000-00000C0C0000}"/>
    <cellStyle name="Title [Helv] 4 5 2 3" xfId="50868" xr:uid="{00000000-0005-0000-0000-00000C0C0000}"/>
    <cellStyle name="Title [Helv] 4 5 3" xfId="28743" xr:uid="{00000000-0005-0000-0000-00000C0C0000}"/>
    <cellStyle name="Title [Helv] 4 5 3 2" xfId="47106" xr:uid="{00000000-0005-0000-0000-00000C0C0000}"/>
    <cellStyle name="Title [Helv] 4 5 4" xfId="19465" xr:uid="{00000000-0005-0000-0000-00000C0C0000}"/>
    <cellStyle name="Title [Helv] 4 5 5" xfId="37871" xr:uid="{00000000-0005-0000-0000-00000C0C0000}"/>
    <cellStyle name="Title [Helv] 4 6" xfId="8754" xr:uid="{00000000-0005-0000-0000-00000C0C0000}"/>
    <cellStyle name="Title [Helv] 4 6 2" xfId="27622" xr:uid="{00000000-0005-0000-0000-00000C0C0000}"/>
    <cellStyle name="Title [Helv] 4 6 3" xfId="45985" xr:uid="{00000000-0005-0000-0000-00000C0C0000}"/>
    <cellStyle name="Title [Helv] 4 7" xfId="8453" xr:uid="{00000000-0005-0000-0000-00000C0C0000}"/>
    <cellStyle name="Title [Helv] 4 7 2" xfId="27493" xr:uid="{00000000-0005-0000-0000-00000C0C0000}"/>
    <cellStyle name="Title [Helv] 4 7 3" xfId="45857" xr:uid="{00000000-0005-0000-0000-00000C0C0000}"/>
    <cellStyle name="Title [Helv] 4 8" xfId="22936" xr:uid="{00000000-0005-0000-0000-00000C0C0000}"/>
    <cellStyle name="Title [Helv] 4 8 2" xfId="41305" xr:uid="{00000000-0005-0000-0000-00000C0C0000}"/>
    <cellStyle name="Title [Helv] 4 9" xfId="10772" xr:uid="{00000000-0005-0000-0000-00000C0C0000}"/>
    <cellStyle name="Title [Helv] 5" xfId="3160" xr:uid="{00000000-0005-0000-0000-00000D0C0000}"/>
    <cellStyle name="Title [Helv] 5 2" xfId="3856" xr:uid="{00000000-0005-0000-0000-00000D0C0000}"/>
    <cellStyle name="Title [Helv] 5 2 2" xfId="6029" xr:uid="{00000000-0005-0000-0000-00000D0C0000}"/>
    <cellStyle name="Title [Helv] 5 2 2 2" xfId="12393" xr:uid="{00000000-0005-0000-0000-00000D0C0000}"/>
    <cellStyle name="Title [Helv] 5 2 2 2 2" xfId="30840" xr:uid="{00000000-0005-0000-0000-00000D0C0000}"/>
    <cellStyle name="Title [Helv] 5 2 2 2 3" xfId="49203" xr:uid="{00000000-0005-0000-0000-00000D0C0000}"/>
    <cellStyle name="Title [Helv] 5 2 2 3" xfId="16719" xr:uid="{00000000-0005-0000-0000-00000D0C0000}"/>
    <cellStyle name="Title [Helv] 5 2 2 3 2" xfId="35091" xr:uid="{00000000-0005-0000-0000-00000D0C0000}"/>
    <cellStyle name="Title [Helv] 5 2 2 3 3" xfId="53454" xr:uid="{00000000-0005-0000-0000-00000D0C0000}"/>
    <cellStyle name="Title [Helv] 5 2 2 4" xfId="25838" xr:uid="{00000000-0005-0000-0000-00000D0C0000}"/>
    <cellStyle name="Title [Helv] 5 2 2 4 2" xfId="44207" xr:uid="{00000000-0005-0000-0000-00000D0C0000}"/>
    <cellStyle name="Title [Helv] 5 2 2 5" xfId="22159" xr:uid="{00000000-0005-0000-0000-00000D0C0000}"/>
    <cellStyle name="Title [Helv] 5 2 2 6" xfId="40538" xr:uid="{00000000-0005-0000-0000-00000D0C0000}"/>
    <cellStyle name="Title [Helv] 5 2 3" xfId="6855" xr:uid="{00000000-0005-0000-0000-00000D0C0000}"/>
    <cellStyle name="Title [Helv] 5 2 3 2" xfId="13146" xr:uid="{00000000-0005-0000-0000-00000D0C0000}"/>
    <cellStyle name="Title [Helv] 5 2 3 2 2" xfId="31572" xr:uid="{00000000-0005-0000-0000-00000D0C0000}"/>
    <cellStyle name="Title [Helv] 5 2 3 2 3" xfId="49935" xr:uid="{00000000-0005-0000-0000-00000D0C0000}"/>
    <cellStyle name="Title [Helv] 5 2 3 3" xfId="17457" xr:uid="{00000000-0005-0000-0000-00000D0C0000}"/>
    <cellStyle name="Title [Helv] 5 2 3 3 2" xfId="35805" xr:uid="{00000000-0005-0000-0000-00000D0C0000}"/>
    <cellStyle name="Title [Helv] 5 2 3 3 3" xfId="54168" xr:uid="{00000000-0005-0000-0000-00000D0C0000}"/>
    <cellStyle name="Title [Helv] 5 2 3 4" xfId="26590" xr:uid="{00000000-0005-0000-0000-00000D0C0000}"/>
    <cellStyle name="Title [Helv] 5 2 3 4 2" xfId="44959" xr:uid="{00000000-0005-0000-0000-00000D0C0000}"/>
    <cellStyle name="Title [Helv] 5 2 3 5" xfId="22883" xr:uid="{00000000-0005-0000-0000-00000D0C0000}"/>
    <cellStyle name="Title [Helv] 5 2 3 6" xfId="41252" xr:uid="{00000000-0005-0000-0000-00000D0C0000}"/>
    <cellStyle name="Title [Helv] 5 2 4" xfId="10569" xr:uid="{00000000-0005-0000-0000-00000D0C0000}"/>
    <cellStyle name="Title [Helv] 5 2 4 2" xfId="14626" xr:uid="{00000000-0005-0000-0000-00000D0C0000}"/>
    <cellStyle name="Title [Helv] 5 2 4 2 2" xfId="33042" xr:uid="{00000000-0005-0000-0000-00000D0C0000}"/>
    <cellStyle name="Title [Helv] 5 2 4 2 3" xfId="51405" xr:uid="{00000000-0005-0000-0000-00000D0C0000}"/>
    <cellStyle name="Title [Helv] 5 2 4 3" xfId="29280" xr:uid="{00000000-0005-0000-0000-00000D0C0000}"/>
    <cellStyle name="Title [Helv] 5 2 4 3 2" xfId="47643" xr:uid="{00000000-0005-0000-0000-00000D0C0000}"/>
    <cellStyle name="Title [Helv] 5 2 4 4" xfId="20083" xr:uid="{00000000-0005-0000-0000-00000D0C0000}"/>
    <cellStyle name="Title [Helv] 5 2 4 5" xfId="38489" xr:uid="{00000000-0005-0000-0000-00000D0C0000}"/>
    <cellStyle name="Title [Helv] 5 2 5" xfId="9955" xr:uid="{00000000-0005-0000-0000-00000D0C0000}"/>
    <cellStyle name="Title [Helv] 5 2 5 2" xfId="28667" xr:uid="{00000000-0005-0000-0000-00000D0C0000}"/>
    <cellStyle name="Title [Helv] 5 2 5 3" xfId="47030" xr:uid="{00000000-0005-0000-0000-00000D0C0000}"/>
    <cellStyle name="Title [Helv] 5 2 6" xfId="14012" xr:uid="{00000000-0005-0000-0000-00000D0C0000}"/>
    <cellStyle name="Title [Helv] 5 2 6 2" xfId="32429" xr:uid="{00000000-0005-0000-0000-00000D0C0000}"/>
    <cellStyle name="Title [Helv] 5 2 6 3" xfId="50792" xr:uid="{00000000-0005-0000-0000-00000D0C0000}"/>
    <cellStyle name="Title [Helv] 5 2 7" xfId="23764" xr:uid="{00000000-0005-0000-0000-00000D0C0000}"/>
    <cellStyle name="Title [Helv] 5 2 7 2" xfId="42133" xr:uid="{00000000-0005-0000-0000-00000D0C0000}"/>
    <cellStyle name="Title [Helv] 5 2 8" xfId="19292" xr:uid="{00000000-0005-0000-0000-00000D0C0000}"/>
    <cellStyle name="Title [Helv] 5 2 9" xfId="37699" xr:uid="{00000000-0005-0000-0000-00000D0C0000}"/>
    <cellStyle name="Title [Helv] 5 3" xfId="5376" xr:uid="{00000000-0005-0000-0000-00000D0C0000}"/>
    <cellStyle name="Title [Helv] 5 3 2" xfId="11794" xr:uid="{00000000-0005-0000-0000-00000D0C0000}"/>
    <cellStyle name="Title [Helv] 5 3 2 2" xfId="30267" xr:uid="{00000000-0005-0000-0000-00000D0C0000}"/>
    <cellStyle name="Title [Helv] 5 3 2 3" xfId="48630" xr:uid="{00000000-0005-0000-0000-00000D0C0000}"/>
    <cellStyle name="Title [Helv] 5 3 3" xfId="16068" xr:uid="{00000000-0005-0000-0000-00000D0C0000}"/>
    <cellStyle name="Title [Helv] 5 3 3 2" xfId="34440" xr:uid="{00000000-0005-0000-0000-00000D0C0000}"/>
    <cellStyle name="Title [Helv] 5 3 3 3" xfId="52803" xr:uid="{00000000-0005-0000-0000-00000D0C0000}"/>
    <cellStyle name="Title [Helv] 5 3 4" xfId="25187" xr:uid="{00000000-0005-0000-0000-00000D0C0000}"/>
    <cellStyle name="Title [Helv] 5 3 4 2" xfId="43556" xr:uid="{00000000-0005-0000-0000-00000D0C0000}"/>
    <cellStyle name="Title [Helv] 5 3 5" xfId="21508" xr:uid="{00000000-0005-0000-0000-00000D0C0000}"/>
    <cellStyle name="Title [Helv] 5 3 6" xfId="39887" xr:uid="{00000000-0005-0000-0000-00000D0C0000}"/>
    <cellStyle name="Title [Helv] 5 4" xfId="6269" xr:uid="{00000000-0005-0000-0000-00000D0C0000}"/>
    <cellStyle name="Title [Helv] 5 4 2" xfId="12572" xr:uid="{00000000-0005-0000-0000-00000D0C0000}"/>
    <cellStyle name="Title [Helv] 5 4 2 2" xfId="31001" xr:uid="{00000000-0005-0000-0000-00000D0C0000}"/>
    <cellStyle name="Title [Helv] 5 4 2 3" xfId="49364" xr:uid="{00000000-0005-0000-0000-00000D0C0000}"/>
    <cellStyle name="Title [Helv] 5 4 3" xfId="16885" xr:uid="{00000000-0005-0000-0000-00000D0C0000}"/>
    <cellStyle name="Title [Helv] 5 4 3 2" xfId="35240" xr:uid="{00000000-0005-0000-0000-00000D0C0000}"/>
    <cellStyle name="Title [Helv] 5 4 3 3" xfId="53603" xr:uid="{00000000-0005-0000-0000-00000D0C0000}"/>
    <cellStyle name="Title [Helv] 5 4 4" xfId="26019" xr:uid="{00000000-0005-0000-0000-00000D0C0000}"/>
    <cellStyle name="Title [Helv] 5 4 4 2" xfId="44388" xr:uid="{00000000-0005-0000-0000-00000D0C0000}"/>
    <cellStyle name="Title [Helv] 5 4 5" xfId="22317" xr:uid="{00000000-0005-0000-0000-00000D0C0000}"/>
    <cellStyle name="Title [Helv] 5 4 6" xfId="40687" xr:uid="{00000000-0005-0000-0000-00000D0C0000}"/>
    <cellStyle name="Title [Helv] 5 5" xfId="8902" xr:uid="{00000000-0005-0000-0000-00000D0C0000}"/>
    <cellStyle name="Title [Helv] 5 5 2" xfId="27679" xr:uid="{00000000-0005-0000-0000-00000D0C0000}"/>
    <cellStyle name="Title [Helv] 5 5 3" xfId="46042" xr:uid="{00000000-0005-0000-0000-00000D0C0000}"/>
    <cellStyle name="Title [Helv] 5 6" xfId="12569" xr:uid="{00000000-0005-0000-0000-00000D0C0000}"/>
    <cellStyle name="Title [Helv] 5 6 2" xfId="30998" xr:uid="{00000000-0005-0000-0000-00000D0C0000}"/>
    <cellStyle name="Title [Helv] 5 6 3" xfId="49361" xr:uid="{00000000-0005-0000-0000-00000D0C0000}"/>
    <cellStyle name="Title [Helv] 5 7" xfId="23116" xr:uid="{00000000-0005-0000-0000-00000D0C0000}"/>
    <cellStyle name="Title [Helv] 5 7 2" xfId="41485" xr:uid="{00000000-0005-0000-0000-00000D0C0000}"/>
    <cellStyle name="Title [Helv] 5 8" xfId="17694" xr:uid="{00000000-0005-0000-0000-00000D0C0000}"/>
    <cellStyle name="Title [Helv] 5 9" xfId="36118" xr:uid="{00000000-0005-0000-0000-00000D0C0000}"/>
    <cellStyle name="Title [Helv] 6" xfId="3193" xr:uid="{00000000-0005-0000-0000-00000E0C0000}"/>
    <cellStyle name="Title [Helv] 6 2" xfId="3872" xr:uid="{00000000-0005-0000-0000-00000E0C0000}"/>
    <cellStyle name="Title [Helv] 6 2 2" xfId="6045" xr:uid="{00000000-0005-0000-0000-00000E0C0000}"/>
    <cellStyle name="Title [Helv] 6 2 2 2" xfId="12409" xr:uid="{00000000-0005-0000-0000-00000E0C0000}"/>
    <cellStyle name="Title [Helv] 6 2 2 2 2" xfId="30856" xr:uid="{00000000-0005-0000-0000-00000E0C0000}"/>
    <cellStyle name="Title [Helv] 6 2 2 2 3" xfId="49219" xr:uid="{00000000-0005-0000-0000-00000E0C0000}"/>
    <cellStyle name="Title [Helv] 6 2 2 3" xfId="16735" xr:uid="{00000000-0005-0000-0000-00000E0C0000}"/>
    <cellStyle name="Title [Helv] 6 2 2 3 2" xfId="35107" xr:uid="{00000000-0005-0000-0000-00000E0C0000}"/>
    <cellStyle name="Title [Helv] 6 2 2 3 3" xfId="53470" xr:uid="{00000000-0005-0000-0000-00000E0C0000}"/>
    <cellStyle name="Title [Helv] 6 2 2 4" xfId="25854" xr:uid="{00000000-0005-0000-0000-00000E0C0000}"/>
    <cellStyle name="Title [Helv] 6 2 2 4 2" xfId="44223" xr:uid="{00000000-0005-0000-0000-00000E0C0000}"/>
    <cellStyle name="Title [Helv] 6 2 2 5" xfId="22175" xr:uid="{00000000-0005-0000-0000-00000E0C0000}"/>
    <cellStyle name="Title [Helv] 6 2 2 6" xfId="40554" xr:uid="{00000000-0005-0000-0000-00000E0C0000}"/>
    <cellStyle name="Title [Helv] 6 2 3" xfId="6871" xr:uid="{00000000-0005-0000-0000-00000E0C0000}"/>
    <cellStyle name="Title [Helv] 6 2 3 2" xfId="13162" xr:uid="{00000000-0005-0000-0000-00000E0C0000}"/>
    <cellStyle name="Title [Helv] 6 2 3 2 2" xfId="31588" xr:uid="{00000000-0005-0000-0000-00000E0C0000}"/>
    <cellStyle name="Title [Helv] 6 2 3 2 3" xfId="49951" xr:uid="{00000000-0005-0000-0000-00000E0C0000}"/>
    <cellStyle name="Title [Helv] 6 2 3 3" xfId="17473" xr:uid="{00000000-0005-0000-0000-00000E0C0000}"/>
    <cellStyle name="Title [Helv] 6 2 3 3 2" xfId="35821" xr:uid="{00000000-0005-0000-0000-00000E0C0000}"/>
    <cellStyle name="Title [Helv] 6 2 3 3 3" xfId="54184" xr:uid="{00000000-0005-0000-0000-00000E0C0000}"/>
    <cellStyle name="Title [Helv] 6 2 3 4" xfId="26606" xr:uid="{00000000-0005-0000-0000-00000E0C0000}"/>
    <cellStyle name="Title [Helv] 6 2 3 4 2" xfId="44975" xr:uid="{00000000-0005-0000-0000-00000E0C0000}"/>
    <cellStyle name="Title [Helv] 6 2 3 5" xfId="22899" xr:uid="{00000000-0005-0000-0000-00000E0C0000}"/>
    <cellStyle name="Title [Helv] 6 2 3 6" xfId="41268" xr:uid="{00000000-0005-0000-0000-00000E0C0000}"/>
    <cellStyle name="Title [Helv] 6 2 4" xfId="10585" xr:uid="{00000000-0005-0000-0000-00000E0C0000}"/>
    <cellStyle name="Title [Helv] 6 2 4 2" xfId="14642" xr:uid="{00000000-0005-0000-0000-00000E0C0000}"/>
    <cellStyle name="Title [Helv] 6 2 4 2 2" xfId="33058" xr:uid="{00000000-0005-0000-0000-00000E0C0000}"/>
    <cellStyle name="Title [Helv] 6 2 4 2 3" xfId="51421" xr:uid="{00000000-0005-0000-0000-00000E0C0000}"/>
    <cellStyle name="Title [Helv] 6 2 4 3" xfId="29296" xr:uid="{00000000-0005-0000-0000-00000E0C0000}"/>
    <cellStyle name="Title [Helv] 6 2 4 3 2" xfId="47659" xr:uid="{00000000-0005-0000-0000-00000E0C0000}"/>
    <cellStyle name="Title [Helv] 6 2 4 4" xfId="20099" xr:uid="{00000000-0005-0000-0000-00000E0C0000}"/>
    <cellStyle name="Title [Helv] 6 2 4 5" xfId="38505" xr:uid="{00000000-0005-0000-0000-00000E0C0000}"/>
    <cellStyle name="Title [Helv] 6 2 5" xfId="9973" xr:uid="{00000000-0005-0000-0000-00000E0C0000}"/>
    <cellStyle name="Title [Helv] 6 2 5 2" xfId="28685" xr:uid="{00000000-0005-0000-0000-00000E0C0000}"/>
    <cellStyle name="Title [Helv] 6 2 5 3" xfId="47048" xr:uid="{00000000-0005-0000-0000-00000E0C0000}"/>
    <cellStyle name="Title [Helv] 6 2 6" xfId="14030" xr:uid="{00000000-0005-0000-0000-00000E0C0000}"/>
    <cellStyle name="Title [Helv] 6 2 6 2" xfId="32447" xr:uid="{00000000-0005-0000-0000-00000E0C0000}"/>
    <cellStyle name="Title [Helv] 6 2 6 3" xfId="50810" xr:uid="{00000000-0005-0000-0000-00000E0C0000}"/>
    <cellStyle name="Title [Helv] 6 2 7" xfId="23780" xr:uid="{00000000-0005-0000-0000-00000E0C0000}"/>
    <cellStyle name="Title [Helv] 6 2 7 2" xfId="42149" xr:uid="{00000000-0005-0000-0000-00000E0C0000}"/>
    <cellStyle name="Title [Helv] 6 2 8" xfId="19313" xr:uid="{00000000-0005-0000-0000-00000E0C0000}"/>
    <cellStyle name="Title [Helv] 6 2 9" xfId="37720" xr:uid="{00000000-0005-0000-0000-00000E0C0000}"/>
    <cellStyle name="Title [Helv] 6 3" xfId="5400" xr:uid="{00000000-0005-0000-0000-00000E0C0000}"/>
    <cellStyle name="Title [Helv] 6 3 2" xfId="11811" xr:uid="{00000000-0005-0000-0000-00000E0C0000}"/>
    <cellStyle name="Title [Helv] 6 3 2 2" xfId="30283" xr:uid="{00000000-0005-0000-0000-00000E0C0000}"/>
    <cellStyle name="Title [Helv] 6 3 2 3" xfId="48646" xr:uid="{00000000-0005-0000-0000-00000E0C0000}"/>
    <cellStyle name="Title [Helv] 6 3 3" xfId="16091" xr:uid="{00000000-0005-0000-0000-00000E0C0000}"/>
    <cellStyle name="Title [Helv] 6 3 3 2" xfId="34463" xr:uid="{00000000-0005-0000-0000-00000E0C0000}"/>
    <cellStyle name="Title [Helv] 6 3 3 3" xfId="52826" xr:uid="{00000000-0005-0000-0000-00000E0C0000}"/>
    <cellStyle name="Title [Helv] 6 3 4" xfId="25210" xr:uid="{00000000-0005-0000-0000-00000E0C0000}"/>
    <cellStyle name="Title [Helv] 6 3 4 2" xfId="43579" xr:uid="{00000000-0005-0000-0000-00000E0C0000}"/>
    <cellStyle name="Title [Helv] 6 3 5" xfId="21531" xr:uid="{00000000-0005-0000-0000-00000E0C0000}"/>
    <cellStyle name="Title [Helv] 6 3 6" xfId="39910" xr:uid="{00000000-0005-0000-0000-00000E0C0000}"/>
    <cellStyle name="Title [Helv] 6 4" xfId="6292" xr:uid="{00000000-0005-0000-0000-00000E0C0000}"/>
    <cellStyle name="Title [Helv] 6 4 2" xfId="12591" xr:uid="{00000000-0005-0000-0000-00000E0C0000}"/>
    <cellStyle name="Title [Helv] 6 4 2 2" xfId="31019" xr:uid="{00000000-0005-0000-0000-00000E0C0000}"/>
    <cellStyle name="Title [Helv] 6 4 2 3" xfId="49382" xr:uid="{00000000-0005-0000-0000-00000E0C0000}"/>
    <cellStyle name="Title [Helv] 6 4 3" xfId="16903" xr:uid="{00000000-0005-0000-0000-00000E0C0000}"/>
    <cellStyle name="Title [Helv] 6 4 3 2" xfId="35256" xr:uid="{00000000-0005-0000-0000-00000E0C0000}"/>
    <cellStyle name="Title [Helv] 6 4 3 3" xfId="53619" xr:uid="{00000000-0005-0000-0000-00000E0C0000}"/>
    <cellStyle name="Title [Helv] 6 4 4" xfId="26036" xr:uid="{00000000-0005-0000-0000-00000E0C0000}"/>
    <cellStyle name="Title [Helv] 6 4 4 2" xfId="44405" xr:uid="{00000000-0005-0000-0000-00000E0C0000}"/>
    <cellStyle name="Title [Helv] 6 4 5" xfId="22333" xr:uid="{00000000-0005-0000-0000-00000E0C0000}"/>
    <cellStyle name="Title [Helv] 6 4 6" xfId="40703" xr:uid="{00000000-0005-0000-0000-00000E0C0000}"/>
    <cellStyle name="Title [Helv] 6 5" xfId="8928" xr:uid="{00000000-0005-0000-0000-00000E0C0000}"/>
    <cellStyle name="Title [Helv] 6 5 2" xfId="27699" xr:uid="{00000000-0005-0000-0000-00000E0C0000}"/>
    <cellStyle name="Title [Helv] 6 5 3" xfId="46062" xr:uid="{00000000-0005-0000-0000-00000E0C0000}"/>
    <cellStyle name="Title [Helv] 6 6" xfId="6976" xr:uid="{00000000-0005-0000-0000-00000E0C0000}"/>
    <cellStyle name="Title [Helv] 6 6 2" xfId="26691" xr:uid="{00000000-0005-0000-0000-00000E0C0000}"/>
    <cellStyle name="Title [Helv] 6 6 3" xfId="45060" xr:uid="{00000000-0005-0000-0000-00000E0C0000}"/>
    <cellStyle name="Title [Helv] 6 7" xfId="23139" xr:uid="{00000000-0005-0000-0000-00000E0C0000}"/>
    <cellStyle name="Title [Helv] 6 7 2" xfId="41508" xr:uid="{00000000-0005-0000-0000-00000E0C0000}"/>
    <cellStyle name="Title [Helv] 6 8" xfId="17720" xr:uid="{00000000-0005-0000-0000-00000E0C0000}"/>
    <cellStyle name="Title [Helv] 6 9" xfId="36141" xr:uid="{00000000-0005-0000-0000-00000E0C0000}"/>
    <cellStyle name="Title [Helv] 7" xfId="3306" xr:uid="{00000000-0005-0000-0000-00000F0C0000}"/>
    <cellStyle name="Title [Helv] 7 2" xfId="3888" xr:uid="{00000000-0005-0000-0000-00000F0C0000}"/>
    <cellStyle name="Title [Helv] 7 2 2" xfId="6061" xr:uid="{00000000-0005-0000-0000-00000F0C0000}"/>
    <cellStyle name="Title [Helv] 7 2 2 2" xfId="12425" xr:uid="{00000000-0005-0000-0000-00000F0C0000}"/>
    <cellStyle name="Title [Helv] 7 2 2 2 2" xfId="30872" xr:uid="{00000000-0005-0000-0000-00000F0C0000}"/>
    <cellStyle name="Title [Helv] 7 2 2 2 3" xfId="49235" xr:uid="{00000000-0005-0000-0000-00000F0C0000}"/>
    <cellStyle name="Title [Helv] 7 2 2 3" xfId="16751" xr:uid="{00000000-0005-0000-0000-00000F0C0000}"/>
    <cellStyle name="Title [Helv] 7 2 2 3 2" xfId="35123" xr:uid="{00000000-0005-0000-0000-00000F0C0000}"/>
    <cellStyle name="Title [Helv] 7 2 2 3 3" xfId="53486" xr:uid="{00000000-0005-0000-0000-00000F0C0000}"/>
    <cellStyle name="Title [Helv] 7 2 2 4" xfId="25870" xr:uid="{00000000-0005-0000-0000-00000F0C0000}"/>
    <cellStyle name="Title [Helv] 7 2 2 4 2" xfId="44239" xr:uid="{00000000-0005-0000-0000-00000F0C0000}"/>
    <cellStyle name="Title [Helv] 7 2 2 5" xfId="22191" xr:uid="{00000000-0005-0000-0000-00000F0C0000}"/>
    <cellStyle name="Title [Helv] 7 2 2 6" xfId="40570" xr:uid="{00000000-0005-0000-0000-00000F0C0000}"/>
    <cellStyle name="Title [Helv] 7 2 3" xfId="6887" xr:uid="{00000000-0005-0000-0000-00000F0C0000}"/>
    <cellStyle name="Title [Helv] 7 2 3 2" xfId="13178" xr:uid="{00000000-0005-0000-0000-00000F0C0000}"/>
    <cellStyle name="Title [Helv] 7 2 3 2 2" xfId="31604" xr:uid="{00000000-0005-0000-0000-00000F0C0000}"/>
    <cellStyle name="Title [Helv] 7 2 3 2 3" xfId="49967" xr:uid="{00000000-0005-0000-0000-00000F0C0000}"/>
    <cellStyle name="Title [Helv] 7 2 3 3" xfId="17489" xr:uid="{00000000-0005-0000-0000-00000F0C0000}"/>
    <cellStyle name="Title [Helv] 7 2 3 3 2" xfId="35837" xr:uid="{00000000-0005-0000-0000-00000F0C0000}"/>
    <cellStyle name="Title [Helv] 7 2 3 3 3" xfId="54200" xr:uid="{00000000-0005-0000-0000-00000F0C0000}"/>
    <cellStyle name="Title [Helv] 7 2 3 4" xfId="26622" xr:uid="{00000000-0005-0000-0000-00000F0C0000}"/>
    <cellStyle name="Title [Helv] 7 2 3 4 2" xfId="44991" xr:uid="{00000000-0005-0000-0000-00000F0C0000}"/>
    <cellStyle name="Title [Helv] 7 2 3 5" xfId="22915" xr:uid="{00000000-0005-0000-0000-00000F0C0000}"/>
    <cellStyle name="Title [Helv] 7 2 3 6" xfId="41284" xr:uid="{00000000-0005-0000-0000-00000F0C0000}"/>
    <cellStyle name="Title [Helv] 7 2 4" xfId="10601" xr:uid="{00000000-0005-0000-0000-00000F0C0000}"/>
    <cellStyle name="Title [Helv] 7 2 4 2" xfId="14658" xr:uid="{00000000-0005-0000-0000-00000F0C0000}"/>
    <cellStyle name="Title [Helv] 7 2 4 2 2" xfId="33074" xr:uid="{00000000-0005-0000-0000-00000F0C0000}"/>
    <cellStyle name="Title [Helv] 7 2 4 2 3" xfId="51437" xr:uid="{00000000-0005-0000-0000-00000F0C0000}"/>
    <cellStyle name="Title [Helv] 7 2 4 3" xfId="29312" xr:uid="{00000000-0005-0000-0000-00000F0C0000}"/>
    <cellStyle name="Title [Helv] 7 2 4 3 2" xfId="47675" xr:uid="{00000000-0005-0000-0000-00000F0C0000}"/>
    <cellStyle name="Title [Helv] 7 2 4 4" xfId="20115" xr:uid="{00000000-0005-0000-0000-00000F0C0000}"/>
    <cellStyle name="Title [Helv] 7 2 4 5" xfId="38521" xr:uid="{00000000-0005-0000-0000-00000F0C0000}"/>
    <cellStyle name="Title [Helv] 7 2 5" xfId="9995" xr:uid="{00000000-0005-0000-0000-00000F0C0000}"/>
    <cellStyle name="Title [Helv] 7 2 5 2" xfId="28707" xr:uid="{00000000-0005-0000-0000-00000F0C0000}"/>
    <cellStyle name="Title [Helv] 7 2 5 3" xfId="47070" xr:uid="{00000000-0005-0000-0000-00000F0C0000}"/>
    <cellStyle name="Title [Helv] 7 2 6" xfId="14052" xr:uid="{00000000-0005-0000-0000-00000F0C0000}"/>
    <cellStyle name="Title [Helv] 7 2 6 2" xfId="32469" xr:uid="{00000000-0005-0000-0000-00000F0C0000}"/>
    <cellStyle name="Title [Helv] 7 2 6 3" xfId="50832" xr:uid="{00000000-0005-0000-0000-00000F0C0000}"/>
    <cellStyle name="Title [Helv] 7 2 7" xfId="23796" xr:uid="{00000000-0005-0000-0000-00000F0C0000}"/>
    <cellStyle name="Title [Helv] 7 2 7 2" xfId="42165" xr:uid="{00000000-0005-0000-0000-00000F0C0000}"/>
    <cellStyle name="Title [Helv] 7 2 8" xfId="19364" xr:uid="{00000000-0005-0000-0000-00000F0C0000}"/>
    <cellStyle name="Title [Helv] 7 2 9" xfId="37771" xr:uid="{00000000-0005-0000-0000-00000F0C0000}"/>
    <cellStyle name="Title [Helv] 7 3" xfId="5492" xr:uid="{00000000-0005-0000-0000-00000F0C0000}"/>
    <cellStyle name="Title [Helv] 7 3 2" xfId="11858" xr:uid="{00000000-0005-0000-0000-00000F0C0000}"/>
    <cellStyle name="Title [Helv] 7 3 2 2" xfId="30305" xr:uid="{00000000-0005-0000-0000-00000F0C0000}"/>
    <cellStyle name="Title [Helv] 7 3 2 3" xfId="48668" xr:uid="{00000000-0005-0000-0000-00000F0C0000}"/>
    <cellStyle name="Title [Helv] 7 3 3" xfId="16183" xr:uid="{00000000-0005-0000-0000-00000F0C0000}"/>
    <cellStyle name="Title [Helv] 7 3 3 2" xfId="34555" xr:uid="{00000000-0005-0000-0000-00000F0C0000}"/>
    <cellStyle name="Title [Helv] 7 3 3 3" xfId="52918" xr:uid="{00000000-0005-0000-0000-00000F0C0000}"/>
    <cellStyle name="Title [Helv] 7 3 4" xfId="25302" xr:uid="{00000000-0005-0000-0000-00000F0C0000}"/>
    <cellStyle name="Title [Helv] 7 3 4 2" xfId="43671" xr:uid="{00000000-0005-0000-0000-00000F0C0000}"/>
    <cellStyle name="Title [Helv] 7 3 5" xfId="21623" xr:uid="{00000000-0005-0000-0000-00000F0C0000}"/>
    <cellStyle name="Title [Helv] 7 3 6" xfId="40002" xr:uid="{00000000-0005-0000-0000-00000F0C0000}"/>
    <cellStyle name="Title [Helv] 7 4" xfId="6321" xr:uid="{00000000-0005-0000-0000-00000F0C0000}"/>
    <cellStyle name="Title [Helv] 7 4 2" xfId="12612" xr:uid="{00000000-0005-0000-0000-00000F0C0000}"/>
    <cellStyle name="Title [Helv] 7 4 2 2" xfId="31038" xr:uid="{00000000-0005-0000-0000-00000F0C0000}"/>
    <cellStyle name="Title [Helv] 7 4 2 3" xfId="49401" xr:uid="{00000000-0005-0000-0000-00000F0C0000}"/>
    <cellStyle name="Title [Helv] 7 4 3" xfId="16923" xr:uid="{00000000-0005-0000-0000-00000F0C0000}"/>
    <cellStyle name="Title [Helv] 7 4 3 2" xfId="35272" xr:uid="{00000000-0005-0000-0000-00000F0C0000}"/>
    <cellStyle name="Title [Helv] 7 4 3 3" xfId="53635" xr:uid="{00000000-0005-0000-0000-00000F0C0000}"/>
    <cellStyle name="Title [Helv] 7 4 4" xfId="26057" xr:uid="{00000000-0005-0000-0000-00000F0C0000}"/>
    <cellStyle name="Title [Helv] 7 4 4 2" xfId="44426" xr:uid="{00000000-0005-0000-0000-00000F0C0000}"/>
    <cellStyle name="Title [Helv] 7 4 5" xfId="22350" xr:uid="{00000000-0005-0000-0000-00000F0C0000}"/>
    <cellStyle name="Title [Helv] 7 4 6" xfId="40719" xr:uid="{00000000-0005-0000-0000-00000F0C0000}"/>
    <cellStyle name="Title [Helv] 7 5" xfId="8993" xr:uid="{00000000-0005-0000-0000-00000F0C0000}"/>
    <cellStyle name="Title [Helv] 7 5 2" xfId="27721" xr:uid="{00000000-0005-0000-0000-00000F0C0000}"/>
    <cellStyle name="Title [Helv] 7 5 3" xfId="46084" xr:uid="{00000000-0005-0000-0000-00000F0C0000}"/>
    <cellStyle name="Title [Helv] 7 6" xfId="8154" xr:uid="{00000000-0005-0000-0000-00000F0C0000}"/>
    <cellStyle name="Title [Helv] 7 6 2" xfId="27358" xr:uid="{00000000-0005-0000-0000-00000F0C0000}"/>
    <cellStyle name="Title [Helv] 7 6 3" xfId="45723" xr:uid="{00000000-0005-0000-0000-00000F0C0000}"/>
    <cellStyle name="Title [Helv] 7 7" xfId="23229" xr:uid="{00000000-0005-0000-0000-00000F0C0000}"/>
    <cellStyle name="Title [Helv] 7 7 2" xfId="41598" xr:uid="{00000000-0005-0000-0000-00000F0C0000}"/>
    <cellStyle name="Title [Helv] 7 8" xfId="17817" xr:uid="{00000000-0005-0000-0000-00000F0C0000}"/>
    <cellStyle name="Title [Helv] 7 9" xfId="36231" xr:uid="{00000000-0005-0000-0000-00000F0C0000}"/>
    <cellStyle name="Title [Helv] 8" xfId="7351" xr:uid="{00000000-0005-0000-0000-0000FC0B0000}"/>
    <cellStyle name="Title [Helv] 8 2" xfId="26784" xr:uid="{00000000-0005-0000-0000-0000FC0B0000}"/>
    <cellStyle name="Title [Helv] 8 3" xfId="45152" xr:uid="{00000000-0005-0000-0000-0000FC0B0000}"/>
    <cellStyle name="Title [Helv]_Summary" xfId="2374" xr:uid="{00000000-0005-0000-0000-0000100C0000}"/>
    <cellStyle name="Title [Palat]" xfId="899" xr:uid="{00000000-0005-0000-0000-0000110C0000}"/>
    <cellStyle name="Title [Palat] 2" xfId="1085" xr:uid="{00000000-0005-0000-0000-0000120C0000}"/>
    <cellStyle name="Title [Palat] 2 10" xfId="7474" xr:uid="{00000000-0005-0000-0000-0000120C0000}"/>
    <cellStyle name="Title [Palat] 2 10 2" xfId="26840" xr:uid="{00000000-0005-0000-0000-0000120C0000}"/>
    <cellStyle name="Title [Palat] 2 10 3" xfId="45205" xr:uid="{00000000-0005-0000-0000-0000120C0000}"/>
    <cellStyle name="Title [Palat] 2 11" xfId="7272" xr:uid="{00000000-0005-0000-0000-0000120C0000}"/>
    <cellStyle name="Title [Palat] 2 11 2" xfId="26778" xr:uid="{00000000-0005-0000-0000-0000120C0000}"/>
    <cellStyle name="Title [Palat] 2 11 3" xfId="45146" xr:uid="{00000000-0005-0000-0000-0000120C0000}"/>
    <cellStyle name="Title [Palat] 2 12" xfId="15791" xr:uid="{00000000-0005-0000-0000-0000120C0000}"/>
    <cellStyle name="Title [Palat] 2 2" xfId="1251" xr:uid="{00000000-0005-0000-0000-0000130C0000}"/>
    <cellStyle name="Title [Palat] 2 2 10" xfId="22336" xr:uid="{00000000-0005-0000-0000-0000130C0000}"/>
    <cellStyle name="Title [Palat] 2 2 2" xfId="1654" xr:uid="{00000000-0005-0000-0000-0000140C0000}"/>
    <cellStyle name="Title [Palat] 2 2 2 10" xfId="18972" xr:uid="{00000000-0005-0000-0000-0000140C0000}"/>
    <cellStyle name="Title [Palat] 2 2 2 10 2" xfId="37381" xr:uid="{00000000-0005-0000-0000-0000140C0000}"/>
    <cellStyle name="Title [Palat] 2 2 2 11" xfId="14838" xr:uid="{00000000-0005-0000-0000-0000140C0000}"/>
    <cellStyle name="Title [Palat] 2 2 2 12" xfId="7037" xr:uid="{00000000-0005-0000-0000-0000140C0000}"/>
    <cellStyle name="Title [Palat] 2 2 2 2" xfId="1735" xr:uid="{00000000-0005-0000-0000-0000150C0000}"/>
    <cellStyle name="Title [Palat] 2 2 2 2 10" xfId="7542" xr:uid="{00000000-0005-0000-0000-0000150C0000}"/>
    <cellStyle name="Title [Palat] 2 2 2 2 2" xfId="3632" xr:uid="{00000000-0005-0000-0000-0000150C0000}"/>
    <cellStyle name="Title [Palat] 2 2 2 2 2 2" xfId="5805" xr:uid="{00000000-0005-0000-0000-0000150C0000}"/>
    <cellStyle name="Title [Palat] 2 2 2 2 2 2 2" xfId="12169" xr:uid="{00000000-0005-0000-0000-0000150C0000}"/>
    <cellStyle name="Title [Palat] 2 2 2 2 2 2 2 2" xfId="30616" xr:uid="{00000000-0005-0000-0000-0000150C0000}"/>
    <cellStyle name="Title [Palat] 2 2 2 2 2 2 2 3" xfId="48979" xr:uid="{00000000-0005-0000-0000-0000150C0000}"/>
    <cellStyle name="Title [Palat] 2 2 2 2 2 2 3" xfId="16495" xr:uid="{00000000-0005-0000-0000-0000150C0000}"/>
    <cellStyle name="Title [Palat] 2 2 2 2 2 2 3 2" xfId="34867" xr:uid="{00000000-0005-0000-0000-0000150C0000}"/>
    <cellStyle name="Title [Palat] 2 2 2 2 2 2 3 3" xfId="53230" xr:uid="{00000000-0005-0000-0000-0000150C0000}"/>
    <cellStyle name="Title [Palat] 2 2 2 2 2 2 4" xfId="25614" xr:uid="{00000000-0005-0000-0000-0000150C0000}"/>
    <cellStyle name="Title [Palat] 2 2 2 2 2 2 4 2" xfId="43983" xr:uid="{00000000-0005-0000-0000-0000150C0000}"/>
    <cellStyle name="Title [Palat] 2 2 2 2 2 2 5" xfId="21935" xr:uid="{00000000-0005-0000-0000-0000150C0000}"/>
    <cellStyle name="Title [Palat] 2 2 2 2 2 2 6" xfId="40314" xr:uid="{00000000-0005-0000-0000-0000150C0000}"/>
    <cellStyle name="Title [Palat] 2 2 2 2 2 3" xfId="6631" xr:uid="{00000000-0005-0000-0000-0000150C0000}"/>
    <cellStyle name="Title [Palat] 2 2 2 2 2 3 2" xfId="12922" xr:uid="{00000000-0005-0000-0000-0000150C0000}"/>
    <cellStyle name="Title [Palat] 2 2 2 2 2 3 2 2" xfId="31348" xr:uid="{00000000-0005-0000-0000-0000150C0000}"/>
    <cellStyle name="Title [Palat] 2 2 2 2 2 3 2 3" xfId="49711" xr:uid="{00000000-0005-0000-0000-0000150C0000}"/>
    <cellStyle name="Title [Palat] 2 2 2 2 2 3 3" xfId="17233" xr:uid="{00000000-0005-0000-0000-0000150C0000}"/>
    <cellStyle name="Title [Palat] 2 2 2 2 2 3 3 2" xfId="35581" xr:uid="{00000000-0005-0000-0000-0000150C0000}"/>
    <cellStyle name="Title [Palat] 2 2 2 2 2 3 3 3" xfId="53944" xr:uid="{00000000-0005-0000-0000-0000150C0000}"/>
    <cellStyle name="Title [Palat] 2 2 2 2 2 3 4" xfId="26366" xr:uid="{00000000-0005-0000-0000-0000150C0000}"/>
    <cellStyle name="Title [Palat] 2 2 2 2 2 3 4 2" xfId="44735" xr:uid="{00000000-0005-0000-0000-0000150C0000}"/>
    <cellStyle name="Title [Palat] 2 2 2 2 2 3 5" xfId="22659" xr:uid="{00000000-0005-0000-0000-0000150C0000}"/>
    <cellStyle name="Title [Palat] 2 2 2 2 2 3 6" xfId="41028" xr:uid="{00000000-0005-0000-0000-0000150C0000}"/>
    <cellStyle name="Title [Palat] 2 2 2 2 2 4" xfId="10345" xr:uid="{00000000-0005-0000-0000-0000150C0000}"/>
    <cellStyle name="Title [Palat] 2 2 2 2 2 4 2" xfId="14402" xr:uid="{00000000-0005-0000-0000-0000150C0000}"/>
    <cellStyle name="Title [Palat] 2 2 2 2 2 4 2 2" xfId="32818" xr:uid="{00000000-0005-0000-0000-0000150C0000}"/>
    <cellStyle name="Title [Palat] 2 2 2 2 2 4 2 3" xfId="51181" xr:uid="{00000000-0005-0000-0000-0000150C0000}"/>
    <cellStyle name="Title [Palat] 2 2 2 2 2 4 3" xfId="29056" xr:uid="{00000000-0005-0000-0000-0000150C0000}"/>
    <cellStyle name="Title [Palat] 2 2 2 2 2 4 3 2" xfId="47419" xr:uid="{00000000-0005-0000-0000-0000150C0000}"/>
    <cellStyle name="Title [Palat] 2 2 2 2 2 4 4" xfId="19859" xr:uid="{00000000-0005-0000-0000-0000150C0000}"/>
    <cellStyle name="Title [Palat] 2 2 2 2 2 4 5" xfId="38265" xr:uid="{00000000-0005-0000-0000-0000150C0000}"/>
    <cellStyle name="Title [Palat] 2 2 2 2 2 5" xfId="9553" xr:uid="{00000000-0005-0000-0000-0000150C0000}"/>
    <cellStyle name="Title [Palat] 2 2 2 2 2 5 2" xfId="28270" xr:uid="{00000000-0005-0000-0000-0000150C0000}"/>
    <cellStyle name="Title [Palat] 2 2 2 2 2 5 3" xfId="46633" xr:uid="{00000000-0005-0000-0000-0000150C0000}"/>
    <cellStyle name="Title [Palat] 2 2 2 2 2 6" xfId="13611" xr:uid="{00000000-0005-0000-0000-0000150C0000}"/>
    <cellStyle name="Title [Palat] 2 2 2 2 2 6 2" xfId="32032" xr:uid="{00000000-0005-0000-0000-0000150C0000}"/>
    <cellStyle name="Title [Palat] 2 2 2 2 2 6 3" xfId="50395" xr:uid="{00000000-0005-0000-0000-0000150C0000}"/>
    <cellStyle name="Title [Palat] 2 2 2 2 2 7" xfId="23540" xr:uid="{00000000-0005-0000-0000-0000150C0000}"/>
    <cellStyle name="Title [Palat] 2 2 2 2 2 7 2" xfId="41909" xr:uid="{00000000-0005-0000-0000-0000150C0000}"/>
    <cellStyle name="Title [Palat] 2 2 2 2 2 8" xfId="18652" xr:uid="{00000000-0005-0000-0000-0000150C0000}"/>
    <cellStyle name="Title [Palat] 2 2 2 2 2 9" xfId="37062" xr:uid="{00000000-0005-0000-0000-0000150C0000}"/>
    <cellStyle name="Title [Palat] 2 2 2 2 3" xfId="4672" xr:uid="{00000000-0005-0000-0000-0000150C0000}"/>
    <cellStyle name="Title [Palat] 2 2 2 2 3 2" xfId="11256" xr:uid="{00000000-0005-0000-0000-0000150C0000}"/>
    <cellStyle name="Title [Palat] 2 2 2 2 3 2 2" xfId="29868" xr:uid="{00000000-0005-0000-0000-0000150C0000}"/>
    <cellStyle name="Title [Palat] 2 2 2 2 3 2 3" xfId="48231" xr:uid="{00000000-0005-0000-0000-0000150C0000}"/>
    <cellStyle name="Title [Palat] 2 2 2 2 3 3" xfId="15398" xr:uid="{00000000-0005-0000-0000-0000150C0000}"/>
    <cellStyle name="Title [Palat] 2 2 2 2 3 3 2" xfId="33791" xr:uid="{00000000-0005-0000-0000-0000150C0000}"/>
    <cellStyle name="Title [Palat] 2 2 2 2 3 3 3" xfId="52154" xr:uid="{00000000-0005-0000-0000-0000150C0000}"/>
    <cellStyle name="Title [Palat] 2 2 2 2 3 4" xfId="24522" xr:uid="{00000000-0005-0000-0000-0000150C0000}"/>
    <cellStyle name="Title [Palat] 2 2 2 2 3 4 2" xfId="42891" xr:uid="{00000000-0005-0000-0000-0000150C0000}"/>
    <cellStyle name="Title [Palat] 2 2 2 2 3 5" xfId="20849" xr:uid="{00000000-0005-0000-0000-0000150C0000}"/>
    <cellStyle name="Title [Palat] 2 2 2 2 3 6" xfId="39238" xr:uid="{00000000-0005-0000-0000-0000150C0000}"/>
    <cellStyle name="Title [Palat] 2 2 2 2 4" xfId="4873" xr:uid="{00000000-0005-0000-0000-0000150C0000}"/>
    <cellStyle name="Title [Palat] 2 2 2 2 4 2" xfId="11431" xr:uid="{00000000-0005-0000-0000-0000150C0000}"/>
    <cellStyle name="Title [Palat] 2 2 2 2 4 2 2" xfId="30021" xr:uid="{00000000-0005-0000-0000-0000150C0000}"/>
    <cellStyle name="Title [Palat] 2 2 2 2 4 2 3" xfId="48384" xr:uid="{00000000-0005-0000-0000-0000150C0000}"/>
    <cellStyle name="Title [Palat] 2 2 2 2 4 3" xfId="15599" xr:uid="{00000000-0005-0000-0000-0000150C0000}"/>
    <cellStyle name="Title [Palat] 2 2 2 2 4 3 2" xfId="33990" xr:uid="{00000000-0005-0000-0000-0000150C0000}"/>
    <cellStyle name="Title [Palat] 2 2 2 2 4 3 3" xfId="52353" xr:uid="{00000000-0005-0000-0000-0000150C0000}"/>
    <cellStyle name="Title [Palat] 2 2 2 2 4 4" xfId="24721" xr:uid="{00000000-0005-0000-0000-0000150C0000}"/>
    <cellStyle name="Title [Palat] 2 2 2 2 4 4 2" xfId="43090" xr:uid="{00000000-0005-0000-0000-0000150C0000}"/>
    <cellStyle name="Title [Palat] 2 2 2 2 4 5" xfId="21048" xr:uid="{00000000-0005-0000-0000-0000150C0000}"/>
    <cellStyle name="Title [Palat] 2 2 2 2 4 6" xfId="39437" xr:uid="{00000000-0005-0000-0000-0000150C0000}"/>
    <cellStyle name="Title [Palat] 2 2 2 2 5" xfId="9634" xr:uid="{00000000-0005-0000-0000-0000150C0000}"/>
    <cellStyle name="Title [Palat] 2 2 2 2 5 2" xfId="13691" xr:uid="{00000000-0005-0000-0000-0000150C0000}"/>
    <cellStyle name="Title [Palat] 2 2 2 2 5 2 2" xfId="32112" xr:uid="{00000000-0005-0000-0000-0000150C0000}"/>
    <cellStyle name="Title [Palat] 2 2 2 2 5 2 3" xfId="50475" xr:uid="{00000000-0005-0000-0000-0000150C0000}"/>
    <cellStyle name="Title [Palat] 2 2 2 2 5 3" xfId="28350" xr:uid="{00000000-0005-0000-0000-0000150C0000}"/>
    <cellStyle name="Title [Palat] 2 2 2 2 5 3 2" xfId="46713" xr:uid="{00000000-0005-0000-0000-0000150C0000}"/>
    <cellStyle name="Title [Palat] 2 2 2 2 5 4" xfId="18748" xr:uid="{00000000-0005-0000-0000-0000150C0000}"/>
    <cellStyle name="Title [Palat] 2 2 2 2 5 5" xfId="37157" xr:uid="{00000000-0005-0000-0000-0000150C0000}"/>
    <cellStyle name="Title [Palat] 2 2 2 2 6" xfId="7966" xr:uid="{00000000-0005-0000-0000-0000150C0000}"/>
    <cellStyle name="Title [Palat] 2 2 2 2 6 2" xfId="27196" xr:uid="{00000000-0005-0000-0000-0000150C0000}"/>
    <cellStyle name="Title [Palat] 2 2 2 2 6 3" xfId="45561" xr:uid="{00000000-0005-0000-0000-0000150C0000}"/>
    <cellStyle name="Title [Palat] 2 2 2 2 7" xfId="7623" xr:uid="{00000000-0005-0000-0000-0000150C0000}"/>
    <cellStyle name="Title [Palat] 2 2 2 2 7 2" xfId="26918" xr:uid="{00000000-0005-0000-0000-0000150C0000}"/>
    <cellStyle name="Title [Palat] 2 2 2 2 7 3" xfId="45283" xr:uid="{00000000-0005-0000-0000-0000150C0000}"/>
    <cellStyle name="Title [Palat] 2 2 2 2 8" xfId="19393" xr:uid="{00000000-0005-0000-0000-0000150C0000}"/>
    <cellStyle name="Title [Palat] 2 2 2 2 8 2" xfId="37800" xr:uid="{00000000-0005-0000-0000-0000150C0000}"/>
    <cellStyle name="Title [Palat] 2 2 2 2 9" xfId="15709" xr:uid="{00000000-0005-0000-0000-0000150C0000}"/>
    <cellStyle name="Title [Palat] 2 2 2 3" xfId="1765" xr:uid="{00000000-0005-0000-0000-0000160C0000}"/>
    <cellStyle name="Title [Palat] 2 2 2 3 10" xfId="10795" xr:uid="{00000000-0005-0000-0000-0000160C0000}"/>
    <cellStyle name="Title [Palat] 2 2 2 3 2" xfId="3662" xr:uid="{00000000-0005-0000-0000-0000160C0000}"/>
    <cellStyle name="Title [Palat] 2 2 2 3 2 2" xfId="5835" xr:uid="{00000000-0005-0000-0000-0000160C0000}"/>
    <cellStyle name="Title [Palat] 2 2 2 3 2 2 2" xfId="12199" xr:uid="{00000000-0005-0000-0000-0000160C0000}"/>
    <cellStyle name="Title [Palat] 2 2 2 3 2 2 2 2" xfId="30646" xr:uid="{00000000-0005-0000-0000-0000160C0000}"/>
    <cellStyle name="Title [Palat] 2 2 2 3 2 2 2 3" xfId="49009" xr:uid="{00000000-0005-0000-0000-0000160C0000}"/>
    <cellStyle name="Title [Palat] 2 2 2 3 2 2 3" xfId="16525" xr:uid="{00000000-0005-0000-0000-0000160C0000}"/>
    <cellStyle name="Title [Palat] 2 2 2 3 2 2 3 2" xfId="34897" xr:uid="{00000000-0005-0000-0000-0000160C0000}"/>
    <cellStyle name="Title [Palat] 2 2 2 3 2 2 3 3" xfId="53260" xr:uid="{00000000-0005-0000-0000-0000160C0000}"/>
    <cellStyle name="Title [Palat] 2 2 2 3 2 2 4" xfId="25644" xr:uid="{00000000-0005-0000-0000-0000160C0000}"/>
    <cellStyle name="Title [Palat] 2 2 2 3 2 2 4 2" xfId="44013" xr:uid="{00000000-0005-0000-0000-0000160C0000}"/>
    <cellStyle name="Title [Palat] 2 2 2 3 2 2 5" xfId="21965" xr:uid="{00000000-0005-0000-0000-0000160C0000}"/>
    <cellStyle name="Title [Palat] 2 2 2 3 2 2 6" xfId="40344" xr:uid="{00000000-0005-0000-0000-0000160C0000}"/>
    <cellStyle name="Title [Palat] 2 2 2 3 2 3" xfId="6661" xr:uid="{00000000-0005-0000-0000-0000160C0000}"/>
    <cellStyle name="Title [Palat] 2 2 2 3 2 3 2" xfId="12952" xr:uid="{00000000-0005-0000-0000-0000160C0000}"/>
    <cellStyle name="Title [Palat] 2 2 2 3 2 3 2 2" xfId="31378" xr:uid="{00000000-0005-0000-0000-0000160C0000}"/>
    <cellStyle name="Title [Palat] 2 2 2 3 2 3 2 3" xfId="49741" xr:uid="{00000000-0005-0000-0000-0000160C0000}"/>
    <cellStyle name="Title [Palat] 2 2 2 3 2 3 3" xfId="17263" xr:uid="{00000000-0005-0000-0000-0000160C0000}"/>
    <cellStyle name="Title [Palat] 2 2 2 3 2 3 3 2" xfId="35611" xr:uid="{00000000-0005-0000-0000-0000160C0000}"/>
    <cellStyle name="Title [Palat] 2 2 2 3 2 3 3 3" xfId="53974" xr:uid="{00000000-0005-0000-0000-0000160C0000}"/>
    <cellStyle name="Title [Palat] 2 2 2 3 2 3 4" xfId="26396" xr:uid="{00000000-0005-0000-0000-0000160C0000}"/>
    <cellStyle name="Title [Palat] 2 2 2 3 2 3 4 2" xfId="44765" xr:uid="{00000000-0005-0000-0000-0000160C0000}"/>
    <cellStyle name="Title [Palat] 2 2 2 3 2 3 5" xfId="22689" xr:uid="{00000000-0005-0000-0000-0000160C0000}"/>
    <cellStyle name="Title [Palat] 2 2 2 3 2 3 6" xfId="41058" xr:uid="{00000000-0005-0000-0000-0000160C0000}"/>
    <cellStyle name="Title [Palat] 2 2 2 3 2 4" xfId="10375" xr:uid="{00000000-0005-0000-0000-0000160C0000}"/>
    <cellStyle name="Title [Palat] 2 2 2 3 2 4 2" xfId="14432" xr:uid="{00000000-0005-0000-0000-0000160C0000}"/>
    <cellStyle name="Title [Palat] 2 2 2 3 2 4 2 2" xfId="32848" xr:uid="{00000000-0005-0000-0000-0000160C0000}"/>
    <cellStyle name="Title [Palat] 2 2 2 3 2 4 2 3" xfId="51211" xr:uid="{00000000-0005-0000-0000-0000160C0000}"/>
    <cellStyle name="Title [Palat] 2 2 2 3 2 4 3" xfId="29086" xr:uid="{00000000-0005-0000-0000-0000160C0000}"/>
    <cellStyle name="Title [Palat] 2 2 2 3 2 4 3 2" xfId="47449" xr:uid="{00000000-0005-0000-0000-0000160C0000}"/>
    <cellStyle name="Title [Palat] 2 2 2 3 2 4 4" xfId="19889" xr:uid="{00000000-0005-0000-0000-0000160C0000}"/>
    <cellStyle name="Title [Palat] 2 2 2 3 2 4 5" xfId="38295" xr:uid="{00000000-0005-0000-0000-0000160C0000}"/>
    <cellStyle name="Title [Palat] 2 2 2 3 2 5" xfId="9583" xr:uid="{00000000-0005-0000-0000-0000160C0000}"/>
    <cellStyle name="Title [Palat] 2 2 2 3 2 5 2" xfId="28300" xr:uid="{00000000-0005-0000-0000-0000160C0000}"/>
    <cellStyle name="Title [Palat] 2 2 2 3 2 5 3" xfId="46663" xr:uid="{00000000-0005-0000-0000-0000160C0000}"/>
    <cellStyle name="Title [Palat] 2 2 2 3 2 6" xfId="13641" xr:uid="{00000000-0005-0000-0000-0000160C0000}"/>
    <cellStyle name="Title [Palat] 2 2 2 3 2 6 2" xfId="32062" xr:uid="{00000000-0005-0000-0000-0000160C0000}"/>
    <cellStyle name="Title [Palat] 2 2 2 3 2 6 3" xfId="50425" xr:uid="{00000000-0005-0000-0000-0000160C0000}"/>
    <cellStyle name="Title [Palat] 2 2 2 3 2 7" xfId="23570" xr:uid="{00000000-0005-0000-0000-0000160C0000}"/>
    <cellStyle name="Title [Palat] 2 2 2 3 2 7 2" xfId="41939" xr:uid="{00000000-0005-0000-0000-0000160C0000}"/>
    <cellStyle name="Title [Palat] 2 2 2 3 2 8" xfId="18682" xr:uid="{00000000-0005-0000-0000-0000160C0000}"/>
    <cellStyle name="Title [Palat] 2 2 2 3 2 9" xfId="37092" xr:uid="{00000000-0005-0000-0000-0000160C0000}"/>
    <cellStyle name="Title [Palat] 2 2 2 3 3" xfId="4702" xr:uid="{00000000-0005-0000-0000-0000160C0000}"/>
    <cellStyle name="Title [Palat] 2 2 2 3 3 2" xfId="11286" xr:uid="{00000000-0005-0000-0000-0000160C0000}"/>
    <cellStyle name="Title [Palat] 2 2 2 3 3 2 2" xfId="29898" xr:uid="{00000000-0005-0000-0000-0000160C0000}"/>
    <cellStyle name="Title [Palat] 2 2 2 3 3 2 3" xfId="48261" xr:uid="{00000000-0005-0000-0000-0000160C0000}"/>
    <cellStyle name="Title [Palat] 2 2 2 3 3 3" xfId="15428" xr:uid="{00000000-0005-0000-0000-0000160C0000}"/>
    <cellStyle name="Title [Palat] 2 2 2 3 3 3 2" xfId="33821" xr:uid="{00000000-0005-0000-0000-0000160C0000}"/>
    <cellStyle name="Title [Palat] 2 2 2 3 3 3 3" xfId="52184" xr:uid="{00000000-0005-0000-0000-0000160C0000}"/>
    <cellStyle name="Title [Palat] 2 2 2 3 3 4" xfId="24552" xr:uid="{00000000-0005-0000-0000-0000160C0000}"/>
    <cellStyle name="Title [Palat] 2 2 2 3 3 4 2" xfId="42921" xr:uid="{00000000-0005-0000-0000-0000160C0000}"/>
    <cellStyle name="Title [Palat] 2 2 2 3 3 5" xfId="20879" xr:uid="{00000000-0005-0000-0000-0000160C0000}"/>
    <cellStyle name="Title [Palat] 2 2 2 3 3 6" xfId="39268" xr:uid="{00000000-0005-0000-0000-0000160C0000}"/>
    <cellStyle name="Title [Palat] 2 2 2 3 4" xfId="3951" xr:uid="{00000000-0005-0000-0000-0000160C0000}"/>
    <cellStyle name="Title [Palat] 2 2 2 3 4 2" xfId="10656" xr:uid="{00000000-0005-0000-0000-0000160C0000}"/>
    <cellStyle name="Title [Palat] 2 2 2 3 4 2 2" xfId="29362" xr:uid="{00000000-0005-0000-0000-0000160C0000}"/>
    <cellStyle name="Title [Palat] 2 2 2 3 4 2 3" xfId="47725" xr:uid="{00000000-0005-0000-0000-0000160C0000}"/>
    <cellStyle name="Title [Palat] 2 2 2 3 4 3" xfId="14714" xr:uid="{00000000-0005-0000-0000-0000160C0000}"/>
    <cellStyle name="Title [Palat] 2 2 2 3 4 3 2" xfId="33126" xr:uid="{00000000-0005-0000-0000-0000160C0000}"/>
    <cellStyle name="Title [Palat] 2 2 2 3 4 3 3" xfId="51489" xr:uid="{00000000-0005-0000-0000-0000160C0000}"/>
    <cellStyle name="Title [Palat] 2 2 2 3 4 4" xfId="23850" xr:uid="{00000000-0005-0000-0000-0000160C0000}"/>
    <cellStyle name="Title [Palat] 2 2 2 3 4 4 2" xfId="42219" xr:uid="{00000000-0005-0000-0000-0000160C0000}"/>
    <cellStyle name="Title [Palat] 2 2 2 3 4 5" xfId="20168" xr:uid="{00000000-0005-0000-0000-0000160C0000}"/>
    <cellStyle name="Title [Palat] 2 2 2 3 4 6" xfId="38573" xr:uid="{00000000-0005-0000-0000-0000160C0000}"/>
    <cellStyle name="Title [Palat] 2 2 2 3 5" xfId="9697" xr:uid="{00000000-0005-0000-0000-0000160C0000}"/>
    <cellStyle name="Title [Palat] 2 2 2 3 5 2" xfId="13754" xr:uid="{00000000-0005-0000-0000-0000160C0000}"/>
    <cellStyle name="Title [Palat] 2 2 2 3 5 2 2" xfId="32175" xr:uid="{00000000-0005-0000-0000-0000160C0000}"/>
    <cellStyle name="Title [Palat] 2 2 2 3 5 2 3" xfId="50538" xr:uid="{00000000-0005-0000-0000-0000160C0000}"/>
    <cellStyle name="Title [Palat] 2 2 2 3 5 3" xfId="28413" xr:uid="{00000000-0005-0000-0000-0000160C0000}"/>
    <cellStyle name="Title [Palat] 2 2 2 3 5 3 2" xfId="46776" xr:uid="{00000000-0005-0000-0000-0000160C0000}"/>
    <cellStyle name="Title [Palat] 2 2 2 3 5 4" xfId="18844" xr:uid="{00000000-0005-0000-0000-0000160C0000}"/>
    <cellStyle name="Title [Palat] 2 2 2 3 5 5" xfId="37253" xr:uid="{00000000-0005-0000-0000-0000160C0000}"/>
    <cellStyle name="Title [Palat] 2 2 2 3 6" xfId="7996" xr:uid="{00000000-0005-0000-0000-0000160C0000}"/>
    <cellStyle name="Title [Palat] 2 2 2 3 6 2" xfId="27226" xr:uid="{00000000-0005-0000-0000-0000160C0000}"/>
    <cellStyle name="Title [Palat] 2 2 2 3 6 3" xfId="45591" xr:uid="{00000000-0005-0000-0000-0000160C0000}"/>
    <cellStyle name="Title [Palat] 2 2 2 3 7" xfId="7841" xr:uid="{00000000-0005-0000-0000-0000160C0000}"/>
    <cellStyle name="Title [Palat] 2 2 2 3 7 2" xfId="27097" xr:uid="{00000000-0005-0000-0000-0000160C0000}"/>
    <cellStyle name="Title [Palat] 2 2 2 3 7 3" xfId="45462" xr:uid="{00000000-0005-0000-0000-0000160C0000}"/>
    <cellStyle name="Title [Palat] 2 2 2 3 8" xfId="18251" xr:uid="{00000000-0005-0000-0000-0000160C0000}"/>
    <cellStyle name="Title [Palat] 2 2 2 3 8 2" xfId="36657" xr:uid="{00000000-0005-0000-0000-0000160C0000}"/>
    <cellStyle name="Title [Palat] 2 2 2 3 9" xfId="11818" xr:uid="{00000000-0005-0000-0000-0000160C0000}"/>
    <cellStyle name="Title [Palat] 2 2 2 4" xfId="1793" xr:uid="{00000000-0005-0000-0000-0000170C0000}"/>
    <cellStyle name="Title [Palat] 2 2 2 4 10" xfId="11827" xr:uid="{00000000-0005-0000-0000-0000170C0000}"/>
    <cellStyle name="Title [Palat] 2 2 2 4 2" xfId="3690" xr:uid="{00000000-0005-0000-0000-0000170C0000}"/>
    <cellStyle name="Title [Palat] 2 2 2 4 2 2" xfId="5863" xr:uid="{00000000-0005-0000-0000-0000170C0000}"/>
    <cellStyle name="Title [Palat] 2 2 2 4 2 2 2" xfId="12227" xr:uid="{00000000-0005-0000-0000-0000170C0000}"/>
    <cellStyle name="Title [Palat] 2 2 2 4 2 2 2 2" xfId="30674" xr:uid="{00000000-0005-0000-0000-0000170C0000}"/>
    <cellStyle name="Title [Palat] 2 2 2 4 2 2 2 3" xfId="49037" xr:uid="{00000000-0005-0000-0000-0000170C0000}"/>
    <cellStyle name="Title [Palat] 2 2 2 4 2 2 3" xfId="16553" xr:uid="{00000000-0005-0000-0000-0000170C0000}"/>
    <cellStyle name="Title [Palat] 2 2 2 4 2 2 3 2" xfId="34925" xr:uid="{00000000-0005-0000-0000-0000170C0000}"/>
    <cellStyle name="Title [Palat] 2 2 2 4 2 2 3 3" xfId="53288" xr:uid="{00000000-0005-0000-0000-0000170C0000}"/>
    <cellStyle name="Title [Palat] 2 2 2 4 2 2 4" xfId="25672" xr:uid="{00000000-0005-0000-0000-0000170C0000}"/>
    <cellStyle name="Title [Palat] 2 2 2 4 2 2 4 2" xfId="44041" xr:uid="{00000000-0005-0000-0000-0000170C0000}"/>
    <cellStyle name="Title [Palat] 2 2 2 4 2 2 5" xfId="21993" xr:uid="{00000000-0005-0000-0000-0000170C0000}"/>
    <cellStyle name="Title [Palat] 2 2 2 4 2 2 6" xfId="40372" xr:uid="{00000000-0005-0000-0000-0000170C0000}"/>
    <cellStyle name="Title [Palat] 2 2 2 4 2 3" xfId="6689" xr:uid="{00000000-0005-0000-0000-0000170C0000}"/>
    <cellStyle name="Title [Palat] 2 2 2 4 2 3 2" xfId="12980" xr:uid="{00000000-0005-0000-0000-0000170C0000}"/>
    <cellStyle name="Title [Palat] 2 2 2 4 2 3 2 2" xfId="31406" xr:uid="{00000000-0005-0000-0000-0000170C0000}"/>
    <cellStyle name="Title [Palat] 2 2 2 4 2 3 2 3" xfId="49769" xr:uid="{00000000-0005-0000-0000-0000170C0000}"/>
    <cellStyle name="Title [Palat] 2 2 2 4 2 3 3" xfId="17291" xr:uid="{00000000-0005-0000-0000-0000170C0000}"/>
    <cellStyle name="Title [Palat] 2 2 2 4 2 3 3 2" xfId="35639" xr:uid="{00000000-0005-0000-0000-0000170C0000}"/>
    <cellStyle name="Title [Palat] 2 2 2 4 2 3 3 3" xfId="54002" xr:uid="{00000000-0005-0000-0000-0000170C0000}"/>
    <cellStyle name="Title [Palat] 2 2 2 4 2 3 4" xfId="26424" xr:uid="{00000000-0005-0000-0000-0000170C0000}"/>
    <cellStyle name="Title [Palat] 2 2 2 4 2 3 4 2" xfId="44793" xr:uid="{00000000-0005-0000-0000-0000170C0000}"/>
    <cellStyle name="Title [Palat] 2 2 2 4 2 3 5" xfId="22717" xr:uid="{00000000-0005-0000-0000-0000170C0000}"/>
    <cellStyle name="Title [Palat] 2 2 2 4 2 3 6" xfId="41086" xr:uid="{00000000-0005-0000-0000-0000170C0000}"/>
    <cellStyle name="Title [Palat] 2 2 2 4 2 4" xfId="10403" xr:uid="{00000000-0005-0000-0000-0000170C0000}"/>
    <cellStyle name="Title [Palat] 2 2 2 4 2 4 2" xfId="14460" xr:uid="{00000000-0005-0000-0000-0000170C0000}"/>
    <cellStyle name="Title [Palat] 2 2 2 4 2 4 2 2" xfId="32876" xr:uid="{00000000-0005-0000-0000-0000170C0000}"/>
    <cellStyle name="Title [Palat] 2 2 2 4 2 4 2 3" xfId="51239" xr:uid="{00000000-0005-0000-0000-0000170C0000}"/>
    <cellStyle name="Title [Palat] 2 2 2 4 2 4 3" xfId="29114" xr:uid="{00000000-0005-0000-0000-0000170C0000}"/>
    <cellStyle name="Title [Palat] 2 2 2 4 2 4 3 2" xfId="47477" xr:uid="{00000000-0005-0000-0000-0000170C0000}"/>
    <cellStyle name="Title [Palat] 2 2 2 4 2 4 4" xfId="19917" xr:uid="{00000000-0005-0000-0000-0000170C0000}"/>
    <cellStyle name="Title [Palat] 2 2 2 4 2 4 5" xfId="38323" xr:uid="{00000000-0005-0000-0000-0000170C0000}"/>
    <cellStyle name="Title [Palat] 2 2 2 4 2 5" xfId="9611" xr:uid="{00000000-0005-0000-0000-0000170C0000}"/>
    <cellStyle name="Title [Palat] 2 2 2 4 2 5 2" xfId="28328" xr:uid="{00000000-0005-0000-0000-0000170C0000}"/>
    <cellStyle name="Title [Palat] 2 2 2 4 2 5 3" xfId="46691" xr:uid="{00000000-0005-0000-0000-0000170C0000}"/>
    <cellStyle name="Title [Palat] 2 2 2 4 2 6" xfId="13669" xr:uid="{00000000-0005-0000-0000-0000170C0000}"/>
    <cellStyle name="Title [Palat] 2 2 2 4 2 6 2" xfId="32090" xr:uid="{00000000-0005-0000-0000-0000170C0000}"/>
    <cellStyle name="Title [Palat] 2 2 2 4 2 6 3" xfId="50453" xr:uid="{00000000-0005-0000-0000-0000170C0000}"/>
    <cellStyle name="Title [Palat] 2 2 2 4 2 7" xfId="23598" xr:uid="{00000000-0005-0000-0000-0000170C0000}"/>
    <cellStyle name="Title [Palat] 2 2 2 4 2 7 2" xfId="41967" xr:uid="{00000000-0005-0000-0000-0000170C0000}"/>
    <cellStyle name="Title [Palat] 2 2 2 4 2 8" xfId="18710" xr:uid="{00000000-0005-0000-0000-0000170C0000}"/>
    <cellStyle name="Title [Palat] 2 2 2 4 2 9" xfId="37120" xr:uid="{00000000-0005-0000-0000-0000170C0000}"/>
    <cellStyle name="Title [Palat] 2 2 2 4 3" xfId="4730" xr:uid="{00000000-0005-0000-0000-0000170C0000}"/>
    <cellStyle name="Title [Palat] 2 2 2 4 3 2" xfId="11314" xr:uid="{00000000-0005-0000-0000-0000170C0000}"/>
    <cellStyle name="Title [Palat] 2 2 2 4 3 2 2" xfId="29926" xr:uid="{00000000-0005-0000-0000-0000170C0000}"/>
    <cellStyle name="Title [Palat] 2 2 2 4 3 2 3" xfId="48289" xr:uid="{00000000-0005-0000-0000-0000170C0000}"/>
    <cellStyle name="Title [Palat] 2 2 2 4 3 3" xfId="15456" xr:uid="{00000000-0005-0000-0000-0000170C0000}"/>
    <cellStyle name="Title [Palat] 2 2 2 4 3 3 2" xfId="33849" xr:uid="{00000000-0005-0000-0000-0000170C0000}"/>
    <cellStyle name="Title [Palat] 2 2 2 4 3 3 3" xfId="52212" xr:uid="{00000000-0005-0000-0000-0000170C0000}"/>
    <cellStyle name="Title [Palat] 2 2 2 4 3 4" xfId="24580" xr:uid="{00000000-0005-0000-0000-0000170C0000}"/>
    <cellStyle name="Title [Palat] 2 2 2 4 3 4 2" xfId="42949" xr:uid="{00000000-0005-0000-0000-0000170C0000}"/>
    <cellStyle name="Title [Palat] 2 2 2 4 3 5" xfId="20907" xr:uid="{00000000-0005-0000-0000-0000170C0000}"/>
    <cellStyle name="Title [Palat] 2 2 2 4 3 6" xfId="39296" xr:uid="{00000000-0005-0000-0000-0000170C0000}"/>
    <cellStyle name="Title [Palat] 2 2 2 4 4" xfId="5018" xr:uid="{00000000-0005-0000-0000-0000170C0000}"/>
    <cellStyle name="Title [Palat] 2 2 2 4 4 2" xfId="11541" xr:uid="{00000000-0005-0000-0000-0000170C0000}"/>
    <cellStyle name="Title [Palat] 2 2 2 4 4 2 2" xfId="30113" xr:uid="{00000000-0005-0000-0000-0000170C0000}"/>
    <cellStyle name="Title [Palat] 2 2 2 4 4 2 3" xfId="48476" xr:uid="{00000000-0005-0000-0000-0000170C0000}"/>
    <cellStyle name="Title [Palat] 2 2 2 4 4 3" xfId="15731" xr:uid="{00000000-0005-0000-0000-0000170C0000}"/>
    <cellStyle name="Title [Palat] 2 2 2 4 4 3 2" xfId="34119" xr:uid="{00000000-0005-0000-0000-0000170C0000}"/>
    <cellStyle name="Title [Palat] 2 2 2 4 4 3 3" xfId="52482" xr:uid="{00000000-0005-0000-0000-0000170C0000}"/>
    <cellStyle name="Title [Palat] 2 2 2 4 4 4" xfId="24855" xr:uid="{00000000-0005-0000-0000-0000170C0000}"/>
    <cellStyle name="Title [Palat] 2 2 2 4 4 4 2" xfId="43224" xr:uid="{00000000-0005-0000-0000-0000170C0000}"/>
    <cellStyle name="Title [Palat] 2 2 2 4 4 5" xfId="21179" xr:uid="{00000000-0005-0000-0000-0000170C0000}"/>
    <cellStyle name="Title [Palat] 2 2 2 4 4 6" xfId="39566" xr:uid="{00000000-0005-0000-0000-0000170C0000}"/>
    <cellStyle name="Title [Palat] 2 2 2 4 5" xfId="9055" xr:uid="{00000000-0005-0000-0000-0000170C0000}"/>
    <cellStyle name="Title [Palat] 2 2 2 4 5 2" xfId="6904" xr:uid="{00000000-0005-0000-0000-0000170C0000}"/>
    <cellStyle name="Title [Palat] 2 2 2 4 5 2 2" xfId="26639" xr:uid="{00000000-0005-0000-0000-0000170C0000}"/>
    <cellStyle name="Title [Palat] 2 2 2 4 5 2 3" xfId="45008" xr:uid="{00000000-0005-0000-0000-0000170C0000}"/>
    <cellStyle name="Title [Palat] 2 2 2 4 5 3" xfId="27781" xr:uid="{00000000-0005-0000-0000-0000170C0000}"/>
    <cellStyle name="Title [Palat] 2 2 2 4 5 3 2" xfId="46144" xr:uid="{00000000-0005-0000-0000-0000170C0000}"/>
    <cellStyle name="Title [Palat] 2 2 2 4 5 4" xfId="17955" xr:uid="{00000000-0005-0000-0000-0000170C0000}"/>
    <cellStyle name="Title [Palat] 2 2 2 4 5 5" xfId="36363" xr:uid="{00000000-0005-0000-0000-0000170C0000}"/>
    <cellStyle name="Title [Palat] 2 2 2 4 6" xfId="8024" xr:uid="{00000000-0005-0000-0000-0000170C0000}"/>
    <cellStyle name="Title [Palat] 2 2 2 4 6 2" xfId="27254" xr:uid="{00000000-0005-0000-0000-0000170C0000}"/>
    <cellStyle name="Title [Palat] 2 2 2 4 6 3" xfId="45619" xr:uid="{00000000-0005-0000-0000-0000170C0000}"/>
    <cellStyle name="Title [Palat] 2 2 2 4 7" xfId="8686" xr:uid="{00000000-0005-0000-0000-0000170C0000}"/>
    <cellStyle name="Title [Palat] 2 2 2 4 7 2" xfId="27584" xr:uid="{00000000-0005-0000-0000-0000170C0000}"/>
    <cellStyle name="Title [Palat] 2 2 2 4 7 3" xfId="45947" xr:uid="{00000000-0005-0000-0000-0000170C0000}"/>
    <cellStyle name="Title [Palat] 2 2 2 4 8" xfId="19133" xr:uid="{00000000-0005-0000-0000-0000170C0000}"/>
    <cellStyle name="Title [Palat] 2 2 2 4 8 2" xfId="37541" xr:uid="{00000000-0005-0000-0000-0000170C0000}"/>
    <cellStyle name="Title [Palat] 2 2 2 4 9" xfId="8251" xr:uid="{00000000-0005-0000-0000-0000170C0000}"/>
    <cellStyle name="Title [Palat] 2 2 2 5" xfId="3566" xr:uid="{00000000-0005-0000-0000-0000140C0000}"/>
    <cellStyle name="Title [Palat] 2 2 2 5 2" xfId="5739" xr:uid="{00000000-0005-0000-0000-0000140C0000}"/>
    <cellStyle name="Title [Palat] 2 2 2 5 2 2" xfId="12103" xr:uid="{00000000-0005-0000-0000-0000140C0000}"/>
    <cellStyle name="Title [Palat] 2 2 2 5 2 2 2" xfId="30550" xr:uid="{00000000-0005-0000-0000-0000140C0000}"/>
    <cellStyle name="Title [Palat] 2 2 2 5 2 2 3" xfId="48913" xr:uid="{00000000-0005-0000-0000-0000140C0000}"/>
    <cellStyle name="Title [Palat] 2 2 2 5 2 3" xfId="16429" xr:uid="{00000000-0005-0000-0000-0000140C0000}"/>
    <cellStyle name="Title [Palat] 2 2 2 5 2 3 2" xfId="34801" xr:uid="{00000000-0005-0000-0000-0000140C0000}"/>
    <cellStyle name="Title [Palat] 2 2 2 5 2 3 3" xfId="53164" xr:uid="{00000000-0005-0000-0000-0000140C0000}"/>
    <cellStyle name="Title [Palat] 2 2 2 5 2 4" xfId="25548" xr:uid="{00000000-0005-0000-0000-0000140C0000}"/>
    <cellStyle name="Title [Palat] 2 2 2 5 2 4 2" xfId="43917" xr:uid="{00000000-0005-0000-0000-0000140C0000}"/>
    <cellStyle name="Title [Palat] 2 2 2 5 2 5" xfId="21869" xr:uid="{00000000-0005-0000-0000-0000140C0000}"/>
    <cellStyle name="Title [Palat] 2 2 2 5 2 6" xfId="40248" xr:uid="{00000000-0005-0000-0000-0000140C0000}"/>
    <cellStyle name="Title [Palat] 2 2 2 5 3" xfId="6565" xr:uid="{00000000-0005-0000-0000-0000140C0000}"/>
    <cellStyle name="Title [Palat] 2 2 2 5 3 2" xfId="12856" xr:uid="{00000000-0005-0000-0000-0000140C0000}"/>
    <cellStyle name="Title [Palat] 2 2 2 5 3 2 2" xfId="31282" xr:uid="{00000000-0005-0000-0000-0000140C0000}"/>
    <cellStyle name="Title [Palat] 2 2 2 5 3 2 3" xfId="49645" xr:uid="{00000000-0005-0000-0000-0000140C0000}"/>
    <cellStyle name="Title [Palat] 2 2 2 5 3 3" xfId="17167" xr:uid="{00000000-0005-0000-0000-0000140C0000}"/>
    <cellStyle name="Title [Palat] 2 2 2 5 3 3 2" xfId="35515" xr:uid="{00000000-0005-0000-0000-0000140C0000}"/>
    <cellStyle name="Title [Palat] 2 2 2 5 3 3 3" xfId="53878" xr:uid="{00000000-0005-0000-0000-0000140C0000}"/>
    <cellStyle name="Title [Palat] 2 2 2 5 3 4" xfId="26300" xr:uid="{00000000-0005-0000-0000-0000140C0000}"/>
    <cellStyle name="Title [Palat] 2 2 2 5 3 4 2" xfId="44669" xr:uid="{00000000-0005-0000-0000-0000140C0000}"/>
    <cellStyle name="Title [Palat] 2 2 2 5 3 5" xfId="22593" xr:uid="{00000000-0005-0000-0000-0000140C0000}"/>
    <cellStyle name="Title [Palat] 2 2 2 5 3 6" xfId="40962" xr:uid="{00000000-0005-0000-0000-0000140C0000}"/>
    <cellStyle name="Title [Palat] 2 2 2 5 4" xfId="10279" xr:uid="{00000000-0005-0000-0000-0000140C0000}"/>
    <cellStyle name="Title [Palat] 2 2 2 5 4 2" xfId="14336" xr:uid="{00000000-0005-0000-0000-0000140C0000}"/>
    <cellStyle name="Title [Palat] 2 2 2 5 4 2 2" xfId="32752" xr:uid="{00000000-0005-0000-0000-0000140C0000}"/>
    <cellStyle name="Title [Palat] 2 2 2 5 4 2 3" xfId="51115" xr:uid="{00000000-0005-0000-0000-0000140C0000}"/>
    <cellStyle name="Title [Palat] 2 2 2 5 4 3" xfId="28990" xr:uid="{00000000-0005-0000-0000-0000140C0000}"/>
    <cellStyle name="Title [Palat] 2 2 2 5 4 3 2" xfId="47353" xr:uid="{00000000-0005-0000-0000-0000140C0000}"/>
    <cellStyle name="Title [Palat] 2 2 2 5 4 4" xfId="19793" xr:uid="{00000000-0005-0000-0000-0000140C0000}"/>
    <cellStyle name="Title [Palat] 2 2 2 5 4 5" xfId="38199" xr:uid="{00000000-0005-0000-0000-0000140C0000}"/>
    <cellStyle name="Title [Palat] 2 2 2 5 5" xfId="9487" xr:uid="{00000000-0005-0000-0000-0000140C0000}"/>
    <cellStyle name="Title [Palat] 2 2 2 5 5 2" xfId="28204" xr:uid="{00000000-0005-0000-0000-0000140C0000}"/>
    <cellStyle name="Title [Palat] 2 2 2 5 5 3" xfId="46567" xr:uid="{00000000-0005-0000-0000-0000140C0000}"/>
    <cellStyle name="Title [Palat] 2 2 2 5 6" xfId="13545" xr:uid="{00000000-0005-0000-0000-0000140C0000}"/>
    <cellStyle name="Title [Palat] 2 2 2 5 6 2" xfId="31966" xr:uid="{00000000-0005-0000-0000-0000140C0000}"/>
    <cellStyle name="Title [Palat] 2 2 2 5 6 3" xfId="50329" xr:uid="{00000000-0005-0000-0000-0000140C0000}"/>
    <cellStyle name="Title [Palat] 2 2 2 5 7" xfId="23474" xr:uid="{00000000-0005-0000-0000-0000140C0000}"/>
    <cellStyle name="Title [Palat] 2 2 2 5 7 2" xfId="41843" xr:uid="{00000000-0005-0000-0000-0000140C0000}"/>
    <cellStyle name="Title [Palat] 2 2 2 5 8" xfId="18584" xr:uid="{00000000-0005-0000-0000-0000140C0000}"/>
    <cellStyle name="Title [Palat] 2 2 2 5 9" xfId="36994" xr:uid="{00000000-0005-0000-0000-0000140C0000}"/>
    <cellStyle name="Title [Palat] 2 2 2 6" xfId="4597" xr:uid="{00000000-0005-0000-0000-0000140C0000}"/>
    <cellStyle name="Title [Palat] 2 2 2 6 2" xfId="11182" xr:uid="{00000000-0005-0000-0000-0000140C0000}"/>
    <cellStyle name="Title [Palat] 2 2 2 6 2 2" xfId="29796" xr:uid="{00000000-0005-0000-0000-0000140C0000}"/>
    <cellStyle name="Title [Palat] 2 2 2 6 2 3" xfId="48159" xr:uid="{00000000-0005-0000-0000-0000140C0000}"/>
    <cellStyle name="Title [Palat] 2 2 2 6 3" xfId="15323" xr:uid="{00000000-0005-0000-0000-0000140C0000}"/>
    <cellStyle name="Title [Palat] 2 2 2 6 3 2" xfId="33717" xr:uid="{00000000-0005-0000-0000-0000140C0000}"/>
    <cellStyle name="Title [Palat] 2 2 2 6 3 3" xfId="52080" xr:uid="{00000000-0005-0000-0000-0000140C0000}"/>
    <cellStyle name="Title [Palat] 2 2 2 6 4" xfId="24448" xr:uid="{00000000-0005-0000-0000-0000140C0000}"/>
    <cellStyle name="Title [Palat] 2 2 2 6 4 2" xfId="42817" xr:uid="{00000000-0005-0000-0000-0000140C0000}"/>
    <cellStyle name="Title [Palat] 2 2 2 6 5" xfId="20774" xr:uid="{00000000-0005-0000-0000-0000140C0000}"/>
    <cellStyle name="Title [Palat] 2 2 2 6 6" xfId="39164" xr:uid="{00000000-0005-0000-0000-0000140C0000}"/>
    <cellStyle name="Title [Palat] 2 2 2 7" xfId="5509" xr:uid="{00000000-0005-0000-0000-0000140C0000}"/>
    <cellStyle name="Title [Palat] 2 2 2 7 2" xfId="11873" xr:uid="{00000000-0005-0000-0000-0000140C0000}"/>
    <cellStyle name="Title [Palat] 2 2 2 7 2 2" xfId="30320" xr:uid="{00000000-0005-0000-0000-0000140C0000}"/>
    <cellStyle name="Title [Palat] 2 2 2 7 2 3" xfId="48683" xr:uid="{00000000-0005-0000-0000-0000140C0000}"/>
    <cellStyle name="Title [Palat] 2 2 2 7 3" xfId="16200" xr:uid="{00000000-0005-0000-0000-0000140C0000}"/>
    <cellStyle name="Title [Palat] 2 2 2 7 3 2" xfId="34572" xr:uid="{00000000-0005-0000-0000-0000140C0000}"/>
    <cellStyle name="Title [Palat] 2 2 2 7 3 3" xfId="52935" xr:uid="{00000000-0005-0000-0000-0000140C0000}"/>
    <cellStyle name="Title [Palat] 2 2 2 7 4" xfId="25319" xr:uid="{00000000-0005-0000-0000-0000140C0000}"/>
    <cellStyle name="Title [Palat] 2 2 2 7 4 2" xfId="43688" xr:uid="{00000000-0005-0000-0000-0000140C0000}"/>
    <cellStyle name="Title [Palat] 2 2 2 7 5" xfId="21640" xr:uid="{00000000-0005-0000-0000-0000140C0000}"/>
    <cellStyle name="Title [Palat] 2 2 2 7 6" xfId="40019" xr:uid="{00000000-0005-0000-0000-0000140C0000}"/>
    <cellStyle name="Title [Palat] 2 2 2 8" xfId="7893" xr:uid="{00000000-0005-0000-0000-0000140C0000}"/>
    <cellStyle name="Title [Palat] 2 2 2 8 2" xfId="27130" xr:uid="{00000000-0005-0000-0000-0000140C0000}"/>
    <cellStyle name="Title [Palat] 2 2 2 8 3" xfId="45495" xr:uid="{00000000-0005-0000-0000-0000140C0000}"/>
    <cellStyle name="Title [Palat] 2 2 2 9" xfId="12587" xr:uid="{00000000-0005-0000-0000-0000140C0000}"/>
    <cellStyle name="Title [Palat] 2 2 2 9 2" xfId="31016" xr:uid="{00000000-0005-0000-0000-0000140C0000}"/>
    <cellStyle name="Title [Palat] 2 2 2 9 3" xfId="49379" xr:uid="{00000000-0005-0000-0000-0000140C0000}"/>
    <cellStyle name="Title [Palat] 2 2 3" xfId="1504" xr:uid="{00000000-0005-0000-0000-0000180C0000}"/>
    <cellStyle name="Title [Palat] 2 2 3 10" xfId="8261" xr:uid="{00000000-0005-0000-0000-0000180C0000}"/>
    <cellStyle name="Title [Palat] 2 2 3 10 2" xfId="27391" xr:uid="{00000000-0005-0000-0000-0000180C0000}"/>
    <cellStyle name="Title [Palat] 2 2 3 10 3" xfId="45756" xr:uid="{00000000-0005-0000-0000-0000180C0000}"/>
    <cellStyle name="Title [Palat] 2 2 3 11" xfId="7233" xr:uid="{00000000-0005-0000-0000-0000180C0000}"/>
    <cellStyle name="Title [Palat] 2 2 3 12" xfId="11099" xr:uid="{00000000-0005-0000-0000-0000180C0000}"/>
    <cellStyle name="Title [Palat] 2 2 3 2" xfId="1673" xr:uid="{00000000-0005-0000-0000-0000190C0000}"/>
    <cellStyle name="Title [Palat] 2 2 3 2 10" xfId="7003" xr:uid="{00000000-0005-0000-0000-0000190C0000}"/>
    <cellStyle name="Title [Palat] 2 2 3 2 2" xfId="3571" xr:uid="{00000000-0005-0000-0000-0000190C0000}"/>
    <cellStyle name="Title [Palat] 2 2 3 2 2 2" xfId="5744" xr:uid="{00000000-0005-0000-0000-0000190C0000}"/>
    <cellStyle name="Title [Palat] 2 2 3 2 2 2 2" xfId="12108" xr:uid="{00000000-0005-0000-0000-0000190C0000}"/>
    <cellStyle name="Title [Palat] 2 2 3 2 2 2 2 2" xfId="30555" xr:uid="{00000000-0005-0000-0000-0000190C0000}"/>
    <cellStyle name="Title [Palat] 2 2 3 2 2 2 2 3" xfId="48918" xr:uid="{00000000-0005-0000-0000-0000190C0000}"/>
    <cellStyle name="Title [Palat] 2 2 3 2 2 2 3" xfId="16434" xr:uid="{00000000-0005-0000-0000-0000190C0000}"/>
    <cellStyle name="Title [Palat] 2 2 3 2 2 2 3 2" xfId="34806" xr:uid="{00000000-0005-0000-0000-0000190C0000}"/>
    <cellStyle name="Title [Palat] 2 2 3 2 2 2 3 3" xfId="53169" xr:uid="{00000000-0005-0000-0000-0000190C0000}"/>
    <cellStyle name="Title [Palat] 2 2 3 2 2 2 4" xfId="25553" xr:uid="{00000000-0005-0000-0000-0000190C0000}"/>
    <cellStyle name="Title [Palat] 2 2 3 2 2 2 4 2" xfId="43922" xr:uid="{00000000-0005-0000-0000-0000190C0000}"/>
    <cellStyle name="Title [Palat] 2 2 3 2 2 2 5" xfId="21874" xr:uid="{00000000-0005-0000-0000-0000190C0000}"/>
    <cellStyle name="Title [Palat] 2 2 3 2 2 2 6" xfId="40253" xr:uid="{00000000-0005-0000-0000-0000190C0000}"/>
    <cellStyle name="Title [Palat] 2 2 3 2 2 3" xfId="6570" xr:uid="{00000000-0005-0000-0000-0000190C0000}"/>
    <cellStyle name="Title [Palat] 2 2 3 2 2 3 2" xfId="12861" xr:uid="{00000000-0005-0000-0000-0000190C0000}"/>
    <cellStyle name="Title [Palat] 2 2 3 2 2 3 2 2" xfId="31287" xr:uid="{00000000-0005-0000-0000-0000190C0000}"/>
    <cellStyle name="Title [Palat] 2 2 3 2 2 3 2 3" xfId="49650" xr:uid="{00000000-0005-0000-0000-0000190C0000}"/>
    <cellStyle name="Title [Palat] 2 2 3 2 2 3 3" xfId="17172" xr:uid="{00000000-0005-0000-0000-0000190C0000}"/>
    <cellStyle name="Title [Palat] 2 2 3 2 2 3 3 2" xfId="35520" xr:uid="{00000000-0005-0000-0000-0000190C0000}"/>
    <cellStyle name="Title [Palat] 2 2 3 2 2 3 3 3" xfId="53883" xr:uid="{00000000-0005-0000-0000-0000190C0000}"/>
    <cellStyle name="Title [Palat] 2 2 3 2 2 3 4" xfId="26305" xr:uid="{00000000-0005-0000-0000-0000190C0000}"/>
    <cellStyle name="Title [Palat] 2 2 3 2 2 3 4 2" xfId="44674" xr:uid="{00000000-0005-0000-0000-0000190C0000}"/>
    <cellStyle name="Title [Palat] 2 2 3 2 2 3 5" xfId="22598" xr:uid="{00000000-0005-0000-0000-0000190C0000}"/>
    <cellStyle name="Title [Palat] 2 2 3 2 2 3 6" xfId="40967" xr:uid="{00000000-0005-0000-0000-0000190C0000}"/>
    <cellStyle name="Title [Palat] 2 2 3 2 2 4" xfId="10284" xr:uid="{00000000-0005-0000-0000-0000190C0000}"/>
    <cellStyle name="Title [Palat] 2 2 3 2 2 4 2" xfId="14341" xr:uid="{00000000-0005-0000-0000-0000190C0000}"/>
    <cellStyle name="Title [Palat] 2 2 3 2 2 4 2 2" xfId="32757" xr:uid="{00000000-0005-0000-0000-0000190C0000}"/>
    <cellStyle name="Title [Palat] 2 2 3 2 2 4 2 3" xfId="51120" xr:uid="{00000000-0005-0000-0000-0000190C0000}"/>
    <cellStyle name="Title [Palat] 2 2 3 2 2 4 3" xfId="28995" xr:uid="{00000000-0005-0000-0000-0000190C0000}"/>
    <cellStyle name="Title [Palat] 2 2 3 2 2 4 3 2" xfId="47358" xr:uid="{00000000-0005-0000-0000-0000190C0000}"/>
    <cellStyle name="Title [Palat] 2 2 3 2 2 4 4" xfId="19798" xr:uid="{00000000-0005-0000-0000-0000190C0000}"/>
    <cellStyle name="Title [Palat] 2 2 3 2 2 4 5" xfId="38204" xr:uid="{00000000-0005-0000-0000-0000190C0000}"/>
    <cellStyle name="Title [Palat] 2 2 3 2 2 5" xfId="9492" xr:uid="{00000000-0005-0000-0000-0000190C0000}"/>
    <cellStyle name="Title [Palat] 2 2 3 2 2 5 2" xfId="28209" xr:uid="{00000000-0005-0000-0000-0000190C0000}"/>
    <cellStyle name="Title [Palat] 2 2 3 2 2 5 3" xfId="46572" xr:uid="{00000000-0005-0000-0000-0000190C0000}"/>
    <cellStyle name="Title [Palat] 2 2 3 2 2 6" xfId="13550" xr:uid="{00000000-0005-0000-0000-0000190C0000}"/>
    <cellStyle name="Title [Palat] 2 2 3 2 2 6 2" xfId="31971" xr:uid="{00000000-0005-0000-0000-0000190C0000}"/>
    <cellStyle name="Title [Palat] 2 2 3 2 2 6 3" xfId="50334" xr:uid="{00000000-0005-0000-0000-0000190C0000}"/>
    <cellStyle name="Title [Palat] 2 2 3 2 2 7" xfId="23479" xr:uid="{00000000-0005-0000-0000-0000190C0000}"/>
    <cellStyle name="Title [Palat] 2 2 3 2 2 7 2" xfId="41848" xr:uid="{00000000-0005-0000-0000-0000190C0000}"/>
    <cellStyle name="Title [Palat] 2 2 3 2 2 8" xfId="18590" xr:uid="{00000000-0005-0000-0000-0000190C0000}"/>
    <cellStyle name="Title [Palat] 2 2 3 2 2 9" xfId="37000" xr:uid="{00000000-0005-0000-0000-0000190C0000}"/>
    <cellStyle name="Title [Palat] 2 2 3 2 3" xfId="4612" xr:uid="{00000000-0005-0000-0000-0000190C0000}"/>
    <cellStyle name="Title [Palat] 2 2 3 2 3 2" xfId="11196" xr:uid="{00000000-0005-0000-0000-0000190C0000}"/>
    <cellStyle name="Title [Palat] 2 2 3 2 3 2 2" xfId="29808" xr:uid="{00000000-0005-0000-0000-0000190C0000}"/>
    <cellStyle name="Title [Palat] 2 2 3 2 3 2 3" xfId="48171" xr:uid="{00000000-0005-0000-0000-0000190C0000}"/>
    <cellStyle name="Title [Palat] 2 2 3 2 3 3" xfId="15338" xr:uid="{00000000-0005-0000-0000-0000190C0000}"/>
    <cellStyle name="Title [Palat] 2 2 3 2 3 3 2" xfId="33731" xr:uid="{00000000-0005-0000-0000-0000190C0000}"/>
    <cellStyle name="Title [Palat] 2 2 3 2 3 3 3" xfId="52094" xr:uid="{00000000-0005-0000-0000-0000190C0000}"/>
    <cellStyle name="Title [Palat] 2 2 3 2 3 4" xfId="24462" xr:uid="{00000000-0005-0000-0000-0000190C0000}"/>
    <cellStyle name="Title [Palat] 2 2 3 2 3 4 2" xfId="42831" xr:uid="{00000000-0005-0000-0000-0000190C0000}"/>
    <cellStyle name="Title [Palat] 2 2 3 2 3 5" xfId="20789" xr:uid="{00000000-0005-0000-0000-0000190C0000}"/>
    <cellStyle name="Title [Palat] 2 2 3 2 3 6" xfId="39178" xr:uid="{00000000-0005-0000-0000-0000190C0000}"/>
    <cellStyle name="Title [Palat] 2 2 3 2 4" xfId="4214" xr:uid="{00000000-0005-0000-0000-0000190C0000}"/>
    <cellStyle name="Title [Palat] 2 2 3 2 4 2" xfId="10860" xr:uid="{00000000-0005-0000-0000-0000190C0000}"/>
    <cellStyle name="Title [Palat] 2 2 3 2 4 2 2" xfId="29531" xr:uid="{00000000-0005-0000-0000-0000190C0000}"/>
    <cellStyle name="Title [Palat] 2 2 3 2 4 2 3" xfId="47894" xr:uid="{00000000-0005-0000-0000-0000190C0000}"/>
    <cellStyle name="Title [Palat] 2 2 3 2 4 3" xfId="14959" xr:uid="{00000000-0005-0000-0000-0000190C0000}"/>
    <cellStyle name="Title [Palat] 2 2 3 2 4 3 2" xfId="33363" xr:uid="{00000000-0005-0000-0000-0000190C0000}"/>
    <cellStyle name="Title [Palat] 2 2 3 2 4 3 3" xfId="51726" xr:uid="{00000000-0005-0000-0000-0000190C0000}"/>
    <cellStyle name="Title [Palat] 2 2 3 2 4 4" xfId="24092" xr:uid="{00000000-0005-0000-0000-0000190C0000}"/>
    <cellStyle name="Title [Palat] 2 2 3 2 4 4 2" xfId="42461" xr:uid="{00000000-0005-0000-0000-0000190C0000}"/>
    <cellStyle name="Title [Palat] 2 2 3 2 4 5" xfId="20412" xr:uid="{00000000-0005-0000-0000-0000190C0000}"/>
    <cellStyle name="Title [Palat] 2 2 3 2 4 6" xfId="38810" xr:uid="{00000000-0005-0000-0000-0000190C0000}"/>
    <cellStyle name="Title [Palat] 2 2 3 2 5" xfId="9445" xr:uid="{00000000-0005-0000-0000-0000190C0000}"/>
    <cellStyle name="Title [Palat] 2 2 3 2 5 2" xfId="13502" xr:uid="{00000000-0005-0000-0000-0000190C0000}"/>
    <cellStyle name="Title [Palat] 2 2 3 2 5 2 2" xfId="31923" xr:uid="{00000000-0005-0000-0000-0000190C0000}"/>
    <cellStyle name="Title [Palat] 2 2 3 2 5 2 3" xfId="50286" xr:uid="{00000000-0005-0000-0000-0000190C0000}"/>
    <cellStyle name="Title [Palat] 2 2 3 2 5 3" xfId="28162" xr:uid="{00000000-0005-0000-0000-0000190C0000}"/>
    <cellStyle name="Title [Palat] 2 2 3 2 5 3 2" xfId="46525" xr:uid="{00000000-0005-0000-0000-0000190C0000}"/>
    <cellStyle name="Title [Palat] 2 2 3 2 5 4" xfId="18530" xr:uid="{00000000-0005-0000-0000-0000190C0000}"/>
    <cellStyle name="Title [Palat] 2 2 3 2 5 5" xfId="36939" xr:uid="{00000000-0005-0000-0000-0000190C0000}"/>
    <cellStyle name="Title [Palat] 2 2 3 2 6" xfId="7906" xr:uid="{00000000-0005-0000-0000-0000190C0000}"/>
    <cellStyle name="Title [Palat] 2 2 3 2 6 2" xfId="27138" xr:uid="{00000000-0005-0000-0000-0000190C0000}"/>
    <cellStyle name="Title [Palat] 2 2 3 2 6 3" xfId="45503" xr:uid="{00000000-0005-0000-0000-0000190C0000}"/>
    <cellStyle name="Title [Palat] 2 2 3 2 7" xfId="8866" xr:uid="{00000000-0005-0000-0000-0000190C0000}"/>
    <cellStyle name="Title [Palat] 2 2 3 2 7 2" xfId="27658" xr:uid="{00000000-0005-0000-0000-0000190C0000}"/>
    <cellStyle name="Title [Palat] 2 2 3 2 7 3" xfId="46021" xr:uid="{00000000-0005-0000-0000-0000190C0000}"/>
    <cellStyle name="Title [Palat] 2 2 3 2 8" xfId="18095" xr:uid="{00000000-0005-0000-0000-0000190C0000}"/>
    <cellStyle name="Title [Palat] 2 2 3 2 8 2" xfId="36502" xr:uid="{00000000-0005-0000-0000-0000190C0000}"/>
    <cellStyle name="Title [Palat] 2 2 3 2 9" xfId="8310" xr:uid="{00000000-0005-0000-0000-0000190C0000}"/>
    <cellStyle name="Title [Palat] 2 2 3 3" xfId="1402" xr:uid="{00000000-0005-0000-0000-00001A0C0000}"/>
    <cellStyle name="Title [Palat] 2 2 3 3 10" xfId="17790" xr:uid="{00000000-0005-0000-0000-00001A0C0000}"/>
    <cellStyle name="Title [Palat] 2 2 3 3 2" xfId="3435" xr:uid="{00000000-0005-0000-0000-00001A0C0000}"/>
    <cellStyle name="Title [Palat] 2 2 3 3 2 2" xfId="5610" xr:uid="{00000000-0005-0000-0000-00001A0C0000}"/>
    <cellStyle name="Title [Palat] 2 2 3 3 2 2 2" xfId="11974" xr:uid="{00000000-0005-0000-0000-00001A0C0000}"/>
    <cellStyle name="Title [Palat] 2 2 3 3 2 2 2 2" xfId="30421" xr:uid="{00000000-0005-0000-0000-00001A0C0000}"/>
    <cellStyle name="Title [Palat] 2 2 3 3 2 2 2 3" xfId="48784" xr:uid="{00000000-0005-0000-0000-00001A0C0000}"/>
    <cellStyle name="Title [Palat] 2 2 3 3 2 2 3" xfId="16300" xr:uid="{00000000-0005-0000-0000-00001A0C0000}"/>
    <cellStyle name="Title [Palat] 2 2 3 3 2 2 3 2" xfId="34672" xr:uid="{00000000-0005-0000-0000-00001A0C0000}"/>
    <cellStyle name="Title [Palat] 2 2 3 3 2 2 3 3" xfId="53035" xr:uid="{00000000-0005-0000-0000-00001A0C0000}"/>
    <cellStyle name="Title [Palat] 2 2 3 3 2 2 4" xfId="25419" xr:uid="{00000000-0005-0000-0000-00001A0C0000}"/>
    <cellStyle name="Title [Palat] 2 2 3 3 2 2 4 2" xfId="43788" xr:uid="{00000000-0005-0000-0000-00001A0C0000}"/>
    <cellStyle name="Title [Palat] 2 2 3 3 2 2 5" xfId="21740" xr:uid="{00000000-0005-0000-0000-00001A0C0000}"/>
    <cellStyle name="Title [Palat] 2 2 3 3 2 2 6" xfId="40119" xr:uid="{00000000-0005-0000-0000-00001A0C0000}"/>
    <cellStyle name="Title [Palat] 2 2 3 3 2 3" xfId="6434" xr:uid="{00000000-0005-0000-0000-00001A0C0000}"/>
    <cellStyle name="Title [Palat] 2 2 3 3 2 3 2" xfId="12725" xr:uid="{00000000-0005-0000-0000-00001A0C0000}"/>
    <cellStyle name="Title [Palat] 2 2 3 3 2 3 2 2" xfId="31151" xr:uid="{00000000-0005-0000-0000-00001A0C0000}"/>
    <cellStyle name="Title [Palat] 2 2 3 3 2 3 2 3" xfId="49514" xr:uid="{00000000-0005-0000-0000-00001A0C0000}"/>
    <cellStyle name="Title [Palat] 2 2 3 3 2 3 3" xfId="17036" xr:uid="{00000000-0005-0000-0000-00001A0C0000}"/>
    <cellStyle name="Title [Palat] 2 2 3 3 2 3 3 2" xfId="35384" xr:uid="{00000000-0005-0000-0000-00001A0C0000}"/>
    <cellStyle name="Title [Palat] 2 2 3 3 2 3 3 3" xfId="53747" xr:uid="{00000000-0005-0000-0000-00001A0C0000}"/>
    <cellStyle name="Title [Palat] 2 2 3 3 2 3 4" xfId="26169" xr:uid="{00000000-0005-0000-0000-00001A0C0000}"/>
    <cellStyle name="Title [Palat] 2 2 3 3 2 3 4 2" xfId="44538" xr:uid="{00000000-0005-0000-0000-00001A0C0000}"/>
    <cellStyle name="Title [Palat] 2 2 3 3 2 3 5" xfId="22462" xr:uid="{00000000-0005-0000-0000-00001A0C0000}"/>
    <cellStyle name="Title [Palat] 2 2 3 3 2 3 6" xfId="40831" xr:uid="{00000000-0005-0000-0000-00001A0C0000}"/>
    <cellStyle name="Title [Palat] 2 2 3 3 2 4" xfId="10148" xr:uid="{00000000-0005-0000-0000-00001A0C0000}"/>
    <cellStyle name="Title [Palat] 2 2 3 3 2 4 2" xfId="14205" xr:uid="{00000000-0005-0000-0000-00001A0C0000}"/>
    <cellStyle name="Title [Palat] 2 2 3 3 2 4 2 2" xfId="32621" xr:uid="{00000000-0005-0000-0000-00001A0C0000}"/>
    <cellStyle name="Title [Palat] 2 2 3 3 2 4 2 3" xfId="50984" xr:uid="{00000000-0005-0000-0000-00001A0C0000}"/>
    <cellStyle name="Title [Palat] 2 2 3 3 2 4 3" xfId="28859" xr:uid="{00000000-0005-0000-0000-00001A0C0000}"/>
    <cellStyle name="Title [Palat] 2 2 3 3 2 4 3 2" xfId="47222" xr:uid="{00000000-0005-0000-0000-00001A0C0000}"/>
    <cellStyle name="Title [Palat] 2 2 3 3 2 4 4" xfId="19662" xr:uid="{00000000-0005-0000-0000-00001A0C0000}"/>
    <cellStyle name="Title [Palat] 2 2 3 3 2 4 5" xfId="38068" xr:uid="{00000000-0005-0000-0000-00001A0C0000}"/>
    <cellStyle name="Title [Palat] 2 2 3 3 2 5" xfId="9335" xr:uid="{00000000-0005-0000-0000-00001A0C0000}"/>
    <cellStyle name="Title [Palat] 2 2 3 3 2 5 2" xfId="28054" xr:uid="{00000000-0005-0000-0000-00001A0C0000}"/>
    <cellStyle name="Title [Palat] 2 2 3 3 2 5 3" xfId="46417" xr:uid="{00000000-0005-0000-0000-00001A0C0000}"/>
    <cellStyle name="Title [Palat] 2 2 3 3 2 6" xfId="13391" xr:uid="{00000000-0005-0000-0000-00001A0C0000}"/>
    <cellStyle name="Title [Palat] 2 2 3 3 2 6 2" xfId="31812" xr:uid="{00000000-0005-0000-0000-00001A0C0000}"/>
    <cellStyle name="Title [Palat] 2 2 3 3 2 6 3" xfId="50175" xr:uid="{00000000-0005-0000-0000-00001A0C0000}"/>
    <cellStyle name="Title [Palat] 2 2 3 3 2 7" xfId="23343" xr:uid="{00000000-0005-0000-0000-00001A0C0000}"/>
    <cellStyle name="Title [Palat] 2 2 3 3 2 7 2" xfId="41712" xr:uid="{00000000-0005-0000-0000-00001A0C0000}"/>
    <cellStyle name="Title [Palat] 2 2 3 3 2 8" xfId="18414" xr:uid="{00000000-0005-0000-0000-00001A0C0000}"/>
    <cellStyle name="Title [Palat] 2 2 3 3 2 9" xfId="36820" xr:uid="{00000000-0005-0000-0000-00001A0C0000}"/>
    <cellStyle name="Title [Palat] 2 2 3 3 3" xfId="4428" xr:uid="{00000000-0005-0000-0000-00001A0C0000}"/>
    <cellStyle name="Title [Palat] 2 2 3 3 3 2" xfId="11027" xr:uid="{00000000-0005-0000-0000-00001A0C0000}"/>
    <cellStyle name="Title [Palat] 2 2 3 3 3 2 2" xfId="29647" xr:uid="{00000000-0005-0000-0000-00001A0C0000}"/>
    <cellStyle name="Title [Palat] 2 2 3 3 3 2 3" xfId="48010" xr:uid="{00000000-0005-0000-0000-00001A0C0000}"/>
    <cellStyle name="Title [Palat] 2 2 3 3 3 3" xfId="15162" xr:uid="{00000000-0005-0000-0000-00001A0C0000}"/>
    <cellStyle name="Title [Palat] 2 2 3 3 3 3 2" xfId="33559" xr:uid="{00000000-0005-0000-0000-00001A0C0000}"/>
    <cellStyle name="Title [Palat] 2 2 3 3 3 3 3" xfId="51922" xr:uid="{00000000-0005-0000-0000-00001A0C0000}"/>
    <cellStyle name="Title [Palat] 2 2 3 3 3 4" xfId="24290" xr:uid="{00000000-0005-0000-0000-00001A0C0000}"/>
    <cellStyle name="Title [Palat] 2 2 3 3 3 4 2" xfId="42659" xr:uid="{00000000-0005-0000-0000-00001A0C0000}"/>
    <cellStyle name="Title [Palat] 2 2 3 3 3 5" xfId="20613" xr:uid="{00000000-0005-0000-0000-00001A0C0000}"/>
    <cellStyle name="Title [Palat] 2 2 3 3 3 6" xfId="39006" xr:uid="{00000000-0005-0000-0000-00001A0C0000}"/>
    <cellStyle name="Title [Palat] 2 2 3 3 4" xfId="4042" xr:uid="{00000000-0005-0000-0000-00001A0C0000}"/>
    <cellStyle name="Title [Palat] 2 2 3 3 4 2" xfId="10743" xr:uid="{00000000-0005-0000-0000-00001A0C0000}"/>
    <cellStyle name="Title [Palat] 2 2 3 3 4 2 2" xfId="29446" xr:uid="{00000000-0005-0000-0000-00001A0C0000}"/>
    <cellStyle name="Title [Palat] 2 2 3 3 4 2 3" xfId="47809" xr:uid="{00000000-0005-0000-0000-00001A0C0000}"/>
    <cellStyle name="Title [Palat] 2 2 3 3 4 3" xfId="14803" xr:uid="{00000000-0005-0000-0000-00001A0C0000}"/>
    <cellStyle name="Title [Palat] 2 2 3 3 4 3 2" xfId="33215" xr:uid="{00000000-0005-0000-0000-00001A0C0000}"/>
    <cellStyle name="Title [Palat] 2 2 3 3 4 3 3" xfId="51578" xr:uid="{00000000-0005-0000-0000-00001A0C0000}"/>
    <cellStyle name="Title [Palat] 2 2 3 3 4 4" xfId="23939" xr:uid="{00000000-0005-0000-0000-00001A0C0000}"/>
    <cellStyle name="Title [Palat] 2 2 3 3 4 4 2" xfId="42308" xr:uid="{00000000-0005-0000-0000-00001A0C0000}"/>
    <cellStyle name="Title [Palat] 2 2 3 3 4 5" xfId="20259" xr:uid="{00000000-0005-0000-0000-00001A0C0000}"/>
    <cellStyle name="Title [Palat] 2 2 3 3 4 6" xfId="38662" xr:uid="{00000000-0005-0000-0000-00001A0C0000}"/>
    <cellStyle name="Title [Palat] 2 2 3 3 5" xfId="9950" xr:uid="{00000000-0005-0000-0000-00001A0C0000}"/>
    <cellStyle name="Title [Palat] 2 2 3 3 5 2" xfId="14007" xr:uid="{00000000-0005-0000-0000-00001A0C0000}"/>
    <cellStyle name="Title [Palat] 2 2 3 3 5 2 2" xfId="32424" xr:uid="{00000000-0005-0000-0000-00001A0C0000}"/>
    <cellStyle name="Title [Palat] 2 2 3 3 5 2 3" xfId="50787" xr:uid="{00000000-0005-0000-0000-00001A0C0000}"/>
    <cellStyle name="Title [Palat] 2 2 3 3 5 3" xfId="28662" xr:uid="{00000000-0005-0000-0000-00001A0C0000}"/>
    <cellStyle name="Title [Palat] 2 2 3 3 5 3 2" xfId="47025" xr:uid="{00000000-0005-0000-0000-00001A0C0000}"/>
    <cellStyle name="Title [Palat] 2 2 3 3 5 4" xfId="19280" xr:uid="{00000000-0005-0000-0000-00001A0C0000}"/>
    <cellStyle name="Title [Palat] 2 2 3 3 5 5" xfId="37687" xr:uid="{00000000-0005-0000-0000-00001A0C0000}"/>
    <cellStyle name="Title [Palat] 2 2 3 3 6" xfId="7694" xr:uid="{00000000-0005-0000-0000-00001A0C0000}"/>
    <cellStyle name="Title [Palat] 2 2 3 3 6 2" xfId="26976" xr:uid="{00000000-0005-0000-0000-00001A0C0000}"/>
    <cellStyle name="Title [Palat] 2 2 3 3 6 3" xfId="45341" xr:uid="{00000000-0005-0000-0000-00001A0C0000}"/>
    <cellStyle name="Title [Palat] 2 2 3 3 7" xfId="7850" xr:uid="{00000000-0005-0000-0000-00001A0C0000}"/>
    <cellStyle name="Title [Palat] 2 2 3 3 7 2" xfId="27103" xr:uid="{00000000-0005-0000-0000-00001A0C0000}"/>
    <cellStyle name="Title [Palat] 2 2 3 3 7 3" xfId="45468" xr:uid="{00000000-0005-0000-0000-00001A0C0000}"/>
    <cellStyle name="Title [Palat] 2 2 3 3 8" xfId="17920" xr:uid="{00000000-0005-0000-0000-00001A0C0000}"/>
    <cellStyle name="Title [Palat] 2 2 3 3 8 2" xfId="36328" xr:uid="{00000000-0005-0000-0000-00001A0C0000}"/>
    <cellStyle name="Title [Palat] 2 2 3 3 9" xfId="10876" xr:uid="{00000000-0005-0000-0000-00001A0C0000}"/>
    <cellStyle name="Title [Palat] 2 2 3 4" xfId="1372" xr:uid="{00000000-0005-0000-0000-00001B0C0000}"/>
    <cellStyle name="Title [Palat] 2 2 3 4 10" xfId="8844" xr:uid="{00000000-0005-0000-0000-00001B0C0000}"/>
    <cellStyle name="Title [Palat] 2 2 3 4 2" xfId="3414" xr:uid="{00000000-0005-0000-0000-00001B0C0000}"/>
    <cellStyle name="Title [Palat] 2 2 3 4 2 2" xfId="5589" xr:uid="{00000000-0005-0000-0000-00001B0C0000}"/>
    <cellStyle name="Title [Palat] 2 2 3 4 2 2 2" xfId="11953" xr:uid="{00000000-0005-0000-0000-00001B0C0000}"/>
    <cellStyle name="Title [Palat] 2 2 3 4 2 2 2 2" xfId="30400" xr:uid="{00000000-0005-0000-0000-00001B0C0000}"/>
    <cellStyle name="Title [Palat] 2 2 3 4 2 2 2 3" xfId="48763" xr:uid="{00000000-0005-0000-0000-00001B0C0000}"/>
    <cellStyle name="Title [Palat] 2 2 3 4 2 2 3" xfId="16279" xr:uid="{00000000-0005-0000-0000-00001B0C0000}"/>
    <cellStyle name="Title [Palat] 2 2 3 4 2 2 3 2" xfId="34651" xr:uid="{00000000-0005-0000-0000-00001B0C0000}"/>
    <cellStyle name="Title [Palat] 2 2 3 4 2 2 3 3" xfId="53014" xr:uid="{00000000-0005-0000-0000-00001B0C0000}"/>
    <cellStyle name="Title [Palat] 2 2 3 4 2 2 4" xfId="25398" xr:uid="{00000000-0005-0000-0000-00001B0C0000}"/>
    <cellStyle name="Title [Palat] 2 2 3 4 2 2 4 2" xfId="43767" xr:uid="{00000000-0005-0000-0000-00001B0C0000}"/>
    <cellStyle name="Title [Palat] 2 2 3 4 2 2 5" xfId="21719" xr:uid="{00000000-0005-0000-0000-00001B0C0000}"/>
    <cellStyle name="Title [Palat] 2 2 3 4 2 2 6" xfId="40098" xr:uid="{00000000-0005-0000-0000-00001B0C0000}"/>
    <cellStyle name="Title [Palat] 2 2 3 4 2 3" xfId="6413" xr:uid="{00000000-0005-0000-0000-00001B0C0000}"/>
    <cellStyle name="Title [Palat] 2 2 3 4 2 3 2" xfId="12704" xr:uid="{00000000-0005-0000-0000-00001B0C0000}"/>
    <cellStyle name="Title [Palat] 2 2 3 4 2 3 2 2" xfId="31130" xr:uid="{00000000-0005-0000-0000-00001B0C0000}"/>
    <cellStyle name="Title [Palat] 2 2 3 4 2 3 2 3" xfId="49493" xr:uid="{00000000-0005-0000-0000-00001B0C0000}"/>
    <cellStyle name="Title [Palat] 2 2 3 4 2 3 3" xfId="17015" xr:uid="{00000000-0005-0000-0000-00001B0C0000}"/>
    <cellStyle name="Title [Palat] 2 2 3 4 2 3 3 2" xfId="35363" xr:uid="{00000000-0005-0000-0000-00001B0C0000}"/>
    <cellStyle name="Title [Palat] 2 2 3 4 2 3 3 3" xfId="53726" xr:uid="{00000000-0005-0000-0000-00001B0C0000}"/>
    <cellStyle name="Title [Palat] 2 2 3 4 2 3 4" xfId="26148" xr:uid="{00000000-0005-0000-0000-00001B0C0000}"/>
    <cellStyle name="Title [Palat] 2 2 3 4 2 3 4 2" xfId="44517" xr:uid="{00000000-0005-0000-0000-00001B0C0000}"/>
    <cellStyle name="Title [Palat] 2 2 3 4 2 3 5" xfId="22441" xr:uid="{00000000-0005-0000-0000-00001B0C0000}"/>
    <cellStyle name="Title [Palat] 2 2 3 4 2 3 6" xfId="40810" xr:uid="{00000000-0005-0000-0000-00001B0C0000}"/>
    <cellStyle name="Title [Palat] 2 2 3 4 2 4" xfId="10127" xr:uid="{00000000-0005-0000-0000-00001B0C0000}"/>
    <cellStyle name="Title [Palat] 2 2 3 4 2 4 2" xfId="14184" xr:uid="{00000000-0005-0000-0000-00001B0C0000}"/>
    <cellStyle name="Title [Palat] 2 2 3 4 2 4 2 2" xfId="32600" xr:uid="{00000000-0005-0000-0000-00001B0C0000}"/>
    <cellStyle name="Title [Palat] 2 2 3 4 2 4 2 3" xfId="50963" xr:uid="{00000000-0005-0000-0000-00001B0C0000}"/>
    <cellStyle name="Title [Palat] 2 2 3 4 2 4 3" xfId="28838" xr:uid="{00000000-0005-0000-0000-00001B0C0000}"/>
    <cellStyle name="Title [Palat] 2 2 3 4 2 4 3 2" xfId="47201" xr:uid="{00000000-0005-0000-0000-00001B0C0000}"/>
    <cellStyle name="Title [Palat] 2 2 3 4 2 4 4" xfId="19641" xr:uid="{00000000-0005-0000-0000-00001B0C0000}"/>
    <cellStyle name="Title [Palat] 2 2 3 4 2 4 5" xfId="38047" xr:uid="{00000000-0005-0000-0000-00001B0C0000}"/>
    <cellStyle name="Title [Palat] 2 2 3 4 2 5" xfId="9314" xr:uid="{00000000-0005-0000-0000-00001B0C0000}"/>
    <cellStyle name="Title [Palat] 2 2 3 4 2 5 2" xfId="28033" xr:uid="{00000000-0005-0000-0000-00001B0C0000}"/>
    <cellStyle name="Title [Palat] 2 2 3 4 2 5 3" xfId="46396" xr:uid="{00000000-0005-0000-0000-00001B0C0000}"/>
    <cellStyle name="Title [Palat] 2 2 3 4 2 6" xfId="13370" xr:uid="{00000000-0005-0000-0000-00001B0C0000}"/>
    <cellStyle name="Title [Palat] 2 2 3 4 2 6 2" xfId="31791" xr:uid="{00000000-0005-0000-0000-00001B0C0000}"/>
    <cellStyle name="Title [Palat] 2 2 3 4 2 6 3" xfId="50154" xr:uid="{00000000-0005-0000-0000-00001B0C0000}"/>
    <cellStyle name="Title [Palat] 2 2 3 4 2 7" xfId="23322" xr:uid="{00000000-0005-0000-0000-00001B0C0000}"/>
    <cellStyle name="Title [Palat] 2 2 3 4 2 7 2" xfId="41691" xr:uid="{00000000-0005-0000-0000-00001B0C0000}"/>
    <cellStyle name="Title [Palat] 2 2 3 4 2 8" xfId="18390" xr:uid="{00000000-0005-0000-0000-00001B0C0000}"/>
    <cellStyle name="Title [Palat] 2 2 3 4 2 9" xfId="36796" xr:uid="{00000000-0005-0000-0000-00001B0C0000}"/>
    <cellStyle name="Title [Palat] 2 2 3 4 3" xfId="4405" xr:uid="{00000000-0005-0000-0000-00001B0C0000}"/>
    <cellStyle name="Title [Palat] 2 2 3 4 3 2" xfId="11004" xr:uid="{00000000-0005-0000-0000-00001B0C0000}"/>
    <cellStyle name="Title [Palat] 2 2 3 4 3 2 2" xfId="29626" xr:uid="{00000000-0005-0000-0000-00001B0C0000}"/>
    <cellStyle name="Title [Palat] 2 2 3 4 3 2 3" xfId="47989" xr:uid="{00000000-0005-0000-0000-00001B0C0000}"/>
    <cellStyle name="Title [Palat] 2 2 3 4 3 3" xfId="15140" xr:uid="{00000000-0005-0000-0000-00001B0C0000}"/>
    <cellStyle name="Title [Palat] 2 2 3 4 3 3 2" xfId="33537" xr:uid="{00000000-0005-0000-0000-00001B0C0000}"/>
    <cellStyle name="Title [Palat] 2 2 3 4 3 3 3" xfId="51900" xr:uid="{00000000-0005-0000-0000-00001B0C0000}"/>
    <cellStyle name="Title [Palat] 2 2 3 4 3 4" xfId="24268" xr:uid="{00000000-0005-0000-0000-00001B0C0000}"/>
    <cellStyle name="Title [Palat] 2 2 3 4 3 4 2" xfId="42637" xr:uid="{00000000-0005-0000-0000-00001B0C0000}"/>
    <cellStyle name="Title [Palat] 2 2 3 4 3 5" xfId="20591" xr:uid="{00000000-0005-0000-0000-00001B0C0000}"/>
    <cellStyle name="Title [Palat] 2 2 3 4 3 6" xfId="38984" xr:uid="{00000000-0005-0000-0000-00001B0C0000}"/>
    <cellStyle name="Title [Palat] 2 2 3 4 4" xfId="4891" xr:uid="{00000000-0005-0000-0000-00001B0C0000}"/>
    <cellStyle name="Title [Palat] 2 2 3 4 4 2" xfId="11447" xr:uid="{00000000-0005-0000-0000-00001B0C0000}"/>
    <cellStyle name="Title [Palat] 2 2 3 4 4 2 2" xfId="30035" xr:uid="{00000000-0005-0000-0000-00001B0C0000}"/>
    <cellStyle name="Title [Palat] 2 2 3 4 4 2 3" xfId="48398" xr:uid="{00000000-0005-0000-0000-00001B0C0000}"/>
    <cellStyle name="Title [Palat] 2 2 3 4 4 3" xfId="15617" xr:uid="{00000000-0005-0000-0000-00001B0C0000}"/>
    <cellStyle name="Title [Palat] 2 2 3 4 4 3 2" xfId="34008" xr:uid="{00000000-0005-0000-0000-00001B0C0000}"/>
    <cellStyle name="Title [Palat] 2 2 3 4 4 3 3" xfId="52371" xr:uid="{00000000-0005-0000-0000-00001B0C0000}"/>
    <cellStyle name="Title [Palat] 2 2 3 4 4 4" xfId="24739" xr:uid="{00000000-0005-0000-0000-00001B0C0000}"/>
    <cellStyle name="Title [Palat] 2 2 3 4 4 4 2" xfId="43108" xr:uid="{00000000-0005-0000-0000-00001B0C0000}"/>
    <cellStyle name="Title [Palat] 2 2 3 4 4 5" xfId="21066" xr:uid="{00000000-0005-0000-0000-00001B0C0000}"/>
    <cellStyle name="Title [Palat] 2 2 3 4 4 6" xfId="39455" xr:uid="{00000000-0005-0000-0000-00001B0C0000}"/>
    <cellStyle name="Title [Palat] 2 2 3 4 5" xfId="9875" xr:uid="{00000000-0005-0000-0000-00001B0C0000}"/>
    <cellStyle name="Title [Palat] 2 2 3 4 5 2" xfId="13933" xr:uid="{00000000-0005-0000-0000-00001B0C0000}"/>
    <cellStyle name="Title [Palat] 2 2 3 4 5 2 2" xfId="32351" xr:uid="{00000000-0005-0000-0000-00001B0C0000}"/>
    <cellStyle name="Title [Palat] 2 2 3 4 5 2 3" xfId="50714" xr:uid="{00000000-0005-0000-0000-00001B0C0000}"/>
    <cellStyle name="Title [Palat] 2 2 3 4 5 3" xfId="28589" xr:uid="{00000000-0005-0000-0000-00001B0C0000}"/>
    <cellStyle name="Title [Palat] 2 2 3 4 5 3 2" xfId="46952" xr:uid="{00000000-0005-0000-0000-00001B0C0000}"/>
    <cellStyle name="Title [Palat] 2 2 3 4 5 4" xfId="19136" xr:uid="{00000000-0005-0000-0000-00001B0C0000}"/>
    <cellStyle name="Title [Palat] 2 2 3 4 5 5" xfId="37544" xr:uid="{00000000-0005-0000-0000-00001B0C0000}"/>
    <cellStyle name="Title [Palat] 2 2 3 4 6" xfId="7667" xr:uid="{00000000-0005-0000-0000-00001B0C0000}"/>
    <cellStyle name="Title [Palat] 2 2 3 4 6 2" xfId="26951" xr:uid="{00000000-0005-0000-0000-00001B0C0000}"/>
    <cellStyle name="Title [Palat] 2 2 3 4 6 3" xfId="45316" xr:uid="{00000000-0005-0000-0000-00001B0C0000}"/>
    <cellStyle name="Title [Palat] 2 2 3 4 7" xfId="8924" xr:uid="{00000000-0005-0000-0000-00001B0C0000}"/>
    <cellStyle name="Title [Palat] 2 2 3 4 7 2" xfId="27697" xr:uid="{00000000-0005-0000-0000-00001B0C0000}"/>
    <cellStyle name="Title [Palat] 2 2 3 4 7 3" xfId="46060" xr:uid="{00000000-0005-0000-0000-00001B0C0000}"/>
    <cellStyle name="Title [Palat] 2 2 3 4 8" xfId="19382" xr:uid="{00000000-0005-0000-0000-00001B0C0000}"/>
    <cellStyle name="Title [Palat] 2 2 3 4 8 2" xfId="37789" xr:uid="{00000000-0005-0000-0000-00001B0C0000}"/>
    <cellStyle name="Title [Palat] 2 2 3 4 9" xfId="11723" xr:uid="{00000000-0005-0000-0000-00001B0C0000}"/>
    <cellStyle name="Title [Palat] 2 2 3 5" xfId="3510" xr:uid="{00000000-0005-0000-0000-0000180C0000}"/>
    <cellStyle name="Title [Palat] 2 2 3 5 2" xfId="5684" xr:uid="{00000000-0005-0000-0000-0000180C0000}"/>
    <cellStyle name="Title [Palat] 2 2 3 5 2 2" xfId="12048" xr:uid="{00000000-0005-0000-0000-0000180C0000}"/>
    <cellStyle name="Title [Palat] 2 2 3 5 2 2 2" xfId="30495" xr:uid="{00000000-0005-0000-0000-0000180C0000}"/>
    <cellStyle name="Title [Palat] 2 2 3 5 2 2 3" xfId="48858" xr:uid="{00000000-0005-0000-0000-0000180C0000}"/>
    <cellStyle name="Title [Palat] 2 2 3 5 2 3" xfId="16374" xr:uid="{00000000-0005-0000-0000-0000180C0000}"/>
    <cellStyle name="Title [Palat] 2 2 3 5 2 3 2" xfId="34746" xr:uid="{00000000-0005-0000-0000-0000180C0000}"/>
    <cellStyle name="Title [Palat] 2 2 3 5 2 3 3" xfId="53109" xr:uid="{00000000-0005-0000-0000-0000180C0000}"/>
    <cellStyle name="Title [Palat] 2 2 3 5 2 4" xfId="25493" xr:uid="{00000000-0005-0000-0000-0000180C0000}"/>
    <cellStyle name="Title [Palat] 2 2 3 5 2 4 2" xfId="43862" xr:uid="{00000000-0005-0000-0000-0000180C0000}"/>
    <cellStyle name="Title [Palat] 2 2 3 5 2 5" xfId="21814" xr:uid="{00000000-0005-0000-0000-0000180C0000}"/>
    <cellStyle name="Title [Palat] 2 2 3 5 2 6" xfId="40193" xr:uid="{00000000-0005-0000-0000-0000180C0000}"/>
    <cellStyle name="Title [Palat] 2 2 3 5 3" xfId="6509" xr:uid="{00000000-0005-0000-0000-0000180C0000}"/>
    <cellStyle name="Title [Palat] 2 2 3 5 3 2" xfId="12800" xr:uid="{00000000-0005-0000-0000-0000180C0000}"/>
    <cellStyle name="Title [Palat] 2 2 3 5 3 2 2" xfId="31226" xr:uid="{00000000-0005-0000-0000-0000180C0000}"/>
    <cellStyle name="Title [Palat] 2 2 3 5 3 2 3" xfId="49589" xr:uid="{00000000-0005-0000-0000-0000180C0000}"/>
    <cellStyle name="Title [Palat] 2 2 3 5 3 3" xfId="17111" xr:uid="{00000000-0005-0000-0000-0000180C0000}"/>
    <cellStyle name="Title [Palat] 2 2 3 5 3 3 2" xfId="35459" xr:uid="{00000000-0005-0000-0000-0000180C0000}"/>
    <cellStyle name="Title [Palat] 2 2 3 5 3 3 3" xfId="53822" xr:uid="{00000000-0005-0000-0000-0000180C0000}"/>
    <cellStyle name="Title [Palat] 2 2 3 5 3 4" xfId="26244" xr:uid="{00000000-0005-0000-0000-0000180C0000}"/>
    <cellStyle name="Title [Palat] 2 2 3 5 3 4 2" xfId="44613" xr:uid="{00000000-0005-0000-0000-0000180C0000}"/>
    <cellStyle name="Title [Palat] 2 2 3 5 3 5" xfId="22537" xr:uid="{00000000-0005-0000-0000-0000180C0000}"/>
    <cellStyle name="Title [Palat] 2 2 3 5 3 6" xfId="40906" xr:uid="{00000000-0005-0000-0000-0000180C0000}"/>
    <cellStyle name="Title [Palat] 2 2 3 5 4" xfId="10223" xr:uid="{00000000-0005-0000-0000-0000180C0000}"/>
    <cellStyle name="Title [Palat] 2 2 3 5 4 2" xfId="14280" xr:uid="{00000000-0005-0000-0000-0000180C0000}"/>
    <cellStyle name="Title [Palat] 2 2 3 5 4 2 2" xfId="32696" xr:uid="{00000000-0005-0000-0000-0000180C0000}"/>
    <cellStyle name="Title [Palat] 2 2 3 5 4 2 3" xfId="51059" xr:uid="{00000000-0005-0000-0000-0000180C0000}"/>
    <cellStyle name="Title [Palat] 2 2 3 5 4 3" xfId="28934" xr:uid="{00000000-0005-0000-0000-0000180C0000}"/>
    <cellStyle name="Title [Palat] 2 2 3 5 4 3 2" xfId="47297" xr:uid="{00000000-0005-0000-0000-0000180C0000}"/>
    <cellStyle name="Title [Palat] 2 2 3 5 4 4" xfId="19737" xr:uid="{00000000-0005-0000-0000-0000180C0000}"/>
    <cellStyle name="Title [Palat] 2 2 3 5 4 5" xfId="38143" xr:uid="{00000000-0005-0000-0000-0000180C0000}"/>
    <cellStyle name="Title [Palat] 2 2 3 5 5" xfId="9418" xr:uid="{00000000-0005-0000-0000-0000180C0000}"/>
    <cellStyle name="Title [Palat] 2 2 3 5 5 2" xfId="28135" xr:uid="{00000000-0005-0000-0000-0000180C0000}"/>
    <cellStyle name="Title [Palat] 2 2 3 5 5 3" xfId="46498" xr:uid="{00000000-0005-0000-0000-0000180C0000}"/>
    <cellStyle name="Title [Palat] 2 2 3 5 6" xfId="13475" xr:uid="{00000000-0005-0000-0000-0000180C0000}"/>
    <cellStyle name="Title [Palat] 2 2 3 5 6 2" xfId="31896" xr:uid="{00000000-0005-0000-0000-0000180C0000}"/>
    <cellStyle name="Title [Palat] 2 2 3 5 6 3" xfId="50259" xr:uid="{00000000-0005-0000-0000-0000180C0000}"/>
    <cellStyle name="Title [Palat] 2 2 3 5 7" xfId="23418" xr:uid="{00000000-0005-0000-0000-0000180C0000}"/>
    <cellStyle name="Title [Palat] 2 2 3 5 7 2" xfId="41787" xr:uid="{00000000-0005-0000-0000-0000180C0000}"/>
    <cellStyle name="Title [Palat] 2 2 3 5 8" xfId="18503" xr:uid="{00000000-0005-0000-0000-0000180C0000}"/>
    <cellStyle name="Title [Palat] 2 2 3 5 9" xfId="36912" xr:uid="{00000000-0005-0000-0000-0000180C0000}"/>
    <cellStyle name="Title [Palat] 2 2 3 6" xfId="4514" xr:uid="{00000000-0005-0000-0000-0000180C0000}"/>
    <cellStyle name="Title [Palat] 2 2 3 6 2" xfId="11105" xr:uid="{00000000-0005-0000-0000-0000180C0000}"/>
    <cellStyle name="Title [Palat] 2 2 3 6 2 2" xfId="29723" xr:uid="{00000000-0005-0000-0000-0000180C0000}"/>
    <cellStyle name="Title [Palat] 2 2 3 6 2 3" xfId="48086" xr:uid="{00000000-0005-0000-0000-0000180C0000}"/>
    <cellStyle name="Title [Palat] 2 2 3 6 3" xfId="15243" xr:uid="{00000000-0005-0000-0000-0000180C0000}"/>
    <cellStyle name="Title [Palat] 2 2 3 6 3 2" xfId="33637" xr:uid="{00000000-0005-0000-0000-0000180C0000}"/>
    <cellStyle name="Title [Palat] 2 2 3 6 3 3" xfId="52000" xr:uid="{00000000-0005-0000-0000-0000180C0000}"/>
    <cellStyle name="Title [Palat] 2 2 3 6 4" xfId="24368" xr:uid="{00000000-0005-0000-0000-0000180C0000}"/>
    <cellStyle name="Title [Palat] 2 2 3 6 4 2" xfId="42737" xr:uid="{00000000-0005-0000-0000-0000180C0000}"/>
    <cellStyle name="Title [Palat] 2 2 3 6 5" xfId="20692" xr:uid="{00000000-0005-0000-0000-0000180C0000}"/>
    <cellStyle name="Title [Palat] 2 2 3 6 6" xfId="39084" xr:uid="{00000000-0005-0000-0000-0000180C0000}"/>
    <cellStyle name="Title [Palat] 2 2 3 7" xfId="5043" xr:uid="{00000000-0005-0000-0000-0000180C0000}"/>
    <cellStyle name="Title [Palat] 2 2 3 7 2" xfId="11566" xr:uid="{00000000-0005-0000-0000-0000180C0000}"/>
    <cellStyle name="Title [Palat] 2 2 3 7 2 2" xfId="30138" xr:uid="{00000000-0005-0000-0000-0000180C0000}"/>
    <cellStyle name="Title [Palat] 2 2 3 7 2 3" xfId="48501" xr:uid="{00000000-0005-0000-0000-0000180C0000}"/>
    <cellStyle name="Title [Palat] 2 2 3 7 3" xfId="15756" xr:uid="{00000000-0005-0000-0000-0000180C0000}"/>
    <cellStyle name="Title [Palat] 2 2 3 7 3 2" xfId="34144" xr:uid="{00000000-0005-0000-0000-0000180C0000}"/>
    <cellStyle name="Title [Palat] 2 2 3 7 3 3" xfId="52507" xr:uid="{00000000-0005-0000-0000-0000180C0000}"/>
    <cellStyle name="Title [Palat] 2 2 3 7 4" xfId="24880" xr:uid="{00000000-0005-0000-0000-0000180C0000}"/>
    <cellStyle name="Title [Palat] 2 2 3 7 4 2" xfId="43249" xr:uid="{00000000-0005-0000-0000-0000180C0000}"/>
    <cellStyle name="Title [Palat] 2 2 3 7 5" xfId="21204" xr:uid="{00000000-0005-0000-0000-0000180C0000}"/>
    <cellStyle name="Title [Palat] 2 2 3 7 6" xfId="39591" xr:uid="{00000000-0005-0000-0000-0000180C0000}"/>
    <cellStyle name="Title [Palat] 2 2 3 8" xfId="9115" xr:uid="{00000000-0005-0000-0000-0000180C0000}"/>
    <cellStyle name="Title [Palat] 2 2 3 8 2" xfId="3909" xr:uid="{00000000-0005-0000-0000-0000180C0000}"/>
    <cellStyle name="Title [Palat] 2 2 3 8 2 2" xfId="23815" xr:uid="{00000000-0005-0000-0000-0000180C0000}"/>
    <cellStyle name="Title [Palat] 2 2 3 8 2 3" xfId="42184" xr:uid="{00000000-0005-0000-0000-0000180C0000}"/>
    <cellStyle name="Title [Palat] 2 2 3 8 3" xfId="27841" xr:uid="{00000000-0005-0000-0000-0000180C0000}"/>
    <cellStyle name="Title [Palat] 2 2 3 8 3 2" xfId="46204" xr:uid="{00000000-0005-0000-0000-0000180C0000}"/>
    <cellStyle name="Title [Palat] 2 2 3 8 4" xfId="18027" xr:uid="{00000000-0005-0000-0000-0000180C0000}"/>
    <cellStyle name="Title [Palat] 2 2 3 8 5" xfId="36435" xr:uid="{00000000-0005-0000-0000-0000180C0000}"/>
    <cellStyle name="Title [Palat] 2 2 3 9" xfId="7783" xr:uid="{00000000-0005-0000-0000-0000180C0000}"/>
    <cellStyle name="Title [Palat] 2 2 3 9 2" xfId="27054" xr:uid="{00000000-0005-0000-0000-0000180C0000}"/>
    <cellStyle name="Title [Palat] 2 2 3 9 3" xfId="45419" xr:uid="{00000000-0005-0000-0000-0000180C0000}"/>
    <cellStyle name="Title [Palat] 2 2 4" xfId="1401" xr:uid="{00000000-0005-0000-0000-00001C0C0000}"/>
    <cellStyle name="Title [Palat] 2 2 4 10" xfId="6968" xr:uid="{00000000-0005-0000-0000-00001C0C0000}"/>
    <cellStyle name="Title [Palat] 2 2 4 2" xfId="3434" xr:uid="{00000000-0005-0000-0000-00001C0C0000}"/>
    <cellStyle name="Title [Palat] 2 2 4 2 2" xfId="5609" xr:uid="{00000000-0005-0000-0000-00001C0C0000}"/>
    <cellStyle name="Title [Palat] 2 2 4 2 2 2" xfId="11973" xr:uid="{00000000-0005-0000-0000-00001C0C0000}"/>
    <cellStyle name="Title [Palat] 2 2 4 2 2 2 2" xfId="30420" xr:uid="{00000000-0005-0000-0000-00001C0C0000}"/>
    <cellStyle name="Title [Palat] 2 2 4 2 2 2 3" xfId="48783" xr:uid="{00000000-0005-0000-0000-00001C0C0000}"/>
    <cellStyle name="Title [Palat] 2 2 4 2 2 3" xfId="16299" xr:uid="{00000000-0005-0000-0000-00001C0C0000}"/>
    <cellStyle name="Title [Palat] 2 2 4 2 2 3 2" xfId="34671" xr:uid="{00000000-0005-0000-0000-00001C0C0000}"/>
    <cellStyle name="Title [Palat] 2 2 4 2 2 3 3" xfId="53034" xr:uid="{00000000-0005-0000-0000-00001C0C0000}"/>
    <cellStyle name="Title [Palat] 2 2 4 2 2 4" xfId="25418" xr:uid="{00000000-0005-0000-0000-00001C0C0000}"/>
    <cellStyle name="Title [Palat] 2 2 4 2 2 4 2" xfId="43787" xr:uid="{00000000-0005-0000-0000-00001C0C0000}"/>
    <cellStyle name="Title [Palat] 2 2 4 2 2 5" xfId="21739" xr:uid="{00000000-0005-0000-0000-00001C0C0000}"/>
    <cellStyle name="Title [Palat] 2 2 4 2 2 6" xfId="40118" xr:uid="{00000000-0005-0000-0000-00001C0C0000}"/>
    <cellStyle name="Title [Palat] 2 2 4 2 3" xfId="6433" xr:uid="{00000000-0005-0000-0000-00001C0C0000}"/>
    <cellStyle name="Title [Palat] 2 2 4 2 3 2" xfId="12724" xr:uid="{00000000-0005-0000-0000-00001C0C0000}"/>
    <cellStyle name="Title [Palat] 2 2 4 2 3 2 2" xfId="31150" xr:uid="{00000000-0005-0000-0000-00001C0C0000}"/>
    <cellStyle name="Title [Palat] 2 2 4 2 3 2 3" xfId="49513" xr:uid="{00000000-0005-0000-0000-00001C0C0000}"/>
    <cellStyle name="Title [Palat] 2 2 4 2 3 3" xfId="17035" xr:uid="{00000000-0005-0000-0000-00001C0C0000}"/>
    <cellStyle name="Title [Palat] 2 2 4 2 3 3 2" xfId="35383" xr:uid="{00000000-0005-0000-0000-00001C0C0000}"/>
    <cellStyle name="Title [Palat] 2 2 4 2 3 3 3" xfId="53746" xr:uid="{00000000-0005-0000-0000-00001C0C0000}"/>
    <cellStyle name="Title [Palat] 2 2 4 2 3 4" xfId="26168" xr:uid="{00000000-0005-0000-0000-00001C0C0000}"/>
    <cellStyle name="Title [Palat] 2 2 4 2 3 4 2" xfId="44537" xr:uid="{00000000-0005-0000-0000-00001C0C0000}"/>
    <cellStyle name="Title [Palat] 2 2 4 2 3 5" xfId="22461" xr:uid="{00000000-0005-0000-0000-00001C0C0000}"/>
    <cellStyle name="Title [Palat] 2 2 4 2 3 6" xfId="40830" xr:uid="{00000000-0005-0000-0000-00001C0C0000}"/>
    <cellStyle name="Title [Palat] 2 2 4 2 4" xfId="10147" xr:uid="{00000000-0005-0000-0000-00001C0C0000}"/>
    <cellStyle name="Title [Palat] 2 2 4 2 4 2" xfId="14204" xr:uid="{00000000-0005-0000-0000-00001C0C0000}"/>
    <cellStyle name="Title [Palat] 2 2 4 2 4 2 2" xfId="32620" xr:uid="{00000000-0005-0000-0000-00001C0C0000}"/>
    <cellStyle name="Title [Palat] 2 2 4 2 4 2 3" xfId="50983" xr:uid="{00000000-0005-0000-0000-00001C0C0000}"/>
    <cellStyle name="Title [Palat] 2 2 4 2 4 3" xfId="28858" xr:uid="{00000000-0005-0000-0000-00001C0C0000}"/>
    <cellStyle name="Title [Palat] 2 2 4 2 4 3 2" xfId="47221" xr:uid="{00000000-0005-0000-0000-00001C0C0000}"/>
    <cellStyle name="Title [Palat] 2 2 4 2 4 4" xfId="19661" xr:uid="{00000000-0005-0000-0000-00001C0C0000}"/>
    <cellStyle name="Title [Palat] 2 2 4 2 4 5" xfId="38067" xr:uid="{00000000-0005-0000-0000-00001C0C0000}"/>
    <cellStyle name="Title [Palat] 2 2 4 2 5" xfId="9334" xr:uid="{00000000-0005-0000-0000-00001C0C0000}"/>
    <cellStyle name="Title [Palat] 2 2 4 2 5 2" xfId="28053" xr:uid="{00000000-0005-0000-0000-00001C0C0000}"/>
    <cellStyle name="Title [Palat] 2 2 4 2 5 3" xfId="46416" xr:uid="{00000000-0005-0000-0000-00001C0C0000}"/>
    <cellStyle name="Title [Palat] 2 2 4 2 6" xfId="13390" xr:uid="{00000000-0005-0000-0000-00001C0C0000}"/>
    <cellStyle name="Title [Palat] 2 2 4 2 6 2" xfId="31811" xr:uid="{00000000-0005-0000-0000-00001C0C0000}"/>
    <cellStyle name="Title [Palat] 2 2 4 2 6 3" xfId="50174" xr:uid="{00000000-0005-0000-0000-00001C0C0000}"/>
    <cellStyle name="Title [Palat] 2 2 4 2 7" xfId="23342" xr:uid="{00000000-0005-0000-0000-00001C0C0000}"/>
    <cellStyle name="Title [Palat] 2 2 4 2 7 2" xfId="41711" xr:uid="{00000000-0005-0000-0000-00001C0C0000}"/>
    <cellStyle name="Title [Palat] 2 2 4 2 8" xfId="18413" xr:uid="{00000000-0005-0000-0000-00001C0C0000}"/>
    <cellStyle name="Title [Palat] 2 2 4 2 9" xfId="36819" xr:uid="{00000000-0005-0000-0000-00001C0C0000}"/>
    <cellStyle name="Title [Palat] 2 2 4 3" xfId="4427" xr:uid="{00000000-0005-0000-0000-00001C0C0000}"/>
    <cellStyle name="Title [Palat] 2 2 4 3 2" xfId="11026" xr:uid="{00000000-0005-0000-0000-00001C0C0000}"/>
    <cellStyle name="Title [Palat] 2 2 4 3 2 2" xfId="29646" xr:uid="{00000000-0005-0000-0000-00001C0C0000}"/>
    <cellStyle name="Title [Palat] 2 2 4 3 2 3" xfId="48009" xr:uid="{00000000-0005-0000-0000-00001C0C0000}"/>
    <cellStyle name="Title [Palat] 2 2 4 3 3" xfId="15161" xr:uid="{00000000-0005-0000-0000-00001C0C0000}"/>
    <cellStyle name="Title [Palat] 2 2 4 3 3 2" xfId="33558" xr:uid="{00000000-0005-0000-0000-00001C0C0000}"/>
    <cellStyle name="Title [Palat] 2 2 4 3 3 3" xfId="51921" xr:uid="{00000000-0005-0000-0000-00001C0C0000}"/>
    <cellStyle name="Title [Palat] 2 2 4 3 4" xfId="24289" xr:uid="{00000000-0005-0000-0000-00001C0C0000}"/>
    <cellStyle name="Title [Palat] 2 2 4 3 4 2" xfId="42658" xr:uid="{00000000-0005-0000-0000-00001C0C0000}"/>
    <cellStyle name="Title [Palat] 2 2 4 3 5" xfId="20612" xr:uid="{00000000-0005-0000-0000-00001C0C0000}"/>
    <cellStyle name="Title [Palat] 2 2 4 3 6" xfId="39005" xr:uid="{00000000-0005-0000-0000-00001C0C0000}"/>
    <cellStyle name="Title [Palat] 2 2 4 4" xfId="4889" xr:uid="{00000000-0005-0000-0000-00001C0C0000}"/>
    <cellStyle name="Title [Palat] 2 2 4 4 2" xfId="11445" xr:uid="{00000000-0005-0000-0000-00001C0C0000}"/>
    <cellStyle name="Title [Palat] 2 2 4 4 2 2" xfId="30033" xr:uid="{00000000-0005-0000-0000-00001C0C0000}"/>
    <cellStyle name="Title [Palat] 2 2 4 4 2 3" xfId="48396" xr:uid="{00000000-0005-0000-0000-00001C0C0000}"/>
    <cellStyle name="Title [Palat] 2 2 4 4 3" xfId="15615" xr:uid="{00000000-0005-0000-0000-00001C0C0000}"/>
    <cellStyle name="Title [Palat] 2 2 4 4 3 2" xfId="34006" xr:uid="{00000000-0005-0000-0000-00001C0C0000}"/>
    <cellStyle name="Title [Palat] 2 2 4 4 3 3" xfId="52369" xr:uid="{00000000-0005-0000-0000-00001C0C0000}"/>
    <cellStyle name="Title [Palat] 2 2 4 4 4" xfId="24737" xr:uid="{00000000-0005-0000-0000-00001C0C0000}"/>
    <cellStyle name="Title [Palat] 2 2 4 4 4 2" xfId="43106" xr:uid="{00000000-0005-0000-0000-00001C0C0000}"/>
    <cellStyle name="Title [Palat] 2 2 4 4 5" xfId="21064" xr:uid="{00000000-0005-0000-0000-00001C0C0000}"/>
    <cellStyle name="Title [Palat] 2 2 4 4 6" xfId="39453" xr:uid="{00000000-0005-0000-0000-00001C0C0000}"/>
    <cellStyle name="Title [Palat] 2 2 4 5" xfId="9879" xr:uid="{00000000-0005-0000-0000-00001C0C0000}"/>
    <cellStyle name="Title [Palat] 2 2 4 5 2" xfId="13937" xr:uid="{00000000-0005-0000-0000-00001C0C0000}"/>
    <cellStyle name="Title [Palat] 2 2 4 5 2 2" xfId="32355" xr:uid="{00000000-0005-0000-0000-00001C0C0000}"/>
    <cellStyle name="Title [Palat] 2 2 4 5 2 3" xfId="50718" xr:uid="{00000000-0005-0000-0000-00001C0C0000}"/>
    <cellStyle name="Title [Palat] 2 2 4 5 3" xfId="28593" xr:uid="{00000000-0005-0000-0000-00001C0C0000}"/>
    <cellStyle name="Title [Palat] 2 2 4 5 3 2" xfId="46956" xr:uid="{00000000-0005-0000-0000-00001C0C0000}"/>
    <cellStyle name="Title [Palat] 2 2 4 5 4" xfId="19140" xr:uid="{00000000-0005-0000-0000-00001C0C0000}"/>
    <cellStyle name="Title [Palat] 2 2 4 5 5" xfId="37548" xr:uid="{00000000-0005-0000-0000-00001C0C0000}"/>
    <cellStyle name="Title [Palat] 2 2 4 6" xfId="7693" xr:uid="{00000000-0005-0000-0000-00001C0C0000}"/>
    <cellStyle name="Title [Palat] 2 2 4 6 2" xfId="26975" xr:uid="{00000000-0005-0000-0000-00001C0C0000}"/>
    <cellStyle name="Title [Palat] 2 2 4 6 3" xfId="45340" xr:uid="{00000000-0005-0000-0000-00001C0C0000}"/>
    <cellStyle name="Title [Palat] 2 2 4 7" xfId="7851" xr:uid="{00000000-0005-0000-0000-00001C0C0000}"/>
    <cellStyle name="Title [Palat] 2 2 4 7 2" xfId="27104" xr:uid="{00000000-0005-0000-0000-00001C0C0000}"/>
    <cellStyle name="Title [Palat] 2 2 4 7 3" xfId="45469" xr:uid="{00000000-0005-0000-0000-00001C0C0000}"/>
    <cellStyle name="Title [Palat] 2 2 4 8" xfId="19418" xr:uid="{00000000-0005-0000-0000-00001C0C0000}"/>
    <cellStyle name="Title [Palat] 2 2 4 8 2" xfId="37824" xr:uid="{00000000-0005-0000-0000-00001C0C0000}"/>
    <cellStyle name="Title [Palat] 2 2 4 9" xfId="7456" xr:uid="{00000000-0005-0000-0000-00001C0C0000}"/>
    <cellStyle name="Title [Palat] 2 2 5" xfId="3381" xr:uid="{00000000-0005-0000-0000-0000130C0000}"/>
    <cellStyle name="Title [Palat] 2 2 5 2" xfId="5556" xr:uid="{00000000-0005-0000-0000-0000130C0000}"/>
    <cellStyle name="Title [Palat] 2 2 5 2 2" xfId="11920" xr:uid="{00000000-0005-0000-0000-0000130C0000}"/>
    <cellStyle name="Title [Palat] 2 2 5 2 2 2" xfId="30367" xr:uid="{00000000-0005-0000-0000-0000130C0000}"/>
    <cellStyle name="Title [Palat] 2 2 5 2 2 3" xfId="48730" xr:uid="{00000000-0005-0000-0000-0000130C0000}"/>
    <cellStyle name="Title [Palat] 2 2 5 2 3" xfId="16246" xr:uid="{00000000-0005-0000-0000-0000130C0000}"/>
    <cellStyle name="Title [Palat] 2 2 5 2 3 2" xfId="34618" xr:uid="{00000000-0005-0000-0000-0000130C0000}"/>
    <cellStyle name="Title [Palat] 2 2 5 2 3 3" xfId="52981" xr:uid="{00000000-0005-0000-0000-0000130C0000}"/>
    <cellStyle name="Title [Palat] 2 2 5 2 4" xfId="25365" xr:uid="{00000000-0005-0000-0000-0000130C0000}"/>
    <cellStyle name="Title [Palat] 2 2 5 2 4 2" xfId="43734" xr:uid="{00000000-0005-0000-0000-0000130C0000}"/>
    <cellStyle name="Title [Palat] 2 2 5 2 5" xfId="21686" xr:uid="{00000000-0005-0000-0000-0000130C0000}"/>
    <cellStyle name="Title [Palat] 2 2 5 2 6" xfId="40065" xr:uid="{00000000-0005-0000-0000-0000130C0000}"/>
    <cellStyle name="Title [Palat] 2 2 5 3" xfId="6380" xr:uid="{00000000-0005-0000-0000-0000130C0000}"/>
    <cellStyle name="Title [Palat] 2 2 5 3 2" xfId="12671" xr:uid="{00000000-0005-0000-0000-0000130C0000}"/>
    <cellStyle name="Title [Palat] 2 2 5 3 2 2" xfId="31097" xr:uid="{00000000-0005-0000-0000-0000130C0000}"/>
    <cellStyle name="Title [Palat] 2 2 5 3 2 3" xfId="49460" xr:uid="{00000000-0005-0000-0000-0000130C0000}"/>
    <cellStyle name="Title [Palat] 2 2 5 3 3" xfId="16982" xr:uid="{00000000-0005-0000-0000-0000130C0000}"/>
    <cellStyle name="Title [Palat] 2 2 5 3 3 2" xfId="35330" xr:uid="{00000000-0005-0000-0000-0000130C0000}"/>
    <cellStyle name="Title [Palat] 2 2 5 3 3 3" xfId="53693" xr:uid="{00000000-0005-0000-0000-0000130C0000}"/>
    <cellStyle name="Title [Palat] 2 2 5 3 4" xfId="26115" xr:uid="{00000000-0005-0000-0000-0000130C0000}"/>
    <cellStyle name="Title [Palat] 2 2 5 3 4 2" xfId="44484" xr:uid="{00000000-0005-0000-0000-0000130C0000}"/>
    <cellStyle name="Title [Palat] 2 2 5 3 5" xfId="22408" xr:uid="{00000000-0005-0000-0000-0000130C0000}"/>
    <cellStyle name="Title [Palat] 2 2 5 3 6" xfId="40777" xr:uid="{00000000-0005-0000-0000-0000130C0000}"/>
    <cellStyle name="Title [Palat] 2 2 5 4" xfId="10094" xr:uid="{00000000-0005-0000-0000-0000130C0000}"/>
    <cellStyle name="Title [Palat] 2 2 5 4 2" xfId="14151" xr:uid="{00000000-0005-0000-0000-0000130C0000}"/>
    <cellStyle name="Title [Palat] 2 2 5 4 2 2" xfId="32567" xr:uid="{00000000-0005-0000-0000-0000130C0000}"/>
    <cellStyle name="Title [Palat] 2 2 5 4 2 3" xfId="50930" xr:uid="{00000000-0005-0000-0000-0000130C0000}"/>
    <cellStyle name="Title [Palat] 2 2 5 4 3" xfId="28805" xr:uid="{00000000-0005-0000-0000-0000130C0000}"/>
    <cellStyle name="Title [Palat] 2 2 5 4 3 2" xfId="47168" xr:uid="{00000000-0005-0000-0000-0000130C0000}"/>
    <cellStyle name="Title [Palat] 2 2 5 4 4" xfId="19608" xr:uid="{00000000-0005-0000-0000-0000130C0000}"/>
    <cellStyle name="Title [Palat] 2 2 5 4 5" xfId="38014" xr:uid="{00000000-0005-0000-0000-0000130C0000}"/>
    <cellStyle name="Title [Palat] 2 2 5 5" xfId="9246" xr:uid="{00000000-0005-0000-0000-0000130C0000}"/>
    <cellStyle name="Title [Palat] 2 2 5 5 2" xfId="27966" xr:uid="{00000000-0005-0000-0000-0000130C0000}"/>
    <cellStyle name="Title [Palat] 2 2 5 5 3" xfId="46329" xr:uid="{00000000-0005-0000-0000-0000130C0000}"/>
    <cellStyle name="Title [Palat] 2 2 5 6" xfId="13303" xr:uid="{00000000-0005-0000-0000-0000130C0000}"/>
    <cellStyle name="Title [Palat] 2 2 5 6 2" xfId="31724" xr:uid="{00000000-0005-0000-0000-0000130C0000}"/>
    <cellStyle name="Title [Palat] 2 2 5 6 3" xfId="50087" xr:uid="{00000000-0005-0000-0000-0000130C0000}"/>
    <cellStyle name="Title [Palat] 2 2 5 7" xfId="23289" xr:uid="{00000000-0005-0000-0000-0000130C0000}"/>
    <cellStyle name="Title [Palat] 2 2 5 7 2" xfId="41658" xr:uid="{00000000-0005-0000-0000-0000130C0000}"/>
    <cellStyle name="Title [Palat] 2 2 5 8" xfId="18298" xr:uid="{00000000-0005-0000-0000-0000130C0000}"/>
    <cellStyle name="Title [Palat] 2 2 5 9" xfId="36704" xr:uid="{00000000-0005-0000-0000-0000130C0000}"/>
    <cellStyle name="Title [Palat] 2 2 6" xfId="4331" xr:uid="{00000000-0005-0000-0000-0000130C0000}"/>
    <cellStyle name="Title [Palat] 2 2 6 2" xfId="10939" xr:uid="{00000000-0005-0000-0000-0000130C0000}"/>
    <cellStyle name="Title [Palat] 2 2 6 2 2" xfId="29569" xr:uid="{00000000-0005-0000-0000-0000130C0000}"/>
    <cellStyle name="Title [Palat] 2 2 6 2 3" xfId="47932" xr:uid="{00000000-0005-0000-0000-0000130C0000}"/>
    <cellStyle name="Title [Palat] 2 2 6 3" xfId="15075" xr:uid="{00000000-0005-0000-0000-0000130C0000}"/>
    <cellStyle name="Title [Palat] 2 2 6 3 2" xfId="33477" xr:uid="{00000000-0005-0000-0000-0000130C0000}"/>
    <cellStyle name="Title [Palat] 2 2 6 3 3" xfId="51840" xr:uid="{00000000-0005-0000-0000-0000130C0000}"/>
    <cellStyle name="Title [Palat] 2 2 6 4" xfId="24206" xr:uid="{00000000-0005-0000-0000-0000130C0000}"/>
    <cellStyle name="Title [Palat] 2 2 6 4 2" xfId="42575" xr:uid="{00000000-0005-0000-0000-0000130C0000}"/>
    <cellStyle name="Title [Palat] 2 2 6 5" xfId="20527" xr:uid="{00000000-0005-0000-0000-0000130C0000}"/>
    <cellStyle name="Title [Palat] 2 2 6 6" xfId="38924" xr:uid="{00000000-0005-0000-0000-0000130C0000}"/>
    <cellStyle name="Title [Palat] 2 2 7" xfId="4067" xr:uid="{00000000-0005-0000-0000-0000130C0000}"/>
    <cellStyle name="Title [Palat] 2 2 7 2" xfId="10767" xr:uid="{00000000-0005-0000-0000-0000130C0000}"/>
    <cellStyle name="Title [Palat] 2 2 7 2 2" xfId="29470" xr:uid="{00000000-0005-0000-0000-0000130C0000}"/>
    <cellStyle name="Title [Palat] 2 2 7 2 3" xfId="47833" xr:uid="{00000000-0005-0000-0000-0000130C0000}"/>
    <cellStyle name="Title [Palat] 2 2 7 3" xfId="14827" xr:uid="{00000000-0005-0000-0000-0000130C0000}"/>
    <cellStyle name="Title [Palat] 2 2 7 3 2" xfId="33239" xr:uid="{00000000-0005-0000-0000-0000130C0000}"/>
    <cellStyle name="Title [Palat] 2 2 7 3 3" xfId="51602" xr:uid="{00000000-0005-0000-0000-0000130C0000}"/>
    <cellStyle name="Title [Palat] 2 2 7 4" xfId="23963" xr:uid="{00000000-0005-0000-0000-0000130C0000}"/>
    <cellStyle name="Title [Palat] 2 2 7 4 2" xfId="42332" xr:uid="{00000000-0005-0000-0000-0000130C0000}"/>
    <cellStyle name="Title [Palat] 2 2 7 5" xfId="20283" xr:uid="{00000000-0005-0000-0000-0000130C0000}"/>
    <cellStyle name="Title [Palat] 2 2 7 6" xfId="38686" xr:uid="{00000000-0005-0000-0000-0000130C0000}"/>
    <cellStyle name="Title [Palat] 2 2 8" xfId="7583" xr:uid="{00000000-0005-0000-0000-0000130C0000}"/>
    <cellStyle name="Title [Palat] 2 2 8 2" xfId="26891" xr:uid="{00000000-0005-0000-0000-0000130C0000}"/>
    <cellStyle name="Title [Palat] 2 2 8 3" xfId="45256" xr:uid="{00000000-0005-0000-0000-0000130C0000}"/>
    <cellStyle name="Title [Palat] 2 2 9" xfId="8284" xr:uid="{00000000-0005-0000-0000-0000130C0000}"/>
    <cellStyle name="Title [Palat] 2 2 9 2" xfId="27405" xr:uid="{00000000-0005-0000-0000-0000130C0000}"/>
    <cellStyle name="Title [Palat] 2 2 9 3" xfId="45770" xr:uid="{00000000-0005-0000-0000-0000130C0000}"/>
    <cellStyle name="Title [Palat] 2 3" xfId="1458" xr:uid="{00000000-0005-0000-0000-00001D0C0000}"/>
    <cellStyle name="Title [Palat] 2 3 10" xfId="11571" xr:uid="{00000000-0005-0000-0000-00001D0C0000}"/>
    <cellStyle name="Title [Palat] 2 3 2" xfId="3477" xr:uid="{00000000-0005-0000-0000-00001D0C0000}"/>
    <cellStyle name="Title [Palat] 2 3 2 2" xfId="5652" xr:uid="{00000000-0005-0000-0000-00001D0C0000}"/>
    <cellStyle name="Title [Palat] 2 3 2 2 2" xfId="12016" xr:uid="{00000000-0005-0000-0000-00001D0C0000}"/>
    <cellStyle name="Title [Palat] 2 3 2 2 2 2" xfId="30463" xr:uid="{00000000-0005-0000-0000-00001D0C0000}"/>
    <cellStyle name="Title [Palat] 2 3 2 2 2 3" xfId="48826" xr:uid="{00000000-0005-0000-0000-00001D0C0000}"/>
    <cellStyle name="Title [Palat] 2 3 2 2 3" xfId="16342" xr:uid="{00000000-0005-0000-0000-00001D0C0000}"/>
    <cellStyle name="Title [Palat] 2 3 2 2 3 2" xfId="34714" xr:uid="{00000000-0005-0000-0000-00001D0C0000}"/>
    <cellStyle name="Title [Palat] 2 3 2 2 3 3" xfId="53077" xr:uid="{00000000-0005-0000-0000-00001D0C0000}"/>
    <cellStyle name="Title [Palat] 2 3 2 2 4" xfId="25461" xr:uid="{00000000-0005-0000-0000-00001D0C0000}"/>
    <cellStyle name="Title [Palat] 2 3 2 2 4 2" xfId="43830" xr:uid="{00000000-0005-0000-0000-00001D0C0000}"/>
    <cellStyle name="Title [Palat] 2 3 2 2 5" xfId="21782" xr:uid="{00000000-0005-0000-0000-00001D0C0000}"/>
    <cellStyle name="Title [Palat] 2 3 2 2 6" xfId="40161" xr:uid="{00000000-0005-0000-0000-00001D0C0000}"/>
    <cellStyle name="Title [Palat] 2 3 2 3" xfId="6476" xr:uid="{00000000-0005-0000-0000-00001D0C0000}"/>
    <cellStyle name="Title [Palat] 2 3 2 3 2" xfId="12767" xr:uid="{00000000-0005-0000-0000-00001D0C0000}"/>
    <cellStyle name="Title [Palat] 2 3 2 3 2 2" xfId="31193" xr:uid="{00000000-0005-0000-0000-00001D0C0000}"/>
    <cellStyle name="Title [Palat] 2 3 2 3 2 3" xfId="49556" xr:uid="{00000000-0005-0000-0000-00001D0C0000}"/>
    <cellStyle name="Title [Palat] 2 3 2 3 3" xfId="17078" xr:uid="{00000000-0005-0000-0000-00001D0C0000}"/>
    <cellStyle name="Title [Palat] 2 3 2 3 3 2" xfId="35426" xr:uid="{00000000-0005-0000-0000-00001D0C0000}"/>
    <cellStyle name="Title [Palat] 2 3 2 3 3 3" xfId="53789" xr:uid="{00000000-0005-0000-0000-00001D0C0000}"/>
    <cellStyle name="Title [Palat] 2 3 2 3 4" xfId="26211" xr:uid="{00000000-0005-0000-0000-00001D0C0000}"/>
    <cellStyle name="Title [Palat] 2 3 2 3 4 2" xfId="44580" xr:uid="{00000000-0005-0000-0000-00001D0C0000}"/>
    <cellStyle name="Title [Palat] 2 3 2 3 5" xfId="22504" xr:uid="{00000000-0005-0000-0000-00001D0C0000}"/>
    <cellStyle name="Title [Palat] 2 3 2 3 6" xfId="40873" xr:uid="{00000000-0005-0000-0000-00001D0C0000}"/>
    <cellStyle name="Title [Palat] 2 3 2 4" xfId="10190" xr:uid="{00000000-0005-0000-0000-00001D0C0000}"/>
    <cellStyle name="Title [Palat] 2 3 2 4 2" xfId="14247" xr:uid="{00000000-0005-0000-0000-00001D0C0000}"/>
    <cellStyle name="Title [Palat] 2 3 2 4 2 2" xfId="32663" xr:uid="{00000000-0005-0000-0000-00001D0C0000}"/>
    <cellStyle name="Title [Palat] 2 3 2 4 2 3" xfId="51026" xr:uid="{00000000-0005-0000-0000-00001D0C0000}"/>
    <cellStyle name="Title [Palat] 2 3 2 4 3" xfId="28901" xr:uid="{00000000-0005-0000-0000-00001D0C0000}"/>
    <cellStyle name="Title [Palat] 2 3 2 4 3 2" xfId="47264" xr:uid="{00000000-0005-0000-0000-00001D0C0000}"/>
    <cellStyle name="Title [Palat] 2 3 2 4 4" xfId="19704" xr:uid="{00000000-0005-0000-0000-00001D0C0000}"/>
    <cellStyle name="Title [Palat] 2 3 2 4 5" xfId="38110" xr:uid="{00000000-0005-0000-0000-00001D0C0000}"/>
    <cellStyle name="Title [Palat] 2 3 2 5" xfId="9381" xr:uid="{00000000-0005-0000-0000-00001D0C0000}"/>
    <cellStyle name="Title [Palat] 2 3 2 5 2" xfId="28100" xr:uid="{00000000-0005-0000-0000-00001D0C0000}"/>
    <cellStyle name="Title [Palat] 2 3 2 5 3" xfId="46463" xr:uid="{00000000-0005-0000-0000-00001D0C0000}"/>
    <cellStyle name="Title [Palat] 2 3 2 6" xfId="13437" xr:uid="{00000000-0005-0000-0000-00001D0C0000}"/>
    <cellStyle name="Title [Palat] 2 3 2 6 2" xfId="31858" xr:uid="{00000000-0005-0000-0000-00001D0C0000}"/>
    <cellStyle name="Title [Palat] 2 3 2 6 3" xfId="50221" xr:uid="{00000000-0005-0000-0000-00001D0C0000}"/>
    <cellStyle name="Title [Palat] 2 3 2 7" xfId="23385" xr:uid="{00000000-0005-0000-0000-00001D0C0000}"/>
    <cellStyle name="Title [Palat] 2 3 2 7 2" xfId="41754" xr:uid="{00000000-0005-0000-0000-00001D0C0000}"/>
    <cellStyle name="Title [Palat] 2 3 2 8" xfId="18463" xr:uid="{00000000-0005-0000-0000-00001D0C0000}"/>
    <cellStyle name="Title [Palat] 2 3 2 9" xfId="36869" xr:uid="{00000000-0005-0000-0000-00001D0C0000}"/>
    <cellStyle name="Title [Palat] 2 3 3" xfId="4475" xr:uid="{00000000-0005-0000-0000-00001D0C0000}"/>
    <cellStyle name="Title [Palat] 2 3 3 2" xfId="11071" xr:uid="{00000000-0005-0000-0000-00001D0C0000}"/>
    <cellStyle name="Title [Palat] 2 3 3 2 2" xfId="29691" xr:uid="{00000000-0005-0000-0000-00001D0C0000}"/>
    <cellStyle name="Title [Palat] 2 3 3 2 3" xfId="48054" xr:uid="{00000000-0005-0000-0000-00001D0C0000}"/>
    <cellStyle name="Title [Palat] 2 3 3 3" xfId="15209" xr:uid="{00000000-0005-0000-0000-00001D0C0000}"/>
    <cellStyle name="Title [Palat] 2 3 3 3 2" xfId="33604" xr:uid="{00000000-0005-0000-0000-00001D0C0000}"/>
    <cellStyle name="Title [Palat] 2 3 3 3 3" xfId="51967" xr:uid="{00000000-0005-0000-0000-00001D0C0000}"/>
    <cellStyle name="Title [Palat] 2 3 3 4" xfId="24335" xr:uid="{00000000-0005-0000-0000-00001D0C0000}"/>
    <cellStyle name="Title [Palat] 2 3 3 4 2" xfId="42704" xr:uid="{00000000-0005-0000-0000-00001D0C0000}"/>
    <cellStyle name="Title [Palat] 2 3 3 5" xfId="20659" xr:uid="{00000000-0005-0000-0000-00001D0C0000}"/>
    <cellStyle name="Title [Palat] 2 3 3 6" xfId="39051" xr:uid="{00000000-0005-0000-0000-00001D0C0000}"/>
    <cellStyle name="Title [Palat] 2 3 4" xfId="4302" xr:uid="{00000000-0005-0000-0000-00001D0C0000}"/>
    <cellStyle name="Title [Palat] 2 3 4 2" xfId="10913" xr:uid="{00000000-0005-0000-0000-00001D0C0000}"/>
    <cellStyle name="Title [Palat] 2 3 4 2 2" xfId="29545" xr:uid="{00000000-0005-0000-0000-00001D0C0000}"/>
    <cellStyle name="Title [Palat] 2 3 4 2 3" xfId="47908" xr:uid="{00000000-0005-0000-0000-00001D0C0000}"/>
    <cellStyle name="Title [Palat] 2 3 4 3" xfId="15047" xr:uid="{00000000-0005-0000-0000-00001D0C0000}"/>
    <cellStyle name="Title [Palat] 2 3 4 3 2" xfId="33450" xr:uid="{00000000-0005-0000-0000-00001D0C0000}"/>
    <cellStyle name="Title [Palat] 2 3 4 3 3" xfId="51813" xr:uid="{00000000-0005-0000-0000-00001D0C0000}"/>
    <cellStyle name="Title [Palat] 2 3 4 4" xfId="24179" xr:uid="{00000000-0005-0000-0000-00001D0C0000}"/>
    <cellStyle name="Title [Palat] 2 3 4 4 2" xfId="42548" xr:uid="{00000000-0005-0000-0000-00001D0C0000}"/>
    <cellStyle name="Title [Palat] 2 3 4 5" xfId="20499" xr:uid="{00000000-0005-0000-0000-00001D0C0000}"/>
    <cellStyle name="Title [Palat] 2 3 4 6" xfId="38897" xr:uid="{00000000-0005-0000-0000-00001D0C0000}"/>
    <cellStyle name="Title [Palat] 2 3 5" xfId="9827" xr:uid="{00000000-0005-0000-0000-00001D0C0000}"/>
    <cellStyle name="Title [Palat] 2 3 5 2" xfId="13884" xr:uid="{00000000-0005-0000-0000-00001D0C0000}"/>
    <cellStyle name="Title [Palat] 2 3 5 2 2" xfId="32304" xr:uid="{00000000-0005-0000-0000-00001D0C0000}"/>
    <cellStyle name="Title [Palat] 2 3 5 2 3" xfId="50667" xr:uid="{00000000-0005-0000-0000-00001D0C0000}"/>
    <cellStyle name="Title [Palat] 2 3 5 3" xfId="28542" xr:uid="{00000000-0005-0000-0000-00001D0C0000}"/>
    <cellStyle name="Title [Palat] 2 3 5 3 2" xfId="46905" xr:uid="{00000000-0005-0000-0000-00001D0C0000}"/>
    <cellStyle name="Title [Palat] 2 3 5 4" xfId="19047" xr:uid="{00000000-0005-0000-0000-00001D0C0000}"/>
    <cellStyle name="Title [Palat] 2 3 5 5" xfId="37456" xr:uid="{00000000-0005-0000-0000-00001D0C0000}"/>
    <cellStyle name="Title [Palat] 2 3 6" xfId="7745" xr:uid="{00000000-0005-0000-0000-00001D0C0000}"/>
    <cellStyle name="Title [Palat] 2 3 6 2" xfId="27022" xr:uid="{00000000-0005-0000-0000-00001D0C0000}"/>
    <cellStyle name="Title [Palat] 2 3 6 3" xfId="45387" xr:uid="{00000000-0005-0000-0000-00001D0C0000}"/>
    <cellStyle name="Title [Palat] 2 3 7" xfId="7409" xr:uid="{00000000-0005-0000-0000-00001D0C0000}"/>
    <cellStyle name="Title [Palat] 2 3 7 2" xfId="26801" xr:uid="{00000000-0005-0000-0000-00001D0C0000}"/>
    <cellStyle name="Title [Palat] 2 3 7 3" xfId="45169" xr:uid="{00000000-0005-0000-0000-00001D0C0000}"/>
    <cellStyle name="Title [Palat] 2 3 8" xfId="19454" xr:uid="{00000000-0005-0000-0000-00001D0C0000}"/>
    <cellStyle name="Title [Palat] 2 3 8 2" xfId="37860" xr:uid="{00000000-0005-0000-0000-00001D0C0000}"/>
    <cellStyle name="Title [Palat] 2 3 9" xfId="10792" xr:uid="{00000000-0005-0000-0000-00001D0C0000}"/>
    <cellStyle name="Title [Palat] 2 4" xfId="1927" xr:uid="{00000000-0005-0000-0000-00001E0C0000}"/>
    <cellStyle name="Title [Palat] 2 4 10" xfId="8942" xr:uid="{00000000-0005-0000-0000-00001E0C0000}"/>
    <cellStyle name="Title [Palat] 2 4 2" xfId="3745" xr:uid="{00000000-0005-0000-0000-00001E0C0000}"/>
    <cellStyle name="Title [Palat] 2 4 2 2" xfId="5918" xr:uid="{00000000-0005-0000-0000-00001E0C0000}"/>
    <cellStyle name="Title [Palat] 2 4 2 2 2" xfId="12282" xr:uid="{00000000-0005-0000-0000-00001E0C0000}"/>
    <cellStyle name="Title [Palat] 2 4 2 2 2 2" xfId="30729" xr:uid="{00000000-0005-0000-0000-00001E0C0000}"/>
    <cellStyle name="Title [Palat] 2 4 2 2 2 3" xfId="49092" xr:uid="{00000000-0005-0000-0000-00001E0C0000}"/>
    <cellStyle name="Title [Palat] 2 4 2 2 3" xfId="16608" xr:uid="{00000000-0005-0000-0000-00001E0C0000}"/>
    <cellStyle name="Title [Palat] 2 4 2 2 3 2" xfId="34980" xr:uid="{00000000-0005-0000-0000-00001E0C0000}"/>
    <cellStyle name="Title [Palat] 2 4 2 2 3 3" xfId="53343" xr:uid="{00000000-0005-0000-0000-00001E0C0000}"/>
    <cellStyle name="Title [Palat] 2 4 2 2 4" xfId="25727" xr:uid="{00000000-0005-0000-0000-00001E0C0000}"/>
    <cellStyle name="Title [Palat] 2 4 2 2 4 2" xfId="44096" xr:uid="{00000000-0005-0000-0000-00001E0C0000}"/>
    <cellStyle name="Title [Palat] 2 4 2 2 5" xfId="22048" xr:uid="{00000000-0005-0000-0000-00001E0C0000}"/>
    <cellStyle name="Title [Palat] 2 4 2 2 6" xfId="40427" xr:uid="{00000000-0005-0000-0000-00001E0C0000}"/>
    <cellStyle name="Title [Palat] 2 4 2 3" xfId="6744" xr:uid="{00000000-0005-0000-0000-00001E0C0000}"/>
    <cellStyle name="Title [Palat] 2 4 2 3 2" xfId="13035" xr:uid="{00000000-0005-0000-0000-00001E0C0000}"/>
    <cellStyle name="Title [Palat] 2 4 2 3 2 2" xfId="31461" xr:uid="{00000000-0005-0000-0000-00001E0C0000}"/>
    <cellStyle name="Title [Palat] 2 4 2 3 2 3" xfId="49824" xr:uid="{00000000-0005-0000-0000-00001E0C0000}"/>
    <cellStyle name="Title [Palat] 2 4 2 3 3" xfId="17346" xr:uid="{00000000-0005-0000-0000-00001E0C0000}"/>
    <cellStyle name="Title [Palat] 2 4 2 3 3 2" xfId="35694" xr:uid="{00000000-0005-0000-0000-00001E0C0000}"/>
    <cellStyle name="Title [Palat] 2 4 2 3 3 3" xfId="54057" xr:uid="{00000000-0005-0000-0000-00001E0C0000}"/>
    <cellStyle name="Title [Palat] 2 4 2 3 4" xfId="26479" xr:uid="{00000000-0005-0000-0000-00001E0C0000}"/>
    <cellStyle name="Title [Palat] 2 4 2 3 4 2" xfId="44848" xr:uid="{00000000-0005-0000-0000-00001E0C0000}"/>
    <cellStyle name="Title [Palat] 2 4 2 3 5" xfId="22772" xr:uid="{00000000-0005-0000-0000-00001E0C0000}"/>
    <cellStyle name="Title [Palat] 2 4 2 3 6" xfId="41141" xr:uid="{00000000-0005-0000-0000-00001E0C0000}"/>
    <cellStyle name="Title [Palat] 2 4 2 4" xfId="10458" xr:uid="{00000000-0005-0000-0000-00001E0C0000}"/>
    <cellStyle name="Title [Palat] 2 4 2 4 2" xfId="14515" xr:uid="{00000000-0005-0000-0000-00001E0C0000}"/>
    <cellStyle name="Title [Palat] 2 4 2 4 2 2" xfId="32931" xr:uid="{00000000-0005-0000-0000-00001E0C0000}"/>
    <cellStyle name="Title [Palat] 2 4 2 4 2 3" xfId="51294" xr:uid="{00000000-0005-0000-0000-00001E0C0000}"/>
    <cellStyle name="Title [Palat] 2 4 2 4 3" xfId="29169" xr:uid="{00000000-0005-0000-0000-00001E0C0000}"/>
    <cellStyle name="Title [Palat] 2 4 2 4 3 2" xfId="47532" xr:uid="{00000000-0005-0000-0000-00001E0C0000}"/>
    <cellStyle name="Title [Palat] 2 4 2 4 4" xfId="19972" xr:uid="{00000000-0005-0000-0000-00001E0C0000}"/>
    <cellStyle name="Title [Palat] 2 4 2 4 5" xfId="38378" xr:uid="{00000000-0005-0000-0000-00001E0C0000}"/>
    <cellStyle name="Title [Palat] 2 4 2 5" xfId="9674" xr:uid="{00000000-0005-0000-0000-00001E0C0000}"/>
    <cellStyle name="Title [Palat] 2 4 2 5 2" xfId="28390" xr:uid="{00000000-0005-0000-0000-00001E0C0000}"/>
    <cellStyle name="Title [Palat] 2 4 2 5 3" xfId="46753" xr:uid="{00000000-0005-0000-0000-00001E0C0000}"/>
    <cellStyle name="Title [Palat] 2 4 2 6" xfId="13731" xr:uid="{00000000-0005-0000-0000-00001E0C0000}"/>
    <cellStyle name="Title [Palat] 2 4 2 6 2" xfId="32152" xr:uid="{00000000-0005-0000-0000-00001E0C0000}"/>
    <cellStyle name="Title [Palat] 2 4 2 6 3" xfId="50515" xr:uid="{00000000-0005-0000-0000-00001E0C0000}"/>
    <cellStyle name="Title [Palat] 2 4 2 7" xfId="23653" xr:uid="{00000000-0005-0000-0000-00001E0C0000}"/>
    <cellStyle name="Title [Palat] 2 4 2 7 2" xfId="42022" xr:uid="{00000000-0005-0000-0000-00001E0C0000}"/>
    <cellStyle name="Title [Palat] 2 4 2 8" xfId="18799" xr:uid="{00000000-0005-0000-0000-00001E0C0000}"/>
    <cellStyle name="Title [Palat] 2 4 2 9" xfId="37208" xr:uid="{00000000-0005-0000-0000-00001E0C0000}"/>
    <cellStyle name="Title [Palat] 2 4 3" xfId="4838" xr:uid="{00000000-0005-0000-0000-00001E0C0000}"/>
    <cellStyle name="Title [Palat] 2 4 3 2" xfId="11399" xr:uid="{00000000-0005-0000-0000-00001E0C0000}"/>
    <cellStyle name="Title [Palat] 2 4 3 2 2" xfId="29991" xr:uid="{00000000-0005-0000-0000-00001E0C0000}"/>
    <cellStyle name="Title [Palat] 2 4 3 2 3" xfId="48354" xr:uid="{00000000-0005-0000-0000-00001E0C0000}"/>
    <cellStyle name="Title [Palat] 2 4 3 3" xfId="15564" xr:uid="{00000000-0005-0000-0000-00001E0C0000}"/>
    <cellStyle name="Title [Palat] 2 4 3 3 2" xfId="33957" xr:uid="{00000000-0005-0000-0000-00001E0C0000}"/>
    <cellStyle name="Title [Palat] 2 4 3 3 3" xfId="52320" xr:uid="{00000000-0005-0000-0000-00001E0C0000}"/>
    <cellStyle name="Title [Palat] 2 4 3 4" xfId="24688" xr:uid="{00000000-0005-0000-0000-00001E0C0000}"/>
    <cellStyle name="Title [Palat] 2 4 3 4 2" xfId="43057" xr:uid="{00000000-0005-0000-0000-00001E0C0000}"/>
    <cellStyle name="Title [Palat] 2 4 3 5" xfId="21015" xr:uid="{00000000-0005-0000-0000-00001E0C0000}"/>
    <cellStyle name="Title [Palat] 2 4 3 6" xfId="39404" xr:uid="{00000000-0005-0000-0000-00001E0C0000}"/>
    <cellStyle name="Title [Palat] 2 4 4" xfId="4541" xr:uid="{00000000-0005-0000-0000-00001E0C0000}"/>
    <cellStyle name="Title [Palat] 2 4 4 2" xfId="11132" xr:uid="{00000000-0005-0000-0000-00001E0C0000}"/>
    <cellStyle name="Title [Palat] 2 4 4 2 2" xfId="29750" xr:uid="{00000000-0005-0000-0000-00001E0C0000}"/>
    <cellStyle name="Title [Palat] 2 4 4 2 3" xfId="48113" xr:uid="{00000000-0005-0000-0000-00001E0C0000}"/>
    <cellStyle name="Title [Palat] 2 4 4 3" xfId="15270" xr:uid="{00000000-0005-0000-0000-00001E0C0000}"/>
    <cellStyle name="Title [Palat] 2 4 4 3 2" xfId="33664" xr:uid="{00000000-0005-0000-0000-00001E0C0000}"/>
    <cellStyle name="Title [Palat] 2 4 4 3 3" xfId="52027" xr:uid="{00000000-0005-0000-0000-00001E0C0000}"/>
    <cellStyle name="Title [Palat] 2 4 4 4" xfId="24395" xr:uid="{00000000-0005-0000-0000-00001E0C0000}"/>
    <cellStyle name="Title [Palat] 2 4 4 4 2" xfId="42764" xr:uid="{00000000-0005-0000-0000-00001E0C0000}"/>
    <cellStyle name="Title [Palat] 2 4 4 5" xfId="20719" xr:uid="{00000000-0005-0000-0000-00001E0C0000}"/>
    <cellStyle name="Title [Palat] 2 4 4 6" xfId="39111" xr:uid="{00000000-0005-0000-0000-00001E0C0000}"/>
    <cellStyle name="Title [Palat] 2 4 5" xfId="9790" xr:uid="{00000000-0005-0000-0000-00001E0C0000}"/>
    <cellStyle name="Title [Palat] 2 4 5 2" xfId="13847" xr:uid="{00000000-0005-0000-0000-00001E0C0000}"/>
    <cellStyle name="Title [Palat] 2 4 5 2 2" xfId="32267" xr:uid="{00000000-0005-0000-0000-00001E0C0000}"/>
    <cellStyle name="Title [Palat] 2 4 5 2 3" xfId="50630" xr:uid="{00000000-0005-0000-0000-00001E0C0000}"/>
    <cellStyle name="Title [Palat] 2 4 5 3" xfId="28505" xr:uid="{00000000-0005-0000-0000-00001E0C0000}"/>
    <cellStyle name="Title [Palat] 2 4 5 3 2" xfId="46868" xr:uid="{00000000-0005-0000-0000-00001E0C0000}"/>
    <cellStyle name="Title [Palat] 2 4 5 4" xfId="19004" xr:uid="{00000000-0005-0000-0000-00001E0C0000}"/>
    <cellStyle name="Title [Palat] 2 4 5 5" xfId="37413" xr:uid="{00000000-0005-0000-0000-00001E0C0000}"/>
    <cellStyle name="Title [Palat] 2 4 6" xfId="8126" xr:uid="{00000000-0005-0000-0000-00001E0C0000}"/>
    <cellStyle name="Title [Palat] 2 4 6 2" xfId="27331" xr:uid="{00000000-0005-0000-0000-00001E0C0000}"/>
    <cellStyle name="Title [Palat] 2 4 6 3" xfId="45696" xr:uid="{00000000-0005-0000-0000-00001E0C0000}"/>
    <cellStyle name="Title [Palat] 2 4 7" xfId="7603" xr:uid="{00000000-0005-0000-0000-00001E0C0000}"/>
    <cellStyle name="Title [Palat] 2 4 7 2" xfId="26904" xr:uid="{00000000-0005-0000-0000-00001E0C0000}"/>
    <cellStyle name="Title [Palat] 2 4 7 3" xfId="45269" xr:uid="{00000000-0005-0000-0000-00001E0C0000}"/>
    <cellStyle name="Title [Palat] 2 4 8" xfId="19319" xr:uid="{00000000-0005-0000-0000-00001E0C0000}"/>
    <cellStyle name="Title [Palat] 2 4 8 2" xfId="37726" xr:uid="{00000000-0005-0000-0000-00001E0C0000}"/>
    <cellStyle name="Title [Palat] 2 4 9" xfId="7399" xr:uid="{00000000-0005-0000-0000-00001E0C0000}"/>
    <cellStyle name="Title [Palat] 2 5" xfId="2342" xr:uid="{00000000-0005-0000-0000-00001F0C0000}"/>
    <cellStyle name="Title [Palat] 2 5 10" xfId="8687" xr:uid="{00000000-0005-0000-0000-00001F0C0000}"/>
    <cellStyle name="Title [Palat] 2 5 2" xfId="3790" xr:uid="{00000000-0005-0000-0000-00001F0C0000}"/>
    <cellStyle name="Title [Palat] 2 5 2 2" xfId="5963" xr:uid="{00000000-0005-0000-0000-00001F0C0000}"/>
    <cellStyle name="Title [Palat] 2 5 2 2 2" xfId="12327" xr:uid="{00000000-0005-0000-0000-00001F0C0000}"/>
    <cellStyle name="Title [Palat] 2 5 2 2 2 2" xfId="30774" xr:uid="{00000000-0005-0000-0000-00001F0C0000}"/>
    <cellStyle name="Title [Palat] 2 5 2 2 2 3" xfId="49137" xr:uid="{00000000-0005-0000-0000-00001F0C0000}"/>
    <cellStyle name="Title [Palat] 2 5 2 2 3" xfId="16653" xr:uid="{00000000-0005-0000-0000-00001F0C0000}"/>
    <cellStyle name="Title [Palat] 2 5 2 2 3 2" xfId="35025" xr:uid="{00000000-0005-0000-0000-00001F0C0000}"/>
    <cellStyle name="Title [Palat] 2 5 2 2 3 3" xfId="53388" xr:uid="{00000000-0005-0000-0000-00001F0C0000}"/>
    <cellStyle name="Title [Palat] 2 5 2 2 4" xfId="25772" xr:uid="{00000000-0005-0000-0000-00001F0C0000}"/>
    <cellStyle name="Title [Palat] 2 5 2 2 4 2" xfId="44141" xr:uid="{00000000-0005-0000-0000-00001F0C0000}"/>
    <cellStyle name="Title [Palat] 2 5 2 2 5" xfId="22093" xr:uid="{00000000-0005-0000-0000-00001F0C0000}"/>
    <cellStyle name="Title [Palat] 2 5 2 2 6" xfId="40472" xr:uid="{00000000-0005-0000-0000-00001F0C0000}"/>
    <cellStyle name="Title [Palat] 2 5 2 3" xfId="6789" xr:uid="{00000000-0005-0000-0000-00001F0C0000}"/>
    <cellStyle name="Title [Palat] 2 5 2 3 2" xfId="13080" xr:uid="{00000000-0005-0000-0000-00001F0C0000}"/>
    <cellStyle name="Title [Palat] 2 5 2 3 2 2" xfId="31506" xr:uid="{00000000-0005-0000-0000-00001F0C0000}"/>
    <cellStyle name="Title [Palat] 2 5 2 3 2 3" xfId="49869" xr:uid="{00000000-0005-0000-0000-00001F0C0000}"/>
    <cellStyle name="Title [Palat] 2 5 2 3 3" xfId="17391" xr:uid="{00000000-0005-0000-0000-00001F0C0000}"/>
    <cellStyle name="Title [Palat] 2 5 2 3 3 2" xfId="35739" xr:uid="{00000000-0005-0000-0000-00001F0C0000}"/>
    <cellStyle name="Title [Palat] 2 5 2 3 3 3" xfId="54102" xr:uid="{00000000-0005-0000-0000-00001F0C0000}"/>
    <cellStyle name="Title [Palat] 2 5 2 3 4" xfId="26524" xr:uid="{00000000-0005-0000-0000-00001F0C0000}"/>
    <cellStyle name="Title [Palat] 2 5 2 3 4 2" xfId="44893" xr:uid="{00000000-0005-0000-0000-00001F0C0000}"/>
    <cellStyle name="Title [Palat] 2 5 2 3 5" xfId="22817" xr:uid="{00000000-0005-0000-0000-00001F0C0000}"/>
    <cellStyle name="Title [Palat] 2 5 2 3 6" xfId="41186" xr:uid="{00000000-0005-0000-0000-00001F0C0000}"/>
    <cellStyle name="Title [Palat] 2 5 2 4" xfId="10503" xr:uid="{00000000-0005-0000-0000-00001F0C0000}"/>
    <cellStyle name="Title [Palat] 2 5 2 4 2" xfId="14560" xr:uid="{00000000-0005-0000-0000-00001F0C0000}"/>
    <cellStyle name="Title [Palat] 2 5 2 4 2 2" xfId="32976" xr:uid="{00000000-0005-0000-0000-00001F0C0000}"/>
    <cellStyle name="Title [Palat] 2 5 2 4 2 3" xfId="51339" xr:uid="{00000000-0005-0000-0000-00001F0C0000}"/>
    <cellStyle name="Title [Palat] 2 5 2 4 3" xfId="29214" xr:uid="{00000000-0005-0000-0000-00001F0C0000}"/>
    <cellStyle name="Title [Palat] 2 5 2 4 3 2" xfId="47577" xr:uid="{00000000-0005-0000-0000-00001F0C0000}"/>
    <cellStyle name="Title [Palat] 2 5 2 4 4" xfId="20017" xr:uid="{00000000-0005-0000-0000-00001F0C0000}"/>
    <cellStyle name="Title [Palat] 2 5 2 4 5" xfId="38423" xr:uid="{00000000-0005-0000-0000-00001F0C0000}"/>
    <cellStyle name="Title [Palat] 2 5 2 5" xfId="9774" xr:uid="{00000000-0005-0000-0000-00001F0C0000}"/>
    <cellStyle name="Title [Palat] 2 5 2 5 2" xfId="28489" xr:uid="{00000000-0005-0000-0000-00001F0C0000}"/>
    <cellStyle name="Title [Palat] 2 5 2 5 3" xfId="46852" xr:uid="{00000000-0005-0000-0000-00001F0C0000}"/>
    <cellStyle name="Title [Palat] 2 5 2 6" xfId="13831" xr:uid="{00000000-0005-0000-0000-00001F0C0000}"/>
    <cellStyle name="Title [Palat] 2 5 2 6 2" xfId="32251" xr:uid="{00000000-0005-0000-0000-00001F0C0000}"/>
    <cellStyle name="Title [Palat] 2 5 2 6 3" xfId="50614" xr:uid="{00000000-0005-0000-0000-00001F0C0000}"/>
    <cellStyle name="Title [Palat] 2 5 2 7" xfId="23698" xr:uid="{00000000-0005-0000-0000-00001F0C0000}"/>
    <cellStyle name="Title [Palat] 2 5 2 7 2" xfId="42067" xr:uid="{00000000-0005-0000-0000-00001F0C0000}"/>
    <cellStyle name="Title [Palat] 2 5 2 8" xfId="18956" xr:uid="{00000000-0005-0000-0000-00001F0C0000}"/>
    <cellStyle name="Title [Palat] 2 5 2 9" xfId="37365" xr:uid="{00000000-0005-0000-0000-00001F0C0000}"/>
    <cellStyle name="Title [Palat] 2 5 3" xfId="4990" xr:uid="{00000000-0005-0000-0000-00001F0C0000}"/>
    <cellStyle name="Title [Palat] 2 5 3 2" xfId="11520" xr:uid="{00000000-0005-0000-0000-00001F0C0000}"/>
    <cellStyle name="Title [Palat] 2 5 3 2 2" xfId="30093" xr:uid="{00000000-0005-0000-0000-00001F0C0000}"/>
    <cellStyle name="Title [Palat] 2 5 3 2 3" xfId="48456" xr:uid="{00000000-0005-0000-0000-00001F0C0000}"/>
    <cellStyle name="Title [Palat] 2 5 3 3" xfId="15706" xr:uid="{00000000-0005-0000-0000-00001F0C0000}"/>
    <cellStyle name="Title [Palat] 2 5 3 3 2" xfId="34095" xr:uid="{00000000-0005-0000-0000-00001F0C0000}"/>
    <cellStyle name="Title [Palat] 2 5 3 3 3" xfId="52458" xr:uid="{00000000-0005-0000-0000-00001F0C0000}"/>
    <cellStyle name="Title [Palat] 2 5 3 4" xfId="24830" xr:uid="{00000000-0005-0000-0000-00001F0C0000}"/>
    <cellStyle name="Title [Palat] 2 5 3 4 2" xfId="43199" xr:uid="{00000000-0005-0000-0000-00001F0C0000}"/>
    <cellStyle name="Title [Palat] 2 5 3 5" xfId="21155" xr:uid="{00000000-0005-0000-0000-00001F0C0000}"/>
    <cellStyle name="Title [Palat] 2 5 3 6" xfId="39542" xr:uid="{00000000-0005-0000-0000-00001F0C0000}"/>
    <cellStyle name="Title [Palat] 2 5 4" xfId="6130" xr:uid="{00000000-0005-0000-0000-00001F0C0000}"/>
    <cellStyle name="Title [Palat] 2 5 4 2" xfId="12484" xr:uid="{00000000-0005-0000-0000-00001F0C0000}"/>
    <cellStyle name="Title [Palat] 2 5 4 2 2" xfId="30924" xr:uid="{00000000-0005-0000-0000-00001F0C0000}"/>
    <cellStyle name="Title [Palat] 2 5 4 2 3" xfId="49287" xr:uid="{00000000-0005-0000-0000-00001F0C0000}"/>
    <cellStyle name="Title [Palat] 2 5 4 3" xfId="16803" xr:uid="{00000000-0005-0000-0000-00001F0C0000}"/>
    <cellStyle name="Title [Palat] 2 5 4 3 2" xfId="35172" xr:uid="{00000000-0005-0000-0000-00001F0C0000}"/>
    <cellStyle name="Title [Palat] 2 5 4 3 3" xfId="53535" xr:uid="{00000000-0005-0000-0000-00001F0C0000}"/>
    <cellStyle name="Title [Palat] 2 5 4 4" xfId="25926" xr:uid="{00000000-0005-0000-0000-00001F0C0000}"/>
    <cellStyle name="Title [Palat] 2 5 4 4 2" xfId="44295" xr:uid="{00000000-0005-0000-0000-00001F0C0000}"/>
    <cellStyle name="Title [Palat] 2 5 4 5" xfId="22242" xr:uid="{00000000-0005-0000-0000-00001F0C0000}"/>
    <cellStyle name="Title [Palat] 2 5 4 6" xfId="40619" xr:uid="{00000000-0005-0000-0000-00001F0C0000}"/>
    <cellStyle name="Title [Palat] 2 5 5" xfId="9642" xr:uid="{00000000-0005-0000-0000-00001F0C0000}"/>
    <cellStyle name="Title [Palat] 2 5 5 2" xfId="13699" xr:uid="{00000000-0005-0000-0000-00001F0C0000}"/>
    <cellStyle name="Title [Palat] 2 5 5 2 2" xfId="32120" xr:uid="{00000000-0005-0000-0000-00001F0C0000}"/>
    <cellStyle name="Title [Palat] 2 5 5 2 3" xfId="50483" xr:uid="{00000000-0005-0000-0000-00001F0C0000}"/>
    <cellStyle name="Title [Palat] 2 5 5 3" xfId="28358" xr:uid="{00000000-0005-0000-0000-00001F0C0000}"/>
    <cellStyle name="Title [Palat] 2 5 5 3 2" xfId="46721" xr:uid="{00000000-0005-0000-0000-00001F0C0000}"/>
    <cellStyle name="Title [Palat] 2 5 5 4" xfId="18759" xr:uid="{00000000-0005-0000-0000-00001F0C0000}"/>
    <cellStyle name="Title [Palat] 2 5 5 5" xfId="37168" xr:uid="{00000000-0005-0000-0000-00001F0C0000}"/>
    <cellStyle name="Title [Palat] 2 5 6" xfId="8383" xr:uid="{00000000-0005-0000-0000-00001F0C0000}"/>
    <cellStyle name="Title [Palat] 2 5 6 2" xfId="27450" xr:uid="{00000000-0005-0000-0000-00001F0C0000}"/>
    <cellStyle name="Title [Palat] 2 5 6 3" xfId="45814" xr:uid="{00000000-0005-0000-0000-00001F0C0000}"/>
    <cellStyle name="Title [Palat] 2 5 7" xfId="8474" xr:uid="{00000000-0005-0000-0000-00001F0C0000}"/>
    <cellStyle name="Title [Palat] 2 5 7 2" xfId="27496" xr:uid="{00000000-0005-0000-0000-00001F0C0000}"/>
    <cellStyle name="Title [Palat] 2 5 7 3" xfId="45860" xr:uid="{00000000-0005-0000-0000-00001F0C0000}"/>
    <cellStyle name="Title [Palat] 2 5 8" xfId="18126" xr:uid="{00000000-0005-0000-0000-00001F0C0000}"/>
    <cellStyle name="Title [Palat] 2 5 8 2" xfId="36533" xr:uid="{00000000-0005-0000-0000-00001F0C0000}"/>
    <cellStyle name="Title [Palat] 2 5 9" xfId="8332" xr:uid="{00000000-0005-0000-0000-00001F0C0000}"/>
    <cellStyle name="Title [Palat] 2 6" xfId="2789" xr:uid="{00000000-0005-0000-0000-0000200C0000}"/>
    <cellStyle name="Title [Palat] 2 6 10" xfId="35928" xr:uid="{00000000-0005-0000-0000-0000200C0000}"/>
    <cellStyle name="Title [Palat] 2 6 2" xfId="3824" xr:uid="{00000000-0005-0000-0000-0000200C0000}"/>
    <cellStyle name="Title [Palat] 2 6 2 2" xfId="5997" xr:uid="{00000000-0005-0000-0000-0000200C0000}"/>
    <cellStyle name="Title [Palat] 2 6 2 2 2" xfId="12361" xr:uid="{00000000-0005-0000-0000-0000200C0000}"/>
    <cellStyle name="Title [Palat] 2 6 2 2 2 2" xfId="30808" xr:uid="{00000000-0005-0000-0000-0000200C0000}"/>
    <cellStyle name="Title [Palat] 2 6 2 2 2 3" xfId="49171" xr:uid="{00000000-0005-0000-0000-0000200C0000}"/>
    <cellStyle name="Title [Palat] 2 6 2 2 3" xfId="16687" xr:uid="{00000000-0005-0000-0000-0000200C0000}"/>
    <cellStyle name="Title [Palat] 2 6 2 2 3 2" xfId="35059" xr:uid="{00000000-0005-0000-0000-0000200C0000}"/>
    <cellStyle name="Title [Palat] 2 6 2 2 3 3" xfId="53422" xr:uid="{00000000-0005-0000-0000-0000200C0000}"/>
    <cellStyle name="Title [Palat] 2 6 2 2 4" xfId="25806" xr:uid="{00000000-0005-0000-0000-0000200C0000}"/>
    <cellStyle name="Title [Palat] 2 6 2 2 4 2" xfId="44175" xr:uid="{00000000-0005-0000-0000-0000200C0000}"/>
    <cellStyle name="Title [Palat] 2 6 2 2 5" xfId="22127" xr:uid="{00000000-0005-0000-0000-0000200C0000}"/>
    <cellStyle name="Title [Palat] 2 6 2 2 6" xfId="40506" xr:uid="{00000000-0005-0000-0000-0000200C0000}"/>
    <cellStyle name="Title [Palat] 2 6 2 3" xfId="6823" xr:uid="{00000000-0005-0000-0000-0000200C0000}"/>
    <cellStyle name="Title [Palat] 2 6 2 3 2" xfId="13114" xr:uid="{00000000-0005-0000-0000-0000200C0000}"/>
    <cellStyle name="Title [Palat] 2 6 2 3 2 2" xfId="31540" xr:uid="{00000000-0005-0000-0000-0000200C0000}"/>
    <cellStyle name="Title [Palat] 2 6 2 3 2 3" xfId="49903" xr:uid="{00000000-0005-0000-0000-0000200C0000}"/>
    <cellStyle name="Title [Palat] 2 6 2 3 3" xfId="17425" xr:uid="{00000000-0005-0000-0000-0000200C0000}"/>
    <cellStyle name="Title [Palat] 2 6 2 3 3 2" xfId="35773" xr:uid="{00000000-0005-0000-0000-0000200C0000}"/>
    <cellStyle name="Title [Palat] 2 6 2 3 3 3" xfId="54136" xr:uid="{00000000-0005-0000-0000-0000200C0000}"/>
    <cellStyle name="Title [Palat] 2 6 2 3 4" xfId="26558" xr:uid="{00000000-0005-0000-0000-0000200C0000}"/>
    <cellStyle name="Title [Palat] 2 6 2 3 4 2" xfId="44927" xr:uid="{00000000-0005-0000-0000-0000200C0000}"/>
    <cellStyle name="Title [Palat] 2 6 2 3 5" xfId="22851" xr:uid="{00000000-0005-0000-0000-0000200C0000}"/>
    <cellStyle name="Title [Palat] 2 6 2 3 6" xfId="41220" xr:uid="{00000000-0005-0000-0000-0000200C0000}"/>
    <cellStyle name="Title [Palat] 2 6 2 4" xfId="10537" xr:uid="{00000000-0005-0000-0000-0000200C0000}"/>
    <cellStyle name="Title [Palat] 2 6 2 4 2" xfId="14594" xr:uid="{00000000-0005-0000-0000-0000200C0000}"/>
    <cellStyle name="Title [Palat] 2 6 2 4 2 2" xfId="33010" xr:uid="{00000000-0005-0000-0000-0000200C0000}"/>
    <cellStyle name="Title [Palat] 2 6 2 4 2 3" xfId="51373" xr:uid="{00000000-0005-0000-0000-0000200C0000}"/>
    <cellStyle name="Title [Palat] 2 6 2 4 3" xfId="29248" xr:uid="{00000000-0005-0000-0000-0000200C0000}"/>
    <cellStyle name="Title [Palat] 2 6 2 4 3 2" xfId="47611" xr:uid="{00000000-0005-0000-0000-0000200C0000}"/>
    <cellStyle name="Title [Palat] 2 6 2 4 4" xfId="20051" xr:uid="{00000000-0005-0000-0000-0000200C0000}"/>
    <cellStyle name="Title [Palat] 2 6 2 4 5" xfId="38457" xr:uid="{00000000-0005-0000-0000-0000200C0000}"/>
    <cellStyle name="Title [Palat] 2 6 2 5" xfId="9870" xr:uid="{00000000-0005-0000-0000-0000200C0000}"/>
    <cellStyle name="Title [Palat] 2 6 2 5 2" xfId="28584" xr:uid="{00000000-0005-0000-0000-0000200C0000}"/>
    <cellStyle name="Title [Palat] 2 6 2 5 3" xfId="46947" xr:uid="{00000000-0005-0000-0000-0000200C0000}"/>
    <cellStyle name="Title [Palat] 2 6 2 6" xfId="13928" xr:uid="{00000000-0005-0000-0000-0000200C0000}"/>
    <cellStyle name="Title [Palat] 2 6 2 6 2" xfId="32346" xr:uid="{00000000-0005-0000-0000-0000200C0000}"/>
    <cellStyle name="Title [Palat] 2 6 2 6 3" xfId="50709" xr:uid="{00000000-0005-0000-0000-0000200C0000}"/>
    <cellStyle name="Title [Palat] 2 6 2 7" xfId="23732" xr:uid="{00000000-0005-0000-0000-0000200C0000}"/>
    <cellStyle name="Title [Palat] 2 6 2 7 2" xfId="42101" xr:uid="{00000000-0005-0000-0000-0000200C0000}"/>
    <cellStyle name="Title [Palat] 2 6 2 8" xfId="19124" xr:uid="{00000000-0005-0000-0000-0000200C0000}"/>
    <cellStyle name="Title [Palat] 2 6 2 9" xfId="37532" xr:uid="{00000000-0005-0000-0000-0000200C0000}"/>
    <cellStyle name="Title [Palat] 2 6 3" xfId="5148" xr:uid="{00000000-0005-0000-0000-0000200C0000}"/>
    <cellStyle name="Title [Palat] 2 6 3 2" xfId="11653" xr:uid="{00000000-0005-0000-0000-0000200C0000}"/>
    <cellStyle name="Title [Palat] 2 6 3 2 2" xfId="30201" xr:uid="{00000000-0005-0000-0000-0000200C0000}"/>
    <cellStyle name="Title [Palat] 2 6 3 2 3" xfId="48564" xr:uid="{00000000-0005-0000-0000-0000200C0000}"/>
    <cellStyle name="Title [Palat] 2 6 3 3" xfId="15852" xr:uid="{00000000-0005-0000-0000-0000200C0000}"/>
    <cellStyle name="Title [Palat] 2 6 3 3 2" xfId="34236" xr:uid="{00000000-0005-0000-0000-0000200C0000}"/>
    <cellStyle name="Title [Palat] 2 6 3 3 3" xfId="52599" xr:uid="{00000000-0005-0000-0000-0000200C0000}"/>
    <cellStyle name="Title [Palat] 2 6 3 4" xfId="24975" xr:uid="{00000000-0005-0000-0000-0000200C0000}"/>
    <cellStyle name="Title [Palat] 2 6 3 4 2" xfId="43344" xr:uid="{00000000-0005-0000-0000-0000200C0000}"/>
    <cellStyle name="Title [Palat] 2 6 3 5" xfId="21298" xr:uid="{00000000-0005-0000-0000-0000200C0000}"/>
    <cellStyle name="Title [Palat] 2 6 3 6" xfId="39683" xr:uid="{00000000-0005-0000-0000-0000200C0000}"/>
    <cellStyle name="Title [Palat] 2 6 4" xfId="6198" xr:uid="{00000000-0005-0000-0000-0000200C0000}"/>
    <cellStyle name="Title [Palat] 2 6 4 2" xfId="12533" xr:uid="{00000000-0005-0000-0000-0000200C0000}"/>
    <cellStyle name="Title [Palat] 2 6 4 2 2" xfId="30965" xr:uid="{00000000-0005-0000-0000-0000200C0000}"/>
    <cellStyle name="Title [Palat] 2 6 4 2 3" xfId="49328" xr:uid="{00000000-0005-0000-0000-0000200C0000}"/>
    <cellStyle name="Title [Palat] 2 6 4 3" xfId="16848" xr:uid="{00000000-0005-0000-0000-0000200C0000}"/>
    <cellStyle name="Title [Palat] 2 6 4 3 2" xfId="35208" xr:uid="{00000000-0005-0000-0000-0000200C0000}"/>
    <cellStyle name="Title [Palat] 2 6 4 3 3" xfId="53571" xr:uid="{00000000-0005-0000-0000-0000200C0000}"/>
    <cellStyle name="Title [Palat] 2 6 4 4" xfId="25975" xr:uid="{00000000-0005-0000-0000-0000200C0000}"/>
    <cellStyle name="Title [Palat] 2 6 4 4 2" xfId="44344" xr:uid="{00000000-0005-0000-0000-0000200C0000}"/>
    <cellStyle name="Title [Palat] 2 6 4 5" xfId="22282" xr:uid="{00000000-0005-0000-0000-0000200C0000}"/>
    <cellStyle name="Title [Palat] 2 6 4 6" xfId="40655" xr:uid="{00000000-0005-0000-0000-0000200C0000}"/>
    <cellStyle name="Title [Palat] 2 6 5" xfId="10030" xr:uid="{00000000-0005-0000-0000-0000200C0000}"/>
    <cellStyle name="Title [Palat] 2 6 5 2" xfId="14087" xr:uid="{00000000-0005-0000-0000-0000200C0000}"/>
    <cellStyle name="Title [Palat] 2 6 5 2 2" xfId="32503" xr:uid="{00000000-0005-0000-0000-0000200C0000}"/>
    <cellStyle name="Title [Palat] 2 6 5 2 3" xfId="50866" xr:uid="{00000000-0005-0000-0000-0000200C0000}"/>
    <cellStyle name="Title [Palat] 2 6 5 3" xfId="28741" xr:uid="{00000000-0005-0000-0000-0000200C0000}"/>
    <cellStyle name="Title [Palat] 2 6 5 3 2" xfId="47104" xr:uid="{00000000-0005-0000-0000-0000200C0000}"/>
    <cellStyle name="Title [Palat] 2 6 5 4" xfId="19409" xr:uid="{00000000-0005-0000-0000-0000200C0000}"/>
    <cellStyle name="Title [Palat] 2 6 5 5" xfId="37815" xr:uid="{00000000-0005-0000-0000-0000200C0000}"/>
    <cellStyle name="Title [Palat] 2 6 6" xfId="8657" xr:uid="{00000000-0005-0000-0000-0000200C0000}"/>
    <cellStyle name="Title [Palat] 2 6 6 2" xfId="27565" xr:uid="{00000000-0005-0000-0000-0000200C0000}"/>
    <cellStyle name="Title [Palat] 2 6 6 3" xfId="45928" xr:uid="{00000000-0005-0000-0000-0000200C0000}"/>
    <cellStyle name="Title [Palat] 2 6 7" xfId="8088" xr:uid="{00000000-0005-0000-0000-0000200C0000}"/>
    <cellStyle name="Title [Palat] 2 6 7 2" xfId="27295" xr:uid="{00000000-0005-0000-0000-0000200C0000}"/>
    <cellStyle name="Title [Palat] 2 6 7 3" xfId="45660" xr:uid="{00000000-0005-0000-0000-0000200C0000}"/>
    <cellStyle name="Title [Palat] 2 6 8" xfId="18538" xr:uid="{00000000-0005-0000-0000-0000200C0000}"/>
    <cellStyle name="Title [Palat] 2 6 8 2" xfId="36947" xr:uid="{00000000-0005-0000-0000-0000200C0000}"/>
    <cellStyle name="Title [Palat] 2 6 9" xfId="8239" xr:uid="{00000000-0005-0000-0000-0000200C0000}"/>
    <cellStyle name="Title [Palat] 2 7" xfId="3354" xr:uid="{00000000-0005-0000-0000-0000120C0000}"/>
    <cellStyle name="Title [Palat] 2 7 2" xfId="5529" xr:uid="{00000000-0005-0000-0000-0000120C0000}"/>
    <cellStyle name="Title [Palat] 2 7 2 2" xfId="11893" xr:uid="{00000000-0005-0000-0000-0000120C0000}"/>
    <cellStyle name="Title [Palat] 2 7 2 2 2" xfId="30340" xr:uid="{00000000-0005-0000-0000-0000120C0000}"/>
    <cellStyle name="Title [Palat] 2 7 2 2 3" xfId="48703" xr:uid="{00000000-0005-0000-0000-0000120C0000}"/>
    <cellStyle name="Title [Palat] 2 7 2 3" xfId="16219" xr:uid="{00000000-0005-0000-0000-0000120C0000}"/>
    <cellStyle name="Title [Palat] 2 7 2 3 2" xfId="34591" xr:uid="{00000000-0005-0000-0000-0000120C0000}"/>
    <cellStyle name="Title [Palat] 2 7 2 3 3" xfId="52954" xr:uid="{00000000-0005-0000-0000-0000120C0000}"/>
    <cellStyle name="Title [Palat] 2 7 2 4" xfId="25338" xr:uid="{00000000-0005-0000-0000-0000120C0000}"/>
    <cellStyle name="Title [Palat] 2 7 2 4 2" xfId="43707" xr:uid="{00000000-0005-0000-0000-0000120C0000}"/>
    <cellStyle name="Title [Palat] 2 7 2 5" xfId="21659" xr:uid="{00000000-0005-0000-0000-0000120C0000}"/>
    <cellStyle name="Title [Palat] 2 7 2 6" xfId="40038" xr:uid="{00000000-0005-0000-0000-0000120C0000}"/>
    <cellStyle name="Title [Palat] 2 7 3" xfId="6353" xr:uid="{00000000-0005-0000-0000-0000120C0000}"/>
    <cellStyle name="Title [Palat] 2 7 3 2" xfId="12644" xr:uid="{00000000-0005-0000-0000-0000120C0000}"/>
    <cellStyle name="Title [Palat] 2 7 3 2 2" xfId="31070" xr:uid="{00000000-0005-0000-0000-0000120C0000}"/>
    <cellStyle name="Title [Palat] 2 7 3 2 3" xfId="49433" xr:uid="{00000000-0005-0000-0000-0000120C0000}"/>
    <cellStyle name="Title [Palat] 2 7 3 3" xfId="16955" xr:uid="{00000000-0005-0000-0000-0000120C0000}"/>
    <cellStyle name="Title [Palat] 2 7 3 3 2" xfId="35303" xr:uid="{00000000-0005-0000-0000-0000120C0000}"/>
    <cellStyle name="Title [Palat] 2 7 3 3 3" xfId="53666" xr:uid="{00000000-0005-0000-0000-0000120C0000}"/>
    <cellStyle name="Title [Palat] 2 7 3 4" xfId="26088" xr:uid="{00000000-0005-0000-0000-0000120C0000}"/>
    <cellStyle name="Title [Palat] 2 7 3 4 2" xfId="44457" xr:uid="{00000000-0005-0000-0000-0000120C0000}"/>
    <cellStyle name="Title [Palat] 2 7 3 5" xfId="22381" xr:uid="{00000000-0005-0000-0000-0000120C0000}"/>
    <cellStyle name="Title [Palat] 2 7 3 6" xfId="40750" xr:uid="{00000000-0005-0000-0000-0000120C0000}"/>
    <cellStyle name="Title [Palat] 2 7 4" xfId="10067" xr:uid="{00000000-0005-0000-0000-0000120C0000}"/>
    <cellStyle name="Title [Palat] 2 7 4 2" xfId="14124" xr:uid="{00000000-0005-0000-0000-0000120C0000}"/>
    <cellStyle name="Title [Palat] 2 7 4 2 2" xfId="32540" xr:uid="{00000000-0005-0000-0000-0000120C0000}"/>
    <cellStyle name="Title [Palat] 2 7 4 2 3" xfId="50903" xr:uid="{00000000-0005-0000-0000-0000120C0000}"/>
    <cellStyle name="Title [Palat] 2 7 4 3" xfId="28778" xr:uid="{00000000-0005-0000-0000-0000120C0000}"/>
    <cellStyle name="Title [Palat] 2 7 4 3 2" xfId="47141" xr:uid="{00000000-0005-0000-0000-0000120C0000}"/>
    <cellStyle name="Title [Palat] 2 7 4 4" xfId="19581" xr:uid="{00000000-0005-0000-0000-0000120C0000}"/>
    <cellStyle name="Title [Palat] 2 7 4 5" xfId="37987" xr:uid="{00000000-0005-0000-0000-0000120C0000}"/>
    <cellStyle name="Title [Palat] 2 7 5" xfId="9202" xr:uid="{00000000-0005-0000-0000-0000120C0000}"/>
    <cellStyle name="Title [Palat] 2 7 5 2" xfId="27923" xr:uid="{00000000-0005-0000-0000-0000120C0000}"/>
    <cellStyle name="Title [Palat] 2 7 5 3" xfId="46286" xr:uid="{00000000-0005-0000-0000-0000120C0000}"/>
    <cellStyle name="Title [Palat] 2 7 6" xfId="13260" xr:uid="{00000000-0005-0000-0000-0000120C0000}"/>
    <cellStyle name="Title [Palat] 2 7 6 2" xfId="31681" xr:uid="{00000000-0005-0000-0000-0000120C0000}"/>
    <cellStyle name="Title [Palat] 2 7 6 3" xfId="50044" xr:uid="{00000000-0005-0000-0000-0000120C0000}"/>
    <cellStyle name="Title [Palat] 2 7 7" xfId="23262" xr:uid="{00000000-0005-0000-0000-0000120C0000}"/>
    <cellStyle name="Title [Palat] 2 7 7 2" xfId="41631" xr:uid="{00000000-0005-0000-0000-0000120C0000}"/>
    <cellStyle name="Title [Palat] 2 7 8" xfId="18221" xr:uid="{00000000-0005-0000-0000-0000120C0000}"/>
    <cellStyle name="Title [Palat] 2 7 9" xfId="36627" xr:uid="{00000000-0005-0000-0000-0000120C0000}"/>
    <cellStyle name="Title [Palat] 2 8" xfId="4208" xr:uid="{00000000-0005-0000-0000-0000120C0000}"/>
    <cellStyle name="Title [Palat] 2 8 2" xfId="10856" xr:uid="{00000000-0005-0000-0000-0000120C0000}"/>
    <cellStyle name="Title [Palat] 2 8 2 2" xfId="29527" xr:uid="{00000000-0005-0000-0000-0000120C0000}"/>
    <cellStyle name="Title [Palat] 2 8 2 3" xfId="47890" xr:uid="{00000000-0005-0000-0000-0000120C0000}"/>
    <cellStyle name="Title [Palat] 2 8 3" xfId="14954" xr:uid="{00000000-0005-0000-0000-0000120C0000}"/>
    <cellStyle name="Title [Palat] 2 8 3 2" xfId="33358" xr:uid="{00000000-0005-0000-0000-0000120C0000}"/>
    <cellStyle name="Title [Palat] 2 8 3 3" xfId="51721" xr:uid="{00000000-0005-0000-0000-0000120C0000}"/>
    <cellStyle name="Title [Palat] 2 8 4" xfId="24087" xr:uid="{00000000-0005-0000-0000-0000120C0000}"/>
    <cellStyle name="Title [Palat] 2 8 4 2" xfId="42456" xr:uid="{00000000-0005-0000-0000-0000120C0000}"/>
    <cellStyle name="Title [Palat] 2 8 5" xfId="20407" xr:uid="{00000000-0005-0000-0000-0000120C0000}"/>
    <cellStyle name="Title [Palat] 2 8 6" xfId="38805" xr:uid="{00000000-0005-0000-0000-0000120C0000}"/>
    <cellStyle name="Title [Palat] 2 9" xfId="56" xr:uid="{00000000-0005-0000-0000-0000120C0000}"/>
    <cellStyle name="Title [Palat] 2 9 2" xfId="9276" xr:uid="{00000000-0005-0000-0000-0000120C0000}"/>
    <cellStyle name="Title [Palat] 2 9 2 2" xfId="27995" xr:uid="{00000000-0005-0000-0000-0000120C0000}"/>
    <cellStyle name="Title [Palat] 2 9 2 3" xfId="46358" xr:uid="{00000000-0005-0000-0000-0000120C0000}"/>
    <cellStyle name="Title [Palat] 2 9 3" xfId="13332" xr:uid="{00000000-0005-0000-0000-0000120C0000}"/>
    <cellStyle name="Title [Palat] 2 9 3 2" xfId="31753" xr:uid="{00000000-0005-0000-0000-0000120C0000}"/>
    <cellStyle name="Title [Palat] 2 9 3 3" xfId="50116" xr:uid="{00000000-0005-0000-0000-0000120C0000}"/>
    <cellStyle name="Title [Palat] 2 9 4" xfId="18768" xr:uid="{00000000-0005-0000-0000-0000120C0000}"/>
    <cellStyle name="Title [Palat] 2 9 4 2" xfId="37177" xr:uid="{00000000-0005-0000-0000-0000120C0000}"/>
    <cellStyle name="Title [Palat] 2 9 5" xfId="18336" xr:uid="{00000000-0005-0000-0000-0000120C0000}"/>
    <cellStyle name="Title [Palat] 2 9 6" xfId="36742" xr:uid="{00000000-0005-0000-0000-0000120C0000}"/>
    <cellStyle name="Title [Palat] 3" xfId="1826" xr:uid="{00000000-0005-0000-0000-0000210C0000}"/>
    <cellStyle name="Title [Palat] 3 10" xfId="15326" xr:uid="{00000000-0005-0000-0000-0000210C0000}"/>
    <cellStyle name="Title [Palat] 3 2" xfId="3701" xr:uid="{00000000-0005-0000-0000-0000210C0000}"/>
    <cellStyle name="Title [Palat] 3 2 2" xfId="5874" xr:uid="{00000000-0005-0000-0000-0000210C0000}"/>
    <cellStyle name="Title [Palat] 3 2 2 2" xfId="12238" xr:uid="{00000000-0005-0000-0000-0000210C0000}"/>
    <cellStyle name="Title [Palat] 3 2 2 2 2" xfId="30685" xr:uid="{00000000-0005-0000-0000-0000210C0000}"/>
    <cellStyle name="Title [Palat] 3 2 2 2 3" xfId="49048" xr:uid="{00000000-0005-0000-0000-0000210C0000}"/>
    <cellStyle name="Title [Palat] 3 2 2 3" xfId="16564" xr:uid="{00000000-0005-0000-0000-0000210C0000}"/>
    <cellStyle name="Title [Palat] 3 2 2 3 2" xfId="34936" xr:uid="{00000000-0005-0000-0000-0000210C0000}"/>
    <cellStyle name="Title [Palat] 3 2 2 3 3" xfId="53299" xr:uid="{00000000-0005-0000-0000-0000210C0000}"/>
    <cellStyle name="Title [Palat] 3 2 2 4" xfId="25683" xr:uid="{00000000-0005-0000-0000-0000210C0000}"/>
    <cellStyle name="Title [Palat] 3 2 2 4 2" xfId="44052" xr:uid="{00000000-0005-0000-0000-0000210C0000}"/>
    <cellStyle name="Title [Palat] 3 2 2 5" xfId="22004" xr:uid="{00000000-0005-0000-0000-0000210C0000}"/>
    <cellStyle name="Title [Palat] 3 2 2 6" xfId="40383" xr:uid="{00000000-0005-0000-0000-0000210C0000}"/>
    <cellStyle name="Title [Palat] 3 2 3" xfId="6700" xr:uid="{00000000-0005-0000-0000-0000210C0000}"/>
    <cellStyle name="Title [Palat] 3 2 3 2" xfId="12991" xr:uid="{00000000-0005-0000-0000-0000210C0000}"/>
    <cellStyle name="Title [Palat] 3 2 3 2 2" xfId="31417" xr:uid="{00000000-0005-0000-0000-0000210C0000}"/>
    <cellStyle name="Title [Palat] 3 2 3 2 3" xfId="49780" xr:uid="{00000000-0005-0000-0000-0000210C0000}"/>
    <cellStyle name="Title [Palat] 3 2 3 3" xfId="17302" xr:uid="{00000000-0005-0000-0000-0000210C0000}"/>
    <cellStyle name="Title [Palat] 3 2 3 3 2" xfId="35650" xr:uid="{00000000-0005-0000-0000-0000210C0000}"/>
    <cellStyle name="Title [Palat] 3 2 3 3 3" xfId="54013" xr:uid="{00000000-0005-0000-0000-0000210C0000}"/>
    <cellStyle name="Title [Palat] 3 2 3 4" xfId="26435" xr:uid="{00000000-0005-0000-0000-0000210C0000}"/>
    <cellStyle name="Title [Palat] 3 2 3 4 2" xfId="44804" xr:uid="{00000000-0005-0000-0000-0000210C0000}"/>
    <cellStyle name="Title [Palat] 3 2 3 5" xfId="22728" xr:uid="{00000000-0005-0000-0000-0000210C0000}"/>
    <cellStyle name="Title [Palat] 3 2 3 6" xfId="41097" xr:uid="{00000000-0005-0000-0000-0000210C0000}"/>
    <cellStyle name="Title [Palat] 3 2 4" xfId="10414" xr:uid="{00000000-0005-0000-0000-0000210C0000}"/>
    <cellStyle name="Title [Palat] 3 2 4 2" xfId="14471" xr:uid="{00000000-0005-0000-0000-0000210C0000}"/>
    <cellStyle name="Title [Palat] 3 2 4 2 2" xfId="32887" xr:uid="{00000000-0005-0000-0000-0000210C0000}"/>
    <cellStyle name="Title [Palat] 3 2 4 2 3" xfId="51250" xr:uid="{00000000-0005-0000-0000-0000210C0000}"/>
    <cellStyle name="Title [Palat] 3 2 4 3" xfId="29125" xr:uid="{00000000-0005-0000-0000-0000210C0000}"/>
    <cellStyle name="Title [Palat] 3 2 4 3 2" xfId="47488" xr:uid="{00000000-0005-0000-0000-0000210C0000}"/>
    <cellStyle name="Title [Palat] 3 2 4 4" xfId="19928" xr:uid="{00000000-0005-0000-0000-0000210C0000}"/>
    <cellStyle name="Title [Palat] 3 2 4 5" xfId="38334" xr:uid="{00000000-0005-0000-0000-0000210C0000}"/>
    <cellStyle name="Title [Palat] 3 2 5" xfId="9625" xr:uid="{00000000-0005-0000-0000-0000210C0000}"/>
    <cellStyle name="Title [Palat] 3 2 5 2" xfId="28342" xr:uid="{00000000-0005-0000-0000-0000210C0000}"/>
    <cellStyle name="Title [Palat] 3 2 5 3" xfId="46705" xr:uid="{00000000-0005-0000-0000-0000210C0000}"/>
    <cellStyle name="Title [Palat] 3 2 6" xfId="13683" xr:uid="{00000000-0005-0000-0000-0000210C0000}"/>
    <cellStyle name="Title [Palat] 3 2 6 2" xfId="32104" xr:uid="{00000000-0005-0000-0000-0000210C0000}"/>
    <cellStyle name="Title [Palat] 3 2 6 3" xfId="50467" xr:uid="{00000000-0005-0000-0000-0000210C0000}"/>
    <cellStyle name="Title [Palat] 3 2 7" xfId="23609" xr:uid="{00000000-0005-0000-0000-0000210C0000}"/>
    <cellStyle name="Title [Palat] 3 2 7 2" xfId="41978" xr:uid="{00000000-0005-0000-0000-0000210C0000}"/>
    <cellStyle name="Title [Palat] 3 2 8" xfId="18733" xr:uid="{00000000-0005-0000-0000-0000210C0000}"/>
    <cellStyle name="Title [Palat] 3 2 9" xfId="37143" xr:uid="{00000000-0005-0000-0000-0000210C0000}"/>
    <cellStyle name="Title [Palat] 3 3" xfId="4752" xr:uid="{00000000-0005-0000-0000-0000210C0000}"/>
    <cellStyle name="Title [Palat] 3 3 2" xfId="11331" xr:uid="{00000000-0005-0000-0000-0000210C0000}"/>
    <cellStyle name="Title [Palat] 3 3 2 2" xfId="29941" xr:uid="{00000000-0005-0000-0000-0000210C0000}"/>
    <cellStyle name="Title [Palat] 3 3 2 3" xfId="48304" xr:uid="{00000000-0005-0000-0000-0000210C0000}"/>
    <cellStyle name="Title [Palat] 3 3 3" xfId="15478" xr:uid="{00000000-0005-0000-0000-0000210C0000}"/>
    <cellStyle name="Title [Palat] 3 3 3 2" xfId="33871" xr:uid="{00000000-0005-0000-0000-0000210C0000}"/>
    <cellStyle name="Title [Palat] 3 3 3 3" xfId="52234" xr:uid="{00000000-0005-0000-0000-0000210C0000}"/>
    <cellStyle name="Title [Palat] 3 3 4" xfId="24602" xr:uid="{00000000-0005-0000-0000-0000210C0000}"/>
    <cellStyle name="Title [Palat] 3 3 4 2" xfId="42971" xr:uid="{00000000-0005-0000-0000-0000210C0000}"/>
    <cellStyle name="Title [Palat] 3 3 5" xfId="20929" xr:uid="{00000000-0005-0000-0000-0000210C0000}"/>
    <cellStyle name="Title [Palat] 3 3 6" xfId="39318" xr:uid="{00000000-0005-0000-0000-0000210C0000}"/>
    <cellStyle name="Title [Palat] 3 4" xfId="5012" xr:uid="{00000000-0005-0000-0000-0000210C0000}"/>
    <cellStyle name="Title [Palat] 3 4 2" xfId="11536" xr:uid="{00000000-0005-0000-0000-0000210C0000}"/>
    <cellStyle name="Title [Palat] 3 4 2 2" xfId="30108" xr:uid="{00000000-0005-0000-0000-0000210C0000}"/>
    <cellStyle name="Title [Palat] 3 4 2 3" xfId="48471" xr:uid="{00000000-0005-0000-0000-0000210C0000}"/>
    <cellStyle name="Title [Palat] 3 4 3" xfId="15726" xr:uid="{00000000-0005-0000-0000-0000210C0000}"/>
    <cellStyle name="Title [Palat] 3 4 3 2" xfId="34114" xr:uid="{00000000-0005-0000-0000-0000210C0000}"/>
    <cellStyle name="Title [Palat] 3 4 3 3" xfId="52477" xr:uid="{00000000-0005-0000-0000-0000210C0000}"/>
    <cellStyle name="Title [Palat] 3 4 4" xfId="24850" xr:uid="{00000000-0005-0000-0000-0000210C0000}"/>
    <cellStyle name="Title [Palat] 3 4 4 2" xfId="43219" xr:uid="{00000000-0005-0000-0000-0000210C0000}"/>
    <cellStyle name="Title [Palat] 3 4 5" xfId="21174" xr:uid="{00000000-0005-0000-0000-0000210C0000}"/>
    <cellStyle name="Title [Palat] 3 4 6" xfId="39561" xr:uid="{00000000-0005-0000-0000-0000210C0000}"/>
    <cellStyle name="Title [Palat] 3 5" xfId="9690" xr:uid="{00000000-0005-0000-0000-0000210C0000}"/>
    <cellStyle name="Title [Palat] 3 5 2" xfId="13747" xr:uid="{00000000-0005-0000-0000-0000210C0000}"/>
    <cellStyle name="Title [Palat] 3 5 2 2" xfId="32168" xr:uid="{00000000-0005-0000-0000-0000210C0000}"/>
    <cellStyle name="Title [Palat] 3 5 2 3" xfId="50531" xr:uid="{00000000-0005-0000-0000-0000210C0000}"/>
    <cellStyle name="Title [Palat] 3 5 3" xfId="28406" xr:uid="{00000000-0005-0000-0000-0000210C0000}"/>
    <cellStyle name="Title [Palat] 3 5 3 2" xfId="46769" xr:uid="{00000000-0005-0000-0000-0000210C0000}"/>
    <cellStyle name="Title [Palat] 3 5 4" xfId="18836" xr:uid="{00000000-0005-0000-0000-0000210C0000}"/>
    <cellStyle name="Title [Palat] 3 5 5" xfId="37245" xr:uid="{00000000-0005-0000-0000-0000210C0000}"/>
    <cellStyle name="Title [Palat] 3 6" xfId="8048" xr:uid="{00000000-0005-0000-0000-0000210C0000}"/>
    <cellStyle name="Title [Palat] 3 6 2" xfId="27272" xr:uid="{00000000-0005-0000-0000-0000210C0000}"/>
    <cellStyle name="Title [Palat] 3 6 3" xfId="45637" xr:uid="{00000000-0005-0000-0000-0000210C0000}"/>
    <cellStyle name="Title [Palat] 3 7" xfId="8732" xr:uid="{00000000-0005-0000-0000-0000210C0000}"/>
    <cellStyle name="Title [Palat] 3 7 2" xfId="27610" xr:uid="{00000000-0005-0000-0000-0000210C0000}"/>
    <cellStyle name="Title [Palat] 3 7 3" xfId="45973" xr:uid="{00000000-0005-0000-0000-0000210C0000}"/>
    <cellStyle name="Title [Palat] 3 8" xfId="19276" xr:uid="{00000000-0005-0000-0000-0000210C0000}"/>
    <cellStyle name="Title [Palat] 3 8 2" xfId="37683" xr:uid="{00000000-0005-0000-0000-0000210C0000}"/>
    <cellStyle name="Title [Palat] 3 9" xfId="8316" xr:uid="{00000000-0005-0000-0000-0000210C0000}"/>
    <cellStyle name="Title [Palat] 4" xfId="2719" xr:uid="{00000000-0005-0000-0000-0000220C0000}"/>
    <cellStyle name="Title [Palat] 4 10" xfId="35903" xr:uid="{00000000-0005-0000-0000-0000220C0000}"/>
    <cellStyle name="Title [Palat] 4 2" xfId="3805" xr:uid="{00000000-0005-0000-0000-0000220C0000}"/>
    <cellStyle name="Title [Palat] 4 2 2" xfId="5978" xr:uid="{00000000-0005-0000-0000-0000220C0000}"/>
    <cellStyle name="Title [Palat] 4 2 2 2" xfId="12342" xr:uid="{00000000-0005-0000-0000-0000220C0000}"/>
    <cellStyle name="Title [Palat] 4 2 2 2 2" xfId="30789" xr:uid="{00000000-0005-0000-0000-0000220C0000}"/>
    <cellStyle name="Title [Palat] 4 2 2 2 3" xfId="49152" xr:uid="{00000000-0005-0000-0000-0000220C0000}"/>
    <cellStyle name="Title [Palat] 4 2 2 3" xfId="16668" xr:uid="{00000000-0005-0000-0000-0000220C0000}"/>
    <cellStyle name="Title [Palat] 4 2 2 3 2" xfId="35040" xr:uid="{00000000-0005-0000-0000-0000220C0000}"/>
    <cellStyle name="Title [Palat] 4 2 2 3 3" xfId="53403" xr:uid="{00000000-0005-0000-0000-0000220C0000}"/>
    <cellStyle name="Title [Palat] 4 2 2 4" xfId="25787" xr:uid="{00000000-0005-0000-0000-0000220C0000}"/>
    <cellStyle name="Title [Palat] 4 2 2 4 2" xfId="44156" xr:uid="{00000000-0005-0000-0000-0000220C0000}"/>
    <cellStyle name="Title [Palat] 4 2 2 5" xfId="22108" xr:uid="{00000000-0005-0000-0000-0000220C0000}"/>
    <cellStyle name="Title [Palat] 4 2 2 6" xfId="40487" xr:uid="{00000000-0005-0000-0000-0000220C0000}"/>
    <cellStyle name="Title [Palat] 4 2 3" xfId="6804" xr:uid="{00000000-0005-0000-0000-0000220C0000}"/>
    <cellStyle name="Title [Palat] 4 2 3 2" xfId="13095" xr:uid="{00000000-0005-0000-0000-0000220C0000}"/>
    <cellStyle name="Title [Palat] 4 2 3 2 2" xfId="31521" xr:uid="{00000000-0005-0000-0000-0000220C0000}"/>
    <cellStyle name="Title [Palat] 4 2 3 2 3" xfId="49884" xr:uid="{00000000-0005-0000-0000-0000220C0000}"/>
    <cellStyle name="Title [Palat] 4 2 3 3" xfId="17406" xr:uid="{00000000-0005-0000-0000-0000220C0000}"/>
    <cellStyle name="Title [Palat] 4 2 3 3 2" xfId="35754" xr:uid="{00000000-0005-0000-0000-0000220C0000}"/>
    <cellStyle name="Title [Palat] 4 2 3 3 3" xfId="54117" xr:uid="{00000000-0005-0000-0000-0000220C0000}"/>
    <cellStyle name="Title [Palat] 4 2 3 4" xfId="26539" xr:uid="{00000000-0005-0000-0000-0000220C0000}"/>
    <cellStyle name="Title [Palat] 4 2 3 4 2" xfId="44908" xr:uid="{00000000-0005-0000-0000-0000220C0000}"/>
    <cellStyle name="Title [Palat] 4 2 3 5" xfId="22832" xr:uid="{00000000-0005-0000-0000-0000220C0000}"/>
    <cellStyle name="Title [Palat] 4 2 3 6" xfId="41201" xr:uid="{00000000-0005-0000-0000-0000220C0000}"/>
    <cellStyle name="Title [Palat] 4 2 4" xfId="10518" xr:uid="{00000000-0005-0000-0000-0000220C0000}"/>
    <cellStyle name="Title [Palat] 4 2 4 2" xfId="14575" xr:uid="{00000000-0005-0000-0000-0000220C0000}"/>
    <cellStyle name="Title [Palat] 4 2 4 2 2" xfId="32991" xr:uid="{00000000-0005-0000-0000-0000220C0000}"/>
    <cellStyle name="Title [Palat] 4 2 4 2 3" xfId="51354" xr:uid="{00000000-0005-0000-0000-0000220C0000}"/>
    <cellStyle name="Title [Palat] 4 2 4 3" xfId="29229" xr:uid="{00000000-0005-0000-0000-0000220C0000}"/>
    <cellStyle name="Title [Palat] 4 2 4 3 2" xfId="47592" xr:uid="{00000000-0005-0000-0000-0000220C0000}"/>
    <cellStyle name="Title [Palat] 4 2 4 4" xfId="20032" xr:uid="{00000000-0005-0000-0000-0000220C0000}"/>
    <cellStyle name="Title [Palat] 4 2 4 5" xfId="38438" xr:uid="{00000000-0005-0000-0000-0000220C0000}"/>
    <cellStyle name="Title [Palat] 4 2 5" xfId="9844" xr:uid="{00000000-0005-0000-0000-0000220C0000}"/>
    <cellStyle name="Title [Palat] 4 2 5 2" xfId="28558" xr:uid="{00000000-0005-0000-0000-0000220C0000}"/>
    <cellStyle name="Title [Palat] 4 2 5 3" xfId="46921" xr:uid="{00000000-0005-0000-0000-0000220C0000}"/>
    <cellStyle name="Title [Palat] 4 2 6" xfId="13902" xr:uid="{00000000-0005-0000-0000-0000220C0000}"/>
    <cellStyle name="Title [Palat] 4 2 6 2" xfId="32320" xr:uid="{00000000-0005-0000-0000-0000220C0000}"/>
    <cellStyle name="Title [Palat] 4 2 6 3" xfId="50683" xr:uid="{00000000-0005-0000-0000-0000220C0000}"/>
    <cellStyle name="Title [Palat] 4 2 7" xfId="23713" xr:uid="{00000000-0005-0000-0000-0000220C0000}"/>
    <cellStyle name="Title [Palat] 4 2 7 2" xfId="42082" xr:uid="{00000000-0005-0000-0000-0000220C0000}"/>
    <cellStyle name="Title [Palat] 4 2 8" xfId="19092" xr:uid="{00000000-0005-0000-0000-0000220C0000}"/>
    <cellStyle name="Title [Palat] 4 2 9" xfId="37500" xr:uid="{00000000-0005-0000-0000-0000220C0000}"/>
    <cellStyle name="Title [Palat] 4 3" xfId="5116" xr:uid="{00000000-0005-0000-0000-0000220C0000}"/>
    <cellStyle name="Title [Palat] 4 3 2" xfId="11625" xr:uid="{00000000-0005-0000-0000-0000220C0000}"/>
    <cellStyle name="Title [Palat] 4 3 2 2" xfId="30177" xr:uid="{00000000-0005-0000-0000-0000220C0000}"/>
    <cellStyle name="Title [Palat] 4 3 2 3" xfId="48540" xr:uid="{00000000-0005-0000-0000-0000220C0000}"/>
    <cellStyle name="Title [Palat] 4 3 3" xfId="15824" xr:uid="{00000000-0005-0000-0000-0000220C0000}"/>
    <cellStyle name="Title [Palat] 4 3 3 2" xfId="34209" xr:uid="{00000000-0005-0000-0000-0000220C0000}"/>
    <cellStyle name="Title [Palat] 4 3 3 3" xfId="52572" xr:uid="{00000000-0005-0000-0000-0000220C0000}"/>
    <cellStyle name="Title [Palat] 4 3 4" xfId="24946" xr:uid="{00000000-0005-0000-0000-0000220C0000}"/>
    <cellStyle name="Title [Palat] 4 3 4 2" xfId="43315" xr:uid="{00000000-0005-0000-0000-0000220C0000}"/>
    <cellStyle name="Title [Palat] 4 3 5" xfId="21271" xr:uid="{00000000-0005-0000-0000-0000220C0000}"/>
    <cellStyle name="Title [Palat] 4 3 6" xfId="39656" xr:uid="{00000000-0005-0000-0000-0000220C0000}"/>
    <cellStyle name="Title [Palat] 4 4" xfId="6168" xr:uid="{00000000-0005-0000-0000-0000220C0000}"/>
    <cellStyle name="Title [Palat] 4 4 2" xfId="12505" xr:uid="{00000000-0005-0000-0000-0000220C0000}"/>
    <cellStyle name="Title [Palat] 4 4 2 2" xfId="30942" xr:uid="{00000000-0005-0000-0000-0000220C0000}"/>
    <cellStyle name="Title [Palat] 4 4 2 3" xfId="49305" xr:uid="{00000000-0005-0000-0000-0000220C0000}"/>
    <cellStyle name="Title [Palat] 4 4 3" xfId="16823" xr:uid="{00000000-0005-0000-0000-0000220C0000}"/>
    <cellStyle name="Title [Palat] 4 4 3 2" xfId="35188" xr:uid="{00000000-0005-0000-0000-0000220C0000}"/>
    <cellStyle name="Title [Palat] 4 4 3 3" xfId="53551" xr:uid="{00000000-0005-0000-0000-0000220C0000}"/>
    <cellStyle name="Title [Palat] 4 4 4" xfId="25955" xr:uid="{00000000-0005-0000-0000-0000220C0000}"/>
    <cellStyle name="Title [Palat] 4 4 4 2" xfId="44324" xr:uid="{00000000-0005-0000-0000-0000220C0000}"/>
    <cellStyle name="Title [Palat] 4 4 5" xfId="22260" xr:uid="{00000000-0005-0000-0000-0000220C0000}"/>
    <cellStyle name="Title [Palat] 4 4 6" xfId="40635" xr:uid="{00000000-0005-0000-0000-0000220C0000}"/>
    <cellStyle name="Title [Palat] 4 5" xfId="10010" xr:uid="{00000000-0005-0000-0000-0000220C0000}"/>
    <cellStyle name="Title [Palat] 4 5 2" xfId="14067" xr:uid="{00000000-0005-0000-0000-0000220C0000}"/>
    <cellStyle name="Title [Palat] 4 5 2 2" xfId="32484" xr:uid="{00000000-0005-0000-0000-0000220C0000}"/>
    <cellStyle name="Title [Palat] 4 5 2 3" xfId="50847" xr:uid="{00000000-0005-0000-0000-0000220C0000}"/>
    <cellStyle name="Title [Palat] 4 5 3" xfId="28722" xr:uid="{00000000-0005-0000-0000-0000220C0000}"/>
    <cellStyle name="Title [Palat] 4 5 3 2" xfId="47085" xr:uid="{00000000-0005-0000-0000-0000220C0000}"/>
    <cellStyle name="Title [Palat] 4 5 4" xfId="19380" xr:uid="{00000000-0005-0000-0000-0000220C0000}"/>
    <cellStyle name="Title [Palat] 4 5 5" xfId="37787" xr:uid="{00000000-0005-0000-0000-0000220C0000}"/>
    <cellStyle name="Title [Palat] 4 6" xfId="8606" xr:uid="{00000000-0005-0000-0000-0000220C0000}"/>
    <cellStyle name="Title [Palat] 4 6 2" xfId="27532" xr:uid="{00000000-0005-0000-0000-0000220C0000}"/>
    <cellStyle name="Title [Palat] 4 6 3" xfId="45896" xr:uid="{00000000-0005-0000-0000-0000220C0000}"/>
    <cellStyle name="Title [Palat] 4 7" xfId="7035" xr:uid="{00000000-0005-0000-0000-0000220C0000}"/>
    <cellStyle name="Title [Palat] 4 7 2" xfId="26705" xr:uid="{00000000-0005-0000-0000-0000220C0000}"/>
    <cellStyle name="Title [Palat] 4 7 3" xfId="45073" xr:uid="{00000000-0005-0000-0000-0000220C0000}"/>
    <cellStyle name="Title [Palat] 4 8" xfId="18919" xr:uid="{00000000-0005-0000-0000-0000220C0000}"/>
    <cellStyle name="Title [Palat] 4 8 2" xfId="37328" xr:uid="{00000000-0005-0000-0000-0000220C0000}"/>
    <cellStyle name="Title [Palat] 4 9" xfId="7093" xr:uid="{00000000-0005-0000-0000-0000220C0000}"/>
    <cellStyle name="Title [Palat] 5" xfId="2913" xr:uid="{00000000-0005-0000-0000-0000230C0000}"/>
    <cellStyle name="Title [Palat] 5 10" xfId="35937" xr:uid="{00000000-0005-0000-0000-0000230C0000}"/>
    <cellStyle name="Title [Palat] 5 2" xfId="3825" xr:uid="{00000000-0005-0000-0000-0000230C0000}"/>
    <cellStyle name="Title [Palat] 5 2 2" xfId="5998" xr:uid="{00000000-0005-0000-0000-0000230C0000}"/>
    <cellStyle name="Title [Palat] 5 2 2 2" xfId="12362" xr:uid="{00000000-0005-0000-0000-0000230C0000}"/>
    <cellStyle name="Title [Palat] 5 2 2 2 2" xfId="30809" xr:uid="{00000000-0005-0000-0000-0000230C0000}"/>
    <cellStyle name="Title [Palat] 5 2 2 2 3" xfId="49172" xr:uid="{00000000-0005-0000-0000-0000230C0000}"/>
    <cellStyle name="Title [Palat] 5 2 2 3" xfId="16688" xr:uid="{00000000-0005-0000-0000-0000230C0000}"/>
    <cellStyle name="Title [Palat] 5 2 2 3 2" xfId="35060" xr:uid="{00000000-0005-0000-0000-0000230C0000}"/>
    <cellStyle name="Title [Palat] 5 2 2 3 3" xfId="53423" xr:uid="{00000000-0005-0000-0000-0000230C0000}"/>
    <cellStyle name="Title [Palat] 5 2 2 4" xfId="25807" xr:uid="{00000000-0005-0000-0000-0000230C0000}"/>
    <cellStyle name="Title [Palat] 5 2 2 4 2" xfId="44176" xr:uid="{00000000-0005-0000-0000-0000230C0000}"/>
    <cellStyle name="Title [Palat] 5 2 2 5" xfId="22128" xr:uid="{00000000-0005-0000-0000-0000230C0000}"/>
    <cellStyle name="Title [Palat] 5 2 2 6" xfId="40507" xr:uid="{00000000-0005-0000-0000-0000230C0000}"/>
    <cellStyle name="Title [Palat] 5 2 3" xfId="6824" xr:uid="{00000000-0005-0000-0000-0000230C0000}"/>
    <cellStyle name="Title [Palat] 5 2 3 2" xfId="13115" xr:uid="{00000000-0005-0000-0000-0000230C0000}"/>
    <cellStyle name="Title [Palat] 5 2 3 2 2" xfId="31541" xr:uid="{00000000-0005-0000-0000-0000230C0000}"/>
    <cellStyle name="Title [Palat] 5 2 3 2 3" xfId="49904" xr:uid="{00000000-0005-0000-0000-0000230C0000}"/>
    <cellStyle name="Title [Palat] 5 2 3 3" xfId="17426" xr:uid="{00000000-0005-0000-0000-0000230C0000}"/>
    <cellStyle name="Title [Palat] 5 2 3 3 2" xfId="35774" xr:uid="{00000000-0005-0000-0000-0000230C0000}"/>
    <cellStyle name="Title [Palat] 5 2 3 3 3" xfId="54137" xr:uid="{00000000-0005-0000-0000-0000230C0000}"/>
    <cellStyle name="Title [Palat] 5 2 3 4" xfId="26559" xr:uid="{00000000-0005-0000-0000-0000230C0000}"/>
    <cellStyle name="Title [Palat] 5 2 3 4 2" xfId="44928" xr:uid="{00000000-0005-0000-0000-0000230C0000}"/>
    <cellStyle name="Title [Palat] 5 2 3 5" xfId="22852" xr:uid="{00000000-0005-0000-0000-0000230C0000}"/>
    <cellStyle name="Title [Palat] 5 2 3 6" xfId="41221" xr:uid="{00000000-0005-0000-0000-0000230C0000}"/>
    <cellStyle name="Title [Palat] 5 2 4" xfId="10538" xr:uid="{00000000-0005-0000-0000-0000230C0000}"/>
    <cellStyle name="Title [Palat] 5 2 4 2" xfId="14595" xr:uid="{00000000-0005-0000-0000-0000230C0000}"/>
    <cellStyle name="Title [Palat] 5 2 4 2 2" xfId="33011" xr:uid="{00000000-0005-0000-0000-0000230C0000}"/>
    <cellStyle name="Title [Palat] 5 2 4 2 3" xfId="51374" xr:uid="{00000000-0005-0000-0000-0000230C0000}"/>
    <cellStyle name="Title [Palat] 5 2 4 3" xfId="29249" xr:uid="{00000000-0005-0000-0000-0000230C0000}"/>
    <cellStyle name="Title [Palat] 5 2 4 3 2" xfId="47612" xr:uid="{00000000-0005-0000-0000-0000230C0000}"/>
    <cellStyle name="Title [Palat] 5 2 4 4" xfId="20052" xr:uid="{00000000-0005-0000-0000-0000230C0000}"/>
    <cellStyle name="Title [Palat] 5 2 4 5" xfId="38458" xr:uid="{00000000-0005-0000-0000-0000230C0000}"/>
    <cellStyle name="Title [Palat] 5 2 5" xfId="9898" xr:uid="{00000000-0005-0000-0000-0000230C0000}"/>
    <cellStyle name="Title [Palat] 5 2 5 2" xfId="28611" xr:uid="{00000000-0005-0000-0000-0000230C0000}"/>
    <cellStyle name="Title [Palat] 5 2 5 3" xfId="46974" xr:uid="{00000000-0005-0000-0000-0000230C0000}"/>
    <cellStyle name="Title [Palat] 5 2 6" xfId="13955" xr:uid="{00000000-0005-0000-0000-0000230C0000}"/>
    <cellStyle name="Title [Palat] 5 2 6 2" xfId="32373" xr:uid="{00000000-0005-0000-0000-0000230C0000}"/>
    <cellStyle name="Title [Palat] 5 2 6 3" xfId="50736" xr:uid="{00000000-0005-0000-0000-0000230C0000}"/>
    <cellStyle name="Title [Palat] 5 2 7" xfId="23733" xr:uid="{00000000-0005-0000-0000-0000230C0000}"/>
    <cellStyle name="Title [Palat] 5 2 7 2" xfId="42102" xr:uid="{00000000-0005-0000-0000-0000230C0000}"/>
    <cellStyle name="Title [Palat] 5 2 8" xfId="19181" xr:uid="{00000000-0005-0000-0000-0000230C0000}"/>
    <cellStyle name="Title [Palat] 5 2 9" xfId="37589" xr:uid="{00000000-0005-0000-0000-0000230C0000}"/>
    <cellStyle name="Title [Palat] 5 3" xfId="5186" xr:uid="{00000000-0005-0000-0000-0000230C0000}"/>
    <cellStyle name="Title [Palat] 5 3 2" xfId="11676" xr:uid="{00000000-0005-0000-0000-0000230C0000}"/>
    <cellStyle name="Title [Palat] 5 3 2 2" xfId="30217" xr:uid="{00000000-0005-0000-0000-0000230C0000}"/>
    <cellStyle name="Title [Palat] 5 3 2 3" xfId="48580" xr:uid="{00000000-0005-0000-0000-0000230C0000}"/>
    <cellStyle name="Title [Palat] 5 3 3" xfId="15878" xr:uid="{00000000-0005-0000-0000-0000230C0000}"/>
    <cellStyle name="Title [Palat] 5 3 3 2" xfId="34252" xr:uid="{00000000-0005-0000-0000-0000230C0000}"/>
    <cellStyle name="Title [Palat] 5 3 3 3" xfId="52615" xr:uid="{00000000-0005-0000-0000-0000230C0000}"/>
    <cellStyle name="Title [Palat] 5 3 4" xfId="24999" xr:uid="{00000000-0005-0000-0000-0000230C0000}"/>
    <cellStyle name="Title [Palat] 5 3 4 2" xfId="43368" xr:uid="{00000000-0005-0000-0000-0000230C0000}"/>
    <cellStyle name="Title [Palat] 5 3 5" xfId="21320" xr:uid="{00000000-0005-0000-0000-0000230C0000}"/>
    <cellStyle name="Title [Palat] 5 3 6" xfId="39699" xr:uid="{00000000-0005-0000-0000-0000230C0000}"/>
    <cellStyle name="Title [Palat] 5 4" xfId="6205" xr:uid="{00000000-0005-0000-0000-0000230C0000}"/>
    <cellStyle name="Title [Palat] 5 4 2" xfId="12534" xr:uid="{00000000-0005-0000-0000-0000230C0000}"/>
    <cellStyle name="Title [Palat] 5 4 2 2" xfId="30966" xr:uid="{00000000-0005-0000-0000-0000230C0000}"/>
    <cellStyle name="Title [Palat] 5 4 2 3" xfId="49329" xr:uid="{00000000-0005-0000-0000-0000230C0000}"/>
    <cellStyle name="Title [Palat] 5 4 3" xfId="16850" xr:uid="{00000000-0005-0000-0000-0000230C0000}"/>
    <cellStyle name="Title [Palat] 5 4 3 2" xfId="35209" xr:uid="{00000000-0005-0000-0000-0000230C0000}"/>
    <cellStyle name="Title [Palat] 5 4 3 3" xfId="53572" xr:uid="{00000000-0005-0000-0000-0000230C0000}"/>
    <cellStyle name="Title [Palat] 5 4 4" xfId="25978" xr:uid="{00000000-0005-0000-0000-0000230C0000}"/>
    <cellStyle name="Title [Palat] 5 4 4 2" xfId="44347" xr:uid="{00000000-0005-0000-0000-0000230C0000}"/>
    <cellStyle name="Title [Palat] 5 4 5" xfId="22283" xr:uid="{00000000-0005-0000-0000-0000230C0000}"/>
    <cellStyle name="Title [Palat] 5 4 6" xfId="40656" xr:uid="{00000000-0005-0000-0000-0000230C0000}"/>
    <cellStyle name="Title [Palat] 5 5" xfId="10031" xr:uid="{00000000-0005-0000-0000-0000230C0000}"/>
    <cellStyle name="Title [Palat] 5 5 2" xfId="14088" xr:uid="{00000000-0005-0000-0000-0000230C0000}"/>
    <cellStyle name="Title [Palat] 5 5 2 2" xfId="32504" xr:uid="{00000000-0005-0000-0000-0000230C0000}"/>
    <cellStyle name="Title [Palat] 5 5 2 3" xfId="50867" xr:uid="{00000000-0005-0000-0000-0000230C0000}"/>
    <cellStyle name="Title [Palat] 5 5 3" xfId="28742" xr:uid="{00000000-0005-0000-0000-0000230C0000}"/>
    <cellStyle name="Title [Palat] 5 5 3 2" xfId="47105" xr:uid="{00000000-0005-0000-0000-0000230C0000}"/>
    <cellStyle name="Title [Palat] 5 5 4" xfId="19464" xr:uid="{00000000-0005-0000-0000-0000230C0000}"/>
    <cellStyle name="Title [Palat] 5 5 5" xfId="37870" xr:uid="{00000000-0005-0000-0000-0000230C0000}"/>
    <cellStyle name="Title [Palat] 5 6" xfId="8753" xr:uid="{00000000-0005-0000-0000-0000230C0000}"/>
    <cellStyle name="Title [Palat] 5 6 2" xfId="27621" xr:uid="{00000000-0005-0000-0000-0000230C0000}"/>
    <cellStyle name="Title [Palat] 5 6 3" xfId="45984" xr:uid="{00000000-0005-0000-0000-0000230C0000}"/>
    <cellStyle name="Title [Palat] 5 7" xfId="7005" xr:uid="{00000000-0005-0000-0000-0000230C0000}"/>
    <cellStyle name="Title [Palat] 5 7 2" xfId="26702" xr:uid="{00000000-0005-0000-0000-0000230C0000}"/>
    <cellStyle name="Title [Palat] 5 7 3" xfId="45071" xr:uid="{00000000-0005-0000-0000-0000230C0000}"/>
    <cellStyle name="Title [Palat] 5 8" xfId="22935" xr:uid="{00000000-0005-0000-0000-0000230C0000}"/>
    <cellStyle name="Title [Palat] 5 8 2" xfId="41304" xr:uid="{00000000-0005-0000-0000-0000230C0000}"/>
    <cellStyle name="Title [Palat] 5 9" xfId="10958" xr:uid="{00000000-0005-0000-0000-0000230C0000}"/>
    <cellStyle name="Title [Palat] 6" xfId="3159" xr:uid="{00000000-0005-0000-0000-0000240C0000}"/>
    <cellStyle name="Title [Palat] 6 2" xfId="3855" xr:uid="{00000000-0005-0000-0000-0000240C0000}"/>
    <cellStyle name="Title [Palat] 6 2 2" xfId="6028" xr:uid="{00000000-0005-0000-0000-0000240C0000}"/>
    <cellStyle name="Title [Palat] 6 2 2 2" xfId="12392" xr:uid="{00000000-0005-0000-0000-0000240C0000}"/>
    <cellStyle name="Title [Palat] 6 2 2 2 2" xfId="30839" xr:uid="{00000000-0005-0000-0000-0000240C0000}"/>
    <cellStyle name="Title [Palat] 6 2 2 2 3" xfId="49202" xr:uid="{00000000-0005-0000-0000-0000240C0000}"/>
    <cellStyle name="Title [Palat] 6 2 2 3" xfId="16718" xr:uid="{00000000-0005-0000-0000-0000240C0000}"/>
    <cellStyle name="Title [Palat] 6 2 2 3 2" xfId="35090" xr:uid="{00000000-0005-0000-0000-0000240C0000}"/>
    <cellStyle name="Title [Palat] 6 2 2 3 3" xfId="53453" xr:uid="{00000000-0005-0000-0000-0000240C0000}"/>
    <cellStyle name="Title [Palat] 6 2 2 4" xfId="25837" xr:uid="{00000000-0005-0000-0000-0000240C0000}"/>
    <cellStyle name="Title [Palat] 6 2 2 4 2" xfId="44206" xr:uid="{00000000-0005-0000-0000-0000240C0000}"/>
    <cellStyle name="Title [Palat] 6 2 2 5" xfId="22158" xr:uid="{00000000-0005-0000-0000-0000240C0000}"/>
    <cellStyle name="Title [Palat] 6 2 2 6" xfId="40537" xr:uid="{00000000-0005-0000-0000-0000240C0000}"/>
    <cellStyle name="Title [Palat] 6 2 3" xfId="6854" xr:uid="{00000000-0005-0000-0000-0000240C0000}"/>
    <cellStyle name="Title [Palat] 6 2 3 2" xfId="13145" xr:uid="{00000000-0005-0000-0000-0000240C0000}"/>
    <cellStyle name="Title [Palat] 6 2 3 2 2" xfId="31571" xr:uid="{00000000-0005-0000-0000-0000240C0000}"/>
    <cellStyle name="Title [Palat] 6 2 3 2 3" xfId="49934" xr:uid="{00000000-0005-0000-0000-0000240C0000}"/>
    <cellStyle name="Title [Palat] 6 2 3 3" xfId="17456" xr:uid="{00000000-0005-0000-0000-0000240C0000}"/>
    <cellStyle name="Title [Palat] 6 2 3 3 2" xfId="35804" xr:uid="{00000000-0005-0000-0000-0000240C0000}"/>
    <cellStyle name="Title [Palat] 6 2 3 3 3" xfId="54167" xr:uid="{00000000-0005-0000-0000-0000240C0000}"/>
    <cellStyle name="Title [Palat] 6 2 3 4" xfId="26589" xr:uid="{00000000-0005-0000-0000-0000240C0000}"/>
    <cellStyle name="Title [Palat] 6 2 3 4 2" xfId="44958" xr:uid="{00000000-0005-0000-0000-0000240C0000}"/>
    <cellStyle name="Title [Palat] 6 2 3 5" xfId="22882" xr:uid="{00000000-0005-0000-0000-0000240C0000}"/>
    <cellStyle name="Title [Palat] 6 2 3 6" xfId="41251" xr:uid="{00000000-0005-0000-0000-0000240C0000}"/>
    <cellStyle name="Title [Palat] 6 2 4" xfId="10568" xr:uid="{00000000-0005-0000-0000-0000240C0000}"/>
    <cellStyle name="Title [Palat] 6 2 4 2" xfId="14625" xr:uid="{00000000-0005-0000-0000-0000240C0000}"/>
    <cellStyle name="Title [Palat] 6 2 4 2 2" xfId="33041" xr:uid="{00000000-0005-0000-0000-0000240C0000}"/>
    <cellStyle name="Title [Palat] 6 2 4 2 3" xfId="51404" xr:uid="{00000000-0005-0000-0000-0000240C0000}"/>
    <cellStyle name="Title [Palat] 6 2 4 3" xfId="29279" xr:uid="{00000000-0005-0000-0000-0000240C0000}"/>
    <cellStyle name="Title [Palat] 6 2 4 3 2" xfId="47642" xr:uid="{00000000-0005-0000-0000-0000240C0000}"/>
    <cellStyle name="Title [Palat] 6 2 4 4" xfId="20082" xr:uid="{00000000-0005-0000-0000-0000240C0000}"/>
    <cellStyle name="Title [Palat] 6 2 4 5" xfId="38488" xr:uid="{00000000-0005-0000-0000-0000240C0000}"/>
    <cellStyle name="Title [Palat] 6 2 5" xfId="9954" xr:uid="{00000000-0005-0000-0000-0000240C0000}"/>
    <cellStyle name="Title [Palat] 6 2 5 2" xfId="28666" xr:uid="{00000000-0005-0000-0000-0000240C0000}"/>
    <cellStyle name="Title [Palat] 6 2 5 3" xfId="47029" xr:uid="{00000000-0005-0000-0000-0000240C0000}"/>
    <cellStyle name="Title [Palat] 6 2 6" xfId="14011" xr:uid="{00000000-0005-0000-0000-0000240C0000}"/>
    <cellStyle name="Title [Palat] 6 2 6 2" xfId="32428" xr:uid="{00000000-0005-0000-0000-0000240C0000}"/>
    <cellStyle name="Title [Palat] 6 2 6 3" xfId="50791" xr:uid="{00000000-0005-0000-0000-0000240C0000}"/>
    <cellStyle name="Title [Palat] 6 2 7" xfId="23763" xr:uid="{00000000-0005-0000-0000-0000240C0000}"/>
    <cellStyle name="Title [Palat] 6 2 7 2" xfId="42132" xr:uid="{00000000-0005-0000-0000-0000240C0000}"/>
    <cellStyle name="Title [Palat] 6 2 8" xfId="19291" xr:uid="{00000000-0005-0000-0000-0000240C0000}"/>
    <cellStyle name="Title [Palat] 6 2 9" xfId="37698" xr:uid="{00000000-0005-0000-0000-0000240C0000}"/>
    <cellStyle name="Title [Palat] 6 3" xfId="5375" xr:uid="{00000000-0005-0000-0000-0000240C0000}"/>
    <cellStyle name="Title [Palat] 6 3 2" xfId="11793" xr:uid="{00000000-0005-0000-0000-0000240C0000}"/>
    <cellStyle name="Title [Palat] 6 3 2 2" xfId="30266" xr:uid="{00000000-0005-0000-0000-0000240C0000}"/>
    <cellStyle name="Title [Palat] 6 3 2 3" xfId="48629" xr:uid="{00000000-0005-0000-0000-0000240C0000}"/>
    <cellStyle name="Title [Palat] 6 3 3" xfId="16067" xr:uid="{00000000-0005-0000-0000-0000240C0000}"/>
    <cellStyle name="Title [Palat] 6 3 3 2" xfId="34439" xr:uid="{00000000-0005-0000-0000-0000240C0000}"/>
    <cellStyle name="Title [Palat] 6 3 3 3" xfId="52802" xr:uid="{00000000-0005-0000-0000-0000240C0000}"/>
    <cellStyle name="Title [Palat] 6 3 4" xfId="25186" xr:uid="{00000000-0005-0000-0000-0000240C0000}"/>
    <cellStyle name="Title [Palat] 6 3 4 2" xfId="43555" xr:uid="{00000000-0005-0000-0000-0000240C0000}"/>
    <cellStyle name="Title [Palat] 6 3 5" xfId="21507" xr:uid="{00000000-0005-0000-0000-0000240C0000}"/>
    <cellStyle name="Title [Palat] 6 3 6" xfId="39886" xr:uid="{00000000-0005-0000-0000-0000240C0000}"/>
    <cellStyle name="Title [Palat] 6 4" xfId="6268" xr:uid="{00000000-0005-0000-0000-0000240C0000}"/>
    <cellStyle name="Title [Palat] 6 4 2" xfId="12571" xr:uid="{00000000-0005-0000-0000-0000240C0000}"/>
    <cellStyle name="Title [Palat] 6 4 2 2" xfId="31000" xr:uid="{00000000-0005-0000-0000-0000240C0000}"/>
    <cellStyle name="Title [Palat] 6 4 2 3" xfId="49363" xr:uid="{00000000-0005-0000-0000-0000240C0000}"/>
    <cellStyle name="Title [Palat] 6 4 3" xfId="16884" xr:uid="{00000000-0005-0000-0000-0000240C0000}"/>
    <cellStyle name="Title [Palat] 6 4 3 2" xfId="35239" xr:uid="{00000000-0005-0000-0000-0000240C0000}"/>
    <cellStyle name="Title [Palat] 6 4 3 3" xfId="53602" xr:uid="{00000000-0005-0000-0000-0000240C0000}"/>
    <cellStyle name="Title [Palat] 6 4 4" xfId="26018" xr:uid="{00000000-0005-0000-0000-0000240C0000}"/>
    <cellStyle name="Title [Palat] 6 4 4 2" xfId="44387" xr:uid="{00000000-0005-0000-0000-0000240C0000}"/>
    <cellStyle name="Title [Palat] 6 4 5" xfId="22316" xr:uid="{00000000-0005-0000-0000-0000240C0000}"/>
    <cellStyle name="Title [Palat] 6 4 6" xfId="40686" xr:uid="{00000000-0005-0000-0000-0000240C0000}"/>
    <cellStyle name="Title [Palat] 6 5" xfId="8901" xr:uid="{00000000-0005-0000-0000-0000240C0000}"/>
    <cellStyle name="Title [Palat] 6 5 2" xfId="27678" xr:uid="{00000000-0005-0000-0000-0000240C0000}"/>
    <cellStyle name="Title [Palat] 6 5 3" xfId="46041" xr:uid="{00000000-0005-0000-0000-0000240C0000}"/>
    <cellStyle name="Title [Palat] 6 6" xfId="12589" xr:uid="{00000000-0005-0000-0000-0000240C0000}"/>
    <cellStyle name="Title [Palat] 6 6 2" xfId="31017" xr:uid="{00000000-0005-0000-0000-0000240C0000}"/>
    <cellStyle name="Title [Palat] 6 6 3" xfId="49380" xr:uid="{00000000-0005-0000-0000-0000240C0000}"/>
    <cellStyle name="Title [Palat] 6 7" xfId="23115" xr:uid="{00000000-0005-0000-0000-0000240C0000}"/>
    <cellStyle name="Title [Palat] 6 7 2" xfId="41484" xr:uid="{00000000-0005-0000-0000-0000240C0000}"/>
    <cellStyle name="Title [Palat] 6 8" xfId="17693" xr:uid="{00000000-0005-0000-0000-0000240C0000}"/>
    <cellStyle name="Title [Palat] 6 9" xfId="36117" xr:uid="{00000000-0005-0000-0000-0000240C0000}"/>
    <cellStyle name="Title [Palat] 7" xfId="3192" xr:uid="{00000000-0005-0000-0000-0000250C0000}"/>
    <cellStyle name="Title [Palat] 7 2" xfId="3871" xr:uid="{00000000-0005-0000-0000-0000250C0000}"/>
    <cellStyle name="Title [Palat] 7 2 2" xfId="6044" xr:uid="{00000000-0005-0000-0000-0000250C0000}"/>
    <cellStyle name="Title [Palat] 7 2 2 2" xfId="12408" xr:uid="{00000000-0005-0000-0000-0000250C0000}"/>
    <cellStyle name="Title [Palat] 7 2 2 2 2" xfId="30855" xr:uid="{00000000-0005-0000-0000-0000250C0000}"/>
    <cellStyle name="Title [Palat] 7 2 2 2 3" xfId="49218" xr:uid="{00000000-0005-0000-0000-0000250C0000}"/>
    <cellStyle name="Title [Palat] 7 2 2 3" xfId="16734" xr:uid="{00000000-0005-0000-0000-0000250C0000}"/>
    <cellStyle name="Title [Palat] 7 2 2 3 2" xfId="35106" xr:uid="{00000000-0005-0000-0000-0000250C0000}"/>
    <cellStyle name="Title [Palat] 7 2 2 3 3" xfId="53469" xr:uid="{00000000-0005-0000-0000-0000250C0000}"/>
    <cellStyle name="Title [Palat] 7 2 2 4" xfId="25853" xr:uid="{00000000-0005-0000-0000-0000250C0000}"/>
    <cellStyle name="Title [Palat] 7 2 2 4 2" xfId="44222" xr:uid="{00000000-0005-0000-0000-0000250C0000}"/>
    <cellStyle name="Title [Palat] 7 2 2 5" xfId="22174" xr:uid="{00000000-0005-0000-0000-0000250C0000}"/>
    <cellStyle name="Title [Palat] 7 2 2 6" xfId="40553" xr:uid="{00000000-0005-0000-0000-0000250C0000}"/>
    <cellStyle name="Title [Palat] 7 2 3" xfId="6870" xr:uid="{00000000-0005-0000-0000-0000250C0000}"/>
    <cellStyle name="Title [Palat] 7 2 3 2" xfId="13161" xr:uid="{00000000-0005-0000-0000-0000250C0000}"/>
    <cellStyle name="Title [Palat] 7 2 3 2 2" xfId="31587" xr:uid="{00000000-0005-0000-0000-0000250C0000}"/>
    <cellStyle name="Title [Palat] 7 2 3 2 3" xfId="49950" xr:uid="{00000000-0005-0000-0000-0000250C0000}"/>
    <cellStyle name="Title [Palat] 7 2 3 3" xfId="17472" xr:uid="{00000000-0005-0000-0000-0000250C0000}"/>
    <cellStyle name="Title [Palat] 7 2 3 3 2" xfId="35820" xr:uid="{00000000-0005-0000-0000-0000250C0000}"/>
    <cellStyle name="Title [Palat] 7 2 3 3 3" xfId="54183" xr:uid="{00000000-0005-0000-0000-0000250C0000}"/>
    <cellStyle name="Title [Palat] 7 2 3 4" xfId="26605" xr:uid="{00000000-0005-0000-0000-0000250C0000}"/>
    <cellStyle name="Title [Palat] 7 2 3 4 2" xfId="44974" xr:uid="{00000000-0005-0000-0000-0000250C0000}"/>
    <cellStyle name="Title [Palat] 7 2 3 5" xfId="22898" xr:uid="{00000000-0005-0000-0000-0000250C0000}"/>
    <cellStyle name="Title [Palat] 7 2 3 6" xfId="41267" xr:uid="{00000000-0005-0000-0000-0000250C0000}"/>
    <cellStyle name="Title [Palat] 7 2 4" xfId="10584" xr:uid="{00000000-0005-0000-0000-0000250C0000}"/>
    <cellStyle name="Title [Palat] 7 2 4 2" xfId="14641" xr:uid="{00000000-0005-0000-0000-0000250C0000}"/>
    <cellStyle name="Title [Palat] 7 2 4 2 2" xfId="33057" xr:uid="{00000000-0005-0000-0000-0000250C0000}"/>
    <cellStyle name="Title [Palat] 7 2 4 2 3" xfId="51420" xr:uid="{00000000-0005-0000-0000-0000250C0000}"/>
    <cellStyle name="Title [Palat] 7 2 4 3" xfId="29295" xr:uid="{00000000-0005-0000-0000-0000250C0000}"/>
    <cellStyle name="Title [Palat] 7 2 4 3 2" xfId="47658" xr:uid="{00000000-0005-0000-0000-0000250C0000}"/>
    <cellStyle name="Title [Palat] 7 2 4 4" xfId="20098" xr:uid="{00000000-0005-0000-0000-0000250C0000}"/>
    <cellStyle name="Title [Palat] 7 2 4 5" xfId="38504" xr:uid="{00000000-0005-0000-0000-0000250C0000}"/>
    <cellStyle name="Title [Palat] 7 2 5" xfId="9972" xr:uid="{00000000-0005-0000-0000-0000250C0000}"/>
    <cellStyle name="Title [Palat] 7 2 5 2" xfId="28684" xr:uid="{00000000-0005-0000-0000-0000250C0000}"/>
    <cellStyle name="Title [Palat] 7 2 5 3" xfId="47047" xr:uid="{00000000-0005-0000-0000-0000250C0000}"/>
    <cellStyle name="Title [Palat] 7 2 6" xfId="14029" xr:uid="{00000000-0005-0000-0000-0000250C0000}"/>
    <cellStyle name="Title [Palat] 7 2 6 2" xfId="32446" xr:uid="{00000000-0005-0000-0000-0000250C0000}"/>
    <cellStyle name="Title [Palat] 7 2 6 3" xfId="50809" xr:uid="{00000000-0005-0000-0000-0000250C0000}"/>
    <cellStyle name="Title [Palat] 7 2 7" xfId="23779" xr:uid="{00000000-0005-0000-0000-0000250C0000}"/>
    <cellStyle name="Title [Palat] 7 2 7 2" xfId="42148" xr:uid="{00000000-0005-0000-0000-0000250C0000}"/>
    <cellStyle name="Title [Palat] 7 2 8" xfId="19312" xr:uid="{00000000-0005-0000-0000-0000250C0000}"/>
    <cellStyle name="Title [Palat] 7 2 9" xfId="37719" xr:uid="{00000000-0005-0000-0000-0000250C0000}"/>
    <cellStyle name="Title [Palat] 7 3" xfId="5399" xr:uid="{00000000-0005-0000-0000-0000250C0000}"/>
    <cellStyle name="Title [Palat] 7 3 2" xfId="11810" xr:uid="{00000000-0005-0000-0000-0000250C0000}"/>
    <cellStyle name="Title [Palat] 7 3 2 2" xfId="30282" xr:uid="{00000000-0005-0000-0000-0000250C0000}"/>
    <cellStyle name="Title [Palat] 7 3 2 3" xfId="48645" xr:uid="{00000000-0005-0000-0000-0000250C0000}"/>
    <cellStyle name="Title [Palat] 7 3 3" xfId="16090" xr:uid="{00000000-0005-0000-0000-0000250C0000}"/>
    <cellStyle name="Title [Palat] 7 3 3 2" xfId="34462" xr:uid="{00000000-0005-0000-0000-0000250C0000}"/>
    <cellStyle name="Title [Palat] 7 3 3 3" xfId="52825" xr:uid="{00000000-0005-0000-0000-0000250C0000}"/>
    <cellStyle name="Title [Palat] 7 3 4" xfId="25209" xr:uid="{00000000-0005-0000-0000-0000250C0000}"/>
    <cellStyle name="Title [Palat] 7 3 4 2" xfId="43578" xr:uid="{00000000-0005-0000-0000-0000250C0000}"/>
    <cellStyle name="Title [Palat] 7 3 5" xfId="21530" xr:uid="{00000000-0005-0000-0000-0000250C0000}"/>
    <cellStyle name="Title [Palat] 7 3 6" xfId="39909" xr:uid="{00000000-0005-0000-0000-0000250C0000}"/>
    <cellStyle name="Title [Palat] 7 4" xfId="6291" xr:uid="{00000000-0005-0000-0000-0000250C0000}"/>
    <cellStyle name="Title [Palat] 7 4 2" xfId="12590" xr:uid="{00000000-0005-0000-0000-0000250C0000}"/>
    <cellStyle name="Title [Palat] 7 4 2 2" xfId="31018" xr:uid="{00000000-0005-0000-0000-0000250C0000}"/>
    <cellStyle name="Title [Palat] 7 4 2 3" xfId="49381" xr:uid="{00000000-0005-0000-0000-0000250C0000}"/>
    <cellStyle name="Title [Palat] 7 4 3" xfId="16902" xr:uid="{00000000-0005-0000-0000-0000250C0000}"/>
    <cellStyle name="Title [Palat] 7 4 3 2" xfId="35255" xr:uid="{00000000-0005-0000-0000-0000250C0000}"/>
    <cellStyle name="Title [Palat] 7 4 3 3" xfId="53618" xr:uid="{00000000-0005-0000-0000-0000250C0000}"/>
    <cellStyle name="Title [Palat] 7 4 4" xfId="26035" xr:uid="{00000000-0005-0000-0000-0000250C0000}"/>
    <cellStyle name="Title [Palat] 7 4 4 2" xfId="44404" xr:uid="{00000000-0005-0000-0000-0000250C0000}"/>
    <cellStyle name="Title [Palat] 7 4 5" xfId="22332" xr:uid="{00000000-0005-0000-0000-0000250C0000}"/>
    <cellStyle name="Title [Palat] 7 4 6" xfId="40702" xr:uid="{00000000-0005-0000-0000-0000250C0000}"/>
    <cellStyle name="Title [Palat] 7 5" xfId="8927" xr:uid="{00000000-0005-0000-0000-0000250C0000}"/>
    <cellStyle name="Title [Palat] 7 5 2" xfId="27698" xr:uid="{00000000-0005-0000-0000-0000250C0000}"/>
    <cellStyle name="Title [Palat] 7 5 3" xfId="46061" xr:uid="{00000000-0005-0000-0000-0000250C0000}"/>
    <cellStyle name="Title [Palat] 7 6" xfId="6977" xr:uid="{00000000-0005-0000-0000-0000250C0000}"/>
    <cellStyle name="Title [Palat] 7 6 2" xfId="26692" xr:uid="{00000000-0005-0000-0000-0000250C0000}"/>
    <cellStyle name="Title [Palat] 7 6 3" xfId="45061" xr:uid="{00000000-0005-0000-0000-0000250C0000}"/>
    <cellStyle name="Title [Palat] 7 7" xfId="23138" xr:uid="{00000000-0005-0000-0000-0000250C0000}"/>
    <cellStyle name="Title [Palat] 7 7 2" xfId="41507" xr:uid="{00000000-0005-0000-0000-0000250C0000}"/>
    <cellStyle name="Title [Palat] 7 8" xfId="17719" xr:uid="{00000000-0005-0000-0000-0000250C0000}"/>
    <cellStyle name="Title [Palat] 7 9" xfId="36140" xr:uid="{00000000-0005-0000-0000-0000250C0000}"/>
    <cellStyle name="Title [Palat] 8" xfId="3305" xr:uid="{00000000-0005-0000-0000-0000260C0000}"/>
    <cellStyle name="Title [Palat] 8 2" xfId="3887" xr:uid="{00000000-0005-0000-0000-0000260C0000}"/>
    <cellStyle name="Title [Palat] 8 2 2" xfId="6060" xr:uid="{00000000-0005-0000-0000-0000260C0000}"/>
    <cellStyle name="Title [Palat] 8 2 2 2" xfId="12424" xr:uid="{00000000-0005-0000-0000-0000260C0000}"/>
    <cellStyle name="Title [Palat] 8 2 2 2 2" xfId="30871" xr:uid="{00000000-0005-0000-0000-0000260C0000}"/>
    <cellStyle name="Title [Palat] 8 2 2 2 3" xfId="49234" xr:uid="{00000000-0005-0000-0000-0000260C0000}"/>
    <cellStyle name="Title [Palat] 8 2 2 3" xfId="16750" xr:uid="{00000000-0005-0000-0000-0000260C0000}"/>
    <cellStyle name="Title [Palat] 8 2 2 3 2" xfId="35122" xr:uid="{00000000-0005-0000-0000-0000260C0000}"/>
    <cellStyle name="Title [Palat] 8 2 2 3 3" xfId="53485" xr:uid="{00000000-0005-0000-0000-0000260C0000}"/>
    <cellStyle name="Title [Palat] 8 2 2 4" xfId="25869" xr:uid="{00000000-0005-0000-0000-0000260C0000}"/>
    <cellStyle name="Title [Palat] 8 2 2 4 2" xfId="44238" xr:uid="{00000000-0005-0000-0000-0000260C0000}"/>
    <cellStyle name="Title [Palat] 8 2 2 5" xfId="22190" xr:uid="{00000000-0005-0000-0000-0000260C0000}"/>
    <cellStyle name="Title [Palat] 8 2 2 6" xfId="40569" xr:uid="{00000000-0005-0000-0000-0000260C0000}"/>
    <cellStyle name="Title [Palat] 8 2 3" xfId="6886" xr:uid="{00000000-0005-0000-0000-0000260C0000}"/>
    <cellStyle name="Title [Palat] 8 2 3 2" xfId="13177" xr:uid="{00000000-0005-0000-0000-0000260C0000}"/>
    <cellStyle name="Title [Palat] 8 2 3 2 2" xfId="31603" xr:uid="{00000000-0005-0000-0000-0000260C0000}"/>
    <cellStyle name="Title [Palat] 8 2 3 2 3" xfId="49966" xr:uid="{00000000-0005-0000-0000-0000260C0000}"/>
    <cellStyle name="Title [Palat] 8 2 3 3" xfId="17488" xr:uid="{00000000-0005-0000-0000-0000260C0000}"/>
    <cellStyle name="Title [Palat] 8 2 3 3 2" xfId="35836" xr:uid="{00000000-0005-0000-0000-0000260C0000}"/>
    <cellStyle name="Title [Palat] 8 2 3 3 3" xfId="54199" xr:uid="{00000000-0005-0000-0000-0000260C0000}"/>
    <cellStyle name="Title [Palat] 8 2 3 4" xfId="26621" xr:uid="{00000000-0005-0000-0000-0000260C0000}"/>
    <cellStyle name="Title [Palat] 8 2 3 4 2" xfId="44990" xr:uid="{00000000-0005-0000-0000-0000260C0000}"/>
    <cellStyle name="Title [Palat] 8 2 3 5" xfId="22914" xr:uid="{00000000-0005-0000-0000-0000260C0000}"/>
    <cellStyle name="Title [Palat] 8 2 3 6" xfId="41283" xr:uid="{00000000-0005-0000-0000-0000260C0000}"/>
    <cellStyle name="Title [Palat] 8 2 4" xfId="10600" xr:uid="{00000000-0005-0000-0000-0000260C0000}"/>
    <cellStyle name="Title [Palat] 8 2 4 2" xfId="14657" xr:uid="{00000000-0005-0000-0000-0000260C0000}"/>
    <cellStyle name="Title [Palat] 8 2 4 2 2" xfId="33073" xr:uid="{00000000-0005-0000-0000-0000260C0000}"/>
    <cellStyle name="Title [Palat] 8 2 4 2 3" xfId="51436" xr:uid="{00000000-0005-0000-0000-0000260C0000}"/>
    <cellStyle name="Title [Palat] 8 2 4 3" xfId="29311" xr:uid="{00000000-0005-0000-0000-0000260C0000}"/>
    <cellStyle name="Title [Palat] 8 2 4 3 2" xfId="47674" xr:uid="{00000000-0005-0000-0000-0000260C0000}"/>
    <cellStyle name="Title [Palat] 8 2 4 4" xfId="20114" xr:uid="{00000000-0005-0000-0000-0000260C0000}"/>
    <cellStyle name="Title [Palat] 8 2 4 5" xfId="38520" xr:uid="{00000000-0005-0000-0000-0000260C0000}"/>
    <cellStyle name="Title [Palat] 8 2 5" xfId="9994" xr:uid="{00000000-0005-0000-0000-0000260C0000}"/>
    <cellStyle name="Title [Palat] 8 2 5 2" xfId="28706" xr:uid="{00000000-0005-0000-0000-0000260C0000}"/>
    <cellStyle name="Title [Palat] 8 2 5 3" xfId="47069" xr:uid="{00000000-0005-0000-0000-0000260C0000}"/>
    <cellStyle name="Title [Palat] 8 2 6" xfId="14051" xr:uid="{00000000-0005-0000-0000-0000260C0000}"/>
    <cellStyle name="Title [Palat] 8 2 6 2" xfId="32468" xr:uid="{00000000-0005-0000-0000-0000260C0000}"/>
    <cellStyle name="Title [Palat] 8 2 6 3" xfId="50831" xr:uid="{00000000-0005-0000-0000-0000260C0000}"/>
    <cellStyle name="Title [Palat] 8 2 7" xfId="23795" xr:uid="{00000000-0005-0000-0000-0000260C0000}"/>
    <cellStyle name="Title [Palat] 8 2 7 2" xfId="42164" xr:uid="{00000000-0005-0000-0000-0000260C0000}"/>
    <cellStyle name="Title [Palat] 8 2 8" xfId="19363" xr:uid="{00000000-0005-0000-0000-0000260C0000}"/>
    <cellStyle name="Title [Palat] 8 2 9" xfId="37770" xr:uid="{00000000-0005-0000-0000-0000260C0000}"/>
    <cellStyle name="Title [Palat] 8 3" xfId="5491" xr:uid="{00000000-0005-0000-0000-0000260C0000}"/>
    <cellStyle name="Title [Palat] 8 3 2" xfId="11857" xr:uid="{00000000-0005-0000-0000-0000260C0000}"/>
    <cellStyle name="Title [Palat] 8 3 2 2" xfId="30304" xr:uid="{00000000-0005-0000-0000-0000260C0000}"/>
    <cellStyle name="Title [Palat] 8 3 2 3" xfId="48667" xr:uid="{00000000-0005-0000-0000-0000260C0000}"/>
    <cellStyle name="Title [Palat] 8 3 3" xfId="16182" xr:uid="{00000000-0005-0000-0000-0000260C0000}"/>
    <cellStyle name="Title [Palat] 8 3 3 2" xfId="34554" xr:uid="{00000000-0005-0000-0000-0000260C0000}"/>
    <cellStyle name="Title [Palat] 8 3 3 3" xfId="52917" xr:uid="{00000000-0005-0000-0000-0000260C0000}"/>
    <cellStyle name="Title [Palat] 8 3 4" xfId="25301" xr:uid="{00000000-0005-0000-0000-0000260C0000}"/>
    <cellStyle name="Title [Palat] 8 3 4 2" xfId="43670" xr:uid="{00000000-0005-0000-0000-0000260C0000}"/>
    <cellStyle name="Title [Palat] 8 3 5" xfId="21622" xr:uid="{00000000-0005-0000-0000-0000260C0000}"/>
    <cellStyle name="Title [Palat] 8 3 6" xfId="40001" xr:uid="{00000000-0005-0000-0000-0000260C0000}"/>
    <cellStyle name="Title [Palat] 8 4" xfId="6320" xr:uid="{00000000-0005-0000-0000-0000260C0000}"/>
    <cellStyle name="Title [Palat] 8 4 2" xfId="12611" xr:uid="{00000000-0005-0000-0000-0000260C0000}"/>
    <cellStyle name="Title [Palat] 8 4 2 2" xfId="31037" xr:uid="{00000000-0005-0000-0000-0000260C0000}"/>
    <cellStyle name="Title [Palat] 8 4 2 3" xfId="49400" xr:uid="{00000000-0005-0000-0000-0000260C0000}"/>
    <cellStyle name="Title [Palat] 8 4 3" xfId="16922" xr:uid="{00000000-0005-0000-0000-0000260C0000}"/>
    <cellStyle name="Title [Palat] 8 4 3 2" xfId="35271" xr:uid="{00000000-0005-0000-0000-0000260C0000}"/>
    <cellStyle name="Title [Palat] 8 4 3 3" xfId="53634" xr:uid="{00000000-0005-0000-0000-0000260C0000}"/>
    <cellStyle name="Title [Palat] 8 4 4" xfId="26056" xr:uid="{00000000-0005-0000-0000-0000260C0000}"/>
    <cellStyle name="Title [Palat] 8 4 4 2" xfId="44425" xr:uid="{00000000-0005-0000-0000-0000260C0000}"/>
    <cellStyle name="Title [Palat] 8 4 5" xfId="22349" xr:uid="{00000000-0005-0000-0000-0000260C0000}"/>
    <cellStyle name="Title [Palat] 8 4 6" xfId="40718" xr:uid="{00000000-0005-0000-0000-0000260C0000}"/>
    <cellStyle name="Title [Palat] 8 5" xfId="8992" xr:uid="{00000000-0005-0000-0000-0000260C0000}"/>
    <cellStyle name="Title [Palat] 8 5 2" xfId="27720" xr:uid="{00000000-0005-0000-0000-0000260C0000}"/>
    <cellStyle name="Title [Palat] 8 5 3" xfId="46083" xr:uid="{00000000-0005-0000-0000-0000260C0000}"/>
    <cellStyle name="Title [Palat] 8 6" xfId="8425" xr:uid="{00000000-0005-0000-0000-0000260C0000}"/>
    <cellStyle name="Title [Palat] 8 6 2" xfId="27486" xr:uid="{00000000-0005-0000-0000-0000260C0000}"/>
    <cellStyle name="Title [Palat] 8 6 3" xfId="45850" xr:uid="{00000000-0005-0000-0000-0000260C0000}"/>
    <cellStyle name="Title [Palat] 8 7" xfId="23228" xr:uid="{00000000-0005-0000-0000-0000260C0000}"/>
    <cellStyle name="Title [Palat] 8 7 2" xfId="41597" xr:uid="{00000000-0005-0000-0000-0000260C0000}"/>
    <cellStyle name="Title [Palat] 8 8" xfId="17816" xr:uid="{00000000-0005-0000-0000-0000260C0000}"/>
    <cellStyle name="Title [Palat] 8 9" xfId="36230" xr:uid="{00000000-0005-0000-0000-0000260C0000}"/>
    <cellStyle name="Title [Palat] 9" xfId="7352" xr:uid="{00000000-0005-0000-0000-0000110C0000}"/>
    <cellStyle name="Title [Palat] 9 2" xfId="26785" xr:uid="{00000000-0005-0000-0000-0000110C0000}"/>
    <cellStyle name="Title [Palat] 9 3" xfId="45153" xr:uid="{00000000-0005-0000-0000-0000110C0000}"/>
    <cellStyle name="Title [Palat]_Summary" xfId="2375" xr:uid="{00000000-0005-0000-0000-0000270C0000}"/>
    <cellStyle name="Title 10" xfId="1602" xr:uid="{00000000-0005-0000-0000-0000280C0000}"/>
    <cellStyle name="Title 11" xfId="1580" xr:uid="{00000000-0005-0000-0000-0000290C0000}"/>
    <cellStyle name="Title 12" xfId="1575" xr:uid="{00000000-0005-0000-0000-00002A0C0000}"/>
    <cellStyle name="Title 13" xfId="1594" xr:uid="{00000000-0005-0000-0000-00002B0C0000}"/>
    <cellStyle name="Title 14" xfId="1523" xr:uid="{00000000-0005-0000-0000-00002C0C0000}"/>
    <cellStyle name="Title 15" xfId="1665" xr:uid="{00000000-0005-0000-0000-00002D0C0000}"/>
    <cellStyle name="Title 16" xfId="4545" xr:uid="{00000000-0005-0000-0000-0000A11A0000}"/>
    <cellStyle name="Title 17" xfId="6247" xr:uid="{00000000-0005-0000-0000-0000AD1A0000}"/>
    <cellStyle name="Title 18" xfId="6142" xr:uid="{00000000-0005-0000-0000-0000B51A0000}"/>
    <cellStyle name="Title 19" xfId="5373" xr:uid="{00000000-0005-0000-0000-0000BD1A0000}"/>
    <cellStyle name="Title 2" xfId="1318" xr:uid="{00000000-0005-0000-0000-00002E0C0000}"/>
    <cellStyle name="Title 2 2" xfId="1661" xr:uid="{00000000-0005-0000-0000-00002F0C0000}"/>
    <cellStyle name="Title 2 2 2" xfId="54232" xr:uid="{00000000-0005-0000-0000-000082000000}"/>
    <cellStyle name="Title 20" xfId="6225" xr:uid="{00000000-0005-0000-0000-0000C31A0000}"/>
    <cellStyle name="Title 21" xfId="5002" xr:uid="{00000000-0005-0000-0000-0000C91A0000}"/>
    <cellStyle name="Title 22" xfId="54219" xr:uid="{00000000-0005-0000-0000-0000EED30000}"/>
    <cellStyle name="Title 3" xfId="1522" xr:uid="{00000000-0005-0000-0000-0000300C0000}"/>
    <cellStyle name="Title 3 2" xfId="54228" xr:uid="{00000000-0005-0000-0000-000083000000}"/>
    <cellStyle name="Title 4" xfId="1585" xr:uid="{00000000-0005-0000-0000-0000310C0000}"/>
    <cellStyle name="Title 5" xfId="1597" xr:uid="{00000000-0005-0000-0000-0000320C0000}"/>
    <cellStyle name="Title 6" xfId="1568" xr:uid="{00000000-0005-0000-0000-0000330C0000}"/>
    <cellStyle name="Title 7" xfId="1593" xr:uid="{00000000-0005-0000-0000-0000340C0000}"/>
    <cellStyle name="Title 8" xfId="1564" xr:uid="{00000000-0005-0000-0000-0000350C0000}"/>
    <cellStyle name="Title 9" xfId="1572" xr:uid="{00000000-0005-0000-0000-0000360C0000}"/>
    <cellStyle name="Title II" xfId="900" xr:uid="{00000000-0005-0000-0000-0000370C0000}"/>
    <cellStyle name="Title1" xfId="901" xr:uid="{00000000-0005-0000-0000-0000380C0000}"/>
    <cellStyle name="Title1 2" xfId="2276" xr:uid="{00000000-0005-0000-0000-0000390C0000}"/>
    <cellStyle name="Title1 3" xfId="2720" xr:uid="{00000000-0005-0000-0000-00003A0C0000}"/>
    <cellStyle name="Title10" xfId="902" xr:uid="{00000000-0005-0000-0000-00003B0C0000}"/>
    <cellStyle name="Title10 2" xfId="2277" xr:uid="{00000000-0005-0000-0000-00003C0C0000}"/>
    <cellStyle name="Title10 3" xfId="2721" xr:uid="{00000000-0005-0000-0000-00003D0C0000}"/>
    <cellStyle name="Title2" xfId="903" xr:uid="{00000000-0005-0000-0000-00003E0C0000}"/>
    <cellStyle name="Title2 2" xfId="2278" xr:uid="{00000000-0005-0000-0000-00003F0C0000}"/>
    <cellStyle name="Title2 3" xfId="2722" xr:uid="{00000000-0005-0000-0000-0000400C0000}"/>
    <cellStyle name="Title8" xfId="904" xr:uid="{00000000-0005-0000-0000-0000410C0000}"/>
    <cellStyle name="Title8 2" xfId="2279" xr:uid="{00000000-0005-0000-0000-0000420C0000}"/>
    <cellStyle name="Title8 3" xfId="2723" xr:uid="{00000000-0005-0000-0000-0000430C0000}"/>
    <cellStyle name="Title8Left" xfId="905" xr:uid="{00000000-0005-0000-0000-0000440C0000}"/>
    <cellStyle name="Title8Left 2" xfId="2280" xr:uid="{00000000-0005-0000-0000-0000450C0000}"/>
    <cellStyle name="Title8Left 3" xfId="2724" xr:uid="{00000000-0005-0000-0000-0000460C0000}"/>
    <cellStyle name="TitleCenter" xfId="906" xr:uid="{00000000-0005-0000-0000-0000470C0000}"/>
    <cellStyle name="TitleII" xfId="907" xr:uid="{00000000-0005-0000-0000-0000480C0000}"/>
    <cellStyle name="TitleII 2" xfId="2281" xr:uid="{00000000-0005-0000-0000-0000490C0000}"/>
    <cellStyle name="TitleII 3" xfId="2725" xr:uid="{00000000-0005-0000-0000-00004A0C0000}"/>
    <cellStyle name="TitleLeft" xfId="908" xr:uid="{00000000-0005-0000-0000-00004B0C0000}"/>
    <cellStyle name="Titles" xfId="909" xr:uid="{00000000-0005-0000-0000-00004C0C0000}"/>
    <cellStyle name="Titles - Col. Headings" xfId="910" xr:uid="{00000000-0005-0000-0000-00004D0C0000}"/>
    <cellStyle name="Titles - Col. Headings 2" xfId="2283" xr:uid="{00000000-0005-0000-0000-00004E0C0000}"/>
    <cellStyle name="Titles - Col. Headings 3" xfId="2727" xr:uid="{00000000-0005-0000-0000-00004F0C0000}"/>
    <cellStyle name="Titles - Other" xfId="911" xr:uid="{00000000-0005-0000-0000-0000500C0000}"/>
    <cellStyle name="Titles - Other 2" xfId="2284" xr:uid="{00000000-0005-0000-0000-0000510C0000}"/>
    <cellStyle name="Titles - Other 3" xfId="2728" xr:uid="{00000000-0005-0000-0000-0000520C0000}"/>
    <cellStyle name="Titles 2" xfId="2282" xr:uid="{00000000-0005-0000-0000-0000530C0000}"/>
    <cellStyle name="Titles 3" xfId="2726" xr:uid="{00000000-0005-0000-0000-0000540C0000}"/>
    <cellStyle name="Titles_MS_VZ_081506" xfId="912" xr:uid="{00000000-0005-0000-0000-0000550C0000}"/>
    <cellStyle name="TopCaption" xfId="913" xr:uid="{00000000-0005-0000-0000-0000560C0000}"/>
    <cellStyle name="TopCaption 2" xfId="2285" xr:uid="{00000000-0005-0000-0000-0000570C0000}"/>
    <cellStyle name="TopCaption 3" xfId="2729" xr:uid="{00000000-0005-0000-0000-0000580C0000}"/>
    <cellStyle name="TopGrey" xfId="914" xr:uid="{00000000-0005-0000-0000-0000590C0000}"/>
    <cellStyle name="TopGrey 2" xfId="2286" xr:uid="{00000000-0005-0000-0000-00005A0C0000}"/>
    <cellStyle name="TopGrey 3" xfId="2730" xr:uid="{00000000-0005-0000-0000-00005B0C0000}"/>
    <cellStyle name="topline" xfId="915" xr:uid="{00000000-0005-0000-0000-00005C0C0000}"/>
    <cellStyle name="topline 2" xfId="2287" xr:uid="{00000000-0005-0000-0000-00005D0C0000}"/>
    <cellStyle name="topline 3" xfId="2731" xr:uid="{00000000-0005-0000-0000-00005E0C0000}"/>
    <cellStyle name="Total" xfId="28" builtinId="25" customBuiltin="1"/>
    <cellStyle name="Total 2" xfId="1660" xr:uid="{00000000-0005-0000-0000-0000600C0000}"/>
    <cellStyle name="Total 2 2" xfId="1590" xr:uid="{00000000-0005-0000-0000-0000610C0000}"/>
    <cellStyle name="Total 2 2 2" xfId="4556" xr:uid="{00000000-0005-0000-0000-0000610C0000}"/>
    <cellStyle name="Total 2 2 2 2" xfId="15283" xr:uid="{00000000-0005-0000-0000-0000610C0000}"/>
    <cellStyle name="Total 2 2 2 2 2" xfId="33677" xr:uid="{00000000-0005-0000-0000-0000610C0000}"/>
    <cellStyle name="Total 2 2 2 2 3" xfId="52040" xr:uid="{00000000-0005-0000-0000-0000610C0000}"/>
    <cellStyle name="Total 2 2 2 3" xfId="24408" xr:uid="{00000000-0005-0000-0000-0000610C0000}"/>
    <cellStyle name="Total 2 2 2 3 2" xfId="42777" xr:uid="{00000000-0005-0000-0000-0000610C0000}"/>
    <cellStyle name="Total 2 2 2 4" xfId="20733" xr:uid="{00000000-0005-0000-0000-0000610C0000}"/>
    <cellStyle name="Total 2 2 2 5" xfId="39124" xr:uid="{00000000-0005-0000-0000-0000610C0000}"/>
    <cellStyle name="Total 2 2 3" xfId="18996" xr:uid="{00000000-0005-0000-0000-0000610C0000}"/>
    <cellStyle name="Total 2 2 3 2" xfId="37405" xr:uid="{00000000-0005-0000-0000-0000610C0000}"/>
    <cellStyle name="Total 2 2 4" xfId="7268" xr:uid="{00000000-0005-0000-0000-0000610C0000}"/>
    <cellStyle name="Total 2 2 5" xfId="6250" xr:uid="{00000000-0005-0000-0000-0000610C0000}"/>
    <cellStyle name="Total 2 3" xfId="4603" xr:uid="{00000000-0005-0000-0000-0000600C0000}"/>
    <cellStyle name="Total 2 3 2" xfId="15329" xr:uid="{00000000-0005-0000-0000-0000600C0000}"/>
    <cellStyle name="Total 2 3 2 2" xfId="33722" xr:uid="{00000000-0005-0000-0000-0000600C0000}"/>
    <cellStyle name="Total 2 3 2 3" xfId="52085" xr:uid="{00000000-0005-0000-0000-0000600C0000}"/>
    <cellStyle name="Total 2 3 3" xfId="24453" xr:uid="{00000000-0005-0000-0000-0000600C0000}"/>
    <cellStyle name="Total 2 3 3 2" xfId="42822" xr:uid="{00000000-0005-0000-0000-0000600C0000}"/>
    <cellStyle name="Total 2 3 4" xfId="20780" xr:uid="{00000000-0005-0000-0000-0000600C0000}"/>
    <cellStyle name="Total 2 3 5" xfId="39169" xr:uid="{00000000-0005-0000-0000-0000600C0000}"/>
    <cellStyle name="Total 2 4" xfId="70" xr:uid="{00000000-0005-0000-0000-000072000000}"/>
    <cellStyle name="Total 2 5" xfId="18250" xr:uid="{00000000-0005-0000-0000-0000600C0000}"/>
    <cellStyle name="Total 2 5 2" xfId="36656" xr:uid="{00000000-0005-0000-0000-0000600C0000}"/>
    <cellStyle name="Total 2 6" xfId="11776" xr:uid="{00000000-0005-0000-0000-0000600C0000}"/>
    <cellStyle name="Total 2 7" xfId="7278" xr:uid="{00000000-0005-0000-0000-0000600C0000}"/>
    <cellStyle name="Total 3" xfId="3931" xr:uid="{00000000-0005-0000-0000-0000A21A0000}"/>
    <cellStyle name="Totals" xfId="916" xr:uid="{00000000-0005-0000-0000-0000620C0000}"/>
    <cellStyle name="TransVal" xfId="917" xr:uid="{00000000-0005-0000-0000-0000630C0000}"/>
    <cellStyle name="twodecplace" xfId="918" xr:uid="{00000000-0005-0000-0000-0000640C0000}"/>
    <cellStyle name="u" xfId="919" xr:uid="{00000000-0005-0000-0000-0000650C0000}"/>
    <cellStyle name="ubordinated Debt" xfId="920" xr:uid="{00000000-0005-0000-0000-0000660C0000}"/>
    <cellStyle name="underline" xfId="921" xr:uid="{00000000-0005-0000-0000-0000670C0000}"/>
    <cellStyle name="Units" xfId="922" xr:uid="{00000000-0005-0000-0000-0000680C0000}"/>
    <cellStyle name="UNLOCKED" xfId="923" xr:uid="{00000000-0005-0000-0000-0000690C0000}"/>
    <cellStyle name="UN-Locked" xfId="924" xr:uid="{00000000-0005-0000-0000-00006A0C0000}"/>
    <cellStyle name="UNLOCKED 10" xfId="1461" xr:uid="{00000000-0005-0000-0000-00006B0C0000}"/>
    <cellStyle name="UNLOCKED 10 2" xfId="4477" xr:uid="{00000000-0005-0000-0000-00006B0C0000}"/>
    <cellStyle name="UNLOCKED 10 2 2" xfId="15211" xr:uid="{00000000-0005-0000-0000-00006B0C0000}"/>
    <cellStyle name="UNLOCKED 10 2 2 2" xfId="33606" xr:uid="{00000000-0005-0000-0000-00006B0C0000}"/>
    <cellStyle name="UNLOCKED 10 2 2 3" xfId="51969" xr:uid="{00000000-0005-0000-0000-00006B0C0000}"/>
    <cellStyle name="UNLOCKED 10 2 3" xfId="24337" xr:uid="{00000000-0005-0000-0000-00006B0C0000}"/>
    <cellStyle name="UNLOCKED 10 2 3 2" xfId="42706" xr:uid="{00000000-0005-0000-0000-00006B0C0000}"/>
    <cellStyle name="UNLOCKED 10 2 4" xfId="20661" xr:uid="{00000000-0005-0000-0000-00006B0C0000}"/>
    <cellStyle name="UNLOCKED 10 2 5" xfId="39053" xr:uid="{00000000-0005-0000-0000-00006B0C0000}"/>
    <cellStyle name="UNLOCKED 10 3" xfId="18181" xr:uid="{00000000-0005-0000-0000-00006B0C0000}"/>
    <cellStyle name="UNLOCKED 10 3 2" xfId="36587" xr:uid="{00000000-0005-0000-0000-00006B0C0000}"/>
    <cellStyle name="UNLOCKED 10 4" xfId="8875" xr:uid="{00000000-0005-0000-0000-00006B0C0000}"/>
    <cellStyle name="UNLOCKED 10 5" xfId="8675" xr:uid="{00000000-0005-0000-0000-00006B0C0000}"/>
    <cellStyle name="UNLOCKED 11" xfId="1433" xr:uid="{00000000-0005-0000-0000-00006C0C0000}"/>
    <cellStyle name="UNLOCKED 11 2" xfId="4450" xr:uid="{00000000-0005-0000-0000-00006C0C0000}"/>
    <cellStyle name="UNLOCKED 11 2 2" xfId="15184" xr:uid="{00000000-0005-0000-0000-00006C0C0000}"/>
    <cellStyle name="UNLOCKED 11 2 2 2" xfId="33580" xr:uid="{00000000-0005-0000-0000-00006C0C0000}"/>
    <cellStyle name="UNLOCKED 11 2 2 3" xfId="51943" xr:uid="{00000000-0005-0000-0000-00006C0C0000}"/>
    <cellStyle name="UNLOCKED 11 2 3" xfId="24311" xr:uid="{00000000-0005-0000-0000-00006C0C0000}"/>
    <cellStyle name="UNLOCKED 11 2 3 2" xfId="42680" xr:uid="{00000000-0005-0000-0000-00006C0C0000}"/>
    <cellStyle name="UNLOCKED 11 2 4" xfId="20635" xr:uid="{00000000-0005-0000-0000-00006C0C0000}"/>
    <cellStyle name="UNLOCKED 11 2 5" xfId="39027" xr:uid="{00000000-0005-0000-0000-00006C0C0000}"/>
    <cellStyle name="UNLOCKED 11 3" xfId="18060" xr:uid="{00000000-0005-0000-0000-00006C0C0000}"/>
    <cellStyle name="UNLOCKED 11 3 2" xfId="36467" xr:uid="{00000000-0005-0000-0000-00006C0C0000}"/>
    <cellStyle name="UNLOCKED 11 4" xfId="7024" xr:uid="{00000000-0005-0000-0000-00006C0C0000}"/>
    <cellStyle name="UNLOCKED 11 5" xfId="8757" xr:uid="{00000000-0005-0000-0000-00006C0C0000}"/>
    <cellStyle name="UNLOCKED 12" xfId="1373" xr:uid="{00000000-0005-0000-0000-00006D0C0000}"/>
    <cellStyle name="UNLOCKED 12 2" xfId="4406" xr:uid="{00000000-0005-0000-0000-00006D0C0000}"/>
    <cellStyle name="UNLOCKED 12 2 2" xfId="15141" xr:uid="{00000000-0005-0000-0000-00006D0C0000}"/>
    <cellStyle name="UNLOCKED 12 2 2 2" xfId="33538" xr:uid="{00000000-0005-0000-0000-00006D0C0000}"/>
    <cellStyle name="UNLOCKED 12 2 2 3" xfId="51901" xr:uid="{00000000-0005-0000-0000-00006D0C0000}"/>
    <cellStyle name="UNLOCKED 12 2 3" xfId="24269" xr:uid="{00000000-0005-0000-0000-00006D0C0000}"/>
    <cellStyle name="UNLOCKED 12 2 3 2" xfId="42638" xr:uid="{00000000-0005-0000-0000-00006D0C0000}"/>
    <cellStyle name="UNLOCKED 12 2 4" xfId="20592" xr:uid="{00000000-0005-0000-0000-00006D0C0000}"/>
    <cellStyle name="UNLOCKED 12 2 5" xfId="38985" xr:uid="{00000000-0005-0000-0000-00006D0C0000}"/>
    <cellStyle name="UNLOCKED 12 3" xfId="19428" xr:uid="{00000000-0005-0000-0000-00006D0C0000}"/>
    <cellStyle name="UNLOCKED 12 3 2" xfId="37834" xr:uid="{00000000-0005-0000-0000-00006D0C0000}"/>
    <cellStyle name="UNLOCKED 12 4" xfId="7020" xr:uid="{00000000-0005-0000-0000-00006D0C0000}"/>
    <cellStyle name="UNLOCKED 12 5" xfId="20358" xr:uid="{00000000-0005-0000-0000-00006D0C0000}"/>
    <cellStyle name="UNLOCKED 13" xfId="1808" xr:uid="{00000000-0005-0000-0000-00006E0C0000}"/>
    <cellStyle name="UNLOCKED 13 2" xfId="4742" xr:uid="{00000000-0005-0000-0000-00006E0C0000}"/>
    <cellStyle name="UNLOCKED 13 2 2" xfId="15468" xr:uid="{00000000-0005-0000-0000-00006E0C0000}"/>
    <cellStyle name="UNLOCKED 13 2 2 2" xfId="33861" xr:uid="{00000000-0005-0000-0000-00006E0C0000}"/>
    <cellStyle name="UNLOCKED 13 2 2 3" xfId="52224" xr:uid="{00000000-0005-0000-0000-00006E0C0000}"/>
    <cellStyle name="UNLOCKED 13 2 3" xfId="24592" xr:uid="{00000000-0005-0000-0000-00006E0C0000}"/>
    <cellStyle name="UNLOCKED 13 2 3 2" xfId="42961" xr:uid="{00000000-0005-0000-0000-00006E0C0000}"/>
    <cellStyle name="UNLOCKED 13 2 4" xfId="20919" xr:uid="{00000000-0005-0000-0000-00006E0C0000}"/>
    <cellStyle name="UNLOCKED 13 2 5" xfId="39308" xr:uid="{00000000-0005-0000-0000-00006E0C0000}"/>
    <cellStyle name="UNLOCKED 13 3" xfId="18723" xr:uid="{00000000-0005-0000-0000-00006E0C0000}"/>
    <cellStyle name="UNLOCKED 13 3 2" xfId="37133" xr:uid="{00000000-0005-0000-0000-00006E0C0000}"/>
    <cellStyle name="UNLOCKED 13 4" xfId="7139" xr:uid="{00000000-0005-0000-0000-00006E0C0000}"/>
    <cellStyle name="UNLOCKED 13 5" xfId="17683" xr:uid="{00000000-0005-0000-0000-00006E0C0000}"/>
    <cellStyle name="UNLOCKED 14" xfId="1813" xr:uid="{00000000-0005-0000-0000-00006F0C0000}"/>
    <cellStyle name="UNLOCKED 14 2" xfId="4744" xr:uid="{00000000-0005-0000-0000-00006F0C0000}"/>
    <cellStyle name="UNLOCKED 14 2 2" xfId="15470" xr:uid="{00000000-0005-0000-0000-00006F0C0000}"/>
    <cellStyle name="UNLOCKED 14 2 2 2" xfId="33863" xr:uid="{00000000-0005-0000-0000-00006F0C0000}"/>
    <cellStyle name="UNLOCKED 14 2 2 3" xfId="52226" xr:uid="{00000000-0005-0000-0000-00006F0C0000}"/>
    <cellStyle name="UNLOCKED 14 2 3" xfId="24594" xr:uid="{00000000-0005-0000-0000-00006F0C0000}"/>
    <cellStyle name="UNLOCKED 14 2 3 2" xfId="42963" xr:uid="{00000000-0005-0000-0000-00006F0C0000}"/>
    <cellStyle name="UNLOCKED 14 2 4" xfId="20921" xr:uid="{00000000-0005-0000-0000-00006F0C0000}"/>
    <cellStyle name="UNLOCKED 14 2 5" xfId="39310" xr:uid="{00000000-0005-0000-0000-00006F0C0000}"/>
    <cellStyle name="UNLOCKED 14 3" xfId="17879" xr:uid="{00000000-0005-0000-0000-00006F0C0000}"/>
    <cellStyle name="UNLOCKED 14 3 2" xfId="36289" xr:uid="{00000000-0005-0000-0000-00006F0C0000}"/>
    <cellStyle name="UNLOCKED 14 4" xfId="8584" xr:uid="{00000000-0005-0000-0000-00006F0C0000}"/>
    <cellStyle name="UNLOCKED 14 5" xfId="8730" xr:uid="{00000000-0005-0000-0000-00006F0C0000}"/>
    <cellStyle name="UNLOCKED 15" xfId="1877" xr:uid="{00000000-0005-0000-0000-0000700C0000}"/>
    <cellStyle name="UNLOCKED 15 2" xfId="4800" xr:uid="{00000000-0005-0000-0000-0000700C0000}"/>
    <cellStyle name="UNLOCKED 15 2 2" xfId="15526" xr:uid="{00000000-0005-0000-0000-0000700C0000}"/>
    <cellStyle name="UNLOCKED 15 2 2 2" xfId="33919" xr:uid="{00000000-0005-0000-0000-0000700C0000}"/>
    <cellStyle name="UNLOCKED 15 2 2 3" xfId="52282" xr:uid="{00000000-0005-0000-0000-0000700C0000}"/>
    <cellStyle name="UNLOCKED 15 2 3" xfId="24650" xr:uid="{00000000-0005-0000-0000-0000700C0000}"/>
    <cellStyle name="UNLOCKED 15 2 3 2" xfId="43019" xr:uid="{00000000-0005-0000-0000-0000700C0000}"/>
    <cellStyle name="UNLOCKED 15 2 4" xfId="20977" xr:uid="{00000000-0005-0000-0000-0000700C0000}"/>
    <cellStyle name="UNLOCKED 15 2 5" xfId="39366" xr:uid="{00000000-0005-0000-0000-0000700C0000}"/>
    <cellStyle name="UNLOCKED 15 3" xfId="17882" xr:uid="{00000000-0005-0000-0000-0000700C0000}"/>
    <cellStyle name="UNLOCKED 15 3 2" xfId="36292" xr:uid="{00000000-0005-0000-0000-0000700C0000}"/>
    <cellStyle name="UNLOCKED 15 4" xfId="8318" xr:uid="{00000000-0005-0000-0000-0000700C0000}"/>
    <cellStyle name="UNLOCKED 15 5" xfId="17672" xr:uid="{00000000-0005-0000-0000-0000700C0000}"/>
    <cellStyle name="UNLOCKED 16" xfId="1825" xr:uid="{00000000-0005-0000-0000-0000710C0000}"/>
    <cellStyle name="UNLOCKED 16 2" xfId="4751" xr:uid="{00000000-0005-0000-0000-0000710C0000}"/>
    <cellStyle name="UNLOCKED 16 2 2" xfId="15477" xr:uid="{00000000-0005-0000-0000-0000710C0000}"/>
    <cellStyle name="UNLOCKED 16 2 2 2" xfId="33870" xr:uid="{00000000-0005-0000-0000-0000710C0000}"/>
    <cellStyle name="UNLOCKED 16 2 2 3" xfId="52233" xr:uid="{00000000-0005-0000-0000-0000710C0000}"/>
    <cellStyle name="UNLOCKED 16 2 3" xfId="24601" xr:uid="{00000000-0005-0000-0000-0000710C0000}"/>
    <cellStyle name="UNLOCKED 16 2 3 2" xfId="42970" xr:uid="{00000000-0005-0000-0000-0000710C0000}"/>
    <cellStyle name="UNLOCKED 16 2 4" xfId="20928" xr:uid="{00000000-0005-0000-0000-0000710C0000}"/>
    <cellStyle name="UNLOCKED 16 2 5" xfId="39317" xr:uid="{00000000-0005-0000-0000-0000710C0000}"/>
    <cellStyle name="UNLOCKED 16 3" xfId="18811" xr:uid="{00000000-0005-0000-0000-0000710C0000}"/>
    <cellStyle name="UNLOCKED 16 3 2" xfId="37220" xr:uid="{00000000-0005-0000-0000-0000710C0000}"/>
    <cellStyle name="UNLOCKED 16 4" xfId="8502" xr:uid="{00000000-0005-0000-0000-0000710C0000}"/>
    <cellStyle name="UNLOCKED 16 5" xfId="11336" xr:uid="{00000000-0005-0000-0000-0000710C0000}"/>
    <cellStyle name="UNLOCKED 17" xfId="1886" xr:uid="{00000000-0005-0000-0000-0000720C0000}"/>
    <cellStyle name="UNLOCKED 17 2" xfId="4804" xr:uid="{00000000-0005-0000-0000-0000720C0000}"/>
    <cellStyle name="UNLOCKED 17 2 2" xfId="15530" xr:uid="{00000000-0005-0000-0000-0000720C0000}"/>
    <cellStyle name="UNLOCKED 17 2 2 2" xfId="33923" xr:uid="{00000000-0005-0000-0000-0000720C0000}"/>
    <cellStyle name="UNLOCKED 17 2 2 3" xfId="52286" xr:uid="{00000000-0005-0000-0000-0000720C0000}"/>
    <cellStyle name="UNLOCKED 17 2 3" xfId="24654" xr:uid="{00000000-0005-0000-0000-0000720C0000}"/>
    <cellStyle name="UNLOCKED 17 2 3 2" xfId="43023" xr:uid="{00000000-0005-0000-0000-0000720C0000}"/>
    <cellStyle name="UNLOCKED 17 2 4" xfId="20981" xr:uid="{00000000-0005-0000-0000-0000720C0000}"/>
    <cellStyle name="UNLOCKED 17 2 5" xfId="39370" xr:uid="{00000000-0005-0000-0000-0000720C0000}"/>
    <cellStyle name="UNLOCKED 17 3" xfId="19490" xr:uid="{00000000-0005-0000-0000-0000720C0000}"/>
    <cellStyle name="UNLOCKED 17 3 2" xfId="37896" xr:uid="{00000000-0005-0000-0000-0000720C0000}"/>
    <cellStyle name="UNLOCKED 17 4" xfId="11620" xr:uid="{00000000-0005-0000-0000-0000720C0000}"/>
    <cellStyle name="UNLOCKED 17 5" xfId="8165" xr:uid="{00000000-0005-0000-0000-0000720C0000}"/>
    <cellStyle name="UNLOCKED 18" xfId="1892" xr:uid="{00000000-0005-0000-0000-0000730C0000}"/>
    <cellStyle name="UNLOCKED 18 2" xfId="4807" xr:uid="{00000000-0005-0000-0000-0000730C0000}"/>
    <cellStyle name="UNLOCKED 18 2 2" xfId="15533" xr:uid="{00000000-0005-0000-0000-0000730C0000}"/>
    <cellStyle name="UNLOCKED 18 2 2 2" xfId="33926" xr:uid="{00000000-0005-0000-0000-0000730C0000}"/>
    <cellStyle name="UNLOCKED 18 2 2 3" xfId="52289" xr:uid="{00000000-0005-0000-0000-0000730C0000}"/>
    <cellStyle name="UNLOCKED 18 2 3" xfId="24657" xr:uid="{00000000-0005-0000-0000-0000730C0000}"/>
    <cellStyle name="UNLOCKED 18 2 3 2" xfId="43026" xr:uid="{00000000-0005-0000-0000-0000730C0000}"/>
    <cellStyle name="UNLOCKED 18 2 4" xfId="20984" xr:uid="{00000000-0005-0000-0000-0000730C0000}"/>
    <cellStyle name="UNLOCKED 18 2 5" xfId="39373" xr:uid="{00000000-0005-0000-0000-0000730C0000}"/>
    <cellStyle name="UNLOCKED 18 3" xfId="19549" xr:uid="{00000000-0005-0000-0000-0000730C0000}"/>
    <cellStyle name="UNLOCKED 18 3 2" xfId="37955" xr:uid="{00000000-0005-0000-0000-0000730C0000}"/>
    <cellStyle name="UNLOCKED 18 4" xfId="11682" xr:uid="{00000000-0005-0000-0000-0000730C0000}"/>
    <cellStyle name="UNLOCKED 18 5" xfId="7282" xr:uid="{00000000-0005-0000-0000-0000730C0000}"/>
    <cellStyle name="UNLOCKED 19" xfId="1897" xr:uid="{00000000-0005-0000-0000-0000740C0000}"/>
    <cellStyle name="UNLOCKED 19 2" xfId="4809" xr:uid="{00000000-0005-0000-0000-0000740C0000}"/>
    <cellStyle name="UNLOCKED 19 2 2" xfId="15535" xr:uid="{00000000-0005-0000-0000-0000740C0000}"/>
    <cellStyle name="UNLOCKED 19 2 2 2" xfId="33928" xr:uid="{00000000-0005-0000-0000-0000740C0000}"/>
    <cellStyle name="UNLOCKED 19 2 2 3" xfId="52291" xr:uid="{00000000-0005-0000-0000-0000740C0000}"/>
    <cellStyle name="UNLOCKED 19 2 3" xfId="24659" xr:uid="{00000000-0005-0000-0000-0000740C0000}"/>
    <cellStyle name="UNLOCKED 19 2 3 2" xfId="43028" xr:uid="{00000000-0005-0000-0000-0000740C0000}"/>
    <cellStyle name="UNLOCKED 19 2 4" xfId="20986" xr:uid="{00000000-0005-0000-0000-0000740C0000}"/>
    <cellStyle name="UNLOCKED 19 2 5" xfId="39375" xr:uid="{00000000-0005-0000-0000-0000740C0000}"/>
    <cellStyle name="UNLOCKED 19 3" xfId="19229" xr:uid="{00000000-0005-0000-0000-0000740C0000}"/>
    <cellStyle name="UNLOCKED 19 3 2" xfId="37636" xr:uid="{00000000-0005-0000-0000-0000740C0000}"/>
    <cellStyle name="UNLOCKED 19 4" xfId="7142" xr:uid="{00000000-0005-0000-0000-0000740C0000}"/>
    <cellStyle name="UNLOCKED 19 5" xfId="8320" xr:uid="{00000000-0005-0000-0000-0000740C0000}"/>
    <cellStyle name="UNLOCKED 2" xfId="1191" xr:uid="{00000000-0005-0000-0000-0000750C0000}"/>
    <cellStyle name="UNLOCKED 2 2" xfId="4290" xr:uid="{00000000-0005-0000-0000-0000750C0000}"/>
    <cellStyle name="UNLOCKED 2 2 2" xfId="15035" xr:uid="{00000000-0005-0000-0000-0000750C0000}"/>
    <cellStyle name="UNLOCKED 2 2 2 2" xfId="33439" xr:uid="{00000000-0005-0000-0000-0000750C0000}"/>
    <cellStyle name="UNLOCKED 2 2 2 3" xfId="51802" xr:uid="{00000000-0005-0000-0000-0000750C0000}"/>
    <cellStyle name="UNLOCKED 2 2 3" xfId="24168" xr:uid="{00000000-0005-0000-0000-0000750C0000}"/>
    <cellStyle name="UNLOCKED 2 2 3 2" xfId="42537" xr:uid="{00000000-0005-0000-0000-0000750C0000}"/>
    <cellStyle name="UNLOCKED 2 2 4" xfId="20488" xr:uid="{00000000-0005-0000-0000-0000750C0000}"/>
    <cellStyle name="UNLOCKED 2 2 5" xfId="38886" xr:uid="{00000000-0005-0000-0000-0000750C0000}"/>
    <cellStyle name="UNLOCKED 2 3" xfId="19434" xr:uid="{00000000-0005-0000-0000-0000750C0000}"/>
    <cellStyle name="UNLOCKED 2 3 2" xfId="37840" xr:uid="{00000000-0005-0000-0000-0000750C0000}"/>
    <cellStyle name="UNLOCKED 2 4" xfId="7529" xr:uid="{00000000-0005-0000-0000-0000750C0000}"/>
    <cellStyle name="UNLOCKED 2 5" xfId="7526" xr:uid="{00000000-0005-0000-0000-0000750C0000}"/>
    <cellStyle name="UNLOCKED 20" xfId="1932" xr:uid="{00000000-0005-0000-0000-0000760C0000}"/>
    <cellStyle name="UNLOCKED 20 2" xfId="4840" xr:uid="{00000000-0005-0000-0000-0000760C0000}"/>
    <cellStyle name="UNLOCKED 20 2 2" xfId="15566" xr:uid="{00000000-0005-0000-0000-0000760C0000}"/>
    <cellStyle name="UNLOCKED 20 2 2 2" xfId="33959" xr:uid="{00000000-0005-0000-0000-0000760C0000}"/>
    <cellStyle name="UNLOCKED 20 2 2 3" xfId="52322" xr:uid="{00000000-0005-0000-0000-0000760C0000}"/>
    <cellStyle name="UNLOCKED 20 2 3" xfId="24690" xr:uid="{00000000-0005-0000-0000-0000760C0000}"/>
    <cellStyle name="UNLOCKED 20 2 3 2" xfId="43059" xr:uid="{00000000-0005-0000-0000-0000760C0000}"/>
    <cellStyle name="UNLOCKED 20 2 4" xfId="21017" xr:uid="{00000000-0005-0000-0000-0000760C0000}"/>
    <cellStyle name="UNLOCKED 20 2 5" xfId="39406" xr:uid="{00000000-0005-0000-0000-0000760C0000}"/>
    <cellStyle name="UNLOCKED 20 3" xfId="19528" xr:uid="{00000000-0005-0000-0000-0000760C0000}"/>
    <cellStyle name="UNLOCKED 20 3 2" xfId="37934" xr:uid="{00000000-0005-0000-0000-0000760C0000}"/>
    <cellStyle name="UNLOCKED 20 4" xfId="7380" xr:uid="{00000000-0005-0000-0000-0000760C0000}"/>
    <cellStyle name="UNLOCKED 20 5" xfId="8878" xr:uid="{00000000-0005-0000-0000-0000760C0000}"/>
    <cellStyle name="UNLOCKED 21" xfId="2288" xr:uid="{00000000-0005-0000-0000-0000770C0000}"/>
    <cellStyle name="UNLOCKED 21 2" xfId="4953" xr:uid="{00000000-0005-0000-0000-0000770C0000}"/>
    <cellStyle name="UNLOCKED 21 2 2" xfId="15671" xr:uid="{00000000-0005-0000-0000-0000770C0000}"/>
    <cellStyle name="UNLOCKED 21 2 2 2" xfId="34060" xr:uid="{00000000-0005-0000-0000-0000770C0000}"/>
    <cellStyle name="UNLOCKED 21 2 2 3" xfId="52423" xr:uid="{00000000-0005-0000-0000-0000770C0000}"/>
    <cellStyle name="UNLOCKED 21 2 3" xfId="24793" xr:uid="{00000000-0005-0000-0000-0000770C0000}"/>
    <cellStyle name="UNLOCKED 21 2 3 2" xfId="43162" xr:uid="{00000000-0005-0000-0000-0000770C0000}"/>
    <cellStyle name="UNLOCKED 21 2 4" xfId="21120" xr:uid="{00000000-0005-0000-0000-0000770C0000}"/>
    <cellStyle name="UNLOCKED 21 2 5" xfId="39507" xr:uid="{00000000-0005-0000-0000-0000770C0000}"/>
    <cellStyle name="UNLOCKED 21 3" xfId="18980" xr:uid="{00000000-0005-0000-0000-0000770C0000}"/>
    <cellStyle name="UNLOCKED 21 3 2" xfId="37389" xr:uid="{00000000-0005-0000-0000-0000770C0000}"/>
    <cellStyle name="UNLOCKED 21 4" xfId="8713" xr:uid="{00000000-0005-0000-0000-0000770C0000}"/>
    <cellStyle name="UNLOCKED 21 5" xfId="7329" xr:uid="{00000000-0005-0000-0000-0000770C0000}"/>
    <cellStyle name="UNLOCKED 22" xfId="2313" xr:uid="{00000000-0005-0000-0000-0000780C0000}"/>
    <cellStyle name="UNLOCKED 22 2" xfId="4961" xr:uid="{00000000-0005-0000-0000-0000780C0000}"/>
    <cellStyle name="UNLOCKED 22 2 2" xfId="15677" xr:uid="{00000000-0005-0000-0000-0000780C0000}"/>
    <cellStyle name="UNLOCKED 22 2 2 2" xfId="34066" xr:uid="{00000000-0005-0000-0000-0000780C0000}"/>
    <cellStyle name="UNLOCKED 22 2 2 3" xfId="52429" xr:uid="{00000000-0005-0000-0000-0000780C0000}"/>
    <cellStyle name="UNLOCKED 22 2 3" xfId="24801" xr:uid="{00000000-0005-0000-0000-0000780C0000}"/>
    <cellStyle name="UNLOCKED 22 2 3 2" xfId="43170" xr:uid="{00000000-0005-0000-0000-0000780C0000}"/>
    <cellStyle name="UNLOCKED 22 2 4" xfId="21126" xr:uid="{00000000-0005-0000-0000-0000780C0000}"/>
    <cellStyle name="UNLOCKED 22 2 5" xfId="39513" xr:uid="{00000000-0005-0000-0000-0000780C0000}"/>
    <cellStyle name="UNLOCKED 22 3" xfId="19560" xr:uid="{00000000-0005-0000-0000-0000780C0000}"/>
    <cellStyle name="UNLOCKED 22 3 2" xfId="37966" xr:uid="{00000000-0005-0000-0000-0000780C0000}"/>
    <cellStyle name="UNLOCKED 22 4" xfId="10774" xr:uid="{00000000-0005-0000-0000-0000780C0000}"/>
    <cellStyle name="UNLOCKED 22 5" xfId="11826" xr:uid="{00000000-0005-0000-0000-0000780C0000}"/>
    <cellStyle name="UNLOCKED 23" xfId="2380" xr:uid="{00000000-0005-0000-0000-0000790C0000}"/>
    <cellStyle name="UNLOCKED 23 2" xfId="4995" xr:uid="{00000000-0005-0000-0000-0000790C0000}"/>
    <cellStyle name="UNLOCKED 23 2 2" xfId="15711" xr:uid="{00000000-0005-0000-0000-0000790C0000}"/>
    <cellStyle name="UNLOCKED 23 2 2 2" xfId="34099" xr:uid="{00000000-0005-0000-0000-0000790C0000}"/>
    <cellStyle name="UNLOCKED 23 2 2 3" xfId="52462" xr:uid="{00000000-0005-0000-0000-0000790C0000}"/>
    <cellStyle name="UNLOCKED 23 2 3" xfId="24834" xr:uid="{00000000-0005-0000-0000-0000790C0000}"/>
    <cellStyle name="UNLOCKED 23 2 3 2" xfId="43203" xr:uid="{00000000-0005-0000-0000-0000790C0000}"/>
    <cellStyle name="UNLOCKED 23 2 4" xfId="21159" xr:uid="{00000000-0005-0000-0000-0000790C0000}"/>
    <cellStyle name="UNLOCKED 23 2 5" xfId="39546" xr:uid="{00000000-0005-0000-0000-0000790C0000}"/>
    <cellStyle name="UNLOCKED 23 3" xfId="19554" xr:uid="{00000000-0005-0000-0000-0000790C0000}"/>
    <cellStyle name="UNLOCKED 23 3 2" xfId="37960" xr:uid="{00000000-0005-0000-0000-0000790C0000}"/>
    <cellStyle name="UNLOCKED 23 4" xfId="10733" xr:uid="{00000000-0005-0000-0000-0000790C0000}"/>
    <cellStyle name="UNLOCKED 23 5" xfId="7856" xr:uid="{00000000-0005-0000-0000-0000790C0000}"/>
    <cellStyle name="UNLOCKED 24" xfId="2385" xr:uid="{00000000-0005-0000-0000-00007A0C0000}"/>
    <cellStyle name="UNLOCKED 24 2" xfId="4997" xr:uid="{00000000-0005-0000-0000-00007A0C0000}"/>
    <cellStyle name="UNLOCKED 24 2 2" xfId="15713" xr:uid="{00000000-0005-0000-0000-00007A0C0000}"/>
    <cellStyle name="UNLOCKED 24 2 2 2" xfId="34101" xr:uid="{00000000-0005-0000-0000-00007A0C0000}"/>
    <cellStyle name="UNLOCKED 24 2 2 3" xfId="52464" xr:uid="{00000000-0005-0000-0000-00007A0C0000}"/>
    <cellStyle name="UNLOCKED 24 2 3" xfId="24836" xr:uid="{00000000-0005-0000-0000-00007A0C0000}"/>
    <cellStyle name="UNLOCKED 24 2 3 2" xfId="43205" xr:uid="{00000000-0005-0000-0000-00007A0C0000}"/>
    <cellStyle name="UNLOCKED 24 2 4" xfId="21161" xr:uid="{00000000-0005-0000-0000-00007A0C0000}"/>
    <cellStyle name="UNLOCKED 24 2 5" xfId="39548" xr:uid="{00000000-0005-0000-0000-00007A0C0000}"/>
    <cellStyle name="UNLOCKED 24 3" xfId="18258" xr:uid="{00000000-0005-0000-0000-00007A0C0000}"/>
    <cellStyle name="UNLOCKED 24 3 2" xfId="36664" xr:uid="{00000000-0005-0000-0000-00007A0C0000}"/>
    <cellStyle name="UNLOCKED 24 4" xfId="7350" xr:uid="{00000000-0005-0000-0000-00007A0C0000}"/>
    <cellStyle name="UNLOCKED 24 5" xfId="8944" xr:uid="{00000000-0005-0000-0000-00007A0C0000}"/>
    <cellStyle name="UNLOCKED 25" xfId="2732" xr:uid="{00000000-0005-0000-0000-00007B0C0000}"/>
    <cellStyle name="UNLOCKED 25 2" xfId="5117" xr:uid="{00000000-0005-0000-0000-00007B0C0000}"/>
    <cellStyle name="UNLOCKED 25 2 2" xfId="15825" xr:uid="{00000000-0005-0000-0000-00007B0C0000}"/>
    <cellStyle name="UNLOCKED 25 2 2 2" xfId="34210" xr:uid="{00000000-0005-0000-0000-00007B0C0000}"/>
    <cellStyle name="UNLOCKED 25 2 2 3" xfId="52573" xr:uid="{00000000-0005-0000-0000-00007B0C0000}"/>
    <cellStyle name="UNLOCKED 25 2 3" xfId="24947" xr:uid="{00000000-0005-0000-0000-00007B0C0000}"/>
    <cellStyle name="UNLOCKED 25 2 3 2" xfId="43316" xr:uid="{00000000-0005-0000-0000-00007B0C0000}"/>
    <cellStyle name="UNLOCKED 25 2 4" xfId="21272" xr:uid="{00000000-0005-0000-0000-00007B0C0000}"/>
    <cellStyle name="UNLOCKED 25 2 5" xfId="39657" xr:uid="{00000000-0005-0000-0000-00007B0C0000}"/>
    <cellStyle name="UNLOCKED 25 3" xfId="18136" xr:uid="{00000000-0005-0000-0000-00007B0C0000}"/>
    <cellStyle name="UNLOCKED 25 3 2" xfId="36543" xr:uid="{00000000-0005-0000-0000-00007B0C0000}"/>
    <cellStyle name="UNLOCKED 25 4" xfId="7363" xr:uid="{00000000-0005-0000-0000-00007B0C0000}"/>
    <cellStyle name="UNLOCKED 25 5" xfId="35904" xr:uid="{00000000-0005-0000-0000-00007B0C0000}"/>
    <cellStyle name="UNLOCKED 26" xfId="2807" xr:uid="{00000000-0005-0000-0000-00007C0C0000}"/>
    <cellStyle name="UNLOCKED 26 2" xfId="5151" xr:uid="{00000000-0005-0000-0000-00007C0C0000}"/>
    <cellStyle name="UNLOCKED 26 2 2" xfId="15854" xr:uid="{00000000-0005-0000-0000-00007C0C0000}"/>
    <cellStyle name="UNLOCKED 26 2 2 2" xfId="34238" xr:uid="{00000000-0005-0000-0000-00007C0C0000}"/>
    <cellStyle name="UNLOCKED 26 2 2 3" xfId="52601" xr:uid="{00000000-0005-0000-0000-00007C0C0000}"/>
    <cellStyle name="UNLOCKED 26 2 3" xfId="24978" xr:uid="{00000000-0005-0000-0000-00007C0C0000}"/>
    <cellStyle name="UNLOCKED 26 2 3 2" xfId="43347" xr:uid="{00000000-0005-0000-0000-00007C0C0000}"/>
    <cellStyle name="UNLOCKED 26 2 4" xfId="21300" xr:uid="{00000000-0005-0000-0000-00007C0C0000}"/>
    <cellStyle name="UNLOCKED 26 2 5" xfId="39685" xr:uid="{00000000-0005-0000-0000-00007C0C0000}"/>
    <cellStyle name="UNLOCKED 26 3" xfId="19288" xr:uid="{00000000-0005-0000-0000-00007C0C0000}"/>
    <cellStyle name="UNLOCKED 26 3 2" xfId="37695" xr:uid="{00000000-0005-0000-0000-00007C0C0000}"/>
    <cellStyle name="UNLOCKED 26 4" xfId="10915" xr:uid="{00000000-0005-0000-0000-00007C0C0000}"/>
    <cellStyle name="UNLOCKED 26 5" xfId="35931" xr:uid="{00000000-0005-0000-0000-00007C0C0000}"/>
    <cellStyle name="UNLOCKED 27" xfId="3103" xr:uid="{00000000-0005-0000-0000-00007D0C0000}"/>
    <cellStyle name="UNLOCKED 27 2" xfId="5355" xr:uid="{00000000-0005-0000-0000-00007D0C0000}"/>
    <cellStyle name="UNLOCKED 27 2 2" xfId="16047" xr:uid="{00000000-0005-0000-0000-00007D0C0000}"/>
    <cellStyle name="UNLOCKED 27 2 2 2" xfId="34421" xr:uid="{00000000-0005-0000-0000-00007D0C0000}"/>
    <cellStyle name="UNLOCKED 27 2 2 3" xfId="52784" xr:uid="{00000000-0005-0000-0000-00007D0C0000}"/>
    <cellStyle name="UNLOCKED 27 2 3" xfId="25168" xr:uid="{00000000-0005-0000-0000-00007D0C0000}"/>
    <cellStyle name="UNLOCKED 27 2 3 2" xfId="43537" xr:uid="{00000000-0005-0000-0000-00007D0C0000}"/>
    <cellStyle name="UNLOCKED 27 2 4" xfId="21489" xr:uid="{00000000-0005-0000-0000-00007D0C0000}"/>
    <cellStyle name="UNLOCKED 27 2 5" xfId="39868" xr:uid="{00000000-0005-0000-0000-00007D0C0000}"/>
    <cellStyle name="UNLOCKED 27 3" xfId="23105" xr:uid="{00000000-0005-0000-0000-00007D0C0000}"/>
    <cellStyle name="UNLOCKED 27 3 2" xfId="41474" xr:uid="{00000000-0005-0000-0000-00007D0C0000}"/>
    <cellStyle name="UNLOCKED 27 4" xfId="17665" xr:uid="{00000000-0005-0000-0000-00007D0C0000}"/>
    <cellStyle name="UNLOCKED 27 5" xfId="36107" xr:uid="{00000000-0005-0000-0000-00007D0C0000}"/>
    <cellStyle name="UNLOCKED 28" xfId="2912" xr:uid="{00000000-0005-0000-0000-00007E0C0000}"/>
    <cellStyle name="UNLOCKED 28 2" xfId="5185" xr:uid="{00000000-0005-0000-0000-00007E0C0000}"/>
    <cellStyle name="UNLOCKED 28 2 2" xfId="15877" xr:uid="{00000000-0005-0000-0000-00007E0C0000}"/>
    <cellStyle name="UNLOCKED 28 2 2 2" xfId="34251" xr:uid="{00000000-0005-0000-0000-00007E0C0000}"/>
    <cellStyle name="UNLOCKED 28 2 2 3" xfId="52614" xr:uid="{00000000-0005-0000-0000-00007E0C0000}"/>
    <cellStyle name="UNLOCKED 28 2 3" xfId="24998" xr:uid="{00000000-0005-0000-0000-00007E0C0000}"/>
    <cellStyle name="UNLOCKED 28 2 3 2" xfId="43367" xr:uid="{00000000-0005-0000-0000-00007E0C0000}"/>
    <cellStyle name="UNLOCKED 28 2 4" xfId="21319" xr:uid="{00000000-0005-0000-0000-00007E0C0000}"/>
    <cellStyle name="UNLOCKED 28 2 5" xfId="39698" xr:uid="{00000000-0005-0000-0000-00007E0C0000}"/>
    <cellStyle name="UNLOCKED 28 3" xfId="22934" xr:uid="{00000000-0005-0000-0000-00007E0C0000}"/>
    <cellStyle name="UNLOCKED 28 3 2" xfId="41303" xr:uid="{00000000-0005-0000-0000-00007E0C0000}"/>
    <cellStyle name="UNLOCKED 28 4" xfId="10903" xr:uid="{00000000-0005-0000-0000-00007E0C0000}"/>
    <cellStyle name="UNLOCKED 28 5" xfId="35936" xr:uid="{00000000-0005-0000-0000-00007E0C0000}"/>
    <cellStyle name="UNLOCKED 29" xfId="3150" xr:uid="{00000000-0005-0000-0000-00007F0C0000}"/>
    <cellStyle name="UNLOCKED 29 2" xfId="5369" xr:uid="{00000000-0005-0000-0000-00007F0C0000}"/>
    <cellStyle name="UNLOCKED 29 2 2" xfId="16061" xr:uid="{00000000-0005-0000-0000-00007F0C0000}"/>
    <cellStyle name="UNLOCKED 29 2 2 2" xfId="34434" xr:uid="{00000000-0005-0000-0000-00007F0C0000}"/>
    <cellStyle name="UNLOCKED 29 2 2 3" xfId="52797" xr:uid="{00000000-0005-0000-0000-00007F0C0000}"/>
    <cellStyle name="UNLOCKED 29 2 3" xfId="25181" xr:uid="{00000000-0005-0000-0000-00007F0C0000}"/>
    <cellStyle name="UNLOCKED 29 2 3 2" xfId="43550" xr:uid="{00000000-0005-0000-0000-00007F0C0000}"/>
    <cellStyle name="UNLOCKED 29 2 4" xfId="21502" xr:uid="{00000000-0005-0000-0000-00007F0C0000}"/>
    <cellStyle name="UNLOCKED 29 2 5" xfId="39881" xr:uid="{00000000-0005-0000-0000-00007F0C0000}"/>
    <cellStyle name="UNLOCKED 29 3" xfId="23110" xr:uid="{00000000-0005-0000-0000-00007F0C0000}"/>
    <cellStyle name="UNLOCKED 29 3 2" xfId="41479" xr:uid="{00000000-0005-0000-0000-00007F0C0000}"/>
    <cellStyle name="UNLOCKED 29 4" xfId="17687" xr:uid="{00000000-0005-0000-0000-00007F0C0000}"/>
    <cellStyle name="UNLOCKED 29 5" xfId="36112" xr:uid="{00000000-0005-0000-0000-00007F0C0000}"/>
    <cellStyle name="UNLOCKED 3" xfId="1218" xr:uid="{00000000-0005-0000-0000-0000800C0000}"/>
    <cellStyle name="UNLOCKED 3 2" xfId="4304" xr:uid="{00000000-0005-0000-0000-0000800C0000}"/>
    <cellStyle name="UNLOCKED 3 2 2" xfId="15049" xr:uid="{00000000-0005-0000-0000-0000800C0000}"/>
    <cellStyle name="UNLOCKED 3 2 2 2" xfId="33452" xr:uid="{00000000-0005-0000-0000-0000800C0000}"/>
    <cellStyle name="UNLOCKED 3 2 2 3" xfId="51815" xr:uid="{00000000-0005-0000-0000-0000800C0000}"/>
    <cellStyle name="UNLOCKED 3 2 3" xfId="24181" xr:uid="{00000000-0005-0000-0000-0000800C0000}"/>
    <cellStyle name="UNLOCKED 3 2 3 2" xfId="42550" xr:uid="{00000000-0005-0000-0000-0000800C0000}"/>
    <cellStyle name="UNLOCKED 3 2 4" xfId="20501" xr:uid="{00000000-0005-0000-0000-0000800C0000}"/>
    <cellStyle name="UNLOCKED 3 2 5" xfId="38899" xr:uid="{00000000-0005-0000-0000-0000800C0000}"/>
    <cellStyle name="UNLOCKED 3 3" xfId="18883" xr:uid="{00000000-0005-0000-0000-0000800C0000}"/>
    <cellStyle name="UNLOCKED 3 3 2" xfId="37292" xr:uid="{00000000-0005-0000-0000-0000800C0000}"/>
    <cellStyle name="UNLOCKED 3 4" xfId="10883" xr:uid="{00000000-0005-0000-0000-0000800C0000}"/>
    <cellStyle name="UNLOCKED 3 5" xfId="8508" xr:uid="{00000000-0005-0000-0000-0000800C0000}"/>
    <cellStyle name="UNLOCKED 30" xfId="3178" xr:uid="{00000000-0005-0000-0000-0000810C0000}"/>
    <cellStyle name="UNLOCKED 30 2" xfId="5392" xr:uid="{00000000-0005-0000-0000-0000810C0000}"/>
    <cellStyle name="UNLOCKED 30 2 2" xfId="16084" xr:uid="{00000000-0005-0000-0000-0000810C0000}"/>
    <cellStyle name="UNLOCKED 30 2 2 2" xfId="34456" xr:uid="{00000000-0005-0000-0000-0000810C0000}"/>
    <cellStyle name="UNLOCKED 30 2 2 3" xfId="52819" xr:uid="{00000000-0005-0000-0000-0000810C0000}"/>
    <cellStyle name="UNLOCKED 30 2 3" xfId="25203" xr:uid="{00000000-0005-0000-0000-0000810C0000}"/>
    <cellStyle name="UNLOCKED 30 2 3 2" xfId="43572" xr:uid="{00000000-0005-0000-0000-0000810C0000}"/>
    <cellStyle name="UNLOCKED 30 2 4" xfId="21524" xr:uid="{00000000-0005-0000-0000-0000810C0000}"/>
    <cellStyle name="UNLOCKED 30 2 5" xfId="39903" xr:uid="{00000000-0005-0000-0000-0000810C0000}"/>
    <cellStyle name="UNLOCKED 30 3" xfId="23132" xr:uid="{00000000-0005-0000-0000-0000810C0000}"/>
    <cellStyle name="UNLOCKED 30 3 2" xfId="41501" xr:uid="{00000000-0005-0000-0000-0000810C0000}"/>
    <cellStyle name="UNLOCKED 30 4" xfId="17712" xr:uid="{00000000-0005-0000-0000-0000810C0000}"/>
    <cellStyle name="UNLOCKED 30 5" xfId="36134" xr:uid="{00000000-0005-0000-0000-0000810C0000}"/>
    <cellStyle name="UNLOCKED 31" xfId="3158" xr:uid="{00000000-0005-0000-0000-0000820C0000}"/>
    <cellStyle name="UNLOCKED 31 2" xfId="5374" xr:uid="{00000000-0005-0000-0000-0000820C0000}"/>
    <cellStyle name="UNLOCKED 31 2 2" xfId="16066" xr:uid="{00000000-0005-0000-0000-0000820C0000}"/>
    <cellStyle name="UNLOCKED 31 2 2 2" xfId="34438" xr:uid="{00000000-0005-0000-0000-0000820C0000}"/>
    <cellStyle name="UNLOCKED 31 2 2 3" xfId="52801" xr:uid="{00000000-0005-0000-0000-0000820C0000}"/>
    <cellStyle name="UNLOCKED 31 2 3" xfId="25185" xr:uid="{00000000-0005-0000-0000-0000820C0000}"/>
    <cellStyle name="UNLOCKED 31 2 3 2" xfId="43554" xr:uid="{00000000-0005-0000-0000-0000820C0000}"/>
    <cellStyle name="UNLOCKED 31 2 4" xfId="21506" xr:uid="{00000000-0005-0000-0000-0000820C0000}"/>
    <cellStyle name="UNLOCKED 31 2 5" xfId="39885" xr:uid="{00000000-0005-0000-0000-0000820C0000}"/>
    <cellStyle name="UNLOCKED 31 3" xfId="23114" xr:uid="{00000000-0005-0000-0000-0000820C0000}"/>
    <cellStyle name="UNLOCKED 31 3 2" xfId="41483" xr:uid="{00000000-0005-0000-0000-0000820C0000}"/>
    <cellStyle name="UNLOCKED 31 4" xfId="17692" xr:uid="{00000000-0005-0000-0000-0000820C0000}"/>
    <cellStyle name="UNLOCKED 31 5" xfId="36116" xr:uid="{00000000-0005-0000-0000-0000820C0000}"/>
    <cellStyle name="UNLOCKED 32" xfId="3295" xr:uid="{00000000-0005-0000-0000-0000830C0000}"/>
    <cellStyle name="UNLOCKED 32 2" xfId="5487" xr:uid="{00000000-0005-0000-0000-0000830C0000}"/>
    <cellStyle name="UNLOCKED 32 2 2" xfId="16178" xr:uid="{00000000-0005-0000-0000-0000830C0000}"/>
    <cellStyle name="UNLOCKED 32 2 2 2" xfId="34550" xr:uid="{00000000-0005-0000-0000-0000830C0000}"/>
    <cellStyle name="UNLOCKED 32 2 2 3" xfId="52913" xr:uid="{00000000-0005-0000-0000-0000830C0000}"/>
    <cellStyle name="UNLOCKED 32 2 3" xfId="25297" xr:uid="{00000000-0005-0000-0000-0000830C0000}"/>
    <cellStyle name="UNLOCKED 32 2 3 2" xfId="43666" xr:uid="{00000000-0005-0000-0000-0000830C0000}"/>
    <cellStyle name="UNLOCKED 32 2 4" xfId="21618" xr:uid="{00000000-0005-0000-0000-0000830C0000}"/>
    <cellStyle name="UNLOCKED 32 2 5" xfId="39997" xr:uid="{00000000-0005-0000-0000-0000830C0000}"/>
    <cellStyle name="UNLOCKED 32 3" xfId="23225" xr:uid="{00000000-0005-0000-0000-0000830C0000}"/>
    <cellStyle name="UNLOCKED 32 3 2" xfId="41594" xr:uid="{00000000-0005-0000-0000-0000830C0000}"/>
    <cellStyle name="UNLOCKED 32 4" xfId="17811" xr:uid="{00000000-0005-0000-0000-0000830C0000}"/>
    <cellStyle name="UNLOCKED 32 5" xfId="36227" xr:uid="{00000000-0005-0000-0000-0000830C0000}"/>
    <cellStyle name="UNLOCKED 33" xfId="3191" xr:uid="{00000000-0005-0000-0000-0000840C0000}"/>
    <cellStyle name="UNLOCKED 33 2" xfId="5398" xr:uid="{00000000-0005-0000-0000-0000840C0000}"/>
    <cellStyle name="UNLOCKED 33 2 2" xfId="16089" xr:uid="{00000000-0005-0000-0000-0000840C0000}"/>
    <cellStyle name="UNLOCKED 33 2 2 2" xfId="34461" xr:uid="{00000000-0005-0000-0000-0000840C0000}"/>
    <cellStyle name="UNLOCKED 33 2 2 3" xfId="52824" xr:uid="{00000000-0005-0000-0000-0000840C0000}"/>
    <cellStyle name="UNLOCKED 33 2 3" xfId="25208" xr:uid="{00000000-0005-0000-0000-0000840C0000}"/>
    <cellStyle name="UNLOCKED 33 2 3 2" xfId="43577" xr:uid="{00000000-0005-0000-0000-0000840C0000}"/>
    <cellStyle name="UNLOCKED 33 2 4" xfId="21529" xr:uid="{00000000-0005-0000-0000-0000840C0000}"/>
    <cellStyle name="UNLOCKED 33 2 5" xfId="39908" xr:uid="{00000000-0005-0000-0000-0000840C0000}"/>
    <cellStyle name="UNLOCKED 33 3" xfId="23137" xr:uid="{00000000-0005-0000-0000-0000840C0000}"/>
    <cellStyle name="UNLOCKED 33 3 2" xfId="41506" xr:uid="{00000000-0005-0000-0000-0000840C0000}"/>
    <cellStyle name="UNLOCKED 33 4" xfId="17718" xr:uid="{00000000-0005-0000-0000-0000840C0000}"/>
    <cellStyle name="UNLOCKED 33 5" xfId="36139" xr:uid="{00000000-0005-0000-0000-0000840C0000}"/>
    <cellStyle name="UNLOCKED 34" xfId="3324" xr:uid="{00000000-0005-0000-0000-0000850C0000}"/>
    <cellStyle name="UNLOCKED 34 2" xfId="5508" xr:uid="{00000000-0005-0000-0000-0000850C0000}"/>
    <cellStyle name="UNLOCKED 34 2 2" xfId="16199" xr:uid="{00000000-0005-0000-0000-0000850C0000}"/>
    <cellStyle name="UNLOCKED 34 2 2 2" xfId="34571" xr:uid="{00000000-0005-0000-0000-0000850C0000}"/>
    <cellStyle name="UNLOCKED 34 2 2 3" xfId="52934" xr:uid="{00000000-0005-0000-0000-0000850C0000}"/>
    <cellStyle name="UNLOCKED 34 2 3" xfId="25318" xr:uid="{00000000-0005-0000-0000-0000850C0000}"/>
    <cellStyle name="UNLOCKED 34 2 3 2" xfId="43687" xr:uid="{00000000-0005-0000-0000-0000850C0000}"/>
    <cellStyle name="UNLOCKED 34 2 4" xfId="21639" xr:uid="{00000000-0005-0000-0000-0000850C0000}"/>
    <cellStyle name="UNLOCKED 34 2 5" xfId="40018" xr:uid="{00000000-0005-0000-0000-0000850C0000}"/>
    <cellStyle name="UNLOCKED 34 3" xfId="23245" xr:uid="{00000000-0005-0000-0000-0000850C0000}"/>
    <cellStyle name="UNLOCKED 34 3 2" xfId="41614" xr:uid="{00000000-0005-0000-0000-0000850C0000}"/>
    <cellStyle name="UNLOCKED 34 4" xfId="17835" xr:uid="{00000000-0005-0000-0000-0000850C0000}"/>
    <cellStyle name="UNLOCKED 34 5" xfId="36247" xr:uid="{00000000-0005-0000-0000-0000850C0000}"/>
    <cellStyle name="UNLOCKED 35" xfId="3304" xr:uid="{00000000-0005-0000-0000-0000860C0000}"/>
    <cellStyle name="UNLOCKED 35 2" xfId="5490" xr:uid="{00000000-0005-0000-0000-0000860C0000}"/>
    <cellStyle name="UNLOCKED 35 2 2" xfId="16181" xr:uid="{00000000-0005-0000-0000-0000860C0000}"/>
    <cellStyle name="UNLOCKED 35 2 2 2" xfId="34553" xr:uid="{00000000-0005-0000-0000-0000860C0000}"/>
    <cellStyle name="UNLOCKED 35 2 2 3" xfId="52916" xr:uid="{00000000-0005-0000-0000-0000860C0000}"/>
    <cellStyle name="UNLOCKED 35 2 3" xfId="25300" xr:uid="{00000000-0005-0000-0000-0000860C0000}"/>
    <cellStyle name="UNLOCKED 35 2 3 2" xfId="43669" xr:uid="{00000000-0005-0000-0000-0000860C0000}"/>
    <cellStyle name="UNLOCKED 35 2 4" xfId="21621" xr:uid="{00000000-0005-0000-0000-0000860C0000}"/>
    <cellStyle name="UNLOCKED 35 2 5" xfId="40000" xr:uid="{00000000-0005-0000-0000-0000860C0000}"/>
    <cellStyle name="UNLOCKED 35 3" xfId="23227" xr:uid="{00000000-0005-0000-0000-0000860C0000}"/>
    <cellStyle name="UNLOCKED 35 3 2" xfId="41596" xr:uid="{00000000-0005-0000-0000-0000860C0000}"/>
    <cellStyle name="UNLOCKED 35 4" xfId="17815" xr:uid="{00000000-0005-0000-0000-0000860C0000}"/>
    <cellStyle name="UNLOCKED 35 5" xfId="36229" xr:uid="{00000000-0005-0000-0000-0000860C0000}"/>
    <cellStyle name="UNLOCKED 36" xfId="4146" xr:uid="{00000000-0005-0000-0000-0000690C0000}"/>
    <cellStyle name="UNLOCKED 36 2" xfId="14899" xr:uid="{00000000-0005-0000-0000-0000690C0000}"/>
    <cellStyle name="UNLOCKED 36 2 2" xfId="33305" xr:uid="{00000000-0005-0000-0000-0000690C0000}"/>
    <cellStyle name="UNLOCKED 36 2 3" xfId="51668" xr:uid="{00000000-0005-0000-0000-0000690C0000}"/>
    <cellStyle name="UNLOCKED 36 3" xfId="24030" xr:uid="{00000000-0005-0000-0000-0000690C0000}"/>
    <cellStyle name="UNLOCKED 36 3 2" xfId="42399" xr:uid="{00000000-0005-0000-0000-0000690C0000}"/>
    <cellStyle name="UNLOCKED 36 4" xfId="20353" xr:uid="{00000000-0005-0000-0000-0000690C0000}"/>
    <cellStyle name="UNLOCKED 36 5" xfId="38752" xr:uid="{00000000-0005-0000-0000-0000690C0000}"/>
    <cellStyle name="UNLOCKED 37" xfId="5489" xr:uid="{00000000-0005-0000-0000-0000690C0000}"/>
    <cellStyle name="UNLOCKED 37 2" xfId="16180" xr:uid="{00000000-0005-0000-0000-0000690C0000}"/>
    <cellStyle name="UNLOCKED 37 2 2" xfId="34552" xr:uid="{00000000-0005-0000-0000-0000690C0000}"/>
    <cellStyle name="UNLOCKED 37 2 3" xfId="52915" xr:uid="{00000000-0005-0000-0000-0000690C0000}"/>
    <cellStyle name="UNLOCKED 37 3" xfId="25299" xr:uid="{00000000-0005-0000-0000-0000690C0000}"/>
    <cellStyle name="UNLOCKED 37 3 2" xfId="43668" xr:uid="{00000000-0005-0000-0000-0000690C0000}"/>
    <cellStyle name="UNLOCKED 37 4" xfId="21620" xr:uid="{00000000-0005-0000-0000-0000690C0000}"/>
    <cellStyle name="UNLOCKED 37 5" xfId="39999" xr:uid="{00000000-0005-0000-0000-0000690C0000}"/>
    <cellStyle name="UNLOCKED 38" xfId="7279" xr:uid="{00000000-0005-0000-0000-0000690C0000}"/>
    <cellStyle name="UNLOCKED 38 2" xfId="26781" xr:uid="{00000000-0005-0000-0000-0000690C0000}"/>
    <cellStyle name="UNLOCKED 38 3" xfId="45149" xr:uid="{00000000-0005-0000-0000-0000690C0000}"/>
    <cellStyle name="UNLOCKED 39" xfId="19561" xr:uid="{00000000-0005-0000-0000-0000690C0000}"/>
    <cellStyle name="UNLOCKED 39 2" xfId="37967" xr:uid="{00000000-0005-0000-0000-0000690C0000}"/>
    <cellStyle name="UNLOCKED 4" xfId="1200" xr:uid="{00000000-0005-0000-0000-0000870C0000}"/>
    <cellStyle name="UNLOCKED 4 2" xfId="4296" xr:uid="{00000000-0005-0000-0000-0000870C0000}"/>
    <cellStyle name="UNLOCKED 4 2 2" xfId="15041" xr:uid="{00000000-0005-0000-0000-0000870C0000}"/>
    <cellStyle name="UNLOCKED 4 2 2 2" xfId="33445" xr:uid="{00000000-0005-0000-0000-0000870C0000}"/>
    <cellStyle name="UNLOCKED 4 2 2 3" xfId="51808" xr:uid="{00000000-0005-0000-0000-0000870C0000}"/>
    <cellStyle name="UNLOCKED 4 2 3" xfId="24174" xr:uid="{00000000-0005-0000-0000-0000870C0000}"/>
    <cellStyle name="UNLOCKED 4 2 3 2" xfId="42543" xr:uid="{00000000-0005-0000-0000-0000870C0000}"/>
    <cellStyle name="UNLOCKED 4 2 4" xfId="20494" xr:uid="{00000000-0005-0000-0000-0000870C0000}"/>
    <cellStyle name="UNLOCKED 4 2 5" xfId="38892" xr:uid="{00000000-0005-0000-0000-0000870C0000}"/>
    <cellStyle name="UNLOCKED 4 3" xfId="19530" xr:uid="{00000000-0005-0000-0000-0000870C0000}"/>
    <cellStyle name="UNLOCKED 4 3 2" xfId="37936" xr:uid="{00000000-0005-0000-0000-0000870C0000}"/>
    <cellStyle name="UNLOCKED 4 4" xfId="8305" xr:uid="{00000000-0005-0000-0000-0000870C0000}"/>
    <cellStyle name="UNLOCKED 4 5" xfId="6967" xr:uid="{00000000-0005-0000-0000-0000870C0000}"/>
    <cellStyle name="UNLOCKED 40" xfId="7041" xr:uid="{00000000-0005-0000-0000-0000690C0000}"/>
    <cellStyle name="UNLOCKED 41" xfId="15107" xr:uid="{00000000-0005-0000-0000-0000690C0000}"/>
    <cellStyle name="UNLOCKED 5" xfId="1226" xr:uid="{00000000-0005-0000-0000-0000880C0000}"/>
    <cellStyle name="UNLOCKED 5 2" xfId="4308" xr:uid="{00000000-0005-0000-0000-0000880C0000}"/>
    <cellStyle name="UNLOCKED 5 2 2" xfId="15053" xr:uid="{00000000-0005-0000-0000-0000880C0000}"/>
    <cellStyle name="UNLOCKED 5 2 2 2" xfId="33455" xr:uid="{00000000-0005-0000-0000-0000880C0000}"/>
    <cellStyle name="UNLOCKED 5 2 2 3" xfId="51818" xr:uid="{00000000-0005-0000-0000-0000880C0000}"/>
    <cellStyle name="UNLOCKED 5 2 3" xfId="24184" xr:uid="{00000000-0005-0000-0000-0000880C0000}"/>
    <cellStyle name="UNLOCKED 5 2 3 2" xfId="42553" xr:uid="{00000000-0005-0000-0000-0000880C0000}"/>
    <cellStyle name="UNLOCKED 5 2 4" xfId="20505" xr:uid="{00000000-0005-0000-0000-0000880C0000}"/>
    <cellStyle name="UNLOCKED 5 2 5" xfId="38902" xr:uid="{00000000-0005-0000-0000-0000880C0000}"/>
    <cellStyle name="UNLOCKED 5 3" xfId="19384" xr:uid="{00000000-0005-0000-0000-0000880C0000}"/>
    <cellStyle name="UNLOCKED 5 3 2" xfId="37791" xr:uid="{00000000-0005-0000-0000-0000880C0000}"/>
    <cellStyle name="UNLOCKED 5 4" xfId="8990" xr:uid="{00000000-0005-0000-0000-0000880C0000}"/>
    <cellStyle name="UNLOCKED 5 5" xfId="10887" xr:uid="{00000000-0005-0000-0000-0000880C0000}"/>
    <cellStyle name="UNLOCKED 6" xfId="1231" xr:uid="{00000000-0005-0000-0000-0000890C0000}"/>
    <cellStyle name="UNLOCKED 6 2" xfId="4311" xr:uid="{00000000-0005-0000-0000-0000890C0000}"/>
    <cellStyle name="UNLOCKED 6 2 2" xfId="15055" xr:uid="{00000000-0005-0000-0000-0000890C0000}"/>
    <cellStyle name="UNLOCKED 6 2 2 2" xfId="33457" xr:uid="{00000000-0005-0000-0000-0000890C0000}"/>
    <cellStyle name="UNLOCKED 6 2 2 3" xfId="51820" xr:uid="{00000000-0005-0000-0000-0000890C0000}"/>
    <cellStyle name="UNLOCKED 6 2 3" xfId="24186" xr:uid="{00000000-0005-0000-0000-0000890C0000}"/>
    <cellStyle name="UNLOCKED 6 2 3 2" xfId="42555" xr:uid="{00000000-0005-0000-0000-0000890C0000}"/>
    <cellStyle name="UNLOCKED 6 2 4" xfId="20507" xr:uid="{00000000-0005-0000-0000-0000890C0000}"/>
    <cellStyle name="UNLOCKED 6 2 5" xfId="38904" xr:uid="{00000000-0005-0000-0000-0000890C0000}"/>
    <cellStyle name="UNLOCKED 6 3" xfId="19411" xr:uid="{00000000-0005-0000-0000-0000890C0000}"/>
    <cellStyle name="UNLOCKED 6 3 2" xfId="37817" xr:uid="{00000000-0005-0000-0000-0000890C0000}"/>
    <cellStyle name="UNLOCKED 6 4" xfId="7249" xr:uid="{00000000-0005-0000-0000-0000890C0000}"/>
    <cellStyle name="UNLOCKED 6 5" xfId="8595" xr:uid="{00000000-0005-0000-0000-0000890C0000}"/>
    <cellStyle name="UNLOCKED 7" xfId="1275" xr:uid="{00000000-0005-0000-0000-00008A0C0000}"/>
    <cellStyle name="UNLOCKED 7 2" xfId="4341" xr:uid="{00000000-0005-0000-0000-00008A0C0000}"/>
    <cellStyle name="UNLOCKED 7 2 2" xfId="15084" xr:uid="{00000000-0005-0000-0000-00008A0C0000}"/>
    <cellStyle name="UNLOCKED 7 2 2 2" xfId="33484" xr:uid="{00000000-0005-0000-0000-00008A0C0000}"/>
    <cellStyle name="UNLOCKED 7 2 2 3" xfId="51847" xr:uid="{00000000-0005-0000-0000-00008A0C0000}"/>
    <cellStyle name="UNLOCKED 7 2 3" xfId="24213" xr:uid="{00000000-0005-0000-0000-00008A0C0000}"/>
    <cellStyle name="UNLOCKED 7 2 3 2" xfId="42582" xr:uid="{00000000-0005-0000-0000-00008A0C0000}"/>
    <cellStyle name="UNLOCKED 7 2 4" xfId="20536" xr:uid="{00000000-0005-0000-0000-00008A0C0000}"/>
    <cellStyle name="UNLOCKED 7 2 5" xfId="38931" xr:uid="{00000000-0005-0000-0000-00008A0C0000}"/>
    <cellStyle name="UNLOCKED 7 3" xfId="18355" xr:uid="{00000000-0005-0000-0000-00008A0C0000}"/>
    <cellStyle name="UNLOCKED 7 3 2" xfId="36761" xr:uid="{00000000-0005-0000-0000-00008A0C0000}"/>
    <cellStyle name="UNLOCKED 7 4" xfId="8951" xr:uid="{00000000-0005-0000-0000-00008A0C0000}"/>
    <cellStyle name="UNLOCKED 7 5" xfId="7080" xr:uid="{00000000-0005-0000-0000-00008A0C0000}"/>
    <cellStyle name="UNLOCKED 8" xfId="1280" xr:uid="{00000000-0005-0000-0000-00008B0C0000}"/>
    <cellStyle name="UNLOCKED 8 2" xfId="4344" xr:uid="{00000000-0005-0000-0000-00008B0C0000}"/>
    <cellStyle name="UNLOCKED 8 2 2" xfId="15086" xr:uid="{00000000-0005-0000-0000-00008B0C0000}"/>
    <cellStyle name="UNLOCKED 8 2 2 2" xfId="33486" xr:uid="{00000000-0005-0000-0000-00008B0C0000}"/>
    <cellStyle name="UNLOCKED 8 2 2 3" xfId="51849" xr:uid="{00000000-0005-0000-0000-00008B0C0000}"/>
    <cellStyle name="UNLOCKED 8 2 3" xfId="24215" xr:uid="{00000000-0005-0000-0000-00008B0C0000}"/>
    <cellStyle name="UNLOCKED 8 2 3 2" xfId="42584" xr:uid="{00000000-0005-0000-0000-00008B0C0000}"/>
    <cellStyle name="UNLOCKED 8 2 4" xfId="20538" xr:uid="{00000000-0005-0000-0000-00008B0C0000}"/>
    <cellStyle name="UNLOCKED 8 2 5" xfId="38933" xr:uid="{00000000-0005-0000-0000-00008B0C0000}"/>
    <cellStyle name="UNLOCKED 8 3" xfId="18277" xr:uid="{00000000-0005-0000-0000-00008B0C0000}"/>
    <cellStyle name="UNLOCKED 8 3 2" xfId="36683" xr:uid="{00000000-0005-0000-0000-00008B0C0000}"/>
    <cellStyle name="UNLOCKED 8 4" xfId="7028" xr:uid="{00000000-0005-0000-0000-00008B0C0000}"/>
    <cellStyle name="UNLOCKED 8 5" xfId="11693" xr:uid="{00000000-0005-0000-0000-00008B0C0000}"/>
    <cellStyle name="UNLOCKED 9" xfId="1418" xr:uid="{00000000-0005-0000-0000-00008C0C0000}"/>
    <cellStyle name="UNLOCKED 9 2" xfId="4443" xr:uid="{00000000-0005-0000-0000-00008C0C0000}"/>
    <cellStyle name="UNLOCKED 9 2 2" xfId="15177" xr:uid="{00000000-0005-0000-0000-00008C0C0000}"/>
    <cellStyle name="UNLOCKED 9 2 2 2" xfId="33574" xr:uid="{00000000-0005-0000-0000-00008C0C0000}"/>
    <cellStyle name="UNLOCKED 9 2 2 3" xfId="51937" xr:uid="{00000000-0005-0000-0000-00008C0C0000}"/>
    <cellStyle name="UNLOCKED 9 2 3" xfId="24305" xr:uid="{00000000-0005-0000-0000-00008C0C0000}"/>
    <cellStyle name="UNLOCKED 9 2 3 2" xfId="42674" xr:uid="{00000000-0005-0000-0000-00008C0C0000}"/>
    <cellStyle name="UNLOCKED 9 2 4" xfId="20628" xr:uid="{00000000-0005-0000-0000-00008C0C0000}"/>
    <cellStyle name="UNLOCKED 9 2 5" xfId="39021" xr:uid="{00000000-0005-0000-0000-00008C0C0000}"/>
    <cellStyle name="UNLOCKED 9 3" xfId="18550" xr:uid="{00000000-0005-0000-0000-00008C0C0000}"/>
    <cellStyle name="UNLOCKED 9 3 2" xfId="36959" xr:uid="{00000000-0005-0000-0000-00008C0C0000}"/>
    <cellStyle name="UNLOCKED 9 4" xfId="8874" xr:uid="{00000000-0005-0000-0000-00008C0C0000}"/>
    <cellStyle name="UNLOCKED 9 5" xfId="11671" xr:uid="{00000000-0005-0000-0000-00008C0C0000}"/>
    <cellStyle name="UNLOCKED_Paragon" xfId="1007" xr:uid="{00000000-0005-0000-0000-00008D0C0000}"/>
    <cellStyle name="Unprot" xfId="925" xr:uid="{00000000-0005-0000-0000-00008E0C0000}"/>
    <cellStyle name="Unprot$" xfId="926" xr:uid="{00000000-0005-0000-0000-00008F0C0000}"/>
    <cellStyle name="Unprot_CurrencySKorea" xfId="1008" xr:uid="{00000000-0005-0000-0000-0000900C0000}"/>
    <cellStyle name="Unprotect" xfId="927" xr:uid="{00000000-0005-0000-0000-0000910C0000}"/>
    <cellStyle name="UnProtectedCalc" xfId="928" xr:uid="{00000000-0005-0000-0000-0000920C0000}"/>
    <cellStyle name="UnProtectedCalc 2" xfId="987" xr:uid="{00000000-0005-0000-0000-0000930C0000}"/>
    <cellStyle name="UnProtectedCalc 2 2" xfId="4157" xr:uid="{00000000-0005-0000-0000-0000930C0000}"/>
    <cellStyle name="UnProtectedCalc 3" xfId="1199" xr:uid="{00000000-0005-0000-0000-0000940C0000}"/>
    <cellStyle name="UnProtectedCalc 3 2" xfId="1479" xr:uid="{00000000-0005-0000-0000-0000950C0000}"/>
    <cellStyle name="UnProtectedCalc 3 2 2" xfId="4493" xr:uid="{00000000-0005-0000-0000-0000950C0000}"/>
    <cellStyle name="Unsure" xfId="929" xr:uid="{00000000-0005-0000-0000-0000960C0000}"/>
    <cellStyle name="Upload Only" xfId="930" xr:uid="{00000000-0005-0000-0000-0000970C0000}"/>
    <cellStyle name="User_Defined_A" xfId="931" xr:uid="{00000000-0005-0000-0000-0000980C0000}"/>
    <cellStyle name="Valuation" xfId="932" xr:uid="{00000000-0005-0000-0000-0000990C0000}"/>
    <cellStyle name="Valuation Bold" xfId="933" xr:uid="{00000000-0005-0000-0000-00009A0C0000}"/>
    <cellStyle name="Valuation_Citi_VZ_090806" xfId="934" xr:uid="{00000000-0005-0000-0000-00009B0C0000}"/>
    <cellStyle name="Value_TABLE-A" xfId="935" xr:uid="{00000000-0005-0000-0000-00009C0C0000}"/>
    <cellStyle name="ValueşTABLE-A" xfId="936" xr:uid="{00000000-0005-0000-0000-00009D0C0000}"/>
    <cellStyle name="ValueşTABLE-A 2" xfId="2289" xr:uid="{00000000-0005-0000-0000-00009E0C0000}"/>
    <cellStyle name="ValueşTABLE-A 3" xfId="2733" xr:uid="{00000000-0005-0000-0000-00009F0C0000}"/>
    <cellStyle name="Valuta (0)_riep" xfId="937" xr:uid="{00000000-0005-0000-0000-0000A00C0000}"/>
    <cellStyle name="Valuta_Company Summary (2)" xfId="938" xr:uid="{00000000-0005-0000-0000-0000A10C0000}"/>
    <cellStyle name="Valutš_CompanŹ SummarŹ (2)" xfId="939" xr:uid="{00000000-0005-0000-0000-0000A20C0000}"/>
    <cellStyle name="Volume" xfId="940" xr:uid="{00000000-0005-0000-0000-0000A30C0000}"/>
    <cellStyle name="Währung [0]_AddIn P+L Total" xfId="941" xr:uid="{00000000-0005-0000-0000-0000A40C0000}"/>
    <cellStyle name="Währung_AddIn P+L Total" xfId="942" xr:uid="{00000000-0005-0000-0000-0000A50C0000}"/>
    <cellStyle name="WähŲung_Addŉn P+L Total" xfId="943" xr:uid="{00000000-0005-0000-0000-0000A60C0000}"/>
    <cellStyle name="Warning Text" xfId="25" builtinId="11" customBuiltin="1"/>
    <cellStyle name="Warning Text 2" xfId="1520" xr:uid="{00000000-0005-0000-0000-0000A80C0000}"/>
    <cellStyle name="Warning Text 2 2" xfId="3934" xr:uid="{00000000-0005-0000-0000-000074000000}"/>
    <cellStyle name="Warning Text 3" xfId="3933" xr:uid="{00000000-0005-0000-0000-0000A41A0000}"/>
    <cellStyle name="Web Row Title 1" xfId="944" xr:uid="{00000000-0005-0000-0000-0000A90C0000}"/>
    <cellStyle name="Web Row Title 1 2" xfId="2290" xr:uid="{00000000-0005-0000-0000-0000AA0C0000}"/>
    <cellStyle name="Web Row Title 1 3" xfId="2734" xr:uid="{00000000-0005-0000-0000-0000AB0C0000}"/>
    <cellStyle name="Web Row Title 2" xfId="945" xr:uid="{00000000-0005-0000-0000-0000AC0C0000}"/>
    <cellStyle name="Web Row Title 2 2" xfId="2291" xr:uid="{00000000-0005-0000-0000-0000AD0C0000}"/>
    <cellStyle name="Web Row Title 2 3" xfId="2735" xr:uid="{00000000-0005-0000-0000-0000AE0C0000}"/>
    <cellStyle name="web_ normal" xfId="946" xr:uid="{00000000-0005-0000-0000-0000AF0C0000}"/>
    <cellStyle name="WǤhrung [0]_AddInĠP+L Total" xfId="947" xr:uid="{00000000-0005-0000-0000-0000B00C0000}"/>
    <cellStyle name="White" xfId="948" xr:uid="{00000000-0005-0000-0000-0000B10C0000}"/>
    <cellStyle name="White 2" xfId="2292" xr:uid="{00000000-0005-0000-0000-0000B20C0000}"/>
    <cellStyle name="White 3" xfId="2736" xr:uid="{00000000-0005-0000-0000-0000B30C0000}"/>
    <cellStyle name="WholeNumber" xfId="949" xr:uid="{00000000-0005-0000-0000-0000B40C0000}"/>
    <cellStyle name="WingdingsBlack" xfId="950" xr:uid="{00000000-0005-0000-0000-0000B50C0000}"/>
    <cellStyle name="WingdingsBlack 10" xfId="18210" xr:uid="{00000000-0005-0000-0000-0000B50C0000}"/>
    <cellStyle name="WingdingsBlack 10 2" xfId="36616" xr:uid="{00000000-0005-0000-0000-0000B50C0000}"/>
    <cellStyle name="WingdingsBlack 11" xfId="10890" xr:uid="{00000000-0005-0000-0000-0000B50C0000}"/>
    <cellStyle name="WingdingsBlack 12" xfId="8896" xr:uid="{00000000-0005-0000-0000-0000B50C0000}"/>
    <cellStyle name="WingdingsBlack 2" xfId="1192" xr:uid="{00000000-0005-0000-0000-0000B60C0000}"/>
    <cellStyle name="WingdingsBlack 2 2" xfId="4291" xr:uid="{00000000-0005-0000-0000-0000B60C0000}"/>
    <cellStyle name="WingdingsBlack 2 2 2" xfId="15036" xr:uid="{00000000-0005-0000-0000-0000B60C0000}"/>
    <cellStyle name="WingdingsBlack 2 2 2 2" xfId="33440" xr:uid="{00000000-0005-0000-0000-0000B60C0000}"/>
    <cellStyle name="WingdingsBlack 2 2 2 3" xfId="51803" xr:uid="{00000000-0005-0000-0000-0000B60C0000}"/>
    <cellStyle name="WingdingsBlack 2 2 3" xfId="24169" xr:uid="{00000000-0005-0000-0000-0000B60C0000}"/>
    <cellStyle name="WingdingsBlack 2 2 3 2" xfId="42538" xr:uid="{00000000-0005-0000-0000-0000B60C0000}"/>
    <cellStyle name="WingdingsBlack 2 2 4" xfId="20489" xr:uid="{00000000-0005-0000-0000-0000B60C0000}"/>
    <cellStyle name="WingdingsBlack 2 2 5" xfId="38887" xr:uid="{00000000-0005-0000-0000-0000B60C0000}"/>
    <cellStyle name="WingdingsBlack 2 3" xfId="18225" xr:uid="{00000000-0005-0000-0000-0000B60C0000}"/>
    <cellStyle name="WingdingsBlack 2 3 2" xfId="36631" xr:uid="{00000000-0005-0000-0000-0000B60C0000}"/>
    <cellStyle name="WingdingsBlack 2 4" xfId="10893" xr:uid="{00000000-0005-0000-0000-0000B60C0000}"/>
    <cellStyle name="WingdingsBlack 2 5" xfId="15051" xr:uid="{00000000-0005-0000-0000-0000B60C0000}"/>
    <cellStyle name="WingdingsBlack 3" xfId="1824" xr:uid="{00000000-0005-0000-0000-0000B70C0000}"/>
    <cellStyle name="WingdingsBlack 3 2" xfId="4750" xr:uid="{00000000-0005-0000-0000-0000B70C0000}"/>
    <cellStyle name="WingdingsBlack 3 2 2" xfId="15476" xr:uid="{00000000-0005-0000-0000-0000B70C0000}"/>
    <cellStyle name="WingdingsBlack 3 2 2 2" xfId="33869" xr:uid="{00000000-0005-0000-0000-0000B70C0000}"/>
    <cellStyle name="WingdingsBlack 3 2 2 3" xfId="52232" xr:uid="{00000000-0005-0000-0000-0000B70C0000}"/>
    <cellStyle name="WingdingsBlack 3 2 3" xfId="24600" xr:uid="{00000000-0005-0000-0000-0000B70C0000}"/>
    <cellStyle name="WingdingsBlack 3 2 3 2" xfId="42969" xr:uid="{00000000-0005-0000-0000-0000B70C0000}"/>
    <cellStyle name="WingdingsBlack 3 2 4" xfId="20927" xr:uid="{00000000-0005-0000-0000-0000B70C0000}"/>
    <cellStyle name="WingdingsBlack 3 2 5" xfId="39316" xr:uid="{00000000-0005-0000-0000-0000B70C0000}"/>
    <cellStyle name="WingdingsBlack 3 3" xfId="19261" xr:uid="{00000000-0005-0000-0000-0000B70C0000}"/>
    <cellStyle name="WingdingsBlack 3 3 2" xfId="37668" xr:uid="{00000000-0005-0000-0000-0000B70C0000}"/>
    <cellStyle name="WingdingsBlack 3 4" xfId="7552" xr:uid="{00000000-0005-0000-0000-0000B70C0000}"/>
    <cellStyle name="WingdingsBlack 3 5" xfId="7090" xr:uid="{00000000-0005-0000-0000-0000B70C0000}"/>
    <cellStyle name="WingdingsBlack 4" xfId="2293" xr:uid="{00000000-0005-0000-0000-0000B80C0000}"/>
    <cellStyle name="WingdingsBlack 4 2" xfId="4954" xr:uid="{00000000-0005-0000-0000-0000B80C0000}"/>
    <cellStyle name="WingdingsBlack 4 2 2" xfId="15672" xr:uid="{00000000-0005-0000-0000-0000B80C0000}"/>
    <cellStyle name="WingdingsBlack 4 2 2 2" xfId="34061" xr:uid="{00000000-0005-0000-0000-0000B80C0000}"/>
    <cellStyle name="WingdingsBlack 4 2 2 3" xfId="52424" xr:uid="{00000000-0005-0000-0000-0000B80C0000}"/>
    <cellStyle name="WingdingsBlack 4 2 3" xfId="24794" xr:uid="{00000000-0005-0000-0000-0000B80C0000}"/>
    <cellStyle name="WingdingsBlack 4 2 3 2" xfId="43163" xr:uid="{00000000-0005-0000-0000-0000B80C0000}"/>
    <cellStyle name="WingdingsBlack 4 2 4" xfId="21121" xr:uid="{00000000-0005-0000-0000-0000B80C0000}"/>
    <cellStyle name="WingdingsBlack 4 2 5" xfId="39508" xr:uid="{00000000-0005-0000-0000-0000B80C0000}"/>
    <cellStyle name="WingdingsBlack 4 3" xfId="19085" xr:uid="{00000000-0005-0000-0000-0000B80C0000}"/>
    <cellStyle name="WingdingsBlack 4 3 2" xfId="37493" xr:uid="{00000000-0005-0000-0000-0000B80C0000}"/>
    <cellStyle name="WingdingsBlack 4 4" xfId="8330" xr:uid="{00000000-0005-0000-0000-0000B80C0000}"/>
    <cellStyle name="WingdingsBlack 4 5" xfId="22262" xr:uid="{00000000-0005-0000-0000-0000B80C0000}"/>
    <cellStyle name="WingdingsBlack 5" xfId="2737" xr:uid="{00000000-0005-0000-0000-0000B90C0000}"/>
    <cellStyle name="WingdingsBlack 5 2" xfId="5118" xr:uid="{00000000-0005-0000-0000-0000B90C0000}"/>
    <cellStyle name="WingdingsBlack 5 2 2" xfId="15826" xr:uid="{00000000-0005-0000-0000-0000B90C0000}"/>
    <cellStyle name="WingdingsBlack 5 2 2 2" xfId="34211" xr:uid="{00000000-0005-0000-0000-0000B90C0000}"/>
    <cellStyle name="WingdingsBlack 5 2 2 3" xfId="52574" xr:uid="{00000000-0005-0000-0000-0000B90C0000}"/>
    <cellStyle name="WingdingsBlack 5 2 3" xfId="24948" xr:uid="{00000000-0005-0000-0000-0000B90C0000}"/>
    <cellStyle name="WingdingsBlack 5 2 3 2" xfId="43317" xr:uid="{00000000-0005-0000-0000-0000B90C0000}"/>
    <cellStyle name="WingdingsBlack 5 2 4" xfId="21273" xr:uid="{00000000-0005-0000-0000-0000B90C0000}"/>
    <cellStyle name="WingdingsBlack 5 2 5" xfId="39658" xr:uid="{00000000-0005-0000-0000-0000B90C0000}"/>
    <cellStyle name="WingdingsBlack 5 3" xfId="18920" xr:uid="{00000000-0005-0000-0000-0000B90C0000}"/>
    <cellStyle name="WingdingsBlack 5 3 2" xfId="37329" xr:uid="{00000000-0005-0000-0000-0000B90C0000}"/>
    <cellStyle name="WingdingsBlack 5 4" xfId="7748" xr:uid="{00000000-0005-0000-0000-0000B90C0000}"/>
    <cellStyle name="WingdingsBlack 5 5" xfId="35905" xr:uid="{00000000-0005-0000-0000-0000B90C0000}"/>
    <cellStyle name="WingdingsBlack 6" xfId="2911" xr:uid="{00000000-0005-0000-0000-0000BA0C0000}"/>
    <cellStyle name="WingdingsBlack 6 2" xfId="5184" xr:uid="{00000000-0005-0000-0000-0000BA0C0000}"/>
    <cellStyle name="WingdingsBlack 6 2 2" xfId="15876" xr:uid="{00000000-0005-0000-0000-0000BA0C0000}"/>
    <cellStyle name="WingdingsBlack 6 2 2 2" xfId="34250" xr:uid="{00000000-0005-0000-0000-0000BA0C0000}"/>
    <cellStyle name="WingdingsBlack 6 2 2 3" xfId="52613" xr:uid="{00000000-0005-0000-0000-0000BA0C0000}"/>
    <cellStyle name="WingdingsBlack 6 2 3" xfId="24997" xr:uid="{00000000-0005-0000-0000-0000BA0C0000}"/>
    <cellStyle name="WingdingsBlack 6 2 3 2" xfId="43366" xr:uid="{00000000-0005-0000-0000-0000BA0C0000}"/>
    <cellStyle name="WingdingsBlack 6 2 4" xfId="21318" xr:uid="{00000000-0005-0000-0000-0000BA0C0000}"/>
    <cellStyle name="WingdingsBlack 6 2 5" xfId="39697" xr:uid="{00000000-0005-0000-0000-0000BA0C0000}"/>
    <cellStyle name="WingdingsBlack 6 3" xfId="22933" xr:uid="{00000000-0005-0000-0000-0000BA0C0000}"/>
    <cellStyle name="WingdingsBlack 6 3 2" xfId="41302" xr:uid="{00000000-0005-0000-0000-0000BA0C0000}"/>
    <cellStyle name="WingdingsBlack 6 4" xfId="7538" xr:uid="{00000000-0005-0000-0000-0000BA0C0000}"/>
    <cellStyle name="WingdingsBlack 6 5" xfId="35935" xr:uid="{00000000-0005-0000-0000-0000BA0C0000}"/>
    <cellStyle name="WingdingsBlack 7" xfId="3151" xr:uid="{00000000-0005-0000-0000-0000BB0C0000}"/>
    <cellStyle name="WingdingsBlack 7 2" xfId="5370" xr:uid="{00000000-0005-0000-0000-0000BB0C0000}"/>
    <cellStyle name="WingdingsBlack 7 2 2" xfId="16062" xr:uid="{00000000-0005-0000-0000-0000BB0C0000}"/>
    <cellStyle name="WingdingsBlack 7 2 2 2" xfId="34435" xr:uid="{00000000-0005-0000-0000-0000BB0C0000}"/>
    <cellStyle name="WingdingsBlack 7 2 2 3" xfId="52798" xr:uid="{00000000-0005-0000-0000-0000BB0C0000}"/>
    <cellStyle name="WingdingsBlack 7 2 3" xfId="25182" xr:uid="{00000000-0005-0000-0000-0000BB0C0000}"/>
    <cellStyle name="WingdingsBlack 7 2 3 2" xfId="43551" xr:uid="{00000000-0005-0000-0000-0000BB0C0000}"/>
    <cellStyle name="WingdingsBlack 7 2 4" xfId="21503" xr:uid="{00000000-0005-0000-0000-0000BB0C0000}"/>
    <cellStyle name="WingdingsBlack 7 2 5" xfId="39882" xr:uid="{00000000-0005-0000-0000-0000BB0C0000}"/>
    <cellStyle name="WingdingsBlack 7 3" xfId="23111" xr:uid="{00000000-0005-0000-0000-0000BB0C0000}"/>
    <cellStyle name="WingdingsBlack 7 3 2" xfId="41480" xr:uid="{00000000-0005-0000-0000-0000BB0C0000}"/>
    <cellStyle name="WingdingsBlack 7 4" xfId="17688" xr:uid="{00000000-0005-0000-0000-0000BB0C0000}"/>
    <cellStyle name="WingdingsBlack 7 5" xfId="36113" xr:uid="{00000000-0005-0000-0000-0000BB0C0000}"/>
    <cellStyle name="WingdingsBlack 8" xfId="3190" xr:uid="{00000000-0005-0000-0000-0000BC0C0000}"/>
    <cellStyle name="WingdingsBlack 8 2" xfId="5397" xr:uid="{00000000-0005-0000-0000-0000BC0C0000}"/>
    <cellStyle name="WingdingsBlack 8 2 2" xfId="16088" xr:uid="{00000000-0005-0000-0000-0000BC0C0000}"/>
    <cellStyle name="WingdingsBlack 8 2 2 2" xfId="34460" xr:uid="{00000000-0005-0000-0000-0000BC0C0000}"/>
    <cellStyle name="WingdingsBlack 8 2 2 3" xfId="52823" xr:uid="{00000000-0005-0000-0000-0000BC0C0000}"/>
    <cellStyle name="WingdingsBlack 8 2 3" xfId="25207" xr:uid="{00000000-0005-0000-0000-0000BC0C0000}"/>
    <cellStyle name="WingdingsBlack 8 2 3 2" xfId="43576" xr:uid="{00000000-0005-0000-0000-0000BC0C0000}"/>
    <cellStyle name="WingdingsBlack 8 2 4" xfId="21528" xr:uid="{00000000-0005-0000-0000-0000BC0C0000}"/>
    <cellStyle name="WingdingsBlack 8 2 5" xfId="39907" xr:uid="{00000000-0005-0000-0000-0000BC0C0000}"/>
    <cellStyle name="WingdingsBlack 8 3" xfId="23136" xr:uid="{00000000-0005-0000-0000-0000BC0C0000}"/>
    <cellStyle name="WingdingsBlack 8 3 2" xfId="41505" xr:uid="{00000000-0005-0000-0000-0000BC0C0000}"/>
    <cellStyle name="WingdingsBlack 8 4" xfId="17717" xr:uid="{00000000-0005-0000-0000-0000BC0C0000}"/>
    <cellStyle name="WingdingsBlack 8 5" xfId="36138" xr:uid="{00000000-0005-0000-0000-0000BC0C0000}"/>
    <cellStyle name="WingdingsBlack 9" xfId="4147" xr:uid="{00000000-0005-0000-0000-0000B50C0000}"/>
    <cellStyle name="WingdingsBlack 9 2" xfId="14900" xr:uid="{00000000-0005-0000-0000-0000B50C0000}"/>
    <cellStyle name="WingdingsBlack 9 2 2" xfId="33306" xr:uid="{00000000-0005-0000-0000-0000B50C0000}"/>
    <cellStyle name="WingdingsBlack 9 2 3" xfId="51669" xr:uid="{00000000-0005-0000-0000-0000B50C0000}"/>
    <cellStyle name="WingdingsBlack 9 3" xfId="24031" xr:uid="{00000000-0005-0000-0000-0000B50C0000}"/>
    <cellStyle name="WingdingsBlack 9 3 2" xfId="42400" xr:uid="{00000000-0005-0000-0000-0000B50C0000}"/>
    <cellStyle name="WingdingsBlack 9 4" xfId="20354" xr:uid="{00000000-0005-0000-0000-0000B50C0000}"/>
    <cellStyle name="WingdingsBlack 9 5" xfId="38753" xr:uid="{00000000-0005-0000-0000-0000B50C0000}"/>
    <cellStyle name="WingdingsRed" xfId="951" xr:uid="{00000000-0005-0000-0000-0000BD0C0000}"/>
    <cellStyle name="WingdingsRed 10" xfId="19006" xr:uid="{00000000-0005-0000-0000-0000BD0C0000}"/>
    <cellStyle name="WingdingsRed 10 2" xfId="37415" xr:uid="{00000000-0005-0000-0000-0000BD0C0000}"/>
    <cellStyle name="WingdingsRed 11" xfId="8061" xr:uid="{00000000-0005-0000-0000-0000BD0C0000}"/>
    <cellStyle name="WingdingsRed 12" xfId="7191" xr:uid="{00000000-0005-0000-0000-0000BD0C0000}"/>
    <cellStyle name="WingdingsRed 2" xfId="1193" xr:uid="{00000000-0005-0000-0000-0000BE0C0000}"/>
    <cellStyle name="WingdingsRed 2 2" xfId="4292" xr:uid="{00000000-0005-0000-0000-0000BE0C0000}"/>
    <cellStyle name="WingdingsRed 2 2 2" xfId="15037" xr:uid="{00000000-0005-0000-0000-0000BE0C0000}"/>
    <cellStyle name="WingdingsRed 2 2 2 2" xfId="33441" xr:uid="{00000000-0005-0000-0000-0000BE0C0000}"/>
    <cellStyle name="WingdingsRed 2 2 2 3" xfId="51804" xr:uid="{00000000-0005-0000-0000-0000BE0C0000}"/>
    <cellStyle name="WingdingsRed 2 2 3" xfId="24170" xr:uid="{00000000-0005-0000-0000-0000BE0C0000}"/>
    <cellStyle name="WingdingsRed 2 2 3 2" xfId="42539" xr:uid="{00000000-0005-0000-0000-0000BE0C0000}"/>
    <cellStyle name="WingdingsRed 2 2 4" xfId="20490" xr:uid="{00000000-0005-0000-0000-0000BE0C0000}"/>
    <cellStyle name="WingdingsRed 2 2 5" xfId="38888" xr:uid="{00000000-0005-0000-0000-0000BE0C0000}"/>
    <cellStyle name="WingdingsRed 2 3" xfId="19519" xr:uid="{00000000-0005-0000-0000-0000BE0C0000}"/>
    <cellStyle name="WingdingsRed 2 3 2" xfId="37925" xr:uid="{00000000-0005-0000-0000-0000BE0C0000}"/>
    <cellStyle name="WingdingsRed 2 4" xfId="8059" xr:uid="{00000000-0005-0000-0000-0000BE0C0000}"/>
    <cellStyle name="WingdingsRed 2 5" xfId="7084" xr:uid="{00000000-0005-0000-0000-0000BE0C0000}"/>
    <cellStyle name="WingdingsRed 3" xfId="1823" xr:uid="{00000000-0005-0000-0000-0000BF0C0000}"/>
    <cellStyle name="WingdingsRed 3 2" xfId="4749" xr:uid="{00000000-0005-0000-0000-0000BF0C0000}"/>
    <cellStyle name="WingdingsRed 3 2 2" xfId="15475" xr:uid="{00000000-0005-0000-0000-0000BF0C0000}"/>
    <cellStyle name="WingdingsRed 3 2 2 2" xfId="33868" xr:uid="{00000000-0005-0000-0000-0000BF0C0000}"/>
    <cellStyle name="WingdingsRed 3 2 2 3" xfId="52231" xr:uid="{00000000-0005-0000-0000-0000BF0C0000}"/>
    <cellStyle name="WingdingsRed 3 2 3" xfId="24599" xr:uid="{00000000-0005-0000-0000-0000BF0C0000}"/>
    <cellStyle name="WingdingsRed 3 2 3 2" xfId="42968" xr:uid="{00000000-0005-0000-0000-0000BF0C0000}"/>
    <cellStyle name="WingdingsRed 3 2 4" xfId="20926" xr:uid="{00000000-0005-0000-0000-0000BF0C0000}"/>
    <cellStyle name="WingdingsRed 3 2 5" xfId="39315" xr:uid="{00000000-0005-0000-0000-0000BF0C0000}"/>
    <cellStyle name="WingdingsRed 3 3" xfId="19157" xr:uid="{00000000-0005-0000-0000-0000BF0C0000}"/>
    <cellStyle name="WingdingsRed 3 3 2" xfId="37565" xr:uid="{00000000-0005-0000-0000-0000BF0C0000}"/>
    <cellStyle name="WingdingsRed 3 4" xfId="11338" xr:uid="{00000000-0005-0000-0000-0000BF0C0000}"/>
    <cellStyle name="WingdingsRed 3 5" xfId="7472" xr:uid="{00000000-0005-0000-0000-0000BF0C0000}"/>
    <cellStyle name="WingdingsRed 4" xfId="2294" xr:uid="{00000000-0005-0000-0000-0000C00C0000}"/>
    <cellStyle name="WingdingsRed 4 2" xfId="4955" xr:uid="{00000000-0005-0000-0000-0000C00C0000}"/>
    <cellStyle name="WingdingsRed 4 2 2" xfId="15673" xr:uid="{00000000-0005-0000-0000-0000C00C0000}"/>
    <cellStyle name="WingdingsRed 4 2 2 2" xfId="34062" xr:uid="{00000000-0005-0000-0000-0000C00C0000}"/>
    <cellStyle name="WingdingsRed 4 2 2 3" xfId="52425" xr:uid="{00000000-0005-0000-0000-0000C00C0000}"/>
    <cellStyle name="WingdingsRed 4 2 3" xfId="24795" xr:uid="{00000000-0005-0000-0000-0000C00C0000}"/>
    <cellStyle name="WingdingsRed 4 2 3 2" xfId="43164" xr:uid="{00000000-0005-0000-0000-0000C00C0000}"/>
    <cellStyle name="WingdingsRed 4 2 4" xfId="21122" xr:uid="{00000000-0005-0000-0000-0000C00C0000}"/>
    <cellStyle name="WingdingsRed 4 2 5" xfId="39509" xr:uid="{00000000-0005-0000-0000-0000C00C0000}"/>
    <cellStyle name="WingdingsRed 4 3" xfId="18814" xr:uid="{00000000-0005-0000-0000-0000C00C0000}"/>
    <cellStyle name="WingdingsRed 4 3 2" xfId="37223" xr:uid="{00000000-0005-0000-0000-0000C00C0000}"/>
    <cellStyle name="WingdingsRed 4 4" xfId="7594" xr:uid="{00000000-0005-0000-0000-0000C00C0000}"/>
    <cellStyle name="WingdingsRed 4 5" xfId="10782" xr:uid="{00000000-0005-0000-0000-0000C00C0000}"/>
    <cellStyle name="WingdingsRed 5" xfId="2738" xr:uid="{00000000-0005-0000-0000-0000C10C0000}"/>
    <cellStyle name="WingdingsRed 5 2" xfId="5119" xr:uid="{00000000-0005-0000-0000-0000C10C0000}"/>
    <cellStyle name="WingdingsRed 5 2 2" xfId="15827" xr:uid="{00000000-0005-0000-0000-0000C10C0000}"/>
    <cellStyle name="WingdingsRed 5 2 2 2" xfId="34212" xr:uid="{00000000-0005-0000-0000-0000C10C0000}"/>
    <cellStyle name="WingdingsRed 5 2 2 3" xfId="52575" xr:uid="{00000000-0005-0000-0000-0000C10C0000}"/>
    <cellStyle name="WingdingsRed 5 2 3" xfId="24949" xr:uid="{00000000-0005-0000-0000-0000C10C0000}"/>
    <cellStyle name="WingdingsRed 5 2 3 2" xfId="43318" xr:uid="{00000000-0005-0000-0000-0000C10C0000}"/>
    <cellStyle name="WingdingsRed 5 2 4" xfId="21274" xr:uid="{00000000-0005-0000-0000-0000C10C0000}"/>
    <cellStyle name="WingdingsRed 5 2 5" xfId="39659" xr:uid="{00000000-0005-0000-0000-0000C10C0000}"/>
    <cellStyle name="WingdingsRed 5 3" xfId="19093" xr:uid="{00000000-0005-0000-0000-0000C10C0000}"/>
    <cellStyle name="WingdingsRed 5 3 2" xfId="37501" xr:uid="{00000000-0005-0000-0000-0000C10C0000}"/>
    <cellStyle name="WingdingsRed 5 4" xfId="8201" xr:uid="{00000000-0005-0000-0000-0000C10C0000}"/>
    <cellStyle name="WingdingsRed 5 5" xfId="35906" xr:uid="{00000000-0005-0000-0000-0000C10C0000}"/>
    <cellStyle name="WingdingsRed 6" xfId="2910" xr:uid="{00000000-0005-0000-0000-0000C20C0000}"/>
    <cellStyle name="WingdingsRed 6 2" xfId="5183" xr:uid="{00000000-0005-0000-0000-0000C20C0000}"/>
    <cellStyle name="WingdingsRed 6 2 2" xfId="15875" xr:uid="{00000000-0005-0000-0000-0000C20C0000}"/>
    <cellStyle name="WingdingsRed 6 2 2 2" xfId="34249" xr:uid="{00000000-0005-0000-0000-0000C20C0000}"/>
    <cellStyle name="WingdingsRed 6 2 2 3" xfId="52612" xr:uid="{00000000-0005-0000-0000-0000C20C0000}"/>
    <cellStyle name="WingdingsRed 6 2 3" xfId="24996" xr:uid="{00000000-0005-0000-0000-0000C20C0000}"/>
    <cellStyle name="WingdingsRed 6 2 3 2" xfId="43365" xr:uid="{00000000-0005-0000-0000-0000C20C0000}"/>
    <cellStyle name="WingdingsRed 6 2 4" xfId="21317" xr:uid="{00000000-0005-0000-0000-0000C20C0000}"/>
    <cellStyle name="WingdingsRed 6 2 5" xfId="39696" xr:uid="{00000000-0005-0000-0000-0000C20C0000}"/>
    <cellStyle name="WingdingsRed 6 3" xfId="22932" xr:uid="{00000000-0005-0000-0000-0000C20C0000}"/>
    <cellStyle name="WingdingsRed 6 3 2" xfId="41301" xr:uid="{00000000-0005-0000-0000-0000C20C0000}"/>
    <cellStyle name="WingdingsRed 6 4" xfId="7377" xr:uid="{00000000-0005-0000-0000-0000C20C0000}"/>
    <cellStyle name="WingdingsRed 6 5" xfId="35934" xr:uid="{00000000-0005-0000-0000-0000C20C0000}"/>
    <cellStyle name="WingdingsRed 7" xfId="3152" xr:uid="{00000000-0005-0000-0000-0000C30C0000}"/>
    <cellStyle name="WingdingsRed 7 2" xfId="5371" xr:uid="{00000000-0005-0000-0000-0000C30C0000}"/>
    <cellStyle name="WingdingsRed 7 2 2" xfId="16063" xr:uid="{00000000-0005-0000-0000-0000C30C0000}"/>
    <cellStyle name="WingdingsRed 7 2 2 2" xfId="34436" xr:uid="{00000000-0005-0000-0000-0000C30C0000}"/>
    <cellStyle name="WingdingsRed 7 2 2 3" xfId="52799" xr:uid="{00000000-0005-0000-0000-0000C30C0000}"/>
    <cellStyle name="WingdingsRed 7 2 3" xfId="25183" xr:uid="{00000000-0005-0000-0000-0000C30C0000}"/>
    <cellStyle name="WingdingsRed 7 2 3 2" xfId="43552" xr:uid="{00000000-0005-0000-0000-0000C30C0000}"/>
    <cellStyle name="WingdingsRed 7 2 4" xfId="21504" xr:uid="{00000000-0005-0000-0000-0000C30C0000}"/>
    <cellStyle name="WingdingsRed 7 2 5" xfId="39883" xr:uid="{00000000-0005-0000-0000-0000C30C0000}"/>
    <cellStyle name="WingdingsRed 7 3" xfId="23112" xr:uid="{00000000-0005-0000-0000-0000C30C0000}"/>
    <cellStyle name="WingdingsRed 7 3 2" xfId="41481" xr:uid="{00000000-0005-0000-0000-0000C30C0000}"/>
    <cellStyle name="WingdingsRed 7 4" xfId="17689" xr:uid="{00000000-0005-0000-0000-0000C30C0000}"/>
    <cellStyle name="WingdingsRed 7 5" xfId="36114" xr:uid="{00000000-0005-0000-0000-0000C30C0000}"/>
    <cellStyle name="WingdingsRed 8" xfId="3189" xr:uid="{00000000-0005-0000-0000-0000C40C0000}"/>
    <cellStyle name="WingdingsRed 8 2" xfId="5396" xr:uid="{00000000-0005-0000-0000-0000C40C0000}"/>
    <cellStyle name="WingdingsRed 8 2 2" xfId="16087" xr:uid="{00000000-0005-0000-0000-0000C40C0000}"/>
    <cellStyle name="WingdingsRed 8 2 2 2" xfId="34459" xr:uid="{00000000-0005-0000-0000-0000C40C0000}"/>
    <cellStyle name="WingdingsRed 8 2 2 3" xfId="52822" xr:uid="{00000000-0005-0000-0000-0000C40C0000}"/>
    <cellStyle name="WingdingsRed 8 2 3" xfId="25206" xr:uid="{00000000-0005-0000-0000-0000C40C0000}"/>
    <cellStyle name="WingdingsRed 8 2 3 2" xfId="43575" xr:uid="{00000000-0005-0000-0000-0000C40C0000}"/>
    <cellStyle name="WingdingsRed 8 2 4" xfId="21527" xr:uid="{00000000-0005-0000-0000-0000C40C0000}"/>
    <cellStyle name="WingdingsRed 8 2 5" xfId="39906" xr:uid="{00000000-0005-0000-0000-0000C40C0000}"/>
    <cellStyle name="WingdingsRed 8 3" xfId="23135" xr:uid="{00000000-0005-0000-0000-0000C40C0000}"/>
    <cellStyle name="WingdingsRed 8 3 2" xfId="41504" xr:uid="{00000000-0005-0000-0000-0000C40C0000}"/>
    <cellStyle name="WingdingsRed 8 4" xfId="17716" xr:uid="{00000000-0005-0000-0000-0000C40C0000}"/>
    <cellStyle name="WingdingsRed 8 5" xfId="36137" xr:uid="{00000000-0005-0000-0000-0000C40C0000}"/>
    <cellStyle name="WingdingsRed 9" xfId="4148" xr:uid="{00000000-0005-0000-0000-0000BD0C0000}"/>
    <cellStyle name="WingdingsRed 9 2" xfId="14901" xr:uid="{00000000-0005-0000-0000-0000BD0C0000}"/>
    <cellStyle name="WingdingsRed 9 2 2" xfId="33307" xr:uid="{00000000-0005-0000-0000-0000BD0C0000}"/>
    <cellStyle name="WingdingsRed 9 2 3" xfId="51670" xr:uid="{00000000-0005-0000-0000-0000BD0C0000}"/>
    <cellStyle name="WingdingsRed 9 3" xfId="24032" xr:uid="{00000000-0005-0000-0000-0000BD0C0000}"/>
    <cellStyle name="WingdingsRed 9 3 2" xfId="42401" xr:uid="{00000000-0005-0000-0000-0000BD0C0000}"/>
    <cellStyle name="WingdingsRed 9 4" xfId="20355" xr:uid="{00000000-0005-0000-0000-0000BD0C0000}"/>
    <cellStyle name="WingdingsRed 9 5" xfId="38754" xr:uid="{00000000-0005-0000-0000-0000BD0C0000}"/>
    <cellStyle name="WingdingsWhite" xfId="952" xr:uid="{00000000-0005-0000-0000-0000C50C0000}"/>
    <cellStyle name="WingdingsWhite 10" xfId="17953" xr:uid="{00000000-0005-0000-0000-0000C50C0000}"/>
    <cellStyle name="WingdingsWhite 10 2" xfId="36361" xr:uid="{00000000-0005-0000-0000-0000C50C0000}"/>
    <cellStyle name="WingdingsWhite 11" xfId="11345" xr:uid="{00000000-0005-0000-0000-0000C50C0000}"/>
    <cellStyle name="WingdingsWhite 12" xfId="7088" xr:uid="{00000000-0005-0000-0000-0000C50C0000}"/>
    <cellStyle name="WingdingsWhite 2" xfId="1194" xr:uid="{00000000-0005-0000-0000-0000C60C0000}"/>
    <cellStyle name="WingdingsWhite 2 2" xfId="4293" xr:uid="{00000000-0005-0000-0000-0000C60C0000}"/>
    <cellStyle name="WingdingsWhite 2 2 2" xfId="15038" xr:uid="{00000000-0005-0000-0000-0000C60C0000}"/>
    <cellStyle name="WingdingsWhite 2 2 2 2" xfId="33442" xr:uid="{00000000-0005-0000-0000-0000C60C0000}"/>
    <cellStyle name="WingdingsWhite 2 2 2 3" xfId="51805" xr:uid="{00000000-0005-0000-0000-0000C60C0000}"/>
    <cellStyle name="WingdingsWhite 2 2 3" xfId="24171" xr:uid="{00000000-0005-0000-0000-0000C60C0000}"/>
    <cellStyle name="WingdingsWhite 2 2 3 2" xfId="42540" xr:uid="{00000000-0005-0000-0000-0000C60C0000}"/>
    <cellStyle name="WingdingsWhite 2 2 4" xfId="20491" xr:uid="{00000000-0005-0000-0000-0000C60C0000}"/>
    <cellStyle name="WingdingsWhite 2 2 5" xfId="38889" xr:uid="{00000000-0005-0000-0000-0000C60C0000}"/>
    <cellStyle name="WingdingsWhite 2 3" xfId="19453" xr:uid="{00000000-0005-0000-0000-0000C60C0000}"/>
    <cellStyle name="WingdingsWhite 2 3 2" xfId="37859" xr:uid="{00000000-0005-0000-0000-0000C60C0000}"/>
    <cellStyle name="WingdingsWhite 2 4" xfId="7047" xr:uid="{00000000-0005-0000-0000-0000C60C0000}"/>
    <cellStyle name="WingdingsWhite 2 5" xfId="7301" xr:uid="{00000000-0005-0000-0000-0000C60C0000}"/>
    <cellStyle name="WingdingsWhite 3" xfId="1822" xr:uid="{00000000-0005-0000-0000-0000C70C0000}"/>
    <cellStyle name="WingdingsWhite 3 2" xfId="4748" xr:uid="{00000000-0005-0000-0000-0000C70C0000}"/>
    <cellStyle name="WingdingsWhite 3 2 2" xfId="15474" xr:uid="{00000000-0005-0000-0000-0000C70C0000}"/>
    <cellStyle name="WingdingsWhite 3 2 2 2" xfId="33867" xr:uid="{00000000-0005-0000-0000-0000C70C0000}"/>
    <cellStyle name="WingdingsWhite 3 2 2 3" xfId="52230" xr:uid="{00000000-0005-0000-0000-0000C70C0000}"/>
    <cellStyle name="WingdingsWhite 3 2 3" xfId="24598" xr:uid="{00000000-0005-0000-0000-0000C70C0000}"/>
    <cellStyle name="WingdingsWhite 3 2 3 2" xfId="42967" xr:uid="{00000000-0005-0000-0000-0000C70C0000}"/>
    <cellStyle name="WingdingsWhite 3 2 4" xfId="20925" xr:uid="{00000000-0005-0000-0000-0000C70C0000}"/>
    <cellStyle name="WingdingsWhite 3 2 5" xfId="39314" xr:uid="{00000000-0005-0000-0000-0000C70C0000}"/>
    <cellStyle name="WingdingsWhite 3 3" xfId="17880" xr:uid="{00000000-0005-0000-0000-0000C70C0000}"/>
    <cellStyle name="WingdingsWhite 3 3 2" xfId="36290" xr:uid="{00000000-0005-0000-0000-0000C70C0000}"/>
    <cellStyle name="WingdingsWhite 3 4" xfId="8054" xr:uid="{00000000-0005-0000-0000-0000C70C0000}"/>
    <cellStyle name="WingdingsWhite 3 5" xfId="11006" xr:uid="{00000000-0005-0000-0000-0000C70C0000}"/>
    <cellStyle name="WingdingsWhite 4" xfId="2295" xr:uid="{00000000-0005-0000-0000-0000C80C0000}"/>
    <cellStyle name="WingdingsWhite 4 2" xfId="4956" xr:uid="{00000000-0005-0000-0000-0000C80C0000}"/>
    <cellStyle name="WingdingsWhite 4 2 2" xfId="15674" xr:uid="{00000000-0005-0000-0000-0000C80C0000}"/>
    <cellStyle name="WingdingsWhite 4 2 2 2" xfId="34063" xr:uid="{00000000-0005-0000-0000-0000C80C0000}"/>
    <cellStyle name="WingdingsWhite 4 2 2 3" xfId="52426" xr:uid="{00000000-0005-0000-0000-0000C80C0000}"/>
    <cellStyle name="WingdingsWhite 4 2 3" xfId="24796" xr:uid="{00000000-0005-0000-0000-0000C80C0000}"/>
    <cellStyle name="WingdingsWhite 4 2 3 2" xfId="43165" xr:uid="{00000000-0005-0000-0000-0000C80C0000}"/>
    <cellStyle name="WingdingsWhite 4 2 4" xfId="21123" xr:uid="{00000000-0005-0000-0000-0000C80C0000}"/>
    <cellStyle name="WingdingsWhite 4 2 5" xfId="39510" xr:uid="{00000000-0005-0000-0000-0000C80C0000}"/>
    <cellStyle name="WingdingsWhite 4 3" xfId="19178" xr:uid="{00000000-0005-0000-0000-0000C80C0000}"/>
    <cellStyle name="WingdingsWhite 4 3 2" xfId="37586" xr:uid="{00000000-0005-0000-0000-0000C80C0000}"/>
    <cellStyle name="WingdingsWhite 4 4" xfId="4079" xr:uid="{00000000-0005-0000-0000-0000C80C0000}"/>
    <cellStyle name="WingdingsWhite 4 5" xfId="7033" xr:uid="{00000000-0005-0000-0000-0000C80C0000}"/>
    <cellStyle name="WingdingsWhite 5" xfId="2739" xr:uid="{00000000-0005-0000-0000-0000C90C0000}"/>
    <cellStyle name="WingdingsWhite 5 2" xfId="5120" xr:uid="{00000000-0005-0000-0000-0000C90C0000}"/>
    <cellStyle name="WingdingsWhite 5 2 2" xfId="15828" xr:uid="{00000000-0005-0000-0000-0000C90C0000}"/>
    <cellStyle name="WingdingsWhite 5 2 2 2" xfId="34213" xr:uid="{00000000-0005-0000-0000-0000C90C0000}"/>
    <cellStyle name="WingdingsWhite 5 2 2 3" xfId="52576" xr:uid="{00000000-0005-0000-0000-0000C90C0000}"/>
    <cellStyle name="WingdingsWhite 5 2 3" xfId="24950" xr:uid="{00000000-0005-0000-0000-0000C90C0000}"/>
    <cellStyle name="WingdingsWhite 5 2 3 2" xfId="43319" xr:uid="{00000000-0005-0000-0000-0000C90C0000}"/>
    <cellStyle name="WingdingsWhite 5 2 4" xfId="21275" xr:uid="{00000000-0005-0000-0000-0000C90C0000}"/>
    <cellStyle name="WingdingsWhite 5 2 5" xfId="39660" xr:uid="{00000000-0005-0000-0000-0000C90C0000}"/>
    <cellStyle name="WingdingsWhite 5 3" xfId="18351" xr:uid="{00000000-0005-0000-0000-0000C90C0000}"/>
    <cellStyle name="WingdingsWhite 5 3 2" xfId="36757" xr:uid="{00000000-0005-0000-0000-0000C90C0000}"/>
    <cellStyle name="WingdingsWhite 5 4" xfId="7161" xr:uid="{00000000-0005-0000-0000-0000C90C0000}"/>
    <cellStyle name="WingdingsWhite 5 5" xfId="35907" xr:uid="{00000000-0005-0000-0000-0000C90C0000}"/>
    <cellStyle name="WingdingsWhite 6" xfId="2909" xr:uid="{00000000-0005-0000-0000-0000CA0C0000}"/>
    <cellStyle name="WingdingsWhite 6 2" xfId="5182" xr:uid="{00000000-0005-0000-0000-0000CA0C0000}"/>
    <cellStyle name="WingdingsWhite 6 2 2" xfId="15874" xr:uid="{00000000-0005-0000-0000-0000CA0C0000}"/>
    <cellStyle name="WingdingsWhite 6 2 2 2" xfId="34248" xr:uid="{00000000-0005-0000-0000-0000CA0C0000}"/>
    <cellStyle name="WingdingsWhite 6 2 2 3" xfId="52611" xr:uid="{00000000-0005-0000-0000-0000CA0C0000}"/>
    <cellStyle name="WingdingsWhite 6 2 3" xfId="24995" xr:uid="{00000000-0005-0000-0000-0000CA0C0000}"/>
    <cellStyle name="WingdingsWhite 6 2 3 2" xfId="43364" xr:uid="{00000000-0005-0000-0000-0000CA0C0000}"/>
    <cellStyle name="WingdingsWhite 6 2 4" xfId="21316" xr:uid="{00000000-0005-0000-0000-0000CA0C0000}"/>
    <cellStyle name="WingdingsWhite 6 2 5" xfId="39695" xr:uid="{00000000-0005-0000-0000-0000CA0C0000}"/>
    <cellStyle name="WingdingsWhite 6 3" xfId="22931" xr:uid="{00000000-0005-0000-0000-0000CA0C0000}"/>
    <cellStyle name="WingdingsWhite 6 3 2" xfId="41300" xr:uid="{00000000-0005-0000-0000-0000CA0C0000}"/>
    <cellStyle name="WingdingsWhite 6 4" xfId="7376" xr:uid="{00000000-0005-0000-0000-0000CA0C0000}"/>
    <cellStyle name="WingdingsWhite 6 5" xfId="35933" xr:uid="{00000000-0005-0000-0000-0000CA0C0000}"/>
    <cellStyle name="WingdingsWhite 7" xfId="3153" xr:uid="{00000000-0005-0000-0000-0000CB0C0000}"/>
    <cellStyle name="WingdingsWhite 7 2" xfId="5372" xr:uid="{00000000-0005-0000-0000-0000CB0C0000}"/>
    <cellStyle name="WingdingsWhite 7 2 2" xfId="16064" xr:uid="{00000000-0005-0000-0000-0000CB0C0000}"/>
    <cellStyle name="WingdingsWhite 7 2 2 2" xfId="34437" xr:uid="{00000000-0005-0000-0000-0000CB0C0000}"/>
    <cellStyle name="WingdingsWhite 7 2 2 3" xfId="52800" xr:uid="{00000000-0005-0000-0000-0000CB0C0000}"/>
    <cellStyle name="WingdingsWhite 7 2 3" xfId="25184" xr:uid="{00000000-0005-0000-0000-0000CB0C0000}"/>
    <cellStyle name="WingdingsWhite 7 2 3 2" xfId="43553" xr:uid="{00000000-0005-0000-0000-0000CB0C0000}"/>
    <cellStyle name="WingdingsWhite 7 2 4" xfId="21505" xr:uid="{00000000-0005-0000-0000-0000CB0C0000}"/>
    <cellStyle name="WingdingsWhite 7 2 5" xfId="39884" xr:uid="{00000000-0005-0000-0000-0000CB0C0000}"/>
    <cellStyle name="WingdingsWhite 7 3" xfId="23113" xr:uid="{00000000-0005-0000-0000-0000CB0C0000}"/>
    <cellStyle name="WingdingsWhite 7 3 2" xfId="41482" xr:uid="{00000000-0005-0000-0000-0000CB0C0000}"/>
    <cellStyle name="WingdingsWhite 7 4" xfId="17690" xr:uid="{00000000-0005-0000-0000-0000CB0C0000}"/>
    <cellStyle name="WingdingsWhite 7 5" xfId="36115" xr:uid="{00000000-0005-0000-0000-0000CB0C0000}"/>
    <cellStyle name="WingdingsWhite 8" xfId="3188" xr:uid="{00000000-0005-0000-0000-0000CC0C0000}"/>
    <cellStyle name="WingdingsWhite 8 2" xfId="5395" xr:uid="{00000000-0005-0000-0000-0000CC0C0000}"/>
    <cellStyle name="WingdingsWhite 8 2 2" xfId="16086" xr:uid="{00000000-0005-0000-0000-0000CC0C0000}"/>
    <cellStyle name="WingdingsWhite 8 2 2 2" xfId="34458" xr:uid="{00000000-0005-0000-0000-0000CC0C0000}"/>
    <cellStyle name="WingdingsWhite 8 2 2 3" xfId="52821" xr:uid="{00000000-0005-0000-0000-0000CC0C0000}"/>
    <cellStyle name="WingdingsWhite 8 2 3" xfId="25205" xr:uid="{00000000-0005-0000-0000-0000CC0C0000}"/>
    <cellStyle name="WingdingsWhite 8 2 3 2" xfId="43574" xr:uid="{00000000-0005-0000-0000-0000CC0C0000}"/>
    <cellStyle name="WingdingsWhite 8 2 4" xfId="21526" xr:uid="{00000000-0005-0000-0000-0000CC0C0000}"/>
    <cellStyle name="WingdingsWhite 8 2 5" xfId="39905" xr:uid="{00000000-0005-0000-0000-0000CC0C0000}"/>
    <cellStyle name="WingdingsWhite 8 3" xfId="23134" xr:uid="{00000000-0005-0000-0000-0000CC0C0000}"/>
    <cellStyle name="WingdingsWhite 8 3 2" xfId="41503" xr:uid="{00000000-0005-0000-0000-0000CC0C0000}"/>
    <cellStyle name="WingdingsWhite 8 4" xfId="17715" xr:uid="{00000000-0005-0000-0000-0000CC0C0000}"/>
    <cellStyle name="WingdingsWhite 8 5" xfId="36136" xr:uid="{00000000-0005-0000-0000-0000CC0C0000}"/>
    <cellStyle name="WingdingsWhite 9" xfId="4149" xr:uid="{00000000-0005-0000-0000-0000C50C0000}"/>
    <cellStyle name="WingdingsWhite 9 2" xfId="14902" xr:uid="{00000000-0005-0000-0000-0000C50C0000}"/>
    <cellStyle name="WingdingsWhite 9 2 2" xfId="33308" xr:uid="{00000000-0005-0000-0000-0000C50C0000}"/>
    <cellStyle name="WingdingsWhite 9 2 3" xfId="51671" xr:uid="{00000000-0005-0000-0000-0000C50C0000}"/>
    <cellStyle name="WingdingsWhite 9 3" xfId="24033" xr:uid="{00000000-0005-0000-0000-0000C50C0000}"/>
    <cellStyle name="WingdingsWhite 9 3 2" xfId="42402" xr:uid="{00000000-0005-0000-0000-0000C50C0000}"/>
    <cellStyle name="WingdingsWhite 9 4" xfId="20356" xr:uid="{00000000-0005-0000-0000-0000C50C0000}"/>
    <cellStyle name="WingdingsWhite 9 5" xfId="38755" xr:uid="{00000000-0005-0000-0000-0000C50C0000}"/>
    <cellStyle name="WP" xfId="953" xr:uid="{00000000-0005-0000-0000-0000CD0C0000}"/>
    <cellStyle name="WrappedBold" xfId="954" xr:uid="{00000000-0005-0000-0000-0000CE0C0000}"/>
    <cellStyle name="x Men" xfId="955" xr:uid="{00000000-0005-0000-0000-0000CF0C0000}"/>
    <cellStyle name="Year" xfId="956" xr:uid="{00000000-0005-0000-0000-0000D00C0000}"/>
    <cellStyle name="Year 2" xfId="2740" xr:uid="{00000000-0005-0000-0000-0000D10C0000}"/>
    <cellStyle name="YearInput" xfId="957" xr:uid="{00000000-0005-0000-0000-0000D20C0000}"/>
    <cellStyle name="YearInput 2" xfId="2296" xr:uid="{00000000-0005-0000-0000-0000D30C0000}"/>
    <cellStyle name="YearInput 3" xfId="2741" xr:uid="{00000000-0005-0000-0000-0000D40C0000}"/>
    <cellStyle name="YearInputBk" xfId="958" xr:uid="{00000000-0005-0000-0000-0000D50C0000}"/>
    <cellStyle name="YearInputBk 2" xfId="2908" xr:uid="{00000000-0005-0000-0000-0000D60C0000}"/>
    <cellStyle name="YearInputBk 3" xfId="3187" xr:uid="{00000000-0005-0000-0000-0000D70C0000}"/>
    <cellStyle name="YearInputBu" xfId="959" xr:uid="{00000000-0005-0000-0000-0000D80C0000}"/>
    <cellStyle name="YearInputBu 2" xfId="3143" xr:uid="{00000000-0005-0000-0000-0000D90C0000}"/>
    <cellStyle name="YearInputBu 3" xfId="3186" xr:uid="{00000000-0005-0000-0000-0000DA0C0000}"/>
    <cellStyle name="yellow" xfId="960" xr:uid="{00000000-0005-0000-0000-0000DB0C0000}"/>
    <cellStyle name="yellow 2" xfId="2297" xr:uid="{00000000-0005-0000-0000-0000DC0C0000}"/>
    <cellStyle name="yellow 3" xfId="2742" xr:uid="{00000000-0005-0000-0000-0000DD0C0000}"/>
    <cellStyle name="Yen" xfId="961" xr:uid="{00000000-0005-0000-0000-0000DE0C0000}"/>
    <cellStyle name="ZZ_Figures_Main" xfId="962" xr:uid="{00000000-0005-0000-0000-0000DF0C0000}"/>
    <cellStyle name="ハイパーリンク" xfId="963" xr:uid="{00000000-0005-0000-0000-0000E00C0000}"/>
    <cellStyle name="ハイパーリンク 2" xfId="2298" xr:uid="{00000000-0005-0000-0000-0000E10C0000}"/>
    <cellStyle name="ハイパーリンク 3" xfId="2743" xr:uid="{00000000-0005-0000-0000-0000E20C0000}"/>
    <cellStyle name="標準_1951_0006" xfId="964" xr:uid="{00000000-0005-0000-0000-0000E30C0000}"/>
  </cellStyles>
  <dxfs count="35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ill>
        <patternFill patternType="solid">
          <fgColor rgb="FFDBE5F1"/>
          <bgColor rgb="FFDBE5F1"/>
        </patternFill>
      </fill>
      <border>
        <bottom style="thin">
          <color rgb="FF95B3D7"/>
        </bottom>
      </border>
    </dxf>
    <dxf>
      <fill>
        <patternFill patternType="solid">
          <fgColor rgb="FFDBE5F1"/>
          <bgColor rgb="FFDBE5F1"/>
        </patternFill>
      </fill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F81BD"/>
        </top>
        <bottom style="thin">
          <color rgb="FF4F81BD"/>
        </bottom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8D8D8"/>
          <bgColor rgb="FFD8D8D8"/>
        </patternFill>
      </fill>
    </dxf>
    <dxf>
      <font>
        <b/>
        <color rgb="FF000000"/>
      </font>
      <fill>
        <patternFill patternType="solid">
          <fgColor rgb="FFDBE5F1"/>
          <bgColor rgb="FFDBE5F1"/>
        </patternFill>
      </fill>
      <border>
        <top style="thin">
          <color rgb="FF95B3D7"/>
        </top>
      </border>
    </dxf>
    <dxf>
      <font>
        <b/>
        <color rgb="FF000000"/>
      </font>
      <fill>
        <patternFill patternType="solid">
          <fgColor rgb="FFDBE5F1"/>
          <bgColor rgb="FFDBE5F1"/>
        </patternFill>
      </fill>
      <border>
        <bottom style="thin">
          <color rgb="FF95B3D7"/>
        </bottom>
      </border>
    </dxf>
  </dxfs>
  <tableStyles count="2" defaultTableStyle="TableStyleMedium2" defaultPivotStyle="PivotStyleLight16">
    <tableStyle name="PivotStyleLight16 2" table="0" count="11" xr9:uid="{00000000-0011-0000-FFFF-FFFF00000000}">
      <tableStyleElement type="headerRow" dxfId="34"/>
      <tableStyleElement type="totalRow" dxfId="33"/>
      <tableStyleElement type="firstRowStripe" dxfId="32"/>
      <tableStyleElement type="firstColumnStripe" dxfId="31"/>
      <tableStyleElement type="firstSubtotalColumn" dxfId="30"/>
      <tableStyleElement type="firstSubtotalRow" dxfId="29"/>
      <tableStyleElement type="secondSubtotalRow" dxfId="28"/>
      <tableStyleElement type="firstRowSubheading" dxfId="27"/>
      <tableStyleElement type="secondRowSubheading" dxfId="26"/>
      <tableStyleElement type="pageFieldLabels" dxfId="25"/>
      <tableStyleElement type="pageFieldValues" dxfId="24"/>
    </tableStyle>
    <tableStyle name="Invisible" pivot="0" table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4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externalLink" Target="externalLinks/externalLink17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Nbarakat\statements\2001\October_2001\October-loans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USERS\Nbarakat\statements\2000\apr-2000\Apr-loa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f0564\Oppenheimer\AUGUSTA\Accounting\Annual\2003\ALPAUD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efrat.PENNANT\Local%20Settings\Temporary%20Internet%20Files\Content.Outlook\YLQXN4XZ\PNNT%202007%20Turnover2verison2%20(3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skvarla\Application%20Data\Microsoft\Excel\Financials\Portfolio%20Turnover_Cost%20Roll%20Forwar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efrat\Expenses\Expense%20Report%20Maste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mcilravy\AppData\Local\Microsoft\Windows\Temporary%20Internet%20Files\Content.Outlook\EZRYMNRX\Twin%20Brook%20Capital%20Funding%201_Cash%20Flow%20as%20of%2009%2024%2015%20(3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skvarla\Local%20Settings\Temporary%20Internet%20Files\Content.Outlook\OIOAMF0S\63007Qb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RKSHEET\PRICING\METWEST\2312\DailyWork\MW20IOClose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efrat\2010%20Financial%20Statements\201001%20Monthly%20Package\Geneva%20Conversion%20Testing\Geneva%20Conversion%20Tracking%20&amp;%20Knowledge%20Management%202.16.2010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RKSHEET\PRICING\Chapman\0727\MonthEnd\DE10monthendNovemberr20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inancials\FYE%20200909\200909%2010-K\September%2030%202009%20Financial%20Statements%20Draf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efrat\2009%20Financial%20Statements\Form%2010-K\200909%2010-K\September%2030%202009%20Financial%20Statements%20Workpaper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f0564\Oppenheimer\AUGUSTA\Accounting\Annual\2002\ALPAUD0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lient%20Work%20Papers\ABR\Phase%202-Documentation\RAs\LSE%20RA%20Investments_in_Securities0215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Y%202008%20Financials\September%202008%20Financials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dalfalla.PENNANT\Desktop\PFLT%20Subsidiary%20Monitoring\PFRF%20I%20LLC%20Monthly%20FS%20Package%20201107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N:\PennantPark%20Floating%20Rate%20Fund\PennantPark%20Floating%20Rate%20Funding%20I%20LLC\Credit%20Facility%20-%20Compliance\2025%20-%2008%20Aug\Copy%20of%20PFLT%20Sub%20-%20Borrowing%20Base%20-%2008.25.2025%20vBorrow_2.xlsx" TargetMode="External"/><Relationship Id="rId1" Type="http://schemas.openxmlformats.org/officeDocument/2006/relationships/externalLinkPath" Target="file:///N:\PennantPark%20Floating%20Rate%20Fund\PennantPark%20Floating%20Rate%20Funding%20I%20LLC\Credit%20Facility%20-%20Compliance\2025%20-%2008%20Aug\Copy%20of%20PFLT%20Sub%20-%20Borrowing%20Base%20-%2008.25.2025%20vBorrow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Sheet6"/>
      <sheetName val="1st union"/>
      <sheetName val="Sheet5"/>
      <sheetName val="Sheet2"/>
      <sheetName val="Sheet1"/>
      <sheetName val="summary1"/>
      <sheetName val="return "/>
      <sheetName val="detail"/>
      <sheetName val="amicus11-6"/>
      <sheetName val="GLjune"/>
      <sheetName val="bank summ"/>
      <sheetName val="FLOORS"/>
      <sheetName val="calc"/>
      <sheetName val="Oaktree"/>
      <sheetName val="cf Lender"/>
      <sheetName val="volume-rate"/>
      <sheetName val="volume-rate (2)"/>
      <sheetName val="Sheet4"/>
      <sheetName val="Sheet3"/>
      <sheetName val="Sheet7"/>
      <sheetName val="rate_vol_oct"/>
      <sheetName val="Rate_vol_YTD"/>
      <sheetName val="rate_vol-Proj"/>
      <sheetName val="rate_vol-00-01"/>
      <sheetName val="Aggregate Borrowing Base"/>
      <sheetName val="Schedules"/>
      <sheetName val="Tables"/>
      <sheetName val="GL Tape"/>
      <sheetName val="Risk Rating"/>
      <sheetName val="Caa_CCC"/>
      <sheetName val="Rating Database"/>
      <sheetName val="Moodys"/>
      <sheetName val="S&amp;P"/>
      <sheetName val="Fitch"/>
      <sheetName val="CLO 2017-1"/>
      <sheetName val="BENCH"/>
      <sheetName val="Estimated Payoffs "/>
      <sheetName val="Monthly Facility Detail Prod"/>
      <sheetName val="Holdco Loan Tape"/>
      <sheetName val="Concentration Limits"/>
      <sheetName val="BBC"/>
      <sheetName val="Trial Balance"/>
      <sheetName val="Trend"/>
      <sheetName val="Strat"/>
      <sheetName val="Pivot Table"/>
      <sheetName val="MPD Chart"/>
      <sheetName val="Sales&amp;Amort Requirements"/>
      <sheetName val="Mods"/>
      <sheetName val="Waived Exceptions"/>
      <sheetName val="Standard Loan List"/>
      <sheetName val="Borrowing Base Certificate"/>
      <sheetName val="Portfolio"/>
      <sheetName val="Collateral Quality Tests"/>
      <sheetName val="Foreign Exchange"/>
      <sheetName val="Effective Obligor"/>
      <sheetName val="Interest (Absent an EoD)"/>
      <sheetName val="Principal (Absent an EoD)"/>
      <sheetName val="Borrowing Base-Original"/>
      <sheetName val="Loan List"/>
      <sheetName val="WAR Calc"/>
      <sheetName val="DRR Inputs"/>
      <sheetName val="D-700 1042 S Info"/>
      <sheetName val="Form 8937"/>
      <sheetName val="D-85 Required Distribution Test"/>
      <sheetName val="D- 95 Distribution - Excise Tax"/>
      <sheetName val="D-75 ROCSOP"/>
      <sheetName val="D-76 Cumulative M-1s"/>
      <sheetName val="D-60 ES Payments"/>
      <sheetName val="D-100 Income Stmt"/>
      <sheetName val="D-110 871(k) Designation"/>
      <sheetName val="D-120 M-1 Summary "/>
      <sheetName val="D-121 Schedule M-1 - 1120 RIC"/>
      <sheetName val="D-125 Other Income"/>
      <sheetName val="D-175 Line 16"/>
      <sheetName val="D-140 Share Ownership"/>
      <sheetName val="D-141 Shareholder Register"/>
      <sheetName val="D-310 Flow Through Income"/>
      <sheetName val="D-430 Amort. of Org Costs"/>
      <sheetName val="D-500 Dividend Distributions"/>
      <sheetName val="D-700 Capital Loss Carryforward"/>
      <sheetName val="Instructions"/>
      <sheetName val="FINANCIALS ----&gt;"/>
      <sheetName val="BS Aggregate"/>
      <sheetName val="OPS Aggregate"/>
      <sheetName val="Members' Capital"/>
      <sheetName val="Cash Flow"/>
      <sheetName val="Port Co Activity"/>
      <sheetName val="Level III Roll"/>
      <sheetName val="LEDGER ----&gt;"/>
      <sheetName val="GL Summary"/>
      <sheetName val="SS TB Sleeve"/>
      <sheetName val="Prof Fees and Admin"/>
      <sheetName val="Cash"/>
      <sheetName val="OL"/>
      <sheetName val="Inv Cost Roll"/>
      <sheetName val="Inv Par Roll"/>
      <sheetName val="WSO Principal Tranx Rpt"/>
      <sheetName val="APAR"/>
      <sheetName val="OA"/>
      <sheetName val="Prepaid Expenses"/>
      <sheetName val="Unsettled - Liab"/>
      <sheetName val="Mgmt Fee Pay"/>
      <sheetName val="Deferred Debt Financing"/>
      <sheetName val="Deferred Offering"/>
      <sheetName val="Contr.Distr"/>
      <sheetName val="Distribution Payable"/>
      <sheetName val="Income"/>
      <sheetName val="Interest Exp"/>
      <sheetName val="Mgmt Fee Detail"/>
      <sheetName val="Incentive Fee Detail"/>
      <sheetName val="WSO BV Report"/>
      <sheetName val="WSO EIC Report"/>
      <sheetName val="WSO Misc Fees Report"/>
      <sheetName val="WSO EI Report"/>
      <sheetName val="Lookups"/>
      <sheetName val="Diversity Score Calculator"/>
      <sheetName val="synthgraph"/>
      <sheetName val="Map_Database"/>
      <sheetName val="Facility_Status"/>
      <sheetName val="EV_ClientList"/>
      <sheetName val="1st_union"/>
      <sheetName val="return_"/>
      <sheetName val="bank_summ"/>
      <sheetName val="cf_Lender"/>
      <sheetName val="volume-rate_(2)"/>
      <sheetName val="Aggregate_Borrowing_Base"/>
      <sheetName val="GL_Tape"/>
      <sheetName val="Risk_Rating"/>
      <sheetName val="Rating_Database"/>
      <sheetName val="CLO_2017-1"/>
      <sheetName val="Estimated_Payoffs_"/>
      <sheetName val="Monthly_Facility_Detail_Prod"/>
      <sheetName val="Holdco_Loan_Tape"/>
      <sheetName val="Concentration_Limits"/>
      <sheetName val="Trial_Balance"/>
      <sheetName val="Pivot_Table"/>
      <sheetName val="MPD_Chart"/>
      <sheetName val="Sales&amp;Amort_Requirements"/>
      <sheetName val="Waived_Exceptions"/>
      <sheetName val="Standard_Loan_List"/>
      <sheetName val="Borrowing_Base_Certificate"/>
      <sheetName val="Collateral_Quality_Tests"/>
      <sheetName val="Foreign_Exchange"/>
      <sheetName val="Effective_Obligor"/>
      <sheetName val="Interest_(Absent_an_EoD)"/>
      <sheetName val="Principal_(Absent_an_EoD)"/>
      <sheetName val="Borrowing_Base-Original"/>
      <sheetName val="Loan_List"/>
      <sheetName val="WAR_Calc"/>
      <sheetName val="DRR_Inputs"/>
      <sheetName val="D-700_1042_S_Info"/>
      <sheetName val="Form_8937"/>
      <sheetName val="D-85_Required_Distribution_Test"/>
      <sheetName val="D-_95_Distribution_-_Excise_Tax"/>
      <sheetName val="D-75_ROCSOP"/>
      <sheetName val="D-76_Cumulative_M-1s"/>
      <sheetName val="D-60_ES_Payments"/>
      <sheetName val="D-100_Income_Stmt"/>
      <sheetName val="D-110_871(k)_Designation"/>
      <sheetName val="D-120_M-1_Summary_"/>
      <sheetName val="D-121_Schedule_M-1_-_1120_RIC"/>
      <sheetName val="D-125_Other_Income"/>
      <sheetName val="D-175_Line_16"/>
      <sheetName val="D-140_Share_Ownership"/>
      <sheetName val="D-141_Shareholder_Register"/>
      <sheetName val="D-310_Flow_Through_Income"/>
      <sheetName val="D-430_Amort__of_Org_Costs"/>
      <sheetName val="D-500_Dividend_Distributions"/>
      <sheetName val="D-700_Capital_Loss_Carryforward"/>
      <sheetName val="FINANCIALS_----&gt;"/>
      <sheetName val="BS_Aggregate"/>
      <sheetName val="OPS_Aggregate"/>
      <sheetName val="Members'_Capital"/>
      <sheetName val="Cash_Flow"/>
      <sheetName val="Port_Co_Activity"/>
      <sheetName val="Level_III_Roll"/>
      <sheetName val="LEDGER_----&gt;"/>
      <sheetName val="GL_Summary"/>
      <sheetName val="SS_TB_Sleeve"/>
      <sheetName val="Prof_Fees_and_Admin"/>
      <sheetName val="Inv_Cost_Roll"/>
      <sheetName val="Inv_Par_Roll"/>
      <sheetName val="WSO_Principal_Tranx_Rpt"/>
      <sheetName val="Prepaid_Expenses"/>
      <sheetName val="Unsettled_-_Liab"/>
      <sheetName val="Mgmt_Fee_Pay"/>
      <sheetName val="Deferred_Debt_Financing"/>
      <sheetName val="Deferred_Offering"/>
      <sheetName val="Contr_Distr"/>
      <sheetName val="Distribution_Payable"/>
      <sheetName val="Interest_Exp"/>
      <sheetName val="Mgmt_Fee_Detail"/>
      <sheetName val="Incentive_Fee_Detail"/>
      <sheetName val="WSO_BV_Report"/>
      <sheetName val="WSO_EIC_Report"/>
      <sheetName val="WSO_Misc_Fees_Report"/>
      <sheetName val="WSO_EI_Report"/>
      <sheetName val="Diversity_Score_Calculator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v"/>
      <sheetName val="1999 ACTUAL"/>
      <sheetName val="return full lvg"/>
      <sheetName val="return "/>
      <sheetName val="summary"/>
      <sheetName val="bank summ"/>
      <sheetName val="GL5-8"/>
      <sheetName val="detail 2-00"/>
      <sheetName val="cf Lender"/>
      <sheetName val="Oaktree"/>
      <sheetName val="Loans"/>
      <sheetName val="Borrowing"/>
      <sheetName val="entriesall"/>
      <sheetName val="AVG"/>
      <sheetName val="apr-entry"/>
      <sheetName val="volume-rate (2)"/>
      <sheetName val="volume-rate"/>
      <sheetName val="rates"/>
      <sheetName val="Tables"/>
      <sheetName val="GL Tape"/>
      <sheetName val="Risk Rating"/>
      <sheetName val="Caa_CCC"/>
      <sheetName val="Rating Database"/>
      <sheetName val="Moodys"/>
      <sheetName val="S&amp;P"/>
      <sheetName val="Fitch"/>
      <sheetName val="CLO 2017-1"/>
      <sheetName val="BENCH"/>
      <sheetName val="Estimated Payoffs "/>
      <sheetName val="Monthly Facility Detail Prod"/>
      <sheetName val="Holdco Loan Tape"/>
      <sheetName val="Borrowing Base Certificate"/>
      <sheetName val="Concentration Limits"/>
      <sheetName val="Portfolio"/>
      <sheetName val="Collateral Quality Tests"/>
      <sheetName val="Foreign Exchange"/>
      <sheetName val="Schedules"/>
      <sheetName val="Effective Obligor"/>
      <sheetName val="Interest (Absent an EoD)"/>
      <sheetName val="Principal (Absent an EoD)"/>
      <sheetName val="Sheet3"/>
      <sheetName val="D-700 1042 S Info"/>
      <sheetName val="Form 8937"/>
      <sheetName val="D-85 Required Distribution Test"/>
      <sheetName val="D- 95 Distribution - Excise Tax"/>
      <sheetName val="D-75 ROCSOP"/>
      <sheetName val="D-76 Cumulative M-1s"/>
      <sheetName val="D-60 ES Payments"/>
      <sheetName val="D-100 Income Stmt"/>
      <sheetName val="D-110 871(k) Designation"/>
      <sheetName val="D-120 M-1 Summary "/>
      <sheetName val="D-121 Schedule M-1 - 1120 RIC"/>
      <sheetName val="D-125 Other Income"/>
      <sheetName val="D-175 Line 16"/>
      <sheetName val="D-140 Share Ownership"/>
      <sheetName val="D-141 Shareholder Register"/>
      <sheetName val="D-310 Flow Through Income"/>
      <sheetName val="D-430 Amort. of Org Costs"/>
      <sheetName val="D-500 Dividend Distributions"/>
      <sheetName val="D-700 Capital Loss Carryforward"/>
      <sheetName val="Instructions"/>
      <sheetName val="FINANCIALS ----&gt;"/>
      <sheetName val="BS Aggregate"/>
      <sheetName val="OPS Aggregate"/>
      <sheetName val="Members' Capital"/>
      <sheetName val="Cash Flow"/>
      <sheetName val="Port Co Activity"/>
      <sheetName val="Level III Roll"/>
      <sheetName val="LEDGER ----&gt;"/>
      <sheetName val="GL Summary"/>
      <sheetName val="SS TB Sleeve"/>
      <sheetName val="Prof Fees and Admin"/>
      <sheetName val="Cash"/>
      <sheetName val="OL"/>
      <sheetName val="Inv Cost Roll"/>
      <sheetName val="Inv Par Roll"/>
      <sheetName val="WSO Principal Tranx Rpt"/>
      <sheetName val="APAR"/>
      <sheetName val="OA"/>
      <sheetName val="Prepaid Expenses"/>
      <sheetName val="Unsettled - Liab"/>
      <sheetName val="Mgmt Fee Pay"/>
      <sheetName val="Deferred Debt Financing"/>
      <sheetName val="Deferred Offering"/>
      <sheetName val="Contr.Distr"/>
      <sheetName val="Distribution Payable"/>
      <sheetName val="Income"/>
      <sheetName val="Interest Exp"/>
      <sheetName val="Mgmt Fee Detail"/>
      <sheetName val="Incentive Fee Detail"/>
      <sheetName val="WSO BV Report"/>
      <sheetName val="WSO EIC Report"/>
      <sheetName val="WSO Misc Fees Report"/>
      <sheetName val="WSO EI Report"/>
      <sheetName val="WSO AIC Report"/>
      <sheetName val="SS WSO Matrix"/>
      <sheetName val="FOR TAX -----&gt;"/>
      <sheetName val="Income by Location"/>
      <sheetName val="WSO SecMaster Report"/>
      <sheetName val="NOT USED ---&gt;"/>
      <sheetName val="Investor Allocations"/>
      <sheetName val="Capital Statements"/>
      <sheetName val="Accrued Income"/>
      <sheetName val="Unsettled - Recv"/>
      <sheetName val="Payable to WF"/>
      <sheetName val="Interest Payable"/>
      <sheetName val="Accruals Summary"/>
      <sheetName val="Delayed Comp"/>
      <sheetName val="Earned Income"/>
      <sheetName val="Dividends Recv &amp; Div Income"/>
      <sheetName val="Management Fee (5.31)"/>
      <sheetName val="Asset Account Int"/>
      <sheetName val="Mapping"/>
      <sheetName val="Portfolio Information"/>
      <sheetName val="Map_Database"/>
      <sheetName val="Facility_Status"/>
      <sheetName val="EV_ClientList"/>
      <sheetName val="1999_ACTUAL"/>
      <sheetName val="return_full_lvg"/>
      <sheetName val="return_"/>
      <sheetName val="bank_summ"/>
      <sheetName val="detail_2-00"/>
      <sheetName val="cf_Lender"/>
      <sheetName val="volume-rate_(2)"/>
      <sheetName val="GL_Tape"/>
      <sheetName val="Risk_Rating"/>
      <sheetName val="Rating_Database"/>
      <sheetName val="CLO_2017-1"/>
      <sheetName val="Estimated_Payoffs_"/>
      <sheetName val="Monthly_Facility_Detail_Prod"/>
      <sheetName val="Holdco_Loan_Tape"/>
      <sheetName val="Borrowing_Base_Certificate"/>
      <sheetName val="Concentration_Limits"/>
      <sheetName val="Collateral_Quality_Tests"/>
      <sheetName val="Foreign_Exchange"/>
      <sheetName val="Effective_Obligor"/>
      <sheetName val="Interest_(Absent_an_EoD)"/>
      <sheetName val="Principal_(Absent_an_EoD)"/>
      <sheetName val="D-700_1042_S_Info"/>
      <sheetName val="Form_8937"/>
      <sheetName val="D-85_Required_Distribution_Test"/>
      <sheetName val="D-_95_Distribution_-_Excise_Tax"/>
      <sheetName val="D-75_ROCSOP"/>
      <sheetName val="D-76_Cumulative_M-1s"/>
      <sheetName val="D-60_ES_Payments"/>
      <sheetName val="D-100_Income_Stmt"/>
      <sheetName val="D-110_871(k)_Designation"/>
      <sheetName val="D-120_M-1_Summary_"/>
      <sheetName val="D-121_Schedule_M-1_-_1120_RIC"/>
      <sheetName val="D-125_Other_Income"/>
      <sheetName val="D-175_Line_16"/>
      <sheetName val="D-140_Share_Ownership"/>
      <sheetName val="D-141_Shareholder_Register"/>
      <sheetName val="D-310_Flow_Through_Income"/>
      <sheetName val="D-430_Amort__of_Org_Costs"/>
      <sheetName val="D-500_Dividend_Distributions"/>
      <sheetName val="D-700_Capital_Loss_Carryforward"/>
      <sheetName val="FINANCIALS_----&gt;"/>
      <sheetName val="BS_Aggregate"/>
      <sheetName val="OPS_Aggregate"/>
      <sheetName val="Members'_Capital"/>
      <sheetName val="Cash_Flow"/>
      <sheetName val="Port_Co_Activity"/>
      <sheetName val="Level_III_Roll"/>
      <sheetName val="LEDGER_----&gt;"/>
      <sheetName val="GL_Summary"/>
      <sheetName val="SS_TB_Sleeve"/>
      <sheetName val="Prof_Fees_and_Admin"/>
      <sheetName val="Inv_Cost_Roll"/>
      <sheetName val="Inv_Par_Roll"/>
      <sheetName val="WSO_Principal_Tranx_Rpt"/>
      <sheetName val="Prepaid_Expenses"/>
      <sheetName val="Unsettled_-_Liab"/>
      <sheetName val="Mgmt_Fee_Pay"/>
      <sheetName val="Deferred_Debt_Financing"/>
      <sheetName val="Deferred_Offering"/>
      <sheetName val="Contr_Distr"/>
      <sheetName val="Distribution_Payable"/>
      <sheetName val="Interest_Exp"/>
      <sheetName val="Mgmt_Fee_Detail"/>
      <sheetName val="Incentive_Fee_Detail"/>
      <sheetName val="WSO_BV_Report"/>
      <sheetName val="WSO_EIC_Report"/>
      <sheetName val="WSO_Misc_Fees_Report"/>
      <sheetName val="WSO_EI_Report"/>
      <sheetName val="WSO_AIC_Report"/>
      <sheetName val="SS_WSO_Matrix"/>
      <sheetName val="FOR_TAX_-----&gt;"/>
      <sheetName val="Income_by_Location"/>
      <sheetName val="WSO_SecMaster_Report"/>
      <sheetName val="NOT_USED_---&gt;"/>
      <sheetName val="Investor_Allocations"/>
      <sheetName val="Capital_Statements"/>
      <sheetName val="Accrued_Income"/>
      <sheetName val="Unsettled_-_Recv"/>
      <sheetName val="Payable_to_WF"/>
      <sheetName val="Interest_Payable"/>
      <sheetName val="Accruals_Summary"/>
      <sheetName val="Delayed_Comp"/>
      <sheetName val="Earned_Income"/>
      <sheetName val="Dividends_Recv_&amp;_Div_Income"/>
      <sheetName val="Management_Fee_(5_31)"/>
      <sheetName val="Asset_Account_Int"/>
      <sheetName val="Portfolio_Inform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klst"/>
      <sheetName val="JP GainsLosses"/>
      <sheetName val="JP CostRollForwd"/>
      <sheetName val="LT + ST Fiscal YTD -12"/>
      <sheetName val="Fiscal YTD - 12"/>
      <sheetName val="Fiscal YTD - 11"/>
      <sheetName val="Fiscal YTD - 10"/>
      <sheetName val="Fiscal YTD - 09"/>
      <sheetName val="Fiscal YTD - 08"/>
      <sheetName val="Fiscal YTD - 07"/>
      <sheetName val="Fiscal YTD - 06"/>
      <sheetName val="June only"/>
      <sheetName val="May only - FINAL"/>
      <sheetName val="May only"/>
      <sheetName val="April only"/>
      <sheetName val="Feb only"/>
      <sheetName val="Mar only"/>
      <sheetName val="LT vs ST gain-loss"/>
      <sheetName val="Total Gains Losses"/>
      <sheetName val="Cost Roll"/>
      <sheetName val="Purch - Written Options"/>
      <sheetName val="Purchased Options"/>
      <sheetName val="Written Options"/>
      <sheetName val="Port Turn"/>
      <sheetName val="Derivative"/>
      <sheetName val="Ratios"/>
      <sheetName val="Loan"/>
      <sheetName val="Net Gains Losses "/>
      <sheetName val="DRD"/>
      <sheetName val="Broker Commision"/>
      <sheetName val="UBTI "/>
      <sheetName val="UBTI"/>
      <sheetName val="Lt vs ST gains Losses"/>
    </sheetNames>
    <sheetDataSet>
      <sheetData sheetId="0">
        <row r="1">
          <cell r="A1" t="str">
            <v>ADVANTAGE ADVISERS AUGUSTA FUND, L.L.C.</v>
          </cell>
        </row>
        <row r="2">
          <cell r="A2" t="str">
            <v>AUDIT WORKPAPERS CHECKLIST</v>
          </cell>
        </row>
        <row r="4">
          <cell r="A4" t="str">
            <v>The following information should be included in the audit workpapers folder for each month-end:</v>
          </cell>
        </row>
        <row r="7">
          <cell r="A7" t="str">
            <v>Daily Schedules (as of last business day of month)</v>
          </cell>
        </row>
        <row r="8">
          <cell r="A8" t="str">
            <v>X</v>
          </cell>
          <cell r="C8" t="str">
            <v xml:space="preserve">Month-end IAS trial balance &amp; adjusted trial balance </v>
          </cell>
        </row>
        <row r="9">
          <cell r="C9" t="str">
            <v>Asset Coverage</v>
          </cell>
        </row>
        <row r="10">
          <cell r="A10" t="str">
            <v>X</v>
          </cell>
          <cell r="C10" t="str">
            <v>Portfolio Valuation (#25)</v>
          </cell>
        </row>
        <row r="11">
          <cell r="C11" t="str">
            <v>Interest &amp; Amortization (#12)</v>
          </cell>
        </row>
        <row r="12">
          <cell r="C12" t="str">
            <v>Dividend Receivable (#32)</v>
          </cell>
        </row>
        <row r="13">
          <cell r="A13" t="str">
            <v>X</v>
          </cell>
          <cell r="C13" t="str">
            <v>Expense Accrual Spreadsheet</v>
          </cell>
        </row>
        <row r="14">
          <cell r="A14" t="str">
            <v>X</v>
          </cell>
          <cell r="C14" t="str">
            <v>Loan Accrual Spreadsheet</v>
          </cell>
        </row>
        <row r="15">
          <cell r="C15" t="str">
            <v>Dividend Payable Accrual Spreadsheet</v>
          </cell>
        </row>
        <row r="16">
          <cell r="C16" t="str">
            <v>Credit Interest Accrual Spreadsheet</v>
          </cell>
        </row>
        <row r="18">
          <cell r="A18" t="str">
            <v>Quarterly Schedules</v>
          </cell>
        </row>
        <row r="19">
          <cell r="C19" t="str">
            <v>Broker Agency Commision Report</v>
          </cell>
        </row>
        <row r="20">
          <cell r="C20" t="str">
            <v>SOI &amp; Financial Statements</v>
          </cell>
        </row>
        <row r="21">
          <cell r="C21" t="str">
            <v>Foreign Bond Bifurcation Report (#058)</v>
          </cell>
        </row>
        <row r="22">
          <cell r="C22" t="str">
            <v>Audit Analysis Spreadsheets</v>
          </cell>
        </row>
        <row r="23">
          <cell r="C23" t="str">
            <v>Financial Ratios</v>
          </cell>
        </row>
        <row r="24">
          <cell r="C24" t="str">
            <v>Dividend Received Deduction</v>
          </cell>
        </row>
        <row r="26">
          <cell r="A26" t="str">
            <v>Year-end / Semi-annual Schedules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Rollforward - PTO"/>
      <sheetName val="Gain Loss Check"/>
      <sheetName val="Cost Roll - Consolidated"/>
      <sheetName val="Gain Loss - Consolidated"/>
    </sheetNames>
    <sheetDataSet>
      <sheetData sheetId="0" refreshError="1">
        <row r="45">
          <cell r="C45">
            <v>37</v>
          </cell>
        </row>
        <row r="47">
          <cell r="G47">
            <v>273940678.05500001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 Roll"/>
      <sheetName val="Cost Rollforward - PTO"/>
      <sheetName val="Gain Loss Check"/>
      <sheetName val="Cost Roll - Consolidated"/>
      <sheetName val="Gain Loss - Consolidated"/>
    </sheetNames>
    <sheetDataSet>
      <sheetData sheetId="0">
        <row r="14">
          <cell r="C14">
            <v>22518750</v>
          </cell>
        </row>
        <row r="52">
          <cell r="C52">
            <v>172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hert"/>
      <sheetName val="Expense Report"/>
      <sheetName val="EntityLookup"/>
      <sheetName val="DealLookup NOT USED"/>
      <sheetName val="Sponsor Due Dillig Explan"/>
      <sheetName val="Deal_Expense Lookup"/>
      <sheetName val="Vendor Lookup"/>
      <sheetName val="GL Check"/>
      <sheetName val="Sheet1"/>
    </sheetNames>
    <sheetDataSet>
      <sheetData sheetId="0"/>
      <sheetData sheetId="1"/>
      <sheetData sheetId="2">
        <row r="3">
          <cell r="A3" t="str">
            <v>PP_CORP</v>
          </cell>
        </row>
        <row r="4">
          <cell r="A4" t="str">
            <v>PP_ADV</v>
          </cell>
        </row>
      </sheetData>
      <sheetData sheetId="3"/>
      <sheetData sheetId="4">
        <row r="4">
          <cell r="A4" t="str">
            <v>Sponsor = if this sponsor closes one deal we can recoup expenses</v>
          </cell>
        </row>
        <row r="6">
          <cell r="A6" t="str">
            <v>AEA</v>
          </cell>
        </row>
        <row r="7">
          <cell r="A7" t="str">
            <v>Apollo</v>
          </cell>
        </row>
        <row r="8">
          <cell r="A8" t="str">
            <v>Arsenal</v>
          </cell>
        </row>
        <row r="9">
          <cell r="A9" t="str">
            <v>Audax</v>
          </cell>
        </row>
        <row r="10">
          <cell r="A10" t="str">
            <v>Bank of New York</v>
          </cell>
        </row>
        <row r="11">
          <cell r="A11" t="str">
            <v>Behman</v>
          </cell>
        </row>
        <row r="12">
          <cell r="A12" t="str">
            <v>BlackStone</v>
          </cell>
        </row>
        <row r="13">
          <cell r="A13" t="str">
            <v>Citizens Bank</v>
          </cell>
        </row>
        <row r="14">
          <cell r="A14" t="str">
            <v>Deutsche Bank</v>
          </cell>
        </row>
        <row r="15">
          <cell r="A15" t="str">
            <v>Kohlberg</v>
          </cell>
        </row>
        <row r="16">
          <cell r="A16" t="str">
            <v>Lightyear Capital</v>
          </cell>
        </row>
        <row r="17">
          <cell r="A17" t="str">
            <v>Mid Ocean</v>
          </cell>
        </row>
        <row r="18">
          <cell r="A18" t="str">
            <v>North Castle (NCP)</v>
          </cell>
        </row>
        <row r="19">
          <cell r="A19" t="str">
            <v>Prime Mortgage Management</v>
          </cell>
        </row>
        <row r="20">
          <cell r="A20" t="str">
            <v>Sun Trust</v>
          </cell>
        </row>
        <row r="21">
          <cell r="A21" t="str">
            <v>TH Lee Capital</v>
          </cell>
        </row>
        <row r="22">
          <cell r="A22" t="str">
            <v>Trimaran</v>
          </cell>
        </row>
        <row r="23">
          <cell r="A23" t="str">
            <v>Wickes</v>
          </cell>
        </row>
        <row r="24">
          <cell r="A24" t="str">
            <v>Ulysses</v>
          </cell>
        </row>
        <row r="25">
          <cell r="A25" t="str">
            <v>Maple Stone Advisors</v>
          </cell>
        </row>
        <row r="26">
          <cell r="A26" t="str">
            <v>RBS</v>
          </cell>
        </row>
        <row r="27">
          <cell r="A27" t="str">
            <v>Estes</v>
          </cell>
        </row>
        <row r="28">
          <cell r="A28" t="str">
            <v>Nexos Capital Partners</v>
          </cell>
        </row>
        <row r="29">
          <cell r="A29" t="str">
            <v>Investcorp</v>
          </cell>
        </row>
        <row r="30">
          <cell r="A30" t="str">
            <v>Commonwealth</v>
          </cell>
        </row>
        <row r="34">
          <cell r="A34" t="str">
            <v>Deal = if this deal closes we can recoup expenses</v>
          </cell>
        </row>
        <row r="38">
          <cell r="A38" t="str">
            <v>Advanstar</v>
          </cell>
        </row>
        <row r="39">
          <cell r="A39" t="str">
            <v>AIS</v>
          </cell>
        </row>
        <row r="40">
          <cell r="A40" t="str">
            <v>BOC Edwards</v>
          </cell>
        </row>
        <row r="41">
          <cell r="A41" t="str">
            <v>Brady</v>
          </cell>
        </row>
        <row r="42">
          <cell r="A42" t="str">
            <v>Diagnostic Imaging</v>
          </cell>
        </row>
        <row r="43">
          <cell r="A43" t="str">
            <v>Educate</v>
          </cell>
        </row>
        <row r="44">
          <cell r="A44" t="str">
            <v>GSI</v>
          </cell>
        </row>
        <row r="45">
          <cell r="A45" t="str">
            <v>Performance Bicycles</v>
          </cell>
        </row>
        <row r="46">
          <cell r="A46" t="str">
            <v>Prime Management</v>
          </cell>
        </row>
        <row r="47">
          <cell r="A47" t="str">
            <v>Priority Solutions</v>
          </cell>
        </row>
        <row r="48">
          <cell r="A48" t="str">
            <v>Rath Gibson</v>
          </cell>
        </row>
        <row r="49">
          <cell r="A49" t="str">
            <v>RJ O'Brien</v>
          </cell>
        </row>
        <row r="50">
          <cell r="A50" t="str">
            <v>SafeNet</v>
          </cell>
        </row>
        <row r="51">
          <cell r="A51" t="str">
            <v>Thomson Learning</v>
          </cell>
        </row>
        <row r="52">
          <cell r="A52" t="str">
            <v>Weinstein - film translation</v>
          </cell>
        </row>
        <row r="53">
          <cell r="A53" t="str">
            <v>Pegasus</v>
          </cell>
        </row>
        <row r="54">
          <cell r="A54" t="str">
            <v>Financo</v>
          </cell>
        </row>
        <row r="55">
          <cell r="A55" t="str">
            <v>Advent</v>
          </cell>
        </row>
        <row r="56">
          <cell r="A56" t="str">
            <v>Swift</v>
          </cell>
        </row>
        <row r="57">
          <cell r="A57" t="str">
            <v>IRIX</v>
          </cell>
        </row>
        <row r="58">
          <cell r="A58" t="str">
            <v>Innovative Brand</v>
          </cell>
        </row>
        <row r="59">
          <cell r="A59" t="str">
            <v>Castle Harlem</v>
          </cell>
        </row>
        <row r="60">
          <cell r="A60" t="str">
            <v>InterDynamics</v>
          </cell>
        </row>
        <row r="61">
          <cell r="A61" t="str">
            <v>Imagine</v>
          </cell>
        </row>
      </sheetData>
      <sheetData sheetId="5">
        <row r="4">
          <cell r="A4" t="str">
            <v>NOTE: DO NOT MODIFY WORKBOOK W/O AVIV'S APPROVAL</v>
          </cell>
        </row>
        <row r="6">
          <cell r="A6" t="str">
            <v>Expenses/General Ledger:</v>
          </cell>
        </row>
        <row r="8">
          <cell r="A8" t="str">
            <v>Accounting/Tax/Reg Admin/38a-1</v>
          </cell>
        </row>
        <row r="9">
          <cell r="A9" t="str">
            <v>Admin Support - Amortize PP&amp;E (5 years)</v>
          </cell>
        </row>
        <row r="10">
          <cell r="A10" t="str">
            <v>Admin Support - Compensation</v>
          </cell>
        </row>
        <row r="11">
          <cell r="A11" t="str">
            <v>Admin Support - Compliance</v>
          </cell>
        </row>
        <row r="12">
          <cell r="A12" t="str">
            <v>Admin Support - Misc</v>
          </cell>
        </row>
        <row r="13">
          <cell r="A13" t="str">
            <v>Admin Support - Occupation</v>
          </cell>
        </row>
        <row r="14">
          <cell r="A14" t="str">
            <v>Admin Support - Office Supplies</v>
          </cell>
        </row>
        <row r="15">
          <cell r="A15" t="str">
            <v>Admin Support - Phone</v>
          </cell>
        </row>
        <row r="16">
          <cell r="A16" t="str">
            <v>Admin Support - Proxy</v>
          </cell>
        </row>
        <row r="17">
          <cell r="A17" t="str">
            <v>Admin Support - Technology</v>
          </cell>
        </row>
        <row r="18">
          <cell r="A18" t="str">
            <v>Advisory Reimbursement - Board</v>
          </cell>
        </row>
        <row r="19">
          <cell r="A19" t="str">
            <v>Advisory Reimbursement - Due Diligence</v>
          </cell>
        </row>
        <row r="20">
          <cell r="A20" t="str">
            <v>Advisory Reimbursement - Marketing</v>
          </cell>
        </row>
        <row r="21">
          <cell r="A21" t="str">
            <v>Board</v>
          </cell>
        </row>
        <row r="22">
          <cell r="A22" t="str">
            <v>Compliance</v>
          </cell>
        </row>
        <row r="23">
          <cell r="A23" t="str">
            <v>Consulting</v>
          </cell>
        </row>
        <row r="24">
          <cell r="A24" t="str">
            <v>Credit Facility - Organizational Costs</v>
          </cell>
        </row>
        <row r="25">
          <cell r="A25" t="str">
            <v>Custody</v>
          </cell>
        </row>
        <row r="26">
          <cell r="A26" t="str">
            <v>Independent Auditors/Tax</v>
          </cell>
        </row>
        <row r="27">
          <cell r="A27" t="str">
            <v>Insurance</v>
          </cell>
        </row>
        <row r="28">
          <cell r="A28" t="str">
            <v>IPO-Audit</v>
          </cell>
        </row>
        <row r="29">
          <cell r="A29" t="str">
            <v>IPO-Legal</v>
          </cell>
        </row>
        <row r="30">
          <cell r="A30" t="str">
            <v>IPO-Misc</v>
          </cell>
        </row>
        <row r="31">
          <cell r="A31" t="str">
            <v>IPO-NASDAQ</v>
          </cell>
        </row>
        <row r="32">
          <cell r="A32" t="str">
            <v>IPO-Printing</v>
          </cell>
        </row>
        <row r="33">
          <cell r="A33" t="str">
            <v>IPO-SEC</v>
          </cell>
        </row>
        <row r="34">
          <cell r="A34" t="str">
            <v>Prepaid - Offering Costs</v>
          </cell>
        </row>
        <row r="35">
          <cell r="A35" t="str">
            <v>Legal - General Corporate</v>
          </cell>
        </row>
        <row r="36">
          <cell r="A36" t="str">
            <v>Legal - Proxy</v>
          </cell>
        </row>
        <row r="37">
          <cell r="A37" t="str">
            <v>Legal - General Credit Facility</v>
          </cell>
        </row>
        <row r="38">
          <cell r="A38" t="str">
            <v>Legal - Permanent Credit Facility</v>
          </cell>
        </row>
        <row r="39">
          <cell r="A39" t="str">
            <v>Legal - SBIC</v>
          </cell>
        </row>
        <row r="40">
          <cell r="A40" t="str">
            <v>Legal - Follow-on</v>
          </cell>
        </row>
        <row r="41">
          <cell r="A41" t="str">
            <v>Audit - Follow-on</v>
          </cell>
        </row>
        <row r="42">
          <cell r="A42" t="str">
            <v>Printing - Follow-on</v>
          </cell>
        </row>
        <row r="43">
          <cell r="A43" t="str">
            <v>Other - Follow-on</v>
          </cell>
        </row>
        <row r="44">
          <cell r="A44" t="str">
            <v>Miscellaneous</v>
          </cell>
        </row>
        <row r="45">
          <cell r="A45" t="str">
            <v>NASDAQ Fee</v>
          </cell>
        </row>
        <row r="46">
          <cell r="A46" t="str">
            <v>Organization - Audit</v>
          </cell>
        </row>
        <row r="47">
          <cell r="A47" t="str">
            <v>Organization - Legal</v>
          </cell>
        </row>
        <row r="48">
          <cell r="A48" t="str">
            <v>Organizational - Other</v>
          </cell>
        </row>
        <row r="49">
          <cell r="A49" t="str">
            <v>Other - Press release</v>
          </cell>
        </row>
        <row r="50">
          <cell r="A50" t="str">
            <v>Other - Web</v>
          </cell>
        </row>
        <row r="51">
          <cell r="A51" t="str">
            <v>Printing</v>
          </cell>
        </row>
        <row r="52">
          <cell r="A52" t="str">
            <v>Proxy</v>
          </cell>
        </row>
        <row r="53">
          <cell r="A53" t="str">
            <v>SEC Fee</v>
          </cell>
        </row>
        <row r="54">
          <cell r="A54" t="str">
            <v>Technology</v>
          </cell>
        </row>
        <row r="55">
          <cell r="A55" t="str">
            <v>Transfer Agent</v>
          </cell>
        </row>
        <row r="56">
          <cell r="A56" t="str">
            <v>Valuation/Pricing</v>
          </cell>
        </row>
        <row r="57">
          <cell r="A57" t="str">
            <v>Website Development</v>
          </cell>
        </row>
        <row r="58">
          <cell r="A58" t="str">
            <v>SBIC - Compensation</v>
          </cell>
        </row>
        <row r="59">
          <cell r="A59" t="str">
            <v>SBIC - Compliance</v>
          </cell>
        </row>
        <row r="60">
          <cell r="A60" t="str">
            <v>SBIC - Misc</v>
          </cell>
        </row>
        <row r="61">
          <cell r="A61" t="str">
            <v>SBIC - Occupation</v>
          </cell>
        </row>
        <row r="62">
          <cell r="A62" t="str">
            <v>SBIC - Office Supplies</v>
          </cell>
        </row>
        <row r="63">
          <cell r="A63" t="str">
            <v>SBIC - Phone</v>
          </cell>
        </row>
        <row r="64">
          <cell r="A64" t="str">
            <v>SBIC - Technology</v>
          </cell>
        </row>
      </sheetData>
      <sheetData sheetId="6">
        <row r="2">
          <cell r="A2" t="str">
            <v>Adam Bernstein</v>
          </cell>
        </row>
        <row r="3">
          <cell r="A3" t="str">
            <v>Alaric Compliance</v>
          </cell>
        </row>
        <row r="4">
          <cell r="A4" t="str">
            <v>American Stock Transfer</v>
          </cell>
        </row>
        <row r="5">
          <cell r="A5" t="str">
            <v>AON</v>
          </cell>
        </row>
        <row r="6">
          <cell r="A6" t="str">
            <v>Art Penn</v>
          </cell>
        </row>
        <row r="7">
          <cell r="A7" t="str">
            <v>Artin Arts</v>
          </cell>
        </row>
        <row r="8">
          <cell r="A8" t="str">
            <v>Aviv Efrat</v>
          </cell>
        </row>
        <row r="9">
          <cell r="A9" t="str">
            <v>Broadridge</v>
          </cell>
        </row>
        <row r="10">
          <cell r="A10" t="str">
            <v>Checkers International</v>
          </cell>
        </row>
        <row r="11">
          <cell r="A11" t="str">
            <v>Dechert</v>
          </cell>
        </row>
        <row r="12">
          <cell r="A12" t="str">
            <v>Global Securitization Services</v>
          </cell>
        </row>
        <row r="13">
          <cell r="A13" t="str">
            <v>KPMG</v>
          </cell>
        </row>
        <row r="14">
          <cell r="A14" t="str">
            <v>Marketwire</v>
          </cell>
        </row>
        <row r="15">
          <cell r="A15" t="str">
            <v>NASDAQ</v>
          </cell>
        </row>
        <row r="16">
          <cell r="A16" t="str">
            <v>PennantPark Investment Advisers</v>
          </cell>
        </row>
        <row r="17">
          <cell r="A17" t="str">
            <v>PennantPark Investment Administration</v>
          </cell>
        </row>
        <row r="18">
          <cell r="A18" t="str">
            <v>PennantPark Investment Corporation</v>
          </cell>
        </row>
        <row r="19">
          <cell r="A19" t="str">
            <v>PFPC</v>
          </cell>
        </row>
        <row r="20">
          <cell r="A20" t="str">
            <v>RFA - Richard Fleischman &amp; Assoc</v>
          </cell>
        </row>
        <row r="21">
          <cell r="A21" t="str">
            <v>RR Donnelley</v>
          </cell>
        </row>
        <row r="22">
          <cell r="A22" t="str">
            <v>Stikeman Elliott</v>
          </cell>
        </row>
        <row r="23">
          <cell r="A23" t="str">
            <v>SEC</v>
          </cell>
        </row>
        <row r="24">
          <cell r="A24" t="str">
            <v>Venable</v>
          </cell>
        </row>
        <row r="25">
          <cell r="A25" t="str">
            <v>VRC</v>
          </cell>
        </row>
      </sheetData>
      <sheetData sheetId="7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Cash Flow"/>
      <sheetName val="PAR Settled"/>
      <sheetName val="Legend"/>
      <sheetName val="Unactualized Cash"/>
      <sheetName val="Sheet1"/>
      <sheetName val="Sheet2"/>
      <sheetName val="Lookups"/>
    </sheetNames>
    <sheetDataSet>
      <sheetData sheetId="0" refreshError="1"/>
      <sheetData sheetId="1" refreshError="1"/>
      <sheetData sheetId="2">
        <row r="1">
          <cell r="A1" t="str">
            <v>Issuer_Name</v>
          </cell>
          <cell r="B1" t="str">
            <v>Facility_Name</v>
          </cell>
        </row>
        <row r="2">
          <cell r="A2" t="str">
            <v>WSOe Management Position</v>
          </cell>
        </row>
        <row r="3">
          <cell r="A3" t="str">
            <v>Difference b/t CF and WSOe</v>
          </cell>
        </row>
        <row r="8">
          <cell r="A8" t="str">
            <v>Difference after adjustments</v>
          </cell>
        </row>
        <row r="10">
          <cell r="A10" t="str">
            <v>Total</v>
          </cell>
        </row>
        <row r="11">
          <cell r="A11" t="str">
            <v>Bestop Inc</v>
          </cell>
          <cell r="B11" t="str">
            <v>Term Loan</v>
          </cell>
        </row>
        <row r="12">
          <cell r="A12" t="str">
            <v>Double E Company LLC</v>
          </cell>
          <cell r="B12" t="str">
            <v>Term Loan</v>
          </cell>
        </row>
        <row r="13">
          <cell r="A13" t="str">
            <v>Frontstreem Holdings, LLC</v>
          </cell>
          <cell r="B13" t="str">
            <v>Term Loan</v>
          </cell>
        </row>
        <row r="14">
          <cell r="A14" t="str">
            <v xml:space="preserve">JSS Holding Inc </v>
          </cell>
          <cell r="B14" t="str">
            <v>Initial Term Loan</v>
          </cell>
        </row>
        <row r="15">
          <cell r="A15" t="str">
            <v xml:space="preserve">Oracle Elevator Company </v>
          </cell>
          <cell r="B15" t="str">
            <v>Term Loan</v>
          </cell>
        </row>
        <row r="16">
          <cell r="A16" t="str">
            <v>Peach State Labs LLC</v>
          </cell>
          <cell r="B16" t="str">
            <v>Closing Date Term Loan</v>
          </cell>
        </row>
        <row r="17">
          <cell r="A17" t="str">
            <v>Quality Solutions Inc</v>
          </cell>
          <cell r="B17" t="str">
            <v>Term A Loan</v>
          </cell>
        </row>
        <row r="18">
          <cell r="A18" t="str">
            <v xml:space="preserve">Tharpe Company Inc (The) </v>
          </cell>
          <cell r="B18" t="str">
            <v>Term A Loan</v>
          </cell>
        </row>
        <row r="19">
          <cell r="A19" t="str">
            <v>Accella Holdings LLC</v>
          </cell>
          <cell r="B19" t="str">
            <v>Term Loan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s Release"/>
      <sheetName val="Results Narrative"/>
      <sheetName val="Stmt of Ops"/>
      <sheetName val="Balance Sheet"/>
      <sheetName val="Cash Flows"/>
      <sheetName val="TB Income_Expense"/>
      <sheetName val="Portfolio"/>
      <sheetName val="Cost Roll"/>
      <sheetName val="Loan Outstanding"/>
      <sheetName val="per share data"/>
      <sheetName val="Changes in Net Assets"/>
      <sheetName val="Org Expenses"/>
      <sheetName val="Industry talbe2"/>
      <sheetName val="Industry table"/>
      <sheetName val="custody to acct rec"/>
      <sheetName val="Unsettled Tra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4">
          <cell r="C24">
            <v>366526477.91000003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72953FQ9 paid off 2.26.03"/>
      <sheetName val="312915gc9paidoff"/>
      <sheetName val="3133tcz76 PAID OFF"/>
      <sheetName val="3133TKYZ7PaidOff"/>
      <sheetName val="3133t2wf3- paid off"/>
      <sheetName val="3133TGQG7 paid off"/>
      <sheetName val="3133TKAB6Sold Off"/>
      <sheetName val="3133TKT91Sold Off"/>
      <sheetName val="23322BFC7soldoff"/>
      <sheetName val="501773CG8sold"/>
      <sheetName val="23321PWC8- SOLD"/>
      <sheetName val="31359hct9 paid off"/>
      <sheetName val="863572G80 paid-off"/>
      <sheetName val="3837H4TN5 paid-off"/>
      <sheetName val="3133TKAQ3-SOLD"/>
      <sheetName val="3133TVRL2 - SOLD"/>
      <sheetName val="3133TV5J1 - SOLD"/>
      <sheetName val="655356DU4 PAID-OFF"/>
      <sheetName val="45254TBC7 PAID-OFF "/>
      <sheetName val="3837H25D7 - SOLD"/>
      <sheetName val="31392B3C8 PAID-OFF"/>
      <sheetName val="Sheet1"/>
      <sheetName val="23321PYU6paid-off"/>
      <sheetName val="23321PTZ1LOT2 PAID-OFF"/>
      <sheetName val="76110GTC5 PAID-OFF"/>
      <sheetName val="31392R3D1 PAID-OFF"/>
    </sheetNames>
    <sheetDataSet>
      <sheetData sheetId="0" refreshError="1"/>
      <sheetData sheetId="1">
        <row r="298">
          <cell r="A298">
            <v>36373.040816326531</v>
          </cell>
          <cell r="B298">
            <v>2252087.67</v>
          </cell>
          <cell r="C298">
            <v>2</v>
          </cell>
          <cell r="D298">
            <v>7.0000000000000007E-2</v>
          </cell>
          <cell r="F298">
            <v>847.56</v>
          </cell>
          <cell r="H298">
            <v>71836.020000000033</v>
          </cell>
          <cell r="J298">
            <v>0.1681</v>
          </cell>
          <cell r="L298">
            <v>64.92</v>
          </cell>
          <cell r="N298">
            <v>782.64</v>
          </cell>
          <cell r="P298">
            <v>847.55999999999949</v>
          </cell>
          <cell r="R298">
            <v>33604.289999999994</v>
          </cell>
          <cell r="T298">
            <v>310806.5199999999</v>
          </cell>
        </row>
        <row r="299">
          <cell r="A299">
            <v>36375.040816326531</v>
          </cell>
          <cell r="B299">
            <v>2252087.67</v>
          </cell>
          <cell r="C299">
            <v>1</v>
          </cell>
          <cell r="D299">
            <v>7.0000000000000007E-2</v>
          </cell>
          <cell r="F299">
            <v>423.78</v>
          </cell>
          <cell r="H299">
            <v>71053.380000000034</v>
          </cell>
          <cell r="J299">
            <v>0.1681</v>
          </cell>
          <cell r="L299">
            <v>32.11</v>
          </cell>
          <cell r="N299">
            <v>391.66999999999996</v>
          </cell>
          <cell r="P299">
            <v>1271.3399999999995</v>
          </cell>
          <cell r="R299">
            <v>33636.399999999994</v>
          </cell>
          <cell r="T299">
            <v>311198.18999999989</v>
          </cell>
        </row>
        <row r="300">
          <cell r="A300">
            <v>36376.040816326531</v>
          </cell>
          <cell r="B300">
            <v>2252087.67</v>
          </cell>
          <cell r="C300">
            <v>1</v>
          </cell>
          <cell r="D300">
            <v>7.0000000000000007E-2</v>
          </cell>
          <cell r="F300">
            <v>423.78</v>
          </cell>
          <cell r="H300">
            <v>70661.710000000036</v>
          </cell>
          <cell r="J300">
            <v>0.1681</v>
          </cell>
          <cell r="L300">
            <v>31.93</v>
          </cell>
          <cell r="N300">
            <v>391.84999999999997</v>
          </cell>
          <cell r="P300">
            <v>1695.1199999999994</v>
          </cell>
          <cell r="R300">
            <v>33668.329999999994</v>
          </cell>
          <cell r="T300">
            <v>311590.03999999986</v>
          </cell>
        </row>
        <row r="301">
          <cell r="A301">
            <v>36377.040816326531</v>
          </cell>
          <cell r="B301">
            <v>2252087.67</v>
          </cell>
          <cell r="C301">
            <v>1</v>
          </cell>
          <cell r="D301">
            <v>7.0000000000000007E-2</v>
          </cell>
          <cell r="F301">
            <v>423.78</v>
          </cell>
          <cell r="H301">
            <v>70269.86000000003</v>
          </cell>
          <cell r="J301">
            <v>0.1681</v>
          </cell>
          <cell r="L301">
            <v>31.75</v>
          </cell>
          <cell r="N301">
            <v>392.03</v>
          </cell>
          <cell r="P301">
            <v>2118.8999999999996</v>
          </cell>
          <cell r="R301">
            <v>33700.079999999994</v>
          </cell>
          <cell r="T301">
            <v>311982.06999999989</v>
          </cell>
        </row>
        <row r="302">
          <cell r="A302">
            <v>36378.040816326531</v>
          </cell>
          <cell r="B302">
            <v>2252087.67</v>
          </cell>
          <cell r="C302">
            <v>3</v>
          </cell>
          <cell r="D302">
            <v>7.0000000000000007E-2</v>
          </cell>
          <cell r="F302">
            <v>1271.3399999999999</v>
          </cell>
          <cell r="H302">
            <v>69877.830000000031</v>
          </cell>
          <cell r="J302">
            <v>0.1681</v>
          </cell>
          <cell r="L302">
            <v>94.73</v>
          </cell>
          <cell r="N302">
            <v>1176.6099999999999</v>
          </cell>
          <cell r="P302">
            <v>3390.24</v>
          </cell>
          <cell r="R302">
            <v>33794.81</v>
          </cell>
          <cell r="T302">
            <v>313158.67999999988</v>
          </cell>
        </row>
        <row r="303">
          <cell r="A303">
            <v>36381.040816326531</v>
          </cell>
          <cell r="B303">
            <v>2252087.67</v>
          </cell>
          <cell r="C303">
            <v>1</v>
          </cell>
          <cell r="D303">
            <v>7.0000000000000007E-2</v>
          </cell>
          <cell r="F303">
            <v>423.78</v>
          </cell>
          <cell r="H303">
            <v>68701.22000000003</v>
          </cell>
          <cell r="J303">
            <v>0.1681</v>
          </cell>
          <cell r="L303">
            <v>31.04</v>
          </cell>
          <cell r="N303">
            <v>392.73999999999995</v>
          </cell>
          <cell r="P303">
            <v>3814.0199999999995</v>
          </cell>
          <cell r="R303">
            <v>33825.85</v>
          </cell>
          <cell r="T303">
            <v>313551.41999999987</v>
          </cell>
        </row>
        <row r="304">
          <cell r="A304">
            <v>36382.040816326531</v>
          </cell>
          <cell r="B304">
            <v>2252087.67</v>
          </cell>
          <cell r="C304">
            <v>1</v>
          </cell>
          <cell r="D304">
            <v>7.0000000000000007E-2</v>
          </cell>
          <cell r="F304">
            <v>423.78</v>
          </cell>
          <cell r="H304">
            <v>68308.480000000025</v>
          </cell>
          <cell r="J304">
            <v>0.1681</v>
          </cell>
          <cell r="L304">
            <v>30.87</v>
          </cell>
          <cell r="N304">
            <v>392.90999999999997</v>
          </cell>
          <cell r="P304">
            <v>4237.7999999999993</v>
          </cell>
          <cell r="R304">
            <v>33856.720000000001</v>
          </cell>
          <cell r="T304">
            <v>313944.32999999984</v>
          </cell>
        </row>
        <row r="305">
          <cell r="A305">
            <v>36383.040816326531</v>
          </cell>
          <cell r="B305">
            <v>2252087.67</v>
          </cell>
          <cell r="C305">
            <v>1</v>
          </cell>
          <cell r="D305">
            <v>7.0000000000000007E-2</v>
          </cell>
          <cell r="F305">
            <v>423.78</v>
          </cell>
          <cell r="H305">
            <v>67915.570000000022</v>
          </cell>
          <cell r="J305">
            <v>0.1681</v>
          </cell>
          <cell r="L305">
            <v>30.69</v>
          </cell>
          <cell r="N305">
            <v>393.09</v>
          </cell>
          <cell r="P305">
            <v>4661.579999999999</v>
          </cell>
          <cell r="R305">
            <v>33887.410000000003</v>
          </cell>
          <cell r="T305">
            <v>314337.41999999987</v>
          </cell>
        </row>
        <row r="306">
          <cell r="A306">
            <v>36384.040816326531</v>
          </cell>
          <cell r="B306">
            <v>2252087.67</v>
          </cell>
          <cell r="C306">
            <v>1</v>
          </cell>
          <cell r="D306">
            <v>7.0000000000000007E-2</v>
          </cell>
          <cell r="F306">
            <v>423.78</v>
          </cell>
          <cell r="H306">
            <v>67522.480000000025</v>
          </cell>
          <cell r="J306">
            <v>0.1681</v>
          </cell>
          <cell r="L306">
            <v>30.51</v>
          </cell>
          <cell r="N306">
            <v>393.27</v>
          </cell>
          <cell r="P306">
            <v>5085.3599999999988</v>
          </cell>
          <cell r="R306">
            <v>33917.920000000006</v>
          </cell>
          <cell r="T306">
            <v>314730.68999999989</v>
          </cell>
        </row>
        <row r="307">
          <cell r="A307">
            <v>36385.040816326531</v>
          </cell>
          <cell r="B307">
            <v>2252087.67</v>
          </cell>
          <cell r="C307">
            <v>3</v>
          </cell>
          <cell r="D307">
            <v>7.0000000000000007E-2</v>
          </cell>
          <cell r="F307">
            <v>1271.3399999999999</v>
          </cell>
          <cell r="H307">
            <v>67129.210000000021</v>
          </cell>
          <cell r="J307">
            <v>0.1681</v>
          </cell>
          <cell r="L307">
            <v>91</v>
          </cell>
          <cell r="N307">
            <v>1180.3399999999999</v>
          </cell>
          <cell r="P307">
            <v>6356.6999999999989</v>
          </cell>
          <cell r="R307">
            <v>34008.920000000006</v>
          </cell>
          <cell r="T307">
            <v>315911.02999999991</v>
          </cell>
        </row>
        <row r="308">
          <cell r="A308">
            <v>36388.040816326531</v>
          </cell>
          <cell r="B308">
            <v>2252087.67</v>
          </cell>
          <cell r="C308">
            <v>1</v>
          </cell>
          <cell r="D308">
            <v>7.0000000000000007E-2</v>
          </cell>
          <cell r="F308">
            <v>423.78</v>
          </cell>
          <cell r="H308">
            <v>65948.870000000024</v>
          </cell>
          <cell r="J308">
            <v>0.1681</v>
          </cell>
          <cell r="L308">
            <v>29.8</v>
          </cell>
          <cell r="N308">
            <v>393.97999999999996</v>
          </cell>
          <cell r="P308">
            <v>6780.4799999999987</v>
          </cell>
          <cell r="R308">
            <v>34038.720000000008</v>
          </cell>
          <cell r="T308">
            <v>316305.00999999989</v>
          </cell>
        </row>
        <row r="309">
          <cell r="A309">
            <v>36389.040816326531</v>
          </cell>
          <cell r="B309">
            <v>2252087.67</v>
          </cell>
          <cell r="C309">
            <v>1</v>
          </cell>
          <cell r="D309">
            <v>7.0000000000000007E-2</v>
          </cell>
          <cell r="F309">
            <v>423.78</v>
          </cell>
          <cell r="H309">
            <v>65554.890000000029</v>
          </cell>
          <cell r="J309">
            <v>0.1681</v>
          </cell>
          <cell r="L309">
            <v>29.62</v>
          </cell>
          <cell r="N309">
            <v>394.15999999999997</v>
          </cell>
          <cell r="P309">
            <v>7204.2599999999984</v>
          </cell>
          <cell r="R309">
            <v>34068.340000000011</v>
          </cell>
          <cell r="T309">
            <v>316699.16999999987</v>
          </cell>
        </row>
        <row r="310">
          <cell r="A310">
            <v>36390.040816326531</v>
          </cell>
          <cell r="B310">
            <v>2252087.67</v>
          </cell>
          <cell r="C310">
            <v>1</v>
          </cell>
          <cell r="D310">
            <v>7.0000000000000007E-2</v>
          </cell>
          <cell r="F310">
            <v>423.78</v>
          </cell>
          <cell r="H310">
            <v>65160.730000000025</v>
          </cell>
          <cell r="J310">
            <v>0.1681</v>
          </cell>
          <cell r="L310">
            <v>29.44</v>
          </cell>
          <cell r="N310">
            <v>394.34</v>
          </cell>
          <cell r="P310">
            <v>7628.0399999999981</v>
          </cell>
          <cell r="R310">
            <v>34097.780000000013</v>
          </cell>
          <cell r="T310">
            <v>317093.50999999989</v>
          </cell>
        </row>
        <row r="311">
          <cell r="A311">
            <v>36391.040816326531</v>
          </cell>
          <cell r="B311">
            <v>2252087.67</v>
          </cell>
          <cell r="C311">
            <v>1</v>
          </cell>
          <cell r="D311">
            <v>7.0000000000000007E-2</v>
          </cell>
          <cell r="F311">
            <v>423.78</v>
          </cell>
          <cell r="H311">
            <v>64766.390000000029</v>
          </cell>
          <cell r="J311">
            <v>0.1681</v>
          </cell>
          <cell r="L311">
            <v>29.27</v>
          </cell>
          <cell r="N311">
            <v>394.51</v>
          </cell>
          <cell r="P311">
            <v>8051.8199999999979</v>
          </cell>
          <cell r="R311">
            <v>34127.05000000001</v>
          </cell>
          <cell r="T311">
            <v>317488.0199999999</v>
          </cell>
        </row>
        <row r="312">
          <cell r="A312">
            <v>36392.040816326531</v>
          </cell>
          <cell r="B312">
            <v>2252087.67</v>
          </cell>
          <cell r="C312">
            <v>3</v>
          </cell>
          <cell r="D312">
            <v>7.0000000000000007E-2</v>
          </cell>
          <cell r="F312">
            <v>1271.3399999999999</v>
          </cell>
          <cell r="H312">
            <v>64371.880000000026</v>
          </cell>
          <cell r="J312">
            <v>0.1681</v>
          </cell>
          <cell r="L312">
            <v>87.27</v>
          </cell>
          <cell r="N312">
            <v>1184.07</v>
          </cell>
          <cell r="P312">
            <v>9323.159999999998</v>
          </cell>
          <cell r="R312">
            <v>34214.320000000007</v>
          </cell>
          <cell r="T312">
            <v>318672.08999999991</v>
          </cell>
        </row>
        <row r="313">
          <cell r="A313">
            <v>36395.040816326531</v>
          </cell>
          <cell r="B313">
            <v>2252087.67</v>
          </cell>
          <cell r="C313">
            <v>1</v>
          </cell>
          <cell r="D313">
            <v>7.0000000000000007E-2</v>
          </cell>
          <cell r="F313">
            <v>423.78</v>
          </cell>
          <cell r="H313">
            <v>63187.810000000027</v>
          </cell>
          <cell r="J313">
            <v>0.1681</v>
          </cell>
          <cell r="L313">
            <v>28.55</v>
          </cell>
          <cell r="N313">
            <v>395.22999999999996</v>
          </cell>
          <cell r="P313">
            <v>9746.9399999999987</v>
          </cell>
          <cell r="R313">
            <v>34242.87000000001</v>
          </cell>
          <cell r="T313">
            <v>319067.31999999989</v>
          </cell>
        </row>
        <row r="314">
          <cell r="A314">
            <v>36396.040816326531</v>
          </cell>
          <cell r="B314">
            <v>2252087.67</v>
          </cell>
          <cell r="C314">
            <v>1</v>
          </cell>
          <cell r="D314">
            <v>7.0000000000000007E-2</v>
          </cell>
          <cell r="F314">
            <v>423.78</v>
          </cell>
          <cell r="H314">
            <v>62792.580000000024</v>
          </cell>
          <cell r="J314">
            <v>0.1681</v>
          </cell>
          <cell r="L314">
            <v>28.37</v>
          </cell>
          <cell r="N314">
            <v>395.40999999999997</v>
          </cell>
          <cell r="P314">
            <v>10170.719999999999</v>
          </cell>
          <cell r="R314">
            <v>34271.240000000013</v>
          </cell>
          <cell r="T314">
            <v>319462.72999999986</v>
          </cell>
        </row>
        <row r="315">
          <cell r="A315">
            <v>36397.040816326531</v>
          </cell>
          <cell r="B315">
            <v>2252087.67</v>
          </cell>
          <cell r="C315">
            <v>1</v>
          </cell>
          <cell r="D315">
            <v>7.0000000000000007E-2</v>
          </cell>
          <cell r="F315">
            <v>423.78</v>
          </cell>
          <cell r="H315">
            <v>62397.17000000002</v>
          </cell>
          <cell r="J315">
            <v>0.1681</v>
          </cell>
          <cell r="L315">
            <v>28.2</v>
          </cell>
          <cell r="N315">
            <v>395.58</v>
          </cell>
          <cell r="P315">
            <v>10594.5</v>
          </cell>
          <cell r="R315">
            <v>34299.44000000001</v>
          </cell>
          <cell r="T315">
            <v>319858.30999999988</v>
          </cell>
        </row>
        <row r="316">
          <cell r="A316">
            <v>36398.040816326531</v>
          </cell>
          <cell r="B316">
            <v>2252087.67</v>
          </cell>
          <cell r="C316">
            <v>1</v>
          </cell>
          <cell r="D316">
            <v>7.0000000000000007E-2</v>
          </cell>
          <cell r="F316">
            <v>423.78</v>
          </cell>
          <cell r="H316">
            <v>62001.590000000018</v>
          </cell>
          <cell r="J316">
            <v>0.1681</v>
          </cell>
          <cell r="L316">
            <v>28.02</v>
          </cell>
          <cell r="N316">
            <v>395.76</v>
          </cell>
          <cell r="P316">
            <v>11018.28</v>
          </cell>
          <cell r="R316">
            <v>34327.460000000006</v>
          </cell>
          <cell r="T316">
            <v>320254.06999999989</v>
          </cell>
        </row>
        <row r="317">
          <cell r="A317">
            <v>36399.040816326531</v>
          </cell>
          <cell r="B317">
            <v>2252087.67</v>
          </cell>
          <cell r="C317">
            <v>3</v>
          </cell>
          <cell r="D317">
            <v>7.0000000000000007E-2</v>
          </cell>
          <cell r="F317">
            <v>1271.3399999999999</v>
          </cell>
          <cell r="H317">
            <v>61605.830000000016</v>
          </cell>
          <cell r="J317">
            <v>0.1681</v>
          </cell>
          <cell r="L317">
            <v>83.52</v>
          </cell>
          <cell r="N317">
            <v>1187.82</v>
          </cell>
          <cell r="P317">
            <v>12289.62</v>
          </cell>
          <cell r="R317">
            <v>34410.980000000003</v>
          </cell>
          <cell r="T317">
            <v>321441.8899999999</v>
          </cell>
        </row>
        <row r="318">
          <cell r="A318">
            <v>36402.040816326531</v>
          </cell>
          <cell r="B318">
            <v>2252087.67</v>
          </cell>
          <cell r="C318">
            <v>1</v>
          </cell>
          <cell r="D318">
            <v>7.0000000000000007E-2</v>
          </cell>
          <cell r="F318">
            <v>423.78</v>
          </cell>
          <cell r="H318">
            <v>60418.010000000017</v>
          </cell>
          <cell r="J318">
            <v>0.1681</v>
          </cell>
          <cell r="L318">
            <v>27.3</v>
          </cell>
          <cell r="N318">
            <v>396.47999999999996</v>
          </cell>
          <cell r="P318">
            <v>12713.400000000001</v>
          </cell>
          <cell r="R318">
            <v>34438.280000000006</v>
          </cell>
          <cell r="T318">
            <v>321838.36999999988</v>
          </cell>
        </row>
        <row r="319">
          <cell r="A319">
            <v>36403.040816326531</v>
          </cell>
          <cell r="B319">
            <v>2252087.67</v>
          </cell>
          <cell r="C319">
            <v>1</v>
          </cell>
          <cell r="D319">
            <v>7.0000000000000007E-2</v>
          </cell>
          <cell r="F319">
            <v>423.78</v>
          </cell>
          <cell r="H319">
            <v>60021.530000000013</v>
          </cell>
          <cell r="J319">
            <v>0.1681</v>
          </cell>
          <cell r="L319">
            <v>27.12</v>
          </cell>
          <cell r="N319">
            <v>396.65999999999997</v>
          </cell>
          <cell r="P319">
            <v>13137.180000000002</v>
          </cell>
          <cell r="R319">
            <v>34465.400000000009</v>
          </cell>
          <cell r="T319">
            <v>322235.02999999985</v>
          </cell>
        </row>
        <row r="320">
          <cell r="A320">
            <v>36404.040816326531</v>
          </cell>
          <cell r="B320">
            <v>1944990.65</v>
          </cell>
          <cell r="C320">
            <v>1</v>
          </cell>
          <cell r="D320">
            <v>7.0000000000000007E-2</v>
          </cell>
          <cell r="F320">
            <v>378.19</v>
          </cell>
          <cell r="H320">
            <v>59624.87000000001</v>
          </cell>
          <cell r="J320">
            <v>0.1542</v>
          </cell>
          <cell r="L320">
            <v>25.54</v>
          </cell>
          <cell r="N320">
            <v>352.65</v>
          </cell>
          <cell r="P320">
            <v>378.19000000000051</v>
          </cell>
          <cell r="R320">
            <v>34490.94000000001</v>
          </cell>
          <cell r="T320">
            <v>322587.67999999988</v>
          </cell>
        </row>
      </sheetData>
      <sheetData sheetId="2" refreshError="1"/>
      <sheetData sheetId="3">
        <row r="39">
          <cell r="A39">
            <v>36387</v>
          </cell>
          <cell r="B39">
            <v>29434053</v>
          </cell>
          <cell r="C39">
            <v>1</v>
          </cell>
          <cell r="D39">
            <v>2.38125E-2</v>
          </cell>
          <cell r="E39">
            <v>1884.14</v>
          </cell>
          <cell r="F39">
            <v>1798864.3599999996</v>
          </cell>
          <cell r="G39">
            <v>0.2681</v>
          </cell>
          <cell r="H39">
            <v>1296.44</v>
          </cell>
          <cell r="I39">
            <v>587.70000000000005</v>
          </cell>
          <cell r="J39">
            <v>1884.1399999999994</v>
          </cell>
          <cell r="K39">
            <v>29427.369999999995</v>
          </cell>
          <cell r="L39">
            <v>19223.440000000002</v>
          </cell>
        </row>
        <row r="40">
          <cell r="A40">
            <v>36388</v>
          </cell>
          <cell r="B40">
            <v>29434053</v>
          </cell>
          <cell r="C40">
            <v>1</v>
          </cell>
          <cell r="D40">
            <v>2.38125E-2</v>
          </cell>
          <cell r="E40">
            <v>1884.14</v>
          </cell>
          <cell r="F40">
            <v>1798276.6599999997</v>
          </cell>
          <cell r="G40">
            <v>0.2681</v>
          </cell>
          <cell r="H40">
            <v>1296.02</v>
          </cell>
          <cell r="I40">
            <v>588.12000000000012</v>
          </cell>
          <cell r="J40">
            <v>3768.2799999999997</v>
          </cell>
          <cell r="K40">
            <v>30723.389999999996</v>
          </cell>
          <cell r="L40">
            <v>19811.560000000001</v>
          </cell>
        </row>
        <row r="41">
          <cell r="A41">
            <v>36389</v>
          </cell>
          <cell r="B41">
            <v>29434053</v>
          </cell>
          <cell r="C41">
            <v>1</v>
          </cell>
          <cell r="D41">
            <v>2.38125E-2</v>
          </cell>
          <cell r="E41">
            <v>1884.14</v>
          </cell>
          <cell r="F41">
            <v>1797688.5399999996</v>
          </cell>
          <cell r="G41">
            <v>0.2681</v>
          </cell>
          <cell r="H41">
            <v>1295.5899999999999</v>
          </cell>
          <cell r="I41">
            <v>588.55000000000018</v>
          </cell>
          <cell r="J41">
            <v>5652.42</v>
          </cell>
          <cell r="K41">
            <v>32018.979999999996</v>
          </cell>
          <cell r="L41">
            <v>20400.11</v>
          </cell>
        </row>
        <row r="42">
          <cell r="A42">
            <v>36390</v>
          </cell>
          <cell r="B42">
            <v>29434053</v>
          </cell>
          <cell r="C42">
            <v>1</v>
          </cell>
          <cell r="D42">
            <v>2.38125E-2</v>
          </cell>
          <cell r="E42">
            <v>1884.14</v>
          </cell>
          <cell r="F42">
            <v>1797099.9899999995</v>
          </cell>
          <cell r="G42">
            <v>0.2681</v>
          </cell>
          <cell r="H42">
            <v>1295.17</v>
          </cell>
          <cell r="I42">
            <v>588.97</v>
          </cell>
          <cell r="J42">
            <v>7536.56</v>
          </cell>
          <cell r="K42">
            <v>33314.149999999994</v>
          </cell>
          <cell r="L42">
            <v>20989.08</v>
          </cell>
        </row>
        <row r="43">
          <cell r="A43">
            <v>36391</v>
          </cell>
          <cell r="B43">
            <v>29434053</v>
          </cell>
          <cell r="C43">
            <v>1</v>
          </cell>
          <cell r="D43">
            <v>2.38125E-2</v>
          </cell>
          <cell r="E43">
            <v>1884.14</v>
          </cell>
          <cell r="F43">
            <v>1796511.0199999996</v>
          </cell>
          <cell r="G43">
            <v>0.2681</v>
          </cell>
          <cell r="H43">
            <v>1294.74</v>
          </cell>
          <cell r="I43">
            <v>589.40000000000009</v>
          </cell>
          <cell r="J43">
            <v>9420.7000000000007</v>
          </cell>
          <cell r="K43">
            <v>34608.889999999992</v>
          </cell>
          <cell r="L43">
            <v>21578.480000000003</v>
          </cell>
        </row>
        <row r="44">
          <cell r="A44">
            <v>36392</v>
          </cell>
          <cell r="B44">
            <v>29434053</v>
          </cell>
          <cell r="C44">
            <v>3</v>
          </cell>
          <cell r="D44">
            <v>2.38125E-2</v>
          </cell>
          <cell r="E44">
            <v>5652.41</v>
          </cell>
          <cell r="F44">
            <v>1795921.6199999996</v>
          </cell>
          <cell r="G44">
            <v>0.2681</v>
          </cell>
          <cell r="H44">
            <v>3882.96</v>
          </cell>
          <cell r="I44">
            <v>1769.4499999999998</v>
          </cell>
          <cell r="J44">
            <v>15073.11</v>
          </cell>
          <cell r="K44">
            <v>38491.849999999991</v>
          </cell>
          <cell r="L44">
            <v>23347.930000000004</v>
          </cell>
        </row>
        <row r="45">
          <cell r="A45">
            <v>36395</v>
          </cell>
          <cell r="B45">
            <v>29434053</v>
          </cell>
          <cell r="C45">
            <v>1</v>
          </cell>
          <cell r="D45">
            <v>2.38125E-2</v>
          </cell>
          <cell r="E45">
            <v>1884.14</v>
          </cell>
          <cell r="F45">
            <v>1794152.1699999997</v>
          </cell>
          <cell r="G45">
            <v>0.2681</v>
          </cell>
          <cell r="H45">
            <v>1293.04</v>
          </cell>
          <cell r="I45">
            <v>591.10000000000014</v>
          </cell>
          <cell r="J45">
            <v>16957.25</v>
          </cell>
          <cell r="K45">
            <v>39784.889999999992</v>
          </cell>
          <cell r="L45">
            <v>23939.030000000002</v>
          </cell>
        </row>
        <row r="46">
          <cell r="A46">
            <v>36396</v>
          </cell>
          <cell r="B46">
            <v>29434053</v>
          </cell>
          <cell r="C46">
            <v>1</v>
          </cell>
          <cell r="D46">
            <v>2.38125E-2</v>
          </cell>
          <cell r="E46">
            <v>1884.14</v>
          </cell>
          <cell r="F46">
            <v>1793561.0699999996</v>
          </cell>
          <cell r="G46">
            <v>0.2681</v>
          </cell>
          <cell r="H46">
            <v>1292.6199999999999</v>
          </cell>
          <cell r="I46">
            <v>591.52000000000021</v>
          </cell>
          <cell r="J46">
            <v>18841.39</v>
          </cell>
          <cell r="K46">
            <v>41077.509999999995</v>
          </cell>
          <cell r="L46">
            <v>24530.550000000003</v>
          </cell>
        </row>
        <row r="47">
          <cell r="A47">
            <v>36397</v>
          </cell>
          <cell r="B47">
            <v>29434053</v>
          </cell>
          <cell r="C47">
            <v>1</v>
          </cell>
          <cell r="D47">
            <v>2.38125E-2</v>
          </cell>
          <cell r="E47">
            <v>1884.14</v>
          </cell>
          <cell r="F47">
            <v>1792969.5499999996</v>
          </cell>
          <cell r="G47">
            <v>0.2681</v>
          </cell>
          <cell r="H47">
            <v>1292.19</v>
          </cell>
          <cell r="I47">
            <v>591.95000000000005</v>
          </cell>
          <cell r="J47">
            <v>20725.53</v>
          </cell>
          <cell r="K47">
            <v>42369.7</v>
          </cell>
          <cell r="L47">
            <v>25122.500000000004</v>
          </cell>
        </row>
        <row r="48">
          <cell r="A48">
            <v>36398</v>
          </cell>
          <cell r="B48">
            <v>29434053</v>
          </cell>
          <cell r="C48">
            <v>1</v>
          </cell>
          <cell r="D48">
            <v>2.38125E-2</v>
          </cell>
          <cell r="E48">
            <v>1884.14</v>
          </cell>
          <cell r="F48">
            <v>1792377.5999999996</v>
          </cell>
          <cell r="G48">
            <v>0.2681</v>
          </cell>
          <cell r="H48">
            <v>1291.76</v>
          </cell>
          <cell r="I48">
            <v>592.38000000000011</v>
          </cell>
          <cell r="J48">
            <v>22609.67</v>
          </cell>
          <cell r="K48">
            <v>43661.46</v>
          </cell>
          <cell r="L48">
            <v>25714.880000000005</v>
          </cell>
        </row>
        <row r="49">
          <cell r="A49">
            <v>36399</v>
          </cell>
          <cell r="B49">
            <v>29434053</v>
          </cell>
          <cell r="C49">
            <v>3</v>
          </cell>
          <cell r="D49">
            <v>2.38125E-2</v>
          </cell>
          <cell r="E49">
            <v>5652.41</v>
          </cell>
          <cell r="F49">
            <v>1791785.2199999997</v>
          </cell>
          <cell r="G49">
            <v>0.2681</v>
          </cell>
          <cell r="H49">
            <v>3874.01</v>
          </cell>
          <cell r="I49">
            <v>1778.3999999999996</v>
          </cell>
          <cell r="J49">
            <v>28262.079999999998</v>
          </cell>
          <cell r="K49">
            <v>47535.47</v>
          </cell>
          <cell r="L49">
            <v>27493.280000000006</v>
          </cell>
        </row>
        <row r="50">
          <cell r="A50">
            <v>36402</v>
          </cell>
          <cell r="B50">
            <v>29434053</v>
          </cell>
          <cell r="C50">
            <v>1</v>
          </cell>
          <cell r="D50">
            <v>2.38125E-2</v>
          </cell>
          <cell r="E50">
            <v>1884.14</v>
          </cell>
          <cell r="F50">
            <v>1790006.8199999998</v>
          </cell>
          <cell r="G50">
            <v>0.2681</v>
          </cell>
          <cell r="H50">
            <v>1290.06</v>
          </cell>
          <cell r="I50">
            <v>594.08000000000015</v>
          </cell>
          <cell r="J50">
            <v>30146.219999999998</v>
          </cell>
          <cell r="K50">
            <v>48825.53</v>
          </cell>
          <cell r="L50">
            <v>28087.360000000008</v>
          </cell>
        </row>
        <row r="51">
          <cell r="A51">
            <v>36403</v>
          </cell>
          <cell r="B51">
            <v>29434053</v>
          </cell>
          <cell r="C51">
            <v>1</v>
          </cell>
          <cell r="D51">
            <v>2.38125E-2</v>
          </cell>
          <cell r="E51">
            <v>1884.14</v>
          </cell>
          <cell r="F51">
            <v>1789412.7399999998</v>
          </cell>
          <cell r="G51">
            <v>0.2681</v>
          </cell>
          <cell r="H51">
            <v>1289.6300000000001</v>
          </cell>
          <cell r="I51">
            <v>594.51</v>
          </cell>
          <cell r="J51">
            <v>32030.359999999997</v>
          </cell>
          <cell r="K51">
            <v>50115.159999999996</v>
          </cell>
          <cell r="L51">
            <v>28681.870000000006</v>
          </cell>
        </row>
        <row r="52">
          <cell r="A52">
            <v>36404</v>
          </cell>
          <cell r="B52">
            <v>29434053</v>
          </cell>
          <cell r="C52">
            <v>1</v>
          </cell>
          <cell r="D52">
            <v>2.38125E-2</v>
          </cell>
          <cell r="E52">
            <v>1884.14</v>
          </cell>
          <cell r="F52">
            <v>1788818.2299999997</v>
          </cell>
          <cell r="G52">
            <v>0.2681</v>
          </cell>
          <cell r="H52">
            <v>1289.2</v>
          </cell>
          <cell r="I52">
            <v>594.94000000000005</v>
          </cell>
          <cell r="J52">
            <v>33914.5</v>
          </cell>
          <cell r="K52">
            <v>51404.359999999993</v>
          </cell>
          <cell r="L52">
            <v>29276.810000000005</v>
          </cell>
        </row>
        <row r="53">
          <cell r="A53">
            <v>36405</v>
          </cell>
          <cell r="B53">
            <v>29434053</v>
          </cell>
          <cell r="C53">
            <v>1</v>
          </cell>
          <cell r="D53">
            <v>2.38125E-2</v>
          </cell>
          <cell r="E53">
            <v>1884.14</v>
          </cell>
          <cell r="F53">
            <v>1788223.2899999998</v>
          </cell>
          <cell r="G53">
            <v>0.2681</v>
          </cell>
          <cell r="H53">
            <v>1288.77</v>
          </cell>
          <cell r="I53">
            <v>595.37000000000012</v>
          </cell>
          <cell r="J53">
            <v>35798.639999999999</v>
          </cell>
          <cell r="K53">
            <v>52693.12999999999</v>
          </cell>
          <cell r="L53">
            <v>29872.180000000004</v>
          </cell>
        </row>
        <row r="54">
          <cell r="A54">
            <v>36406</v>
          </cell>
          <cell r="B54">
            <v>29434053</v>
          </cell>
          <cell r="C54">
            <v>4</v>
          </cell>
          <cell r="D54">
            <v>2.38125E-2</v>
          </cell>
          <cell r="E54">
            <v>7536.54</v>
          </cell>
          <cell r="F54">
            <v>1787627.9199999997</v>
          </cell>
          <cell r="G54">
            <v>0.2681</v>
          </cell>
          <cell r="H54">
            <v>5153.37</v>
          </cell>
          <cell r="I54">
            <v>2383.17</v>
          </cell>
          <cell r="J54">
            <v>43335.18</v>
          </cell>
          <cell r="K54">
            <v>57846.499999999993</v>
          </cell>
          <cell r="L54">
            <v>32255.350000000006</v>
          </cell>
        </row>
        <row r="55">
          <cell r="A55">
            <v>36410</v>
          </cell>
          <cell r="B55">
            <v>29434053</v>
          </cell>
          <cell r="C55">
            <v>1</v>
          </cell>
          <cell r="D55">
            <v>2.38125E-2</v>
          </cell>
          <cell r="E55">
            <v>1884.14</v>
          </cell>
          <cell r="F55">
            <v>1785244.7499999998</v>
          </cell>
          <cell r="G55">
            <v>0.2681</v>
          </cell>
          <cell r="H55">
            <v>1286.6199999999999</v>
          </cell>
          <cell r="I55">
            <v>597.52000000000021</v>
          </cell>
          <cell r="J55">
            <v>45219.32</v>
          </cell>
          <cell r="K55">
            <v>59133.119999999995</v>
          </cell>
          <cell r="L55">
            <v>32852.870000000003</v>
          </cell>
        </row>
        <row r="56">
          <cell r="A56">
            <v>36411</v>
          </cell>
          <cell r="B56">
            <v>29434053</v>
          </cell>
          <cell r="C56">
            <v>1</v>
          </cell>
          <cell r="D56">
            <v>2.38125E-2</v>
          </cell>
          <cell r="E56">
            <v>1884.14</v>
          </cell>
          <cell r="F56">
            <v>1784647.2299999997</v>
          </cell>
          <cell r="G56">
            <v>0.2681</v>
          </cell>
          <cell r="H56">
            <v>1286.19</v>
          </cell>
          <cell r="I56">
            <v>597.95000000000005</v>
          </cell>
          <cell r="J56">
            <v>47103.46</v>
          </cell>
          <cell r="K56">
            <v>60419.31</v>
          </cell>
          <cell r="L56">
            <v>33450.82</v>
          </cell>
        </row>
        <row r="57">
          <cell r="A57">
            <v>36412</v>
          </cell>
          <cell r="B57">
            <v>29434053</v>
          </cell>
          <cell r="C57">
            <v>1</v>
          </cell>
          <cell r="D57">
            <v>2.38125E-2</v>
          </cell>
          <cell r="E57">
            <v>1884.14</v>
          </cell>
          <cell r="F57">
            <v>1784049.2799999998</v>
          </cell>
          <cell r="G57">
            <v>0.2681</v>
          </cell>
          <cell r="H57">
            <v>1285.76</v>
          </cell>
          <cell r="I57">
            <v>598.38000000000011</v>
          </cell>
          <cell r="J57">
            <v>48987.6</v>
          </cell>
          <cell r="K57">
            <v>61705.07</v>
          </cell>
          <cell r="L57">
            <v>34049.199999999997</v>
          </cell>
        </row>
        <row r="58">
          <cell r="A58">
            <v>36413</v>
          </cell>
          <cell r="B58">
            <v>29434053</v>
          </cell>
          <cell r="C58">
            <v>3</v>
          </cell>
          <cell r="D58">
            <v>2.38125E-2</v>
          </cell>
          <cell r="E58">
            <v>5652.41</v>
          </cell>
          <cell r="F58">
            <v>1783450.9</v>
          </cell>
          <cell r="G58">
            <v>0.2681</v>
          </cell>
          <cell r="H58">
            <v>3855.99</v>
          </cell>
          <cell r="I58">
            <v>1796.42</v>
          </cell>
          <cell r="J58">
            <v>54640.009999999995</v>
          </cell>
          <cell r="K58">
            <v>65561.06</v>
          </cell>
          <cell r="L58">
            <v>35845.619999999995</v>
          </cell>
        </row>
        <row r="59">
          <cell r="A59">
            <v>36416</v>
          </cell>
          <cell r="B59">
            <v>29434053</v>
          </cell>
          <cell r="C59">
            <v>1</v>
          </cell>
          <cell r="D59">
            <v>2.38125E-2</v>
          </cell>
          <cell r="E59">
            <v>1884.14</v>
          </cell>
          <cell r="F59">
            <v>1781654.48</v>
          </cell>
          <cell r="G59">
            <v>0.2681</v>
          </cell>
          <cell r="H59">
            <v>1284.04</v>
          </cell>
          <cell r="I59">
            <v>600.10000000000014</v>
          </cell>
          <cell r="J59">
            <v>56524.149999999994</v>
          </cell>
          <cell r="K59">
            <v>66845.099999999991</v>
          </cell>
          <cell r="L59">
            <v>36445.719999999994</v>
          </cell>
        </row>
        <row r="60">
          <cell r="A60">
            <v>36417</v>
          </cell>
          <cell r="B60">
            <v>29434053</v>
          </cell>
          <cell r="C60">
            <v>1</v>
          </cell>
          <cell r="D60">
            <v>2.38125E-2</v>
          </cell>
          <cell r="E60">
            <v>1884.14</v>
          </cell>
          <cell r="F60">
            <v>1781054.38</v>
          </cell>
          <cell r="G60">
            <v>0.2681</v>
          </cell>
          <cell r="H60">
            <v>1283.5999999999999</v>
          </cell>
          <cell r="I60">
            <v>600.54000000000019</v>
          </cell>
          <cell r="J60">
            <v>58408.289999999994</v>
          </cell>
          <cell r="K60">
            <v>68128.7</v>
          </cell>
          <cell r="L60">
            <v>37046.259999999995</v>
          </cell>
        </row>
      </sheetData>
      <sheetData sheetId="4">
        <row r="37">
          <cell r="A37">
            <v>36374</v>
          </cell>
          <cell r="B37">
            <v>6000000</v>
          </cell>
          <cell r="C37">
            <v>2</v>
          </cell>
          <cell r="D37">
            <v>0.06</v>
          </cell>
          <cell r="E37">
            <v>1935.48</v>
          </cell>
          <cell r="F37">
            <v>1531327.51</v>
          </cell>
          <cell r="G37">
            <v>8.0500000000000002E-2</v>
          </cell>
          <cell r="H37">
            <v>662.75</v>
          </cell>
          <cell r="I37">
            <v>1272.73</v>
          </cell>
          <cell r="J37">
            <v>1935.4799999999996</v>
          </cell>
          <cell r="K37">
            <v>7396.5</v>
          </cell>
          <cell r="L37">
            <v>13539</v>
          </cell>
        </row>
        <row r="38">
          <cell r="A38">
            <v>36375</v>
          </cell>
          <cell r="B38">
            <v>6000000</v>
          </cell>
          <cell r="C38">
            <v>1</v>
          </cell>
          <cell r="D38">
            <v>0.06</v>
          </cell>
          <cell r="E38">
            <v>967.74</v>
          </cell>
          <cell r="F38">
            <v>1530054.78</v>
          </cell>
          <cell r="G38">
            <v>8.0500000000000002E-2</v>
          </cell>
          <cell r="H38">
            <v>331.1</v>
          </cell>
          <cell r="I38">
            <v>636.64</v>
          </cell>
          <cell r="J38">
            <v>2903.2199999999993</v>
          </cell>
          <cell r="K38">
            <v>7727.6</v>
          </cell>
          <cell r="L38">
            <v>14175.64</v>
          </cell>
        </row>
        <row r="39">
          <cell r="A39">
            <v>36376</v>
          </cell>
          <cell r="B39">
            <v>6000000</v>
          </cell>
          <cell r="C39">
            <v>1</v>
          </cell>
          <cell r="D39">
            <v>0.06</v>
          </cell>
          <cell r="E39">
            <v>967.74</v>
          </cell>
          <cell r="F39">
            <v>1529418.1400000001</v>
          </cell>
          <cell r="G39">
            <v>8.0500000000000002E-2</v>
          </cell>
          <cell r="H39">
            <v>330.96</v>
          </cell>
          <cell r="I39">
            <v>636.78</v>
          </cell>
          <cell r="J39">
            <v>3870.9599999999991</v>
          </cell>
          <cell r="K39">
            <v>8058.56</v>
          </cell>
          <cell r="L39">
            <v>14812.42</v>
          </cell>
        </row>
        <row r="40">
          <cell r="A40">
            <v>36377</v>
          </cell>
          <cell r="B40">
            <v>6000000</v>
          </cell>
          <cell r="C40">
            <v>1</v>
          </cell>
          <cell r="D40">
            <v>0.06</v>
          </cell>
          <cell r="E40">
            <v>967.74</v>
          </cell>
          <cell r="F40">
            <v>1528781.36</v>
          </cell>
          <cell r="G40">
            <v>8.0500000000000002E-2</v>
          </cell>
          <cell r="H40">
            <v>330.82</v>
          </cell>
          <cell r="I40">
            <v>636.92000000000007</v>
          </cell>
          <cell r="J40">
            <v>4838.6999999999989</v>
          </cell>
          <cell r="K40">
            <v>8389.380000000001</v>
          </cell>
          <cell r="L40">
            <v>15449.34</v>
          </cell>
        </row>
        <row r="41">
          <cell r="A41">
            <v>36378</v>
          </cell>
          <cell r="B41">
            <v>6000000</v>
          </cell>
          <cell r="C41">
            <v>3</v>
          </cell>
          <cell r="D41">
            <v>0.06</v>
          </cell>
          <cell r="E41">
            <v>2903.23</v>
          </cell>
          <cell r="F41">
            <v>1528144.4400000002</v>
          </cell>
          <cell r="G41">
            <v>8.0500000000000002E-2</v>
          </cell>
          <cell r="H41">
            <v>992.06</v>
          </cell>
          <cell r="I41">
            <v>1911.17</v>
          </cell>
          <cell r="J41">
            <v>7741.9299999999985</v>
          </cell>
          <cell r="K41">
            <v>9381.44</v>
          </cell>
          <cell r="L41">
            <v>17360.510000000002</v>
          </cell>
        </row>
        <row r="42">
          <cell r="A42">
            <v>36381</v>
          </cell>
          <cell r="B42">
            <v>6000000</v>
          </cell>
          <cell r="C42">
            <v>1</v>
          </cell>
          <cell r="D42">
            <v>0.06</v>
          </cell>
          <cell r="E42">
            <v>967.74</v>
          </cell>
          <cell r="F42">
            <v>1526233.2700000003</v>
          </cell>
          <cell r="G42">
            <v>8.0500000000000002E-2</v>
          </cell>
          <cell r="H42">
            <v>330.27</v>
          </cell>
          <cell r="I42">
            <v>637.47</v>
          </cell>
          <cell r="J42">
            <v>8709.6699999999983</v>
          </cell>
          <cell r="K42">
            <v>9711.7100000000009</v>
          </cell>
          <cell r="L42">
            <v>17997.980000000003</v>
          </cell>
        </row>
        <row r="43">
          <cell r="A43">
            <v>36382</v>
          </cell>
          <cell r="B43">
            <v>6000000</v>
          </cell>
          <cell r="C43">
            <v>1</v>
          </cell>
          <cell r="D43">
            <v>0.06</v>
          </cell>
          <cell r="E43">
            <v>967.74</v>
          </cell>
          <cell r="F43">
            <v>1525595.8000000003</v>
          </cell>
          <cell r="G43">
            <v>8.0500000000000002E-2</v>
          </cell>
          <cell r="H43">
            <v>330.14</v>
          </cell>
          <cell r="I43">
            <v>637.6</v>
          </cell>
          <cell r="J43">
            <v>9677.409999999998</v>
          </cell>
          <cell r="K43">
            <v>10041.85</v>
          </cell>
          <cell r="L43">
            <v>18635.580000000002</v>
          </cell>
        </row>
        <row r="44">
          <cell r="A44">
            <v>36383</v>
          </cell>
          <cell r="B44">
            <v>6000000</v>
          </cell>
          <cell r="C44">
            <v>1</v>
          </cell>
          <cell r="D44">
            <v>0.06</v>
          </cell>
          <cell r="E44">
            <v>967.74</v>
          </cell>
          <cell r="F44">
            <v>1524958.2000000002</v>
          </cell>
          <cell r="G44">
            <v>8.0500000000000002E-2</v>
          </cell>
          <cell r="H44">
            <v>330</v>
          </cell>
          <cell r="I44">
            <v>637.74</v>
          </cell>
          <cell r="J44">
            <v>10645.149999999998</v>
          </cell>
          <cell r="K44">
            <v>10371.85</v>
          </cell>
          <cell r="L44">
            <v>19273.320000000003</v>
          </cell>
        </row>
        <row r="45">
          <cell r="A45">
            <v>36384</v>
          </cell>
          <cell r="B45">
            <v>6000000</v>
          </cell>
          <cell r="C45">
            <v>1</v>
          </cell>
          <cell r="D45">
            <v>0.06</v>
          </cell>
          <cell r="E45">
            <v>967.74</v>
          </cell>
          <cell r="F45">
            <v>1524320.4600000002</v>
          </cell>
          <cell r="G45">
            <v>8.0500000000000002E-2</v>
          </cell>
          <cell r="H45">
            <v>329.86</v>
          </cell>
          <cell r="I45">
            <v>637.88</v>
          </cell>
          <cell r="J45">
            <v>11612.889999999998</v>
          </cell>
          <cell r="K45">
            <v>10701.710000000001</v>
          </cell>
          <cell r="L45">
            <v>19911.200000000004</v>
          </cell>
        </row>
        <row r="46">
          <cell r="A46">
            <v>36385</v>
          </cell>
          <cell r="B46">
            <v>6000000</v>
          </cell>
          <cell r="C46">
            <v>3</v>
          </cell>
          <cell r="D46">
            <v>0.06</v>
          </cell>
          <cell r="E46">
            <v>2903.23</v>
          </cell>
          <cell r="F46">
            <v>1523682.5800000003</v>
          </cell>
          <cell r="G46">
            <v>8.0500000000000002E-2</v>
          </cell>
          <cell r="H46">
            <v>989.16</v>
          </cell>
          <cell r="I46">
            <v>1914.0700000000002</v>
          </cell>
          <cell r="J46">
            <v>14516.119999999997</v>
          </cell>
          <cell r="K46">
            <v>11690.87</v>
          </cell>
          <cell r="L46">
            <v>21825.270000000004</v>
          </cell>
        </row>
        <row r="47">
          <cell r="A47">
            <v>36388</v>
          </cell>
          <cell r="B47">
            <v>6000000</v>
          </cell>
          <cell r="C47">
            <v>1</v>
          </cell>
          <cell r="D47">
            <v>0.06</v>
          </cell>
          <cell r="E47">
            <v>967.74</v>
          </cell>
          <cell r="F47">
            <v>1521768.5100000002</v>
          </cell>
          <cell r="G47">
            <v>8.0500000000000002E-2</v>
          </cell>
          <cell r="H47">
            <v>329.31</v>
          </cell>
          <cell r="I47">
            <v>638.43000000000006</v>
          </cell>
          <cell r="J47">
            <v>15483.859999999997</v>
          </cell>
          <cell r="K47">
            <v>12020.18</v>
          </cell>
          <cell r="L47">
            <v>22463.700000000004</v>
          </cell>
        </row>
        <row r="48">
          <cell r="A48">
            <v>36389</v>
          </cell>
          <cell r="B48">
            <v>6000000</v>
          </cell>
          <cell r="C48">
            <v>1</v>
          </cell>
          <cell r="D48">
            <v>0.06</v>
          </cell>
          <cell r="E48">
            <v>967.74</v>
          </cell>
          <cell r="F48">
            <v>1521130.0800000003</v>
          </cell>
          <cell r="G48">
            <v>8.0500000000000002E-2</v>
          </cell>
          <cell r="H48">
            <v>329.17</v>
          </cell>
          <cell r="I48">
            <v>638.56999999999994</v>
          </cell>
          <cell r="J48">
            <v>16451.599999999999</v>
          </cell>
          <cell r="K48">
            <v>12349.35</v>
          </cell>
          <cell r="L48">
            <v>23102.270000000004</v>
          </cell>
        </row>
        <row r="49">
          <cell r="A49">
            <v>36390</v>
          </cell>
          <cell r="B49">
            <v>6000000</v>
          </cell>
          <cell r="C49">
            <v>1</v>
          </cell>
          <cell r="D49">
            <v>0.06</v>
          </cell>
          <cell r="E49">
            <v>967.74</v>
          </cell>
          <cell r="F49">
            <v>1520491.5100000002</v>
          </cell>
          <cell r="G49">
            <v>8.0500000000000002E-2</v>
          </cell>
          <cell r="H49">
            <v>329.03</v>
          </cell>
          <cell r="I49">
            <v>638.71</v>
          </cell>
          <cell r="J49">
            <v>17419.34</v>
          </cell>
          <cell r="K49">
            <v>12678.380000000001</v>
          </cell>
          <cell r="L49">
            <v>23740.980000000003</v>
          </cell>
        </row>
        <row r="50">
          <cell r="A50">
            <v>36391</v>
          </cell>
          <cell r="B50">
            <v>6000000</v>
          </cell>
          <cell r="C50">
            <v>1</v>
          </cell>
          <cell r="D50">
            <v>0.06</v>
          </cell>
          <cell r="E50">
            <v>967.74</v>
          </cell>
          <cell r="F50">
            <v>1519852.8000000003</v>
          </cell>
          <cell r="G50">
            <v>8.0500000000000002E-2</v>
          </cell>
          <cell r="H50">
            <v>328.89</v>
          </cell>
          <cell r="I50">
            <v>638.85</v>
          </cell>
          <cell r="J50">
            <v>18387.080000000002</v>
          </cell>
          <cell r="K50">
            <v>13007.27</v>
          </cell>
          <cell r="L50">
            <v>24379.83</v>
          </cell>
        </row>
        <row r="51">
          <cell r="A51">
            <v>36392</v>
          </cell>
          <cell r="B51">
            <v>6000000</v>
          </cell>
          <cell r="C51">
            <v>3</v>
          </cell>
          <cell r="D51">
            <v>0.06</v>
          </cell>
          <cell r="E51">
            <v>2903.23</v>
          </cell>
          <cell r="F51">
            <v>1519213.9500000002</v>
          </cell>
          <cell r="G51">
            <v>8.0500000000000002E-2</v>
          </cell>
          <cell r="H51">
            <v>986.26</v>
          </cell>
          <cell r="I51">
            <v>1916.97</v>
          </cell>
          <cell r="J51">
            <v>21290.31</v>
          </cell>
          <cell r="K51">
            <v>13993.53</v>
          </cell>
          <cell r="L51">
            <v>26296.800000000003</v>
          </cell>
        </row>
        <row r="52">
          <cell r="A52">
            <v>36395</v>
          </cell>
          <cell r="B52">
            <v>6000000</v>
          </cell>
          <cell r="C52">
            <v>1</v>
          </cell>
          <cell r="D52">
            <v>0.06</v>
          </cell>
          <cell r="E52">
            <v>967.74</v>
          </cell>
          <cell r="F52">
            <v>1517296.9800000002</v>
          </cell>
          <cell r="G52">
            <v>8.0500000000000002E-2</v>
          </cell>
          <cell r="H52">
            <v>328.34</v>
          </cell>
          <cell r="I52">
            <v>639.40000000000009</v>
          </cell>
          <cell r="J52">
            <v>22258.050000000003</v>
          </cell>
          <cell r="K52">
            <v>14321.87</v>
          </cell>
          <cell r="L52">
            <v>26936.200000000004</v>
          </cell>
        </row>
        <row r="53">
          <cell r="A53">
            <v>36396</v>
          </cell>
          <cell r="B53">
            <v>6000000</v>
          </cell>
          <cell r="C53">
            <v>1</v>
          </cell>
          <cell r="D53">
            <v>0.06</v>
          </cell>
          <cell r="E53">
            <v>967.74</v>
          </cell>
          <cell r="F53">
            <v>1516657.5800000003</v>
          </cell>
          <cell r="G53">
            <v>8.0500000000000002E-2</v>
          </cell>
          <cell r="H53">
            <v>328.2</v>
          </cell>
          <cell r="I53">
            <v>639.54</v>
          </cell>
          <cell r="J53">
            <v>23225.790000000005</v>
          </cell>
          <cell r="K53">
            <v>14650.070000000002</v>
          </cell>
          <cell r="L53">
            <v>27575.740000000005</v>
          </cell>
        </row>
        <row r="54">
          <cell r="A54">
            <v>36397</v>
          </cell>
          <cell r="B54">
            <v>6000000</v>
          </cell>
          <cell r="C54">
            <v>1</v>
          </cell>
          <cell r="D54">
            <v>0.06</v>
          </cell>
          <cell r="E54">
            <v>967.74</v>
          </cell>
          <cell r="F54">
            <v>1516018.0400000003</v>
          </cell>
          <cell r="G54">
            <v>8.0500000000000002E-2</v>
          </cell>
          <cell r="H54">
            <v>328.06</v>
          </cell>
          <cell r="I54">
            <v>639.68000000000006</v>
          </cell>
          <cell r="J54">
            <v>24193.530000000006</v>
          </cell>
          <cell r="K54">
            <v>14978.130000000001</v>
          </cell>
          <cell r="L54">
            <v>28215.420000000006</v>
          </cell>
        </row>
        <row r="55">
          <cell r="A55">
            <v>36398</v>
          </cell>
          <cell r="B55">
            <v>6000000</v>
          </cell>
          <cell r="C55">
            <v>1</v>
          </cell>
          <cell r="D55">
            <v>0.06</v>
          </cell>
          <cell r="E55">
            <v>967.74</v>
          </cell>
          <cell r="F55">
            <v>1515378.3600000003</v>
          </cell>
          <cell r="G55">
            <v>8.0500000000000002E-2</v>
          </cell>
          <cell r="H55">
            <v>327.92</v>
          </cell>
          <cell r="I55">
            <v>639.81999999999994</v>
          </cell>
          <cell r="J55">
            <v>25161.270000000008</v>
          </cell>
          <cell r="K55">
            <v>15306.050000000001</v>
          </cell>
          <cell r="L55">
            <v>28855.240000000005</v>
          </cell>
        </row>
        <row r="56">
          <cell r="A56">
            <v>36399</v>
          </cell>
          <cell r="B56">
            <v>6000000</v>
          </cell>
          <cell r="C56">
            <v>3</v>
          </cell>
          <cell r="D56">
            <v>0.06</v>
          </cell>
          <cell r="E56">
            <v>2903.23</v>
          </cell>
          <cell r="F56">
            <v>1514738.5400000003</v>
          </cell>
          <cell r="G56">
            <v>8.0500000000000002E-2</v>
          </cell>
          <cell r="H56">
            <v>983.36</v>
          </cell>
          <cell r="I56">
            <v>1919.87</v>
          </cell>
          <cell r="J56">
            <v>28064.500000000007</v>
          </cell>
          <cell r="K56">
            <v>16289.410000000002</v>
          </cell>
          <cell r="L56">
            <v>30775.110000000004</v>
          </cell>
        </row>
        <row r="57">
          <cell r="A57">
            <v>36402</v>
          </cell>
          <cell r="B57">
            <v>6000000</v>
          </cell>
          <cell r="C57">
            <v>1</v>
          </cell>
          <cell r="D57">
            <v>0.06</v>
          </cell>
          <cell r="E57">
            <v>967.74</v>
          </cell>
          <cell r="F57">
            <v>1512818.6700000002</v>
          </cell>
          <cell r="G57">
            <v>8.0500000000000002E-2</v>
          </cell>
          <cell r="H57">
            <v>327.37</v>
          </cell>
          <cell r="I57">
            <v>640.37</v>
          </cell>
          <cell r="J57">
            <v>29032.240000000009</v>
          </cell>
          <cell r="K57">
            <v>16616.780000000002</v>
          </cell>
          <cell r="L57">
            <v>31415.480000000003</v>
          </cell>
        </row>
        <row r="58">
          <cell r="A58">
            <v>36403</v>
          </cell>
          <cell r="B58">
            <v>6000000</v>
          </cell>
          <cell r="C58">
            <v>1</v>
          </cell>
          <cell r="D58">
            <v>0.06</v>
          </cell>
          <cell r="E58">
            <v>967.74</v>
          </cell>
          <cell r="F58">
            <v>1512178.3</v>
          </cell>
          <cell r="G58">
            <v>8.0500000000000002E-2</v>
          </cell>
          <cell r="H58">
            <v>327.23</v>
          </cell>
          <cell r="I58">
            <v>640.51</v>
          </cell>
          <cell r="J58">
            <v>29999.98000000001</v>
          </cell>
          <cell r="K58">
            <v>16944.010000000002</v>
          </cell>
          <cell r="L58">
            <v>32055.99</v>
          </cell>
        </row>
      </sheetData>
      <sheetData sheetId="5">
        <row r="40">
          <cell r="A40">
            <v>36373</v>
          </cell>
          <cell r="B40">
            <v>9400430</v>
          </cell>
          <cell r="C40">
            <v>2</v>
          </cell>
          <cell r="D40">
            <v>6.5000000000000002E-2</v>
          </cell>
          <cell r="E40">
            <v>3285.1</v>
          </cell>
          <cell r="F40">
            <v>1728466.4999999998</v>
          </cell>
          <cell r="G40">
            <v>0.1031</v>
          </cell>
          <cell r="H40">
            <v>958.09</v>
          </cell>
          <cell r="I40">
            <v>2327.0099999999998</v>
          </cell>
          <cell r="J40">
            <v>3285.0999999999985</v>
          </cell>
          <cell r="K40">
            <v>13454.449999999999</v>
          </cell>
          <cell r="L40">
            <v>30565.869999999995</v>
          </cell>
        </row>
        <row r="41">
          <cell r="A41">
            <v>36375</v>
          </cell>
          <cell r="B41">
            <v>9400430</v>
          </cell>
          <cell r="C41">
            <v>1</v>
          </cell>
          <cell r="D41">
            <v>6.5000000000000002E-2</v>
          </cell>
          <cell r="E41">
            <v>1642.55</v>
          </cell>
          <cell r="F41">
            <v>1726139.4899999998</v>
          </cell>
          <cell r="G41">
            <v>0.1031</v>
          </cell>
          <cell r="H41">
            <v>478.4</v>
          </cell>
          <cell r="I41">
            <v>1164.1500000000001</v>
          </cell>
          <cell r="J41">
            <v>4927.6499999999987</v>
          </cell>
          <cell r="K41">
            <v>13932.849999999999</v>
          </cell>
          <cell r="L41">
            <v>31730.019999999997</v>
          </cell>
        </row>
        <row r="42">
          <cell r="A42">
            <v>36376</v>
          </cell>
          <cell r="B42">
            <v>9400430</v>
          </cell>
          <cell r="C42">
            <v>1</v>
          </cell>
          <cell r="D42">
            <v>6.5000000000000002E-2</v>
          </cell>
          <cell r="E42">
            <v>1642.55</v>
          </cell>
          <cell r="F42">
            <v>1724975.3399999999</v>
          </cell>
          <cell r="G42">
            <v>0.1031</v>
          </cell>
          <cell r="H42">
            <v>478.08</v>
          </cell>
          <cell r="I42">
            <v>1164.47</v>
          </cell>
          <cell r="J42">
            <v>6570.1999999999989</v>
          </cell>
          <cell r="K42">
            <v>14410.929999999998</v>
          </cell>
          <cell r="L42">
            <v>32894.49</v>
          </cell>
        </row>
        <row r="43">
          <cell r="A43">
            <v>36377</v>
          </cell>
          <cell r="B43">
            <v>9400430</v>
          </cell>
          <cell r="C43">
            <v>1</v>
          </cell>
          <cell r="D43">
            <v>6.5000000000000002E-2</v>
          </cell>
          <cell r="E43">
            <v>1642.55</v>
          </cell>
          <cell r="F43">
            <v>1723810.8699999999</v>
          </cell>
          <cell r="G43">
            <v>0.1031</v>
          </cell>
          <cell r="H43">
            <v>477.76</v>
          </cell>
          <cell r="I43">
            <v>1164.79</v>
          </cell>
          <cell r="J43">
            <v>8212.7499999999982</v>
          </cell>
          <cell r="K43">
            <v>14888.689999999999</v>
          </cell>
          <cell r="L43">
            <v>34059.279999999999</v>
          </cell>
        </row>
        <row r="44">
          <cell r="A44">
            <v>36378</v>
          </cell>
          <cell r="B44">
            <v>9400430</v>
          </cell>
          <cell r="C44">
            <v>3</v>
          </cell>
          <cell r="D44">
            <v>6.5000000000000002E-2</v>
          </cell>
          <cell r="E44">
            <v>4927.6400000000003</v>
          </cell>
          <cell r="F44">
            <v>1722646.0799999998</v>
          </cell>
          <cell r="G44">
            <v>0.1031</v>
          </cell>
          <cell r="H44">
            <v>1432.3</v>
          </cell>
          <cell r="I44">
            <v>3495.34</v>
          </cell>
          <cell r="J44">
            <v>13140.39</v>
          </cell>
          <cell r="K44">
            <v>16320.989999999998</v>
          </cell>
          <cell r="L44">
            <v>37554.619999999995</v>
          </cell>
        </row>
        <row r="45">
          <cell r="A45">
            <v>36381</v>
          </cell>
          <cell r="B45">
            <v>9400430</v>
          </cell>
          <cell r="C45">
            <v>1</v>
          </cell>
          <cell r="D45">
            <v>6.5000000000000002E-2</v>
          </cell>
          <cell r="E45">
            <v>1642.55</v>
          </cell>
          <cell r="F45">
            <v>1719150.7399999998</v>
          </cell>
          <cell r="G45">
            <v>0.1031</v>
          </cell>
          <cell r="H45">
            <v>476.46</v>
          </cell>
          <cell r="I45">
            <v>1166.0899999999999</v>
          </cell>
          <cell r="J45">
            <v>14782.939999999999</v>
          </cell>
          <cell r="K45">
            <v>16797.449999999997</v>
          </cell>
          <cell r="L45">
            <v>38720.709999999992</v>
          </cell>
        </row>
        <row r="46">
          <cell r="A46">
            <v>36382</v>
          </cell>
          <cell r="B46">
            <v>9400430</v>
          </cell>
          <cell r="C46">
            <v>1</v>
          </cell>
          <cell r="D46">
            <v>6.5000000000000002E-2</v>
          </cell>
          <cell r="E46">
            <v>1642.55</v>
          </cell>
          <cell r="F46">
            <v>1717984.6499999997</v>
          </cell>
          <cell r="G46">
            <v>0.1031</v>
          </cell>
          <cell r="H46">
            <v>476.14</v>
          </cell>
          <cell r="I46">
            <v>1166.4099999999999</v>
          </cell>
          <cell r="J46">
            <v>16425.489999999998</v>
          </cell>
          <cell r="K46">
            <v>17273.589999999997</v>
          </cell>
          <cell r="L46">
            <v>39887.119999999995</v>
          </cell>
        </row>
        <row r="47">
          <cell r="A47">
            <v>36383</v>
          </cell>
          <cell r="B47">
            <v>9400430</v>
          </cell>
          <cell r="C47">
            <v>1</v>
          </cell>
          <cell r="D47">
            <v>6.5000000000000002E-2</v>
          </cell>
          <cell r="E47">
            <v>1642.55</v>
          </cell>
          <cell r="F47">
            <v>1716818.2399999998</v>
          </cell>
          <cell r="G47">
            <v>0.1031</v>
          </cell>
          <cell r="H47">
            <v>475.82</v>
          </cell>
          <cell r="I47">
            <v>1166.73</v>
          </cell>
          <cell r="J47">
            <v>18068.039999999997</v>
          </cell>
          <cell r="K47">
            <v>17749.409999999996</v>
          </cell>
          <cell r="L47">
            <v>41053.85</v>
          </cell>
        </row>
        <row r="48">
          <cell r="A48">
            <v>36384</v>
          </cell>
          <cell r="B48">
            <v>9400430</v>
          </cell>
          <cell r="C48">
            <v>1</v>
          </cell>
          <cell r="D48">
            <v>6.5000000000000002E-2</v>
          </cell>
          <cell r="E48">
            <v>1642.55</v>
          </cell>
          <cell r="F48">
            <v>1715651.5099999998</v>
          </cell>
          <cell r="G48">
            <v>0.1031</v>
          </cell>
          <cell r="H48">
            <v>475.49</v>
          </cell>
          <cell r="I48">
            <v>1167.06</v>
          </cell>
          <cell r="J48">
            <v>19710.589999999997</v>
          </cell>
          <cell r="K48">
            <v>18224.899999999998</v>
          </cell>
          <cell r="L48">
            <v>42220.909999999996</v>
          </cell>
        </row>
        <row r="49">
          <cell r="A49">
            <v>36385</v>
          </cell>
          <cell r="B49">
            <v>9400430</v>
          </cell>
          <cell r="C49">
            <v>3</v>
          </cell>
          <cell r="D49">
            <v>6.5000000000000002E-2</v>
          </cell>
          <cell r="E49">
            <v>4927.6400000000003</v>
          </cell>
          <cell r="F49">
            <v>1714484.4499999997</v>
          </cell>
          <cell r="G49">
            <v>0.1031</v>
          </cell>
          <cell r="H49">
            <v>1425.51</v>
          </cell>
          <cell r="I49">
            <v>3502.13</v>
          </cell>
          <cell r="J49">
            <v>24638.229999999996</v>
          </cell>
          <cell r="K49">
            <v>19650.409999999996</v>
          </cell>
          <cell r="L49">
            <v>45723.039999999994</v>
          </cell>
        </row>
        <row r="50">
          <cell r="A50">
            <v>36388</v>
          </cell>
          <cell r="B50">
            <v>9400430</v>
          </cell>
          <cell r="C50">
            <v>1</v>
          </cell>
          <cell r="D50">
            <v>6.5000000000000002E-2</v>
          </cell>
          <cell r="E50">
            <v>1642.55</v>
          </cell>
          <cell r="F50">
            <v>1710982.3199999998</v>
          </cell>
          <cell r="G50">
            <v>0.1031</v>
          </cell>
          <cell r="H50">
            <v>474.2</v>
          </cell>
          <cell r="I50">
            <v>1168.3499999999999</v>
          </cell>
          <cell r="J50">
            <v>26280.779999999995</v>
          </cell>
          <cell r="K50">
            <v>20124.609999999997</v>
          </cell>
          <cell r="L50">
            <v>46891.389999999992</v>
          </cell>
        </row>
        <row r="51">
          <cell r="A51">
            <v>36389</v>
          </cell>
          <cell r="B51">
            <v>9400430</v>
          </cell>
          <cell r="C51">
            <v>1</v>
          </cell>
          <cell r="D51">
            <v>6.5000000000000002E-2</v>
          </cell>
          <cell r="E51">
            <v>1642.55</v>
          </cell>
          <cell r="F51">
            <v>1709813.9699999997</v>
          </cell>
          <cell r="G51">
            <v>0.1031</v>
          </cell>
          <cell r="H51">
            <v>473.88</v>
          </cell>
          <cell r="I51">
            <v>1168.67</v>
          </cell>
          <cell r="J51">
            <v>27923.329999999994</v>
          </cell>
          <cell r="K51">
            <v>20598.489999999998</v>
          </cell>
          <cell r="L51">
            <v>48060.05999999999</v>
          </cell>
        </row>
        <row r="52">
          <cell r="A52">
            <v>36390</v>
          </cell>
          <cell r="B52">
            <v>9400430</v>
          </cell>
          <cell r="C52">
            <v>1</v>
          </cell>
          <cell r="D52">
            <v>6.5000000000000002E-2</v>
          </cell>
          <cell r="E52">
            <v>1642.55</v>
          </cell>
          <cell r="F52">
            <v>1708645.2999999998</v>
          </cell>
          <cell r="G52">
            <v>0.1031</v>
          </cell>
          <cell r="H52">
            <v>473.55</v>
          </cell>
          <cell r="I52">
            <v>1169</v>
          </cell>
          <cell r="J52">
            <v>29565.879999999994</v>
          </cell>
          <cell r="K52">
            <v>21072.039999999997</v>
          </cell>
          <cell r="L52">
            <v>49229.05999999999</v>
          </cell>
        </row>
        <row r="53">
          <cell r="A53">
            <v>36391</v>
          </cell>
          <cell r="B53">
            <v>9400430</v>
          </cell>
          <cell r="C53">
            <v>1</v>
          </cell>
          <cell r="D53">
            <v>6.5000000000000002E-2</v>
          </cell>
          <cell r="E53">
            <v>1642.55</v>
          </cell>
          <cell r="F53">
            <v>1707476.2999999998</v>
          </cell>
          <cell r="G53">
            <v>0.1031</v>
          </cell>
          <cell r="H53">
            <v>473.23</v>
          </cell>
          <cell r="I53">
            <v>1169.32</v>
          </cell>
          <cell r="J53">
            <v>31208.429999999993</v>
          </cell>
          <cell r="K53">
            <v>21545.269999999997</v>
          </cell>
          <cell r="L53">
            <v>50398.37999999999</v>
          </cell>
        </row>
        <row r="54">
          <cell r="A54">
            <v>36392</v>
          </cell>
          <cell r="B54">
            <v>9400430</v>
          </cell>
          <cell r="C54">
            <v>3</v>
          </cell>
          <cell r="D54">
            <v>6.5000000000000002E-2</v>
          </cell>
          <cell r="E54">
            <v>4927.6400000000003</v>
          </cell>
          <cell r="F54">
            <v>1706306.9799999997</v>
          </cell>
          <cell r="G54">
            <v>0.1031</v>
          </cell>
          <cell r="H54">
            <v>1418.71</v>
          </cell>
          <cell r="I54">
            <v>3508.9300000000003</v>
          </cell>
          <cell r="J54">
            <v>36136.069999999992</v>
          </cell>
          <cell r="K54">
            <v>22963.979999999996</v>
          </cell>
          <cell r="L54">
            <v>53907.30999999999</v>
          </cell>
        </row>
        <row r="55">
          <cell r="A55">
            <v>36395</v>
          </cell>
          <cell r="B55">
            <v>9400430</v>
          </cell>
          <cell r="C55">
            <v>1</v>
          </cell>
          <cell r="D55">
            <v>6.5000000000000002E-2</v>
          </cell>
          <cell r="E55">
            <v>1642.55</v>
          </cell>
          <cell r="F55">
            <v>1702798.0499999998</v>
          </cell>
          <cell r="G55">
            <v>0.1031</v>
          </cell>
          <cell r="H55">
            <v>471.93</v>
          </cell>
          <cell r="I55">
            <v>1170.6199999999999</v>
          </cell>
          <cell r="J55">
            <v>37778.619999999995</v>
          </cell>
          <cell r="K55">
            <v>23435.909999999996</v>
          </cell>
          <cell r="L55">
            <v>55077.929999999993</v>
          </cell>
        </row>
        <row r="56">
          <cell r="A56">
            <v>36396</v>
          </cell>
          <cell r="B56">
            <v>9400430</v>
          </cell>
          <cell r="C56">
            <v>1</v>
          </cell>
          <cell r="D56">
            <v>6.5000000000000002E-2</v>
          </cell>
          <cell r="E56">
            <v>1642.55</v>
          </cell>
          <cell r="F56">
            <v>1701627.4299999997</v>
          </cell>
          <cell r="G56">
            <v>0.1031</v>
          </cell>
          <cell r="H56">
            <v>471.61</v>
          </cell>
          <cell r="I56">
            <v>1170.94</v>
          </cell>
          <cell r="J56">
            <v>39421.17</v>
          </cell>
          <cell r="K56">
            <v>23907.519999999997</v>
          </cell>
          <cell r="L56">
            <v>56248.869999999995</v>
          </cell>
        </row>
        <row r="57">
          <cell r="A57">
            <v>36397</v>
          </cell>
          <cell r="B57">
            <v>9400430</v>
          </cell>
          <cell r="C57">
            <v>1</v>
          </cell>
          <cell r="D57">
            <v>6.5000000000000002E-2</v>
          </cell>
          <cell r="E57">
            <v>1642.55</v>
          </cell>
          <cell r="F57">
            <v>1700456.4899999998</v>
          </cell>
          <cell r="G57">
            <v>0.1031</v>
          </cell>
          <cell r="H57">
            <v>471.28</v>
          </cell>
          <cell r="I57">
            <v>1171.27</v>
          </cell>
          <cell r="J57">
            <v>41063.72</v>
          </cell>
          <cell r="K57">
            <v>24378.799999999996</v>
          </cell>
          <cell r="L57">
            <v>57420.139999999992</v>
          </cell>
        </row>
        <row r="58">
          <cell r="A58">
            <v>36398</v>
          </cell>
          <cell r="B58">
            <v>9400430</v>
          </cell>
          <cell r="C58">
            <v>1</v>
          </cell>
          <cell r="D58">
            <v>6.5000000000000002E-2</v>
          </cell>
          <cell r="E58">
            <v>1642.55</v>
          </cell>
          <cell r="F58">
            <v>1699285.2199999997</v>
          </cell>
          <cell r="G58">
            <v>0.1031</v>
          </cell>
          <cell r="H58">
            <v>470.96</v>
          </cell>
          <cell r="I58">
            <v>1171.5899999999999</v>
          </cell>
          <cell r="J58">
            <v>42706.270000000004</v>
          </cell>
          <cell r="K58">
            <v>24849.759999999995</v>
          </cell>
          <cell r="L58">
            <v>58591.729999999989</v>
          </cell>
        </row>
        <row r="59">
          <cell r="A59">
            <v>36399</v>
          </cell>
          <cell r="B59">
            <v>9400430</v>
          </cell>
          <cell r="C59">
            <v>3</v>
          </cell>
          <cell r="D59">
            <v>6.5000000000000002E-2</v>
          </cell>
          <cell r="E59">
            <v>4927.6400000000003</v>
          </cell>
          <cell r="F59">
            <v>1698113.6299999997</v>
          </cell>
          <cell r="G59">
            <v>0.1031</v>
          </cell>
          <cell r="H59">
            <v>1411.9</v>
          </cell>
          <cell r="I59">
            <v>3515.7400000000002</v>
          </cell>
          <cell r="J59">
            <v>47633.91</v>
          </cell>
          <cell r="K59">
            <v>26261.659999999996</v>
          </cell>
          <cell r="L59">
            <v>62107.469999999987</v>
          </cell>
        </row>
        <row r="60">
          <cell r="A60">
            <v>36402</v>
          </cell>
          <cell r="B60">
            <v>9400430</v>
          </cell>
          <cell r="C60">
            <v>1</v>
          </cell>
          <cell r="D60">
            <v>6.5000000000000002E-2</v>
          </cell>
          <cell r="E60">
            <v>1642.55</v>
          </cell>
          <cell r="F60">
            <v>1694597.8899999997</v>
          </cell>
          <cell r="G60">
            <v>0.1031</v>
          </cell>
          <cell r="H60">
            <v>469.66</v>
          </cell>
          <cell r="I60">
            <v>1172.8899999999999</v>
          </cell>
          <cell r="J60">
            <v>49276.460000000006</v>
          </cell>
          <cell r="K60">
            <v>26731.319999999996</v>
          </cell>
          <cell r="L60">
            <v>63280.359999999986</v>
          </cell>
        </row>
        <row r="61">
          <cell r="A61">
            <v>36403</v>
          </cell>
          <cell r="B61">
            <v>9400430</v>
          </cell>
          <cell r="C61">
            <v>1</v>
          </cell>
          <cell r="D61">
            <v>6.5000000000000002E-2</v>
          </cell>
          <cell r="E61">
            <v>1642.55</v>
          </cell>
          <cell r="F61">
            <v>1693424.9999999998</v>
          </cell>
          <cell r="G61">
            <v>0.1031</v>
          </cell>
          <cell r="H61">
            <v>469.33</v>
          </cell>
          <cell r="I61">
            <v>1173.22</v>
          </cell>
          <cell r="J61">
            <v>50919.010000000009</v>
          </cell>
          <cell r="K61">
            <v>27200.649999999998</v>
          </cell>
          <cell r="L61">
            <v>64453.579999999987</v>
          </cell>
        </row>
      </sheetData>
      <sheetData sheetId="6">
        <row r="42">
          <cell r="A42">
            <v>36373</v>
          </cell>
          <cell r="B42">
            <v>6904923</v>
          </cell>
          <cell r="C42">
            <v>2</v>
          </cell>
          <cell r="D42">
            <v>6.5000000000000002E-2</v>
          </cell>
          <cell r="E42">
            <v>2413.0100000000002</v>
          </cell>
          <cell r="F42">
            <v>1321117.1499999997</v>
          </cell>
          <cell r="G42">
            <v>9.9400000000000002E-2</v>
          </cell>
          <cell r="H42">
            <v>706.02</v>
          </cell>
          <cell r="I42">
            <v>1706.9900000000002</v>
          </cell>
          <cell r="J42">
            <v>2413.010000000002</v>
          </cell>
          <cell r="K42">
            <v>11517.97</v>
          </cell>
          <cell r="L42">
            <v>27049.83</v>
          </cell>
        </row>
        <row r="43">
          <cell r="A43">
            <v>36375</v>
          </cell>
          <cell r="B43">
            <v>6904923</v>
          </cell>
          <cell r="C43">
            <v>1</v>
          </cell>
          <cell r="D43">
            <v>6.5000000000000002E-2</v>
          </cell>
          <cell r="E43">
            <v>1206.51</v>
          </cell>
          <cell r="F43">
            <v>1319410.1599999997</v>
          </cell>
          <cell r="G43">
            <v>9.9400000000000002E-2</v>
          </cell>
          <cell r="H43">
            <v>352.55</v>
          </cell>
          <cell r="I43">
            <v>853.96</v>
          </cell>
          <cell r="J43">
            <v>3619.5200000000023</v>
          </cell>
          <cell r="K43">
            <v>11870.519999999999</v>
          </cell>
          <cell r="L43">
            <v>27903.79</v>
          </cell>
        </row>
        <row r="44">
          <cell r="A44">
            <v>36376</v>
          </cell>
          <cell r="B44">
            <v>6904923</v>
          </cell>
          <cell r="C44">
            <v>1</v>
          </cell>
          <cell r="D44">
            <v>6.5000000000000002E-2</v>
          </cell>
          <cell r="E44">
            <v>1206.51</v>
          </cell>
          <cell r="F44">
            <v>1318556.1999999997</v>
          </cell>
          <cell r="G44">
            <v>9.9400000000000002E-2</v>
          </cell>
          <cell r="H44">
            <v>352.32</v>
          </cell>
          <cell r="I44">
            <v>854.19</v>
          </cell>
          <cell r="J44">
            <v>4826.0300000000025</v>
          </cell>
          <cell r="K44">
            <v>12222.839999999998</v>
          </cell>
          <cell r="L44">
            <v>28757.98</v>
          </cell>
        </row>
        <row r="45">
          <cell r="A45">
            <v>36377</v>
          </cell>
          <cell r="B45">
            <v>6904923</v>
          </cell>
          <cell r="C45">
            <v>1</v>
          </cell>
          <cell r="D45">
            <v>6.5000000000000002E-2</v>
          </cell>
          <cell r="E45">
            <v>1206.51</v>
          </cell>
          <cell r="F45">
            <v>1317702.0099999998</v>
          </cell>
          <cell r="G45">
            <v>9.9400000000000002E-2</v>
          </cell>
          <cell r="H45">
            <v>352.1</v>
          </cell>
          <cell r="I45">
            <v>854.41</v>
          </cell>
          <cell r="J45">
            <v>6032.5400000000027</v>
          </cell>
          <cell r="K45">
            <v>12574.939999999999</v>
          </cell>
          <cell r="L45">
            <v>29612.39</v>
          </cell>
        </row>
        <row r="46">
          <cell r="A46">
            <v>36378</v>
          </cell>
          <cell r="B46">
            <v>6904923</v>
          </cell>
          <cell r="C46">
            <v>3</v>
          </cell>
          <cell r="D46">
            <v>6.5000000000000002E-2</v>
          </cell>
          <cell r="E46">
            <v>3619.52</v>
          </cell>
          <cell r="F46">
            <v>1316847.5999999999</v>
          </cell>
          <cell r="G46">
            <v>9.9400000000000002E-2</v>
          </cell>
          <cell r="H46">
            <v>1055.5999999999999</v>
          </cell>
          <cell r="I46">
            <v>2563.92</v>
          </cell>
          <cell r="J46">
            <v>9652.0600000000031</v>
          </cell>
          <cell r="K46">
            <v>13630.539999999999</v>
          </cell>
          <cell r="L46">
            <v>32176.309999999998</v>
          </cell>
        </row>
        <row r="47">
          <cell r="A47">
            <v>36381</v>
          </cell>
          <cell r="B47">
            <v>6904923</v>
          </cell>
          <cell r="C47">
            <v>1</v>
          </cell>
          <cell r="D47">
            <v>6.5000000000000002E-2</v>
          </cell>
          <cell r="E47">
            <v>1206.51</v>
          </cell>
          <cell r="F47">
            <v>1314283.68</v>
          </cell>
          <cell r="G47">
            <v>9.9400000000000002E-2</v>
          </cell>
          <cell r="H47">
            <v>351.18</v>
          </cell>
          <cell r="I47">
            <v>855.32999999999993</v>
          </cell>
          <cell r="J47">
            <v>10858.570000000003</v>
          </cell>
          <cell r="K47">
            <v>13981.72</v>
          </cell>
          <cell r="L47">
            <v>33031.64</v>
          </cell>
        </row>
        <row r="48">
          <cell r="A48">
            <v>36382</v>
          </cell>
          <cell r="B48">
            <v>6904923</v>
          </cell>
          <cell r="C48">
            <v>1</v>
          </cell>
          <cell r="D48">
            <v>6.5000000000000002E-2</v>
          </cell>
          <cell r="E48">
            <v>1206.51</v>
          </cell>
          <cell r="F48">
            <v>1313428.3499999999</v>
          </cell>
          <cell r="G48">
            <v>9.9400000000000002E-2</v>
          </cell>
          <cell r="H48">
            <v>350.95</v>
          </cell>
          <cell r="I48">
            <v>855.56</v>
          </cell>
          <cell r="J48">
            <v>12065.080000000004</v>
          </cell>
          <cell r="K48">
            <v>14332.67</v>
          </cell>
          <cell r="L48">
            <v>33887.199999999997</v>
          </cell>
        </row>
        <row r="49">
          <cell r="A49">
            <v>36383</v>
          </cell>
          <cell r="B49">
            <v>6904923</v>
          </cell>
          <cell r="C49">
            <v>1</v>
          </cell>
          <cell r="D49">
            <v>6.5000000000000002E-2</v>
          </cell>
          <cell r="E49">
            <v>1206.51</v>
          </cell>
          <cell r="F49">
            <v>1312572.7899999998</v>
          </cell>
          <cell r="G49">
            <v>9.9400000000000002E-2</v>
          </cell>
          <cell r="H49">
            <v>350.73</v>
          </cell>
          <cell r="I49">
            <v>855.78</v>
          </cell>
          <cell r="J49">
            <v>13271.590000000004</v>
          </cell>
          <cell r="K49">
            <v>14683.4</v>
          </cell>
          <cell r="L49">
            <v>34742.979999999996</v>
          </cell>
        </row>
        <row r="50">
          <cell r="A50">
            <v>36384</v>
          </cell>
          <cell r="B50">
            <v>6904923</v>
          </cell>
          <cell r="C50">
            <v>1</v>
          </cell>
          <cell r="D50">
            <v>6.5000000000000002E-2</v>
          </cell>
          <cell r="E50">
            <v>1206.51</v>
          </cell>
          <cell r="F50">
            <v>1311717.0099999998</v>
          </cell>
          <cell r="G50">
            <v>9.9400000000000002E-2</v>
          </cell>
          <cell r="H50">
            <v>350.5</v>
          </cell>
          <cell r="I50">
            <v>856.01</v>
          </cell>
          <cell r="J50">
            <v>14478.100000000004</v>
          </cell>
          <cell r="K50">
            <v>15033.9</v>
          </cell>
          <cell r="L50">
            <v>35598.99</v>
          </cell>
        </row>
        <row r="51">
          <cell r="A51">
            <v>36385</v>
          </cell>
          <cell r="B51">
            <v>6904923</v>
          </cell>
          <cell r="C51">
            <v>3</v>
          </cell>
          <cell r="D51">
            <v>6.5000000000000002E-2</v>
          </cell>
          <cell r="E51">
            <v>3619.52</v>
          </cell>
          <cell r="F51">
            <v>1310860.9999999998</v>
          </cell>
          <cell r="G51">
            <v>9.9400000000000002E-2</v>
          </cell>
          <cell r="H51">
            <v>1050.8</v>
          </cell>
          <cell r="I51">
            <v>2568.7200000000003</v>
          </cell>
          <cell r="J51">
            <v>18097.620000000003</v>
          </cell>
          <cell r="K51">
            <v>16084.699999999999</v>
          </cell>
          <cell r="L51">
            <v>38167.71</v>
          </cell>
        </row>
        <row r="52">
          <cell r="A52">
            <v>36388</v>
          </cell>
          <cell r="B52">
            <v>6904923</v>
          </cell>
          <cell r="C52">
            <v>1</v>
          </cell>
          <cell r="D52">
            <v>6.5000000000000002E-2</v>
          </cell>
          <cell r="E52">
            <v>1206.51</v>
          </cell>
          <cell r="F52">
            <v>1308292.2799999998</v>
          </cell>
          <cell r="G52">
            <v>9.9400000000000002E-2</v>
          </cell>
          <cell r="H52">
            <v>349.58</v>
          </cell>
          <cell r="I52">
            <v>856.93000000000006</v>
          </cell>
          <cell r="J52">
            <v>19304.13</v>
          </cell>
          <cell r="K52">
            <v>16434.28</v>
          </cell>
          <cell r="L52">
            <v>39024.639999999999</v>
          </cell>
        </row>
        <row r="53">
          <cell r="A53">
            <v>36389</v>
          </cell>
          <cell r="B53">
            <v>6904923</v>
          </cell>
          <cell r="C53">
            <v>1</v>
          </cell>
          <cell r="D53">
            <v>6.5000000000000002E-2</v>
          </cell>
          <cell r="E53">
            <v>1206.51</v>
          </cell>
          <cell r="F53">
            <v>1307435.3499999999</v>
          </cell>
          <cell r="G53">
            <v>9.9400000000000002E-2</v>
          </cell>
          <cell r="H53">
            <v>349.35</v>
          </cell>
          <cell r="I53">
            <v>857.16</v>
          </cell>
          <cell r="J53">
            <v>20510.64</v>
          </cell>
          <cell r="K53">
            <v>16783.629999999997</v>
          </cell>
          <cell r="L53">
            <v>39881.800000000003</v>
          </cell>
        </row>
        <row r="54">
          <cell r="A54">
            <v>36390</v>
          </cell>
          <cell r="B54">
            <v>6904923</v>
          </cell>
          <cell r="C54">
            <v>1</v>
          </cell>
          <cell r="D54">
            <v>6.5000000000000002E-2</v>
          </cell>
          <cell r="E54">
            <v>1206.51</v>
          </cell>
          <cell r="F54">
            <v>1306578.19</v>
          </cell>
          <cell r="G54">
            <v>9.9400000000000002E-2</v>
          </cell>
          <cell r="H54">
            <v>349.12</v>
          </cell>
          <cell r="I54">
            <v>857.39</v>
          </cell>
          <cell r="J54">
            <v>21717.149999999998</v>
          </cell>
          <cell r="K54">
            <v>17132.749999999996</v>
          </cell>
          <cell r="L54">
            <v>40739.19</v>
          </cell>
        </row>
        <row r="55">
          <cell r="A55">
            <v>36391</v>
          </cell>
          <cell r="B55">
            <v>6904923</v>
          </cell>
          <cell r="C55">
            <v>1</v>
          </cell>
          <cell r="D55">
            <v>6.5000000000000002E-2</v>
          </cell>
          <cell r="E55">
            <v>1206.51</v>
          </cell>
          <cell r="F55">
            <v>1305720.8</v>
          </cell>
          <cell r="G55">
            <v>9.9400000000000002E-2</v>
          </cell>
          <cell r="H55">
            <v>348.89</v>
          </cell>
          <cell r="I55">
            <v>857.62</v>
          </cell>
          <cell r="J55">
            <v>22923.659999999996</v>
          </cell>
          <cell r="K55">
            <v>17481.639999999996</v>
          </cell>
          <cell r="L55">
            <v>41596.810000000005</v>
          </cell>
        </row>
        <row r="56">
          <cell r="A56">
            <v>36392</v>
          </cell>
          <cell r="B56">
            <v>6904923</v>
          </cell>
          <cell r="C56">
            <v>3</v>
          </cell>
          <cell r="D56">
            <v>6.5000000000000002E-2</v>
          </cell>
          <cell r="E56">
            <v>3619.52</v>
          </cell>
          <cell r="F56">
            <v>1304863.18</v>
          </cell>
          <cell r="G56">
            <v>9.9400000000000002E-2</v>
          </cell>
          <cell r="H56">
            <v>1046</v>
          </cell>
          <cell r="I56">
            <v>2573.52</v>
          </cell>
          <cell r="J56">
            <v>26543.179999999997</v>
          </cell>
          <cell r="K56">
            <v>18527.639999999996</v>
          </cell>
          <cell r="L56">
            <v>44170.33</v>
          </cell>
        </row>
        <row r="57">
          <cell r="A57">
            <v>36395</v>
          </cell>
          <cell r="B57">
            <v>6904923</v>
          </cell>
          <cell r="C57">
            <v>1</v>
          </cell>
          <cell r="D57">
            <v>6.5000000000000002E-2</v>
          </cell>
          <cell r="E57">
            <v>1206.51</v>
          </cell>
          <cell r="F57">
            <v>1302289.6599999999</v>
          </cell>
          <cell r="G57">
            <v>9.9400000000000002E-2</v>
          </cell>
          <cell r="H57">
            <v>347.98</v>
          </cell>
          <cell r="I57">
            <v>858.53</v>
          </cell>
          <cell r="J57">
            <v>27749.689999999995</v>
          </cell>
          <cell r="K57">
            <v>18875.619999999995</v>
          </cell>
          <cell r="L57">
            <v>45028.86</v>
          </cell>
        </row>
        <row r="58">
          <cell r="A58">
            <v>36396</v>
          </cell>
          <cell r="B58">
            <v>6904923</v>
          </cell>
          <cell r="C58">
            <v>1</v>
          </cell>
          <cell r="D58">
            <v>6.5000000000000002E-2</v>
          </cell>
          <cell r="E58">
            <v>1206.51</v>
          </cell>
          <cell r="F58">
            <v>1301431.1299999999</v>
          </cell>
          <cell r="G58">
            <v>9.9400000000000002E-2</v>
          </cell>
          <cell r="H58">
            <v>347.75</v>
          </cell>
          <cell r="I58">
            <v>858.76</v>
          </cell>
          <cell r="J58">
            <v>28956.199999999993</v>
          </cell>
          <cell r="K58">
            <v>19223.369999999995</v>
          </cell>
          <cell r="L58">
            <v>45887.62</v>
          </cell>
        </row>
        <row r="59">
          <cell r="A59">
            <v>36397</v>
          </cell>
          <cell r="B59">
            <v>6904923</v>
          </cell>
          <cell r="C59">
            <v>1</v>
          </cell>
          <cell r="D59">
            <v>6.5000000000000002E-2</v>
          </cell>
          <cell r="E59">
            <v>1206.51</v>
          </cell>
          <cell r="F59">
            <v>1300572.3699999999</v>
          </cell>
          <cell r="G59">
            <v>9.9400000000000002E-2</v>
          </cell>
          <cell r="H59">
            <v>347.52</v>
          </cell>
          <cell r="I59">
            <v>858.99</v>
          </cell>
          <cell r="J59">
            <v>30162.709999999992</v>
          </cell>
          <cell r="K59">
            <v>19570.889999999996</v>
          </cell>
          <cell r="L59">
            <v>46746.61</v>
          </cell>
        </row>
        <row r="60">
          <cell r="A60">
            <v>36398</v>
          </cell>
          <cell r="B60">
            <v>6904923</v>
          </cell>
          <cell r="C60">
            <v>1</v>
          </cell>
          <cell r="D60">
            <v>6.5000000000000002E-2</v>
          </cell>
          <cell r="E60">
            <v>1206.51</v>
          </cell>
          <cell r="F60">
            <v>1299713.3799999999</v>
          </cell>
          <cell r="G60">
            <v>9.9400000000000002E-2</v>
          </cell>
          <cell r="H60">
            <v>347.29</v>
          </cell>
          <cell r="I60">
            <v>859.22</v>
          </cell>
          <cell r="J60">
            <v>31369.21999999999</v>
          </cell>
          <cell r="K60">
            <v>19918.179999999997</v>
          </cell>
          <cell r="L60">
            <v>47605.83</v>
          </cell>
        </row>
        <row r="61">
          <cell r="A61">
            <v>36399</v>
          </cell>
          <cell r="B61">
            <v>6904923</v>
          </cell>
          <cell r="C61">
            <v>3</v>
          </cell>
          <cell r="D61">
            <v>6.5000000000000002E-2</v>
          </cell>
          <cell r="E61">
            <v>3619.52</v>
          </cell>
          <cell r="F61">
            <v>1298854.1599999999</v>
          </cell>
          <cell r="G61">
            <v>9.9400000000000002E-2</v>
          </cell>
          <cell r="H61">
            <v>1041.18</v>
          </cell>
          <cell r="I61">
            <v>2578.34</v>
          </cell>
          <cell r="J61">
            <v>34988.739999999991</v>
          </cell>
          <cell r="K61">
            <v>20959.359999999997</v>
          </cell>
          <cell r="L61">
            <v>50184.17</v>
          </cell>
        </row>
        <row r="62">
          <cell r="A62">
            <v>36402</v>
          </cell>
          <cell r="B62">
            <v>6904923</v>
          </cell>
          <cell r="C62">
            <v>1</v>
          </cell>
          <cell r="D62">
            <v>6.5000000000000002E-2</v>
          </cell>
          <cell r="E62">
            <v>1206.51</v>
          </cell>
          <cell r="F62">
            <v>1296275.8199999998</v>
          </cell>
          <cell r="G62">
            <v>9.9400000000000002E-2</v>
          </cell>
          <cell r="H62">
            <v>346.37</v>
          </cell>
          <cell r="I62">
            <v>860.14</v>
          </cell>
          <cell r="J62">
            <v>36195.249999999993</v>
          </cell>
          <cell r="K62">
            <v>21305.729999999996</v>
          </cell>
          <cell r="L62">
            <v>51044.31</v>
          </cell>
        </row>
        <row r="63">
          <cell r="A63">
            <v>36403</v>
          </cell>
          <cell r="B63">
            <v>6904923</v>
          </cell>
          <cell r="C63">
            <v>1</v>
          </cell>
          <cell r="D63">
            <v>6.5000000000000002E-2</v>
          </cell>
          <cell r="E63">
            <v>1206.51</v>
          </cell>
          <cell r="F63">
            <v>1295415.68</v>
          </cell>
          <cell r="G63">
            <v>9.9400000000000002E-2</v>
          </cell>
          <cell r="H63">
            <v>346.14</v>
          </cell>
          <cell r="I63">
            <v>860.37</v>
          </cell>
          <cell r="J63">
            <v>37401.759999999995</v>
          </cell>
          <cell r="K63">
            <v>21651.869999999995</v>
          </cell>
          <cell r="L63">
            <v>51904.68</v>
          </cell>
        </row>
      </sheetData>
      <sheetData sheetId="7">
        <row r="40">
          <cell r="A40">
            <v>36374</v>
          </cell>
          <cell r="B40">
            <v>3250015</v>
          </cell>
          <cell r="C40">
            <v>2</v>
          </cell>
          <cell r="D40">
            <v>6.5000000000000002E-2</v>
          </cell>
          <cell r="E40">
            <v>1135.76</v>
          </cell>
          <cell r="F40">
            <v>919457.8899999999</v>
          </cell>
          <cell r="G40">
            <v>0.1065</v>
          </cell>
          <cell r="H40">
            <v>526.46</v>
          </cell>
          <cell r="I40">
            <v>609.29999999999995</v>
          </cell>
          <cell r="J40">
            <v>1135.7599999999984</v>
          </cell>
          <cell r="K40">
            <v>7305.76</v>
          </cell>
          <cell r="L40">
            <v>7913.5000000000009</v>
          </cell>
        </row>
        <row r="41">
          <cell r="A41">
            <v>36375</v>
          </cell>
          <cell r="B41">
            <v>3250015</v>
          </cell>
          <cell r="C41">
            <v>1</v>
          </cell>
          <cell r="D41">
            <v>6.5000000000000002E-2</v>
          </cell>
          <cell r="E41">
            <v>567.88</v>
          </cell>
          <cell r="F41">
            <v>918848.58999999985</v>
          </cell>
          <cell r="G41">
            <v>0.1065</v>
          </cell>
          <cell r="H41">
            <v>263.06</v>
          </cell>
          <cell r="I41">
            <v>304.82</v>
          </cell>
          <cell r="J41">
            <v>1703.6399999999985</v>
          </cell>
          <cell r="K41">
            <v>7568.8200000000006</v>
          </cell>
          <cell r="L41">
            <v>8218.3200000000015</v>
          </cell>
        </row>
        <row r="42">
          <cell r="A42">
            <v>36376</v>
          </cell>
          <cell r="B42">
            <v>3250015</v>
          </cell>
          <cell r="C42">
            <v>1</v>
          </cell>
          <cell r="D42">
            <v>6.5000000000000002E-2</v>
          </cell>
          <cell r="E42">
            <v>567.88</v>
          </cell>
          <cell r="F42">
            <v>918543.7699999999</v>
          </cell>
          <cell r="G42">
            <v>0.1065</v>
          </cell>
          <cell r="H42">
            <v>262.97000000000003</v>
          </cell>
          <cell r="I42">
            <v>304.90999999999997</v>
          </cell>
          <cell r="J42">
            <v>2271.5199999999986</v>
          </cell>
          <cell r="K42">
            <v>7831.7900000000009</v>
          </cell>
          <cell r="L42">
            <v>8523.2300000000014</v>
          </cell>
        </row>
        <row r="43">
          <cell r="A43">
            <v>36377</v>
          </cell>
          <cell r="B43">
            <v>3250015</v>
          </cell>
          <cell r="C43">
            <v>1</v>
          </cell>
          <cell r="D43">
            <v>6.5000000000000002E-2</v>
          </cell>
          <cell r="E43">
            <v>567.88</v>
          </cell>
          <cell r="F43">
            <v>918238.85999999987</v>
          </cell>
          <cell r="G43">
            <v>0.1065</v>
          </cell>
          <cell r="H43">
            <v>262.88</v>
          </cell>
          <cell r="I43">
            <v>305</v>
          </cell>
          <cell r="J43">
            <v>2839.3999999999987</v>
          </cell>
          <cell r="K43">
            <v>8094.670000000001</v>
          </cell>
          <cell r="L43">
            <v>8828.2300000000014</v>
          </cell>
        </row>
        <row r="44">
          <cell r="A44">
            <v>36378</v>
          </cell>
          <cell r="B44">
            <v>3250015</v>
          </cell>
          <cell r="C44">
            <v>3</v>
          </cell>
          <cell r="D44">
            <v>6.5000000000000002E-2</v>
          </cell>
          <cell r="E44">
            <v>1703.64</v>
          </cell>
          <cell r="F44">
            <v>917933.85999999987</v>
          </cell>
          <cell r="G44">
            <v>0.1065</v>
          </cell>
          <cell r="H44">
            <v>788.39</v>
          </cell>
          <cell r="I44">
            <v>915.25000000000011</v>
          </cell>
          <cell r="J44">
            <v>4543.0399999999991</v>
          </cell>
          <cell r="K44">
            <v>8883.0600000000013</v>
          </cell>
          <cell r="L44">
            <v>9743.4800000000014</v>
          </cell>
        </row>
        <row r="45">
          <cell r="A45">
            <v>36381</v>
          </cell>
          <cell r="B45">
            <v>3250015</v>
          </cell>
          <cell r="C45">
            <v>1</v>
          </cell>
          <cell r="D45">
            <v>6.5000000000000002E-2</v>
          </cell>
          <cell r="E45">
            <v>567.88</v>
          </cell>
          <cell r="F45">
            <v>917018.60999999987</v>
          </cell>
          <cell r="G45">
            <v>0.1065</v>
          </cell>
          <cell r="H45">
            <v>262.52999999999997</v>
          </cell>
          <cell r="I45">
            <v>305.35000000000002</v>
          </cell>
          <cell r="J45">
            <v>5110.9199999999992</v>
          </cell>
          <cell r="K45">
            <v>9145.590000000002</v>
          </cell>
          <cell r="L45">
            <v>10048.830000000002</v>
          </cell>
        </row>
        <row r="46">
          <cell r="A46">
            <v>36382</v>
          </cell>
          <cell r="B46">
            <v>3250015</v>
          </cell>
          <cell r="C46">
            <v>1</v>
          </cell>
          <cell r="D46">
            <v>6.5000000000000002E-2</v>
          </cell>
          <cell r="E46">
            <v>567.88</v>
          </cell>
          <cell r="F46">
            <v>916713.25999999989</v>
          </cell>
          <cell r="G46">
            <v>0.1065</v>
          </cell>
          <cell r="H46">
            <v>262.45</v>
          </cell>
          <cell r="I46">
            <v>305.43</v>
          </cell>
          <cell r="J46">
            <v>5678.7999999999993</v>
          </cell>
          <cell r="K46">
            <v>9408.0400000000027</v>
          </cell>
          <cell r="L46">
            <v>10354.260000000002</v>
          </cell>
        </row>
        <row r="47">
          <cell r="A47">
            <v>36383</v>
          </cell>
          <cell r="B47">
            <v>3250015</v>
          </cell>
          <cell r="C47">
            <v>1</v>
          </cell>
          <cell r="D47">
            <v>6.5000000000000002E-2</v>
          </cell>
          <cell r="E47">
            <v>567.88</v>
          </cell>
          <cell r="F47">
            <v>916407.82999999984</v>
          </cell>
          <cell r="G47">
            <v>0.1065</v>
          </cell>
          <cell r="H47">
            <v>262.36</v>
          </cell>
          <cell r="I47">
            <v>305.52</v>
          </cell>
          <cell r="J47">
            <v>6246.6799999999994</v>
          </cell>
          <cell r="K47">
            <v>9670.4000000000033</v>
          </cell>
          <cell r="L47">
            <v>10659.780000000002</v>
          </cell>
        </row>
        <row r="48">
          <cell r="A48">
            <v>36384</v>
          </cell>
          <cell r="B48">
            <v>3250015</v>
          </cell>
          <cell r="C48">
            <v>1</v>
          </cell>
          <cell r="D48">
            <v>6.5000000000000002E-2</v>
          </cell>
          <cell r="E48">
            <v>567.88</v>
          </cell>
          <cell r="F48">
            <v>916102.30999999982</v>
          </cell>
          <cell r="G48">
            <v>0.1065</v>
          </cell>
          <cell r="H48">
            <v>262.27</v>
          </cell>
          <cell r="I48">
            <v>305.61</v>
          </cell>
          <cell r="J48">
            <v>6814.5599999999995</v>
          </cell>
          <cell r="K48">
            <v>9932.6700000000037</v>
          </cell>
          <cell r="L48">
            <v>10965.390000000003</v>
          </cell>
        </row>
        <row r="49">
          <cell r="A49">
            <v>36385</v>
          </cell>
          <cell r="B49">
            <v>3250015</v>
          </cell>
          <cell r="C49">
            <v>3</v>
          </cell>
          <cell r="D49">
            <v>6.5000000000000002E-2</v>
          </cell>
          <cell r="E49">
            <v>1703.64</v>
          </cell>
          <cell r="F49">
            <v>915796.69999999984</v>
          </cell>
          <cell r="G49">
            <v>0.1065</v>
          </cell>
          <cell r="H49">
            <v>786.55</v>
          </cell>
          <cell r="I49">
            <v>917.09000000000015</v>
          </cell>
          <cell r="J49">
            <v>8518.1999999999989</v>
          </cell>
          <cell r="K49">
            <v>10719.220000000003</v>
          </cell>
          <cell r="L49">
            <v>11882.480000000003</v>
          </cell>
        </row>
        <row r="50">
          <cell r="A50">
            <v>36388</v>
          </cell>
          <cell r="B50">
            <v>3250015</v>
          </cell>
          <cell r="C50">
            <v>1</v>
          </cell>
          <cell r="D50">
            <v>6.5000000000000002E-2</v>
          </cell>
          <cell r="E50">
            <v>567.88</v>
          </cell>
          <cell r="F50">
            <v>914879.60999999987</v>
          </cell>
          <cell r="G50">
            <v>0.1065</v>
          </cell>
          <cell r="H50">
            <v>261.92</v>
          </cell>
          <cell r="I50">
            <v>305.95999999999998</v>
          </cell>
          <cell r="J50">
            <v>9086.0799999999981</v>
          </cell>
          <cell r="K50">
            <v>10981.140000000003</v>
          </cell>
          <cell r="L50">
            <v>12188.440000000002</v>
          </cell>
        </row>
        <row r="51">
          <cell r="A51">
            <v>36389</v>
          </cell>
          <cell r="B51">
            <v>3250015</v>
          </cell>
          <cell r="C51">
            <v>1</v>
          </cell>
          <cell r="D51">
            <v>6.5000000000000002E-2</v>
          </cell>
          <cell r="E51">
            <v>567.88</v>
          </cell>
          <cell r="F51">
            <v>914573.64999999991</v>
          </cell>
          <cell r="G51">
            <v>0.1065</v>
          </cell>
          <cell r="H51">
            <v>261.83</v>
          </cell>
          <cell r="I51">
            <v>306.05</v>
          </cell>
          <cell r="J51">
            <v>9653.9599999999973</v>
          </cell>
          <cell r="K51">
            <v>11242.970000000003</v>
          </cell>
          <cell r="L51">
            <v>12494.490000000002</v>
          </cell>
        </row>
        <row r="52">
          <cell r="A52">
            <v>36390</v>
          </cell>
          <cell r="B52">
            <v>3250015</v>
          </cell>
          <cell r="C52">
            <v>1</v>
          </cell>
          <cell r="D52">
            <v>6.5000000000000002E-2</v>
          </cell>
          <cell r="E52">
            <v>567.88</v>
          </cell>
          <cell r="F52">
            <v>914267.59999999986</v>
          </cell>
          <cell r="G52">
            <v>0.1065</v>
          </cell>
          <cell r="H52">
            <v>261.75</v>
          </cell>
          <cell r="I52">
            <v>306.13</v>
          </cell>
          <cell r="J52">
            <v>10221.839999999997</v>
          </cell>
          <cell r="K52">
            <v>11504.720000000003</v>
          </cell>
          <cell r="L52">
            <v>12800.62</v>
          </cell>
        </row>
        <row r="53">
          <cell r="A53">
            <v>36391</v>
          </cell>
          <cell r="B53">
            <v>3250015</v>
          </cell>
          <cell r="C53">
            <v>1</v>
          </cell>
          <cell r="D53">
            <v>6.5000000000000002E-2</v>
          </cell>
          <cell r="E53">
            <v>567.88</v>
          </cell>
          <cell r="F53">
            <v>913961.46999999986</v>
          </cell>
          <cell r="G53">
            <v>0.1065</v>
          </cell>
          <cell r="H53">
            <v>261.66000000000003</v>
          </cell>
          <cell r="I53">
            <v>306.21999999999997</v>
          </cell>
          <cell r="J53">
            <v>10789.719999999996</v>
          </cell>
          <cell r="K53">
            <v>11766.380000000003</v>
          </cell>
          <cell r="L53">
            <v>13106.84</v>
          </cell>
        </row>
        <row r="54">
          <cell r="A54">
            <v>36392</v>
          </cell>
          <cell r="B54">
            <v>3250015</v>
          </cell>
          <cell r="C54">
            <v>3</v>
          </cell>
          <cell r="D54">
            <v>6.5000000000000002E-2</v>
          </cell>
          <cell r="E54">
            <v>1703.64</v>
          </cell>
          <cell r="F54">
            <v>913655.24999999988</v>
          </cell>
          <cell r="G54">
            <v>0.1065</v>
          </cell>
          <cell r="H54">
            <v>784.71</v>
          </cell>
          <cell r="I54">
            <v>918.93000000000006</v>
          </cell>
          <cell r="J54">
            <v>12493.359999999995</v>
          </cell>
          <cell r="K54">
            <v>12551.090000000004</v>
          </cell>
          <cell r="L54">
            <v>14025.77</v>
          </cell>
        </row>
        <row r="55">
          <cell r="A55">
            <v>36395</v>
          </cell>
          <cell r="B55">
            <v>3250015</v>
          </cell>
          <cell r="C55">
            <v>1</v>
          </cell>
          <cell r="D55">
            <v>6.5000000000000002E-2</v>
          </cell>
          <cell r="E55">
            <v>567.88</v>
          </cell>
          <cell r="F55">
            <v>912736.31999999983</v>
          </cell>
          <cell r="G55">
            <v>0.1065</v>
          </cell>
          <cell r="H55">
            <v>261.31</v>
          </cell>
          <cell r="I55">
            <v>306.57</v>
          </cell>
          <cell r="J55">
            <v>13061.239999999994</v>
          </cell>
          <cell r="K55">
            <v>12812.400000000003</v>
          </cell>
          <cell r="L55">
            <v>14332.34</v>
          </cell>
        </row>
        <row r="56">
          <cell r="A56">
            <v>36396</v>
          </cell>
          <cell r="B56">
            <v>3250015</v>
          </cell>
          <cell r="C56">
            <v>1</v>
          </cell>
          <cell r="D56">
            <v>6.5000000000000002E-2</v>
          </cell>
          <cell r="E56">
            <v>567.88</v>
          </cell>
          <cell r="F56">
            <v>912429.74999999988</v>
          </cell>
          <cell r="G56">
            <v>0.1065</v>
          </cell>
          <cell r="H56">
            <v>261.22000000000003</v>
          </cell>
          <cell r="I56">
            <v>306.65999999999997</v>
          </cell>
          <cell r="J56">
            <v>13629.119999999994</v>
          </cell>
          <cell r="K56">
            <v>13073.620000000003</v>
          </cell>
          <cell r="L56">
            <v>14639</v>
          </cell>
        </row>
        <row r="57">
          <cell r="A57">
            <v>36397</v>
          </cell>
          <cell r="B57">
            <v>3250015</v>
          </cell>
          <cell r="C57">
            <v>1</v>
          </cell>
          <cell r="D57">
            <v>6.5000000000000002E-2</v>
          </cell>
          <cell r="E57">
            <v>567.88</v>
          </cell>
          <cell r="F57">
            <v>912123.08999999985</v>
          </cell>
          <cell r="G57">
            <v>0.1065</v>
          </cell>
          <cell r="H57">
            <v>261.13</v>
          </cell>
          <cell r="I57">
            <v>306.75</v>
          </cell>
          <cell r="J57">
            <v>14196.999999999993</v>
          </cell>
          <cell r="K57">
            <v>13334.750000000002</v>
          </cell>
          <cell r="L57">
            <v>14945.75</v>
          </cell>
        </row>
        <row r="58">
          <cell r="A58">
            <v>36398</v>
          </cell>
          <cell r="B58">
            <v>3250015</v>
          </cell>
          <cell r="C58">
            <v>1</v>
          </cell>
          <cell r="D58">
            <v>6.5000000000000002E-2</v>
          </cell>
          <cell r="E58">
            <v>567.88</v>
          </cell>
          <cell r="F58">
            <v>911816.33999999985</v>
          </cell>
          <cell r="G58">
            <v>0.1065</v>
          </cell>
          <cell r="H58">
            <v>261.04000000000002</v>
          </cell>
          <cell r="I58">
            <v>306.83999999999997</v>
          </cell>
          <cell r="J58">
            <v>14764.879999999992</v>
          </cell>
          <cell r="K58">
            <v>13595.790000000003</v>
          </cell>
          <cell r="L58">
            <v>15252.59</v>
          </cell>
        </row>
        <row r="59">
          <cell r="A59">
            <v>36399</v>
          </cell>
          <cell r="B59">
            <v>3250015</v>
          </cell>
          <cell r="C59">
            <v>3</v>
          </cell>
          <cell r="D59">
            <v>6.5000000000000002E-2</v>
          </cell>
          <cell r="E59">
            <v>1703.64</v>
          </cell>
          <cell r="F59">
            <v>911509.49999999988</v>
          </cell>
          <cell r="G59">
            <v>0.1065</v>
          </cell>
          <cell r="H59">
            <v>782.87</v>
          </cell>
          <cell r="I59">
            <v>920.7700000000001</v>
          </cell>
          <cell r="J59">
            <v>16468.519999999993</v>
          </cell>
          <cell r="K59">
            <v>14378.660000000003</v>
          </cell>
          <cell r="L59">
            <v>16173.36</v>
          </cell>
        </row>
        <row r="60">
          <cell r="A60">
            <v>36402</v>
          </cell>
          <cell r="B60">
            <v>3250015</v>
          </cell>
          <cell r="C60">
            <v>1</v>
          </cell>
          <cell r="D60">
            <v>6.5000000000000002E-2</v>
          </cell>
          <cell r="E60">
            <v>567.88</v>
          </cell>
          <cell r="F60">
            <v>910588.72999999986</v>
          </cell>
          <cell r="G60">
            <v>0.1065</v>
          </cell>
          <cell r="H60">
            <v>260.69</v>
          </cell>
          <cell r="I60">
            <v>307.19</v>
          </cell>
          <cell r="J60">
            <v>17036.399999999994</v>
          </cell>
          <cell r="K60">
            <v>14639.350000000004</v>
          </cell>
          <cell r="L60">
            <v>16480.55</v>
          </cell>
        </row>
        <row r="61">
          <cell r="A61">
            <v>36403</v>
          </cell>
          <cell r="B61">
            <v>3250015</v>
          </cell>
          <cell r="C61">
            <v>1</v>
          </cell>
          <cell r="D61">
            <v>6.5000000000000002E-2</v>
          </cell>
          <cell r="E61">
            <v>567.88</v>
          </cell>
          <cell r="F61">
            <v>910281.53999999992</v>
          </cell>
          <cell r="G61">
            <v>0.1065</v>
          </cell>
          <cell r="H61">
            <v>260.60000000000002</v>
          </cell>
          <cell r="I61">
            <v>307.27999999999997</v>
          </cell>
          <cell r="J61">
            <v>17604.279999999995</v>
          </cell>
          <cell r="K61">
            <v>14899.950000000004</v>
          </cell>
          <cell r="L61">
            <v>16787.829999999998</v>
          </cell>
        </row>
      </sheetData>
      <sheetData sheetId="8">
        <row r="45">
          <cell r="A45">
            <v>36373</v>
          </cell>
          <cell r="B45">
            <v>89867534.390000001</v>
          </cell>
          <cell r="C45">
            <v>2</v>
          </cell>
          <cell r="D45">
            <v>6.8662999999999997E-3</v>
          </cell>
          <cell r="E45">
            <v>3317.51</v>
          </cell>
          <cell r="F45">
            <v>2995782.23</v>
          </cell>
          <cell r="G45">
            <v>9.4200000000000006E-2</v>
          </cell>
          <cell r="H45">
            <v>1517.22</v>
          </cell>
          <cell r="I45">
            <v>1800.2900000000002</v>
          </cell>
          <cell r="J45">
            <v>3317.510000000002</v>
          </cell>
          <cell r="K45">
            <v>27615.97</v>
          </cell>
          <cell r="L45">
            <v>29455.56</v>
          </cell>
        </row>
        <row r="46">
          <cell r="A46">
            <v>36375</v>
          </cell>
          <cell r="B46">
            <v>89867534.390000001</v>
          </cell>
          <cell r="C46">
            <v>1</v>
          </cell>
          <cell r="D46">
            <v>6.8662999999999997E-3</v>
          </cell>
          <cell r="E46">
            <v>1658.76</v>
          </cell>
          <cell r="F46">
            <v>2993981.94</v>
          </cell>
          <cell r="G46">
            <v>9.4200000000000006E-2</v>
          </cell>
          <cell r="H46">
            <v>758.15</v>
          </cell>
          <cell r="I46">
            <v>900.61</v>
          </cell>
          <cell r="J46">
            <v>4976.2700000000023</v>
          </cell>
          <cell r="K46">
            <v>28374.120000000003</v>
          </cell>
          <cell r="L46">
            <v>30356.170000000002</v>
          </cell>
        </row>
        <row r="47">
          <cell r="A47">
            <v>36376</v>
          </cell>
          <cell r="B47">
            <v>89867534.390000001</v>
          </cell>
          <cell r="C47">
            <v>1</v>
          </cell>
          <cell r="D47">
            <v>6.8662999999999997E-3</v>
          </cell>
          <cell r="E47">
            <v>1658.76</v>
          </cell>
          <cell r="F47">
            <v>2993081.33</v>
          </cell>
          <cell r="G47">
            <v>9.4200000000000006E-2</v>
          </cell>
          <cell r="H47">
            <v>757.93</v>
          </cell>
          <cell r="I47">
            <v>900.83</v>
          </cell>
          <cell r="J47">
            <v>6635.0300000000025</v>
          </cell>
          <cell r="K47">
            <v>29132.050000000003</v>
          </cell>
          <cell r="L47">
            <v>31257.000000000004</v>
          </cell>
        </row>
        <row r="48">
          <cell r="A48">
            <v>36377</v>
          </cell>
          <cell r="B48">
            <v>89867534.390000001</v>
          </cell>
          <cell r="C48">
            <v>1</v>
          </cell>
          <cell r="D48">
            <v>6.8662999999999997E-3</v>
          </cell>
          <cell r="E48">
            <v>1658.76</v>
          </cell>
          <cell r="F48">
            <v>2992180.5</v>
          </cell>
          <cell r="G48">
            <v>9.4200000000000006E-2</v>
          </cell>
          <cell r="H48">
            <v>757.7</v>
          </cell>
          <cell r="I48">
            <v>901.06</v>
          </cell>
          <cell r="J48">
            <v>8293.7900000000027</v>
          </cell>
          <cell r="K48">
            <v>29889.750000000004</v>
          </cell>
          <cell r="L48">
            <v>32158.060000000005</v>
          </cell>
        </row>
        <row r="49">
          <cell r="A49">
            <v>36378</v>
          </cell>
          <cell r="B49">
            <v>89867534.390000001</v>
          </cell>
          <cell r="C49">
            <v>3</v>
          </cell>
          <cell r="D49">
            <v>6.8662999999999997E-3</v>
          </cell>
          <cell r="E49">
            <v>4976.2700000000004</v>
          </cell>
          <cell r="F49">
            <v>2991279.44</v>
          </cell>
          <cell r="G49">
            <v>9.4200000000000006E-2</v>
          </cell>
          <cell r="H49">
            <v>2272.41</v>
          </cell>
          <cell r="I49">
            <v>2703.8600000000006</v>
          </cell>
          <cell r="J49">
            <v>13270.060000000003</v>
          </cell>
          <cell r="K49">
            <v>32162.160000000003</v>
          </cell>
          <cell r="L49">
            <v>34861.920000000006</v>
          </cell>
        </row>
        <row r="50">
          <cell r="A50">
            <v>36381</v>
          </cell>
          <cell r="B50">
            <v>89867534.390000001</v>
          </cell>
          <cell r="C50">
            <v>1</v>
          </cell>
          <cell r="D50">
            <v>6.8662999999999997E-3</v>
          </cell>
          <cell r="E50">
            <v>1658.76</v>
          </cell>
          <cell r="F50">
            <v>2988575.58</v>
          </cell>
          <cell r="G50">
            <v>9.4200000000000006E-2</v>
          </cell>
          <cell r="H50">
            <v>756.78</v>
          </cell>
          <cell r="I50">
            <v>901.98</v>
          </cell>
          <cell r="J50">
            <v>14928.820000000003</v>
          </cell>
          <cell r="K50">
            <v>32918.94</v>
          </cell>
          <cell r="L50">
            <v>35763.900000000009</v>
          </cell>
        </row>
        <row r="51">
          <cell r="A51">
            <v>36382</v>
          </cell>
          <cell r="B51">
            <v>89867534.390000001</v>
          </cell>
          <cell r="C51">
            <v>1</v>
          </cell>
          <cell r="D51">
            <v>6.8662999999999997E-3</v>
          </cell>
          <cell r="E51">
            <v>1658.76</v>
          </cell>
          <cell r="F51">
            <v>2987673.6000000001</v>
          </cell>
          <cell r="G51">
            <v>9.4200000000000006E-2</v>
          </cell>
          <cell r="H51">
            <v>756.56</v>
          </cell>
          <cell r="I51">
            <v>902.2</v>
          </cell>
          <cell r="J51">
            <v>16587.580000000002</v>
          </cell>
          <cell r="K51">
            <v>33675.5</v>
          </cell>
          <cell r="L51">
            <v>36666.100000000006</v>
          </cell>
        </row>
        <row r="52">
          <cell r="A52">
            <v>36383</v>
          </cell>
          <cell r="B52">
            <v>89867534.390000001</v>
          </cell>
          <cell r="C52">
            <v>1</v>
          </cell>
          <cell r="D52">
            <v>6.8662999999999997E-3</v>
          </cell>
          <cell r="E52">
            <v>1658.76</v>
          </cell>
          <cell r="F52">
            <v>2986771.4</v>
          </cell>
          <cell r="G52">
            <v>9.4200000000000006E-2</v>
          </cell>
          <cell r="H52">
            <v>756.33</v>
          </cell>
          <cell r="I52">
            <v>902.43</v>
          </cell>
          <cell r="J52">
            <v>18246.34</v>
          </cell>
          <cell r="K52">
            <v>34431.83</v>
          </cell>
          <cell r="L52">
            <v>37568.530000000006</v>
          </cell>
        </row>
        <row r="53">
          <cell r="A53">
            <v>36384</v>
          </cell>
          <cell r="B53">
            <v>89867534.390000001</v>
          </cell>
          <cell r="C53">
            <v>1</v>
          </cell>
          <cell r="D53">
            <v>6.8662999999999997E-3</v>
          </cell>
          <cell r="E53">
            <v>1658.76</v>
          </cell>
          <cell r="F53">
            <v>2985868.9699999997</v>
          </cell>
          <cell r="G53">
            <v>9.4200000000000006E-2</v>
          </cell>
          <cell r="H53">
            <v>756.1</v>
          </cell>
          <cell r="I53">
            <v>902.66</v>
          </cell>
          <cell r="J53">
            <v>19905.099999999999</v>
          </cell>
          <cell r="K53">
            <v>35187.93</v>
          </cell>
          <cell r="L53">
            <v>38471.19000000001</v>
          </cell>
        </row>
        <row r="54">
          <cell r="A54">
            <v>36385</v>
          </cell>
          <cell r="B54">
            <v>89867534.390000001</v>
          </cell>
          <cell r="C54">
            <v>3</v>
          </cell>
          <cell r="D54">
            <v>6.8662999999999997E-3</v>
          </cell>
          <cell r="E54">
            <v>4976.2700000000004</v>
          </cell>
          <cell r="F54">
            <v>2984966.3099999996</v>
          </cell>
          <cell r="G54">
            <v>9.4200000000000006E-2</v>
          </cell>
          <cell r="H54">
            <v>2267.61</v>
          </cell>
          <cell r="I54">
            <v>2708.6600000000003</v>
          </cell>
          <cell r="J54">
            <v>24881.37</v>
          </cell>
          <cell r="K54">
            <v>37455.54</v>
          </cell>
          <cell r="L54">
            <v>41179.850000000013</v>
          </cell>
        </row>
        <row r="55">
          <cell r="A55">
            <v>36388</v>
          </cell>
          <cell r="B55">
            <v>89867534.390000001</v>
          </cell>
          <cell r="C55">
            <v>1</v>
          </cell>
          <cell r="D55">
            <v>6.8662999999999997E-3</v>
          </cell>
          <cell r="E55">
            <v>1658.76</v>
          </cell>
          <cell r="F55">
            <v>2982257.6499999994</v>
          </cell>
          <cell r="G55">
            <v>9.4200000000000006E-2</v>
          </cell>
          <cell r="H55">
            <v>755.18</v>
          </cell>
          <cell r="I55">
            <v>903.58</v>
          </cell>
          <cell r="J55">
            <v>26540.129999999997</v>
          </cell>
          <cell r="K55">
            <v>38210.720000000001</v>
          </cell>
          <cell r="L55">
            <v>42083.430000000015</v>
          </cell>
        </row>
        <row r="56">
          <cell r="A56">
            <v>36389</v>
          </cell>
          <cell r="B56">
            <v>89867534.390000001</v>
          </cell>
          <cell r="C56">
            <v>1</v>
          </cell>
          <cell r="D56">
            <v>6.8662999999999997E-3</v>
          </cell>
          <cell r="E56">
            <v>1658.76</v>
          </cell>
          <cell r="F56">
            <v>2981354.0699999994</v>
          </cell>
          <cell r="G56">
            <v>9.4200000000000006E-2</v>
          </cell>
          <cell r="H56">
            <v>754.96</v>
          </cell>
          <cell r="I56">
            <v>903.8</v>
          </cell>
          <cell r="J56">
            <v>28198.889999999996</v>
          </cell>
          <cell r="K56">
            <v>38965.68</v>
          </cell>
          <cell r="L56">
            <v>42987.230000000018</v>
          </cell>
        </row>
        <row r="57">
          <cell r="A57">
            <v>36390</v>
          </cell>
          <cell r="B57">
            <v>89867534.390000001</v>
          </cell>
          <cell r="C57">
            <v>1</v>
          </cell>
          <cell r="D57">
            <v>6.8662999999999997E-3</v>
          </cell>
          <cell r="E57">
            <v>1658.76</v>
          </cell>
          <cell r="F57">
            <v>2980450.2699999996</v>
          </cell>
          <cell r="G57">
            <v>9.4200000000000006E-2</v>
          </cell>
          <cell r="H57">
            <v>754.73</v>
          </cell>
          <cell r="I57">
            <v>904.03</v>
          </cell>
          <cell r="J57">
            <v>29857.649999999994</v>
          </cell>
          <cell r="K57">
            <v>39720.410000000003</v>
          </cell>
          <cell r="L57">
            <v>43891.260000000017</v>
          </cell>
        </row>
        <row r="58">
          <cell r="A58">
            <v>36391</v>
          </cell>
          <cell r="B58">
            <v>89867534.390000001</v>
          </cell>
          <cell r="C58">
            <v>1</v>
          </cell>
          <cell r="D58">
            <v>6.8662999999999997E-3</v>
          </cell>
          <cell r="E58">
            <v>1658.76</v>
          </cell>
          <cell r="F58">
            <v>2979546.2399999998</v>
          </cell>
          <cell r="G58">
            <v>9.4200000000000006E-2</v>
          </cell>
          <cell r="H58">
            <v>754.5</v>
          </cell>
          <cell r="I58">
            <v>904.26</v>
          </cell>
          <cell r="J58">
            <v>31516.409999999993</v>
          </cell>
          <cell r="K58">
            <v>40474.910000000003</v>
          </cell>
          <cell r="L58">
            <v>44795.520000000019</v>
          </cell>
        </row>
        <row r="59">
          <cell r="A59">
            <v>36392</v>
          </cell>
          <cell r="B59">
            <v>89867534.390000001</v>
          </cell>
          <cell r="C59">
            <v>3</v>
          </cell>
          <cell r="D59">
            <v>6.8662999999999997E-3</v>
          </cell>
          <cell r="E59">
            <v>4976.2700000000004</v>
          </cell>
          <cell r="F59">
            <v>2978641.98</v>
          </cell>
          <cell r="G59">
            <v>9.4200000000000006E-2</v>
          </cell>
          <cell r="H59">
            <v>2262.81</v>
          </cell>
          <cell r="I59">
            <v>2713.4600000000005</v>
          </cell>
          <cell r="J59">
            <v>36492.679999999993</v>
          </cell>
          <cell r="K59">
            <v>42737.72</v>
          </cell>
          <cell r="L59">
            <v>47508.980000000018</v>
          </cell>
        </row>
        <row r="60">
          <cell r="A60">
            <v>36395</v>
          </cell>
          <cell r="B60">
            <v>89867534.390000001</v>
          </cell>
          <cell r="C60">
            <v>1</v>
          </cell>
          <cell r="D60">
            <v>6.8662999999999997E-3</v>
          </cell>
          <cell r="E60">
            <v>1658.76</v>
          </cell>
          <cell r="F60">
            <v>2975928.52</v>
          </cell>
          <cell r="G60">
            <v>9.4200000000000006E-2</v>
          </cell>
          <cell r="H60">
            <v>753.58</v>
          </cell>
          <cell r="I60">
            <v>905.18</v>
          </cell>
          <cell r="J60">
            <v>38151.439999999995</v>
          </cell>
          <cell r="K60">
            <v>43491.3</v>
          </cell>
          <cell r="L60">
            <v>48414.160000000018</v>
          </cell>
        </row>
        <row r="61">
          <cell r="A61">
            <v>36396</v>
          </cell>
          <cell r="B61">
            <v>89867534.390000001</v>
          </cell>
          <cell r="C61">
            <v>1</v>
          </cell>
          <cell r="D61">
            <v>6.8662999999999997E-3</v>
          </cell>
          <cell r="E61">
            <v>1658.76</v>
          </cell>
          <cell r="F61">
            <v>2975023.34</v>
          </cell>
          <cell r="G61">
            <v>9.4200000000000006E-2</v>
          </cell>
          <cell r="H61">
            <v>753.35</v>
          </cell>
          <cell r="I61">
            <v>905.41</v>
          </cell>
          <cell r="J61">
            <v>39810.199999999997</v>
          </cell>
          <cell r="K61">
            <v>44244.65</v>
          </cell>
          <cell r="L61">
            <v>49319.570000000022</v>
          </cell>
        </row>
        <row r="62">
          <cell r="A62">
            <v>36397</v>
          </cell>
          <cell r="B62">
            <v>89867534.390000001</v>
          </cell>
          <cell r="C62">
            <v>1</v>
          </cell>
          <cell r="D62">
            <v>6.8662999999999997E-3</v>
          </cell>
          <cell r="E62">
            <v>1658.76</v>
          </cell>
          <cell r="F62">
            <v>2974117.9299999997</v>
          </cell>
          <cell r="G62">
            <v>9.4200000000000006E-2</v>
          </cell>
          <cell r="H62">
            <v>753.12</v>
          </cell>
          <cell r="I62">
            <v>905.64</v>
          </cell>
          <cell r="J62">
            <v>41468.959999999999</v>
          </cell>
          <cell r="K62">
            <v>44997.770000000004</v>
          </cell>
          <cell r="L62">
            <v>50225.210000000021</v>
          </cell>
        </row>
        <row r="63">
          <cell r="A63">
            <v>36398</v>
          </cell>
          <cell r="B63">
            <v>89867534.390000001</v>
          </cell>
          <cell r="C63">
            <v>1</v>
          </cell>
          <cell r="D63">
            <v>6.8662999999999997E-3</v>
          </cell>
          <cell r="E63">
            <v>1658.76</v>
          </cell>
          <cell r="F63">
            <v>2973212.2899999996</v>
          </cell>
          <cell r="G63">
            <v>9.4200000000000006E-2</v>
          </cell>
          <cell r="H63">
            <v>752.89</v>
          </cell>
          <cell r="I63">
            <v>905.87</v>
          </cell>
          <cell r="J63">
            <v>43127.72</v>
          </cell>
          <cell r="K63">
            <v>45750.66</v>
          </cell>
          <cell r="L63">
            <v>51131.080000000024</v>
          </cell>
        </row>
        <row r="64">
          <cell r="A64">
            <v>36399</v>
          </cell>
          <cell r="B64">
            <v>89867534.390000001</v>
          </cell>
          <cell r="C64">
            <v>3</v>
          </cell>
          <cell r="D64">
            <v>6.8662999999999997E-3</v>
          </cell>
          <cell r="E64">
            <v>4976.2700000000004</v>
          </cell>
          <cell r="F64">
            <v>2972306.4199999995</v>
          </cell>
          <cell r="G64">
            <v>9.4200000000000006E-2</v>
          </cell>
          <cell r="H64">
            <v>2257.9899999999998</v>
          </cell>
          <cell r="I64">
            <v>2718.2800000000007</v>
          </cell>
          <cell r="J64">
            <v>48103.990000000005</v>
          </cell>
          <cell r="K64">
            <v>48008.65</v>
          </cell>
          <cell r="L64">
            <v>53849.360000000022</v>
          </cell>
        </row>
        <row r="65">
          <cell r="A65">
            <v>36402</v>
          </cell>
          <cell r="B65">
            <v>89867534.390000001</v>
          </cell>
          <cell r="C65">
            <v>1</v>
          </cell>
          <cell r="D65">
            <v>6.8662999999999997E-3</v>
          </cell>
          <cell r="E65">
            <v>1658.76</v>
          </cell>
          <cell r="F65">
            <v>2969588.1399999997</v>
          </cell>
          <cell r="G65">
            <v>9.4200000000000006E-2</v>
          </cell>
          <cell r="H65">
            <v>751.98</v>
          </cell>
          <cell r="I65">
            <v>906.78</v>
          </cell>
          <cell r="J65">
            <v>49762.750000000007</v>
          </cell>
          <cell r="K65">
            <v>48760.630000000005</v>
          </cell>
          <cell r="L65">
            <v>54756.140000000021</v>
          </cell>
        </row>
        <row r="66">
          <cell r="A66">
            <v>36403</v>
          </cell>
          <cell r="B66">
            <v>89867534.390000001</v>
          </cell>
          <cell r="C66">
            <v>1</v>
          </cell>
          <cell r="D66">
            <v>6.8662999999999997E-3</v>
          </cell>
          <cell r="E66">
            <v>1658.76</v>
          </cell>
          <cell r="F66">
            <v>2968681.36</v>
          </cell>
          <cell r="G66">
            <v>9.4200000000000006E-2</v>
          </cell>
          <cell r="H66">
            <v>751.75</v>
          </cell>
          <cell r="I66">
            <v>907.01</v>
          </cell>
          <cell r="J66">
            <v>51421.510000000009</v>
          </cell>
          <cell r="K66">
            <v>49512.380000000005</v>
          </cell>
          <cell r="L66">
            <v>55663.150000000023</v>
          </cell>
        </row>
        <row r="67">
          <cell r="A67">
            <v>36404</v>
          </cell>
          <cell r="B67">
            <v>89809922.719999999</v>
          </cell>
          <cell r="C67">
            <v>1</v>
          </cell>
          <cell r="D67">
            <v>4.5722000000000002E-3</v>
          </cell>
          <cell r="E67">
            <v>1140.6400000000001</v>
          </cell>
          <cell r="F67">
            <v>2967774.35</v>
          </cell>
          <cell r="G67">
            <v>9.3100000000000002E-2</v>
          </cell>
          <cell r="H67">
            <v>767.5</v>
          </cell>
          <cell r="I67">
            <v>373.1400000000001</v>
          </cell>
          <cell r="J67">
            <v>1140.6399999999994</v>
          </cell>
          <cell r="K67">
            <v>50279.880000000005</v>
          </cell>
          <cell r="L67">
            <v>56036.290000000023</v>
          </cell>
        </row>
      </sheetData>
      <sheetData sheetId="9">
        <row r="59">
          <cell r="A59">
            <v>36373</v>
          </cell>
          <cell r="B59">
            <v>82673355.810000002</v>
          </cell>
          <cell r="C59">
            <v>2</v>
          </cell>
          <cell r="D59">
            <v>7.8079999999999998E-3</v>
          </cell>
          <cell r="E59">
            <v>3470.5</v>
          </cell>
          <cell r="F59">
            <v>3131011.6000000006</v>
          </cell>
          <cell r="G59">
            <v>9.4100000000000003E-2</v>
          </cell>
          <cell r="H59">
            <v>1584.02</v>
          </cell>
          <cell r="I59">
            <v>1886.48</v>
          </cell>
          <cell r="J59">
            <v>3470.5</v>
          </cell>
          <cell r="K59">
            <v>44553.68</v>
          </cell>
          <cell r="L59">
            <v>41232.15</v>
          </cell>
        </row>
        <row r="60">
          <cell r="A60">
            <v>36375</v>
          </cell>
          <cell r="B60">
            <v>82673355.810000002</v>
          </cell>
          <cell r="C60">
            <v>1</v>
          </cell>
          <cell r="D60">
            <v>7.8079999999999998E-3</v>
          </cell>
          <cell r="E60">
            <v>1735.25</v>
          </cell>
          <cell r="F60">
            <v>3129125.1200000006</v>
          </cell>
          <cell r="G60">
            <v>9.4100000000000003E-2</v>
          </cell>
          <cell r="H60">
            <v>791.53</v>
          </cell>
          <cell r="I60">
            <v>943.72</v>
          </cell>
          <cell r="J60">
            <v>5205.75</v>
          </cell>
          <cell r="K60">
            <v>45345.21</v>
          </cell>
          <cell r="L60">
            <v>42175.87</v>
          </cell>
        </row>
        <row r="61">
          <cell r="A61">
            <v>36376</v>
          </cell>
          <cell r="B61">
            <v>82673355.810000002</v>
          </cell>
          <cell r="C61">
            <v>1</v>
          </cell>
          <cell r="D61">
            <v>7.8079999999999998E-3</v>
          </cell>
          <cell r="E61">
            <v>1735.25</v>
          </cell>
          <cell r="F61">
            <v>3128181.4000000004</v>
          </cell>
          <cell r="G61">
            <v>9.4100000000000003E-2</v>
          </cell>
          <cell r="H61">
            <v>791.3</v>
          </cell>
          <cell r="I61">
            <v>943.95</v>
          </cell>
          <cell r="J61">
            <v>6941</v>
          </cell>
          <cell r="K61">
            <v>46136.51</v>
          </cell>
          <cell r="L61">
            <v>43119.82</v>
          </cell>
        </row>
        <row r="62">
          <cell r="A62">
            <v>36377</v>
          </cell>
          <cell r="B62">
            <v>82673355.810000002</v>
          </cell>
          <cell r="C62">
            <v>1</v>
          </cell>
          <cell r="D62">
            <v>7.8079999999999998E-3</v>
          </cell>
          <cell r="E62">
            <v>1735.25</v>
          </cell>
          <cell r="F62">
            <v>3127237.45</v>
          </cell>
          <cell r="G62">
            <v>9.4100000000000003E-2</v>
          </cell>
          <cell r="H62">
            <v>791.06</v>
          </cell>
          <cell r="I62">
            <v>944.19</v>
          </cell>
          <cell r="J62">
            <v>8676.25</v>
          </cell>
          <cell r="K62">
            <v>46927.57</v>
          </cell>
          <cell r="L62">
            <v>44064.01</v>
          </cell>
        </row>
        <row r="63">
          <cell r="A63">
            <v>36378</v>
          </cell>
          <cell r="B63">
            <v>82673355.810000002</v>
          </cell>
          <cell r="C63">
            <v>3</v>
          </cell>
          <cell r="D63">
            <v>7.8079999999999998E-3</v>
          </cell>
          <cell r="E63">
            <v>5205.75</v>
          </cell>
          <cell r="F63">
            <v>3126293.2600000002</v>
          </cell>
          <cell r="G63">
            <v>9.4100000000000003E-2</v>
          </cell>
          <cell r="H63">
            <v>2372.4499999999998</v>
          </cell>
          <cell r="I63">
            <v>2833.3</v>
          </cell>
          <cell r="J63">
            <v>13882</v>
          </cell>
          <cell r="K63">
            <v>49300.02</v>
          </cell>
          <cell r="L63">
            <v>46897.310000000005</v>
          </cell>
        </row>
        <row r="64">
          <cell r="A64">
            <v>36381</v>
          </cell>
          <cell r="B64">
            <v>82673355.810000002</v>
          </cell>
          <cell r="C64">
            <v>1</v>
          </cell>
          <cell r="D64">
            <v>7.8079999999999998E-3</v>
          </cell>
          <cell r="E64">
            <v>1735.25</v>
          </cell>
          <cell r="F64">
            <v>3123459.9600000004</v>
          </cell>
          <cell r="G64">
            <v>9.4100000000000003E-2</v>
          </cell>
          <cell r="H64">
            <v>790.1</v>
          </cell>
          <cell r="I64">
            <v>945.15</v>
          </cell>
          <cell r="J64">
            <v>15617.25</v>
          </cell>
          <cell r="K64">
            <v>50090.119999999995</v>
          </cell>
          <cell r="L64">
            <v>47842.460000000006</v>
          </cell>
        </row>
        <row r="65">
          <cell r="A65">
            <v>36382</v>
          </cell>
          <cell r="B65">
            <v>82673355.810000002</v>
          </cell>
          <cell r="C65">
            <v>1</v>
          </cell>
          <cell r="D65">
            <v>7.8079999999999998E-3</v>
          </cell>
          <cell r="E65">
            <v>1735.25</v>
          </cell>
          <cell r="F65">
            <v>3122514.8100000005</v>
          </cell>
          <cell r="G65">
            <v>9.4100000000000003E-2</v>
          </cell>
          <cell r="H65">
            <v>789.86</v>
          </cell>
          <cell r="I65">
            <v>945.39</v>
          </cell>
          <cell r="J65">
            <v>17352.5</v>
          </cell>
          <cell r="K65">
            <v>50879.979999999996</v>
          </cell>
          <cell r="L65">
            <v>48787.850000000006</v>
          </cell>
        </row>
        <row r="66">
          <cell r="A66">
            <v>36383</v>
          </cell>
          <cell r="B66">
            <v>82673355.810000002</v>
          </cell>
          <cell r="C66">
            <v>1</v>
          </cell>
          <cell r="D66">
            <v>7.8079999999999998E-3</v>
          </cell>
          <cell r="E66">
            <v>1735.25</v>
          </cell>
          <cell r="F66">
            <v>3121569.4200000004</v>
          </cell>
          <cell r="G66">
            <v>9.4100000000000003E-2</v>
          </cell>
          <cell r="H66">
            <v>789.62</v>
          </cell>
          <cell r="I66">
            <v>945.63</v>
          </cell>
          <cell r="J66">
            <v>19087.75</v>
          </cell>
          <cell r="K66">
            <v>51669.599999999999</v>
          </cell>
          <cell r="L66">
            <v>49733.48</v>
          </cell>
        </row>
        <row r="67">
          <cell r="A67">
            <v>36384</v>
          </cell>
          <cell r="B67">
            <v>82673355.810000002</v>
          </cell>
          <cell r="C67">
            <v>1</v>
          </cell>
          <cell r="D67">
            <v>7.8079999999999998E-3</v>
          </cell>
          <cell r="E67">
            <v>1735.25</v>
          </cell>
          <cell r="F67">
            <v>3120623.7900000005</v>
          </cell>
          <cell r="G67">
            <v>9.4100000000000003E-2</v>
          </cell>
          <cell r="H67">
            <v>789.38</v>
          </cell>
          <cell r="I67">
            <v>945.87</v>
          </cell>
          <cell r="J67">
            <v>20823</v>
          </cell>
          <cell r="K67">
            <v>52458.979999999996</v>
          </cell>
          <cell r="L67">
            <v>50679.350000000006</v>
          </cell>
        </row>
        <row r="68">
          <cell r="A68">
            <v>36385</v>
          </cell>
          <cell r="B68">
            <v>82673355.810000002</v>
          </cell>
          <cell r="C68">
            <v>3</v>
          </cell>
          <cell r="D68">
            <v>7.8079999999999998E-3</v>
          </cell>
          <cell r="E68">
            <v>5205.75</v>
          </cell>
          <cell r="F68">
            <v>3119677.9200000004</v>
          </cell>
          <cell r="G68">
            <v>9.4100000000000003E-2</v>
          </cell>
          <cell r="H68">
            <v>2367.4299999999998</v>
          </cell>
          <cell r="I68">
            <v>2838.32</v>
          </cell>
          <cell r="J68">
            <v>26028.75</v>
          </cell>
          <cell r="K68">
            <v>54826.409999999996</v>
          </cell>
          <cell r="L68">
            <v>53517.670000000006</v>
          </cell>
        </row>
        <row r="69">
          <cell r="A69">
            <v>36388</v>
          </cell>
          <cell r="B69">
            <v>82673355.810000002</v>
          </cell>
          <cell r="C69">
            <v>1</v>
          </cell>
          <cell r="D69">
            <v>7.8079999999999998E-3</v>
          </cell>
          <cell r="E69">
            <v>1735.25</v>
          </cell>
          <cell r="F69">
            <v>3116839.6000000006</v>
          </cell>
          <cell r="G69">
            <v>9.4100000000000003E-2</v>
          </cell>
          <cell r="H69">
            <v>788.43</v>
          </cell>
          <cell r="I69">
            <v>946.82</v>
          </cell>
          <cell r="J69">
            <v>27764</v>
          </cell>
          <cell r="K69">
            <v>55614.84</v>
          </cell>
          <cell r="L69">
            <v>54464.490000000005</v>
          </cell>
        </row>
        <row r="70">
          <cell r="A70">
            <v>36389</v>
          </cell>
          <cell r="B70">
            <v>82673355.810000002</v>
          </cell>
          <cell r="C70">
            <v>1</v>
          </cell>
          <cell r="D70">
            <v>7.8079999999999998E-3</v>
          </cell>
          <cell r="E70">
            <v>1735.25</v>
          </cell>
          <cell r="F70">
            <v>3115892.7800000007</v>
          </cell>
          <cell r="G70">
            <v>9.4100000000000003E-2</v>
          </cell>
          <cell r="H70">
            <v>788.19</v>
          </cell>
          <cell r="I70">
            <v>947.06</v>
          </cell>
          <cell r="J70">
            <v>29499.25</v>
          </cell>
          <cell r="K70">
            <v>56403.03</v>
          </cell>
          <cell r="L70">
            <v>55411.55</v>
          </cell>
        </row>
        <row r="71">
          <cell r="A71">
            <v>36390</v>
          </cell>
          <cell r="B71">
            <v>82673355.810000002</v>
          </cell>
          <cell r="C71">
            <v>1</v>
          </cell>
          <cell r="D71">
            <v>7.8079999999999998E-3</v>
          </cell>
          <cell r="E71">
            <v>1735.25</v>
          </cell>
          <cell r="F71">
            <v>3114945.7200000007</v>
          </cell>
          <cell r="G71">
            <v>9.4100000000000003E-2</v>
          </cell>
          <cell r="H71">
            <v>787.95</v>
          </cell>
          <cell r="I71">
            <v>947.3</v>
          </cell>
          <cell r="J71">
            <v>31234.5</v>
          </cell>
          <cell r="K71">
            <v>57190.979999999996</v>
          </cell>
          <cell r="L71">
            <v>56358.850000000006</v>
          </cell>
        </row>
        <row r="72">
          <cell r="A72">
            <v>36391</v>
          </cell>
          <cell r="B72">
            <v>82673355.810000002</v>
          </cell>
          <cell r="C72">
            <v>1</v>
          </cell>
          <cell r="D72">
            <v>7.8079999999999998E-3</v>
          </cell>
          <cell r="E72">
            <v>1735.25</v>
          </cell>
          <cell r="F72">
            <v>3113998.4200000009</v>
          </cell>
          <cell r="G72">
            <v>9.4100000000000003E-2</v>
          </cell>
          <cell r="H72">
            <v>787.71</v>
          </cell>
          <cell r="I72">
            <v>947.54</v>
          </cell>
          <cell r="J72">
            <v>32969.75</v>
          </cell>
          <cell r="K72">
            <v>57978.689999999995</v>
          </cell>
          <cell r="L72">
            <v>57306.390000000007</v>
          </cell>
        </row>
        <row r="73">
          <cell r="A73">
            <v>36392</v>
          </cell>
          <cell r="B73">
            <v>82673355.810000002</v>
          </cell>
          <cell r="C73">
            <v>3</v>
          </cell>
          <cell r="D73">
            <v>7.8079999999999998E-3</v>
          </cell>
          <cell r="E73">
            <v>5205.75</v>
          </cell>
          <cell r="F73">
            <v>3113050.8800000008</v>
          </cell>
          <cell r="G73">
            <v>9.4100000000000003E-2</v>
          </cell>
          <cell r="H73">
            <v>2362.4</v>
          </cell>
          <cell r="I73">
            <v>2843.35</v>
          </cell>
          <cell r="J73">
            <v>38175.5</v>
          </cell>
          <cell r="K73">
            <v>60341.09</v>
          </cell>
          <cell r="L73">
            <v>60149.740000000005</v>
          </cell>
        </row>
        <row r="74">
          <cell r="A74">
            <v>36395</v>
          </cell>
          <cell r="B74">
            <v>82673355.810000002</v>
          </cell>
          <cell r="C74">
            <v>1</v>
          </cell>
          <cell r="D74">
            <v>7.8079999999999998E-3</v>
          </cell>
          <cell r="E74">
            <v>1735.25</v>
          </cell>
          <cell r="F74">
            <v>3110207.5300000007</v>
          </cell>
          <cell r="G74">
            <v>9.4100000000000003E-2</v>
          </cell>
          <cell r="H74">
            <v>786.75</v>
          </cell>
          <cell r="I74">
            <v>948.5</v>
          </cell>
          <cell r="J74">
            <v>39910.75</v>
          </cell>
          <cell r="K74">
            <v>61127.839999999997</v>
          </cell>
          <cell r="L74">
            <v>61098.240000000005</v>
          </cell>
        </row>
        <row r="75">
          <cell r="A75">
            <v>36396</v>
          </cell>
          <cell r="B75">
            <v>82673355.810000002</v>
          </cell>
          <cell r="C75">
            <v>1</v>
          </cell>
          <cell r="D75">
            <v>7.8079999999999998E-3</v>
          </cell>
          <cell r="E75">
            <v>1735.25</v>
          </cell>
          <cell r="F75">
            <v>3109259.0300000007</v>
          </cell>
          <cell r="G75">
            <v>9.4100000000000003E-2</v>
          </cell>
          <cell r="H75">
            <v>786.51</v>
          </cell>
          <cell r="I75">
            <v>948.74</v>
          </cell>
          <cell r="J75">
            <v>41646</v>
          </cell>
          <cell r="K75">
            <v>61914.35</v>
          </cell>
          <cell r="L75">
            <v>62046.98</v>
          </cell>
        </row>
        <row r="76">
          <cell r="A76">
            <v>36397</v>
          </cell>
          <cell r="B76">
            <v>82673355.810000002</v>
          </cell>
          <cell r="C76">
            <v>1</v>
          </cell>
          <cell r="D76">
            <v>7.8079999999999998E-3</v>
          </cell>
          <cell r="E76">
            <v>1735.25</v>
          </cell>
          <cell r="F76">
            <v>3108310.2900000005</v>
          </cell>
          <cell r="G76">
            <v>9.4100000000000003E-2</v>
          </cell>
          <cell r="H76">
            <v>786.27</v>
          </cell>
          <cell r="I76">
            <v>948.98</v>
          </cell>
          <cell r="J76">
            <v>43381.25</v>
          </cell>
          <cell r="K76">
            <v>62700.619999999995</v>
          </cell>
          <cell r="L76">
            <v>62995.960000000006</v>
          </cell>
        </row>
        <row r="77">
          <cell r="A77">
            <v>36398</v>
          </cell>
          <cell r="B77">
            <v>82673355.810000002</v>
          </cell>
          <cell r="C77">
            <v>1</v>
          </cell>
          <cell r="D77">
            <v>7.8079999999999998E-3</v>
          </cell>
          <cell r="E77">
            <v>1735.25</v>
          </cell>
          <cell r="F77">
            <v>3107361.3100000005</v>
          </cell>
          <cell r="G77">
            <v>9.4100000000000003E-2</v>
          </cell>
          <cell r="H77">
            <v>786.03</v>
          </cell>
          <cell r="I77">
            <v>949.22</v>
          </cell>
          <cell r="J77">
            <v>45116.5</v>
          </cell>
          <cell r="K77">
            <v>63486.649999999994</v>
          </cell>
          <cell r="L77">
            <v>63945.180000000008</v>
          </cell>
        </row>
        <row r="78">
          <cell r="A78">
            <v>36399</v>
          </cell>
          <cell r="B78">
            <v>82673355.810000002</v>
          </cell>
          <cell r="C78">
            <v>3</v>
          </cell>
          <cell r="D78">
            <v>7.8079999999999998E-3</v>
          </cell>
          <cell r="E78">
            <v>5205.75</v>
          </cell>
          <cell r="F78">
            <v>3106412.0900000003</v>
          </cell>
          <cell r="G78">
            <v>9.4100000000000003E-2</v>
          </cell>
          <cell r="H78">
            <v>2357.37</v>
          </cell>
          <cell r="I78">
            <v>2848.38</v>
          </cell>
          <cell r="J78">
            <v>50322.25</v>
          </cell>
          <cell r="K78">
            <v>65844.01999999999</v>
          </cell>
          <cell r="L78">
            <v>66793.560000000012</v>
          </cell>
        </row>
        <row r="79">
          <cell r="A79">
            <v>36402</v>
          </cell>
          <cell r="B79">
            <v>82673355.810000002</v>
          </cell>
          <cell r="C79">
            <v>1</v>
          </cell>
          <cell r="D79">
            <v>7.8079999999999998E-3</v>
          </cell>
          <cell r="E79">
            <v>1735.25</v>
          </cell>
          <cell r="F79">
            <v>3103563.7100000004</v>
          </cell>
          <cell r="G79">
            <v>9.4100000000000003E-2</v>
          </cell>
          <cell r="H79">
            <v>785.07</v>
          </cell>
          <cell r="I79">
            <v>950.18</v>
          </cell>
          <cell r="J79">
            <v>52057.5</v>
          </cell>
          <cell r="K79">
            <v>66629.09</v>
          </cell>
          <cell r="L79">
            <v>67743.740000000005</v>
          </cell>
        </row>
        <row r="80">
          <cell r="A80">
            <v>36403</v>
          </cell>
          <cell r="B80">
            <v>82673355.810000002</v>
          </cell>
          <cell r="C80">
            <v>1</v>
          </cell>
          <cell r="D80">
            <v>7.8079999999999998E-3</v>
          </cell>
          <cell r="E80">
            <v>1735.25</v>
          </cell>
          <cell r="F80">
            <v>3102613.5300000003</v>
          </cell>
          <cell r="G80">
            <v>9.4100000000000003E-2</v>
          </cell>
          <cell r="H80">
            <v>784.83</v>
          </cell>
          <cell r="I80">
            <v>950.42</v>
          </cell>
          <cell r="J80">
            <v>53792.75</v>
          </cell>
          <cell r="K80">
            <v>67413.919999999998</v>
          </cell>
          <cell r="L80">
            <v>68694.16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1"/>
      <sheetName val="2"/>
      <sheetName val="3"/>
      <sheetName val="4"/>
      <sheetName val="5"/>
      <sheetName val="6"/>
      <sheetName val="7"/>
      <sheetName val="7.0.1"/>
      <sheetName val="7.1"/>
      <sheetName val="7.2"/>
      <sheetName val="7.3"/>
      <sheetName val="7.4"/>
      <sheetName val="8"/>
      <sheetName val="8.1"/>
      <sheetName val="8.2"/>
      <sheetName val="8.3"/>
      <sheetName val="9"/>
      <sheetName val="9.1"/>
      <sheetName val="9.2"/>
      <sheetName val="9.3"/>
      <sheetName val="10"/>
      <sheetName val="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C9" t="str">
            <v>Financial Account</v>
          </cell>
          <cell r="D9" t="str">
            <v>Description</v>
          </cell>
          <cell r="E9" t="str">
            <v>Opening Balance</v>
          </cell>
          <cell r="F9" t="str">
            <v>Debits</v>
          </cell>
          <cell r="G9" t="str">
            <v>Credits</v>
          </cell>
          <cell r="H9" t="str">
            <v>Closing Balance</v>
          </cell>
        </row>
        <row r="10">
          <cell r="C10" t="str">
            <v>Debt Instruments</v>
          </cell>
          <cell r="D10" t="str">
            <v>Accrued Interest</v>
          </cell>
          <cell r="E10">
            <v>7195990.6299999999</v>
          </cell>
          <cell r="F10">
            <v>0</v>
          </cell>
          <cell r="G10">
            <v>-382494.86</v>
          </cell>
          <cell r="H10">
            <v>6813495.7699999996</v>
          </cell>
        </row>
        <row r="11">
          <cell r="C11" t="str">
            <v>Debt Instruments</v>
          </cell>
          <cell r="D11" t="str">
            <v>Amortization / Accretion</v>
          </cell>
          <cell r="E11">
            <v>1038649.56</v>
          </cell>
          <cell r="F11">
            <v>32441.27</v>
          </cell>
          <cell r="G11">
            <v>0</v>
          </cell>
          <cell r="H11">
            <v>1071090.83</v>
          </cell>
        </row>
        <row r="12">
          <cell r="C12" t="str">
            <v>Debt Instruments</v>
          </cell>
          <cell r="D12" t="str">
            <v>Cost</v>
          </cell>
          <cell r="E12">
            <v>495148504.17000002</v>
          </cell>
          <cell r="F12">
            <v>0</v>
          </cell>
          <cell r="G12">
            <v>-14482.81</v>
          </cell>
          <cell r="H12">
            <v>495134021.36000001</v>
          </cell>
        </row>
        <row r="13">
          <cell r="C13" t="str">
            <v>Debt Instruments</v>
          </cell>
          <cell r="D13" t="str">
            <v>Unrealized Price G/L</v>
          </cell>
          <cell r="E13">
            <v>0</v>
          </cell>
          <cell r="F13">
            <v>0</v>
          </cell>
          <cell r="G13">
            <v>-6410567.5700000003</v>
          </cell>
          <cell r="H13">
            <v>-6410567.5700000003</v>
          </cell>
        </row>
        <row r="14">
          <cell r="C14" t="str">
            <v>Equity Instruments</v>
          </cell>
          <cell r="D14" t="str">
            <v>Cost</v>
          </cell>
          <cell r="E14">
            <v>23204445.559999999</v>
          </cell>
          <cell r="F14">
            <v>2077918</v>
          </cell>
          <cell r="G14">
            <v>0</v>
          </cell>
          <cell r="H14">
            <v>25282363.559999999</v>
          </cell>
        </row>
        <row r="15">
          <cell r="C15" t="str">
            <v>Equity Instruments</v>
          </cell>
          <cell r="D15" t="str">
            <v>Unrealized Price G/L</v>
          </cell>
          <cell r="E15">
            <v>0</v>
          </cell>
          <cell r="F15">
            <v>7551823.2599999998</v>
          </cell>
          <cell r="G15">
            <v>0</v>
          </cell>
          <cell r="H15">
            <v>7551823.2599999998</v>
          </cell>
        </row>
        <row r="16">
          <cell r="C16" t="str">
            <v>Cash</v>
          </cell>
          <cell r="D16" t="str">
            <v>Cost</v>
          </cell>
          <cell r="E16">
            <v>716086.62</v>
          </cell>
          <cell r="F16">
            <v>0</v>
          </cell>
          <cell r="G16">
            <v>-716085.72</v>
          </cell>
          <cell r="H16">
            <v>0.9</v>
          </cell>
        </row>
        <row r="17">
          <cell r="C17" t="str">
            <v xml:space="preserve">IAS Sales Receivable Difference </v>
          </cell>
          <cell r="D17" t="str">
            <v>Cost</v>
          </cell>
          <cell r="E17">
            <v>46301.46</v>
          </cell>
          <cell r="F17">
            <v>0</v>
          </cell>
          <cell r="G17">
            <v>-371.15</v>
          </cell>
          <cell r="H17">
            <v>45930.31</v>
          </cell>
        </row>
        <row r="18">
          <cell r="C18" t="str">
            <v xml:space="preserve">Interest Receivable </v>
          </cell>
          <cell r="D18" t="str">
            <v>Cost</v>
          </cell>
          <cell r="E18">
            <v>0</v>
          </cell>
          <cell r="F18">
            <v>8287.09</v>
          </cell>
          <cell r="G18">
            <v>0</v>
          </cell>
          <cell r="H18">
            <v>8287.09</v>
          </cell>
        </row>
        <row r="19">
          <cell r="C19" t="str">
            <v xml:space="preserve">Interest Receivable Cash </v>
          </cell>
          <cell r="D19" t="str">
            <v>Cost</v>
          </cell>
          <cell r="E19">
            <v>0</v>
          </cell>
          <cell r="F19">
            <v>132125</v>
          </cell>
          <cell r="G19">
            <v>0</v>
          </cell>
          <cell r="H19">
            <v>132125</v>
          </cell>
        </row>
        <row r="20">
          <cell r="C20" t="str">
            <v xml:space="preserve">Interest Receivable Sweep </v>
          </cell>
          <cell r="D20" t="str">
            <v>Cost</v>
          </cell>
          <cell r="E20">
            <v>250.56</v>
          </cell>
          <cell r="F20">
            <v>179.62</v>
          </cell>
          <cell r="G20">
            <v>0</v>
          </cell>
          <cell r="H20">
            <v>430.18</v>
          </cell>
        </row>
        <row r="21">
          <cell r="C21" t="str">
            <v xml:space="preserve">Prepaid Fidelity Bond </v>
          </cell>
          <cell r="D21" t="str">
            <v>Cost</v>
          </cell>
          <cell r="E21">
            <v>6230.68</v>
          </cell>
          <cell r="F21">
            <v>0</v>
          </cell>
          <cell r="G21">
            <v>-851.58</v>
          </cell>
          <cell r="H21">
            <v>5379.1</v>
          </cell>
        </row>
        <row r="22">
          <cell r="C22" t="str">
            <v xml:space="preserve">Prepaid Insurance Fee Asset Account </v>
          </cell>
          <cell r="D22" t="str">
            <v>Cost</v>
          </cell>
          <cell r="E22">
            <v>112876.7</v>
          </cell>
          <cell r="F22">
            <v>0</v>
          </cell>
          <cell r="G22">
            <v>-15428.95</v>
          </cell>
          <cell r="H22">
            <v>97447.75</v>
          </cell>
        </row>
        <row r="23">
          <cell r="C23" t="str">
            <v xml:space="preserve">Prepaid Legal Fee Asset Account </v>
          </cell>
          <cell r="D23" t="str">
            <v>Cost</v>
          </cell>
          <cell r="E23">
            <v>650401.30000000005</v>
          </cell>
          <cell r="F23">
            <v>0</v>
          </cell>
          <cell r="G23">
            <v>-13900.59</v>
          </cell>
          <cell r="H23">
            <v>636500.71</v>
          </cell>
        </row>
        <row r="24">
          <cell r="C24" t="str">
            <v xml:space="preserve">Prepaid Listing Fee Asset Account </v>
          </cell>
          <cell r="D24" t="str">
            <v>Cost</v>
          </cell>
          <cell r="E24">
            <v>1535.77</v>
          </cell>
          <cell r="F24">
            <v>0</v>
          </cell>
          <cell r="G24">
            <v>-1041.01</v>
          </cell>
          <cell r="H24">
            <v>494.76</v>
          </cell>
        </row>
        <row r="25">
          <cell r="C25" t="str">
            <v xml:space="preserve">Prepaid PP&amp;E </v>
          </cell>
          <cell r="D25" t="str">
            <v>Cost</v>
          </cell>
          <cell r="E25">
            <v>152936.74</v>
          </cell>
          <cell r="F25">
            <v>0</v>
          </cell>
          <cell r="G25">
            <v>-2508.7600000000002</v>
          </cell>
          <cell r="H25">
            <v>150427.98000000001</v>
          </cell>
        </row>
        <row r="26">
          <cell r="C26" t="str">
            <v>Payables</v>
          </cell>
          <cell r="D26" t="str">
            <v>Cost</v>
          </cell>
          <cell r="E26">
            <v>-13360.27</v>
          </cell>
          <cell r="F26">
            <v>13360.27</v>
          </cell>
          <cell r="G26">
            <v>0</v>
          </cell>
          <cell r="H26">
            <v>0</v>
          </cell>
        </row>
        <row r="27">
          <cell r="C27" t="str">
            <v xml:space="preserve">Accrued Admin Fee </v>
          </cell>
          <cell r="D27" t="str">
            <v>Cost</v>
          </cell>
          <cell r="E27">
            <v>-82777.539999999994</v>
          </cell>
          <cell r="F27">
            <v>18148.12</v>
          </cell>
          <cell r="G27">
            <v>0</v>
          </cell>
          <cell r="H27">
            <v>-64629.42</v>
          </cell>
        </row>
        <row r="28">
          <cell r="C28" t="str">
            <v xml:space="preserve">Accrued Admin OOPs </v>
          </cell>
          <cell r="D28" t="str">
            <v>Cost</v>
          </cell>
          <cell r="E28">
            <v>-6156.66</v>
          </cell>
          <cell r="F28">
            <v>41.67</v>
          </cell>
          <cell r="G28">
            <v>0</v>
          </cell>
          <cell r="H28">
            <v>-6114.99</v>
          </cell>
        </row>
        <row r="29">
          <cell r="C29" t="str">
            <v xml:space="preserve">Accrued Advisory Fees </v>
          </cell>
          <cell r="D29" t="str">
            <v>Cost</v>
          </cell>
          <cell r="E29">
            <v>-948681.95</v>
          </cell>
          <cell r="F29">
            <v>90041.77</v>
          </cell>
          <cell r="G29">
            <v>0</v>
          </cell>
          <cell r="H29">
            <v>-858640.18</v>
          </cell>
        </row>
        <row r="30">
          <cell r="C30" t="str">
            <v xml:space="preserve">Accrued Audit Fee </v>
          </cell>
          <cell r="D30" t="str">
            <v>Cost</v>
          </cell>
          <cell r="E30">
            <v>-304286.92</v>
          </cell>
          <cell r="F30">
            <v>261199.97</v>
          </cell>
          <cell r="G30">
            <v>0</v>
          </cell>
          <cell r="H30">
            <v>-43086.95</v>
          </cell>
        </row>
        <row r="31">
          <cell r="C31" t="str">
            <v xml:space="preserve">Accrued Consulting Fees Payable </v>
          </cell>
          <cell r="D31" t="str">
            <v>Cost</v>
          </cell>
          <cell r="E31">
            <v>-13843.59</v>
          </cell>
          <cell r="F31">
            <v>4097.9399999999996</v>
          </cell>
          <cell r="G31">
            <v>0</v>
          </cell>
          <cell r="H31">
            <v>-9745.65</v>
          </cell>
        </row>
        <row r="32">
          <cell r="C32" t="str">
            <v xml:space="preserve">Accrued Custodian Fees </v>
          </cell>
          <cell r="D32" t="str">
            <v>Cost</v>
          </cell>
          <cell r="E32">
            <v>-602.72</v>
          </cell>
          <cell r="F32">
            <v>531.79999999999995</v>
          </cell>
          <cell r="G32">
            <v>0</v>
          </cell>
          <cell r="H32">
            <v>-70.92</v>
          </cell>
        </row>
        <row r="33">
          <cell r="C33" t="str">
            <v xml:space="preserve">Accrued Director Fee </v>
          </cell>
          <cell r="D33" t="str">
            <v>Cost</v>
          </cell>
          <cell r="E33">
            <v>-93827.08</v>
          </cell>
          <cell r="F33">
            <v>68827.360000000001</v>
          </cell>
          <cell r="G33">
            <v>0</v>
          </cell>
          <cell r="H33">
            <v>-24999.72</v>
          </cell>
        </row>
        <row r="34">
          <cell r="C34" t="str">
            <v xml:space="preserve">Accrued Director's OOP Expense </v>
          </cell>
          <cell r="D34" t="str">
            <v>Cost</v>
          </cell>
          <cell r="E34">
            <v>-2015.31</v>
          </cell>
          <cell r="F34">
            <v>201.61</v>
          </cell>
          <cell r="G34">
            <v>0</v>
          </cell>
          <cell r="H34">
            <v>-1813.7</v>
          </cell>
        </row>
        <row r="35">
          <cell r="C35" t="str">
            <v xml:space="preserve">Accrued Incentive Fee </v>
          </cell>
          <cell r="D35" t="str">
            <v>Cost</v>
          </cell>
          <cell r="E35">
            <v>-646871.61</v>
          </cell>
          <cell r="F35">
            <v>57568.54</v>
          </cell>
          <cell r="G35">
            <v>0</v>
          </cell>
          <cell r="H35">
            <v>-589303.06999999995</v>
          </cell>
        </row>
        <row r="36">
          <cell r="C36" t="str">
            <v xml:space="preserve">Accrued Legal Fee </v>
          </cell>
          <cell r="D36" t="str">
            <v>Cost</v>
          </cell>
          <cell r="E36">
            <v>-9555.7199999999993</v>
          </cell>
          <cell r="F36">
            <v>13238.73</v>
          </cell>
          <cell r="G36">
            <v>0</v>
          </cell>
          <cell r="H36">
            <v>3683.01</v>
          </cell>
        </row>
        <row r="37">
          <cell r="C37" t="str">
            <v xml:space="preserve">Accrued Management Fee </v>
          </cell>
          <cell r="D37" t="str">
            <v>Cost</v>
          </cell>
          <cell r="E37">
            <v>-1439566.07</v>
          </cell>
          <cell r="F37">
            <v>141294.60999999999</v>
          </cell>
          <cell r="G37">
            <v>0</v>
          </cell>
          <cell r="H37">
            <v>-1298271.46</v>
          </cell>
        </row>
        <row r="38">
          <cell r="C38" t="str">
            <v xml:space="preserve">Accrued Misc Payable </v>
          </cell>
          <cell r="D38" t="str">
            <v>Cost</v>
          </cell>
          <cell r="E38">
            <v>3754.22</v>
          </cell>
          <cell r="F38">
            <v>1684.36</v>
          </cell>
          <cell r="G38">
            <v>0</v>
          </cell>
          <cell r="H38">
            <v>5438.58</v>
          </cell>
        </row>
        <row r="39">
          <cell r="C39" t="str">
            <v xml:space="preserve">Accrued OOP Fee </v>
          </cell>
          <cell r="D39" t="str">
            <v>Cost</v>
          </cell>
          <cell r="E39">
            <v>7894.65</v>
          </cell>
          <cell r="F39">
            <v>43000</v>
          </cell>
          <cell r="G39">
            <v>0</v>
          </cell>
          <cell r="H39">
            <v>50894.65</v>
          </cell>
        </row>
        <row r="40">
          <cell r="C40" t="str">
            <v xml:space="preserve">Accrued Pricing Fees </v>
          </cell>
          <cell r="D40" t="str">
            <v>Cost</v>
          </cell>
          <cell r="E40">
            <v>-190633.23</v>
          </cell>
          <cell r="F40">
            <v>12666.21</v>
          </cell>
          <cell r="G40">
            <v>0</v>
          </cell>
          <cell r="H40">
            <v>-177967.02</v>
          </cell>
        </row>
        <row r="41">
          <cell r="C41" t="str">
            <v xml:space="preserve">Accrued Printing Fees </v>
          </cell>
          <cell r="D41" t="str">
            <v>Cost</v>
          </cell>
          <cell r="E41">
            <v>56515.06</v>
          </cell>
          <cell r="F41">
            <v>0</v>
          </cell>
          <cell r="G41">
            <v>-4880.83</v>
          </cell>
          <cell r="H41">
            <v>51634.23</v>
          </cell>
        </row>
        <row r="42">
          <cell r="C42" t="str">
            <v xml:space="preserve">Accrued Proxy Fees </v>
          </cell>
          <cell r="D42" t="str">
            <v>Cost</v>
          </cell>
          <cell r="E42">
            <v>7721.78</v>
          </cell>
          <cell r="F42">
            <v>12318.66</v>
          </cell>
          <cell r="G42">
            <v>0</v>
          </cell>
          <cell r="H42">
            <v>20040.439999999999</v>
          </cell>
        </row>
        <row r="43">
          <cell r="C43" t="str">
            <v xml:space="preserve">Accrued Tax Fees </v>
          </cell>
          <cell r="D43" t="str">
            <v>Cost</v>
          </cell>
          <cell r="E43">
            <v>-106962.28</v>
          </cell>
          <cell r="F43">
            <v>0</v>
          </cell>
          <cell r="G43">
            <v>0</v>
          </cell>
          <cell r="H43">
            <v>-106962.28</v>
          </cell>
        </row>
        <row r="44">
          <cell r="C44" t="str">
            <v xml:space="preserve">Accrued Tax Preperation </v>
          </cell>
          <cell r="D44" t="str">
            <v>Cost</v>
          </cell>
          <cell r="E44">
            <v>-3191.15</v>
          </cell>
          <cell r="F44">
            <v>516.14</v>
          </cell>
          <cell r="G44">
            <v>0</v>
          </cell>
          <cell r="H44">
            <v>-2675.01</v>
          </cell>
        </row>
        <row r="45">
          <cell r="C45" t="str">
            <v xml:space="preserve">Accrued Transfer Agent Fees </v>
          </cell>
          <cell r="D45" t="str">
            <v>Cost</v>
          </cell>
          <cell r="E45">
            <v>-10.71</v>
          </cell>
          <cell r="F45">
            <v>494.2</v>
          </cell>
          <cell r="G45">
            <v>0</v>
          </cell>
          <cell r="H45">
            <v>483.49</v>
          </cell>
        </row>
        <row r="46">
          <cell r="C46" t="str">
            <v xml:space="preserve">Commitment Fee Payable - Credit Facility </v>
          </cell>
          <cell r="D46" t="str">
            <v>Cost</v>
          </cell>
          <cell r="E46">
            <v>-3444.99</v>
          </cell>
          <cell r="F46">
            <v>0</v>
          </cell>
          <cell r="G46">
            <v>-5318.86</v>
          </cell>
          <cell r="H46">
            <v>-8763.85</v>
          </cell>
        </row>
        <row r="47">
          <cell r="C47" t="str">
            <v xml:space="preserve">Conversion Purchase payable </v>
          </cell>
          <cell r="D47" t="str">
            <v>Cost</v>
          </cell>
          <cell r="E47">
            <v>-6331384.6299999999</v>
          </cell>
          <cell r="F47">
            <v>0</v>
          </cell>
          <cell r="G47">
            <v>0</v>
          </cell>
          <cell r="H47">
            <v>-6331384.6299999999</v>
          </cell>
        </row>
        <row r="48">
          <cell r="C48" t="str">
            <v xml:space="preserve">Credit Facility Interest Payable </v>
          </cell>
          <cell r="D48" t="str">
            <v>Cost</v>
          </cell>
          <cell r="E48">
            <v>-121886.5</v>
          </cell>
          <cell r="F48">
            <v>96063.79</v>
          </cell>
          <cell r="G48">
            <v>0</v>
          </cell>
          <cell r="H48">
            <v>-25822.71</v>
          </cell>
        </row>
        <row r="49">
          <cell r="C49" t="str">
            <v xml:space="preserve">Credit Facility MTM </v>
          </cell>
          <cell r="D49" t="str">
            <v>Cost</v>
          </cell>
          <cell r="E49">
            <v>44409434</v>
          </cell>
          <cell r="F49">
            <v>463340</v>
          </cell>
          <cell r="G49">
            <v>0</v>
          </cell>
          <cell r="H49">
            <v>44872774</v>
          </cell>
        </row>
        <row r="50">
          <cell r="C50" t="str">
            <v xml:space="preserve">Line of Credit - Liability </v>
          </cell>
          <cell r="D50" t="str">
            <v>Cost</v>
          </cell>
          <cell r="E50">
            <v>-249200000</v>
          </cell>
          <cell r="F50">
            <v>0</v>
          </cell>
          <cell r="G50">
            <v>-2600000</v>
          </cell>
          <cell r="H50">
            <v>-251800000</v>
          </cell>
        </row>
        <row r="51">
          <cell r="C51" t="str">
            <v xml:space="preserve">Payable </v>
          </cell>
          <cell r="D51" t="str">
            <v>Cost</v>
          </cell>
          <cell r="E51">
            <v>-123633.76</v>
          </cell>
          <cell r="F51">
            <v>0</v>
          </cell>
          <cell r="G51">
            <v>-40080.800000000003</v>
          </cell>
          <cell r="H51">
            <v>-163714.56</v>
          </cell>
        </row>
        <row r="52">
          <cell r="C52" t="str">
            <v>Capital Stock</v>
          </cell>
          <cell r="E52">
            <v>-25808.77</v>
          </cell>
          <cell r="F52">
            <v>0</v>
          </cell>
          <cell r="G52">
            <v>0</v>
          </cell>
          <cell r="H52">
            <v>-25808.77</v>
          </cell>
        </row>
        <row r="53">
          <cell r="C53" t="str">
            <v>ContributedAccruedInterest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C54" t="str">
            <v>ContributedCost</v>
          </cell>
          <cell r="E54">
            <v>-353869725.94999999</v>
          </cell>
          <cell r="F54">
            <v>176000</v>
          </cell>
          <cell r="G54">
            <v>-176000</v>
          </cell>
          <cell r="H54">
            <v>-353869725.94999999</v>
          </cell>
        </row>
        <row r="55">
          <cell r="C55" t="str">
            <v>ContributedPriceGain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C56" t="str">
            <v>Cost of Issuance</v>
          </cell>
          <cell r="E56">
            <v>23405375</v>
          </cell>
          <cell r="F56">
            <v>176000</v>
          </cell>
          <cell r="G56">
            <v>-176000</v>
          </cell>
          <cell r="H56">
            <v>23405375</v>
          </cell>
        </row>
        <row r="57">
          <cell r="C57" t="str">
            <v>Distributed Prior Year</v>
          </cell>
          <cell r="E57">
            <v>196769</v>
          </cell>
          <cell r="F57">
            <v>0</v>
          </cell>
          <cell r="G57">
            <v>0</v>
          </cell>
          <cell r="H57">
            <v>196769</v>
          </cell>
        </row>
        <row r="58">
          <cell r="C58" t="str">
            <v>Distributed Prior Year 2</v>
          </cell>
          <cell r="E58">
            <v>405890.03</v>
          </cell>
          <cell r="F58">
            <v>0</v>
          </cell>
          <cell r="G58">
            <v>0</v>
          </cell>
          <cell r="H58">
            <v>405890.03</v>
          </cell>
        </row>
        <row r="59">
          <cell r="C59" t="str">
            <v>Distributed Prior Year 2009</v>
          </cell>
          <cell r="E59">
            <v>0</v>
          </cell>
          <cell r="F59">
            <v>0</v>
          </cell>
          <cell r="G59">
            <v>-2492894.7000000002</v>
          </cell>
          <cell r="H59">
            <v>-2492894.7000000002</v>
          </cell>
        </row>
        <row r="60">
          <cell r="C60" t="str">
            <v>Return of Capital to Investors</v>
          </cell>
          <cell r="E60">
            <v>-2434407.65</v>
          </cell>
          <cell r="F60">
            <v>2492894.7000000002</v>
          </cell>
          <cell r="G60">
            <v>0</v>
          </cell>
          <cell r="H60">
            <v>58487.05</v>
          </cell>
        </row>
        <row r="61">
          <cell r="C61" t="str">
            <v>Undistributed Pre 2007</v>
          </cell>
          <cell r="E61">
            <v>14063.2</v>
          </cell>
          <cell r="F61">
            <v>0</v>
          </cell>
          <cell r="G61">
            <v>0</v>
          </cell>
          <cell r="H61">
            <v>14063.2</v>
          </cell>
        </row>
        <row r="62">
          <cell r="C62" t="str">
            <v>Retained Earnings</v>
          </cell>
          <cell r="E62">
            <v>28383576.829999998</v>
          </cell>
          <cell r="F62">
            <v>0</v>
          </cell>
          <cell r="G62">
            <v>0</v>
          </cell>
          <cell r="H62">
            <v>28383576.829999998</v>
          </cell>
        </row>
        <row r="63">
          <cell r="C63" t="str">
            <v>99-20 Amortization Income</v>
          </cell>
          <cell r="E63">
            <v>-46.18</v>
          </cell>
          <cell r="F63">
            <v>0</v>
          </cell>
          <cell r="G63">
            <v>0</v>
          </cell>
          <cell r="H63">
            <v>-46.18</v>
          </cell>
        </row>
        <row r="64">
          <cell r="C64" t="str">
            <v>Change in Unrealized Price Gain/Loss</v>
          </cell>
          <cell r="E64">
            <v>-23884412.68</v>
          </cell>
          <cell r="F64">
            <v>0</v>
          </cell>
          <cell r="G64">
            <v>-4792230.93</v>
          </cell>
          <cell r="H64">
            <v>-28676643.609999999</v>
          </cell>
        </row>
        <row r="65">
          <cell r="C65" t="str">
            <v>ChangeInAccruedInterestLong</v>
          </cell>
          <cell r="E65">
            <v>-3102313.64</v>
          </cell>
          <cell r="F65">
            <v>0</v>
          </cell>
          <cell r="G65">
            <v>-1158243.08</v>
          </cell>
          <cell r="H65">
            <v>-4260556.72</v>
          </cell>
        </row>
        <row r="66">
          <cell r="C66" t="str">
            <v>ChangeInOIDBasisLong</v>
          </cell>
          <cell r="E66">
            <v>69069.919999999998</v>
          </cell>
          <cell r="F66">
            <v>0</v>
          </cell>
          <cell r="G66">
            <v>-89253.72</v>
          </cell>
          <cell r="H66">
            <v>-20183.8</v>
          </cell>
        </row>
        <row r="67">
          <cell r="C67" t="str">
            <v>ChangeInRelativeDiscountBasisLong</v>
          </cell>
          <cell r="E67">
            <v>-352695.89</v>
          </cell>
          <cell r="F67">
            <v>0</v>
          </cell>
          <cell r="G67">
            <v>-35712.120000000003</v>
          </cell>
          <cell r="H67">
            <v>-388408.01</v>
          </cell>
        </row>
        <row r="68">
          <cell r="C68" t="str">
            <v>ChangeInTotalDiscountBasisLong</v>
          </cell>
          <cell r="E68">
            <v>-451796.97</v>
          </cell>
          <cell r="F68">
            <v>0</v>
          </cell>
          <cell r="G68">
            <v>-180007.3</v>
          </cell>
          <cell r="H68">
            <v>-631804.27</v>
          </cell>
        </row>
        <row r="69">
          <cell r="C69" t="str">
            <v>DelayedSettlementInterestReceipt</v>
          </cell>
          <cell r="E69">
            <v>-338206.24</v>
          </cell>
          <cell r="F69">
            <v>0</v>
          </cell>
          <cell r="G69">
            <v>0</v>
          </cell>
          <cell r="H69">
            <v>-338206.24</v>
          </cell>
        </row>
        <row r="70">
          <cell r="C70" t="str">
            <v>Interest Domestic Paydown</v>
          </cell>
          <cell r="E70">
            <v>-227898.74</v>
          </cell>
          <cell r="F70">
            <v>0</v>
          </cell>
          <cell r="G70">
            <v>-11069.41</v>
          </cell>
          <cell r="H70">
            <v>-238968.15</v>
          </cell>
        </row>
        <row r="71">
          <cell r="C71" t="str">
            <v>Interest Income</v>
          </cell>
          <cell r="E71">
            <v>-30778.23</v>
          </cell>
          <cell r="F71">
            <v>13895</v>
          </cell>
          <cell r="G71">
            <v>0</v>
          </cell>
          <cell r="H71">
            <v>-16883.23</v>
          </cell>
        </row>
        <row r="72">
          <cell r="C72" t="str">
            <v>Interest Income Sweep</v>
          </cell>
          <cell r="E72">
            <v>-2665.23</v>
          </cell>
          <cell r="F72">
            <v>0</v>
          </cell>
          <cell r="G72">
            <v>-435.44</v>
          </cell>
          <cell r="H72">
            <v>-3100.67</v>
          </cell>
        </row>
        <row r="73">
          <cell r="C73" t="str">
            <v>InterestReceipt</v>
          </cell>
          <cell r="E73">
            <v>-8752233.8200000003</v>
          </cell>
          <cell r="F73">
            <v>0</v>
          </cell>
          <cell r="G73">
            <v>-3183002.43</v>
          </cell>
          <cell r="H73">
            <v>-11935236.25</v>
          </cell>
        </row>
        <row r="74">
          <cell r="C74" t="str">
            <v>MToMPriceGL</v>
          </cell>
          <cell r="E74">
            <v>5838914</v>
          </cell>
          <cell r="F74">
            <v>0</v>
          </cell>
          <cell r="G74">
            <v>-1087068</v>
          </cell>
          <cell r="H74">
            <v>4751846</v>
          </cell>
        </row>
        <row r="75">
          <cell r="C75" t="str">
            <v>OIDAmortizationIncome</v>
          </cell>
          <cell r="E75">
            <v>-7326.79</v>
          </cell>
          <cell r="F75">
            <v>0</v>
          </cell>
          <cell r="G75">
            <v>0</v>
          </cell>
          <cell r="H75">
            <v>-7326.79</v>
          </cell>
        </row>
        <row r="76">
          <cell r="C76" t="str">
            <v>ShortTermPriceGainLoss</v>
          </cell>
          <cell r="E76">
            <v>16600843.98</v>
          </cell>
          <cell r="F76">
            <v>0</v>
          </cell>
          <cell r="G76">
            <v>-433.02</v>
          </cell>
          <cell r="H76">
            <v>16600410.960000001</v>
          </cell>
        </row>
        <row r="77">
          <cell r="C77" t="str">
            <v>SoldAccruedInterestReceipt</v>
          </cell>
          <cell r="E77">
            <v>-68833.789999999994</v>
          </cell>
          <cell r="F77">
            <v>0</v>
          </cell>
          <cell r="G77">
            <v>-448.22</v>
          </cell>
          <cell r="H77">
            <v>-69282.009999999995</v>
          </cell>
        </row>
        <row r="78">
          <cell r="C78" t="str">
            <v>TotalDiscountAmortizationIncome</v>
          </cell>
          <cell r="E78">
            <v>-326809.89</v>
          </cell>
          <cell r="F78">
            <v>0</v>
          </cell>
          <cell r="G78">
            <v>-1200.29</v>
          </cell>
          <cell r="H78">
            <v>-328010.18</v>
          </cell>
        </row>
        <row r="79">
          <cell r="C79" t="str">
            <v>Administration Expense</v>
          </cell>
          <cell r="E79">
            <v>95142.31</v>
          </cell>
          <cell r="F79">
            <v>32389.73</v>
          </cell>
          <cell r="G79">
            <v>0</v>
          </cell>
          <cell r="H79">
            <v>127532.04</v>
          </cell>
        </row>
        <row r="80">
          <cell r="C80" t="str">
            <v>Advisor Fee Expense</v>
          </cell>
          <cell r="E80">
            <v>456853.22</v>
          </cell>
          <cell r="F80">
            <v>203968.22</v>
          </cell>
          <cell r="G80">
            <v>0</v>
          </cell>
          <cell r="H80">
            <v>660821.43999999994</v>
          </cell>
        </row>
        <row r="81">
          <cell r="C81" t="str">
            <v>Audit Fee Expense</v>
          </cell>
          <cell r="E81">
            <v>78002.47</v>
          </cell>
          <cell r="F81">
            <v>41768.47</v>
          </cell>
          <cell r="G81">
            <v>0</v>
          </cell>
          <cell r="H81">
            <v>119770.94</v>
          </cell>
        </row>
        <row r="82">
          <cell r="C82" t="str">
            <v>CONSULTING FEES Expense</v>
          </cell>
          <cell r="E82">
            <v>1493.91</v>
          </cell>
          <cell r="F82">
            <v>1324.94</v>
          </cell>
          <cell r="G82">
            <v>0</v>
          </cell>
          <cell r="H82">
            <v>2818.85</v>
          </cell>
        </row>
        <row r="83">
          <cell r="C83" t="str">
            <v>ChangeInRelativePremiumBasisLong</v>
          </cell>
          <cell r="E83">
            <v>27889.87</v>
          </cell>
          <cell r="F83">
            <v>11929.21</v>
          </cell>
          <cell r="G83">
            <v>0</v>
          </cell>
          <cell r="H83">
            <v>39819.08</v>
          </cell>
        </row>
        <row r="84">
          <cell r="C84" t="str">
            <v>ChangeInTotalPremiumBasisLong</v>
          </cell>
          <cell r="E84">
            <v>6154.32</v>
          </cell>
          <cell r="F84">
            <v>2599.4</v>
          </cell>
          <cell r="G84">
            <v>0</v>
          </cell>
          <cell r="H84">
            <v>8753.7199999999993</v>
          </cell>
        </row>
        <row r="85">
          <cell r="C85" t="str">
            <v>Commitment Fee Expense</v>
          </cell>
          <cell r="E85">
            <v>39019.49</v>
          </cell>
          <cell r="F85">
            <v>8763.85</v>
          </cell>
          <cell r="G85">
            <v>0</v>
          </cell>
          <cell r="H85">
            <v>47783.34</v>
          </cell>
        </row>
        <row r="86">
          <cell r="C86" t="str">
            <v>Credit Facility - Legal Expense</v>
          </cell>
          <cell r="E86">
            <v>67308.12</v>
          </cell>
          <cell r="F86">
            <v>22679.91</v>
          </cell>
          <cell r="G86">
            <v>0</v>
          </cell>
          <cell r="H86">
            <v>89988.03</v>
          </cell>
        </row>
        <row r="87">
          <cell r="C87" t="str">
            <v>Credit Facilty Interest Expense</v>
          </cell>
          <cell r="E87">
            <v>709461.67</v>
          </cell>
          <cell r="F87">
            <v>264220.81</v>
          </cell>
          <cell r="G87">
            <v>0</v>
          </cell>
          <cell r="H87">
            <v>973682.48</v>
          </cell>
        </row>
        <row r="88">
          <cell r="C88" t="str">
            <v>Custodian Fees</v>
          </cell>
          <cell r="E88">
            <v>12856.87</v>
          </cell>
          <cell r="F88">
            <v>4890.5600000000004</v>
          </cell>
          <cell r="G88">
            <v>0</v>
          </cell>
          <cell r="H88">
            <v>17747.43</v>
          </cell>
        </row>
        <row r="89">
          <cell r="C89" t="str">
            <v>Director Fee Expense</v>
          </cell>
          <cell r="E89">
            <v>81244.36</v>
          </cell>
          <cell r="F89">
            <v>32505.360000000001</v>
          </cell>
          <cell r="G89">
            <v>0</v>
          </cell>
          <cell r="H89">
            <v>113749.72</v>
          </cell>
        </row>
        <row r="90">
          <cell r="C90" t="str">
            <v>Director's OOP Expense</v>
          </cell>
          <cell r="E90">
            <v>700.12</v>
          </cell>
          <cell r="F90">
            <v>235.91</v>
          </cell>
          <cell r="G90">
            <v>0</v>
          </cell>
          <cell r="H90">
            <v>936.03</v>
          </cell>
        </row>
        <row r="91">
          <cell r="C91" t="str">
            <v>Dividend Distribution</v>
          </cell>
          <cell r="E91">
            <v>6452193</v>
          </cell>
          <cell r="F91">
            <v>0</v>
          </cell>
          <cell r="G91">
            <v>0</v>
          </cell>
          <cell r="H91">
            <v>6452193</v>
          </cell>
        </row>
        <row r="92">
          <cell r="C92" t="str">
            <v>Fidelity Bond Expense</v>
          </cell>
          <cell r="E92">
            <v>4123.4399999999996</v>
          </cell>
          <cell r="F92">
            <v>1389.42</v>
          </cell>
          <cell r="G92">
            <v>0</v>
          </cell>
          <cell r="H92">
            <v>5512.86</v>
          </cell>
        </row>
        <row r="93">
          <cell r="C93" t="str">
            <v>Incentive Fee Expense</v>
          </cell>
          <cell r="E93">
            <v>1809380.01</v>
          </cell>
          <cell r="F93">
            <v>589317.91</v>
          </cell>
          <cell r="G93">
            <v>0</v>
          </cell>
          <cell r="H93">
            <v>2398697.92</v>
          </cell>
        </row>
        <row r="94">
          <cell r="C94" t="str">
            <v>Insurance Fee Expense</v>
          </cell>
          <cell r="E94">
            <v>73896.55</v>
          </cell>
          <cell r="F94">
            <v>25985.599999999999</v>
          </cell>
          <cell r="G94">
            <v>0</v>
          </cell>
          <cell r="H94">
            <v>99882.15</v>
          </cell>
        </row>
        <row r="95">
          <cell r="C95" t="str">
            <v>Insurance fee expense</v>
          </cell>
          <cell r="E95">
            <v>812.05</v>
          </cell>
          <cell r="F95">
            <v>0</v>
          </cell>
          <cell r="G95">
            <v>-812.05</v>
          </cell>
          <cell r="H95">
            <v>0</v>
          </cell>
        </row>
        <row r="96">
          <cell r="C96" t="str">
            <v>Legal Fee Expense</v>
          </cell>
          <cell r="E96">
            <v>102253</v>
          </cell>
          <cell r="F96">
            <v>42656</v>
          </cell>
          <cell r="G96">
            <v>0</v>
          </cell>
          <cell r="H96">
            <v>144909</v>
          </cell>
        </row>
        <row r="97">
          <cell r="C97" t="str">
            <v>Listing Fee Expense</v>
          </cell>
          <cell r="E97">
            <v>5040.68</v>
          </cell>
          <cell r="F97">
            <v>1698.49</v>
          </cell>
          <cell r="G97">
            <v>0</v>
          </cell>
          <cell r="H97">
            <v>6739.17</v>
          </cell>
        </row>
        <row r="98">
          <cell r="C98" t="str">
            <v>MgmtFeeExpense</v>
          </cell>
          <cell r="E98">
            <v>2524653.2000000002</v>
          </cell>
          <cell r="F98">
            <v>1298196.97</v>
          </cell>
          <cell r="G98">
            <v>0</v>
          </cell>
          <cell r="H98">
            <v>3822850.17</v>
          </cell>
        </row>
        <row r="99">
          <cell r="C99" t="str">
            <v>Miscellaneous Expense</v>
          </cell>
          <cell r="E99">
            <v>10988.48</v>
          </cell>
          <cell r="F99">
            <v>4303.7299999999996</v>
          </cell>
          <cell r="G99">
            <v>0</v>
          </cell>
          <cell r="H99">
            <v>15292.21</v>
          </cell>
        </row>
        <row r="100">
          <cell r="C100" t="str">
            <v>PP&amp;E Expense</v>
          </cell>
          <cell r="E100">
            <v>12147.68</v>
          </cell>
          <cell r="F100">
            <v>4093.24</v>
          </cell>
          <cell r="G100">
            <v>0</v>
          </cell>
          <cell r="H100">
            <v>16240.92</v>
          </cell>
        </row>
        <row r="101">
          <cell r="C101" t="str">
            <v>Pricing Expense</v>
          </cell>
          <cell r="E101">
            <v>128922.71</v>
          </cell>
          <cell r="F101">
            <v>19976.71</v>
          </cell>
          <cell r="G101">
            <v>0</v>
          </cell>
          <cell r="H101">
            <v>148899.42000000001</v>
          </cell>
        </row>
        <row r="102">
          <cell r="C102" t="str">
            <v>Printing Fees</v>
          </cell>
          <cell r="E102">
            <v>21596.41</v>
          </cell>
          <cell r="F102">
            <v>8697.67</v>
          </cell>
          <cell r="G102">
            <v>0</v>
          </cell>
          <cell r="H102">
            <v>30294.080000000002</v>
          </cell>
        </row>
        <row r="103">
          <cell r="C103" t="str">
            <v>Proxy Expense</v>
          </cell>
          <cell r="E103">
            <v>4198.01</v>
          </cell>
          <cell r="F103">
            <v>3649.01</v>
          </cell>
          <cell r="G103">
            <v>0</v>
          </cell>
          <cell r="H103">
            <v>7847.02</v>
          </cell>
        </row>
        <row r="104">
          <cell r="C104" t="str">
            <v>PurchasedAccruedInterestExpense</v>
          </cell>
          <cell r="E104">
            <v>0</v>
          </cell>
          <cell r="F104">
            <v>15.59</v>
          </cell>
          <cell r="G104">
            <v>0</v>
          </cell>
          <cell r="H104">
            <v>15.59</v>
          </cell>
        </row>
        <row r="105">
          <cell r="C105" t="str">
            <v>RelativePremiumAmortizationExpense</v>
          </cell>
          <cell r="E105">
            <v>17.32</v>
          </cell>
          <cell r="F105">
            <v>0</v>
          </cell>
          <cell r="G105">
            <v>0</v>
          </cell>
          <cell r="H105">
            <v>17.32</v>
          </cell>
        </row>
        <row r="106">
          <cell r="C106" t="str">
            <v>Swingline Interest Expense</v>
          </cell>
          <cell r="E106">
            <v>2893.8</v>
          </cell>
          <cell r="F106">
            <v>0</v>
          </cell>
          <cell r="G106">
            <v>0</v>
          </cell>
          <cell r="H106">
            <v>2893.8</v>
          </cell>
        </row>
        <row r="107">
          <cell r="C107" t="str">
            <v>Tax Expense</v>
          </cell>
          <cell r="E107">
            <v>106962.28</v>
          </cell>
          <cell r="F107">
            <v>0</v>
          </cell>
          <cell r="G107">
            <v>0</v>
          </cell>
          <cell r="H107">
            <v>106962.28</v>
          </cell>
        </row>
        <row r="108">
          <cell r="C108" t="str">
            <v>Tax Preparation Expense</v>
          </cell>
          <cell r="E108">
            <v>5508.35</v>
          </cell>
          <cell r="F108">
            <v>1333.31</v>
          </cell>
          <cell r="G108">
            <v>0</v>
          </cell>
          <cell r="H108">
            <v>6841.66</v>
          </cell>
        </row>
        <row r="109">
          <cell r="C109" t="str">
            <v>Transfer Agent Service Fee</v>
          </cell>
          <cell r="E109">
            <v>5138.32</v>
          </cell>
          <cell r="F109">
            <v>1804.2</v>
          </cell>
          <cell r="G109">
            <v>0</v>
          </cell>
          <cell r="H109">
            <v>6942.52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ASSET REC"/>
      <sheetName val="CAP STOCK A"/>
      <sheetName val="CAP STOCK B"/>
      <sheetName val="DIST CLASS A"/>
      <sheetName val="DIST CLASS B"/>
      <sheetName val="COST"/>
      <sheetName val="GAIN LOSS"/>
      <sheetName val="GAIN LOSS REC"/>
      <sheetName val="P&amp;S Rec"/>
      <sheetName val="TURNOVER"/>
      <sheetName val="A &amp; L REC"/>
      <sheetName val="INCOME REC"/>
      <sheetName val="DIVIDEND REC"/>
      <sheetName val="DIV TAX"/>
      <sheetName val="DIV RECLAIM"/>
      <sheetName val="OTHER REC"/>
      <sheetName val="TAX"/>
      <sheetName val="Expense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ging Table"/>
      <sheetName val="BS"/>
      <sheetName val="IS YE"/>
      <sheetName val="SCNA"/>
      <sheetName val="CF"/>
      <sheetName val="SOI"/>
      <sheetName val="Note 4 &amp; SOI Reconciliation"/>
      <sheetName val="Note 5"/>
      <sheetName val="Note 6"/>
      <sheetName val="Note 7"/>
      <sheetName val="Note 8"/>
      <sheetName val="Capitalization MTM CF"/>
      <sheetName val="Capitalization wo MTM CF"/>
      <sheetName val="Shareholder Dil. "/>
      <sheetName val="Cash Interest Paid"/>
      <sheetName val="FAS 159 Table"/>
      <sheetName val="Purchase &amp; Sale Reconciliation"/>
      <sheetName val="PNC Cost Roll"/>
      <sheetName val="PNC FH"/>
      <sheetName val="MD&amp;A - Port &amp; Inv Act"/>
      <sheetName val="MD&amp;A - Income by Type"/>
      <sheetName val="MD&amp;A II"/>
      <sheetName val="Breakeven Analysis"/>
      <sheetName val="Leverage"/>
      <sheetName val="Trial Balance past months"/>
      <sheetName val="Variance"/>
      <sheetName val="IS 0609 10-Q"/>
      <sheetName val="Annualized yield"/>
      <sheetName val="MD&amp;A Price Range of Stock"/>
      <sheetName val="Asset Test"/>
      <sheetName val="Analytical Procedures &amp; Testing"/>
      <sheetName val="Sheet2"/>
      <sheetName val="Incentive Fee Ck"/>
      <sheetName val="2009 Graph "/>
      <sheetName val="^RUT"/>
      <sheetName val="^GSPC"/>
      <sheetName val="PNNT"/>
      <sheetName val="Monthly"/>
      <sheetName val="Press Release"/>
      <sheetName val="4th Qtr"/>
    </sheetNames>
    <sheetDataSet>
      <sheetData sheetId="0">
        <row r="133">
          <cell r="E133">
            <v>25820910</v>
          </cell>
        </row>
      </sheetData>
      <sheetData sheetId="1">
        <row r="10">
          <cell r="E10">
            <v>40249201</v>
          </cell>
        </row>
      </sheetData>
      <sheetData sheetId="2" refreshError="1"/>
      <sheetData sheetId="3" refreshError="1"/>
      <sheetData sheetId="4" refreshError="1"/>
      <sheetData sheetId="5">
        <row r="66">
          <cell r="G66">
            <v>6331385</v>
          </cell>
        </row>
      </sheetData>
      <sheetData sheetId="6" refreshError="1"/>
      <sheetData sheetId="7" refreshError="1"/>
      <sheetData sheetId="8">
        <row r="32">
          <cell r="J32">
            <v>21092333.643835615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3">
          <cell r="C23">
            <v>116100852.76000001</v>
          </cell>
          <cell r="I23">
            <v>1131636.1100000001</v>
          </cell>
        </row>
        <row r="53">
          <cell r="G53">
            <v>374438471.7623077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ging Table"/>
      <sheetName val="BS"/>
      <sheetName val="IS YE"/>
      <sheetName val="SCNA"/>
      <sheetName val="CF"/>
      <sheetName val="SOI"/>
      <sheetName val="Note 4 &amp; SOI Reconciliation"/>
      <sheetName val="Note 5"/>
      <sheetName val="Note 6"/>
      <sheetName val="Note 7"/>
      <sheetName val="Note 8"/>
      <sheetName val="Capitalization MTM CF"/>
      <sheetName val="Capitalization wo MTM CF"/>
      <sheetName val="Shareholder Dil. "/>
      <sheetName val="Cash Interest Paid"/>
      <sheetName val="FAS 159 Table"/>
      <sheetName val="Purchase &amp; Sale Reconciliation"/>
      <sheetName val="PNC Cost Roll"/>
      <sheetName val="PNC FH"/>
      <sheetName val="MD&amp;A - Port &amp; Inv Act"/>
      <sheetName val="MD&amp;A - Income by Type"/>
      <sheetName val="MD&amp;A II"/>
      <sheetName val="Breakeven Analysis"/>
      <sheetName val="Leverage"/>
      <sheetName val="Trial Balance past months"/>
      <sheetName val="Variance"/>
      <sheetName val="IS 0609 10-Q"/>
      <sheetName val="Annualized yield"/>
      <sheetName val="MD&amp;A Price Range of Stock"/>
      <sheetName val="Asset Test"/>
      <sheetName val="Analytical Procedures &amp; Testing"/>
      <sheetName val="Sheet2"/>
      <sheetName val="Incentive Fee Ck"/>
      <sheetName val="Monthly Stock Price"/>
      <sheetName val="Press Release"/>
      <sheetName val="4th Qtr Inc By I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3">
          <cell r="C23">
            <v>116100852.76000001</v>
          </cell>
          <cell r="E23">
            <v>4568539.7300000004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klst"/>
      <sheetName val="Worksheet"/>
      <sheetName val="Total Gains Losses"/>
      <sheetName val="Cost Roll"/>
      <sheetName val="Purch - Written Options"/>
      <sheetName val="Purchased Options"/>
      <sheetName val="Written Options"/>
      <sheetName val="Port Turn"/>
      <sheetName val="Derivative"/>
      <sheetName val="Loan"/>
      <sheetName val="Ratios"/>
      <sheetName val="Net Gains Losses"/>
      <sheetName val="DRD"/>
      <sheetName val="Broker Commision"/>
      <sheetName val="UBTI"/>
    </sheetNames>
    <sheetDataSet>
      <sheetData sheetId="0"/>
      <sheetData sheetId="1"/>
      <sheetData sheetId="2">
        <row r="1">
          <cell r="A1" t="str">
            <v>AUGUSTA PARTNERS, L.P.</v>
          </cell>
        </row>
        <row r="3">
          <cell r="A3" t="str">
            <v>TOTAL REALIZED GAINS/LOSSES</v>
          </cell>
        </row>
        <row r="4">
          <cell r="A4" t="str">
            <v>FYE 12/31/02</v>
          </cell>
        </row>
        <row r="6">
          <cell r="C6" t="str">
            <v>Equity</v>
          </cell>
          <cell r="D6" t="str">
            <v>Equity</v>
          </cell>
          <cell r="E6" t="str">
            <v>Equity</v>
          </cell>
          <cell r="F6" t="str">
            <v>Index</v>
          </cell>
          <cell r="G6" t="str">
            <v>Cross-Currency</v>
          </cell>
          <cell r="H6" t="str">
            <v>Written</v>
          </cell>
          <cell r="I6" t="str">
            <v>Fixed Income</v>
          </cell>
          <cell r="J6" t="str">
            <v>Foreign Equity</v>
          </cell>
          <cell r="K6" t="str">
            <v>Foreign Equity</v>
          </cell>
          <cell r="L6" t="str">
            <v>Foreign Debt</v>
          </cell>
          <cell r="M6" t="str">
            <v>Futures</v>
          </cell>
        </row>
        <row r="7">
          <cell r="C7" t="str">
            <v>Securities</v>
          </cell>
          <cell r="D7" t="str">
            <v>Short Sales</v>
          </cell>
          <cell r="E7" t="str">
            <v>Options</v>
          </cell>
          <cell r="F7" t="str">
            <v>Options</v>
          </cell>
          <cell r="G7" t="str">
            <v>Options</v>
          </cell>
          <cell r="H7" t="str">
            <v>Options</v>
          </cell>
          <cell r="I7" t="str">
            <v>Securities</v>
          </cell>
          <cell r="J7" t="str">
            <v>Securities</v>
          </cell>
          <cell r="K7" t="str">
            <v>Short Sales</v>
          </cell>
          <cell r="L7" t="str">
            <v>Securities</v>
          </cell>
          <cell r="N7" t="str">
            <v>TOTAL</v>
          </cell>
        </row>
        <row r="8">
          <cell r="A8" t="str">
            <v xml:space="preserve">January       </v>
          </cell>
          <cell r="C8">
            <v>1318585.51</v>
          </cell>
          <cell r="D8">
            <v>-321696.89</v>
          </cell>
          <cell r="E8">
            <v>-374004.39</v>
          </cell>
          <cell r="F8">
            <v>0</v>
          </cell>
          <cell r="G8">
            <v>0</v>
          </cell>
          <cell r="H8">
            <v>195712.02000000002</v>
          </cell>
          <cell r="N8">
            <v>818596.25</v>
          </cell>
        </row>
        <row r="9">
          <cell r="A9" t="str">
            <v>February</v>
          </cell>
          <cell r="C9">
            <v>-2639668.85</v>
          </cell>
          <cell r="D9">
            <v>-125567.47</v>
          </cell>
          <cell r="E9">
            <v>-20852.41</v>
          </cell>
          <cell r="F9">
            <v>0</v>
          </cell>
          <cell r="H9">
            <v>632044.81000000006</v>
          </cell>
          <cell r="N9">
            <v>-2154043.9200000004</v>
          </cell>
        </row>
        <row r="10">
          <cell r="A10" t="str">
            <v>March</v>
          </cell>
          <cell r="C10">
            <v>5144680.57</v>
          </cell>
          <cell r="D10">
            <v>-514094.47</v>
          </cell>
          <cell r="E10">
            <v>36237.199999999997</v>
          </cell>
          <cell r="F10">
            <v>0</v>
          </cell>
          <cell r="G10">
            <v>0</v>
          </cell>
          <cell r="H10">
            <v>138296.64000000001</v>
          </cell>
          <cell r="N10">
            <v>4805119.9400000004</v>
          </cell>
        </row>
        <row r="11">
          <cell r="A11" t="str">
            <v>April</v>
          </cell>
          <cell r="C11">
            <v>-2759451.68</v>
          </cell>
          <cell r="D11">
            <v>-110377.07</v>
          </cell>
          <cell r="E11">
            <v>-321896.59999999998</v>
          </cell>
          <cell r="F11">
            <v>0</v>
          </cell>
          <cell r="H11">
            <v>-193332.95999999996</v>
          </cell>
          <cell r="N11">
            <v>-3385058.31</v>
          </cell>
        </row>
        <row r="12">
          <cell r="A12" t="str">
            <v>May</v>
          </cell>
          <cell r="C12">
            <v>-1957277.25</v>
          </cell>
          <cell r="D12">
            <v>114698.05</v>
          </cell>
          <cell r="E12">
            <v>-194688</v>
          </cell>
          <cell r="F12">
            <v>0</v>
          </cell>
          <cell r="H12">
            <v>8959.25</v>
          </cell>
          <cell r="N12">
            <v>-2028307.95</v>
          </cell>
        </row>
        <row r="13">
          <cell r="A13" t="str">
            <v>June</v>
          </cell>
          <cell r="C13">
            <v>-4098327.19</v>
          </cell>
          <cell r="D13">
            <v>356348.5</v>
          </cell>
          <cell r="E13">
            <v>-244895.26</v>
          </cell>
          <cell r="F13">
            <v>0</v>
          </cell>
          <cell r="H13">
            <v>-261372.24000000002</v>
          </cell>
          <cell r="N13">
            <v>-4248246.1900000004</v>
          </cell>
        </row>
        <row r="14">
          <cell r="A14" t="str">
            <v>July</v>
          </cell>
          <cell r="C14">
            <v>-5416925.4100000001</v>
          </cell>
          <cell r="D14">
            <v>1300829.28</v>
          </cell>
          <cell r="E14">
            <v>162917.14000000001</v>
          </cell>
          <cell r="F14">
            <v>0</v>
          </cell>
          <cell r="H14">
            <v>44481.570000000007</v>
          </cell>
          <cell r="N14">
            <v>-3908697.42</v>
          </cell>
        </row>
        <row r="15">
          <cell r="A15" t="str">
            <v>August</v>
          </cell>
          <cell r="C15">
            <v>1129931.21</v>
          </cell>
          <cell r="D15">
            <v>386417.79</v>
          </cell>
          <cell r="E15">
            <v>1058087.53</v>
          </cell>
          <cell r="F15">
            <v>0</v>
          </cell>
          <cell r="H15">
            <v>-218196.5</v>
          </cell>
          <cell r="N15">
            <v>2356240.0300000003</v>
          </cell>
        </row>
        <row r="16">
          <cell r="A16" t="str">
            <v>September</v>
          </cell>
          <cell r="C16">
            <v>-3109758.28</v>
          </cell>
          <cell r="D16">
            <v>1373352.41</v>
          </cell>
          <cell r="E16">
            <v>-178489.67</v>
          </cell>
          <cell r="F16">
            <v>0</v>
          </cell>
          <cell r="G16">
            <v>0</v>
          </cell>
          <cell r="H16">
            <v>157831.62</v>
          </cell>
          <cell r="N16">
            <v>-1757063.92</v>
          </cell>
        </row>
        <row r="17">
          <cell r="A17" t="str">
            <v>October</v>
          </cell>
          <cell r="C17">
            <v>39765.660000000003</v>
          </cell>
          <cell r="D17">
            <v>1199216.1399999999</v>
          </cell>
          <cell r="E17">
            <v>-63793.539999999994</v>
          </cell>
          <cell r="F17">
            <v>0</v>
          </cell>
          <cell r="G17">
            <v>0</v>
          </cell>
          <cell r="H17">
            <v>154330.57</v>
          </cell>
          <cell r="N17">
            <v>1329518.8299999998</v>
          </cell>
        </row>
        <row r="18">
          <cell r="A18" t="str">
            <v>November</v>
          </cell>
          <cell r="C18">
            <v>-986836.3</v>
          </cell>
          <cell r="D18">
            <v>-799913</v>
          </cell>
          <cell r="E18">
            <v>71434.84</v>
          </cell>
          <cell r="F18">
            <v>-82459.259999999995</v>
          </cell>
          <cell r="G18">
            <v>0</v>
          </cell>
          <cell r="H18">
            <v>-762019.63</v>
          </cell>
          <cell r="N18">
            <v>-2559793.35</v>
          </cell>
        </row>
        <row r="19">
          <cell r="A19" t="str">
            <v>December</v>
          </cell>
          <cell r="C19">
            <v>739136.05</v>
          </cell>
          <cell r="D19">
            <v>-622292.04</v>
          </cell>
          <cell r="E19">
            <v>372151.20999999996</v>
          </cell>
          <cell r="F19">
            <v>0</v>
          </cell>
          <cell r="G19">
            <v>0</v>
          </cell>
          <cell r="H19">
            <v>93550.99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582546.21</v>
          </cell>
        </row>
        <row r="20">
          <cell r="C20">
            <v>-12596145.959999999</v>
          </cell>
          <cell r="D20">
            <v>2236921.2299999995</v>
          </cell>
          <cell r="E20">
            <v>302208.05000000005</v>
          </cell>
          <cell r="F20">
            <v>-82459.259999999995</v>
          </cell>
          <cell r="G20">
            <v>0</v>
          </cell>
          <cell r="H20">
            <v>-9713.8599999999715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-10149189.800000001</v>
          </cell>
        </row>
        <row r="23">
          <cell r="M23" t="str">
            <v>Gain/Loss per G/L:</v>
          </cell>
          <cell r="N23">
            <v>-10149067.630000001</v>
          </cell>
        </row>
        <row r="24">
          <cell r="A24" t="str">
            <v>Reports Used:</v>
          </cell>
          <cell r="C24" t="str">
            <v>-Sales Journal #006 and Expired Options Report #108</v>
          </cell>
        </row>
        <row r="25">
          <cell r="C25" t="str">
            <v>- Send reports from mainframe to lan and use monarch models:  (m:\ff0564\aud_gl.mod for Sales Journal and m:\ff0564\aud_exp.mod for Options Report.)</v>
          </cell>
        </row>
        <row r="26">
          <cell r="L26" t="str">
            <v xml:space="preserve"> </v>
          </cell>
          <cell r="M26" t="str">
            <v>Variance:</v>
          </cell>
          <cell r="N26">
            <v>-122.16999999992549</v>
          </cell>
        </row>
        <row r="27">
          <cell r="A27" t="str">
            <v>*  Foreign classification overrides any other classification.</v>
          </cell>
        </row>
        <row r="28">
          <cell r="A28" t="str">
            <v>*  For options, written option classification overrides index or equity classification.</v>
          </cell>
        </row>
        <row r="29">
          <cell r="A29" t="str">
            <v>*  Break down expired options into their appropriate classification.  (It should not be it's own column)</v>
          </cell>
        </row>
      </sheetData>
      <sheetData sheetId="3"/>
      <sheetData sheetId="4"/>
      <sheetData sheetId="5"/>
      <sheetData sheetId="6"/>
      <sheetData sheetId="7">
        <row r="1">
          <cell r="A1" t="str">
            <v>AUGUSTA PARTNERS, L.P.</v>
          </cell>
        </row>
        <row r="3">
          <cell r="A3" t="str">
            <v>PORTFOLIO TURNOVER</v>
          </cell>
        </row>
        <row r="4">
          <cell r="A4" t="str">
            <v>FYE 12/31/02</v>
          </cell>
        </row>
        <row r="6">
          <cell r="A6" t="str">
            <v>*  Must fill out Cost Rollforward spreadsheet first.</v>
          </cell>
        </row>
        <row r="8">
          <cell r="B8" t="str">
            <v>Total</v>
          </cell>
          <cell r="C8" t="str">
            <v>Short Positions</v>
          </cell>
          <cell r="E8" t="str">
            <v>Net</v>
          </cell>
          <cell r="F8" t="str">
            <v>Long-Term</v>
          </cell>
          <cell r="G8" t="str">
            <v>Long-Term</v>
          </cell>
        </row>
        <row r="9">
          <cell r="B9" t="str">
            <v>Market</v>
          </cell>
          <cell r="C9" t="str">
            <v>&amp; Excluded</v>
          </cell>
          <cell r="E9" t="str">
            <v>Long-Term</v>
          </cell>
          <cell r="F9" t="str">
            <v>Purchases</v>
          </cell>
          <cell r="G9" t="str">
            <v>Sales</v>
          </cell>
        </row>
        <row r="10">
          <cell r="A10" t="str">
            <v>Month</v>
          </cell>
          <cell r="B10" t="str">
            <v>Value</v>
          </cell>
          <cell r="C10" t="str">
            <v>Securities</v>
          </cell>
          <cell r="E10" t="str">
            <v>Market Value</v>
          </cell>
          <cell r="F10" t="str">
            <v>(Cost)</v>
          </cell>
          <cell r="G10" t="str">
            <v>(Proceeds)</v>
          </cell>
        </row>
        <row r="11">
          <cell r="A11" t="str">
            <v>December 31, 2001</v>
          </cell>
          <cell r="B11">
            <v>109694799.34</v>
          </cell>
          <cell r="C11">
            <v>5671725</v>
          </cell>
          <cell r="E11">
            <v>115366524.34</v>
          </cell>
        </row>
        <row r="12">
          <cell r="A12" t="str">
            <v>January</v>
          </cell>
          <cell r="B12">
            <v>89735573.269999996</v>
          </cell>
          <cell r="C12">
            <v>7763175</v>
          </cell>
          <cell r="E12">
            <v>97498748.269999996</v>
          </cell>
          <cell r="F12">
            <v>36455079</v>
          </cell>
          <cell r="G12">
            <v>46251322.019999996</v>
          </cell>
        </row>
        <row r="13">
          <cell r="A13" t="str">
            <v>February</v>
          </cell>
          <cell r="B13">
            <v>72331038.799999997</v>
          </cell>
          <cell r="C13">
            <v>5849650</v>
          </cell>
          <cell r="E13">
            <v>78180688.799999997</v>
          </cell>
          <cell r="F13">
            <v>21963553.75</v>
          </cell>
          <cell r="G13">
            <v>34284317.469999999</v>
          </cell>
        </row>
        <row r="14">
          <cell r="A14" t="str">
            <v>March</v>
          </cell>
          <cell r="B14">
            <v>84139093.159999996</v>
          </cell>
          <cell r="C14">
            <v>6831000</v>
          </cell>
          <cell r="E14">
            <v>90970093.159999996</v>
          </cell>
          <cell r="F14">
            <v>47452595.979999997</v>
          </cell>
          <cell r="G14">
            <v>41105711.130000003</v>
          </cell>
        </row>
        <row r="15">
          <cell r="A15" t="str">
            <v>April</v>
          </cell>
          <cell r="B15">
            <v>72731862.980000004</v>
          </cell>
          <cell r="C15">
            <v>6352575</v>
          </cell>
          <cell r="E15">
            <v>79084437.980000004</v>
          </cell>
          <cell r="F15">
            <v>56967250</v>
          </cell>
          <cell r="G15">
            <v>61084915.57</v>
          </cell>
        </row>
        <row r="16">
          <cell r="A16" t="str">
            <v>May</v>
          </cell>
          <cell r="B16">
            <v>64715836.569999993</v>
          </cell>
          <cell r="C16">
            <v>11215325</v>
          </cell>
          <cell r="E16">
            <v>75931161.569999993</v>
          </cell>
          <cell r="F16">
            <v>49879228.539999999</v>
          </cell>
          <cell r="G16">
            <v>46645096.829999998</v>
          </cell>
        </row>
        <row r="17">
          <cell r="A17" t="str">
            <v>June</v>
          </cell>
          <cell r="B17">
            <v>49167155.159999996</v>
          </cell>
          <cell r="C17">
            <v>9704975</v>
          </cell>
          <cell r="E17">
            <v>58872130.159999996</v>
          </cell>
          <cell r="F17">
            <v>48757582.25</v>
          </cell>
          <cell r="G17">
            <v>56659185.07</v>
          </cell>
        </row>
        <row r="18">
          <cell r="A18" t="str">
            <v>July</v>
          </cell>
          <cell r="B18">
            <v>67555968.469999999</v>
          </cell>
          <cell r="C18">
            <v>3526300</v>
          </cell>
          <cell r="E18">
            <v>71082268.469999999</v>
          </cell>
          <cell r="F18">
            <v>53379722.939999998</v>
          </cell>
          <cell r="G18">
            <v>35099398.18</v>
          </cell>
        </row>
        <row r="19">
          <cell r="A19" t="str">
            <v>August</v>
          </cell>
          <cell r="B19">
            <v>58718555.219999999</v>
          </cell>
          <cell r="C19">
            <v>14738850</v>
          </cell>
          <cell r="E19">
            <v>73457405.219999999</v>
          </cell>
          <cell r="F19">
            <v>41101555.049999997</v>
          </cell>
          <cell r="G19">
            <v>40641715.719999999</v>
          </cell>
        </row>
        <row r="20">
          <cell r="A20" t="str">
            <v>September</v>
          </cell>
          <cell r="B20">
            <v>54143551.209999993</v>
          </cell>
          <cell r="C20">
            <v>16324900.109999999</v>
          </cell>
          <cell r="E20">
            <v>70468451.319999993</v>
          </cell>
          <cell r="F20">
            <v>36713277.600000001</v>
          </cell>
          <cell r="G20">
            <v>33794434.420000002</v>
          </cell>
        </row>
        <row r="21">
          <cell r="A21" t="str">
            <v>October</v>
          </cell>
          <cell r="B21">
            <v>75122167.659999996</v>
          </cell>
          <cell r="C21">
            <v>12474779</v>
          </cell>
          <cell r="E21">
            <v>87596946.659999996</v>
          </cell>
          <cell r="F21">
            <v>67826160</v>
          </cell>
          <cell r="G21">
            <v>54571624.960000001</v>
          </cell>
        </row>
        <row r="22">
          <cell r="A22" t="str">
            <v>November</v>
          </cell>
          <cell r="B22">
            <v>110190054.73999999</v>
          </cell>
          <cell r="C22">
            <v>14180100</v>
          </cell>
          <cell r="E22">
            <v>124370154.73999999</v>
          </cell>
          <cell r="F22">
            <v>78641166.75</v>
          </cell>
          <cell r="G22">
            <v>55767283.950000003</v>
          </cell>
        </row>
        <row r="23">
          <cell r="A23" t="str">
            <v>December</v>
          </cell>
          <cell r="B23">
            <v>69790818.950000003</v>
          </cell>
          <cell r="C23">
            <v>9857600</v>
          </cell>
          <cell r="E23">
            <v>79648418.950000003</v>
          </cell>
          <cell r="F23">
            <v>42264793.75</v>
          </cell>
          <cell r="G23">
            <v>76813702.799999997</v>
          </cell>
        </row>
        <row r="24">
          <cell r="A24" t="str">
            <v>Total</v>
          </cell>
          <cell r="B24">
            <v>978036475.53000021</v>
          </cell>
          <cell r="C24">
            <v>124490954.11</v>
          </cell>
          <cell r="E24">
            <v>1102527429.6400001</v>
          </cell>
          <cell r="F24">
            <v>581401965.61000001</v>
          </cell>
          <cell r="G24">
            <v>582718708.12</v>
          </cell>
        </row>
        <row r="25">
          <cell r="C25" t="str">
            <v xml:space="preserve">Average Market Value:  </v>
          </cell>
          <cell r="E25">
            <v>84809802.280000001</v>
          </cell>
        </row>
        <row r="27">
          <cell r="A27" t="str">
            <v>Reports used:  Portfolio Valuation at period end</v>
          </cell>
        </row>
      </sheetData>
      <sheetData sheetId="8"/>
      <sheetData sheetId="9">
        <row r="1">
          <cell r="A1" t="str">
            <v>AUGUSTA PARTNERS, L.P.</v>
          </cell>
        </row>
        <row r="3">
          <cell r="A3" t="str">
            <v>AVERAGE LOAN OUTSTANDING</v>
          </cell>
        </row>
        <row r="4">
          <cell r="A4" t="str">
            <v>FYE 12/31/02</v>
          </cell>
        </row>
        <row r="7">
          <cell r="B7" t="str">
            <v>Total Loan</v>
          </cell>
          <cell r="D7" t="str">
            <v>Average</v>
          </cell>
        </row>
        <row r="8">
          <cell r="B8" t="str">
            <v>Outstanding</v>
          </cell>
          <cell r="C8" t="str">
            <v># of</v>
          </cell>
          <cell r="D8" t="str">
            <v xml:space="preserve">Monthly </v>
          </cell>
        </row>
        <row r="9">
          <cell r="A9" t="str">
            <v>Month</v>
          </cell>
          <cell r="B9" t="str">
            <v>Balance</v>
          </cell>
          <cell r="C9" t="str">
            <v>Days</v>
          </cell>
          <cell r="D9" t="str">
            <v>Debt</v>
          </cell>
        </row>
        <row r="10">
          <cell r="A10" t="str">
            <v>January</v>
          </cell>
          <cell r="B10">
            <v>0</v>
          </cell>
          <cell r="C10">
            <v>31</v>
          </cell>
          <cell r="D10">
            <v>0</v>
          </cell>
        </row>
        <row r="11">
          <cell r="A11" t="str">
            <v>February</v>
          </cell>
          <cell r="B11">
            <v>0</v>
          </cell>
          <cell r="C11">
            <v>28</v>
          </cell>
          <cell r="D11">
            <v>0</v>
          </cell>
        </row>
        <row r="12">
          <cell r="A12" t="str">
            <v>March</v>
          </cell>
          <cell r="B12">
            <v>0</v>
          </cell>
          <cell r="C12">
            <v>31</v>
          </cell>
          <cell r="D12">
            <v>0</v>
          </cell>
        </row>
        <row r="13">
          <cell r="A13" t="str">
            <v>April</v>
          </cell>
          <cell r="B13">
            <v>0</v>
          </cell>
          <cell r="C13">
            <v>30</v>
          </cell>
          <cell r="D13">
            <v>0</v>
          </cell>
        </row>
        <row r="14">
          <cell r="A14" t="str">
            <v>May</v>
          </cell>
          <cell r="B14">
            <v>0</v>
          </cell>
          <cell r="C14">
            <v>31</v>
          </cell>
          <cell r="D14">
            <v>0</v>
          </cell>
        </row>
        <row r="15">
          <cell r="A15" t="str">
            <v>June</v>
          </cell>
          <cell r="B15">
            <v>0</v>
          </cell>
          <cell r="C15">
            <v>30</v>
          </cell>
          <cell r="D15">
            <v>0</v>
          </cell>
        </row>
        <row r="16">
          <cell r="A16" t="str">
            <v>July</v>
          </cell>
          <cell r="B16">
            <v>0</v>
          </cell>
          <cell r="C16">
            <v>31</v>
          </cell>
          <cell r="D16">
            <v>0</v>
          </cell>
        </row>
        <row r="17">
          <cell r="A17" t="str">
            <v>August</v>
          </cell>
          <cell r="B17">
            <v>0</v>
          </cell>
          <cell r="C17">
            <v>31</v>
          </cell>
          <cell r="D17">
            <v>0</v>
          </cell>
        </row>
        <row r="18">
          <cell r="A18" t="str">
            <v>September</v>
          </cell>
          <cell r="B18">
            <v>0</v>
          </cell>
          <cell r="C18">
            <v>30</v>
          </cell>
          <cell r="D18">
            <v>0</v>
          </cell>
        </row>
        <row r="19">
          <cell r="A19" t="str">
            <v>October</v>
          </cell>
          <cell r="B19">
            <v>0</v>
          </cell>
          <cell r="C19">
            <v>31</v>
          </cell>
          <cell r="D19">
            <v>0</v>
          </cell>
        </row>
        <row r="20">
          <cell r="A20" t="str">
            <v>November</v>
          </cell>
          <cell r="B20">
            <v>0</v>
          </cell>
          <cell r="C20">
            <v>30</v>
          </cell>
          <cell r="D20">
            <v>0</v>
          </cell>
        </row>
        <row r="21">
          <cell r="A21" t="str">
            <v>December</v>
          </cell>
          <cell r="B21">
            <v>0</v>
          </cell>
          <cell r="C21">
            <v>31</v>
          </cell>
          <cell r="D21">
            <v>0</v>
          </cell>
        </row>
        <row r="22">
          <cell r="B22">
            <v>0</v>
          </cell>
          <cell r="C22">
            <v>365</v>
          </cell>
          <cell r="D22">
            <v>0</v>
          </cell>
        </row>
        <row r="24">
          <cell r="A24" t="str">
            <v>*Use monthly loan activity spreadsheets &amp; use the sum of  the total ending loan balance.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B"/>
      <sheetName val="R5- Investments"/>
      <sheetName val="w"/>
      <sheetName val="Template Instructions"/>
      <sheetName val="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B3" t="str">
            <v>Yes/No</v>
          </cell>
        </row>
        <row r="4">
          <cell r="B4" t="str">
            <v>Multiple Choice</v>
          </cell>
        </row>
        <row r="5">
          <cell r="B5" t="str">
            <v>Multiple Selection</v>
          </cell>
        </row>
        <row r="6">
          <cell r="B6" t="str">
            <v>Number</v>
          </cell>
        </row>
        <row r="7">
          <cell r="B7" t="str">
            <v>Date</v>
          </cell>
        </row>
        <row r="8">
          <cell r="B8" t="str">
            <v>Text</v>
          </cell>
        </row>
        <row r="9">
          <cell r="B9" t="str">
            <v>User Name</v>
          </cell>
        </row>
        <row r="10">
          <cell r="B10" t="str">
            <v>Comment Only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Sheet"/>
      <sheetName val="Detail Support"/>
      <sheetName val="Interest Cash Out"/>
      <sheetName val="Financial Highlights"/>
      <sheetName val="Sheet2"/>
      <sheetName val="ITEM 1 Financial Statements"/>
      <sheetName val="Statement of Operations"/>
      <sheetName val="Change in Net Assets"/>
      <sheetName val="Cash Flow"/>
      <sheetName val="Purchase and Sales CF Rec"/>
      <sheetName val="Cost Roll"/>
      <sheetName val="Management Fee Calculation"/>
      <sheetName val="Portfolio"/>
      <sheetName val="TBill Purchases"/>
      <sheetName val="Rec &amp; Pay"/>
      <sheetName val="Capital Shares"/>
      <sheetName val="Loan Outstanding (2)"/>
      <sheetName val="Loan Outstanding"/>
      <sheetName val="Price Range of Stock"/>
      <sheetName val="Press Release"/>
      <sheetName val="Per Share Data"/>
      <sheetName val="Results Narrative"/>
      <sheetName val="Scatch pad 2"/>
      <sheetName val="Scratch Pad"/>
      <sheetName val="SOI at 93007"/>
      <sheetName val="Interest Rate At Q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4">
          <cell r="E24">
            <v>67254350.680000007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 Log 2011"/>
      <sheetName val="Table of Contents"/>
      <sheetName val="A"/>
      <sheetName val="0"/>
      <sheetName val="1"/>
      <sheetName val="2"/>
      <sheetName val="3"/>
      <sheetName val="4"/>
      <sheetName val="5"/>
      <sheetName val="6"/>
      <sheetName val="7"/>
      <sheetName val="8"/>
      <sheetName val="9"/>
      <sheetName val="9.1"/>
      <sheetName val="10"/>
      <sheetName val="11"/>
      <sheetName val="12"/>
      <sheetName val="13"/>
      <sheetName val="14"/>
      <sheetName val="15"/>
      <sheetName val="16"/>
      <sheetName val="17"/>
      <sheetName val="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Borrowing Base"/>
      <sheetName val="Loan List"/>
      <sheetName val="SOI"/>
      <sheetName val="Concentrations"/>
      <sheetName val="Compliance"/>
      <sheetName val="Lookups"/>
      <sheetName val="Comps"/>
      <sheetName val="Covid-19 Risks"/>
      <sheetName val="Prices"/>
    </sheetNames>
    <sheetDataSet>
      <sheetData sheetId="0"/>
      <sheetData sheetId="1"/>
      <sheetData sheetId="2">
        <row r="5">
          <cell r="G5">
            <v>751867817.15999997</v>
          </cell>
        </row>
        <row r="6">
          <cell r="G6">
            <v>-294553663.43009984</v>
          </cell>
        </row>
        <row r="7">
          <cell r="G7">
            <v>1040653328.4096999</v>
          </cell>
        </row>
        <row r="9">
          <cell r="E9" t="str">
            <v>Security Name</v>
          </cell>
          <cell r="G9" t="str">
            <v>Total
Commitment
(Issue Currency)</v>
          </cell>
        </row>
        <row r="10">
          <cell r="E10" t="str">
            <v>Avenu (TL)</v>
          </cell>
          <cell r="G10">
            <v>25589358.030000001</v>
          </cell>
        </row>
        <row r="11">
          <cell r="E11" t="str">
            <v>Arcfield (Term Loan)</v>
          </cell>
          <cell r="G11">
            <v>6009486.5</v>
          </cell>
        </row>
        <row r="12">
          <cell r="E12" t="str">
            <v>Archer Lewis (Term Loan)</v>
          </cell>
          <cell r="G12">
            <v>5271860.1900000004</v>
          </cell>
        </row>
        <row r="13">
          <cell r="E13" t="str">
            <v>Argano (Term Loan)</v>
          </cell>
          <cell r="G13">
            <v>34673920.380000003</v>
          </cell>
        </row>
        <row r="14">
          <cell r="E14" t="str">
            <v>Aphix (Term Loan)</v>
          </cell>
          <cell r="G14">
            <v>18000000</v>
          </cell>
        </row>
        <row r="15">
          <cell r="E15" t="str">
            <v>TPCN (Term Loan)</v>
          </cell>
          <cell r="G15">
            <v>4247877.1100000003</v>
          </cell>
        </row>
        <row r="16">
          <cell r="E16" t="str">
            <v>A1 Garage (Term Loan)</v>
          </cell>
          <cell r="G16">
            <v>1984732.82</v>
          </cell>
        </row>
        <row r="17">
          <cell r="E17" t="str">
            <v>Avenu (TL)</v>
          </cell>
          <cell r="G17">
            <v>1228702</v>
          </cell>
        </row>
        <row r="18">
          <cell r="E18" t="str">
            <v>Ad.net (Term Loan)</v>
          </cell>
          <cell r="G18">
            <v>4800000</v>
          </cell>
        </row>
        <row r="19">
          <cell r="E19" t="str">
            <v>Vision Integrated (TL)</v>
          </cell>
          <cell r="G19">
            <v>5455179</v>
          </cell>
        </row>
        <row r="20">
          <cell r="E20" t="str">
            <v>Beacon Behavioral (Term Loan)</v>
          </cell>
          <cell r="G20">
            <v>17387195.829999998</v>
          </cell>
        </row>
        <row r="21">
          <cell r="E21" t="str">
            <v>Federal Advisory Partners (First Lien Term Loan)</v>
          </cell>
          <cell r="G21">
            <v>41568911</v>
          </cell>
        </row>
        <row r="22">
          <cell r="E22" t="str">
            <v>Big Top Manufacturing (Term Loan)</v>
          </cell>
          <cell r="G22">
            <v>10088880.470000001</v>
          </cell>
        </row>
        <row r="23">
          <cell r="E23" t="str">
            <v>Big Top Manufacturing (Term Loan)</v>
          </cell>
          <cell r="G23">
            <v>5457031</v>
          </cell>
        </row>
        <row r="24">
          <cell r="E24" t="str">
            <v>BioDerm (Term Loan)</v>
          </cell>
          <cell r="G24">
            <v>992386</v>
          </cell>
        </row>
        <row r="25">
          <cell r="E25" t="str">
            <v>Beta+ (TL)</v>
          </cell>
          <cell r="G25">
            <v>7322147.8600000003</v>
          </cell>
        </row>
        <row r="26">
          <cell r="E26" t="str">
            <v>Beta+ (TL)</v>
          </cell>
          <cell r="G26">
            <v>5849624</v>
          </cell>
        </row>
        <row r="27">
          <cell r="E27" t="str">
            <v>Bland Landscaping (Term Loan)</v>
          </cell>
          <cell r="G27">
            <v>2954760.73</v>
          </cell>
        </row>
        <row r="28">
          <cell r="E28" t="str">
            <v>Blue Cloud (Incr. Term Loan)</v>
          </cell>
          <cell r="G28">
            <v>5000000</v>
          </cell>
        </row>
        <row r="29">
          <cell r="E29" t="str">
            <v>BBB Industries (First Lien Term Loan)</v>
          </cell>
          <cell r="G29">
            <v>3922066</v>
          </cell>
        </row>
        <row r="30">
          <cell r="E30" t="str">
            <v>Boss Industries (Term Loan)</v>
          </cell>
          <cell r="G30">
            <v>5882906.3300000001</v>
          </cell>
        </row>
        <row r="31">
          <cell r="E31" t="str">
            <v>By Light (Term Loan)</v>
          </cell>
          <cell r="G31">
            <v>25445609.859999999</v>
          </cell>
        </row>
        <row r="32">
          <cell r="E32" t="str">
            <v>By Light (Revolver)</v>
          </cell>
          <cell r="G32">
            <v>2164811.79</v>
          </cell>
        </row>
        <row r="33">
          <cell r="E33" t="str">
            <v>C5MI (Term Loan)</v>
          </cell>
          <cell r="G33">
            <v>9905100.2599999998</v>
          </cell>
        </row>
        <row r="34">
          <cell r="E34" t="str">
            <v>Gen3 Marketing (Term Loan)</v>
          </cell>
          <cell r="G34">
            <v>4627663</v>
          </cell>
        </row>
        <row r="35">
          <cell r="E35" t="str">
            <v>Carisk Partners (TL)</v>
          </cell>
          <cell r="G35">
            <v>1984103.69</v>
          </cell>
        </row>
        <row r="36">
          <cell r="E36" t="str">
            <v>Carisk Partners (TL)</v>
          </cell>
          <cell r="G36">
            <v>3922317</v>
          </cell>
        </row>
        <row r="37">
          <cell r="E37" t="str">
            <v xml:space="preserve">Case Works Group (Term Loan) </v>
          </cell>
          <cell r="G37">
            <v>10718025.26</v>
          </cell>
        </row>
        <row r="38">
          <cell r="E38" t="str">
            <v>Cartessa (TL)</v>
          </cell>
          <cell r="G38">
            <v>2917293</v>
          </cell>
        </row>
        <row r="39">
          <cell r="E39" t="str">
            <v>Carnegie Dartlet (Term Loan)</v>
          </cell>
          <cell r="G39">
            <v>12080369.699999999</v>
          </cell>
        </row>
        <row r="40">
          <cell r="E40" t="str">
            <v>Carnegie Dartlet (Term Loan)</v>
          </cell>
          <cell r="G40">
            <v>493948</v>
          </cell>
        </row>
        <row r="41">
          <cell r="E41" t="str">
            <v>Cornerstone Advisors (Term Loan)</v>
          </cell>
          <cell r="G41">
            <v>10933366.67</v>
          </cell>
        </row>
        <row r="42">
          <cell r="E42" t="str">
            <v>Confluent Health (TL)</v>
          </cell>
          <cell r="G42">
            <v>4821087</v>
          </cell>
        </row>
        <row r="43">
          <cell r="E43" t="str">
            <v>Compex (TL)</v>
          </cell>
          <cell r="G43">
            <v>1984314</v>
          </cell>
        </row>
        <row r="44">
          <cell r="E44" t="str">
            <v>Connatix (Term Loan)</v>
          </cell>
          <cell r="G44">
            <v>3510691</v>
          </cell>
        </row>
        <row r="45">
          <cell r="E45" t="str">
            <v>Coolsys, Inc. (TL)</v>
          </cell>
          <cell r="G45">
            <v>2256888</v>
          </cell>
        </row>
        <row r="46">
          <cell r="E46" t="str">
            <v>C&amp;K Paving Contractors (Term Loan)</v>
          </cell>
          <cell r="G46">
            <v>25000000</v>
          </cell>
        </row>
        <row r="47">
          <cell r="E47" t="str">
            <v>Penta (Term Loan)</v>
          </cell>
          <cell r="G47">
            <v>20000000</v>
          </cell>
        </row>
        <row r="48">
          <cell r="E48" t="str">
            <v>Digital Room (Term Loan)</v>
          </cell>
          <cell r="G48">
            <v>7126342</v>
          </cell>
        </row>
        <row r="49">
          <cell r="E49" t="str">
            <v>Dr. Squatch (Term Loan)</v>
          </cell>
          <cell r="G49">
            <v>4477772.2300000004</v>
          </cell>
        </row>
        <row r="50">
          <cell r="E50" t="str">
            <v>Dr. Squatch (Term Loan)</v>
          </cell>
          <cell r="G50">
            <v>4812500</v>
          </cell>
        </row>
        <row r="51">
          <cell r="E51" t="str">
            <v>Dr. Scholl's (Term Loan)</v>
          </cell>
          <cell r="G51">
            <v>1049681.5</v>
          </cell>
        </row>
        <row r="52">
          <cell r="E52" t="str">
            <v>Dr. Scholl's (Term Loan)</v>
          </cell>
          <cell r="G52">
            <v>1712195</v>
          </cell>
        </row>
        <row r="53">
          <cell r="E53" t="str">
            <v>Duggal (Term Loan)</v>
          </cell>
          <cell r="G53">
            <v>2283660.7400000002</v>
          </cell>
        </row>
        <row r="54">
          <cell r="E54" t="str">
            <v>Crane 1 (Term Loan)</v>
          </cell>
          <cell r="G54">
            <v>2530362</v>
          </cell>
        </row>
        <row r="55">
          <cell r="E55" t="str">
            <v>ECRM</v>
          </cell>
          <cell r="G55">
            <v>6957073.6998999985</v>
          </cell>
        </row>
        <row r="56">
          <cell r="E56" t="str">
            <v>Emergency Care Partners (Term Loan)</v>
          </cell>
          <cell r="G56">
            <v>5706825.2599999998</v>
          </cell>
        </row>
        <row r="57">
          <cell r="E57" t="str">
            <v>EvAl (Term Loan)</v>
          </cell>
          <cell r="G57">
            <v>2179407.41</v>
          </cell>
        </row>
        <row r="58">
          <cell r="E58" t="str">
            <v>EvAl (Term Loan)</v>
          </cell>
          <cell r="G58">
            <v>3973709</v>
          </cell>
        </row>
        <row r="59">
          <cell r="E59" t="str">
            <v>Epiq (TL)</v>
          </cell>
          <cell r="G59">
            <v>1984831</v>
          </cell>
        </row>
        <row r="60">
          <cell r="E60" t="str">
            <v>Engine &amp; Transmission (TL)</v>
          </cell>
          <cell r="G60">
            <v>980000</v>
          </cell>
        </row>
        <row r="61">
          <cell r="E61" t="str">
            <v>360DG (Term Loan)</v>
          </cell>
          <cell r="G61">
            <v>3371550</v>
          </cell>
        </row>
        <row r="62">
          <cell r="E62" t="str">
            <v>Magnolia (First Lien Term Loan)</v>
          </cell>
          <cell r="G62">
            <v>25111100</v>
          </cell>
        </row>
        <row r="63">
          <cell r="E63" t="str">
            <v>Exigo (TL)</v>
          </cell>
          <cell r="G63">
            <v>4800008</v>
          </cell>
        </row>
        <row r="64">
          <cell r="E64" t="str">
            <v>First Medical Associates (Term Loan)</v>
          </cell>
          <cell r="G64">
            <v>7500000</v>
          </cell>
        </row>
        <row r="65">
          <cell r="E65" t="str">
            <v>Five Star (TL)</v>
          </cell>
          <cell r="G65">
            <v>196059.00999999998</v>
          </cell>
        </row>
        <row r="66">
          <cell r="E66" t="str">
            <v>Five Star (TL)</v>
          </cell>
          <cell r="G66">
            <v>882283</v>
          </cell>
        </row>
        <row r="67">
          <cell r="E67" t="str">
            <v>Guild Garage Group (Term Loan)</v>
          </cell>
          <cell r="G67">
            <v>12428247.09</v>
          </cell>
        </row>
        <row r="68">
          <cell r="E68" t="str">
            <v>Global (Term Loan)</v>
          </cell>
          <cell r="G68">
            <v>4417611</v>
          </cell>
        </row>
        <row r="69">
          <cell r="E69" t="str">
            <v>Painters Supply and Equipment (Term Loan)</v>
          </cell>
          <cell r="G69">
            <v>4191151</v>
          </cell>
        </row>
        <row r="70">
          <cell r="E70" t="str">
            <v>Harris (Term Loan)</v>
          </cell>
          <cell r="G70">
            <v>29454620.510000002</v>
          </cell>
        </row>
        <row r="71">
          <cell r="E71" t="str">
            <v>Health-E Commerce (Term Loan)</v>
          </cell>
          <cell r="G71">
            <v>8152927.54</v>
          </cell>
        </row>
        <row r="72">
          <cell r="E72" t="str">
            <v>Hanley Wood (TL)</v>
          </cell>
          <cell r="G72">
            <v>3356950</v>
          </cell>
        </row>
        <row r="73">
          <cell r="E73" t="str">
            <v>Impact Advisors (Term Loan)</v>
          </cell>
          <cell r="G73">
            <v>9177000</v>
          </cell>
        </row>
        <row r="74">
          <cell r="E74" t="str">
            <v>Insight Global (TL)</v>
          </cell>
          <cell r="G74">
            <v>5116017</v>
          </cell>
        </row>
        <row r="75">
          <cell r="E75" t="str">
            <v>Infolinks (TL)</v>
          </cell>
          <cell r="G75">
            <v>4827814</v>
          </cell>
        </row>
        <row r="76">
          <cell r="E76" t="str">
            <v>Integrated Data Systems (TL)</v>
          </cell>
          <cell r="G76">
            <v>818423</v>
          </cell>
        </row>
        <row r="77">
          <cell r="E77" t="str">
            <v>Ledge Lounger (Term Loan)</v>
          </cell>
          <cell r="G77">
            <v>3931184</v>
          </cell>
        </row>
        <row r="78">
          <cell r="E78" t="str">
            <v>Ardurra (Term Loan)</v>
          </cell>
          <cell r="G78">
            <v>1984772</v>
          </cell>
        </row>
        <row r="79">
          <cell r="E79" t="str">
            <v>McAfee (First Lien)</v>
          </cell>
          <cell r="G79">
            <v>583500</v>
          </cell>
        </row>
        <row r="80">
          <cell r="E80" t="str">
            <v>McAfee (First Lien)</v>
          </cell>
          <cell r="G80">
            <v>762527</v>
          </cell>
        </row>
        <row r="81">
          <cell r="E81" t="str">
            <v>McAfee (First Lien)</v>
          </cell>
          <cell r="G81">
            <v>2887365</v>
          </cell>
        </row>
        <row r="82">
          <cell r="E82" t="str">
            <v>Halo (Term Loan)</v>
          </cell>
          <cell r="G82">
            <v>2645556.4700000002</v>
          </cell>
        </row>
        <row r="83">
          <cell r="E83" t="str">
            <v>MOREgroup (Term Loan)</v>
          </cell>
          <cell r="G83">
            <v>11777927.58</v>
          </cell>
        </row>
        <row r="84">
          <cell r="E84" t="str">
            <v>MOREgroup (Term Loan)</v>
          </cell>
          <cell r="G84">
            <v>493750</v>
          </cell>
        </row>
        <row r="85">
          <cell r="E85" t="str">
            <v>Infinity Home Services (DDTL) USD</v>
          </cell>
          <cell r="G85">
            <v>7210987.1800000006</v>
          </cell>
        </row>
        <row r="86">
          <cell r="E86" t="str">
            <v>Infinity Home Services (DDTL) CAD</v>
          </cell>
          <cell r="G86">
            <v>1708488.77</v>
          </cell>
        </row>
        <row r="87">
          <cell r="E87" t="str">
            <v>Infinity Home Services (DDTL)</v>
          </cell>
          <cell r="G87">
            <v>5445800.4900000002</v>
          </cell>
        </row>
        <row r="88">
          <cell r="E88" t="str">
            <v>Pegasus Steel (DDTL)</v>
          </cell>
          <cell r="G88">
            <v>1201052.6299999999</v>
          </cell>
        </row>
        <row r="89">
          <cell r="E89" t="str">
            <v>Pegasus Steel (DDTL)</v>
          </cell>
          <cell r="G89">
            <v>3842464</v>
          </cell>
        </row>
        <row r="90">
          <cell r="E90" t="str">
            <v>KNS (Term Loan)</v>
          </cell>
          <cell r="G90">
            <v>4310149.25</v>
          </cell>
        </row>
        <row r="91">
          <cell r="E91" t="str">
            <v>KNS (Term Loan)</v>
          </cell>
          <cell r="G91">
            <v>3984259</v>
          </cell>
        </row>
        <row r="92">
          <cell r="E92" t="str">
            <v>Lilly Lashes (TL)</v>
          </cell>
          <cell r="G92">
            <v>10376592.120100001</v>
          </cell>
        </row>
        <row r="93">
          <cell r="E93" t="str">
            <v>Lilly Lashes (TL)</v>
          </cell>
          <cell r="G93">
            <v>4812834</v>
          </cell>
        </row>
        <row r="94">
          <cell r="E94" t="str">
            <v>Centauri Health (TL)</v>
          </cell>
          <cell r="G94">
            <v>760638.88</v>
          </cell>
        </row>
        <row r="95">
          <cell r="E95" t="str">
            <v>MCR (Term Loan)</v>
          </cell>
          <cell r="G95">
            <v>9969773.1400000006</v>
          </cell>
        </row>
        <row r="96">
          <cell r="E96" t="str">
            <v>MCR (Term Loan)</v>
          </cell>
          <cell r="G96">
            <v>4825000</v>
          </cell>
        </row>
        <row r="97">
          <cell r="E97" t="str">
            <v>HelpSystems (TL)</v>
          </cell>
          <cell r="G97">
            <v>1958656</v>
          </cell>
        </row>
        <row r="98">
          <cell r="E98" t="str">
            <v>Loving Tan (TL)</v>
          </cell>
          <cell r="G98">
            <v>32577126.5</v>
          </cell>
        </row>
        <row r="99">
          <cell r="E99" t="str">
            <v>Loving Tan (TL)</v>
          </cell>
          <cell r="G99">
            <v>1578652</v>
          </cell>
        </row>
        <row r="100">
          <cell r="E100" t="str">
            <v>Marketplace Events (USD Term Loan)</v>
          </cell>
          <cell r="G100">
            <v>37406250</v>
          </cell>
        </row>
        <row r="101">
          <cell r="E101" t="str">
            <v>MAG Aerospace (TL)</v>
          </cell>
          <cell r="G101">
            <v>5009979</v>
          </cell>
        </row>
        <row r="102">
          <cell r="E102" t="str">
            <v>Momentum (Term Loan)</v>
          </cell>
          <cell r="G102">
            <v>5145694</v>
          </cell>
        </row>
        <row r="103">
          <cell r="E103" t="str">
            <v>Meadowlark (TL)</v>
          </cell>
          <cell r="G103">
            <v>2412500</v>
          </cell>
        </row>
        <row r="104">
          <cell r="E104" t="str">
            <v>Comprehensive Rehab Consultants (Term Loan)</v>
          </cell>
          <cell r="G104">
            <v>3314311</v>
          </cell>
        </row>
        <row r="105">
          <cell r="E105" t="str">
            <v>Mission Microwave (Term Loan)</v>
          </cell>
          <cell r="G105">
            <v>2962500</v>
          </cell>
        </row>
        <row r="106">
          <cell r="E106" t="str">
            <v>MES (Term Loan)</v>
          </cell>
          <cell r="G106">
            <v>4361018</v>
          </cell>
        </row>
        <row r="107">
          <cell r="E107" t="str">
            <v>NARS (TL)</v>
          </cell>
          <cell r="G107">
            <v>50000000</v>
          </cell>
        </row>
        <row r="108">
          <cell r="E108" t="str">
            <v>MDI (TLB)</v>
          </cell>
          <cell r="G108">
            <v>3073360.02</v>
          </cell>
        </row>
        <row r="109">
          <cell r="E109" t="str">
            <v>MeritDirect (Term Loan)</v>
          </cell>
          <cell r="G109">
            <v>12088121.479999999</v>
          </cell>
        </row>
        <row r="110">
          <cell r="E110" t="str">
            <v>Commercial Fire Protection (Term Loan)</v>
          </cell>
          <cell r="G110">
            <v>25304386.32</v>
          </cell>
        </row>
        <row r="111">
          <cell r="E111" t="str">
            <v>Nevada Behavioral Health Systems (Term Loan)</v>
          </cell>
          <cell r="G111">
            <v>2570570</v>
          </cell>
        </row>
        <row r="112">
          <cell r="E112" t="str">
            <v>NORA (Term Loan)</v>
          </cell>
          <cell r="G112">
            <v>1146410</v>
          </cell>
        </row>
        <row r="113">
          <cell r="E113" t="str">
            <v>Omnia (TL)</v>
          </cell>
          <cell r="G113">
            <v>9164597.4299999997</v>
          </cell>
        </row>
        <row r="114">
          <cell r="E114" t="str">
            <v>OpenRoad Lending (Term Loan)</v>
          </cell>
          <cell r="G114">
            <v>4530808.2599999988</v>
          </cell>
        </row>
        <row r="115">
          <cell r="E115" t="str">
            <v>OpenRoad Lending (Term Loan)</v>
          </cell>
          <cell r="G115">
            <v>2775553</v>
          </cell>
        </row>
        <row r="116">
          <cell r="E116" t="str">
            <v>Lynx Technologies (TL)</v>
          </cell>
          <cell r="G116">
            <v>19771741.260000002</v>
          </cell>
        </row>
        <row r="117">
          <cell r="E117" t="str">
            <v>Lynx Technologies (TL)</v>
          </cell>
          <cell r="G117">
            <v>1477500</v>
          </cell>
        </row>
        <row r="118">
          <cell r="E118" t="str">
            <v>OSG (TL1)</v>
          </cell>
          <cell r="G118">
            <v>521421.96</v>
          </cell>
        </row>
        <row r="119">
          <cell r="E119" t="str">
            <v>OSG (TL1)</v>
          </cell>
          <cell r="G119">
            <v>306324</v>
          </cell>
        </row>
        <row r="120">
          <cell r="E120" t="str">
            <v>OSG (TL2)</v>
          </cell>
          <cell r="G120">
            <v>1057680.25</v>
          </cell>
        </row>
        <row r="121">
          <cell r="E121" t="str">
            <v>OSG (TL2)</v>
          </cell>
          <cell r="G121">
            <v>623120</v>
          </cell>
        </row>
        <row r="122">
          <cell r="E122" t="str">
            <v>PAR Excellence (Term Loan)</v>
          </cell>
          <cell r="G122">
            <v>7082250</v>
          </cell>
        </row>
        <row r="123">
          <cell r="E123" t="str">
            <v>OSM (Term Loan)</v>
          </cell>
          <cell r="G123">
            <v>4634449</v>
          </cell>
        </row>
        <row r="124">
          <cell r="E124" t="str">
            <v>Pink Lily (Term Loan)</v>
          </cell>
          <cell r="G124">
            <v>5547119.4198000003</v>
          </cell>
        </row>
        <row r="125">
          <cell r="E125" t="str">
            <v>Pink Lily (Term Loan)</v>
          </cell>
          <cell r="G125">
            <v>3587087</v>
          </cell>
        </row>
        <row r="126">
          <cell r="E126" t="str">
            <v>PlayPower (Term Loan)</v>
          </cell>
          <cell r="G126">
            <v>19189335.850000001</v>
          </cell>
        </row>
        <row r="127">
          <cell r="E127" t="str">
            <v>Podean (Term Loan)</v>
          </cell>
          <cell r="G127">
            <v>8000000</v>
          </cell>
        </row>
        <row r="128">
          <cell r="E128" t="str">
            <v>Plimpton &amp; Hills (TL)</v>
          </cell>
          <cell r="G128">
            <v>1231250</v>
          </cell>
        </row>
        <row r="129">
          <cell r="E129" t="str">
            <v>Rancho (TL)</v>
          </cell>
          <cell r="G129">
            <v>1850663.52</v>
          </cell>
        </row>
        <row r="130">
          <cell r="E130" t="str">
            <v>Rancho (TL)</v>
          </cell>
          <cell r="G130">
            <v>5035576</v>
          </cell>
        </row>
        <row r="131">
          <cell r="E131" t="str">
            <v>ProSearch (TL)</v>
          </cell>
          <cell r="G131">
            <v>2216250</v>
          </cell>
        </row>
        <row r="132">
          <cell r="E132" t="str">
            <v>PCS Retirement (Term Loan)</v>
          </cell>
          <cell r="G132">
            <v>2621867</v>
          </cell>
        </row>
        <row r="133">
          <cell r="E133" t="str">
            <v>Recteq (TL)</v>
          </cell>
          <cell r="G133">
            <v>1436250</v>
          </cell>
        </row>
        <row r="134">
          <cell r="E134" t="str">
            <v>Recteq (TL)</v>
          </cell>
          <cell r="G134">
            <v>2393750</v>
          </cell>
        </row>
        <row r="135">
          <cell r="E135" t="str">
            <v>Research Now / SSI (SOTL)</v>
          </cell>
          <cell r="G135">
            <v>7654052.4199999999</v>
          </cell>
        </row>
        <row r="136">
          <cell r="E136" t="str">
            <v>Research Now / SSI (SOTL)</v>
          </cell>
          <cell r="G136">
            <v>3281601</v>
          </cell>
        </row>
        <row r="137">
          <cell r="E137" t="str">
            <v>Research Now / SSI (FOTL)</v>
          </cell>
          <cell r="G137">
            <v>528998</v>
          </cell>
        </row>
        <row r="138">
          <cell r="E138" t="str">
            <v>RTIC (TL)</v>
          </cell>
          <cell r="G138">
            <v>21839201</v>
          </cell>
        </row>
        <row r="139">
          <cell r="E139" t="str">
            <v>RTIC (TL)</v>
          </cell>
          <cell r="G139">
            <v>5781203</v>
          </cell>
        </row>
        <row r="140">
          <cell r="E140" t="str">
            <v>Sabel Systems (Term Loan)</v>
          </cell>
          <cell r="G140">
            <v>11940000</v>
          </cell>
        </row>
        <row r="141">
          <cell r="E141" t="str">
            <v>Sparq (TL)</v>
          </cell>
          <cell r="G141">
            <v>1068666</v>
          </cell>
        </row>
        <row r="142">
          <cell r="E142" t="str">
            <v>Symplr (TL)</v>
          </cell>
          <cell r="G142">
            <v>682188</v>
          </cell>
        </row>
        <row r="143">
          <cell r="E143" t="str">
            <v>Safe Haven (Term Loan)</v>
          </cell>
          <cell r="G143">
            <v>5496152.1600000001</v>
          </cell>
        </row>
        <row r="144">
          <cell r="E144" t="str">
            <v>Safe Haven (Term Loan)</v>
          </cell>
          <cell r="G144">
            <v>6447001</v>
          </cell>
        </row>
        <row r="145">
          <cell r="E145" t="str">
            <v>Schlesinger (Term Loan)</v>
          </cell>
          <cell r="G145">
            <v>6357403.6297999937</v>
          </cell>
        </row>
        <row r="146">
          <cell r="E146" t="str">
            <v>Sigma Defense (Term Loan)</v>
          </cell>
          <cell r="G146">
            <v>1754578.79</v>
          </cell>
        </row>
        <row r="147">
          <cell r="E147" t="str">
            <v>Sigma Defense (Term Loan)</v>
          </cell>
          <cell r="G147">
            <v>6267314</v>
          </cell>
        </row>
        <row r="148">
          <cell r="E148" t="str">
            <v>Smile Brands (TL)</v>
          </cell>
          <cell r="G148">
            <v>2216597.0101000005</v>
          </cell>
        </row>
        <row r="149">
          <cell r="E149" t="str">
            <v>Smile Brands (TL)</v>
          </cell>
          <cell r="G149">
            <v>1917172.3900000001</v>
          </cell>
        </row>
        <row r="150">
          <cell r="E150" t="str">
            <v>Stronghouse Solutions (Term Loan)</v>
          </cell>
          <cell r="G150">
            <v>8000000</v>
          </cell>
        </row>
        <row r="151">
          <cell r="E151" t="str">
            <v>BiggerPockets (TL)</v>
          </cell>
          <cell r="G151">
            <v>2456406</v>
          </cell>
        </row>
        <row r="152">
          <cell r="E152" t="str">
            <v>Bluebird (Term Loan)</v>
          </cell>
          <cell r="G152">
            <v>5580611</v>
          </cell>
        </row>
        <row r="153">
          <cell r="E153" t="str">
            <v>Targeted Pet Care (Term Loan)</v>
          </cell>
          <cell r="G153">
            <v>492500</v>
          </cell>
        </row>
        <row r="154">
          <cell r="E154" t="str">
            <v>TransGo (TL)</v>
          </cell>
          <cell r="G154">
            <v>611276</v>
          </cell>
        </row>
        <row r="155">
          <cell r="E155" t="str">
            <v>Tyto Athene (Term Loan)</v>
          </cell>
          <cell r="G155">
            <v>4625535</v>
          </cell>
        </row>
        <row r="156">
          <cell r="E156" t="str">
            <v>Solaris Health (Term Loan)</v>
          </cell>
          <cell r="G156">
            <v>1984733</v>
          </cell>
        </row>
        <row r="157">
          <cell r="E157" t="str">
            <v>US Fertility (Term Loan)</v>
          </cell>
          <cell r="G157">
            <v>1990000</v>
          </cell>
        </row>
        <row r="158">
          <cell r="E158" t="str">
            <v>TEAM Services Group (First Lien Term Loan)</v>
          </cell>
          <cell r="G158">
            <v>412657.25</v>
          </cell>
        </row>
        <row r="159">
          <cell r="E159" t="str">
            <v>TEAM Services Group (First Lien Term Loan)</v>
          </cell>
          <cell r="G159">
            <v>5451811</v>
          </cell>
        </row>
        <row r="160">
          <cell r="E160" t="str">
            <v>TEAM Services Group (Second Lien Term Loan)</v>
          </cell>
          <cell r="G160">
            <v>1000000</v>
          </cell>
        </row>
        <row r="161">
          <cell r="E161" t="str">
            <v>Tranzact (Term Loan)</v>
          </cell>
          <cell r="G161">
            <v>3963790.73</v>
          </cell>
        </row>
        <row r="162">
          <cell r="E162" t="str">
            <v>Vertex (Term Loan)</v>
          </cell>
          <cell r="G162">
            <v>3262037.6100000003</v>
          </cell>
        </row>
        <row r="163">
          <cell r="E163" t="str">
            <v>Vertex (Term Loan)</v>
          </cell>
          <cell r="G163">
            <v>3307946</v>
          </cell>
        </row>
        <row r="164">
          <cell r="E164" t="str">
            <v>Walker Edison (TL)</v>
          </cell>
          <cell r="G164">
            <v>1679427.6099999999</v>
          </cell>
        </row>
        <row r="165">
          <cell r="E165" t="str">
            <v>Zips (New OpCo Term Loan)</v>
          </cell>
          <cell r="G165">
            <v>6992939.5600000005</v>
          </cell>
        </row>
        <row r="166">
          <cell r="E166" t="str">
            <v>OSG (Common Equity)</v>
          </cell>
          <cell r="G166">
            <v>80170</v>
          </cell>
        </row>
        <row r="167">
          <cell r="E167" t="str">
            <v>Walker Edison (Common)</v>
          </cell>
          <cell r="G167">
            <v>21875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7">
          <cell r="A7" t="str">
            <v>By Light (Term Loan)</v>
          </cell>
        </row>
        <row r="12">
          <cell r="A12" t="str">
            <v>ECRM</v>
          </cell>
        </row>
        <row r="22">
          <cell r="A22" t="str">
            <v>Marketplace Events (USD Term Loan)</v>
          </cell>
        </row>
        <row r="28">
          <cell r="A28" t="str">
            <v>Research Now / SSI (SOTL)</v>
          </cell>
        </row>
        <row r="33">
          <cell r="A33" t="str">
            <v>MeritDirect (Term Loan)</v>
          </cell>
        </row>
        <row r="38">
          <cell r="A38" t="str">
            <v>Schlesinger (Term Loan)</v>
          </cell>
        </row>
        <row r="43">
          <cell r="A43" t="str">
            <v>OSG (TL1)</v>
          </cell>
        </row>
        <row r="48">
          <cell r="A48" t="str">
            <v>OSG (TL2)</v>
          </cell>
        </row>
        <row r="53">
          <cell r="A53" t="str">
            <v>Centauri Health (TL)</v>
          </cell>
        </row>
        <row r="58">
          <cell r="A58" t="str">
            <v>Smile Brands (TL)</v>
          </cell>
        </row>
        <row r="63">
          <cell r="A63" t="str">
            <v>Sigma Defense (Term Loan)</v>
          </cell>
        </row>
        <row r="68">
          <cell r="A68" t="str">
            <v>Recteq (TL)</v>
          </cell>
        </row>
        <row r="73">
          <cell r="A73" t="str">
            <v>Walker Edison (TL)</v>
          </cell>
        </row>
        <row r="78">
          <cell r="A78" t="str">
            <v>Dr. Scholl's (Term Loan)</v>
          </cell>
        </row>
        <row r="83">
          <cell r="A83" t="str">
            <v>Lilly Lashes (TL)</v>
          </cell>
        </row>
        <row r="93">
          <cell r="A93" t="str">
            <v>MCR (Term Loan)</v>
          </cell>
        </row>
        <row r="98">
          <cell r="A98" t="str">
            <v>KNS (Term Loan)</v>
          </cell>
        </row>
        <row r="103">
          <cell r="A103" t="str">
            <v>Pink Lily (Term Loan)</v>
          </cell>
        </row>
        <row r="108">
          <cell r="A108" t="str">
            <v>By Light (Revolver)</v>
          </cell>
        </row>
        <row r="113">
          <cell r="A113" t="str">
            <v>Walker Edison (Common)</v>
          </cell>
        </row>
        <row r="119">
          <cell r="A119" t="str">
            <v>Loving Tan (TL)</v>
          </cell>
        </row>
        <row r="124">
          <cell r="A124" t="str">
            <v>Arcfield (Term Loan)</v>
          </cell>
        </row>
        <row r="129">
          <cell r="A129" t="str">
            <v>Infinity Home Services (DDTL) CAD</v>
          </cell>
        </row>
        <row r="134">
          <cell r="A134" t="str">
            <v>Infinity Home Services (DDTL)</v>
          </cell>
        </row>
        <row r="139">
          <cell r="A139" t="str">
            <v>OSG (Common Equity)</v>
          </cell>
        </row>
        <row r="144">
          <cell r="A144" t="str">
            <v>MOREgroup (Term Loan)</v>
          </cell>
        </row>
        <row r="149">
          <cell r="A149" t="str">
            <v>Pegasus Steel (DDTL)</v>
          </cell>
        </row>
        <row r="154">
          <cell r="A154" t="str">
            <v>Big Top Manufacturing (Term Loan)</v>
          </cell>
        </row>
        <row r="159">
          <cell r="A159" t="str">
            <v>Carnegie Dartlet (Term Loan)</v>
          </cell>
        </row>
        <row r="164">
          <cell r="A164" t="str">
            <v>Infinity Home Services (DDTL) USD</v>
          </cell>
        </row>
        <row r="169">
          <cell r="A169" t="str">
            <v>EvAl (Term Loan)</v>
          </cell>
        </row>
        <row r="174">
          <cell r="A174" t="str">
            <v>Omnia (TL)</v>
          </cell>
        </row>
        <row r="179">
          <cell r="A179" t="str">
            <v>RTIC (TL)</v>
          </cell>
        </row>
        <row r="184">
          <cell r="A184" t="str">
            <v>Safe Haven (Term Loan)</v>
          </cell>
        </row>
        <row r="189">
          <cell r="A189" t="str">
            <v>Beacon Behavioral (Term Loan)</v>
          </cell>
        </row>
        <row r="194">
          <cell r="A194" t="str">
            <v>PlayPower (Term Loan)</v>
          </cell>
        </row>
        <row r="199">
          <cell r="A199" t="str">
            <v>TEAM Services Group (First Lien Term Loan)</v>
          </cell>
        </row>
        <row r="204">
          <cell r="A204" t="str">
            <v>OpenRoad Lending (Term Loan)</v>
          </cell>
        </row>
        <row r="209">
          <cell r="A209" t="str">
            <v>Dr. Squatch (Term Loan)</v>
          </cell>
        </row>
        <row r="214">
          <cell r="A214" t="str">
            <v>C5MI (Term Loan)</v>
          </cell>
        </row>
        <row r="219">
          <cell r="A219" t="str">
            <v>Archer Lewis (Term Loan)</v>
          </cell>
        </row>
        <row r="224">
          <cell r="A224" t="str">
            <v>Harris (Term Loan)</v>
          </cell>
        </row>
        <row r="229">
          <cell r="A229" t="str">
            <v>Argano (Term Loan)</v>
          </cell>
        </row>
        <row r="234">
          <cell r="A234" t="str">
            <v>Duggal (Term Loan)</v>
          </cell>
        </row>
        <row r="239">
          <cell r="A239" t="str">
            <v>Guild Garage Group (Term Loan)</v>
          </cell>
        </row>
        <row r="244">
          <cell r="A244" t="str">
            <v>Commercial Fire Protection (Term Loan)</v>
          </cell>
        </row>
        <row r="249">
          <cell r="A249" t="str">
            <v>Carisk Partners (TL)</v>
          </cell>
        </row>
        <row r="254">
          <cell r="A254" t="str">
            <v xml:space="preserve">Case Works Group (Term Loan) </v>
          </cell>
        </row>
        <row r="259">
          <cell r="A259" t="str">
            <v>Emergency Care Partners (Term Loan)</v>
          </cell>
        </row>
        <row r="264">
          <cell r="A264" t="str">
            <v>Sabel Systems (Term Loan)</v>
          </cell>
        </row>
        <row r="269">
          <cell r="A269" t="str">
            <v>Federal Advisory Partners (First Lien Term Loan)</v>
          </cell>
        </row>
        <row r="274">
          <cell r="A274" t="str">
            <v>Bland Landscaping (Term Loan)</v>
          </cell>
        </row>
        <row r="279">
          <cell r="A279" t="str">
            <v>Lynx Technologies (TL)</v>
          </cell>
        </row>
        <row r="284">
          <cell r="A284" t="str">
            <v>Five Star (TL)</v>
          </cell>
        </row>
        <row r="289">
          <cell r="A289" t="str">
            <v>360DG (Term Loan)</v>
          </cell>
        </row>
        <row r="295">
          <cell r="A295" t="str">
            <v>Boss Industries (Term Loan)</v>
          </cell>
        </row>
        <row r="301">
          <cell r="A301" t="str">
            <v>Tranzact (Term Loan)</v>
          </cell>
        </row>
        <row r="307">
          <cell r="A307" t="str">
            <v>Vertex (Term Loan)</v>
          </cell>
        </row>
        <row r="313">
          <cell r="A313" t="str">
            <v>Rancho (TL)</v>
          </cell>
        </row>
        <row r="319">
          <cell r="A319" t="str">
            <v>MDI (TLB)</v>
          </cell>
        </row>
        <row r="325">
          <cell r="A325" t="str">
            <v>Halo (Term Loan)</v>
          </cell>
        </row>
        <row r="331">
          <cell r="A331" t="str">
            <v>PAR Excellence (Term Loan)</v>
          </cell>
        </row>
        <row r="336">
          <cell r="A336" t="str">
            <v>Impact Advisors (Term Loan)</v>
          </cell>
        </row>
        <row r="341">
          <cell r="A341" t="str">
            <v>Avenu (TL)</v>
          </cell>
        </row>
        <row r="346">
          <cell r="A346" t="str">
            <v>Magnolia (First Lien Term Loan)</v>
          </cell>
        </row>
        <row r="351">
          <cell r="A351" t="str">
            <v>Zips (New OpCo Term Loan)</v>
          </cell>
        </row>
        <row r="356">
          <cell r="A356" t="str">
            <v>TPCN (Term Loan)</v>
          </cell>
        </row>
        <row r="361">
          <cell r="A361" t="str">
            <v>Cornerstone Advisors (Term Loan)</v>
          </cell>
        </row>
        <row r="366">
          <cell r="A366" t="str">
            <v>First Medical Associates (Term Loan)</v>
          </cell>
        </row>
        <row r="371">
          <cell r="A371" t="str">
            <v>C&amp;K Paving Contractors (Term Loan)</v>
          </cell>
        </row>
        <row r="376">
          <cell r="A376" t="str">
            <v>Stronghouse Solutions (Term Loan)</v>
          </cell>
        </row>
        <row r="381">
          <cell r="A381" t="str">
            <v>Penta (Term Loan)</v>
          </cell>
        </row>
        <row r="386">
          <cell r="A386" t="str">
            <v>Aphix (Term Loan)</v>
          </cell>
        </row>
        <row r="391">
          <cell r="A391" t="str">
            <v>Beta+ (TL)</v>
          </cell>
        </row>
        <row r="396">
          <cell r="A396" t="str">
            <v>Blue Cloud (Incr. Term Loan)</v>
          </cell>
        </row>
        <row r="401">
          <cell r="A401" t="str">
            <v>Health-E Commerce (Term Loan)</v>
          </cell>
        </row>
        <row r="406">
          <cell r="A406" t="str">
            <v>Podean (Term Loan)</v>
          </cell>
        </row>
        <row r="411">
          <cell r="A411" t="str">
            <v>A1 Garage (Term Loan)</v>
          </cell>
        </row>
        <row r="416">
          <cell r="A416" t="str">
            <v>BioDerm (Term Loan)</v>
          </cell>
        </row>
        <row r="421">
          <cell r="A421" t="str">
            <v>Ad.net (Term Loan)</v>
          </cell>
        </row>
        <row r="426">
          <cell r="A426" t="str">
            <v>Vision Integrated (TL)</v>
          </cell>
        </row>
        <row r="431">
          <cell r="A431" t="str">
            <v>BBB Industries (First Lien Term Loan)</v>
          </cell>
        </row>
        <row r="436">
          <cell r="A436" t="str">
            <v>Cartessa (TL)</v>
          </cell>
        </row>
        <row r="441">
          <cell r="A441" t="str">
            <v>Gen3 Marketing (Term Loan)</v>
          </cell>
        </row>
        <row r="446">
          <cell r="A446" t="str">
            <v>Compex (TL)</v>
          </cell>
        </row>
        <row r="451">
          <cell r="A451" t="str">
            <v>Confluent Health (TL)</v>
          </cell>
        </row>
        <row r="456">
          <cell r="A456" t="str">
            <v>Connatix (Term Loan)</v>
          </cell>
        </row>
        <row r="461">
          <cell r="A461" t="str">
            <v>Coolsys, Inc. (TL)</v>
          </cell>
        </row>
        <row r="466">
          <cell r="A466" t="str">
            <v>Crane 1 (Term Loan)</v>
          </cell>
        </row>
        <row r="471">
          <cell r="A471" t="str">
            <v>Digital Room (Term Loan)</v>
          </cell>
        </row>
        <row r="476">
          <cell r="A476" t="str">
            <v>Epiq (TL)</v>
          </cell>
        </row>
        <row r="481">
          <cell r="A481" t="str">
            <v>Engine &amp; Transmission (TL)</v>
          </cell>
        </row>
        <row r="486">
          <cell r="A486" t="str">
            <v>Exigo (TL)</v>
          </cell>
        </row>
        <row r="491">
          <cell r="A491" t="str">
            <v>Global (Term Loan)</v>
          </cell>
        </row>
        <row r="496">
          <cell r="A496" t="str">
            <v>Painters Supply and Equipment (Term Loan)</v>
          </cell>
        </row>
        <row r="501">
          <cell r="A501" t="str">
            <v>HelpSystems (TL)</v>
          </cell>
        </row>
        <row r="506">
          <cell r="A506" t="str">
            <v>Plimpton &amp; Hills (TL)</v>
          </cell>
        </row>
        <row r="511">
          <cell r="A511" t="str">
            <v>Hanley Wood (TL)</v>
          </cell>
        </row>
        <row r="516">
          <cell r="A516" t="str">
            <v>Insight Global (TL)</v>
          </cell>
        </row>
        <row r="521">
          <cell r="A521" t="str">
            <v>Infolinks (TL)</v>
          </cell>
        </row>
        <row r="526">
          <cell r="A526" t="str">
            <v>Integrated Data Systems (TL)</v>
          </cell>
        </row>
        <row r="531">
          <cell r="A531" t="str">
            <v>MAG Aerospace (TL)</v>
          </cell>
        </row>
        <row r="536">
          <cell r="A536" t="str">
            <v>Momentum (Term Loan)</v>
          </cell>
        </row>
        <row r="541">
          <cell r="A541" t="str">
            <v>Meadowlark (TL)</v>
          </cell>
        </row>
        <row r="546">
          <cell r="A546" t="str">
            <v>Comprehensive Rehab Consultants (Term Loan)</v>
          </cell>
        </row>
        <row r="551">
          <cell r="A551" t="str">
            <v>Mission Microwave (Term Loan)</v>
          </cell>
        </row>
        <row r="556">
          <cell r="A556" t="str">
            <v>MES (Term Loan)</v>
          </cell>
        </row>
        <row r="561">
          <cell r="A561" t="str">
            <v>Nevada Behavioral Health Systems (Term Loan)</v>
          </cell>
        </row>
        <row r="566">
          <cell r="A566" t="str">
            <v>NORA (Term Loan)</v>
          </cell>
        </row>
        <row r="571">
          <cell r="A571" t="str">
            <v>OSM (Term Loan)</v>
          </cell>
        </row>
        <row r="576">
          <cell r="A576" t="str">
            <v>Watchtower (TL)</v>
          </cell>
        </row>
        <row r="581">
          <cell r="A581" t="str">
            <v>ProSearch (TL)</v>
          </cell>
        </row>
        <row r="586">
          <cell r="A586" t="str">
            <v>Sparq (TL)</v>
          </cell>
        </row>
        <row r="591">
          <cell r="A591" t="str">
            <v>Symplr (TL)</v>
          </cell>
        </row>
        <row r="596">
          <cell r="A596" t="str">
            <v>BiggerPockets (TL)</v>
          </cell>
        </row>
        <row r="601">
          <cell r="A601" t="str">
            <v>Bluebird (Term Loan)</v>
          </cell>
        </row>
        <row r="606">
          <cell r="A606" t="str">
            <v>PCS Retirement (Term Loan)</v>
          </cell>
        </row>
        <row r="611">
          <cell r="A611" t="str">
            <v>Targeted Pet Care (Term Loan)</v>
          </cell>
        </row>
        <row r="616">
          <cell r="A616" t="str">
            <v>Transgo (TL)</v>
          </cell>
        </row>
        <row r="621">
          <cell r="A621" t="str">
            <v>Tyto Athene (Term Loan)</v>
          </cell>
        </row>
        <row r="626">
          <cell r="A626" t="str">
            <v>Solaris Health (Term Loan)</v>
          </cell>
        </row>
        <row r="631">
          <cell r="A631" t="str">
            <v>US Fertility (Term Loan)</v>
          </cell>
        </row>
        <row r="636">
          <cell r="A636" t="str">
            <v>TEAM Services Group (Second Lien Term Loan)</v>
          </cell>
        </row>
        <row r="641">
          <cell r="A641" t="str">
            <v>Research Now / SSI (FOTL)</v>
          </cell>
        </row>
        <row r="646">
          <cell r="A646" t="str">
            <v>Ledge Lounger (Term Loan)</v>
          </cell>
        </row>
        <row r="651">
          <cell r="A651" t="str">
            <v>Ardurra (Term Loan)</v>
          </cell>
        </row>
        <row r="656">
          <cell r="A656" t="str">
            <v>McAfee (First Lien)</v>
          </cell>
        </row>
        <row r="661">
          <cell r="A661" t="str">
            <v>NARS (TL)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74"/>
  <sheetViews>
    <sheetView tabSelected="1" workbookViewId="0"/>
  </sheetViews>
  <sheetFormatPr defaultColWidth="9.140625" defaultRowHeight="12"/>
  <cols>
    <col min="1" max="1" width="36.85546875" style="3" bestFit="1" customWidth="1"/>
    <col min="2" max="2" width="1.28515625" style="3" customWidth="1"/>
    <col min="3" max="5" width="7" style="3" customWidth="1"/>
    <col min="6" max="8" width="9.140625" style="3" customWidth="1"/>
    <col min="9" max="9" width="44.140625" style="3" customWidth="1"/>
    <col min="10" max="10" width="15.7109375" style="3" customWidth="1"/>
    <col min="11" max="11" width="9.140625" style="3" customWidth="1"/>
    <col min="12" max="16384" width="9.140625" style="3"/>
  </cols>
  <sheetData>
    <row r="1" spans="1:18" ht="1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8" ht="15.75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8" ht="15.75" customHeight="1">
      <c r="A3" s="4"/>
      <c r="B3" s="2"/>
      <c r="C3" s="2"/>
      <c r="D3" s="2"/>
      <c r="E3" s="2"/>
      <c r="F3" s="2"/>
      <c r="G3" s="5"/>
      <c r="H3" s="2"/>
      <c r="I3" s="6"/>
      <c r="J3" s="2"/>
    </row>
    <row r="4" spans="1:18" ht="9.75" customHeight="1">
      <c r="A4" s="453" t="s">
        <v>2</v>
      </c>
      <c r="B4" s="453"/>
      <c r="C4" s="453"/>
      <c r="D4" s="453"/>
      <c r="E4" s="453"/>
      <c r="F4" s="453"/>
      <c r="G4" s="453"/>
      <c r="H4" s="453"/>
      <c r="I4" s="453"/>
      <c r="J4" s="453"/>
    </row>
    <row r="6" spans="1:18">
      <c r="A6" s="7" t="s">
        <v>3</v>
      </c>
    </row>
    <row r="8" spans="1:18" ht="12.75" customHeight="1">
      <c r="A8" s="8" t="s">
        <v>4</v>
      </c>
      <c r="B8" s="8"/>
      <c r="C8" s="8"/>
      <c r="J8" s="9">
        <v>45893</v>
      </c>
      <c r="L8" s="10"/>
      <c r="M8" s="10"/>
      <c r="N8" s="10"/>
      <c r="O8" s="10"/>
      <c r="P8" s="10"/>
      <c r="Q8" s="10"/>
      <c r="R8"/>
    </row>
    <row r="9" spans="1:18">
      <c r="A9" s="3" t="s">
        <v>5</v>
      </c>
      <c r="J9" s="11">
        <v>30000000</v>
      </c>
    </row>
    <row r="10" spans="1:18" ht="15">
      <c r="I10" s="10"/>
      <c r="J10" s="10"/>
      <c r="K10" s="10"/>
    </row>
    <row r="11" spans="1:18" ht="15">
      <c r="A11" s="10" t="s">
        <v>6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8" ht="15">
      <c r="A12" s="10" t="s">
        <v>7</v>
      </c>
      <c r="B12" s="10"/>
      <c r="C12" s="10"/>
      <c r="D12" s="10"/>
      <c r="E12" s="10"/>
      <c r="F12" s="10"/>
      <c r="G12" s="10"/>
      <c r="H12" s="10"/>
      <c r="I12" s="10"/>
      <c r="J12" s="12">
        <v>1</v>
      </c>
      <c r="K12" s="10"/>
      <c r="L12" s="10"/>
      <c r="M12" s="10"/>
    </row>
    <row r="13" spans="1:18" ht="15">
      <c r="A13" s="10" t="s">
        <v>8</v>
      </c>
      <c r="B13" s="10"/>
      <c r="C13" s="10"/>
      <c r="D13" s="10"/>
      <c r="E13" s="10"/>
      <c r="F13" s="10"/>
      <c r="G13" s="10"/>
      <c r="H13" s="10"/>
      <c r="I13" s="10"/>
      <c r="J13" s="12">
        <v>0.72138000000000002</v>
      </c>
      <c r="K13" s="10"/>
      <c r="L13" s="10"/>
      <c r="M13" s="10"/>
    </row>
    <row r="14" spans="1:18" ht="15">
      <c r="A14" s="10" t="s">
        <v>9</v>
      </c>
      <c r="B14" s="10"/>
      <c r="C14" s="10"/>
      <c r="D14" s="10"/>
      <c r="E14" s="10"/>
      <c r="F14" s="10"/>
      <c r="G14" s="10"/>
      <c r="H14" s="10"/>
      <c r="I14" s="10"/>
      <c r="J14" s="12">
        <v>0.64344000000000001</v>
      </c>
      <c r="K14" s="10"/>
      <c r="L14" s="10"/>
      <c r="M14" s="10"/>
    </row>
    <row r="15" spans="1:18" ht="15">
      <c r="A15" s="10" t="s">
        <v>10</v>
      </c>
      <c r="B15" s="10"/>
      <c r="C15" s="10"/>
      <c r="D15" s="10"/>
      <c r="E15" s="10"/>
      <c r="F15" s="10"/>
      <c r="G15" s="10"/>
      <c r="H15" s="10"/>
      <c r="I15" s="10"/>
      <c r="J15" s="12">
        <v>1.1658999999999999</v>
      </c>
      <c r="K15" s="10"/>
      <c r="L15" s="10"/>
      <c r="M15" s="10"/>
    </row>
    <row r="16" spans="1:18" ht="1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3"/>
    </row>
    <row r="17" spans="1:13" ht="15">
      <c r="A17" s="8" t="s">
        <v>862</v>
      </c>
      <c r="B17" s="8"/>
      <c r="C17" s="8"/>
      <c r="J17" s="9">
        <v>45897</v>
      </c>
      <c r="K17" s="10"/>
      <c r="L17" s="10"/>
      <c r="M17" s="10"/>
    </row>
    <row r="18" spans="1:13" ht="1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ht="1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ht="1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 ht="1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3" ht="1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 ht="1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 ht="1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3" ht="1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 ht="1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ht="1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ht="1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ht="1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ht="1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 ht="1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1:13" ht="1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1:13" ht="1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spans="1:13" ht="1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1:13" ht="1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spans="1:13" ht="1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spans="1:13" ht="1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13" ht="1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 ht="1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3" ht="1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55" spans="1:13" ht="1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</row>
    <row r="56" spans="1:13" ht="1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</row>
    <row r="57" spans="1:13" ht="1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 spans="1:13" ht="3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 spans="1:13" ht="1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</row>
    <row r="60" spans="1:13" ht="1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 spans="1:13" ht="3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</row>
    <row r="62" spans="1:13" ht="1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</row>
    <row r="63" spans="1:13" ht="1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</row>
    <row r="64" spans="1:13" ht="1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</row>
    <row r="65" spans="1:13" ht="3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</row>
    <row r="66" spans="1:13" ht="1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</row>
    <row r="67" spans="1:13" ht="3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</row>
    <row r="68" spans="1:13" ht="1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</row>
    <row r="69" spans="1:13" ht="3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</row>
    <row r="70" spans="1:13" ht="1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</row>
    <row r="71" spans="1:13" ht="1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</row>
    <row r="72" spans="1:13" ht="1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</row>
    <row r="73" spans="1:13" ht="1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</row>
    <row r="74" spans="1:13" ht="1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</row>
  </sheetData>
  <dataConsolidate link="1"/>
  <mergeCells count="1">
    <mergeCell ref="A4:J4"/>
  </mergeCells>
  <pageMargins left="0.7" right="0.7" top="0.75" bottom="0.75" header="0.3" footer="0.3"/>
  <pageSetup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T299"/>
  <sheetViews>
    <sheetView showGridLines="0" view="pageBreakPreview" zoomScale="90" zoomScaleNormal="90" zoomScaleSheetLayoutView="90" workbookViewId="0"/>
  </sheetViews>
  <sheetFormatPr defaultColWidth="9.140625" defaultRowHeight="12.75" zeroHeight="1"/>
  <cols>
    <col min="1" max="1" width="2.85546875" style="109" customWidth="1"/>
    <col min="2" max="4" width="4.7109375" style="109" customWidth="1"/>
    <col min="5" max="6" width="15.7109375" style="109" customWidth="1"/>
    <col min="7" max="7" width="18" style="109" customWidth="1"/>
    <col min="8" max="8" width="9.85546875" style="109" customWidth="1"/>
    <col min="9" max="9" width="49.5703125" style="109" customWidth="1"/>
    <col min="10" max="10" width="17.28515625" style="109" customWidth="1"/>
    <col min="11" max="11" width="12" style="3" bestFit="1" customWidth="1"/>
    <col min="12" max="12" width="7" style="3" bestFit="1" customWidth="1"/>
    <col min="13" max="13" width="3" style="3" customWidth="1"/>
    <col min="14" max="14" width="3" style="20" customWidth="1"/>
    <col min="15" max="15" width="29.7109375" style="20" customWidth="1"/>
    <col min="16" max="16" width="39" style="20" bestFit="1" customWidth="1"/>
    <col min="17" max="17" width="3" style="20" customWidth="1"/>
    <col min="18" max="18" width="22.140625" style="3" customWidth="1"/>
    <col min="19" max="19" width="14.5703125" style="3" bestFit="1" customWidth="1"/>
    <col min="20" max="20" width="12" style="3" bestFit="1" customWidth="1"/>
    <col min="21" max="16384" width="9.140625" style="3"/>
  </cols>
  <sheetData>
    <row r="1" spans="1:20" ht="18">
      <c r="A1" s="1" t="s">
        <v>0</v>
      </c>
      <c r="B1" s="15"/>
      <c r="C1" s="16"/>
      <c r="D1" s="16"/>
      <c r="E1" s="16"/>
      <c r="F1" s="17"/>
      <c r="G1" s="16"/>
      <c r="H1" s="16"/>
      <c r="I1" s="16"/>
      <c r="J1" s="16"/>
      <c r="K1" s="18"/>
      <c r="L1" s="19"/>
    </row>
    <row r="2" spans="1:20" ht="15.75">
      <c r="A2" s="4" t="s">
        <v>11</v>
      </c>
      <c r="B2" s="15"/>
      <c r="C2" s="17"/>
      <c r="D2" s="17"/>
      <c r="E2" s="17"/>
      <c r="F2" s="17"/>
      <c r="G2" s="17"/>
      <c r="H2" s="17"/>
      <c r="I2" s="17"/>
      <c r="J2" s="17"/>
      <c r="K2" s="18"/>
      <c r="L2" s="21"/>
    </row>
    <row r="3" spans="1:20" ht="15" customHeight="1">
      <c r="A3" s="454" t="s">
        <v>2</v>
      </c>
      <c r="B3" s="454"/>
      <c r="C3" s="454"/>
      <c r="D3" s="454"/>
      <c r="E3" s="454"/>
      <c r="F3" s="454"/>
      <c r="G3" s="454"/>
      <c r="H3" s="454"/>
      <c r="I3" s="454"/>
      <c r="J3" s="454"/>
      <c r="K3" s="18"/>
      <c r="L3" s="21"/>
    </row>
    <row r="4" spans="1:20">
      <c r="A4" s="22" t="s">
        <v>12</v>
      </c>
      <c r="B4" s="22"/>
      <c r="C4" s="23"/>
      <c r="D4" s="23"/>
      <c r="E4" s="23"/>
      <c r="F4" s="18"/>
      <c r="G4" s="18"/>
      <c r="H4" s="18"/>
      <c r="I4" s="18"/>
      <c r="J4" s="24">
        <f>Inputs!$J$8</f>
        <v>45893</v>
      </c>
      <c r="K4" s="18"/>
      <c r="L4" s="18"/>
      <c r="O4" s="25"/>
      <c r="P4" s="25"/>
    </row>
    <row r="5" spans="1:20" ht="15">
      <c r="A5" s="22" t="s">
        <v>13</v>
      </c>
      <c r="B5" s="23"/>
      <c r="C5" s="23"/>
      <c r="D5" s="23"/>
      <c r="E5" s="23"/>
      <c r="F5" s="23"/>
      <c r="G5" s="18"/>
      <c r="H5" s="18"/>
      <c r="I5" s="18"/>
      <c r="J5" s="26">
        <f>'Loan List'!DI6</f>
        <v>1019285683.4486026</v>
      </c>
      <c r="K5" s="27"/>
      <c r="L5" s="28"/>
      <c r="O5" s="455" t="s">
        <v>14</v>
      </c>
      <c r="P5" s="455"/>
    </row>
    <row r="6" spans="1:20" ht="6.95" customHeight="1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21"/>
    </row>
    <row r="7" spans="1:20" ht="6.9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18"/>
      <c r="L7" s="21"/>
    </row>
    <row r="8" spans="1:20">
      <c r="A8" s="30" t="s">
        <v>15</v>
      </c>
      <c r="B8" s="18"/>
      <c r="C8" s="18"/>
      <c r="D8" s="18"/>
      <c r="E8" s="18"/>
      <c r="F8" s="18"/>
      <c r="G8" s="18"/>
      <c r="H8" s="18"/>
      <c r="I8" s="18"/>
      <c r="J8" s="31">
        <f>J10-J18-J14</f>
        <v>965011870.68313444</v>
      </c>
      <c r="K8" s="32"/>
      <c r="L8" s="33"/>
      <c r="O8" s="34" t="s">
        <v>9</v>
      </c>
      <c r="P8" s="35"/>
    </row>
    <row r="9" spans="1:20">
      <c r="A9" s="18"/>
      <c r="B9" s="18"/>
      <c r="C9" s="18"/>
      <c r="D9" s="18"/>
      <c r="E9" s="18"/>
      <c r="F9" s="18"/>
      <c r="G9" s="18"/>
      <c r="H9" s="18"/>
      <c r="I9" s="18"/>
      <c r="J9" s="36"/>
      <c r="K9" s="32" t="s">
        <v>16</v>
      </c>
      <c r="L9" s="33"/>
      <c r="O9" s="37">
        <v>0</v>
      </c>
      <c r="P9" s="38" t="s">
        <v>17</v>
      </c>
    </row>
    <row r="10" spans="1:20" ht="15">
      <c r="A10" s="18"/>
      <c r="B10" s="39" t="s">
        <v>18</v>
      </c>
      <c r="C10" s="30" t="s">
        <v>19</v>
      </c>
      <c r="D10" s="18"/>
      <c r="E10" s="18"/>
      <c r="F10" s="18"/>
      <c r="G10" s="18"/>
      <c r="H10" s="18"/>
      <c r="I10" s="18"/>
      <c r="J10" s="40">
        <f>SUM(J11:J16)</f>
        <v>972687964.44805264</v>
      </c>
      <c r="K10" s="41"/>
      <c r="L10" s="33"/>
      <c r="O10" s="42">
        <f>+O71</f>
        <v>0</v>
      </c>
      <c r="P10" s="38" t="s">
        <v>20</v>
      </c>
      <c r="R10" s="394"/>
      <c r="S10"/>
      <c r="T10"/>
    </row>
    <row r="11" spans="1:20" ht="15">
      <c r="A11" s="18"/>
      <c r="B11" s="18"/>
      <c r="C11" s="30" t="s">
        <v>21</v>
      </c>
      <c r="D11" s="18"/>
      <c r="E11" s="18"/>
      <c r="F11" s="18"/>
      <c r="G11" s="18"/>
      <c r="H11" s="18"/>
      <c r="I11" s="18"/>
      <c r="J11" s="43">
        <f>'Loan List'!HW8</f>
        <v>865540574.35890257</v>
      </c>
      <c r="K11" s="32"/>
      <c r="L11" s="33"/>
      <c r="O11" s="44">
        <f>SUM(O9:O10)</f>
        <v>0</v>
      </c>
      <c r="P11" s="45" t="s">
        <v>22</v>
      </c>
      <c r="R11"/>
      <c r="S11"/>
      <c r="T11" s="395"/>
    </row>
    <row r="12" spans="1:20" ht="15">
      <c r="A12" s="18"/>
      <c r="B12" s="18"/>
      <c r="C12" s="30" t="s">
        <v>23</v>
      </c>
      <c r="D12" s="18"/>
      <c r="E12" s="18"/>
      <c r="F12" s="18"/>
      <c r="G12" s="18"/>
      <c r="H12" s="18"/>
      <c r="I12" s="18"/>
      <c r="J12" s="43">
        <f>'Loan List'!IB8</f>
        <v>0</v>
      </c>
      <c r="K12" s="398"/>
      <c r="L12" s="33"/>
      <c r="O12" s="34" t="s">
        <v>7</v>
      </c>
      <c r="P12" s="35"/>
      <c r="R12"/>
      <c r="S12"/>
      <c r="T12" s="395"/>
    </row>
    <row r="13" spans="1:20" ht="15">
      <c r="A13" s="18"/>
      <c r="B13" s="18"/>
      <c r="C13" s="456" t="s">
        <v>24</v>
      </c>
      <c r="D13" s="456"/>
      <c r="E13" s="456"/>
      <c r="F13" s="456"/>
      <c r="G13" s="456"/>
      <c r="H13" s="456"/>
      <c r="I13" s="456"/>
      <c r="J13" s="43">
        <f>'Loan List'!IA8</f>
        <v>6259376.3463000003</v>
      </c>
      <c r="K13" s="32"/>
      <c r="L13" s="33"/>
      <c r="O13" s="417">
        <f>325500000-20800000+23000000+3000000-12000000+1200000+6000000+9500000+7500000-3000000-17000000+5000000+15000000+4000000+35500000-13000000+19000000+5000000+6000000+3500000-27000000+18000000+10000000+5000000+5000000-10000000+17000000+19000000+13000000-200000000-6000000+4000000+4000000-10000000+8000000+18000000+10000000+16000000+5000000+21000000+27000000+40000000+5000000+15000000+16000000-27000000+15000000+8000000+15000000+18000000-54000000+20000000-58000000-23000000-43000000-15000000-46000000+10000000+10000000+7500000-6500000-115000000+32000000+46000000-81000000+8000000+50000000+12000000+69000000+11000000-80000000-50000000-25500000+11000000+20000000+10000000+10000000+20000000+20000000-5000000-65000000+20000000+60000000+30000000+20000000-35000000-7000000+10000000-40000000-50000000+30000000-48000000+20000000-45000000-35000000+15000000-35000000-55000000+15000000+160000000+75000000+50000000+30000000-130000000-42000000+50000000+55000000+40000000+50000000+80000000+20000000+100000000+20000000+25000000+50000000-320000000-30000000+20000000-55000000+25000000+20000000+75000000+70000000</f>
        <v>462400000</v>
      </c>
      <c r="P13" s="38" t="s">
        <v>17</v>
      </c>
      <c r="R13"/>
      <c r="S13"/>
      <c r="T13" s="395"/>
    </row>
    <row r="14" spans="1:20" ht="15">
      <c r="A14" s="30"/>
      <c r="B14" s="39"/>
      <c r="C14" s="30" t="s">
        <v>25</v>
      </c>
      <c r="D14" s="18"/>
      <c r="E14" s="18"/>
      <c r="F14" s="18"/>
      <c r="G14" s="18"/>
      <c r="H14" s="18"/>
      <c r="I14" s="18"/>
      <c r="J14" s="43">
        <f>'Loan List'!HV8</f>
        <v>6719880.4900000002</v>
      </c>
      <c r="K14" s="32"/>
      <c r="L14" s="33"/>
      <c r="O14" s="42">
        <f>+O33</f>
        <v>220000000</v>
      </c>
      <c r="P14" s="38" t="s">
        <v>20</v>
      </c>
      <c r="R14"/>
      <c r="S14"/>
      <c r="T14" s="395"/>
    </row>
    <row r="15" spans="1:20" ht="15">
      <c r="A15" s="30"/>
      <c r="B15" s="39"/>
      <c r="C15" s="30" t="s">
        <v>26</v>
      </c>
      <c r="D15" s="18"/>
      <c r="E15" s="18"/>
      <c r="F15" s="18"/>
      <c r="G15" s="18"/>
      <c r="H15" s="18"/>
      <c r="I15" s="18"/>
      <c r="J15" s="43">
        <f>'Loan List'!HZ8</f>
        <v>0</v>
      </c>
      <c r="K15" s="32"/>
      <c r="L15" s="33"/>
      <c r="O15" s="44">
        <f>SUM(O13:O14)</f>
        <v>682400000</v>
      </c>
      <c r="P15" s="45" t="s">
        <v>22</v>
      </c>
      <c r="R15"/>
      <c r="S15"/>
      <c r="T15" s="395"/>
    </row>
    <row r="16" spans="1:20" ht="15">
      <c r="A16" s="30"/>
      <c r="B16" s="39"/>
      <c r="C16" s="30" t="s">
        <v>27</v>
      </c>
      <c r="D16" s="18"/>
      <c r="E16" s="18"/>
      <c r="F16" s="18"/>
      <c r="G16" s="18"/>
      <c r="H16" s="18"/>
      <c r="I16" s="18"/>
      <c r="J16" s="43">
        <f>'Loan List'!HY8</f>
        <v>94168133.252849996</v>
      </c>
      <c r="K16" s="32"/>
      <c r="L16" s="33"/>
      <c r="O16" s="34" t="s">
        <v>8</v>
      </c>
      <c r="P16" s="35"/>
      <c r="R16"/>
      <c r="S16"/>
      <c r="T16" s="395"/>
    </row>
    <row r="17" spans="1:20" ht="15">
      <c r="A17" s="30"/>
      <c r="B17" s="39"/>
      <c r="C17" s="30"/>
      <c r="D17" s="18"/>
      <c r="E17" s="18"/>
      <c r="F17" s="18"/>
      <c r="G17" s="18"/>
      <c r="H17" s="18"/>
      <c r="I17" s="18"/>
      <c r="J17" s="43"/>
      <c r="K17" s="32"/>
      <c r="L17" s="33"/>
      <c r="O17" s="46">
        <v>2000000</v>
      </c>
      <c r="P17" s="38" t="s">
        <v>17</v>
      </c>
      <c r="R17"/>
      <c r="S17"/>
      <c r="T17" s="395"/>
    </row>
    <row r="18" spans="1:20">
      <c r="A18" s="30"/>
      <c r="B18" s="39" t="s">
        <v>28</v>
      </c>
      <c r="C18" s="30" t="s">
        <v>29</v>
      </c>
      <c r="D18" s="18"/>
      <c r="E18" s="18"/>
      <c r="F18" s="18"/>
      <c r="G18" s="18"/>
      <c r="H18" s="18"/>
      <c r="I18" s="18"/>
      <c r="J18" s="43">
        <f>'Loan List'!HH6</f>
        <v>956213.27491820953</v>
      </c>
      <c r="K18" s="32"/>
      <c r="L18" s="33"/>
      <c r="O18" s="42">
        <v>0</v>
      </c>
      <c r="P18" s="38" t="s">
        <v>20</v>
      </c>
    </row>
    <row r="19" spans="1:20">
      <c r="A19" s="30"/>
      <c r="B19" s="18"/>
      <c r="C19" s="18"/>
      <c r="D19" s="18"/>
      <c r="E19" s="18"/>
      <c r="F19" s="18"/>
      <c r="G19" s="18"/>
      <c r="H19" s="18"/>
      <c r="I19" s="18"/>
      <c r="J19" s="47"/>
      <c r="K19" s="32"/>
      <c r="L19" s="48"/>
      <c r="O19" s="44">
        <f>SUM(O17:O18)</f>
        <v>2000000</v>
      </c>
      <c r="P19" s="45" t="s">
        <v>22</v>
      </c>
    </row>
    <row r="20" spans="1:20">
      <c r="A20" s="30" t="s">
        <v>30</v>
      </c>
      <c r="B20" s="18"/>
      <c r="C20" s="18"/>
      <c r="D20" s="18"/>
      <c r="E20" s="18"/>
      <c r="F20" s="18"/>
      <c r="G20" s="18"/>
      <c r="H20" s="18"/>
      <c r="I20" s="18"/>
      <c r="J20" s="31">
        <f>MIN(J27,J35,J40)</f>
        <v>692321077.58009839</v>
      </c>
      <c r="K20" s="49"/>
      <c r="L20" s="50"/>
      <c r="O20" s="34" t="s">
        <v>10</v>
      </c>
      <c r="P20" s="35"/>
    </row>
    <row r="21" spans="1:20">
      <c r="A21" s="30"/>
      <c r="B21" s="18"/>
      <c r="C21" s="18"/>
      <c r="D21" s="18"/>
      <c r="E21" s="18"/>
      <c r="F21" s="18"/>
      <c r="G21" s="18"/>
      <c r="H21" s="18"/>
      <c r="I21" s="18"/>
      <c r="J21" s="43"/>
      <c r="K21" s="32"/>
      <c r="L21" s="33"/>
      <c r="O21" s="46">
        <v>0</v>
      </c>
      <c r="P21" s="38" t="s">
        <v>17</v>
      </c>
    </row>
    <row r="22" spans="1:20">
      <c r="A22" s="30"/>
      <c r="B22" s="18"/>
      <c r="C22" s="18" t="s">
        <v>31</v>
      </c>
      <c r="D22" s="18"/>
      <c r="E22" s="18"/>
      <c r="F22" s="18"/>
      <c r="G22" s="18"/>
      <c r="H22" s="18"/>
      <c r="I22" s="18"/>
      <c r="J22" s="43"/>
      <c r="K22" s="32"/>
      <c r="L22" s="33"/>
      <c r="O22" s="42">
        <v>0</v>
      </c>
      <c r="P22" s="38" t="s">
        <v>20</v>
      </c>
    </row>
    <row r="23" spans="1:20">
      <c r="A23" s="30"/>
      <c r="B23" s="18"/>
      <c r="C23" s="18"/>
      <c r="D23" s="18"/>
      <c r="E23" s="18"/>
      <c r="F23" s="18"/>
      <c r="G23" s="18"/>
      <c r="H23" s="18"/>
      <c r="I23" s="18"/>
      <c r="J23" s="43"/>
      <c r="K23" s="32"/>
      <c r="L23" s="33"/>
      <c r="O23" s="44">
        <f>SUM(O21:O22)</f>
        <v>0</v>
      </c>
      <c r="P23" s="45" t="s">
        <v>22</v>
      </c>
    </row>
    <row r="24" spans="1:20">
      <c r="A24" s="30"/>
      <c r="B24" s="39" t="s">
        <v>18</v>
      </c>
      <c r="C24" s="3"/>
      <c r="D24" s="30" t="s">
        <v>32</v>
      </c>
      <c r="E24" s="18"/>
      <c r="F24" s="18"/>
      <c r="G24" s="18"/>
      <c r="H24" s="18"/>
      <c r="I24" s="18"/>
      <c r="J24" s="43">
        <v>718000000</v>
      </c>
      <c r="K24" s="52"/>
      <c r="L24" s="33"/>
      <c r="O24" s="53"/>
      <c r="P24" s="54"/>
    </row>
    <row r="25" spans="1:20">
      <c r="A25" s="30"/>
      <c r="B25" s="39"/>
      <c r="C25" s="3"/>
      <c r="D25" s="30" t="s">
        <v>33</v>
      </c>
      <c r="E25" s="18"/>
      <c r="F25" s="18"/>
      <c r="G25" s="18"/>
      <c r="H25" s="18"/>
      <c r="I25" s="18"/>
      <c r="J25" s="51">
        <f>'Loan List'!$DG$6</f>
        <v>6719880.4900000002</v>
      </c>
      <c r="K25" s="52"/>
      <c r="L25" s="33"/>
      <c r="O25" s="55">
        <f>+O11*Inputs!J14+'Borrowing Base'!O15+'Borrowing Base'!O19*Inputs!J13+'Borrowing Base'!O23*Inputs!J15</f>
        <v>683842760</v>
      </c>
      <c r="P25" s="54"/>
    </row>
    <row r="26" spans="1:20">
      <c r="A26" s="30"/>
      <c r="B26" s="39"/>
      <c r="C26" s="3"/>
      <c r="D26" s="30" t="s">
        <v>34</v>
      </c>
      <c r="E26" s="18"/>
      <c r="F26" s="18"/>
      <c r="G26" s="18"/>
      <c r="H26" s="18"/>
      <c r="I26" s="18"/>
      <c r="J26" s="56">
        <v>0</v>
      </c>
      <c r="K26" s="52"/>
      <c r="L26" s="33"/>
      <c r="O26" s="57">
        <f>+J46-O25</f>
        <v>0</v>
      </c>
      <c r="P26" s="54" t="s">
        <v>16</v>
      </c>
    </row>
    <row r="27" spans="1:20">
      <c r="A27" s="30"/>
      <c r="B27" s="39"/>
      <c r="C27" s="58"/>
      <c r="D27" s="59"/>
      <c r="E27" s="60"/>
      <c r="F27" s="60"/>
      <c r="G27" s="60"/>
      <c r="H27" s="60"/>
      <c r="I27" s="60"/>
      <c r="J27" s="61">
        <f>J24-J25+J26</f>
        <v>711280119.50999999</v>
      </c>
      <c r="K27" s="52"/>
      <c r="L27" s="33"/>
      <c r="O27" s="62"/>
      <c r="P27" s="54"/>
    </row>
    <row r="28" spans="1:20">
      <c r="A28" s="30"/>
      <c r="B28" s="18"/>
      <c r="C28" s="18"/>
      <c r="D28" s="18"/>
      <c r="E28" s="18"/>
      <c r="F28" s="18"/>
      <c r="G28" s="18"/>
      <c r="H28" s="18"/>
      <c r="I28" s="18"/>
      <c r="J28" s="43"/>
      <c r="K28" s="32"/>
      <c r="L28" s="33"/>
      <c r="O28" s="63">
        <f>+J53</f>
        <v>8478317.5800983906</v>
      </c>
      <c r="P28" s="54" t="s">
        <v>35</v>
      </c>
    </row>
    <row r="29" spans="1:20">
      <c r="A29" s="30"/>
      <c r="B29" s="39" t="s">
        <v>28</v>
      </c>
      <c r="C29" s="18" t="s">
        <v>36</v>
      </c>
      <c r="D29" s="30" t="s">
        <v>37</v>
      </c>
      <c r="E29" s="18"/>
      <c r="F29" s="18"/>
      <c r="G29" s="18"/>
      <c r="H29" s="18"/>
      <c r="I29" s="18"/>
      <c r="J29" s="43">
        <f>'Borrowing Base'!J8</f>
        <v>965011870.68313444</v>
      </c>
      <c r="K29" s="64"/>
      <c r="L29" s="33"/>
      <c r="O29" s="65">
        <f>+J18</f>
        <v>956213.27491820953</v>
      </c>
      <c r="P29" s="54" t="s">
        <v>38</v>
      </c>
    </row>
    <row r="30" spans="1:20">
      <c r="A30" s="30"/>
      <c r="B30" s="39"/>
      <c r="C30" s="18"/>
      <c r="D30" s="30" t="s">
        <v>39</v>
      </c>
      <c r="E30" s="18"/>
      <c r="F30" s="18"/>
      <c r="G30" s="18"/>
      <c r="H30" s="18"/>
      <c r="I30" s="18"/>
      <c r="J30" s="66">
        <f>'Loan List'!AZ2</f>
        <v>0.71355358936583357</v>
      </c>
      <c r="K30" s="67"/>
      <c r="L30" s="33"/>
      <c r="O30" s="62"/>
      <c r="P30" s="54"/>
    </row>
    <row r="31" spans="1:20">
      <c r="A31" s="30"/>
      <c r="B31" s="39"/>
      <c r="C31" s="18" t="s">
        <v>40</v>
      </c>
      <c r="D31" s="30" t="s">
        <v>41</v>
      </c>
      <c r="E31" s="18"/>
      <c r="F31" s="18"/>
      <c r="G31" s="18"/>
      <c r="H31" s="18"/>
      <c r="I31" s="18"/>
      <c r="J31" s="43">
        <f>'Loan List'!DM6</f>
        <v>130314.39059501927</v>
      </c>
      <c r="K31" s="67"/>
      <c r="L31" s="33"/>
      <c r="O31" s="68" t="s">
        <v>7</v>
      </c>
      <c r="P31" s="69"/>
    </row>
    <row r="32" spans="1:20">
      <c r="A32" s="30"/>
      <c r="B32" s="39"/>
      <c r="C32" s="18" t="s">
        <v>42</v>
      </c>
      <c r="D32" s="30" t="s">
        <v>33</v>
      </c>
      <c r="E32" s="18"/>
      <c r="F32" s="18"/>
      <c r="G32" s="18"/>
      <c r="H32" s="18"/>
      <c r="I32" s="18"/>
      <c r="J32" s="51">
        <f>'Loan List'!$DG$6</f>
        <v>6719880.4900000002</v>
      </c>
      <c r="K32" s="67"/>
      <c r="L32" s="33"/>
      <c r="O32" s="70">
        <v>29681561.670000002</v>
      </c>
      <c r="P32" s="71" t="s">
        <v>43</v>
      </c>
    </row>
    <row r="33" spans="1:18">
      <c r="A33" s="30"/>
      <c r="B33" s="18"/>
      <c r="C33" s="18" t="s">
        <v>44</v>
      </c>
      <c r="D33" s="30" t="s">
        <v>45</v>
      </c>
      <c r="E33" s="18"/>
      <c r="F33" s="18"/>
      <c r="G33" s="18"/>
      <c r="H33" s="18"/>
      <c r="I33" s="18"/>
      <c r="J33" s="56">
        <f>+O51+O59*Inputs!J13+'Borrowing Base'!O67*Inputs!J15+'Borrowing Base'!O75*Inputs!J14</f>
        <v>10583588.354105217</v>
      </c>
      <c r="K33" s="72"/>
      <c r="L33" s="33"/>
      <c r="O33" s="73">
        <v>220000000</v>
      </c>
      <c r="P33" s="74" t="s">
        <v>20</v>
      </c>
    </row>
    <row r="34" spans="1:18">
      <c r="A34" s="30"/>
      <c r="B34" s="18"/>
      <c r="C34" s="18" t="s">
        <v>46</v>
      </c>
      <c r="D34" s="30" t="s">
        <v>34</v>
      </c>
      <c r="E34" s="18"/>
      <c r="F34" s="18"/>
      <c r="G34" s="18"/>
      <c r="H34" s="18"/>
      <c r="I34" s="18"/>
      <c r="J34" s="75">
        <f>J26</f>
        <v>0</v>
      </c>
      <c r="K34" s="72"/>
      <c r="L34" s="33"/>
      <c r="O34" s="416">
        <f>SUM(O32:O33)</f>
        <v>249681561.67000002</v>
      </c>
      <c r="P34" s="76" t="s">
        <v>47</v>
      </c>
    </row>
    <row r="35" spans="1:18">
      <c r="A35" s="30"/>
      <c r="B35" s="18"/>
      <c r="C35" s="60"/>
      <c r="D35" s="59"/>
      <c r="E35" s="60"/>
      <c r="F35" s="60"/>
      <c r="G35" s="60"/>
      <c r="H35" s="60"/>
      <c r="I35" s="60"/>
      <c r="J35" s="77">
        <f>(J29*J30)-J31-J32+J33+J34</f>
        <v>692321077.58009839</v>
      </c>
      <c r="K35" s="419"/>
      <c r="L35" s="348"/>
      <c r="M35" s="13"/>
      <c r="O35" s="418">
        <v>-189760365</v>
      </c>
      <c r="P35" s="79" t="s">
        <v>718</v>
      </c>
    </row>
    <row r="36" spans="1:18">
      <c r="A36" s="30"/>
      <c r="B36" s="18"/>
      <c r="C36" s="18"/>
      <c r="D36" s="30"/>
      <c r="E36" s="18"/>
      <c r="F36" s="18"/>
      <c r="G36" s="18"/>
      <c r="H36" s="18"/>
      <c r="I36" s="18"/>
      <c r="J36" s="43"/>
      <c r="K36" s="32"/>
      <c r="L36" s="33"/>
      <c r="O36" s="418">
        <v>-49500000</v>
      </c>
      <c r="P36" s="79" t="s">
        <v>719</v>
      </c>
    </row>
    <row r="37" spans="1:18">
      <c r="A37" s="30"/>
      <c r="B37" s="39" t="s">
        <v>48</v>
      </c>
      <c r="C37" s="18" t="s">
        <v>18</v>
      </c>
      <c r="D37" s="30" t="s">
        <v>49</v>
      </c>
      <c r="E37" s="18"/>
      <c r="F37" s="18"/>
      <c r="G37" s="18"/>
      <c r="H37" s="18"/>
      <c r="I37" s="18"/>
      <c r="J37" s="43">
        <f>J10-J14</f>
        <v>965968083.95805264</v>
      </c>
      <c r="K37" s="32"/>
      <c r="L37" s="33"/>
      <c r="O37" s="418"/>
      <c r="P37" s="79"/>
    </row>
    <row r="38" spans="1:18">
      <c r="A38" s="30"/>
      <c r="B38" s="18"/>
      <c r="C38" s="18" t="s">
        <v>28</v>
      </c>
      <c r="D38" s="30" t="s">
        <v>50</v>
      </c>
      <c r="E38" s="18"/>
      <c r="F38" s="18"/>
      <c r="G38" s="18"/>
      <c r="H38" s="18"/>
      <c r="I38" s="18"/>
      <c r="J38" s="43">
        <f>MAX(Inputs!J9,SUM(LARGE('Loan List'!$HM$10:$HM$406,1),LARGE('Loan List'!$HM$10:$HM$406,2),LARGE('Loan List'!$HM$10:$HM$406,3)))</f>
        <v>128975161</v>
      </c>
      <c r="K38" s="32"/>
      <c r="L38" s="32"/>
      <c r="O38" s="78"/>
      <c r="P38" s="79"/>
    </row>
    <row r="39" spans="1:18">
      <c r="A39" s="30"/>
      <c r="B39" s="39"/>
      <c r="C39" s="80" t="s">
        <v>48</v>
      </c>
      <c r="D39" s="30" t="s">
        <v>45</v>
      </c>
      <c r="E39" s="18"/>
      <c r="F39" s="18"/>
      <c r="G39" s="18"/>
      <c r="H39" s="18"/>
      <c r="I39" s="18"/>
      <c r="J39" s="43">
        <f>J33</f>
        <v>10583588.354105217</v>
      </c>
      <c r="K39" s="32"/>
      <c r="L39" s="33"/>
      <c r="O39" s="78"/>
      <c r="P39" s="79"/>
    </row>
    <row r="40" spans="1:18">
      <c r="A40" s="30"/>
      <c r="B40" s="18"/>
      <c r="C40" s="60"/>
      <c r="D40" s="60"/>
      <c r="E40" s="60"/>
      <c r="F40" s="60"/>
      <c r="G40" s="60"/>
      <c r="H40" s="60"/>
      <c r="I40" s="60"/>
      <c r="J40" s="77">
        <f>J37-J38+J39</f>
        <v>847576511.31215787</v>
      </c>
      <c r="K40" s="32"/>
      <c r="L40" s="33"/>
      <c r="O40" s="78"/>
      <c r="P40" s="79"/>
      <c r="R40" s="421"/>
    </row>
    <row r="41" spans="1:18">
      <c r="A41" s="30"/>
      <c r="B41" s="18"/>
      <c r="C41" s="18"/>
      <c r="D41" s="18"/>
      <c r="E41" s="18"/>
      <c r="F41" s="18"/>
      <c r="G41" s="18"/>
      <c r="H41" s="18"/>
      <c r="I41" s="18"/>
      <c r="J41" s="81"/>
      <c r="K41" s="32"/>
      <c r="L41" s="33"/>
      <c r="O41" s="78"/>
      <c r="P41" s="79"/>
    </row>
    <row r="42" spans="1:18">
      <c r="A42" s="82" t="s">
        <v>51</v>
      </c>
      <c r="B42" s="82"/>
      <c r="C42" s="83"/>
      <c r="D42" s="83"/>
      <c r="E42" s="83"/>
      <c r="F42" s="84"/>
      <c r="G42" s="84"/>
      <c r="H42" s="84"/>
      <c r="I42" s="85"/>
      <c r="J42" s="86"/>
      <c r="K42" s="32"/>
      <c r="L42" s="33"/>
      <c r="O42" s="78"/>
      <c r="P42" s="79"/>
    </row>
    <row r="43" spans="1:18">
      <c r="A43" s="82"/>
      <c r="B43" s="82"/>
      <c r="C43" s="83"/>
      <c r="D43" s="83"/>
      <c r="E43" s="83"/>
      <c r="F43" s="84"/>
      <c r="G43" s="84"/>
      <c r="H43" s="84"/>
      <c r="I43" s="85"/>
      <c r="J43" s="86"/>
      <c r="K43" s="32"/>
      <c r="L43" s="33"/>
      <c r="O43" s="78"/>
      <c r="P43" s="79"/>
    </row>
    <row r="44" spans="1:18">
      <c r="A44" s="87" t="s">
        <v>52</v>
      </c>
      <c r="B44" s="87"/>
      <c r="C44" s="30"/>
      <c r="D44" s="83"/>
      <c r="E44" s="30"/>
      <c r="F44" s="30"/>
      <c r="G44" s="30"/>
      <c r="H44" s="30"/>
      <c r="I44" s="30"/>
      <c r="J44" s="88">
        <f>+O13+O9*Inputs!J14+'Borrowing Base'!O17*Inputs!J13+'Borrowing Base'!O21*Inputs!J15</f>
        <v>463842760</v>
      </c>
      <c r="K44" s="89"/>
      <c r="L44" s="33"/>
      <c r="O44" s="78"/>
      <c r="P44" s="79"/>
    </row>
    <row r="45" spans="1:18">
      <c r="A45" s="87" t="str">
        <f>"Advances/(Repayments) during the period through and including " &amp; TEXT(Inputs!J8,"mm/dd/yyyy")</f>
        <v>Advances/(Repayments) during the period through and including 08/24/2025</v>
      </c>
      <c r="B45" s="87"/>
      <c r="C45" s="30"/>
      <c r="D45" s="30"/>
      <c r="E45" s="30"/>
      <c r="F45" s="30"/>
      <c r="G45" s="30"/>
      <c r="H45" s="30"/>
      <c r="I45" s="30"/>
      <c r="J45" s="88">
        <f>+O14+O10*Inputs!J14+'Borrowing Base'!O18*Inputs!J13+'Borrowing Base'!O22*Inputs!J15</f>
        <v>220000000</v>
      </c>
      <c r="K45" s="72"/>
      <c r="L45" s="33"/>
      <c r="O45" s="78"/>
      <c r="P45" s="79"/>
    </row>
    <row r="46" spans="1:18" ht="13.5" thickBot="1">
      <c r="A46" s="90" t="str">
        <f>"Advances Outstanding as of " &amp; TEXT(Inputs!J8,"m/d/yy")</f>
        <v>Advances Outstanding as of 8/24/25</v>
      </c>
      <c r="B46" s="87"/>
      <c r="C46" s="30"/>
      <c r="D46" s="30"/>
      <c r="E46" s="30"/>
      <c r="F46" s="30"/>
      <c r="G46" s="30"/>
      <c r="H46" s="30"/>
      <c r="I46" s="30"/>
      <c r="J46" s="91">
        <f>J44+J45</f>
        <v>683842760</v>
      </c>
      <c r="K46" s="41"/>
      <c r="L46" s="33"/>
      <c r="O46" s="78"/>
      <c r="P46" s="79"/>
    </row>
    <row r="47" spans="1:18" ht="13.5" thickTop="1">
      <c r="A47" s="30"/>
      <c r="B47" s="18"/>
      <c r="C47" s="18"/>
      <c r="D47" s="18"/>
      <c r="E47" s="18"/>
      <c r="F47" s="18"/>
      <c r="G47" s="18"/>
      <c r="H47" s="18"/>
      <c r="I47" s="18"/>
      <c r="J47" s="47"/>
      <c r="K47" s="41"/>
      <c r="L47" s="33"/>
      <c r="O47" s="78"/>
      <c r="P47" s="79"/>
    </row>
    <row r="48" spans="1:18" ht="15">
      <c r="A48" s="82" t="s">
        <v>53</v>
      </c>
      <c r="B48" s="82"/>
      <c r="C48" s="83"/>
      <c r="D48" s="83"/>
      <c r="E48" s="83"/>
      <c r="F48" s="84"/>
      <c r="G48" s="84"/>
      <c r="H48" s="84"/>
      <c r="I48" s="85"/>
      <c r="J48"/>
      <c r="K48" s="92"/>
      <c r="L48" s="93"/>
      <c r="O48" s="78"/>
      <c r="P48" s="79"/>
    </row>
    <row r="49" spans="1:16">
      <c r="A49" s="82"/>
      <c r="B49" s="82"/>
      <c r="C49" s="83"/>
      <c r="D49" s="83"/>
      <c r="E49" s="83"/>
      <c r="F49" s="84"/>
      <c r="G49" s="84"/>
      <c r="H49" s="84"/>
      <c r="I49" s="85"/>
      <c r="J49" s="94"/>
      <c r="K49" s="64"/>
      <c r="L49" s="93"/>
      <c r="O49" s="78"/>
      <c r="P49" s="79"/>
    </row>
    <row r="50" spans="1:16">
      <c r="A50" s="30"/>
      <c r="B50" s="39" t="s">
        <v>54</v>
      </c>
      <c r="C50" s="30" t="s">
        <v>55</v>
      </c>
      <c r="D50" s="18"/>
      <c r="E50" s="18"/>
      <c r="F50" s="18"/>
      <c r="G50" s="18"/>
      <c r="H50" s="18"/>
      <c r="I50" s="18"/>
      <c r="J50" s="43">
        <f>$J$20</f>
        <v>692321077.58009839</v>
      </c>
      <c r="K50" s="89"/>
      <c r="L50" s="95"/>
      <c r="O50" s="78"/>
      <c r="P50" s="79"/>
    </row>
    <row r="51" spans="1:16">
      <c r="A51" s="30"/>
      <c r="B51" s="39" t="s">
        <v>56</v>
      </c>
      <c r="C51" s="30" t="s">
        <v>57</v>
      </c>
      <c r="D51" s="3"/>
      <c r="E51" s="18"/>
      <c r="F51" s="18"/>
      <c r="G51" s="18"/>
      <c r="H51" s="18"/>
      <c r="I51" s="18"/>
      <c r="J51" s="43">
        <f>J46</f>
        <v>683842760</v>
      </c>
      <c r="K51" s="89"/>
      <c r="L51" s="33"/>
      <c r="O51" s="96">
        <f>SUM(O34:O50)</f>
        <v>10421196.670000017</v>
      </c>
      <c r="P51" s="97" t="s">
        <v>58</v>
      </c>
    </row>
    <row r="52" spans="1:16">
      <c r="A52" s="30"/>
      <c r="B52" s="39"/>
      <c r="C52" s="30"/>
      <c r="D52" s="3"/>
      <c r="E52" s="18"/>
      <c r="F52" s="18"/>
      <c r="G52" s="18"/>
      <c r="H52" s="18"/>
      <c r="I52" s="18"/>
      <c r="J52" s="75"/>
      <c r="K52" s="89"/>
      <c r="L52" s="33"/>
      <c r="O52" s="53"/>
      <c r="P52" s="54"/>
    </row>
    <row r="53" spans="1:16">
      <c r="A53" s="30" t="s">
        <v>59</v>
      </c>
      <c r="B53" s="30"/>
      <c r="C53" s="30"/>
      <c r="D53" s="30"/>
      <c r="E53" s="30"/>
      <c r="F53" s="30"/>
      <c r="G53" s="30"/>
      <c r="H53" s="30"/>
      <c r="I53" s="30"/>
      <c r="J53" s="94">
        <f>J50-J51</f>
        <v>8478317.5800983906</v>
      </c>
      <c r="K53" s="98"/>
      <c r="L53" s="99"/>
      <c r="O53" s="68" t="s">
        <v>8</v>
      </c>
      <c r="P53" s="69"/>
    </row>
    <row r="54" spans="1:16">
      <c r="A54" s="30"/>
      <c r="B54" s="30"/>
      <c r="C54" s="30"/>
      <c r="D54" s="30"/>
      <c r="E54" s="30"/>
      <c r="F54" s="30"/>
      <c r="G54" s="30"/>
      <c r="H54" s="30"/>
      <c r="I54" s="30"/>
      <c r="J54" s="94"/>
      <c r="K54" s="98"/>
      <c r="L54" s="99"/>
      <c r="O54" s="102">
        <v>225112.54</v>
      </c>
      <c r="P54" s="71" t="s">
        <v>43</v>
      </c>
    </row>
    <row r="55" spans="1:16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86"/>
      <c r="L55" s="101"/>
      <c r="O55" s="73"/>
      <c r="P55" s="104" t="s">
        <v>20</v>
      </c>
    </row>
    <row r="56" spans="1:16">
      <c r="A56" s="30" t="s">
        <v>60</v>
      </c>
      <c r="B56" s="30"/>
      <c r="C56" s="30"/>
      <c r="D56" s="30"/>
      <c r="E56" s="30"/>
      <c r="F56" s="30"/>
      <c r="G56" s="30"/>
      <c r="H56" s="30"/>
      <c r="I56" s="30"/>
      <c r="J56" s="103" t="str">
        <f>Compliance!J75</f>
        <v>PASS</v>
      </c>
      <c r="K56" s="18"/>
      <c r="L56" s="21"/>
      <c r="O56" s="42"/>
      <c r="P56" s="105"/>
    </row>
    <row r="57" spans="1:16">
      <c r="A57" s="30" t="s">
        <v>61</v>
      </c>
      <c r="B57" s="30"/>
      <c r="C57" s="30"/>
      <c r="D57" s="30"/>
      <c r="E57" s="30"/>
      <c r="F57" s="30"/>
      <c r="G57" s="30"/>
      <c r="H57" s="30"/>
      <c r="I57" s="30"/>
      <c r="J57" s="103" t="str">
        <f>Compliance!J5</f>
        <v>PASS</v>
      </c>
      <c r="K57" s="18"/>
      <c r="L57" s="21"/>
      <c r="O57" s="102">
        <f>SUM(O54:O56)</f>
        <v>225112.54</v>
      </c>
      <c r="P57" s="71" t="s">
        <v>47</v>
      </c>
    </row>
    <row r="58" spans="1:16">
      <c r="A58" s="30" t="s">
        <v>62</v>
      </c>
      <c r="B58" s="30"/>
      <c r="C58" s="3"/>
      <c r="D58" s="30"/>
      <c r="E58" s="30"/>
      <c r="F58" s="30"/>
      <c r="G58" s="30"/>
      <c r="H58" s="30"/>
      <c r="I58" s="30"/>
      <c r="J58" s="103" t="str">
        <f>Concentrations!O5</f>
        <v>PASS</v>
      </c>
      <c r="K58" s="18"/>
      <c r="L58" s="30"/>
      <c r="O58" s="107"/>
      <c r="P58" s="38"/>
    </row>
    <row r="59" spans="1:16">
      <c r="A59" s="3"/>
      <c r="B59" s="3" t="s">
        <v>63</v>
      </c>
      <c r="C59" s="3"/>
      <c r="D59" s="3"/>
      <c r="E59" s="3"/>
      <c r="F59" s="3"/>
      <c r="G59" s="3"/>
      <c r="H59" s="3"/>
      <c r="I59" s="3"/>
      <c r="J59" s="106" t="s">
        <v>64</v>
      </c>
      <c r="O59" s="96">
        <f>SUM(O57:O58)</f>
        <v>225112.54</v>
      </c>
      <c r="P59" s="97" t="s">
        <v>58</v>
      </c>
    </row>
    <row r="60" spans="1:16">
      <c r="A60" s="3"/>
      <c r="B60" s="3"/>
      <c r="C60" s="3"/>
      <c r="D60" s="3"/>
      <c r="E60" s="3"/>
      <c r="F60" s="3"/>
      <c r="G60" s="3"/>
      <c r="H60" s="3"/>
      <c r="I60" s="3"/>
      <c r="J60" s="108"/>
      <c r="O60" s="53"/>
      <c r="P60" s="54"/>
    </row>
    <row r="61" spans="1:16" ht="15">
      <c r="B61" s="110" t="s">
        <v>65</v>
      </c>
      <c r="C61" s="111"/>
      <c r="D61" s="111"/>
      <c r="E61" s="111"/>
      <c r="F61" s="111"/>
      <c r="G61" s="111"/>
      <c r="H61" s="3"/>
      <c r="I61" s="3"/>
      <c r="O61" s="68" t="s">
        <v>10</v>
      </c>
      <c r="P61" s="69"/>
    </row>
    <row r="62" spans="1:16">
      <c r="B62" s="112" t="s">
        <v>66</v>
      </c>
      <c r="C62" s="113"/>
      <c r="D62" s="112"/>
      <c r="E62" s="113"/>
      <c r="F62" s="112"/>
      <c r="G62" s="113"/>
      <c r="H62" s="3"/>
      <c r="I62" s="3"/>
      <c r="O62" s="102">
        <v>0</v>
      </c>
      <c r="P62" s="71" t="s">
        <v>43</v>
      </c>
    </row>
    <row r="63" spans="1:16">
      <c r="B63" s="113"/>
      <c r="C63" s="113"/>
      <c r="D63" s="113"/>
      <c r="E63" s="113"/>
      <c r="F63" s="113"/>
      <c r="G63" s="113"/>
      <c r="H63" s="3"/>
      <c r="I63" s="3"/>
      <c r="O63" s="73"/>
      <c r="P63" s="104" t="s">
        <v>20</v>
      </c>
    </row>
    <row r="64" spans="1:16" ht="13.5" thickBot="1">
      <c r="B64" s="114"/>
      <c r="C64" s="115"/>
      <c r="D64" s="114"/>
      <c r="E64" s="115"/>
      <c r="F64" s="114"/>
      <c r="G64" s="115"/>
      <c r="H64" s="115"/>
      <c r="I64" s="116"/>
      <c r="O64" s="42"/>
      <c r="P64" s="105"/>
    </row>
    <row r="65" spans="2:16">
      <c r="B65" s="113"/>
      <c r="C65" s="113" t="s">
        <v>67</v>
      </c>
      <c r="D65" s="113"/>
      <c r="E65" s="113"/>
      <c r="F65" s="113"/>
      <c r="G65" s="113"/>
      <c r="H65" s="113"/>
      <c r="I65" s="116"/>
      <c r="O65" s="102">
        <f>SUM(O62:O64)</f>
        <v>0</v>
      </c>
      <c r="P65" s="71" t="s">
        <v>47</v>
      </c>
    </row>
    <row r="66" spans="2:16">
      <c r="B66" s="113"/>
      <c r="C66" s="113"/>
      <c r="D66" s="113"/>
      <c r="E66" s="113"/>
      <c r="F66" s="113"/>
      <c r="G66" s="113"/>
      <c r="H66" s="113"/>
      <c r="I66" s="116"/>
      <c r="O66" s="107"/>
      <c r="P66" s="38"/>
    </row>
    <row r="67" spans="2:16" ht="13.5" thickBot="1">
      <c r="B67" s="114"/>
      <c r="C67" s="115" t="s">
        <v>553</v>
      </c>
      <c r="D67" s="114"/>
      <c r="E67" s="115"/>
      <c r="F67" s="114"/>
      <c r="G67" s="115"/>
      <c r="H67" s="115"/>
      <c r="I67" s="116"/>
      <c r="O67" s="96">
        <f>SUM(O65:O66)</f>
        <v>0</v>
      </c>
      <c r="P67" s="97" t="s">
        <v>58</v>
      </c>
    </row>
    <row r="68" spans="2:16">
      <c r="B68" s="113"/>
      <c r="C68" s="113" t="s">
        <v>68</v>
      </c>
      <c r="D68" s="113"/>
      <c r="E68" s="113"/>
      <c r="F68" s="113"/>
      <c r="G68" s="113"/>
      <c r="H68" s="113"/>
      <c r="I68" s="116"/>
      <c r="O68" s="53"/>
      <c r="P68" s="54"/>
    </row>
    <row r="69" spans="2:16">
      <c r="B69" s="113"/>
      <c r="C69" s="113"/>
      <c r="D69" s="113"/>
      <c r="E69" s="113"/>
      <c r="F69" s="113"/>
      <c r="G69" s="113"/>
      <c r="H69" s="113"/>
      <c r="I69" s="116"/>
      <c r="O69" s="68" t="s">
        <v>9</v>
      </c>
      <c r="P69" s="69"/>
    </row>
    <row r="70" spans="2:16" ht="13.5" thickBot="1">
      <c r="B70" s="114"/>
      <c r="C70" s="115" t="s">
        <v>554</v>
      </c>
      <c r="D70" s="114"/>
      <c r="E70" s="115"/>
      <c r="F70" s="114"/>
      <c r="G70" s="115"/>
      <c r="H70" s="115"/>
      <c r="I70" s="116"/>
      <c r="O70" s="102">
        <v>0</v>
      </c>
      <c r="P70" s="71" t="s">
        <v>43</v>
      </c>
    </row>
    <row r="71" spans="2:16">
      <c r="B71" s="113"/>
      <c r="C71" s="113" t="s">
        <v>69</v>
      </c>
      <c r="D71" s="113"/>
      <c r="E71" s="113"/>
      <c r="F71" s="113"/>
      <c r="G71" s="113"/>
      <c r="H71" s="113"/>
      <c r="I71" s="116"/>
      <c r="O71" s="73"/>
      <c r="P71" s="117" t="s">
        <v>20</v>
      </c>
    </row>
    <row r="72" spans="2:16">
      <c r="B72" s="113"/>
      <c r="C72" s="113"/>
      <c r="D72" s="113"/>
      <c r="E72" s="113"/>
      <c r="F72" s="113"/>
      <c r="G72" s="113"/>
      <c r="H72" s="113"/>
      <c r="I72" s="116"/>
      <c r="O72" s="119"/>
      <c r="P72" s="79"/>
    </row>
    <row r="73" spans="2:16" ht="15.75" customHeight="1" thickBot="1">
      <c r="B73" s="114"/>
      <c r="C73" s="457">
        <f ca="1">TODAY()</f>
        <v>45896</v>
      </c>
      <c r="D73" s="457"/>
      <c r="E73" s="457"/>
      <c r="F73" s="114"/>
      <c r="G73" s="118"/>
      <c r="H73" s="118"/>
      <c r="I73" s="116"/>
      <c r="O73" s="102">
        <f>SUM(O70:O72)</f>
        <v>0</v>
      </c>
      <c r="P73" s="71" t="s">
        <v>47</v>
      </c>
    </row>
    <row r="74" spans="2:16">
      <c r="B74" s="113"/>
      <c r="C74" s="113" t="s">
        <v>70</v>
      </c>
      <c r="D74" s="113"/>
      <c r="E74" s="113"/>
      <c r="F74" s="113"/>
      <c r="G74" s="113"/>
      <c r="H74" s="3"/>
      <c r="I74" s="3"/>
      <c r="O74" s="119"/>
      <c r="P74" s="117"/>
    </row>
    <row r="75" spans="2:16">
      <c r="O75" s="96">
        <f>SUM(O73:O74)</f>
        <v>0</v>
      </c>
      <c r="P75" s="97" t="s">
        <v>58</v>
      </c>
    </row>
    <row r="76" spans="2:16"/>
    <row r="77" spans="2:16"/>
    <row r="78" spans="2:16"/>
    <row r="79" spans="2:16"/>
    <row r="80" spans="2:16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4">
    <mergeCell ref="A3:J3"/>
    <mergeCell ref="O5:P5"/>
    <mergeCell ref="C13:I13"/>
    <mergeCell ref="C73:E73"/>
  </mergeCells>
  <conditionalFormatting sqref="L53:L54">
    <cfRule type="cellIs" dxfId="23" priority="1" stopIfTrue="1" operator="equal">
      <formula>"CHECK"</formula>
    </cfRule>
    <cfRule type="cellIs" dxfId="22" priority="2" stopIfTrue="1" operator="equal">
      <formula>"OK"</formula>
    </cfRule>
  </conditionalFormatting>
  <dataValidations count="1">
    <dataValidation allowBlank="1" showInputMessage="1" showErrorMessage="1" errorTitle="Input Error" error="Borrowing request must be greater than or equal to $250,000." sqref="J44:J45" xr:uid="{00000000-0002-0000-0100-000000000000}"/>
  </dataValidations>
  <pageMargins left="0.7" right="0.7" top="0.75" bottom="0.75" header="0.3" footer="0.3"/>
  <pageSetup scale="6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IF408"/>
  <sheetViews>
    <sheetView showGridLines="0" zoomScale="90" zoomScaleNormal="90" zoomScaleSheetLayoutView="85" workbookViewId="0">
      <pane xSplit="5" ySplit="9" topLeftCell="G23" activePane="bottomRight" state="frozen"/>
      <selection activeCell="J14" sqref="J14"/>
      <selection pane="topRight" activeCell="J14" sqref="J14"/>
      <selection pane="bottomLeft" activeCell="J14" sqref="J14"/>
      <selection pane="bottomRight" activeCell="H40" sqref="H40"/>
    </sheetView>
  </sheetViews>
  <sheetFormatPr defaultRowHeight="15" outlineLevelCol="2"/>
  <cols>
    <col min="1" max="1" width="32.28515625" customWidth="1"/>
    <col min="2" max="3" width="10.7109375" style="140" customWidth="1"/>
    <col min="4" max="4" width="40.140625" style="140" customWidth="1"/>
    <col min="5" max="5" width="31.5703125" style="140" customWidth="1"/>
    <col min="6" max="6" width="17.7109375" style="140" hidden="1" customWidth="1" outlineLevel="1"/>
    <col min="7" max="7" width="18.5703125" style="133" customWidth="1" collapsed="1"/>
    <col min="8" max="8" width="17.7109375" style="133" customWidth="1"/>
    <col min="9" max="9" width="16.140625" style="133" customWidth="1"/>
    <col min="10" max="11" width="17.7109375" style="133" customWidth="1"/>
    <col min="12" max="12" width="17.7109375" style="277" customWidth="1"/>
    <col min="13" max="13" width="17.7109375" style="278" customWidth="1"/>
    <col min="14" max="14" width="13.7109375" style="140" customWidth="1"/>
    <col min="15" max="15" width="17.140625" style="140" bestFit="1" customWidth="1"/>
    <col min="16" max="17" width="11" style="140" customWidth="1"/>
    <col min="18" max="18" width="11" style="278" customWidth="1"/>
    <col min="19" max="19" width="11" style="133" customWidth="1"/>
    <col min="20" max="22" width="11" style="278" customWidth="1"/>
    <col min="23" max="23" width="17.7109375" style="278" customWidth="1"/>
    <col min="24" max="24" width="11" style="133" customWidth="1"/>
    <col min="25" max="25" width="13.5703125" style="140" customWidth="1"/>
    <col min="26" max="26" width="11" style="140" customWidth="1"/>
    <col min="27" max="32" width="11" style="133" customWidth="1"/>
    <col min="33" max="33" width="12.85546875" style="140" customWidth="1"/>
    <col min="34" max="34" width="13.7109375" style="140" customWidth="1"/>
    <col min="35" max="35" width="14" style="140" customWidth="1"/>
    <col min="36" max="36" width="13.28515625" style="140" customWidth="1"/>
    <col min="37" max="37" width="14" style="140" customWidth="1"/>
    <col min="38" max="38" width="14.5703125" style="140" customWidth="1"/>
    <col min="39" max="39" width="16.140625" style="140" customWidth="1"/>
    <col min="40" max="40" width="14.85546875" style="140" customWidth="1"/>
    <col min="41" max="41" width="13.28515625" style="133" bestFit="1" customWidth="1"/>
    <col min="42" max="42" width="12.85546875" style="133" customWidth="1"/>
    <col min="43" max="43" width="13.28515625" style="133" customWidth="1"/>
    <col min="44" max="44" width="13.85546875" style="133" customWidth="1"/>
    <col min="45" max="45" width="14.85546875" style="131" customWidth="1"/>
    <col min="46" max="46" width="14.85546875" style="131" bestFit="1" customWidth="1"/>
    <col min="47" max="47" width="12.85546875" style="131" bestFit="1" customWidth="1"/>
    <col min="48" max="48" width="21.7109375" style="131" bestFit="1" customWidth="1"/>
    <col min="49" max="50" width="11" style="131" customWidth="1"/>
    <col min="51" max="51" width="13.28515625" style="131" customWidth="1"/>
    <col min="52" max="53" width="11" style="131" customWidth="1"/>
    <col min="54" max="54" width="14.5703125" style="131" customWidth="1"/>
    <col min="55" max="55" width="16" style="131" customWidth="1"/>
    <col min="56" max="56" width="11" style="133" customWidth="1"/>
    <col min="57" max="57" width="36.85546875" style="202" customWidth="1"/>
    <col min="58" max="58" width="12.42578125" style="133" customWidth="1"/>
    <col min="59" max="59" width="14.140625" style="133" bestFit="1" customWidth="1"/>
    <col min="60" max="64" width="11" style="133" customWidth="1"/>
    <col min="65" max="65" width="11" style="140" customWidth="1"/>
    <col min="66" max="66" width="13.28515625" style="140" customWidth="1"/>
    <col min="67" max="68" width="11" style="133" customWidth="1"/>
    <col min="69" max="71" width="11" style="140" customWidth="1"/>
    <col min="72" max="72" width="11" style="133" customWidth="1"/>
    <col min="73" max="73" width="11" style="140" customWidth="1"/>
    <col min="74" max="74" width="11" style="133" customWidth="1"/>
    <col min="75" max="77" width="11" style="140" customWidth="1"/>
    <col min="78" max="78" width="18" style="133" customWidth="1"/>
    <col min="79" max="80" width="11" style="133" customWidth="1"/>
    <col min="81" max="81" width="14.140625" style="133" customWidth="1"/>
    <col min="82" max="82" width="13.7109375" style="133" customWidth="1"/>
    <col min="83" max="83" width="2.28515625" style="133" customWidth="1"/>
    <col min="84" max="108" width="11" style="133" customWidth="1" outlineLevel="1"/>
    <col min="109" max="109" width="18.140625" style="133" bestFit="1" customWidth="1"/>
    <col min="110" max="110" width="17.28515625" style="133" customWidth="1"/>
    <col min="111" max="117" width="15.28515625" style="133" customWidth="1"/>
    <col min="118" max="118" width="8.140625" style="133" bestFit="1" customWidth="1" outlineLevel="2"/>
    <col min="119" max="119" width="15.7109375" style="140" customWidth="1" outlineLevel="2"/>
    <col min="120" max="120" width="15.7109375" style="279" customWidth="1" outlineLevel="2"/>
    <col min="121" max="124" width="15.7109375" style="140" customWidth="1" outlineLevel="2"/>
    <col min="125" max="125" width="15.7109375" style="279" customWidth="1" outlineLevel="2"/>
    <col min="126" max="127" width="15.7109375" style="140" customWidth="1" outlineLevel="2"/>
    <col min="128" max="128" width="15.7109375" style="279" customWidth="1" outlineLevel="2"/>
    <col min="129" max="133" width="15.7109375" style="140" customWidth="1" outlineLevel="2"/>
    <col min="134" max="134" width="15.7109375" style="279" customWidth="1" outlineLevel="2"/>
    <col min="135" max="137" width="15.7109375" style="140" customWidth="1" outlineLevel="2"/>
    <col min="138" max="138" width="15.7109375" style="279" customWidth="1" outlineLevel="2"/>
    <col min="139" max="139" width="15.7109375" style="140" customWidth="1" outlineLevel="2"/>
    <col min="140" max="140" width="15.7109375" style="279" customWidth="1" outlineLevel="2"/>
    <col min="141" max="145" width="15.7109375" style="140" customWidth="1" outlineLevel="2"/>
    <col min="146" max="146" width="15.7109375" style="279" customWidth="1" outlineLevel="2"/>
    <col min="147" max="185" width="15.7109375" style="140" customWidth="1" outlineLevel="2"/>
    <col min="186" max="186" width="15.7109375" style="140" customWidth="1" outlineLevel="1"/>
    <col min="187" max="187" width="25.7109375" style="140" customWidth="1" outlineLevel="1"/>
    <col min="188" max="188" width="8.85546875" style="140" customWidth="1" outlineLevel="1"/>
    <col min="189" max="189" width="15.28515625" style="140" customWidth="1" outlineLevel="1"/>
    <col min="190" max="190" width="17.85546875" style="140" customWidth="1" outlineLevel="1"/>
    <col min="191" max="191" width="13.140625" style="136" customWidth="1" outlineLevel="1"/>
    <col min="192" max="192" width="17.85546875" style="136" customWidth="1" outlineLevel="1"/>
    <col min="193" max="193" width="12" style="136" customWidth="1" outlineLevel="1"/>
    <col min="194" max="194" width="16.42578125" style="136" customWidth="1" outlineLevel="1"/>
    <col min="195" max="196" width="10.42578125" style="136" customWidth="1" outlineLevel="1"/>
    <col min="197" max="197" width="2.42578125" customWidth="1" outlineLevel="1"/>
    <col min="198" max="198" width="8.5703125" style="136" customWidth="1" outlineLevel="1"/>
    <col min="199" max="199" width="17.28515625" style="140" customWidth="1" outlineLevel="1"/>
    <col min="200" max="200" width="13.140625" style="136" customWidth="1" outlineLevel="1"/>
    <col min="201" max="201" width="17.28515625" style="136" customWidth="1" outlineLevel="1"/>
    <col min="202" max="202" width="12" style="136" customWidth="1" outlineLevel="1"/>
    <col min="203" max="203" width="16.42578125" style="136" customWidth="1" outlineLevel="1"/>
    <col min="204" max="204" width="9.140625" style="136" customWidth="1" outlineLevel="1"/>
    <col min="205" max="206" width="11" style="136" customWidth="1" outlineLevel="1"/>
    <col min="207" max="207" width="8.5703125" style="136" customWidth="1" outlineLevel="1"/>
    <col min="208" max="208" width="17.28515625" style="140" customWidth="1" outlineLevel="1"/>
    <col min="209" max="209" width="13.140625" style="136" customWidth="1" outlineLevel="1"/>
    <col min="210" max="210" width="17.28515625" style="136" customWidth="1" outlineLevel="1"/>
    <col min="211" max="211" width="12" style="136" customWidth="1" outlineLevel="1"/>
    <col min="212" max="212" width="16.42578125" style="136" customWidth="1" outlineLevel="1"/>
    <col min="213" max="213" width="9.140625" style="136" customWidth="1" outlineLevel="1"/>
    <col min="214" max="214" width="11" style="136" customWidth="1" outlineLevel="1"/>
    <col min="215" max="215" width="2.42578125" style="136" customWidth="1" outlineLevel="1"/>
    <col min="216" max="216" width="17.28515625" style="140" customWidth="1" outlineLevel="1"/>
    <col min="217" max="217" width="24.140625" style="140" customWidth="1" outlineLevel="1"/>
    <col min="218" max="218" width="20.28515625" style="140" customWidth="1" outlineLevel="1"/>
    <col min="219" max="219" width="2.42578125" style="140" customWidth="1" outlineLevel="1"/>
    <col min="220" max="220" width="8.5703125" style="136" customWidth="1" outlineLevel="1"/>
    <col min="221" max="221" width="17.28515625" style="140" customWidth="1" outlineLevel="1"/>
    <col min="222" max="222" width="2.42578125" style="140" customWidth="1" outlineLevel="1"/>
    <col min="223" max="223" width="15.28515625" style="140" customWidth="1" outlineLevel="1"/>
    <col min="224" max="224" width="16.140625" style="140" bestFit="1" customWidth="1" outlineLevel="1"/>
    <col min="225" max="230" width="14.5703125" style="53" customWidth="1" outlineLevel="1"/>
    <col min="231" max="232" width="15.28515625" style="53" customWidth="1" outlineLevel="1"/>
    <col min="233" max="235" width="14.5703125" style="53" customWidth="1" outlineLevel="1"/>
    <col min="236" max="236" width="14.28515625" style="53" customWidth="1" outlineLevel="1"/>
    <col min="237" max="237" width="8.7109375" style="202" customWidth="1" outlineLevel="1"/>
    <col min="238" max="238" width="9.140625" customWidth="1" outlineLevel="1"/>
    <col min="240" max="240" width="26.28515625" style="345" bestFit="1" customWidth="1"/>
  </cols>
  <sheetData>
    <row r="1" spans="1:240" ht="18">
      <c r="B1" s="120" t="str">
        <f>'Borrowing Base'!A1</f>
        <v>PENNANTPARK FLOATING RATE FUNDING I, LLC</v>
      </c>
      <c r="C1" s="121"/>
      <c r="D1" s="121"/>
      <c r="E1" s="121"/>
      <c r="F1" s="121"/>
      <c r="G1" s="122"/>
      <c r="H1" s="121"/>
      <c r="I1" s="121"/>
      <c r="J1" s="123"/>
      <c r="K1" s="121"/>
      <c r="L1" s="124"/>
      <c r="M1" s="125"/>
      <c r="N1" s="121"/>
      <c r="O1" s="121"/>
      <c r="P1" s="121"/>
      <c r="Q1" s="121"/>
      <c r="R1" s="125"/>
      <c r="S1" s="126"/>
      <c r="T1" s="125"/>
      <c r="U1" s="125"/>
      <c r="V1" s="125"/>
      <c r="W1" s="125"/>
      <c r="X1" s="126"/>
      <c r="Y1" s="121"/>
      <c r="Z1" s="121"/>
      <c r="AA1" s="127"/>
      <c r="AB1" s="127"/>
      <c r="AC1" s="127"/>
      <c r="AD1" s="127"/>
      <c r="AE1" s="127"/>
      <c r="AF1" s="127"/>
      <c r="AG1" s="128" t="s">
        <v>71</v>
      </c>
      <c r="AH1" s="129"/>
      <c r="AI1" s="130"/>
      <c r="AJ1" s="460" t="s">
        <v>490</v>
      </c>
      <c r="AK1" s="461"/>
      <c r="AL1" s="462"/>
      <c r="AM1" s="460" t="s">
        <v>491</v>
      </c>
      <c r="AN1" s="461"/>
      <c r="AO1" s="462"/>
      <c r="AP1" s="460" t="s">
        <v>492</v>
      </c>
      <c r="AQ1" s="461"/>
      <c r="AR1" s="462"/>
      <c r="AS1" s="460" t="s">
        <v>493</v>
      </c>
      <c r="AT1" s="461"/>
      <c r="AU1" s="462"/>
      <c r="AV1" s="126"/>
      <c r="AW1" s="126"/>
      <c r="AX1" s="126"/>
      <c r="AY1" s="126"/>
      <c r="AZ1" s="126"/>
      <c r="BA1" s="126"/>
      <c r="BB1" s="126"/>
      <c r="BC1" s="126"/>
      <c r="BD1" s="131"/>
      <c r="BE1" s="126"/>
      <c r="BF1" s="126"/>
      <c r="BG1" s="126"/>
      <c r="BH1" s="126"/>
      <c r="BI1" s="126"/>
      <c r="BJ1" s="126"/>
      <c r="BK1" s="126"/>
      <c r="BL1" s="126"/>
      <c r="BM1" s="126"/>
      <c r="BN1" s="126"/>
      <c r="BO1" s="126"/>
      <c r="BP1" s="126"/>
      <c r="BQ1" s="126"/>
      <c r="BR1" s="126"/>
      <c r="BS1" s="126"/>
      <c r="BT1" s="126"/>
      <c r="BU1" s="126"/>
      <c r="BV1" s="126"/>
      <c r="BW1" s="126"/>
      <c r="BX1" s="126"/>
      <c r="BY1" s="126"/>
      <c r="BZ1" s="126"/>
      <c r="CA1" s="126"/>
      <c r="CB1" s="126"/>
      <c r="CC1" s="126"/>
      <c r="CD1" s="126"/>
      <c r="CE1" s="126"/>
      <c r="CF1" s="126"/>
      <c r="CG1" s="126"/>
      <c r="CH1" s="126"/>
      <c r="CI1" s="126"/>
      <c r="CJ1" s="126"/>
      <c r="CK1" s="126"/>
      <c r="CL1" s="126"/>
      <c r="CM1" s="126"/>
      <c r="CN1" s="126"/>
      <c r="CO1" s="126"/>
      <c r="CP1" s="126"/>
      <c r="CQ1" s="126"/>
      <c r="CR1" s="126"/>
      <c r="CS1" s="126"/>
      <c r="CT1" s="126"/>
      <c r="CU1" s="126"/>
      <c r="CV1" s="126"/>
      <c r="CW1" s="126"/>
      <c r="CX1" s="126"/>
      <c r="CY1" s="132"/>
      <c r="DD1" s="132"/>
      <c r="DE1" s="134"/>
      <c r="DF1" s="134"/>
      <c r="DG1" s="134"/>
      <c r="DH1" s="134"/>
      <c r="DI1" s="134"/>
      <c r="DJ1" s="134"/>
      <c r="DK1" s="134"/>
      <c r="DL1" s="134"/>
      <c r="DM1" s="134"/>
      <c r="DN1" s="132"/>
      <c r="DO1" s="135"/>
      <c r="DP1" s="136"/>
      <c r="DQ1" s="136"/>
      <c r="DR1" s="136"/>
      <c r="DS1" s="136"/>
      <c r="DT1" s="136"/>
      <c r="DU1" s="344"/>
      <c r="DV1" s="136"/>
      <c r="DW1" s="136"/>
      <c r="DX1" s="135"/>
      <c r="DY1" s="136"/>
      <c r="DZ1" s="136"/>
      <c r="EA1" s="135"/>
      <c r="EB1" s="136"/>
      <c r="EC1" s="136"/>
      <c r="ED1" s="135"/>
      <c r="EE1" s="136"/>
      <c r="EF1" s="136"/>
      <c r="EG1" s="135"/>
      <c r="EH1" s="136"/>
      <c r="EI1" s="136"/>
      <c r="EJ1" s="135"/>
      <c r="EK1" s="136"/>
      <c r="EL1" s="136"/>
      <c r="EM1" s="135"/>
      <c r="EN1" s="137"/>
      <c r="EO1" s="137"/>
      <c r="EP1" s="135"/>
      <c r="EQ1" s="136"/>
      <c r="ER1" s="136"/>
      <c r="ES1" s="135"/>
      <c r="ET1" s="137"/>
      <c r="EU1" s="137"/>
      <c r="EV1" s="137"/>
      <c r="EW1" s="137"/>
      <c r="EX1" s="137"/>
      <c r="EY1" s="137"/>
      <c r="EZ1" s="137"/>
      <c r="FA1" s="137"/>
      <c r="FB1" s="135"/>
      <c r="FC1" s="137"/>
      <c r="FD1" s="137"/>
      <c r="FE1" s="136"/>
      <c r="FF1" s="136"/>
      <c r="FG1" s="136"/>
      <c r="FH1" s="138"/>
      <c r="FI1" s="136"/>
      <c r="FJ1" s="136"/>
      <c r="FK1" s="138"/>
      <c r="FL1" s="136"/>
      <c r="FM1" s="136"/>
      <c r="FN1" s="136"/>
      <c r="FO1" s="136"/>
      <c r="FP1" s="136"/>
      <c r="FQ1" s="135"/>
      <c r="FR1" s="137"/>
      <c r="FS1" s="137"/>
      <c r="FT1" s="135"/>
      <c r="FU1" s="137"/>
      <c r="FV1" s="137"/>
      <c r="FW1" s="344"/>
      <c r="FX1"/>
      <c r="FY1"/>
      <c r="FZ1"/>
      <c r="GA1"/>
      <c r="GB1"/>
      <c r="GC1" s="10"/>
      <c r="GD1" s="136"/>
      <c r="GE1" s="136"/>
      <c r="GF1" s="136"/>
      <c r="GG1" s="136"/>
      <c r="GH1" s="23"/>
      <c r="GI1" s="132" t="s">
        <v>72</v>
      </c>
      <c r="GJ1" s="139" t="s">
        <v>73</v>
      </c>
      <c r="GK1" s="139" t="s">
        <v>74</v>
      </c>
      <c r="GQ1" s="136"/>
      <c r="GR1" s="132" t="s">
        <v>75</v>
      </c>
      <c r="GS1" s="139" t="s">
        <v>76</v>
      </c>
      <c r="GT1" s="139" t="s">
        <v>74</v>
      </c>
      <c r="GZ1" s="136"/>
      <c r="HA1" s="132" t="s">
        <v>75</v>
      </c>
      <c r="HB1" s="139" t="s">
        <v>76</v>
      </c>
      <c r="HC1" s="139" t="s">
        <v>74</v>
      </c>
      <c r="HD1" s="139" t="s">
        <v>637</v>
      </c>
      <c r="HH1" s="136"/>
      <c r="HI1" s="136"/>
      <c r="HJ1" s="136"/>
      <c r="HK1" s="136"/>
      <c r="HM1" s="136"/>
      <c r="HN1" s="136"/>
      <c r="HO1" s="121"/>
      <c r="HT1" s="20"/>
      <c r="IC1" s="121"/>
    </row>
    <row r="2" spans="1:240" ht="15.75">
      <c r="B2" s="141" t="s">
        <v>77</v>
      </c>
      <c r="C2" s="121"/>
      <c r="D2" s="121"/>
      <c r="E2" s="121"/>
      <c r="F2" s="121"/>
      <c r="G2" s="122"/>
      <c r="H2" s="121"/>
      <c r="I2" s="121"/>
      <c r="J2" s="142"/>
      <c r="K2" s="121"/>
      <c r="L2" s="124"/>
      <c r="M2" s="143"/>
      <c r="N2" s="121"/>
      <c r="O2" s="121"/>
      <c r="P2" s="121"/>
      <c r="Q2" s="121"/>
      <c r="R2" s="143"/>
      <c r="S2" s="143"/>
      <c r="T2" s="143"/>
      <c r="U2" s="143"/>
      <c r="V2" s="143"/>
      <c r="W2" s="143"/>
      <c r="X2" s="143"/>
      <c r="Y2" s="143"/>
      <c r="Z2" s="121"/>
      <c r="AA2" s="127"/>
      <c r="AB2" s="127"/>
      <c r="AC2" s="127"/>
      <c r="AD2" s="127"/>
      <c r="AE2" s="127"/>
      <c r="AF2" s="127"/>
      <c r="AG2" s="144" t="s">
        <v>78</v>
      </c>
      <c r="AH2" s="127" t="s">
        <v>79</v>
      </c>
      <c r="AI2" s="145" t="s">
        <v>80</v>
      </c>
      <c r="AJ2" s="144" t="s">
        <v>78</v>
      </c>
      <c r="AK2" s="127" t="s">
        <v>79</v>
      </c>
      <c r="AL2" s="145" t="s">
        <v>80</v>
      </c>
      <c r="AM2" s="144" t="s">
        <v>78</v>
      </c>
      <c r="AN2" s="127" t="s">
        <v>79</v>
      </c>
      <c r="AO2" s="145" t="s">
        <v>80</v>
      </c>
      <c r="AP2" s="144" t="s">
        <v>78</v>
      </c>
      <c r="AQ2" s="127" t="s">
        <v>79</v>
      </c>
      <c r="AR2" s="145" t="s">
        <v>80</v>
      </c>
      <c r="AS2" s="144" t="s">
        <v>78</v>
      </c>
      <c r="AT2" s="127" t="s">
        <v>79</v>
      </c>
      <c r="AU2" s="145" t="s">
        <v>80</v>
      </c>
      <c r="AV2" s="147"/>
      <c r="AW2" s="147"/>
      <c r="AX2" s="143"/>
      <c r="AY2" s="146" t="s">
        <v>81</v>
      </c>
      <c r="AZ2" s="147">
        <f>SUMPRODUCT(($GC10:$GC406&gt;0)*$GC10:$GC406*$V10:$V406)/SUMPRODUCT(($GC10:$GC406&gt;0)*$GC10:$GC406)</f>
        <v>0.71355358936583357</v>
      </c>
      <c r="BA2" s="127"/>
      <c r="BB2" s="127"/>
      <c r="BC2" s="127"/>
      <c r="BD2" s="143"/>
      <c r="BH2" s="143"/>
      <c r="BI2" s="143"/>
      <c r="BJ2" s="143"/>
      <c r="BK2" s="143"/>
      <c r="BL2" s="143"/>
      <c r="BM2" s="143"/>
      <c r="BN2" s="143"/>
      <c r="BO2" s="143"/>
      <c r="BP2" s="143"/>
      <c r="BQ2" s="143"/>
      <c r="BR2" s="143"/>
      <c r="BS2" s="143"/>
      <c r="BT2" s="143"/>
      <c r="BU2" s="143"/>
      <c r="BV2" s="143"/>
      <c r="BW2" s="143"/>
      <c r="BX2" s="143"/>
      <c r="BY2" s="143"/>
      <c r="BZ2" s="143"/>
      <c r="CA2" s="143"/>
      <c r="CB2" s="143"/>
      <c r="CC2" s="143"/>
      <c r="CD2" s="143"/>
      <c r="CE2" s="143"/>
      <c r="CF2" s="143"/>
      <c r="CG2" s="143"/>
      <c r="CH2" s="143"/>
      <c r="CI2" s="143"/>
      <c r="CJ2" s="143"/>
      <c r="CK2" s="143"/>
      <c r="CL2" s="143"/>
      <c r="CM2" s="143"/>
      <c r="CN2" s="143"/>
      <c r="CO2" s="143"/>
      <c r="CP2" s="143"/>
      <c r="CQ2" s="143"/>
      <c r="CR2" s="143"/>
      <c r="CS2" s="143"/>
      <c r="CT2" s="143"/>
      <c r="CU2" s="143"/>
      <c r="CV2" s="143"/>
      <c r="CW2" s="143"/>
      <c r="CX2" s="143"/>
      <c r="CY2" s="132"/>
      <c r="CZ2" s="136"/>
      <c r="DA2" s="136"/>
      <c r="DB2" s="136"/>
      <c r="DC2" s="136"/>
      <c r="DD2" s="132"/>
      <c r="DE2" s="134"/>
      <c r="DF2" s="134"/>
      <c r="DG2" s="134"/>
      <c r="DH2" s="134"/>
      <c r="DI2" s="134"/>
      <c r="DJ2" s="148"/>
      <c r="DK2" s="134"/>
      <c r="DL2" s="148"/>
      <c r="DM2" s="148"/>
      <c r="DN2" s="132" t="s">
        <v>76</v>
      </c>
      <c r="DO2" s="149">
        <v>0.15</v>
      </c>
      <c r="DP2" s="136"/>
      <c r="DQ2" s="136"/>
      <c r="DR2" s="149">
        <v>0.1</v>
      </c>
      <c r="DS2" s="136"/>
      <c r="DT2" s="136"/>
      <c r="DU2" s="149">
        <v>0.05</v>
      </c>
      <c r="DV2" s="138"/>
      <c r="DW2" s="136"/>
      <c r="DX2" s="149">
        <v>0.15</v>
      </c>
      <c r="DY2" s="136"/>
      <c r="DZ2" s="136"/>
      <c r="EA2" s="149">
        <v>0.1</v>
      </c>
      <c r="EB2" s="136"/>
      <c r="EC2" s="136"/>
      <c r="ED2" s="149">
        <v>0.15</v>
      </c>
      <c r="EE2" s="136"/>
      <c r="EF2" s="136"/>
      <c r="EG2" s="149">
        <v>0.1</v>
      </c>
      <c r="EH2" s="136"/>
      <c r="EI2" s="136"/>
      <c r="EJ2" s="149">
        <v>0.25</v>
      </c>
      <c r="EK2" s="136"/>
      <c r="EL2" s="136"/>
      <c r="EM2" s="149">
        <v>0.1</v>
      </c>
      <c r="EN2" s="137"/>
      <c r="EO2" s="136"/>
      <c r="EP2" s="149">
        <v>0.03</v>
      </c>
      <c r="EQ2" s="136"/>
      <c r="ER2" s="136"/>
      <c r="ES2" s="149">
        <v>0.15</v>
      </c>
      <c r="ET2" s="137"/>
      <c r="EU2" s="136"/>
      <c r="EV2" s="149">
        <v>0.05</v>
      </c>
      <c r="EW2" s="137"/>
      <c r="EX2" s="136"/>
      <c r="EY2" s="149">
        <v>0.15</v>
      </c>
      <c r="EZ2" s="137"/>
      <c r="FA2" s="136"/>
      <c r="FB2" s="149">
        <v>0.1</v>
      </c>
      <c r="FC2" s="137"/>
      <c r="FD2" s="136"/>
      <c r="FE2" s="149">
        <v>0.15</v>
      </c>
      <c r="FF2" s="136"/>
      <c r="FG2" s="136"/>
      <c r="FH2" s="136"/>
      <c r="FI2" s="136"/>
      <c r="FJ2" s="136"/>
      <c r="FK2" s="136"/>
      <c r="FL2" s="136"/>
      <c r="FM2" s="136"/>
      <c r="FN2" s="136"/>
      <c r="FO2" s="136"/>
      <c r="FP2" s="136"/>
      <c r="FQ2" s="149">
        <v>0.05</v>
      </c>
      <c r="FR2" s="150"/>
      <c r="FS2" s="136"/>
      <c r="FT2" s="149">
        <v>0.2</v>
      </c>
      <c r="FU2" s="150"/>
      <c r="FV2" s="136"/>
      <c r="FW2" s="149">
        <v>0.2</v>
      </c>
      <c r="FX2" s="138"/>
      <c r="FY2" s="138"/>
      <c r="FZ2" s="138"/>
      <c r="GA2" s="137"/>
      <c r="GB2" s="136"/>
      <c r="GC2" s="136"/>
      <c r="GD2" s="136"/>
      <c r="GE2" s="136"/>
      <c r="GF2" s="136"/>
      <c r="GG2" s="136"/>
      <c r="GH2" s="138"/>
      <c r="GI2" s="151">
        <v>1</v>
      </c>
      <c r="GJ2" s="149">
        <v>0.25</v>
      </c>
      <c r="GK2" s="152">
        <f>'Borrowing Base'!J5*GJ2</f>
        <v>254821420.86215064</v>
      </c>
      <c r="GQ2" s="138"/>
      <c r="GR2" s="151">
        <v>3</v>
      </c>
      <c r="GS2" s="149">
        <v>6.6666660000000003E-2</v>
      </c>
      <c r="GT2" s="152">
        <f>'Borrowing Base'!J5*GS2</f>
        <v>67952372.101335615</v>
      </c>
      <c r="GW2"/>
      <c r="GX2"/>
      <c r="GZ2" s="138"/>
      <c r="HA2" s="151">
        <v>5</v>
      </c>
      <c r="HB2" s="149">
        <v>0.3</v>
      </c>
      <c r="HC2" s="152">
        <f>HB2*'Borrowing Base'!J5</f>
        <v>305785705.03458077</v>
      </c>
      <c r="HD2" s="152">
        <f>MAX(0,SUM(HB10:HB11)-HC2)</f>
        <v>0</v>
      </c>
      <c r="HF2"/>
      <c r="HG2"/>
      <c r="HH2" s="136"/>
      <c r="HI2" s="136"/>
      <c r="HJ2" s="136"/>
      <c r="HK2" s="136"/>
      <c r="HM2" s="136"/>
      <c r="HN2" s="136"/>
      <c r="HT2" s="20"/>
      <c r="IC2" s="121"/>
    </row>
    <row r="3" spans="1:240" ht="15.75">
      <c r="B3" s="141" t="str">
        <f>"Loan Portfolio as of: "&amp;TEXT(Inputs!$J$8,"mmmm d, yyyy")</f>
        <v>Loan Portfolio as of: August 24, 2025</v>
      </c>
      <c r="C3" s="121"/>
      <c r="D3" s="121"/>
      <c r="E3" s="121"/>
      <c r="F3" s="121"/>
      <c r="G3" s="122"/>
      <c r="H3" s="121"/>
      <c r="I3" s="121"/>
      <c r="J3" s="153"/>
      <c r="K3" s="121"/>
      <c r="L3" s="124"/>
      <c r="M3" s="154"/>
      <c r="N3" s="121"/>
      <c r="O3" s="121"/>
      <c r="P3" s="121"/>
      <c r="Q3" s="121"/>
      <c r="R3" s="143"/>
      <c r="S3" s="143"/>
      <c r="T3" s="143"/>
      <c r="U3" s="143"/>
      <c r="V3" s="143"/>
      <c r="W3" s="143"/>
      <c r="X3" s="143"/>
      <c r="Y3" s="143"/>
      <c r="Z3" s="121"/>
      <c r="AA3" s="127"/>
      <c r="AB3" s="127"/>
      <c r="AC3" s="127"/>
      <c r="AD3" s="127"/>
      <c r="AE3" s="127"/>
      <c r="AF3" s="121" t="s">
        <v>82</v>
      </c>
      <c r="AG3" s="155">
        <v>5</v>
      </c>
      <c r="AH3" s="156">
        <v>4.25</v>
      </c>
      <c r="AI3" s="157">
        <v>3.75</v>
      </c>
      <c r="AJ3" s="349">
        <v>5.5</v>
      </c>
      <c r="AK3" s="350">
        <v>4.75</v>
      </c>
      <c r="AL3" s="351">
        <v>4.25</v>
      </c>
      <c r="AM3" s="349">
        <v>6</v>
      </c>
      <c r="AN3" s="350">
        <v>5.25</v>
      </c>
      <c r="AO3" s="351">
        <v>4.75</v>
      </c>
      <c r="AP3" s="349">
        <v>6.5</v>
      </c>
      <c r="AQ3" s="350">
        <v>5.75</v>
      </c>
      <c r="AR3" s="351">
        <v>5.25</v>
      </c>
      <c r="AS3" s="349">
        <v>7</v>
      </c>
      <c r="AT3" s="350">
        <v>6.25</v>
      </c>
      <c r="AU3" s="351">
        <v>5.75</v>
      </c>
      <c r="AV3" s="159"/>
      <c r="AW3" s="159"/>
      <c r="AX3" s="158"/>
      <c r="AY3" s="146" t="s">
        <v>83</v>
      </c>
      <c r="AZ3" s="159" t="str">
        <f>IFERROR(SUMPRODUCT((AS10:AS406&gt;0)*DH10:DH406*AS10:AS406)/SUMPRODUCT((AS10:AS406&gt;0)*DH10:DH406),"N/A")</f>
        <v>N/A</v>
      </c>
      <c r="BA3" s="127"/>
      <c r="BB3" s="127"/>
      <c r="BC3" s="127"/>
      <c r="BD3" s="143"/>
      <c r="BH3" s="143"/>
      <c r="BI3" s="143"/>
      <c r="BJ3" s="143"/>
      <c r="BK3" s="143"/>
      <c r="BL3" s="143"/>
      <c r="BM3" s="143"/>
      <c r="BN3" s="143"/>
      <c r="BO3" s="143"/>
      <c r="BP3" s="143"/>
      <c r="BQ3" s="143"/>
      <c r="BR3" s="143"/>
      <c r="BS3" s="143"/>
      <c r="BT3" s="143"/>
      <c r="BU3" s="143"/>
      <c r="BV3" s="143"/>
      <c r="BW3" s="143"/>
      <c r="BX3" s="143"/>
      <c r="BY3" s="143"/>
      <c r="BZ3" s="143"/>
      <c r="CA3" s="143"/>
      <c r="CB3" s="143"/>
      <c r="CC3" s="143"/>
      <c r="CD3" s="143"/>
      <c r="CE3" s="143"/>
      <c r="CF3" s="143"/>
      <c r="CG3" s="143"/>
      <c r="CH3" s="143"/>
      <c r="CI3" s="143"/>
      <c r="CJ3" s="143"/>
      <c r="CK3" s="143"/>
      <c r="CL3" s="143"/>
      <c r="CM3" s="143"/>
      <c r="CN3" s="143"/>
      <c r="CO3" s="143"/>
      <c r="CP3" s="143"/>
      <c r="CQ3" s="143"/>
      <c r="CR3" s="143"/>
      <c r="CS3" s="143"/>
      <c r="CT3" s="143"/>
      <c r="CU3" s="143"/>
      <c r="CV3" s="143"/>
      <c r="CW3" s="143"/>
      <c r="CX3" s="143"/>
      <c r="CY3" s="132"/>
      <c r="DD3" s="132"/>
      <c r="DE3" s="134"/>
      <c r="DF3" s="134"/>
      <c r="DG3" s="134"/>
      <c r="DH3" s="134"/>
      <c r="DI3" s="134"/>
      <c r="DJ3" s="160"/>
      <c r="DK3" s="134"/>
      <c r="DL3" s="160"/>
      <c r="DM3" s="160"/>
      <c r="DN3" s="132" t="s">
        <v>73</v>
      </c>
      <c r="DO3" s="161">
        <f>DO2*'Borrowing Base'!$J$5</f>
        <v>152892852.51729038</v>
      </c>
      <c r="DP3" s="136"/>
      <c r="DQ3" s="136"/>
      <c r="DR3" s="161">
        <f>DR2*'Borrowing Base'!$J$5</f>
        <v>101928568.34486026</v>
      </c>
      <c r="DS3" s="136"/>
      <c r="DT3" s="136"/>
      <c r="DU3" s="161">
        <f>DU2*'Borrowing Base'!$J$5</f>
        <v>50964284.172430128</v>
      </c>
      <c r="DV3" s="162"/>
      <c r="DW3" s="136"/>
      <c r="DX3" s="161">
        <f>DX2*'Borrowing Base'!$J$5</f>
        <v>152892852.51729038</v>
      </c>
      <c r="DY3" s="163"/>
      <c r="DZ3" s="163"/>
      <c r="EA3" s="161">
        <f>EA2*'Borrowing Base'!$J$5</f>
        <v>101928568.34486026</v>
      </c>
      <c r="EB3" s="163"/>
      <c r="EC3" s="163"/>
      <c r="ED3" s="161">
        <f>ED2*'Borrowing Base'!$J$5</f>
        <v>152892852.51729038</v>
      </c>
      <c r="EE3" s="163"/>
      <c r="EF3" s="163"/>
      <c r="EG3" s="161">
        <f>EG2*'Borrowing Base'!$J$5</f>
        <v>101928568.34486026</v>
      </c>
      <c r="EH3" s="136"/>
      <c r="EI3" s="136"/>
      <c r="EJ3" s="161">
        <f>EJ2*'Borrowing Base'!$J$5</f>
        <v>254821420.86215064</v>
      </c>
      <c r="EK3" s="163"/>
      <c r="EL3" s="163"/>
      <c r="EM3" s="161">
        <f>EM2*'Borrowing Base'!$J$5</f>
        <v>101928568.34486026</v>
      </c>
      <c r="EN3" s="163"/>
      <c r="EO3" s="163"/>
      <c r="EP3" s="161">
        <f>EP2*'Borrowing Base'!$J$5</f>
        <v>30578570.503458075</v>
      </c>
      <c r="EQ3" s="163"/>
      <c r="ER3" s="163"/>
      <c r="ES3" s="161">
        <f>ES2*'Borrowing Base'!$J$5</f>
        <v>152892852.51729038</v>
      </c>
      <c r="ET3" s="163"/>
      <c r="EU3" s="163"/>
      <c r="EV3" s="161">
        <f>EV2*'Borrowing Base'!$J$5</f>
        <v>50964284.172430128</v>
      </c>
      <c r="EW3" s="163"/>
      <c r="EX3" s="163"/>
      <c r="EY3" s="161">
        <f>EY2*'Borrowing Base'!$J$5</f>
        <v>152892852.51729038</v>
      </c>
      <c r="EZ3" s="163"/>
      <c r="FA3" s="163"/>
      <c r="FB3" s="161">
        <f>FB2*'Borrowing Base'!$J$5</f>
        <v>101928568.34486026</v>
      </c>
      <c r="FC3" s="163"/>
      <c r="FD3" s="163"/>
      <c r="FE3" s="161">
        <f>FE2*'Borrowing Base'!$J$5</f>
        <v>152892852.51729038</v>
      </c>
      <c r="FF3" s="163"/>
      <c r="FG3" s="163"/>
      <c r="FH3" s="136"/>
      <c r="FI3" s="136"/>
      <c r="FJ3" s="136"/>
      <c r="FK3" s="163"/>
      <c r="FL3" s="163"/>
      <c r="FM3" s="163"/>
      <c r="FN3" s="163"/>
      <c r="FO3" s="163"/>
      <c r="FP3" s="163"/>
      <c r="FQ3" s="161">
        <f>FQ2*'Borrowing Base'!$J$5</f>
        <v>50964284.172430128</v>
      </c>
      <c r="FR3" s="163"/>
      <c r="FS3" s="163"/>
      <c r="FT3" s="161">
        <f>FT2*'Borrowing Base'!$J$5</f>
        <v>203857136.68972051</v>
      </c>
      <c r="FU3" s="163"/>
      <c r="FV3" s="163"/>
      <c r="FW3" s="161">
        <f>FW2*'Borrowing Base'!$J$5</f>
        <v>203857136.68972051</v>
      </c>
      <c r="FX3" s="161"/>
      <c r="FY3" s="161"/>
      <c r="FZ3" s="161"/>
      <c r="GA3" s="163"/>
      <c r="GB3" s="163"/>
      <c r="GC3" s="163"/>
      <c r="GD3" s="163"/>
      <c r="GE3" s="163"/>
      <c r="GF3" s="163"/>
      <c r="GG3" s="136"/>
      <c r="GH3" s="138"/>
      <c r="GI3" s="164" t="s">
        <v>84</v>
      </c>
      <c r="GJ3" s="149">
        <v>0.15</v>
      </c>
      <c r="GK3" s="152">
        <f>'Borrowing Base'!J5*GJ3</f>
        <v>152892852.51729038</v>
      </c>
      <c r="GQ3" s="138"/>
      <c r="GR3" s="164">
        <v>5</v>
      </c>
      <c r="GS3" s="149">
        <v>0.06</v>
      </c>
      <c r="GT3" s="152">
        <f>'Borrowing Base'!J5*GS3</f>
        <v>61157141.00691615</v>
      </c>
      <c r="GW3"/>
      <c r="GX3"/>
      <c r="GZ3" s="138"/>
      <c r="HA3" s="409"/>
      <c r="HB3" s="410"/>
      <c r="HC3" s="411"/>
      <c r="HF3"/>
      <c r="HG3"/>
      <c r="HH3" s="136"/>
      <c r="HI3" s="136"/>
      <c r="HJ3" s="136"/>
      <c r="HK3" s="136"/>
      <c r="HM3" s="136"/>
      <c r="HN3" s="136"/>
      <c r="HT3" s="20"/>
      <c r="IC3" s="165"/>
    </row>
    <row r="4" spans="1:240" ht="20.25">
      <c r="B4" s="166"/>
      <c r="C4" s="121"/>
      <c r="D4" s="121"/>
      <c r="E4" s="121"/>
      <c r="F4" s="121"/>
      <c r="G4" s="167"/>
      <c r="H4" s="127"/>
      <c r="I4" s="127"/>
      <c r="J4" s="127"/>
      <c r="K4" s="168"/>
      <c r="L4" s="169"/>
      <c r="M4" s="143"/>
      <c r="N4" s="121"/>
      <c r="O4" s="170"/>
      <c r="P4" s="121"/>
      <c r="Q4" s="121"/>
      <c r="R4" s="171"/>
      <c r="S4" s="143"/>
      <c r="T4" s="143"/>
      <c r="U4" s="143"/>
      <c r="V4" s="143"/>
      <c r="W4" s="143"/>
      <c r="X4" s="143"/>
      <c r="Y4" s="143"/>
      <c r="Z4" s="121"/>
      <c r="AA4" s="127"/>
      <c r="AB4" s="127"/>
      <c r="AC4" s="127"/>
      <c r="AD4" s="127"/>
      <c r="AE4" s="127"/>
      <c r="AF4" s="121" t="s">
        <v>86</v>
      </c>
      <c r="AG4" s="155">
        <v>7</v>
      </c>
      <c r="AH4" s="156">
        <v>6</v>
      </c>
      <c r="AI4" s="157">
        <v>5</v>
      </c>
      <c r="AJ4" s="349">
        <v>7.5</v>
      </c>
      <c r="AK4" s="350">
        <v>6.5</v>
      </c>
      <c r="AL4" s="351">
        <v>5.5</v>
      </c>
      <c r="AM4" s="349">
        <v>8</v>
      </c>
      <c r="AN4" s="350">
        <v>7</v>
      </c>
      <c r="AO4" s="351">
        <v>6</v>
      </c>
      <c r="AP4" s="349">
        <v>8.5</v>
      </c>
      <c r="AQ4" s="350">
        <v>7.5</v>
      </c>
      <c r="AR4" s="351">
        <v>6.5</v>
      </c>
      <c r="AS4" s="349">
        <v>9</v>
      </c>
      <c r="AT4" s="350">
        <v>8</v>
      </c>
      <c r="AU4" s="351">
        <v>7</v>
      </c>
      <c r="AV4" s="174"/>
      <c r="AW4" s="174"/>
      <c r="AX4" s="23"/>
      <c r="AY4" s="146" t="s">
        <v>550</v>
      </c>
      <c r="AZ4" s="173">
        <v>4.3222400000000001E-2</v>
      </c>
      <c r="BA4" s="23"/>
      <c r="BB4" s="23"/>
      <c r="BC4" s="23"/>
      <c r="BD4" s="172"/>
      <c r="BH4" s="143"/>
      <c r="BI4" s="143"/>
      <c r="BJ4" s="143"/>
      <c r="BK4" s="143"/>
      <c r="BL4" s="143"/>
      <c r="BM4" s="143"/>
      <c r="BN4" s="143"/>
      <c r="BO4" s="143"/>
      <c r="BP4" s="143"/>
      <c r="BQ4" s="143"/>
      <c r="BR4" s="143"/>
      <c r="BS4" s="143"/>
      <c r="BT4" s="143"/>
      <c r="BU4" s="143"/>
      <c r="BV4" s="143"/>
      <c r="BW4" s="143"/>
      <c r="BX4" s="143"/>
      <c r="BY4" s="143"/>
      <c r="BZ4" s="143"/>
      <c r="CA4" s="143"/>
      <c r="CB4" s="143"/>
      <c r="CC4" s="143"/>
      <c r="CD4" s="143"/>
      <c r="CE4" s="143"/>
      <c r="CF4" s="143"/>
      <c r="CG4" s="143"/>
      <c r="CH4" s="143"/>
      <c r="CI4" s="143"/>
      <c r="CJ4" s="143"/>
      <c r="CK4" s="143"/>
      <c r="CL4" s="143"/>
      <c r="CM4" s="143"/>
      <c r="CN4" s="143"/>
      <c r="CO4" s="143"/>
      <c r="CP4" s="143"/>
      <c r="CQ4" s="143"/>
      <c r="CR4" s="143"/>
      <c r="CS4" s="143"/>
      <c r="CT4" s="143"/>
      <c r="CU4" s="143"/>
      <c r="CV4" s="143"/>
      <c r="CW4" s="143"/>
      <c r="CX4" s="143"/>
      <c r="CY4" s="132"/>
      <c r="CZ4" s="138"/>
      <c r="DA4" s="138"/>
      <c r="DB4" s="138"/>
      <c r="DC4" s="138"/>
      <c r="DD4" s="132"/>
      <c r="DE4" s="132"/>
      <c r="DF4" s="132"/>
      <c r="DG4" s="134"/>
      <c r="DH4" s="134"/>
      <c r="DI4" s="134"/>
      <c r="DJ4" s="134"/>
      <c r="DK4" s="134"/>
      <c r="DL4" s="134"/>
      <c r="DM4" s="134"/>
      <c r="DN4" s="132" t="s">
        <v>87</v>
      </c>
      <c r="DO4" s="161">
        <f>SUM(DO10:DO406)</f>
        <v>1000000</v>
      </c>
      <c r="DP4" s="136"/>
      <c r="DQ4" s="136"/>
      <c r="DR4" s="161">
        <f>SUM(DR10:DR406)</f>
        <v>1000000</v>
      </c>
      <c r="DS4" s="136"/>
      <c r="DT4" s="136"/>
      <c r="DU4" s="161">
        <f>SUM(DU10:DU406)</f>
        <v>0</v>
      </c>
      <c r="DV4" s="162"/>
      <c r="DW4" s="136"/>
      <c r="DX4" s="161">
        <f>SUM(DX10:DX406)</f>
        <v>0</v>
      </c>
      <c r="DY4" s="163"/>
      <c r="DZ4" s="163"/>
      <c r="EA4" s="161">
        <f>SUM(EA10:EA406)</f>
        <v>15340518.084849998</v>
      </c>
      <c r="EB4" s="163"/>
      <c r="EC4" s="163"/>
      <c r="ED4" s="161">
        <f>SUM(ED10:ED406)</f>
        <v>21097585.718902603</v>
      </c>
      <c r="EE4" s="163"/>
      <c r="EF4" s="163"/>
      <c r="EG4" s="161">
        <f>SUM(EG10:EG406)</f>
        <v>14663827.1109</v>
      </c>
      <c r="EH4" s="136"/>
      <c r="EI4" s="136"/>
      <c r="EJ4" s="161">
        <f>SUM(EJ10:EJ406)</f>
        <v>0</v>
      </c>
      <c r="EK4" s="163"/>
      <c r="EL4" s="163"/>
      <c r="EM4" s="161">
        <f>SUM(EM10:EM406)</f>
        <v>0</v>
      </c>
      <c r="EN4" s="163"/>
      <c r="EO4" s="163"/>
      <c r="EP4" s="161">
        <f>SUM(EP10:EP406)</f>
        <v>0</v>
      </c>
      <c r="EQ4" s="163"/>
      <c r="ER4" s="163"/>
      <c r="ES4" s="161">
        <f>SUM(ES10:ES406)</f>
        <v>0</v>
      </c>
      <c r="ET4" s="163"/>
      <c r="EU4" s="163"/>
      <c r="EV4" s="161">
        <f>SUM(EV10:EV406)</f>
        <v>0</v>
      </c>
      <c r="EW4" s="163"/>
      <c r="EX4" s="163"/>
      <c r="EY4" s="161">
        <f>SUM(EY10:EY406)</f>
        <v>11464651.42</v>
      </c>
      <c r="EZ4" s="163"/>
      <c r="FA4" s="163"/>
      <c r="FB4" s="161">
        <f>SUM(FB10:FB406)</f>
        <v>0</v>
      </c>
      <c r="FC4" s="163"/>
      <c r="FD4" s="163"/>
      <c r="FE4" s="161">
        <f>SUM(FE10:FE406)</f>
        <v>1232469.6289026001</v>
      </c>
      <c r="FF4" s="163"/>
      <c r="FG4" s="163"/>
      <c r="FH4" s="136"/>
      <c r="FI4" s="136"/>
      <c r="FJ4" s="136"/>
      <c r="FK4" s="163"/>
      <c r="FL4" s="163"/>
      <c r="FM4" s="163"/>
      <c r="FN4" s="163"/>
      <c r="FO4" s="163"/>
      <c r="FP4" s="163"/>
      <c r="FQ4" s="161">
        <f>SUM(FQ10:FQ406)</f>
        <v>8000000</v>
      </c>
      <c r="FR4" s="163"/>
      <c r="FS4" s="163"/>
      <c r="FT4" s="161">
        <f>SUM(FT10:FT406)</f>
        <v>79136452.739999995</v>
      </c>
      <c r="FU4" s="163"/>
      <c r="FV4" s="163"/>
      <c r="FW4" s="161">
        <f>SUM(FZ10:FZ406)</f>
        <v>213419269.43890265</v>
      </c>
      <c r="FX4" s="161">
        <f>SUM(FX10:FX406)</f>
        <v>0</v>
      </c>
      <c r="FY4" s="161">
        <f>SUM(FY10:FY406)</f>
        <v>62147860.558902599</v>
      </c>
      <c r="FZ4" s="161">
        <f>SUM(FZ10:FZ406)</f>
        <v>213419269.43890265</v>
      </c>
      <c r="GA4" s="163"/>
      <c r="GB4" s="163"/>
      <c r="GC4" s="163"/>
      <c r="GD4" s="163"/>
      <c r="GE4" s="163"/>
      <c r="GF4" s="163"/>
      <c r="GG4" s="136"/>
      <c r="GH4" s="138"/>
      <c r="GI4" s="164" t="s">
        <v>88</v>
      </c>
      <c r="GJ4" s="149">
        <v>0.15</v>
      </c>
      <c r="GK4" s="152">
        <f>'Borrowing Base'!J5*GJ4</f>
        <v>152892852.51729038</v>
      </c>
      <c r="GQ4" s="138"/>
      <c r="GR4" s="164" t="s">
        <v>85</v>
      </c>
      <c r="GS4" s="149">
        <v>0.05</v>
      </c>
      <c r="GT4" s="152">
        <f>'Borrowing Base'!J5*GS4</f>
        <v>50964284.172430128</v>
      </c>
      <c r="GW4"/>
      <c r="GX4"/>
      <c r="GZ4" s="138"/>
      <c r="HA4" s="163"/>
      <c r="HB4" s="163"/>
      <c r="HC4" s="163"/>
      <c r="HF4"/>
      <c r="HG4"/>
      <c r="HH4" s="136"/>
      <c r="HI4" s="136"/>
      <c r="HJ4" s="136"/>
      <c r="HK4" s="136"/>
      <c r="HM4" s="136"/>
      <c r="HN4" s="136"/>
      <c r="HT4" s="20"/>
      <c r="IC4" s="124"/>
    </row>
    <row r="5" spans="1:240" ht="21" thickBot="1">
      <c r="B5" s="175"/>
      <c r="C5" s="121"/>
      <c r="D5" s="121"/>
      <c r="E5" s="121"/>
      <c r="F5" s="176"/>
      <c r="G5" s="167"/>
      <c r="H5" s="425"/>
      <c r="I5" s="168"/>
      <c r="J5" s="127"/>
      <c r="K5" s="127"/>
      <c r="L5" s="169"/>
      <c r="M5" s="177"/>
      <c r="N5" s="121"/>
      <c r="O5" s="121"/>
      <c r="P5" s="121"/>
      <c r="Q5" s="121"/>
      <c r="R5" s="178"/>
      <c r="S5" s="143"/>
      <c r="T5" s="143"/>
      <c r="U5" s="143"/>
      <c r="V5" s="143"/>
      <c r="W5" s="143"/>
      <c r="X5" s="143"/>
      <c r="Y5" s="143"/>
      <c r="Z5" s="121"/>
      <c r="AA5" s="127"/>
      <c r="AB5" s="127"/>
      <c r="AC5" s="127"/>
      <c r="AD5" s="127"/>
      <c r="AE5" s="127"/>
      <c r="AF5" s="121" t="s">
        <v>89</v>
      </c>
      <c r="AG5" s="179">
        <v>6</v>
      </c>
      <c r="AH5" s="180">
        <v>5.25</v>
      </c>
      <c r="AI5" s="181">
        <v>4.5</v>
      </c>
      <c r="AJ5" s="352">
        <v>6.5</v>
      </c>
      <c r="AK5" s="353">
        <v>5.75</v>
      </c>
      <c r="AL5" s="354">
        <v>5</v>
      </c>
      <c r="AM5" s="352">
        <v>7</v>
      </c>
      <c r="AN5" s="353">
        <v>6.25</v>
      </c>
      <c r="AO5" s="354">
        <v>5.5</v>
      </c>
      <c r="AP5" s="352">
        <v>7.5</v>
      </c>
      <c r="AQ5" s="353">
        <v>6.75</v>
      </c>
      <c r="AR5" s="354">
        <v>6</v>
      </c>
      <c r="AS5" s="352">
        <v>8</v>
      </c>
      <c r="AT5" s="353">
        <v>7.25</v>
      </c>
      <c r="AU5" s="354">
        <v>6.5</v>
      </c>
      <c r="AV5" s="146" t="s">
        <v>90</v>
      </c>
      <c r="AW5" s="355">
        <f>SUMPRODUCT(AQ10:AQ406,$DH$10:$DH$406)/SUM($DH$10:$DH$406)</f>
        <v>4.1797276407121204</v>
      </c>
      <c r="AX5" s="10"/>
      <c r="AY5" s="146" t="s">
        <v>91</v>
      </c>
      <c r="AZ5" s="159">
        <f>SUM($CC$10:$CD$406)/SUMIF($AR$10:$AR$406,"No",$DF$10:$DF$406)</f>
        <v>5.8597603189206052E-2</v>
      </c>
      <c r="BD5" s="172"/>
      <c r="BH5" s="143"/>
      <c r="BI5" s="143"/>
      <c r="BJ5" s="143"/>
      <c r="BK5" s="143"/>
      <c r="BL5" s="143"/>
      <c r="BM5" s="143"/>
      <c r="BN5" s="143"/>
      <c r="BO5" s="143"/>
      <c r="BP5" s="143"/>
      <c r="BQ5" s="143"/>
      <c r="BR5" s="143"/>
      <c r="BS5" s="143"/>
      <c r="BT5" s="143"/>
      <c r="BU5" s="143"/>
      <c r="BV5" s="143"/>
      <c r="BW5" s="143"/>
      <c r="BX5" s="143"/>
      <c r="BY5" s="143"/>
      <c r="BZ5" s="143"/>
      <c r="CA5" s="143"/>
      <c r="CB5" s="143"/>
      <c r="CC5" s="143"/>
      <c r="CD5" s="143"/>
      <c r="CE5" s="143"/>
      <c r="CF5" s="143"/>
      <c r="CG5" s="143"/>
      <c r="CH5" s="143"/>
      <c r="CI5" s="143"/>
      <c r="CJ5" s="143"/>
      <c r="CK5" s="143"/>
      <c r="CL5" s="143"/>
      <c r="CM5" s="143"/>
      <c r="CN5" s="143"/>
      <c r="CO5" s="143"/>
      <c r="CP5" s="143"/>
      <c r="CQ5" s="143"/>
      <c r="CR5" s="143"/>
      <c r="CS5" s="143"/>
      <c r="CT5" s="143"/>
      <c r="CU5" s="143"/>
      <c r="CV5" s="143"/>
      <c r="CW5" s="143"/>
      <c r="CX5" s="143"/>
      <c r="CY5" s="182">
        <f t="shared" ref="CY5:DD5" si="0">SUM(CY10:CY406)</f>
        <v>1</v>
      </c>
      <c r="CZ5" s="182">
        <f t="shared" si="0"/>
        <v>6</v>
      </c>
      <c r="DA5" s="182">
        <f t="shared" si="0"/>
        <v>24</v>
      </c>
      <c r="DB5" s="182">
        <f t="shared" si="0"/>
        <v>2</v>
      </c>
      <c r="DC5" s="182">
        <f t="shared" si="0"/>
        <v>1</v>
      </c>
      <c r="DD5" s="182">
        <f t="shared" si="0"/>
        <v>18</v>
      </c>
      <c r="DE5" s="132"/>
      <c r="DF5" s="132"/>
      <c r="DG5" s="132"/>
      <c r="DH5" s="183"/>
      <c r="DI5" s="183"/>
      <c r="DJ5" s="184"/>
      <c r="DK5" s="134"/>
      <c r="DL5" s="184"/>
      <c r="DM5" s="184"/>
      <c r="DN5" s="132" t="s">
        <v>92</v>
      </c>
      <c r="DO5" s="185">
        <f>MAX(0,DO4-DO3)</f>
        <v>0</v>
      </c>
      <c r="DP5" s="136"/>
      <c r="DQ5" s="136"/>
      <c r="DR5" s="185">
        <f>MAX(0,DR4-DR3)</f>
        <v>0</v>
      </c>
      <c r="DS5" s="136"/>
      <c r="DT5" s="136"/>
      <c r="DU5" s="185">
        <f>MAX(0,DU4-DU3)</f>
        <v>0</v>
      </c>
      <c r="DV5" s="186"/>
      <c r="DW5" s="136"/>
      <c r="DX5" s="185">
        <f>MAX(0,DX4-DX3)</f>
        <v>0</v>
      </c>
      <c r="DY5" s="136"/>
      <c r="DZ5" s="136"/>
      <c r="EA5" s="185">
        <f>MAX(0,EA4-EA3)</f>
        <v>0</v>
      </c>
      <c r="EB5" s="136"/>
      <c r="EC5" s="136"/>
      <c r="ED5" s="185">
        <f>MAX(0,ED4-ED3)</f>
        <v>0</v>
      </c>
      <c r="EE5" s="136"/>
      <c r="EF5" s="136"/>
      <c r="EG5" s="185">
        <f>MAX(0,EG4-EG3)</f>
        <v>0</v>
      </c>
      <c r="EH5" s="136"/>
      <c r="EI5" s="136"/>
      <c r="EJ5" s="185">
        <f>MAX(0,EJ4-EJ3)</f>
        <v>0</v>
      </c>
      <c r="EK5" s="136"/>
      <c r="EL5" s="136"/>
      <c r="EM5" s="186">
        <f>MAX(0,EM4-EM3)</f>
        <v>0</v>
      </c>
      <c r="EN5" s="136"/>
      <c r="EO5" s="136"/>
      <c r="EP5" s="186">
        <f>MAX(0,EP4-EP3)</f>
        <v>0</v>
      </c>
      <c r="EQ5" s="136"/>
      <c r="ER5" s="136"/>
      <c r="ES5" s="185">
        <f>MAX(0,ES4-ES3)</f>
        <v>0</v>
      </c>
      <c r="ET5" s="136"/>
      <c r="EU5" s="136"/>
      <c r="EV5" s="185">
        <f>MAX(0,EV4-EV3)</f>
        <v>0</v>
      </c>
      <c r="EW5" s="136"/>
      <c r="EX5" s="136"/>
      <c r="EY5" s="185">
        <f>MAX(0,EY4-EY3)</f>
        <v>0</v>
      </c>
      <c r="EZ5" s="136"/>
      <c r="FA5" s="136"/>
      <c r="FB5" s="186">
        <f>MAX(0,FB4-FB3)</f>
        <v>0</v>
      </c>
      <c r="FC5" s="136"/>
      <c r="FD5" s="136"/>
      <c r="FE5" s="185">
        <f>MAX(0,FE4-FE3)</f>
        <v>0</v>
      </c>
      <c r="FF5" s="136"/>
      <c r="FG5" s="136"/>
      <c r="FH5" s="136"/>
      <c r="FI5" s="136"/>
      <c r="FJ5" s="163"/>
      <c r="FK5" s="136"/>
      <c r="FL5" s="136"/>
      <c r="FM5" s="136"/>
      <c r="FN5" s="136"/>
      <c r="FO5" s="136"/>
      <c r="FP5" s="136"/>
      <c r="FQ5" s="185">
        <f>MAX(0,FQ4-FQ3)</f>
        <v>0</v>
      </c>
      <c r="FR5" s="187" t="s">
        <v>93</v>
      </c>
      <c r="FS5" s="136"/>
      <c r="FT5" s="185">
        <f>MAX(0,FT4-FT3)</f>
        <v>0</v>
      </c>
      <c r="FU5" s="187" t="s">
        <v>93</v>
      </c>
      <c r="FV5" s="136"/>
      <c r="FW5" s="186">
        <f>MAX(0,SUM(FZ4:FZ4)-FW3)</f>
        <v>9562132.7491821349</v>
      </c>
      <c r="FX5" s="186"/>
      <c r="FY5" s="186"/>
      <c r="FZ5" s="186"/>
      <c r="GA5" s="187" t="s">
        <v>93</v>
      </c>
      <c r="GB5" s="163"/>
      <c r="GC5" s="163"/>
      <c r="GD5" s="136"/>
      <c r="GE5" s="136"/>
      <c r="GF5" s="136"/>
      <c r="GH5" s="139">
        <f>COUNTIF(GG10:GG406,"&gt;"&amp;0)</f>
        <v>25</v>
      </c>
      <c r="GQ5" s="139">
        <f>COUNTIF(GQ10:GQ406,"&gt;"&amp;0)</f>
        <v>106</v>
      </c>
      <c r="GW5"/>
      <c r="GX5"/>
      <c r="GZ5" s="139">
        <f>COUNTIF(GZ10:GZ406,"&gt;"&amp;0)</f>
        <v>106</v>
      </c>
      <c r="HF5"/>
      <c r="HG5"/>
      <c r="HH5"/>
      <c r="HI5"/>
      <c r="HJ5" s="136"/>
      <c r="HK5" s="136"/>
      <c r="HM5" s="139"/>
      <c r="HN5" s="136"/>
      <c r="HT5" s="20"/>
      <c r="IC5" s="124"/>
    </row>
    <row r="6" spans="1:240" ht="20.25">
      <c r="B6" s="121"/>
      <c r="C6" s="188"/>
      <c r="D6" s="188"/>
      <c r="E6" s="188"/>
      <c r="F6" s="176"/>
      <c r="G6" s="189"/>
      <c r="H6" s="168"/>
      <c r="I6" s="168"/>
      <c r="J6" s="168"/>
      <c r="K6" s="168"/>
      <c r="L6" s="190"/>
      <c r="M6" s="23"/>
      <c r="N6" s="172"/>
      <c r="O6" s="191"/>
      <c r="P6" s="172"/>
      <c r="Q6" s="172"/>
      <c r="R6" s="191"/>
      <c r="S6" s="23"/>
      <c r="T6" s="23"/>
      <c r="U6" s="23"/>
      <c r="V6" s="23"/>
      <c r="W6" s="23"/>
      <c r="X6" s="23"/>
      <c r="Y6" s="23"/>
      <c r="Z6" s="172"/>
      <c r="AA6" s="23"/>
      <c r="AB6" s="23"/>
      <c r="AC6" s="127"/>
      <c r="AD6" s="127"/>
      <c r="AE6" s="127"/>
      <c r="AF6" s="127"/>
      <c r="AG6" s="342"/>
      <c r="AH6" s="342"/>
      <c r="AI6" s="342"/>
      <c r="AJ6" s="463"/>
      <c r="AK6" s="463"/>
      <c r="AL6" s="463"/>
      <c r="AM6" s="463"/>
      <c r="AN6" s="463"/>
      <c r="AO6" s="463"/>
      <c r="AP6" s="463"/>
      <c r="AQ6" s="463"/>
      <c r="AR6" s="463"/>
      <c r="AS6" s="463"/>
      <c r="AT6" s="127"/>
      <c r="AU6" s="127"/>
      <c r="AV6" s="127"/>
      <c r="AW6" s="127"/>
      <c r="AX6" s="23"/>
      <c r="AY6" s="23"/>
      <c r="AZ6" s="343"/>
      <c r="BA6" s="23"/>
      <c r="BB6" s="23"/>
      <c r="BC6" s="23"/>
      <c r="BD6" s="136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132"/>
      <c r="CZ6" s="132"/>
      <c r="DA6" s="132"/>
      <c r="DB6" s="132"/>
      <c r="DC6" s="132"/>
      <c r="DD6" s="132"/>
      <c r="DE6" s="191"/>
      <c r="DF6" s="183">
        <f>SUM(DF10:DF406)</f>
        <v>911157541.91265261</v>
      </c>
      <c r="DG6" s="183">
        <f>SUM(DG10:DG406)</f>
        <v>6719880.4900000002</v>
      </c>
      <c r="DH6" s="183">
        <f>SUM(DH10:DH406)</f>
        <v>917877422.40265262</v>
      </c>
      <c r="DI6" s="183">
        <f>SUM(DI10:DI406)</f>
        <v>1019285683.4486026</v>
      </c>
      <c r="DJ6" s="183">
        <f>SUM(DJ10:DJ406)</f>
        <v>6719880.4900000002</v>
      </c>
      <c r="DK6" s="183"/>
      <c r="DL6" s="183"/>
      <c r="DM6" s="183">
        <f>SUM(DM10:DM406)</f>
        <v>130314.39059501927</v>
      </c>
      <c r="DN6" s="132" t="s">
        <v>94</v>
      </c>
      <c r="DO6" s="192">
        <f>IF(DO4&lt;0.01,0,DO5/DO4)</f>
        <v>0</v>
      </c>
      <c r="DP6" s="183">
        <f>SUM(DP10:DP406)</f>
        <v>0</v>
      </c>
      <c r="DQ6" s="183">
        <f>SUM(DQ10:DQ406)</f>
        <v>917877422.40265262</v>
      </c>
      <c r="DR6" s="192">
        <f>IF(DR4&lt;0.01,0,DR5/DR4)</f>
        <v>0</v>
      </c>
      <c r="DS6" s="183">
        <f>SUM(DS10:DS406)</f>
        <v>0</v>
      </c>
      <c r="DT6" s="183">
        <f>SUM(DT10:DT406)</f>
        <v>917877422.40265262</v>
      </c>
      <c r="DU6" s="192">
        <f>IF(DU4&lt;0.01,0,DU5/DU4)</f>
        <v>0</v>
      </c>
      <c r="DV6" s="183">
        <f>SUM(DV10:DV406)</f>
        <v>0</v>
      </c>
      <c r="DW6" s="183">
        <f>SUM(DW10:DW406)</f>
        <v>917877422.40265262</v>
      </c>
      <c r="DX6" s="192">
        <f>IF(DX4&lt;0.01,0,DX5/DX4)</f>
        <v>0</v>
      </c>
      <c r="DY6" s="183">
        <f>SUM(DY10:DY406)</f>
        <v>0</v>
      </c>
      <c r="DZ6" s="183">
        <f>SUM(DZ10:DZ406)</f>
        <v>917877422.40265262</v>
      </c>
      <c r="EA6" s="192">
        <f>IF(EA4&lt;0.01,0,EA5/EA4)</f>
        <v>0</v>
      </c>
      <c r="EB6" s="183">
        <f>SUM(EB10:EB406)</f>
        <v>0</v>
      </c>
      <c r="EC6" s="183">
        <f>SUM(EC10:EC406)</f>
        <v>917877422.40265262</v>
      </c>
      <c r="ED6" s="192">
        <f>IF(ED4&lt;0.01,0,ED5/ED4)</f>
        <v>0</v>
      </c>
      <c r="EE6" s="183">
        <f>SUM(EE10:EE406)</f>
        <v>0</v>
      </c>
      <c r="EF6" s="183">
        <f>SUM(EF10:EF406)</f>
        <v>917877422.40265262</v>
      </c>
      <c r="EG6" s="192">
        <f>IF(EG4&lt;0.01,0,EG5/EG4)</f>
        <v>0</v>
      </c>
      <c r="EH6" s="183">
        <f>SUM(EH10:EH406)</f>
        <v>0</v>
      </c>
      <c r="EI6" s="183">
        <f>SUM(EI10:EI406)</f>
        <v>917877422.40265262</v>
      </c>
      <c r="EJ6" s="192">
        <f>IF(EJ4&lt;0.01,0,EJ5/EJ4)</f>
        <v>0</v>
      </c>
      <c r="EK6" s="183">
        <f>SUM(EK10:EK406)</f>
        <v>0</v>
      </c>
      <c r="EL6" s="183">
        <f>SUM(EL10:EL406)</f>
        <v>917877422.40265262</v>
      </c>
      <c r="EM6" s="192">
        <f>IF(EM4&lt;0.01,0,EM5/EM4)</f>
        <v>0</v>
      </c>
      <c r="EN6" s="183">
        <f>SUM(EN10:EN406)</f>
        <v>0</v>
      </c>
      <c r="EO6" s="183">
        <f>SUM(EO10:EO406)</f>
        <v>917877422.40265262</v>
      </c>
      <c r="EP6" s="192">
        <f>IF(EP4&lt;0.01,0,EP5/EP4)</f>
        <v>0</v>
      </c>
      <c r="EQ6" s="183">
        <f>SUM(EQ10:EQ406)</f>
        <v>0</v>
      </c>
      <c r="ER6" s="183">
        <f>SUM(ER10:ER406)</f>
        <v>917877422.40265262</v>
      </c>
      <c r="ES6" s="192">
        <f>IF(ES4&lt;0.01,0,ES5/ES4)</f>
        <v>0</v>
      </c>
      <c r="ET6" s="183">
        <f>SUM(ET10:ET406)</f>
        <v>0</v>
      </c>
      <c r="EU6" s="183">
        <f>SUM(EU10:EU406)</f>
        <v>917877422.40265262</v>
      </c>
      <c r="EV6" s="192">
        <f>IF(EV4&lt;0.01,0,EV5/EV4)</f>
        <v>0</v>
      </c>
      <c r="EW6" s="183">
        <f>SUM(EW10:EW406)</f>
        <v>0</v>
      </c>
      <c r="EX6" s="183">
        <f>SUM(EX10:EX406)</f>
        <v>917877422.40265262</v>
      </c>
      <c r="EY6" s="192">
        <f>IF(EY4&lt;0.01,0,EY5/EY4)</f>
        <v>0</v>
      </c>
      <c r="EZ6" s="183">
        <f>SUM(EZ10:EZ406)</f>
        <v>0</v>
      </c>
      <c r="FA6" s="183">
        <f>SUM(FA10:FA406)</f>
        <v>917877422.40265262</v>
      </c>
      <c r="FB6" s="192">
        <f>IF(FB4&lt;0.01,0,FB5/FB4)</f>
        <v>0</v>
      </c>
      <c r="FC6" s="183">
        <f>SUM(FC10:FC406)</f>
        <v>0</v>
      </c>
      <c r="FD6" s="183">
        <f>SUM(FD10:FD406)</f>
        <v>917877422.40265262</v>
      </c>
      <c r="FE6" s="192">
        <f>IF(FE4&lt;0.01,0,FE5/FE4)</f>
        <v>0</v>
      </c>
      <c r="FF6" s="183">
        <f>SUM(FF10:FF406)</f>
        <v>0</v>
      </c>
      <c r="FG6" s="183">
        <f>SUM(FG10:FG406)</f>
        <v>917877422.40265262</v>
      </c>
      <c r="FH6" s="191"/>
      <c r="FI6" s="183">
        <f>SUM(FI10:FI406)</f>
        <v>0</v>
      </c>
      <c r="FJ6" s="183">
        <f>SUM(FJ10:FJ406)</f>
        <v>917877422.40265262</v>
      </c>
      <c r="FK6" s="183">
        <f>SUM(FK10:FK406)</f>
        <v>917877422.40265262</v>
      </c>
      <c r="FL6" s="183">
        <f>SUM(FL10:FL406)</f>
        <v>0</v>
      </c>
      <c r="FM6" s="183">
        <f>SUM(FM10:FM406)</f>
        <v>917877422.40265262</v>
      </c>
      <c r="FN6" s="183"/>
      <c r="FO6" s="183">
        <f>SUM(FO10:FO406)</f>
        <v>0</v>
      </c>
      <c r="FP6" s="183">
        <f>SUM(FP10:FP406)</f>
        <v>917877422.40265262</v>
      </c>
      <c r="FQ6" s="192">
        <f>IF(FQ4&lt;0.01,0,FQ5/FQ4)</f>
        <v>0</v>
      </c>
      <c r="FR6" s="183">
        <f>SUM(FR10:FR406)</f>
        <v>0</v>
      </c>
      <c r="FS6" s="183">
        <f>SUM(FS10:FS406)</f>
        <v>917877422.40265262</v>
      </c>
      <c r="FT6" s="192">
        <f>IF(FT4&lt;0.01,0,FT5/FT4)</f>
        <v>0</v>
      </c>
      <c r="FU6" s="183">
        <f>SUM(FU10:FU406)</f>
        <v>0</v>
      </c>
      <c r="FV6" s="183">
        <f>SUM(FV10:FV406)</f>
        <v>917877422.40265262</v>
      </c>
      <c r="FW6" s="192">
        <f>IF(SUM(FW4:FZ4)&lt;0.01,0,FW5/SUM(FZ4:FZ4))</f>
        <v>4.4804448887496393E-2</v>
      </c>
      <c r="FX6" s="192"/>
      <c r="FY6" s="192"/>
      <c r="FZ6" s="192"/>
      <c r="GA6" s="183">
        <f>SUM(GA10:GA406)</f>
        <v>956213.27491821314</v>
      </c>
      <c r="GB6" s="183">
        <f>SUM(GB10:GB406)</f>
        <v>916921209.12773454</v>
      </c>
      <c r="GC6" s="183">
        <f>SUM(GC10:GC406)</f>
        <v>910225728.24670517</v>
      </c>
      <c r="GD6" s="183">
        <f>SUM(GD10:GD406)</f>
        <v>649494835.52356625</v>
      </c>
      <c r="GE6" s="183"/>
      <c r="GF6" s="163"/>
      <c r="GG6" s="193"/>
      <c r="GH6" s="183">
        <f>SUM(GH10:GH406)</f>
        <v>917877422.40265274</v>
      </c>
      <c r="GI6" s="183">
        <f>GH5</f>
        <v>25</v>
      </c>
      <c r="GJ6" s="183">
        <f>SUM(GJ10:GJ406)</f>
        <v>917877422.40265274</v>
      </c>
      <c r="GK6" s="163"/>
      <c r="GL6" s="183">
        <f>SUM(GL10:GL406)</f>
        <v>0</v>
      </c>
      <c r="GN6" s="191"/>
      <c r="GQ6" s="183">
        <f>SUM(GQ10:GQ406)</f>
        <v>917877422.40265274</v>
      </c>
      <c r="GR6" s="183">
        <f>GQ5</f>
        <v>106</v>
      </c>
      <c r="GS6" s="183">
        <f>SUM(GS10:GS406)</f>
        <v>917877422.4026525</v>
      </c>
      <c r="GT6" s="163"/>
      <c r="GU6" s="183">
        <f>SUM(GU10:GU406)</f>
        <v>0</v>
      </c>
      <c r="GV6" s="183"/>
      <c r="GW6" s="183"/>
      <c r="GX6" s="183"/>
      <c r="GZ6" s="183">
        <f>SUM(GZ10:GZ406)</f>
        <v>917877422.40265274</v>
      </c>
      <c r="HA6" s="183">
        <f>GZ5</f>
        <v>106</v>
      </c>
      <c r="HB6" s="183">
        <f>SUM(HB10:HB406)</f>
        <v>917877422.4026525</v>
      </c>
      <c r="HC6" s="163"/>
      <c r="HD6" s="183">
        <f>SUM(HD10:HD406)</f>
        <v>0</v>
      </c>
      <c r="HE6" s="183"/>
      <c r="HF6" s="183"/>
      <c r="HG6" s="183"/>
      <c r="HH6" s="183">
        <f>SUM(HH10:HH406)</f>
        <v>956213.27491820953</v>
      </c>
      <c r="HI6" s="183">
        <f>SUM(HI10:HI406)</f>
        <v>0</v>
      </c>
      <c r="HJ6" s="136"/>
      <c r="HK6" s="136"/>
      <c r="HM6" s="191"/>
      <c r="HN6" s="136"/>
      <c r="HT6" s="20"/>
      <c r="HV6" s="458" t="s">
        <v>95</v>
      </c>
      <c r="IC6" s="124"/>
    </row>
    <row r="7" spans="1:240" ht="20.25">
      <c r="B7" s="121"/>
      <c r="C7" s="188"/>
      <c r="D7" s="188"/>
      <c r="E7" s="188"/>
      <c r="F7" s="176"/>
      <c r="G7" s="172">
        <f>SUM(G10:G406)</f>
        <v>1040653328.4096999</v>
      </c>
      <c r="H7" s="172">
        <f>SUM(H10:H406)</f>
        <v>1033933447.9196999</v>
      </c>
      <c r="I7" s="172"/>
      <c r="J7" s="172">
        <f>SUM(J10:J406)</f>
        <v>1040177309.2686025</v>
      </c>
      <c r="K7" s="172">
        <f>SUM(K10:K406)</f>
        <v>1033457428.7786025</v>
      </c>
      <c r="L7" s="172">
        <f>SUM(L10:L406)</f>
        <v>1019285683.4486026</v>
      </c>
      <c r="M7" s="172">
        <f>SUM(M10:M406)</f>
        <v>1012565802.9586025</v>
      </c>
      <c r="N7" s="172"/>
      <c r="O7" s="172">
        <f>SUMIF(N10:N406,"Yes",K10:K406)</f>
        <v>1701302.6099999999</v>
      </c>
      <c r="P7" s="172"/>
      <c r="Q7" s="191"/>
      <c r="R7" s="172"/>
      <c r="S7" s="191"/>
      <c r="T7" s="172"/>
      <c r="U7" s="172"/>
      <c r="V7" s="172"/>
      <c r="W7" s="172">
        <f>SUM(W10:W406)</f>
        <v>911157541.91265261</v>
      </c>
      <c r="X7" s="172"/>
      <c r="Y7" s="194"/>
      <c r="Z7" s="172"/>
      <c r="AA7" s="195"/>
      <c r="AB7" s="195"/>
      <c r="AC7" s="127"/>
      <c r="AD7" s="127"/>
      <c r="AE7" s="127"/>
      <c r="AF7" s="127"/>
      <c r="AG7" s="172"/>
      <c r="AH7"/>
      <c r="AI7" s="172"/>
      <c r="AJ7" s="172"/>
      <c r="AK7"/>
      <c r="AL7" s="172"/>
      <c r="AM7" s="172"/>
      <c r="AN7" s="196"/>
      <c r="AO7" s="172"/>
      <c r="AP7" s="127"/>
      <c r="AQ7" s="127"/>
      <c r="AR7" s="127"/>
      <c r="AS7" s="127"/>
      <c r="AT7" s="127"/>
      <c r="AU7" s="127"/>
      <c r="AV7" s="127"/>
      <c r="AW7" s="127"/>
      <c r="AX7" s="10"/>
      <c r="AY7" s="10"/>
      <c r="AZ7" s="10"/>
      <c r="BA7" s="172"/>
      <c r="BB7" s="172"/>
      <c r="BC7" s="172"/>
      <c r="BD7" s="172"/>
      <c r="BE7" s="172"/>
      <c r="BF7" s="172"/>
      <c r="BG7" s="172"/>
      <c r="BH7" s="172"/>
      <c r="BI7" s="172"/>
      <c r="BJ7" s="172"/>
      <c r="BK7" s="23"/>
      <c r="BL7" s="23"/>
      <c r="BM7" s="23"/>
      <c r="BN7" s="23"/>
      <c r="BO7" s="172"/>
      <c r="BP7" s="172"/>
      <c r="BQ7" s="172"/>
      <c r="BR7" s="172"/>
      <c r="BS7" s="172"/>
      <c r="BT7" s="172"/>
      <c r="BU7" s="172"/>
      <c r="BV7" s="172"/>
      <c r="BW7" s="23"/>
      <c r="BX7" s="172"/>
      <c r="BY7" s="172"/>
      <c r="BZ7" s="23"/>
      <c r="CA7" s="172"/>
      <c r="CB7" s="172"/>
      <c r="CC7" s="172"/>
      <c r="CD7" s="172"/>
      <c r="CE7" s="172"/>
      <c r="CF7" s="172"/>
      <c r="CG7" s="172"/>
      <c r="CH7" s="172"/>
      <c r="CI7" s="172"/>
      <c r="CJ7" s="172"/>
      <c r="CK7" s="172"/>
      <c r="CL7" s="172"/>
      <c r="CM7" s="172"/>
      <c r="CN7" s="172"/>
      <c r="CO7" s="172"/>
      <c r="CP7" s="172"/>
      <c r="CQ7" s="172"/>
      <c r="CR7" s="172"/>
      <c r="CS7" s="172"/>
      <c r="CT7" s="172"/>
      <c r="CU7" s="172"/>
      <c r="CV7" s="172"/>
      <c r="CW7" s="172"/>
      <c r="CX7" s="172"/>
      <c r="CY7" s="191"/>
      <c r="CZ7" s="191"/>
      <c r="DA7" s="464"/>
      <c r="DB7" s="464"/>
      <c r="DC7" s="464"/>
      <c r="DD7" s="464"/>
      <c r="DE7" s="191"/>
      <c r="DF7" s="191"/>
      <c r="DG7" s="191"/>
      <c r="DH7" s="191"/>
      <c r="DI7" s="191"/>
      <c r="DJ7" s="191"/>
      <c r="DK7" s="191"/>
      <c r="DL7" s="191"/>
      <c r="DM7" s="191"/>
      <c r="DN7" s="132"/>
      <c r="DO7" s="192"/>
      <c r="DP7" s="191"/>
      <c r="DQ7" s="191"/>
      <c r="DR7" s="191"/>
      <c r="DS7" s="191"/>
      <c r="DT7" s="191"/>
      <c r="DU7" s="192"/>
      <c r="DV7" s="191"/>
      <c r="DW7" s="191"/>
      <c r="DX7" s="192"/>
      <c r="DY7" s="191"/>
      <c r="DZ7" s="191"/>
      <c r="EA7" s="191"/>
      <c r="EB7" s="191"/>
      <c r="EC7" s="191"/>
      <c r="ED7" s="192"/>
      <c r="EE7" s="191"/>
      <c r="EF7" s="191"/>
      <c r="EG7" s="192"/>
      <c r="EH7" s="191"/>
      <c r="EI7" s="191"/>
      <c r="EJ7" s="192"/>
      <c r="EK7" s="191"/>
      <c r="EL7" s="191"/>
      <c r="EM7" s="191"/>
      <c r="EN7" s="191"/>
      <c r="EO7" s="191"/>
      <c r="EP7" s="192"/>
      <c r="EQ7" s="191"/>
      <c r="ER7" s="191"/>
      <c r="ES7" s="192"/>
      <c r="ET7" s="191"/>
      <c r="EU7" s="191"/>
      <c r="EV7" s="191"/>
      <c r="EW7" s="191"/>
      <c r="EX7" s="191"/>
      <c r="EY7" s="191"/>
      <c r="EZ7" s="191"/>
      <c r="FA7" s="191"/>
      <c r="FB7" s="191"/>
      <c r="FC7" s="191"/>
      <c r="FD7" s="191"/>
      <c r="FE7" s="191"/>
      <c r="FF7" s="191"/>
      <c r="FG7" s="191"/>
      <c r="FH7" s="191"/>
      <c r="FI7" s="191"/>
      <c r="FJ7" s="191"/>
      <c r="FK7" s="191"/>
      <c r="FL7" s="191"/>
      <c r="FM7" s="191"/>
      <c r="FN7" s="191"/>
      <c r="FO7" s="191"/>
      <c r="FP7" s="191"/>
      <c r="FQ7" s="192"/>
      <c r="FS7" s="191"/>
      <c r="FT7" s="192"/>
      <c r="FV7" s="191"/>
      <c r="FW7" s="192"/>
      <c r="FX7" s="192"/>
      <c r="FY7" s="192"/>
      <c r="FZ7" s="192"/>
      <c r="GA7" s="183"/>
      <c r="GB7" s="183"/>
      <c r="GC7" s="183"/>
      <c r="GD7" s="136"/>
      <c r="GE7" s="136"/>
      <c r="GF7" s="136"/>
      <c r="GG7"/>
      <c r="GH7" s="191"/>
      <c r="GI7" s="139"/>
      <c r="GJ7" s="191"/>
      <c r="GL7" s="191"/>
      <c r="GM7"/>
      <c r="GN7" s="191"/>
      <c r="GQ7" s="183"/>
      <c r="GR7" s="183"/>
      <c r="GS7" s="197"/>
      <c r="GT7" s="163"/>
      <c r="GU7" s="183"/>
      <c r="GV7"/>
      <c r="GW7" s="183"/>
      <c r="GX7" s="183"/>
      <c r="GZ7" s="183"/>
      <c r="HA7" s="183"/>
      <c r="HB7" s="197"/>
      <c r="HC7" s="163"/>
      <c r="HD7" s="183"/>
      <c r="HE7"/>
      <c r="HF7" s="183"/>
      <c r="HG7" s="183"/>
      <c r="HH7" s="198"/>
      <c r="HI7" s="198"/>
      <c r="HJ7" s="136"/>
      <c r="HK7" s="136"/>
      <c r="HM7" s="191"/>
      <c r="HN7" s="136"/>
      <c r="HO7" s="199"/>
      <c r="HP7" s="133"/>
      <c r="HT7" s="200">
        <f>SUM(HT10:HT406)</f>
        <v>97553268.417449996</v>
      </c>
      <c r="HV7" s="459"/>
      <c r="HY7" s="201"/>
    </row>
    <row r="8" spans="1:240" ht="18.75" customHeight="1">
      <c r="B8" s="121"/>
      <c r="C8" s="121"/>
      <c r="D8" s="121"/>
      <c r="E8" s="121"/>
      <c r="F8" s="121"/>
      <c r="G8" s="168"/>
      <c r="H8" s="168"/>
      <c r="I8" s="127"/>
      <c r="J8" s="203"/>
      <c r="K8" s="127"/>
      <c r="L8" s="204" t="s">
        <v>96</v>
      </c>
      <c r="M8" s="205"/>
      <c r="N8" s="206" t="s">
        <v>97</v>
      </c>
      <c r="O8" s="207"/>
      <c r="P8" s="207"/>
      <c r="Q8" s="207"/>
      <c r="R8" s="207"/>
      <c r="S8" s="207"/>
      <c r="T8" s="207"/>
      <c r="U8" s="207"/>
      <c r="V8" s="207"/>
      <c r="W8" s="208"/>
      <c r="X8" s="207"/>
      <c r="Y8" s="207"/>
      <c r="Z8" s="208"/>
      <c r="AA8" s="206" t="s">
        <v>98</v>
      </c>
      <c r="AB8" s="207"/>
      <c r="AC8" s="207"/>
      <c r="AD8" s="403"/>
      <c r="AE8" s="403"/>
      <c r="AF8" s="207"/>
      <c r="AG8" s="207"/>
      <c r="AH8" s="207"/>
      <c r="AI8" s="207"/>
      <c r="AJ8" s="207"/>
      <c r="AK8" s="207"/>
      <c r="AL8" s="208"/>
      <c r="AM8" s="207"/>
      <c r="AN8" s="207"/>
      <c r="AO8" s="207"/>
      <c r="AP8" s="207"/>
      <c r="AQ8" s="208"/>
      <c r="AR8" s="209" t="s">
        <v>99</v>
      </c>
      <c r="AS8" s="210"/>
      <c r="AT8" s="210"/>
      <c r="AU8" s="210"/>
      <c r="AV8" s="210"/>
      <c r="AW8" s="210"/>
      <c r="AX8" s="210"/>
      <c r="AY8" s="210"/>
      <c r="AZ8" s="210"/>
      <c r="BA8" s="210"/>
      <c r="BB8" s="210"/>
      <c r="BC8" s="210"/>
      <c r="BD8" s="210"/>
      <c r="BE8" s="211" t="s">
        <v>100</v>
      </c>
      <c r="BF8" s="212"/>
      <c r="BG8" s="212"/>
      <c r="BH8" s="213"/>
      <c r="BI8" s="213"/>
      <c r="BJ8" s="213"/>
      <c r="BK8" s="213"/>
      <c r="BL8" s="213"/>
      <c r="BM8" s="205"/>
      <c r="BN8" s="452"/>
      <c r="BO8" s="213" t="s">
        <v>101</v>
      </c>
      <c r="BP8" s="213"/>
      <c r="BQ8" s="213"/>
      <c r="BR8" s="213"/>
      <c r="BS8" s="213"/>
      <c r="BT8" s="213"/>
      <c r="BU8" s="213"/>
      <c r="BV8" s="213"/>
      <c r="BW8" s="213"/>
      <c r="BX8" s="213"/>
      <c r="BY8" s="213"/>
      <c r="BZ8" s="205"/>
      <c r="CA8" s="213"/>
      <c r="CB8" s="213"/>
      <c r="CC8" s="298"/>
      <c r="CD8" s="298"/>
      <c r="CE8" s="139"/>
      <c r="CF8" s="204" t="s">
        <v>101</v>
      </c>
      <c r="CG8" s="204"/>
      <c r="CH8" s="204"/>
      <c r="CI8" s="204"/>
      <c r="CJ8" s="204"/>
      <c r="CK8" s="204"/>
      <c r="CL8" s="204"/>
      <c r="CM8" s="204"/>
      <c r="CN8" s="204"/>
      <c r="CO8" s="204"/>
      <c r="CP8" s="204"/>
      <c r="CQ8" s="204"/>
      <c r="CR8" s="204"/>
      <c r="CS8" s="204"/>
      <c r="CT8" s="204"/>
      <c r="CU8" s="204"/>
      <c r="CV8" s="204"/>
      <c r="CW8" s="204"/>
      <c r="CX8" s="204"/>
      <c r="CY8" s="204"/>
      <c r="CZ8" s="204"/>
      <c r="DA8" s="204"/>
      <c r="DB8" s="204"/>
      <c r="DC8" s="204"/>
      <c r="DD8" s="214"/>
      <c r="DE8" s="139"/>
      <c r="DF8" s="139"/>
      <c r="DG8" s="139"/>
      <c r="DH8" s="139"/>
      <c r="DI8" s="139"/>
      <c r="DJ8" s="139"/>
      <c r="DK8" s="139"/>
      <c r="DL8" s="139"/>
      <c r="DM8" s="139"/>
      <c r="DO8" s="204" t="s">
        <v>102</v>
      </c>
      <c r="DP8" s="204"/>
      <c r="DQ8" s="204"/>
      <c r="DR8" s="204"/>
      <c r="DS8" s="204"/>
      <c r="DT8" s="204"/>
      <c r="DU8" s="204"/>
      <c r="DV8" s="204"/>
      <c r="DW8" s="204"/>
      <c r="DX8" s="204"/>
      <c r="DY8" s="204"/>
      <c r="DZ8" s="204"/>
      <c r="EA8" s="204"/>
      <c r="EB8" s="204"/>
      <c r="EC8" s="204"/>
      <c r="ED8" s="204"/>
      <c r="EE8" s="204"/>
      <c r="EF8" s="204"/>
      <c r="EG8" s="204"/>
      <c r="EH8" s="204"/>
      <c r="EI8" s="204"/>
      <c r="EJ8" s="204"/>
      <c r="EK8" s="204"/>
      <c r="EL8" s="204"/>
      <c r="EM8" s="204"/>
      <c r="EN8" s="204"/>
      <c r="EO8" s="204"/>
      <c r="EP8" s="204"/>
      <c r="EQ8" s="204"/>
      <c r="ER8" s="204"/>
      <c r="ES8" s="204"/>
      <c r="ET8" s="204"/>
      <c r="EU8" s="204"/>
      <c r="EV8" s="204"/>
      <c r="EW8" s="204"/>
      <c r="EX8" s="204"/>
      <c r="EY8" s="204"/>
      <c r="EZ8" s="204"/>
      <c r="FA8" s="204"/>
      <c r="FB8" s="204"/>
      <c r="FC8" s="204"/>
      <c r="FD8" s="204"/>
      <c r="FE8" s="204"/>
      <c r="FF8" s="204"/>
      <c r="FG8" s="204"/>
      <c r="FH8" s="204"/>
      <c r="FI8" s="204"/>
      <c r="FJ8" s="204"/>
      <c r="FK8" s="204"/>
      <c r="FL8" s="204"/>
      <c r="FM8" s="204"/>
      <c r="FN8" s="204"/>
      <c r="FO8" s="204"/>
      <c r="FP8" s="204"/>
      <c r="FQ8" s="204"/>
      <c r="FR8" s="204"/>
      <c r="FS8" s="204"/>
      <c r="FT8" s="204"/>
      <c r="FU8" s="204"/>
      <c r="FV8" s="204"/>
      <c r="FW8" s="204"/>
      <c r="FX8" s="204"/>
      <c r="FY8" s="204"/>
      <c r="FZ8" s="204"/>
      <c r="GA8" s="214"/>
      <c r="GB8" s="136"/>
      <c r="GC8" s="136"/>
      <c r="GD8" s="215"/>
      <c r="GE8" s="136"/>
      <c r="GF8" s="136"/>
      <c r="GG8" s="136"/>
      <c r="GH8" s="136"/>
      <c r="GQ8" s="136"/>
      <c r="GZ8" s="136"/>
      <c r="HG8"/>
      <c r="HH8"/>
      <c r="HI8"/>
      <c r="HM8" s="136"/>
      <c r="HO8" s="216">
        <f>SUM(HO10:HO406)</f>
        <v>911157541.91265261</v>
      </c>
      <c r="HP8" s="216">
        <f>SUM(HP10:HP406)</f>
        <v>1012565802.9586025</v>
      </c>
      <c r="HV8" s="217">
        <f>SUMIF($HU$10:$HU$406,"",$HV$10:$HV$406)</f>
        <v>6719880.4900000002</v>
      </c>
      <c r="HW8" s="201">
        <f>SUMIF(HW10:HW406,"&gt; 0",HP10:HP406)</f>
        <v>865540574.35890257</v>
      </c>
      <c r="HX8" s="201">
        <f>SUM(HX10:HX406)</f>
        <v>0</v>
      </c>
      <c r="HY8" s="201">
        <f>SUM(HY10:HY406)</f>
        <v>94168133.252849996</v>
      </c>
      <c r="HZ8" s="201">
        <f>SUM(HZ10:HZ406)</f>
        <v>0</v>
      </c>
      <c r="IA8" s="201">
        <f>SUM(IA10:IA406)</f>
        <v>6259376.3463000003</v>
      </c>
      <c r="IB8" s="201">
        <f>SUM(IB10:IB406)</f>
        <v>0</v>
      </c>
      <c r="IC8"/>
    </row>
    <row r="9" spans="1:240" ht="60.4" customHeight="1">
      <c r="B9" s="218" t="s">
        <v>103</v>
      </c>
      <c r="C9" s="219" t="s">
        <v>104</v>
      </c>
      <c r="D9" s="219" t="s">
        <v>105</v>
      </c>
      <c r="E9" s="219" t="s">
        <v>106</v>
      </c>
      <c r="F9" s="218" t="s">
        <v>107</v>
      </c>
      <c r="G9" s="218" t="s">
        <v>108</v>
      </c>
      <c r="H9" s="218" t="s">
        <v>109</v>
      </c>
      <c r="I9" s="218" t="s">
        <v>110</v>
      </c>
      <c r="J9" s="218" t="s">
        <v>111</v>
      </c>
      <c r="K9" s="218" t="s">
        <v>112</v>
      </c>
      <c r="L9" s="218" t="s">
        <v>113</v>
      </c>
      <c r="M9" s="218" t="s">
        <v>114</v>
      </c>
      <c r="N9" s="218" t="s">
        <v>115</v>
      </c>
      <c r="O9" s="218" t="s">
        <v>116</v>
      </c>
      <c r="P9" s="218" t="s">
        <v>117</v>
      </c>
      <c r="Q9" s="218" t="s">
        <v>118</v>
      </c>
      <c r="R9" s="220" t="s">
        <v>119</v>
      </c>
      <c r="S9" s="218" t="s">
        <v>120</v>
      </c>
      <c r="T9" s="220" t="s">
        <v>121</v>
      </c>
      <c r="U9" s="220" t="s">
        <v>122</v>
      </c>
      <c r="V9" s="220" t="s">
        <v>123</v>
      </c>
      <c r="W9" s="220" t="s">
        <v>124</v>
      </c>
      <c r="X9" s="218" t="s">
        <v>125</v>
      </c>
      <c r="Y9" s="218" t="s">
        <v>489</v>
      </c>
      <c r="Z9" s="221" t="s">
        <v>126</v>
      </c>
      <c r="AA9" s="218" t="s">
        <v>127</v>
      </c>
      <c r="AB9" s="218" t="s">
        <v>128</v>
      </c>
      <c r="AC9" s="218" t="s">
        <v>599</v>
      </c>
      <c r="AD9" s="404" t="s">
        <v>600</v>
      </c>
      <c r="AE9" s="404" t="s">
        <v>290</v>
      </c>
      <c r="AF9" s="218" t="s">
        <v>644</v>
      </c>
      <c r="AG9" s="220" t="s">
        <v>129</v>
      </c>
      <c r="AH9" s="220" t="s">
        <v>130</v>
      </c>
      <c r="AI9" s="220" t="s">
        <v>131</v>
      </c>
      <c r="AJ9" s="220" t="s">
        <v>132</v>
      </c>
      <c r="AK9" s="220" t="s">
        <v>133</v>
      </c>
      <c r="AL9" s="220" t="s">
        <v>134</v>
      </c>
      <c r="AM9" s="220" t="s">
        <v>135</v>
      </c>
      <c r="AN9" s="220" t="s">
        <v>136</v>
      </c>
      <c r="AO9" s="221" t="s">
        <v>137</v>
      </c>
      <c r="AP9" s="218" t="s">
        <v>138</v>
      </c>
      <c r="AQ9" s="218" t="s">
        <v>139</v>
      </c>
      <c r="AR9" s="218" t="s">
        <v>140</v>
      </c>
      <c r="AS9" s="222" t="s">
        <v>640</v>
      </c>
      <c r="AT9" s="222" t="s">
        <v>141</v>
      </c>
      <c r="AU9" s="222" t="s">
        <v>142</v>
      </c>
      <c r="AV9" s="222" t="s">
        <v>632</v>
      </c>
      <c r="AW9" s="222" t="s">
        <v>143</v>
      </c>
      <c r="AX9" s="222" t="s">
        <v>144</v>
      </c>
      <c r="AY9" s="222" t="s">
        <v>145</v>
      </c>
      <c r="AZ9" s="222" t="s">
        <v>641</v>
      </c>
      <c r="BA9" s="222" t="s">
        <v>642</v>
      </c>
      <c r="BB9" s="222" t="s">
        <v>633</v>
      </c>
      <c r="BC9" s="222" t="s">
        <v>634</v>
      </c>
      <c r="BD9" s="221" t="s">
        <v>146</v>
      </c>
      <c r="BE9" s="223" t="s">
        <v>147</v>
      </c>
      <c r="BF9" s="223" t="s">
        <v>643</v>
      </c>
      <c r="BG9" s="223" t="s">
        <v>148</v>
      </c>
      <c r="BH9" s="223" t="s">
        <v>149</v>
      </c>
      <c r="BI9" s="223" t="s">
        <v>150</v>
      </c>
      <c r="BJ9" s="223" t="s">
        <v>635</v>
      </c>
      <c r="BK9" s="218" t="s">
        <v>151</v>
      </c>
      <c r="BL9" s="218" t="s">
        <v>152</v>
      </c>
      <c r="BM9" s="404" t="s">
        <v>153</v>
      </c>
      <c r="BN9" s="404" t="s">
        <v>863</v>
      </c>
      <c r="BO9" s="218" t="s">
        <v>154</v>
      </c>
      <c r="BP9" s="218" t="s">
        <v>155</v>
      </c>
      <c r="BQ9" s="218" t="s">
        <v>156</v>
      </c>
      <c r="BR9" s="218" t="s">
        <v>157</v>
      </c>
      <c r="BS9" s="218" t="s">
        <v>158</v>
      </c>
      <c r="BT9" s="218" t="s">
        <v>159</v>
      </c>
      <c r="BU9" s="218" t="s">
        <v>160</v>
      </c>
      <c r="BV9" s="218" t="s">
        <v>161</v>
      </c>
      <c r="BW9" s="218" t="s">
        <v>162</v>
      </c>
      <c r="BX9" s="218" t="s">
        <v>163</v>
      </c>
      <c r="BY9" s="218" t="s">
        <v>164</v>
      </c>
      <c r="BZ9" s="218" t="s">
        <v>494</v>
      </c>
      <c r="CA9" s="218" t="s">
        <v>165</v>
      </c>
      <c r="CB9" s="218" t="s">
        <v>166</v>
      </c>
      <c r="CC9" s="218" t="s">
        <v>167</v>
      </c>
      <c r="CD9" s="218" t="s">
        <v>168</v>
      </c>
      <c r="CE9" s="224"/>
      <c r="CF9" s="225" t="s">
        <v>169</v>
      </c>
      <c r="CG9" s="225" t="s">
        <v>170</v>
      </c>
      <c r="CH9" s="225" t="s">
        <v>171</v>
      </c>
      <c r="CI9" s="225" t="s">
        <v>172</v>
      </c>
      <c r="CJ9" s="225" t="s">
        <v>173</v>
      </c>
      <c r="CK9" s="225" t="s">
        <v>174</v>
      </c>
      <c r="CL9" s="225" t="s">
        <v>175</v>
      </c>
      <c r="CM9" s="225" t="s">
        <v>176</v>
      </c>
      <c r="CN9" s="225" t="s">
        <v>159</v>
      </c>
      <c r="CO9" s="225" t="s">
        <v>177</v>
      </c>
      <c r="CP9" s="225" t="s">
        <v>178</v>
      </c>
      <c r="CQ9" s="225" t="s">
        <v>179</v>
      </c>
      <c r="CR9" s="225" t="s">
        <v>180</v>
      </c>
      <c r="CS9" s="225" t="s">
        <v>181</v>
      </c>
      <c r="CT9" s="225" t="s">
        <v>639</v>
      </c>
      <c r="CU9" s="225" t="s">
        <v>182</v>
      </c>
      <c r="CV9" s="225" t="s">
        <v>495</v>
      </c>
      <c r="CW9" s="225" t="s">
        <v>183</v>
      </c>
      <c r="CX9" s="225" t="s">
        <v>184</v>
      </c>
      <c r="CY9" s="225" t="s">
        <v>185</v>
      </c>
      <c r="CZ9" s="225" t="s">
        <v>186</v>
      </c>
      <c r="DA9" s="225" t="s">
        <v>496</v>
      </c>
      <c r="DB9" s="225" t="s">
        <v>497</v>
      </c>
      <c r="DC9" s="225" t="s">
        <v>498</v>
      </c>
      <c r="DD9" s="225" t="s">
        <v>499</v>
      </c>
      <c r="DE9" s="225" t="s">
        <v>187</v>
      </c>
      <c r="DF9" s="225" t="s">
        <v>188</v>
      </c>
      <c r="DG9" s="225" t="s">
        <v>95</v>
      </c>
      <c r="DH9" s="225" t="s">
        <v>189</v>
      </c>
      <c r="DI9" s="225" t="s">
        <v>500</v>
      </c>
      <c r="DJ9" s="225" t="s">
        <v>190</v>
      </c>
      <c r="DK9" s="225" t="s">
        <v>191</v>
      </c>
      <c r="DL9" s="225" t="s">
        <v>192</v>
      </c>
      <c r="DM9" s="225" t="s">
        <v>193</v>
      </c>
      <c r="DO9" s="226" t="s">
        <v>194</v>
      </c>
      <c r="DP9" s="227" t="s">
        <v>92</v>
      </c>
      <c r="DQ9" s="227" t="s">
        <v>195</v>
      </c>
      <c r="DR9" s="226" t="s">
        <v>196</v>
      </c>
      <c r="DS9" s="227" t="s">
        <v>92</v>
      </c>
      <c r="DT9" s="228" t="s">
        <v>195</v>
      </c>
      <c r="DU9" s="229" t="s">
        <v>197</v>
      </c>
      <c r="DV9" s="230" t="s">
        <v>92</v>
      </c>
      <c r="DW9" s="231" t="s">
        <v>195</v>
      </c>
      <c r="DX9" s="229" t="s">
        <v>198</v>
      </c>
      <c r="DY9" s="230" t="s">
        <v>92</v>
      </c>
      <c r="DZ9" s="231" t="s">
        <v>195</v>
      </c>
      <c r="EA9" s="230" t="s">
        <v>199</v>
      </c>
      <c r="EB9" s="230" t="s">
        <v>92</v>
      </c>
      <c r="EC9" s="231" t="s">
        <v>195</v>
      </c>
      <c r="ED9" s="229" t="s">
        <v>200</v>
      </c>
      <c r="EE9" s="230" t="s">
        <v>92</v>
      </c>
      <c r="EF9" s="231" t="s">
        <v>195</v>
      </c>
      <c r="EG9" s="226" t="s">
        <v>201</v>
      </c>
      <c r="EH9" s="227" t="s">
        <v>92</v>
      </c>
      <c r="EI9" s="228" t="s">
        <v>195</v>
      </c>
      <c r="EJ9" s="229" t="s">
        <v>202</v>
      </c>
      <c r="EK9" s="230" t="s">
        <v>92</v>
      </c>
      <c r="EL9" s="231" t="s">
        <v>195</v>
      </c>
      <c r="EM9" s="230" t="s">
        <v>203</v>
      </c>
      <c r="EN9" s="230" t="s">
        <v>92</v>
      </c>
      <c r="EO9" s="230" t="s">
        <v>195</v>
      </c>
      <c r="EP9" s="229" t="s">
        <v>204</v>
      </c>
      <c r="EQ9" s="230" t="s">
        <v>92</v>
      </c>
      <c r="ER9" s="231" t="s">
        <v>195</v>
      </c>
      <c r="ES9" s="229" t="s">
        <v>205</v>
      </c>
      <c r="ET9" s="230" t="s">
        <v>92</v>
      </c>
      <c r="EU9" s="231" t="s">
        <v>195</v>
      </c>
      <c r="EV9" s="229" t="s">
        <v>206</v>
      </c>
      <c r="EW9" s="230" t="s">
        <v>92</v>
      </c>
      <c r="EX9" s="231" t="s">
        <v>195</v>
      </c>
      <c r="EY9" s="229" t="s">
        <v>207</v>
      </c>
      <c r="EZ9" s="230" t="s">
        <v>92</v>
      </c>
      <c r="FA9" s="231" t="s">
        <v>195</v>
      </c>
      <c r="FB9" s="230" t="s">
        <v>208</v>
      </c>
      <c r="FC9" s="230" t="s">
        <v>92</v>
      </c>
      <c r="FD9" s="231" t="s">
        <v>195</v>
      </c>
      <c r="FE9" s="230" t="s">
        <v>209</v>
      </c>
      <c r="FF9" s="230" t="s">
        <v>92</v>
      </c>
      <c r="FG9" s="231" t="s">
        <v>195</v>
      </c>
      <c r="FH9" s="230" t="s">
        <v>104</v>
      </c>
      <c r="FI9" s="230" t="s">
        <v>92</v>
      </c>
      <c r="FJ9" s="231" t="s">
        <v>195</v>
      </c>
      <c r="FK9" s="230" t="s">
        <v>210</v>
      </c>
      <c r="FL9" s="230" t="s">
        <v>92</v>
      </c>
      <c r="FM9" s="231" t="s">
        <v>195</v>
      </c>
      <c r="FN9" s="230" t="s">
        <v>636</v>
      </c>
      <c r="FO9" s="230" t="s">
        <v>92</v>
      </c>
      <c r="FP9" s="230" t="s">
        <v>195</v>
      </c>
      <c r="FQ9" s="229" t="s">
        <v>504</v>
      </c>
      <c r="FR9" s="230" t="s">
        <v>212</v>
      </c>
      <c r="FS9" s="231" t="s">
        <v>195</v>
      </c>
      <c r="FT9" s="229" t="s">
        <v>211</v>
      </c>
      <c r="FU9" s="230" t="s">
        <v>212</v>
      </c>
      <c r="FV9" s="231" t="s">
        <v>195</v>
      </c>
      <c r="FW9" s="230" t="s">
        <v>213</v>
      </c>
      <c r="FX9" s="230" t="s">
        <v>214</v>
      </c>
      <c r="FY9" s="230" t="s">
        <v>215</v>
      </c>
      <c r="FZ9" s="230" t="s">
        <v>216</v>
      </c>
      <c r="GA9" s="230" t="s">
        <v>501</v>
      </c>
      <c r="GB9" s="231" t="s">
        <v>217</v>
      </c>
      <c r="GC9" s="231" t="s">
        <v>195</v>
      </c>
      <c r="GD9" s="231" t="s">
        <v>218</v>
      </c>
      <c r="GE9" s="136"/>
      <c r="GF9" s="232" t="s">
        <v>219</v>
      </c>
      <c r="GG9" s="232" t="s">
        <v>220</v>
      </c>
      <c r="GH9" s="232" t="s">
        <v>221</v>
      </c>
      <c r="GI9" s="232" t="s">
        <v>222</v>
      </c>
      <c r="GJ9" s="233" t="s">
        <v>223</v>
      </c>
      <c r="GK9" s="233" t="s">
        <v>73</v>
      </c>
      <c r="GL9" s="233" t="s">
        <v>92</v>
      </c>
      <c r="GM9" s="232" t="s">
        <v>224</v>
      </c>
      <c r="GN9" s="233" t="s">
        <v>94</v>
      </c>
      <c r="GO9" s="136"/>
      <c r="GP9" s="233" t="s">
        <v>225</v>
      </c>
      <c r="GQ9" s="233" t="s">
        <v>226</v>
      </c>
      <c r="GR9" s="233" t="s">
        <v>227</v>
      </c>
      <c r="GS9" s="233" t="s">
        <v>226</v>
      </c>
      <c r="GT9" s="233" t="s">
        <v>73</v>
      </c>
      <c r="GU9" s="233" t="s">
        <v>92</v>
      </c>
      <c r="GV9" s="233" t="s">
        <v>225</v>
      </c>
      <c r="GW9" s="233" t="s">
        <v>94</v>
      </c>
      <c r="GX9" s="412"/>
      <c r="GY9" s="413" t="s">
        <v>225</v>
      </c>
      <c r="GZ9" s="413" t="s">
        <v>226</v>
      </c>
      <c r="HA9" s="413" t="s">
        <v>227</v>
      </c>
      <c r="HB9" s="413" t="s">
        <v>226</v>
      </c>
      <c r="HC9" s="413" t="s">
        <v>73</v>
      </c>
      <c r="HD9" s="413" t="s">
        <v>92</v>
      </c>
      <c r="HE9" s="413" t="s">
        <v>225</v>
      </c>
      <c r="HF9" s="413" t="s">
        <v>94</v>
      </c>
      <c r="HG9"/>
      <c r="HH9" s="233" t="s">
        <v>228</v>
      </c>
      <c r="HI9" s="234" t="s">
        <v>229</v>
      </c>
      <c r="HJ9" s="234" t="s">
        <v>230</v>
      </c>
      <c r="HK9" s="133"/>
      <c r="HL9" s="233" t="s">
        <v>225</v>
      </c>
      <c r="HM9" s="233" t="s">
        <v>226</v>
      </c>
      <c r="HN9" s="133"/>
      <c r="HO9" s="235" t="s">
        <v>124</v>
      </c>
      <c r="HP9" s="236" t="s">
        <v>231</v>
      </c>
      <c r="HQ9" s="237" t="s">
        <v>232</v>
      </c>
      <c r="HR9" s="237" t="s">
        <v>233</v>
      </c>
      <c r="HS9" s="237" t="s">
        <v>234</v>
      </c>
      <c r="HT9" s="237" t="s">
        <v>235</v>
      </c>
      <c r="HU9" s="237" t="s">
        <v>236</v>
      </c>
      <c r="HV9" s="238" t="s">
        <v>237</v>
      </c>
      <c r="HW9" s="239" t="s">
        <v>238</v>
      </c>
      <c r="HX9" s="240" t="s">
        <v>239</v>
      </c>
      <c r="HY9" s="240" t="s">
        <v>240</v>
      </c>
      <c r="HZ9" s="240" t="s">
        <v>241</v>
      </c>
      <c r="IA9" s="240" t="s">
        <v>242</v>
      </c>
      <c r="IB9" s="241" t="s">
        <v>243</v>
      </c>
      <c r="IC9" s="235" t="s">
        <v>244</v>
      </c>
      <c r="IF9" s="356" t="s">
        <v>505</v>
      </c>
    </row>
    <row r="10" spans="1:240" ht="15" customHeight="1">
      <c r="A10" t="s">
        <v>607</v>
      </c>
      <c r="B10" s="242">
        <v>1</v>
      </c>
      <c r="C10" s="242">
        <v>1</v>
      </c>
      <c r="D10" s="428" t="s">
        <v>607</v>
      </c>
      <c r="E10" s="428" t="s">
        <v>566</v>
      </c>
      <c r="F10" s="429"/>
      <c r="G10" s="430">
        <v>25589358.030000001</v>
      </c>
      <c r="H10" s="430">
        <v>25589358.030000001</v>
      </c>
      <c r="I10" s="244">
        <f>IF(B10="","",VLOOKUP(BF10,Inputs!$A$12:$J$15,10,FALSE))</f>
        <v>1</v>
      </c>
      <c r="J10" s="245">
        <f>IF(B10="","",G10*I10)</f>
        <v>25589358.030000001</v>
      </c>
      <c r="K10" s="245">
        <f>IF(B10="","",H10*I10)</f>
        <v>25589358.030000001</v>
      </c>
      <c r="L10" s="245">
        <f>IF(B10="","",IF(COUNTIF($CF10:$CY10,1)&gt;0,0,J10))</f>
        <v>25589358.030000001</v>
      </c>
      <c r="M10" s="245">
        <f>IF(B10="","",IF(COUNTIF($CF10:$CY10,1)&gt;0,0,K10))</f>
        <v>25589358.030000001</v>
      </c>
      <c r="N10" s="246" t="s">
        <v>246</v>
      </c>
      <c r="O10" s="246" t="s">
        <v>245</v>
      </c>
      <c r="P10" s="247">
        <f>IF(B10="","",IF(OR(O10="N/A",O10=""),0,YEARFRAC('Borrowing Base'!$J$4,'Loan List'!O10)*12))</f>
        <v>0</v>
      </c>
      <c r="Q10" s="246" t="s">
        <v>246</v>
      </c>
      <c r="R10" s="248">
        <v>0.9973376757335527</v>
      </c>
      <c r="S10" s="249" t="str">
        <f t="shared" ref="S10:S80" si="1">IF(B10="","",IF(R10&lt;95%,"Yes","No"))</f>
        <v>No</v>
      </c>
      <c r="T10" s="248">
        <v>0.98999999943312122</v>
      </c>
      <c r="U10" s="250">
        <f>IF(B10="","",IF(OR(Y10="First Lien",Y10="Split First Lien",Y10="Tier 1 Split Lien",Y10="Tier 2 Split Lien"),50%,30%))</f>
        <v>0.5</v>
      </c>
      <c r="V10" s="250">
        <f>IF(B10="",0,IF(AND(Y10="First Lien",AN10="Tier 1"),IF(AND(X10="Yes",MIN(AH10,$AJ$5)&gt;4.5),(((4.5/MIN(AH10,$AJ$5))*72.5%)+(((MIN(AH10,$AJ$5)-4.5)/MIN(AH10,$AJ$5))*35%)),72.5%),IF(AND(Y10="First Lien",AN10="Tier 2"),IF(AND(X10="Yes",MIN(AH10,$AK$5)&gt;4.5),(((4.5/MIN(AH10,$AK$5))*72.5%)+(((MIN(AH10,$AK$5)-4.5)/MIN(AH10,$AK$5))*35%)),72.5%),IF(AND(X10="Yes",MIN(AH10,$AL$5)&gt;4),(((4/MIN(AH10,$AL$5))*72.5%)+(((MIN(AH10,$AL$5)-4)/MIN(AH10,$AL$5))*35%)),IF(OR(Y10="First Lien",Y10="Split First Lien"),72.5%,IF(Y10="Split Lien", 53%,35%))))))</f>
        <v>0.67533071428571434</v>
      </c>
      <c r="W10" s="251">
        <f>IF($C10="","",MIN($HP10:$HT10))</f>
        <v>25589358.030000001</v>
      </c>
      <c r="X10" s="246" t="s">
        <v>64</v>
      </c>
      <c r="Y10" s="252" t="s">
        <v>483</v>
      </c>
      <c r="Z10" s="252" t="s">
        <v>484</v>
      </c>
      <c r="AA10" s="253" t="s">
        <v>407</v>
      </c>
      <c r="AB10" s="253" t="s">
        <v>713</v>
      </c>
      <c r="AC10" s="254">
        <v>1.1174448260122007</v>
      </c>
      <c r="AD10" s="254">
        <v>1.4275347114025934</v>
      </c>
      <c r="AE10" s="254">
        <v>2.2249289706538167</v>
      </c>
      <c r="AF10" s="255">
        <v>0.45907660020986363</v>
      </c>
      <c r="AG10" s="256">
        <v>5.1870294623273443</v>
      </c>
      <c r="AH10" s="256">
        <v>5.1870294623273443</v>
      </c>
      <c r="AI10" s="256">
        <v>4.6060901857421843</v>
      </c>
      <c r="AJ10" s="256">
        <v>4.6060901857421843</v>
      </c>
      <c r="AK10" s="257">
        <v>33738000.000000015</v>
      </c>
      <c r="AL10" s="257">
        <v>77650021.075818196</v>
      </c>
      <c r="AM10" s="258">
        <v>45747</v>
      </c>
      <c r="AN10" s="245" t="str">
        <f>IF(C10="","",(IF(AK10&gt;=50000000,"Tier 1",(IF(OR(AK10&gt;=20000000,AND(AK10&gt;5000000,AC10&gt;=1.25,AF10&lt;=0.65)),"Tier 2","Tier 3")))))</f>
        <v>Tier 2</v>
      </c>
      <c r="AO10" s="243">
        <v>47393</v>
      </c>
      <c r="AP10" s="259">
        <f>IF(C10="","",DAYS360(Inputs!$J$8,AO10)/360)</f>
        <v>4.1055555555555552</v>
      </c>
      <c r="AQ10" s="259">
        <f>IF(C10="","",AP10)</f>
        <v>4.1055555555555552</v>
      </c>
      <c r="AR10" s="246" t="s">
        <v>246</v>
      </c>
      <c r="AS10" s="248">
        <v>0</v>
      </c>
      <c r="AT10" s="246" t="s">
        <v>64</v>
      </c>
      <c r="AU10" s="248">
        <v>0.01</v>
      </c>
      <c r="AV10" s="248">
        <v>4.7500000000000001E-2</v>
      </c>
      <c r="AW10" s="248">
        <v>4.2906E-2</v>
      </c>
      <c r="AX10" s="260">
        <f>IF(C10="","",MAX(AU10,AW10))</f>
        <v>4.2906E-2</v>
      </c>
      <c r="AY10" s="248">
        <v>0</v>
      </c>
      <c r="AZ10" s="248">
        <v>0</v>
      </c>
      <c r="BA10" s="248">
        <v>0</v>
      </c>
      <c r="BB10" s="407">
        <f>IF(B10="","",IF(AR10="No",AV10-AZ10,""))</f>
        <v>4.7500000000000001E-2</v>
      </c>
      <c r="BC10" s="407" t="str">
        <f>IF(B10="","",IF(AR10="Yes",AS10-BA10,""))</f>
        <v/>
      </c>
      <c r="BD10" s="252" t="s">
        <v>247</v>
      </c>
      <c r="BE10" s="261" t="s">
        <v>427</v>
      </c>
      <c r="BF10" s="252" t="s">
        <v>7</v>
      </c>
      <c r="BG10" s="252" t="s">
        <v>460</v>
      </c>
      <c r="BH10" s="246" t="s">
        <v>246</v>
      </c>
      <c r="BI10" s="408" t="str">
        <f>IF(B10="","",IF(OR(AND(AZ10&gt;0,BB10&gt;=2.5%,BB10&lt;4%),AND(BA10&gt;0,BC10&gt;=6%,BC10&lt;8%)),"Yes","No"))</f>
        <v>No</v>
      </c>
      <c r="BJ10" s="408" t="str">
        <f>IF(B10="","",IF(OR(AND(AZ10&gt;0,BB10&lt;2.5%),AND(BA10&gt;0,BC10&lt;6%)),"Yes","No"))</f>
        <v>No</v>
      </c>
      <c r="BK10" s="246" t="s">
        <v>246</v>
      </c>
      <c r="BL10" s="246" t="s">
        <v>246</v>
      </c>
      <c r="BM10" s="246" t="s">
        <v>246</v>
      </c>
      <c r="BN10" s="246" t="s">
        <v>246</v>
      </c>
      <c r="BO10" s="246" t="s">
        <v>246</v>
      </c>
      <c r="BP10" s="246" t="s">
        <v>246</v>
      </c>
      <c r="BQ10" s="246" t="s">
        <v>246</v>
      </c>
      <c r="BR10" s="246" t="s">
        <v>246</v>
      </c>
      <c r="BS10" s="246" t="s">
        <v>246</v>
      </c>
      <c r="BT10" s="246" t="s">
        <v>246</v>
      </c>
      <c r="BU10" s="246" t="s">
        <v>246</v>
      </c>
      <c r="BV10" s="246" t="s">
        <v>246</v>
      </c>
      <c r="BW10" s="246" t="s">
        <v>246</v>
      </c>
      <c r="BX10" s="246" t="s">
        <v>246</v>
      </c>
      <c r="BY10" s="246" t="s">
        <v>246</v>
      </c>
      <c r="BZ10" s="246" t="s">
        <v>246</v>
      </c>
      <c r="CA10" s="246" t="s">
        <v>246</v>
      </c>
      <c r="CB10" s="246" t="s">
        <v>64</v>
      </c>
      <c r="CC10" s="262">
        <f>IF(B10="","",IF(AT10="No",((BB10+AW10)-$AZ$4),((BB10+AX10)-$AZ$4))*IF(DE10&gt;0,0,M10))</f>
        <v>1207398.033544308</v>
      </c>
      <c r="CD10" s="262">
        <f>IF(B10="","",AY10*(L10-M10)*IF(DE10&gt;0,0,1))</f>
        <v>0</v>
      </c>
      <c r="CE10" s="263"/>
      <c r="CF10" s="263">
        <f>IF(AND(B10&lt;&gt;"",R10&lt;=85%),1,0)</f>
        <v>0</v>
      </c>
      <c r="CG10" s="263">
        <f>IF(B10="",0,(IF(OR(BF10="USD",BF10="CAD",BF10="GBP",BF10="AUD",BF10="EUR"),0,1)))</f>
        <v>0</v>
      </c>
      <c r="CH10" s="263">
        <f>IF(B10="",0,(IF(OR(BG10="United States",BG10="Canada",BG10="United Kingdom",BG10="Australia",BG10="Netherlands Antilles",BG10="Bermuda",BG10="Cayman Islands",BG10="British Virgin Islands",BG10="Channel Islands",BG10="Isle of Man",BG10="Australia",BG10="Netherlands",BG10="Germany",BG10="Sweden",BG10="Switzerland",BG10="Austria",BG10="Belgium",BG10="Denmark",BG10="Finland",BG10="Iceland",BG10="Ireland",BG10="Lichtenstein",BG10="Luxemborg",BG10="Norway"),0,1)))</f>
        <v>0</v>
      </c>
      <c r="CI10" s="263">
        <f t="shared" ref="CI10:CN10" si="2">IF(BO10="Yes",1,0)</f>
        <v>0</v>
      </c>
      <c r="CJ10" s="263">
        <f t="shared" si="2"/>
        <v>0</v>
      </c>
      <c r="CK10" s="263">
        <f t="shared" si="2"/>
        <v>0</v>
      </c>
      <c r="CL10" s="263">
        <f t="shared" si="2"/>
        <v>0</v>
      </c>
      <c r="CM10" s="263">
        <f t="shared" si="2"/>
        <v>0</v>
      </c>
      <c r="CN10" s="263">
        <f t="shared" si="2"/>
        <v>0</v>
      </c>
      <c r="CO10" s="263">
        <f>IF(OR(AND(BJ10="Yes",N10="No"),AND(BJ10="Yes",N10="Yes",P10&gt;=6)),1,0)</f>
        <v>0</v>
      </c>
      <c r="CP10" s="263">
        <f>IF(BU10="Yes",1,0)</f>
        <v>0</v>
      </c>
      <c r="CQ10" s="263">
        <f>IF(AND(BV10="Yes",BW10="No"),1,0)</f>
        <v>0</v>
      </c>
      <c r="CR10" s="263">
        <f>IF(BX10="Yes",1,0)</f>
        <v>0</v>
      </c>
      <c r="CS10" s="263">
        <f>IF(AP10="",0,IF(AP10&gt;7,1,0))</f>
        <v>0</v>
      </c>
      <c r="CT10" s="263">
        <f>IF(OR(BD10&lt;&gt;"Monthly",BD10&lt;&gt;"Quarterly",BD10&lt;&gt;"Semi-Annually"),0,1)</f>
        <v>0</v>
      </c>
      <c r="CU10" s="263">
        <f>IF(BY10="Yes",1,0)</f>
        <v>0</v>
      </c>
      <c r="CV10" s="263">
        <f>IF(BZ10="Yes",1,0)</f>
        <v>0</v>
      </c>
      <c r="CW10" s="263">
        <f>IF(CA10="Yes",1,0)</f>
        <v>0</v>
      </c>
      <c r="CX10" s="263">
        <f>IF(CB10="No",1,0)</f>
        <v>0</v>
      </c>
      <c r="CY10" s="263">
        <f>IF(B10="",0,IF(AK10&gt;=5000000,0,1))</f>
        <v>0</v>
      </c>
      <c r="CZ10" s="263">
        <f>IF(B10="",0,IF(AL10&gt;=5000000,0,1))</f>
        <v>0</v>
      </c>
      <c r="DA10" s="263">
        <f>IF(OR(DB10=1,DC10=1,DD10=1),0,IF(B10="",0,IF(OR(AND(AN10="Tier 1",X10="No",OR(AI10&gt;$AJ$3,AJ10&gt;$AJ$4)),(AND(AN10="Tier 1",X10="Yes",AJ10&gt;$AJ$5)),(AND(AN10="Tier 2",X10="No",OR(AI10&gt;$AK$3,AJ10&gt;$AK$4))),(AND(AN10="Tier 2",X10="Yes",AJ10&gt;$AK$5)),(AND(AN10="Tier 3",X10="No",OR(AI10&gt;$AL$3,AJ10&gt;$AL$4))),(AND(AN10="Tier 3",X10="Yes",AJ10&gt;$AL$5))),1,0)))</f>
        <v>0</v>
      </c>
      <c r="DB10" s="263">
        <f>IF(OR(DC10=1,DD10=1),0,IF(B10="",0,IF(OR(AND(AN10="Tier 1",X10="No",OR(AI10&gt;$AM$3,AJ10&gt;$AM$4)),(AND(AN10="Tier 1",X10="Yes",AJ10&gt;$AM$5)),(AND(AN10="Tier 2",X10="No",OR(AI10&gt;$AN$3,AJ10&gt;$AN$4))),(AND(AN10="Tier 2",X10="Yes",AJ10&gt;$AN$5)),(AND(AN10="Tier 3",X10="No",OR(AI10&gt;$AO$3,AJ10&gt;$AO$4))),(AND(AN10="Tier 3",X10="Yes",AJ10&gt;$AO$5))),1,0)))</f>
        <v>0</v>
      </c>
      <c r="DC10" s="263">
        <f>IF(DD10=1,0,IF(B10="",0,IF(OR(AND(AN10="Tier 1",X10="No",OR(AI10&gt;$AP$3,AJ10&gt;$AP$4)),(AND(AN10="Tier 1",X10="Yes",AJ10&gt;$AP$5)),(AND(AN10="Tier 2",X10="No",OR(AI10&gt;$AQ$3,AJ10&gt;$AQ$4))),(AND(AN10="Tier 2",X10="Yes",AJ10&gt;$AQ$5)),(AND(AN10="Tier 3",X10="No",OR(AI10&gt;$AR$3,AJ10&gt;$AR$4))),(AND(AN10="Tier 3",X10="Yes",AJ10&gt;$AR$5))),1,0)))</f>
        <v>0</v>
      </c>
      <c r="DD10" s="263">
        <f>IF(B10="",0,IF(OR(AND(AN10="Tier 1",X10="No",OR(AI10&gt;$AS$3,AJ10&gt;$AS$4)),(AND(AN10="Tier 1",X10="Yes",AJ10&gt;$AS$5)),(AND(AN10="Tier 2",X10="No",OR(AI10&gt;$AT$3,AJ10&gt;$AT$4))),(AND(AN10="Tier 2",X10="Yes",AJ10&gt;$AT$5)),(AND(AN10="Tier 3",X10="No",OR(AI10&gt;$AU$3,AJ10&gt;$AU$4))),(AND(AN10="Tier 3",X10="Yes",AJ10&gt;$AU$5))),1,0))</f>
        <v>0</v>
      </c>
      <c r="DE10" s="263">
        <f>IF((SUM(CF10:CY10)=0),0,W10)</f>
        <v>0</v>
      </c>
      <c r="DF10" s="263">
        <f>IF(OR(B10="",DE10&gt;0),0,W10)</f>
        <v>25589358.030000001</v>
      </c>
      <c r="DG10" s="263">
        <f>IF(B10="",0,IF(COUNTIF(CF10:CY10,1)&gt;0,0,L10-M10))</f>
        <v>0</v>
      </c>
      <c r="DH10" s="263">
        <f>DF10+IF(DE10&gt;0,0,DG10)</f>
        <v>25589358.030000001</v>
      </c>
      <c r="DI10" s="263">
        <f>IF(B10="","",M10+DG10)</f>
        <v>25589358.030000001</v>
      </c>
      <c r="DJ10" s="263">
        <f>IF(B10="",0,J10-K10)</f>
        <v>0</v>
      </c>
      <c r="DK10" s="263">
        <f>IF(OR(BF10="EUR",BF10="CAD",BF10="GBP",BF10="AUD"),(GB10*(1-V10))+(HH10)+IF(HY10="",0,HY10*(1-U10)),0)</f>
        <v>0</v>
      </c>
      <c r="DL10" s="263">
        <f>IF(BF10="EUR",33%,IF(BF10="CAD",38%,IF(BF10="GBP",51%,IF(BF10="AUD",61%,0))))</f>
        <v>0</v>
      </c>
      <c r="DM10" s="263">
        <f>DK10*DL10</f>
        <v>0</v>
      </c>
      <c r="DO10" s="264">
        <f>IF(OR(Y10="Second Lien",Y10="Tier 1 Split Lien",Y10="Tier 2 Split Lien"),DH10,0)</f>
        <v>0</v>
      </c>
      <c r="DP10" s="265">
        <f>DO10*DO$6</f>
        <v>0</v>
      </c>
      <c r="DQ10" s="264">
        <f>DH10-DP10</f>
        <v>25589358.030000001</v>
      </c>
      <c r="DR10" s="264">
        <f>IF(Y10="Second Lien",DQ10,0)</f>
        <v>0</v>
      </c>
      <c r="DS10" s="265">
        <f>DR10*DR$6</f>
        <v>0</v>
      </c>
      <c r="DT10" s="264">
        <f>DQ10-DS10</f>
        <v>25589358.030000001</v>
      </c>
      <c r="DU10" s="264">
        <f>IF(BH10="Yes",DT10,0)</f>
        <v>0</v>
      </c>
      <c r="DV10" s="265">
        <f>DU10*DU$6</f>
        <v>0</v>
      </c>
      <c r="DW10" s="264">
        <f>DT10-DV10</f>
        <v>25589358.030000001</v>
      </c>
      <c r="DX10" s="264">
        <f>IF(OR(BG10="Canada",BG10="United Kingdom",BG10="Australia",BG10="Netherlands Antilles",BG10="Bermuda",BG10="Cayman Islands",BG10="British Virgin Islands",BG10="Channel Islands",BG10="Isle of Man",BG10="Australia",BG10="Netherlands",BG10="Germany",BG10="Sweden",BG10="Switzerland",BG10="Austria",BG10="Belgium",BG10="Denmark",BG10="Finland",BG10="Iceland",BG10="Ireland",BG10="Lichtenstein",BG10="Luxemborg",BG10="Norway"),DW10,0)</f>
        <v>0</v>
      </c>
      <c r="DY10" s="265">
        <f>DX10*DX$6</f>
        <v>0</v>
      </c>
      <c r="DZ10" s="264">
        <f>DW10-DY10</f>
        <v>25589358.030000001</v>
      </c>
      <c r="EA10" s="264">
        <f>IF(BI10="Yes",DZ10,0)</f>
        <v>0</v>
      </c>
      <c r="EB10" s="265">
        <f>EA10*EA$6</f>
        <v>0</v>
      </c>
      <c r="EC10" s="264">
        <f>DZ10-EB10</f>
        <v>25589358.030000001</v>
      </c>
      <c r="ED10" s="264">
        <f>IF(OR(Z10="Delayed Draw",Z10="Revolver"),EC10,0)</f>
        <v>0</v>
      </c>
      <c r="EE10" s="265">
        <f>ED10*ED$6</f>
        <v>0</v>
      </c>
      <c r="EF10" s="264">
        <f>EC10-EE10</f>
        <v>25589358.030000001</v>
      </c>
      <c r="EG10" s="264">
        <f>IF(S10="Yes",EF10,0)</f>
        <v>0</v>
      </c>
      <c r="EH10" s="265">
        <f>EG10*EG$6</f>
        <v>0</v>
      </c>
      <c r="EI10" s="264">
        <f>EF10-EH10</f>
        <v>25589358.030000001</v>
      </c>
      <c r="EJ10" s="264">
        <f>IF(Q10="Yes",EI10,0)</f>
        <v>0</v>
      </c>
      <c r="EK10" s="265">
        <f>EJ10*EJ$6</f>
        <v>0</v>
      </c>
      <c r="EL10" s="264">
        <f>EI10-EK10</f>
        <v>25589358.030000001</v>
      </c>
      <c r="EM10" s="264">
        <f>IF(BD10="Semi-Annually",EL10,0)</f>
        <v>0</v>
      </c>
      <c r="EN10" s="265">
        <f>EM10*EM$6</f>
        <v>0</v>
      </c>
      <c r="EO10" s="264">
        <f>EL10-EN10</f>
        <v>25589358.030000001</v>
      </c>
      <c r="EP10" s="264">
        <f>IF(BK10="Yes",EO10,0)</f>
        <v>0</v>
      </c>
      <c r="EQ10" s="265">
        <f>EP10*EP$6</f>
        <v>0</v>
      </c>
      <c r="ER10" s="264">
        <f>EO10-EQ10</f>
        <v>25589358.030000001</v>
      </c>
      <c r="ES10" s="264">
        <f>IF(BL10="Yes",ER10,0)</f>
        <v>0</v>
      </c>
      <c r="ET10" s="265">
        <f>ES10*ES$6</f>
        <v>0</v>
      </c>
      <c r="EU10" s="264">
        <f>ER10-ET10</f>
        <v>25589358.030000001</v>
      </c>
      <c r="EV10" s="264">
        <f>IF(AND(BM10="Yes",OR(BN10="No",AND(BN10="Yes",Inputs!$J$8=Inputs!$J$17+75))),EU10,0)</f>
        <v>0</v>
      </c>
      <c r="EW10" s="265">
        <f>EV10*EV$6</f>
        <v>0</v>
      </c>
      <c r="EX10" s="264">
        <f>EU10-EW10</f>
        <v>25589358.030000001</v>
      </c>
      <c r="EY10" s="264">
        <f>IF(BW10="Yes",EX10,0)</f>
        <v>0</v>
      </c>
      <c r="EZ10" s="265">
        <f>EY10*EY$6</f>
        <v>0</v>
      </c>
      <c r="FA10" s="264">
        <f>EX10-EZ10</f>
        <v>25589358.030000001</v>
      </c>
      <c r="FB10" s="264">
        <f>IF(AR10="Yes",FA10,0)</f>
        <v>0</v>
      </c>
      <c r="FC10" s="265">
        <f>FB10*FB$6</f>
        <v>0</v>
      </c>
      <c r="FD10" s="264">
        <f>FA10-FC10</f>
        <v>25589358.030000001</v>
      </c>
      <c r="FE10" s="264">
        <f>IF(OR(BF10="EUR",BF10="AUD",BF10="CAD",BF10="GBP"),FD10,0)</f>
        <v>0</v>
      </c>
      <c r="FF10" s="265">
        <f>FE10*FE$6</f>
        <v>0</v>
      </c>
      <c r="FG10" s="264">
        <f>FD10-FF10</f>
        <v>25589358.030000001</v>
      </c>
      <c r="FH10" s="264">
        <f>FG10</f>
        <v>25589358.030000001</v>
      </c>
      <c r="FI10" s="264">
        <f>IF(FG10=0,0,VLOOKUP(C10,$GV$10:$GW$406,2,FALSE)*FG10)</f>
        <v>0</v>
      </c>
      <c r="FJ10" s="264">
        <f>FG10-FI10</f>
        <v>25589358.030000001</v>
      </c>
      <c r="FK10" s="264">
        <f>FJ10</f>
        <v>25589358.030000001</v>
      </c>
      <c r="FL10" s="264">
        <f>IF(OR(IC10="",FJ10&lt;0.01),,VLOOKUP(IC10,$GM$10:$GN$406,2,FALSE)*FJ10)</f>
        <v>0</v>
      </c>
      <c r="FM10" s="264">
        <f>FJ10-FL10</f>
        <v>25589358.030000001</v>
      </c>
      <c r="FN10" s="264">
        <f>FM10</f>
        <v>25589358.030000001</v>
      </c>
      <c r="FO10" s="264">
        <f>IF(FM10=0,0,VLOOKUP(C10,$HE$10:$HF$406,2,FALSE)*FM10)</f>
        <v>0</v>
      </c>
      <c r="FP10" s="264">
        <f>FM10-FO10</f>
        <v>25589358.030000001</v>
      </c>
      <c r="FQ10" s="264">
        <f>IF(SUM(CZ10:DD10)&gt;0,0,IF(AND(AL10&gt;=5000000,AL10&lt;7500000),FP10,0))</f>
        <v>0</v>
      </c>
      <c r="FR10" s="265">
        <f>IF(B10="",0,FQ10*FQ$6*(1-$U10))</f>
        <v>0</v>
      </c>
      <c r="FS10" s="264">
        <f>FP10-FR10</f>
        <v>25589358.030000001</v>
      </c>
      <c r="FT10" s="264">
        <f>IF(SUM(CZ10:DD10)&gt;0,0,IF(AL10&lt;15000000,FS10,0))</f>
        <v>0</v>
      </c>
      <c r="FU10" s="265">
        <f>IF(B10="",0,FT10*FT$6*(1-$U10))</f>
        <v>0</v>
      </c>
      <c r="FV10" s="264">
        <f>FS10-FU10</f>
        <v>25589358.030000001</v>
      </c>
      <c r="FW10" s="264">
        <f>IF(SUM(CZ10:DD10)&gt;0,0,IF(OR(AND(X10="No",AN10="Tier 1",AI10&gt;$AG$3),AND(X10="No",AN10="Tier 2",AI10&gt;$AH$3),AND(X10="No",AN10="Tier 3",AI10&gt;$AI$3)),FV10,0))</f>
        <v>0</v>
      </c>
      <c r="FX10" s="264">
        <f>IF(SUM(CZ10:DD10)&gt;0,0,IF(OR(AND(X10="No",AN10="Tier 1",AJ10&gt;$AG$4),AND(X10="No",AN10="Tier 2",AJ10&gt;$AH$4),AND(X10="No",AN10="Tier 3",AJ10&gt;$AI$4)),FV10,0))</f>
        <v>0</v>
      </c>
      <c r="FY10" s="264">
        <f>IF(SUM(CZ10:DD10)&gt;0,0,IF(OR(AND(X10="Yes",AN10="Tier 1",AJ10&gt;$AG$5),AND(X10="Yes",AN10="Tier 2",AJ10&gt;$AH$5),AND(X10="Yes",AN10="Tier 3",AJ10&gt;$AI$5)),FV10,0))</f>
        <v>0</v>
      </c>
      <c r="FZ10" s="264">
        <f>IF(SUM(FW10:FY10)&gt;0,FV10,0)</f>
        <v>0</v>
      </c>
      <c r="GA10" s="265">
        <f>IF(B10="",0,FZ10*FW$6*(1-MIN(90%,T10)))</f>
        <v>0</v>
      </c>
      <c r="GB10" s="264">
        <f>FV10-GA10</f>
        <v>25589358.030000001</v>
      </c>
      <c r="GC10" s="264">
        <f>IF(AND(N10="No",DJ10=0),GB10,IF(AND(N10="No",DJ10&lt;&gt;0,K10=0),0,IF(AND(N10="No",DJ10&lt;&gt;0,K10&gt;0,J10&lt;&gt;K10),MAX(0,M10-(DI10-GB10)),DH10)))</f>
        <v>25589358.030000001</v>
      </c>
      <c r="GD10" s="266">
        <f>+GC10*V10</f>
        <v>17281279.436512779</v>
      </c>
      <c r="GE10" s="138">
        <f t="shared" ref="GE10:GE12" si="3">IFERROR(GD10/K10,"")</f>
        <v>0.67533071428571434</v>
      </c>
      <c r="GF10" s="267">
        <f>IF(IC10="","",IC10)</f>
        <v>41</v>
      </c>
      <c r="GG10" s="264">
        <f t="array" ref="GG10">IF(SUM(IF(IC$9:IC9=IC10,1,0))&gt;0,0,SUMIF($IC$10:$IC$406,IC10,$FJ$10:$FJ$406))</f>
        <v>126749995.42000002</v>
      </c>
      <c r="GH10" s="268">
        <f>GG10</f>
        <v>126749995.42000002</v>
      </c>
      <c r="GI10" s="137">
        <v>1</v>
      </c>
      <c r="GJ10" s="269">
        <f>LARGE($GH$10:$GH$406,GI10)</f>
        <v>126749995.42000002</v>
      </c>
      <c r="GK10" s="269">
        <f>IF(GI10&gt;GI$6,0,IF(GI10=$GI$2,$GK$2,IF(GI10&lt;4,$GK$3,$GK$4)))</f>
        <v>254821420.86215064</v>
      </c>
      <c r="GL10" s="163">
        <f>MAX(0,GJ10-GK10)</f>
        <v>0</v>
      </c>
      <c r="GM10" s="137">
        <f t="array" ref="GM10">IF(GJ10=0,0,LARGE(IF($GG$10:$GG$406=GJ10,$GF$10:$GF$406,0),COUNTIF($GJ$10:$GJ$406,GJ10)-COUNTIF(GJ$9:GJ9,GJ10)))</f>
        <v>41</v>
      </c>
      <c r="GN10" s="270">
        <f>IF(GJ10=0,0,GL10/GJ10)</f>
        <v>0</v>
      </c>
      <c r="GP10" s="137">
        <v>1</v>
      </c>
      <c r="GQ10" s="264">
        <f>IF(COUNTIF($A$10:A10,A10)&lt;=1,SUMIF($A$10:$A$406,A10,$FH$10:$FH$406),0)</f>
        <v>26818060.030000001</v>
      </c>
      <c r="GR10" s="137">
        <v>1</v>
      </c>
      <c r="GS10" s="269">
        <f>LARGE($GQ$10:$GQ$406,GR10)</f>
        <v>50000000</v>
      </c>
      <c r="GT10" s="269">
        <f>IF(GR10&gt;GR$6,0,IF(GR10&lt;=GR$2,GT$2,IF(AND(GR10&lt;=$GR$3,GR10&gt;$GR$2),GT$3,GT$4)))</f>
        <v>67952372.101335615</v>
      </c>
      <c r="GU10" s="163">
        <f>MAX(0,GS10-GT10)</f>
        <v>0</v>
      </c>
      <c r="GV10" s="137">
        <f t="array" ref="GV10">IF(GS10=0,0,LARGE(IF($GQ$10:$GQ$406=GS10,$GP$10:$GP$406,0),COUNTIF($GS$10:$GS$406,GS10)-COUNTIF(GS$9:GS9,GS10)))</f>
        <v>78</v>
      </c>
      <c r="GW10" s="270">
        <f>IF(GS10=0,0,GU10/GS10)</f>
        <v>0</v>
      </c>
      <c r="GX10" s="270"/>
      <c r="GY10" s="137">
        <v>1</v>
      </c>
      <c r="GZ10" s="264">
        <f>IF(COUNTIF($A$10:A10,A10)&lt;=1,SUMIF($A$10:$A$406,A10,$FH$10:$FH$406),0)</f>
        <v>26818060.030000001</v>
      </c>
      <c r="HA10" s="137">
        <v>1</v>
      </c>
      <c r="HB10" s="269">
        <f>LARGE($GZ$10:$GZ$406,HA10)</f>
        <v>50000000</v>
      </c>
      <c r="HC10" s="414" t="s">
        <v>622</v>
      </c>
      <c r="HD10" s="163">
        <f>IF(HA10&lt;6,MAX(0,$HD$2/5),0)</f>
        <v>0</v>
      </c>
      <c r="HE10" s="137">
        <f t="array" ref="HE10">IF(HB10=0,0,LARGE(IF($GZ$10:$GZ$406=HB10,$GY$10:$GY$406,0),COUNTIF($HB$10:$HB$406,HB10)-COUNTIF(HB$9:HB9,HB10)))</f>
        <v>78</v>
      </c>
      <c r="HF10" s="270">
        <f>IF(HB10=0,0,HD10/HB10)</f>
        <v>0</v>
      </c>
      <c r="HG10"/>
      <c r="HH10" s="268">
        <f>DH10-GB10</f>
        <v>0</v>
      </c>
      <c r="HI10" s="271">
        <v>0</v>
      </c>
      <c r="HJ10" s="264">
        <f>MIN(HI10,DF10)</f>
        <v>0</v>
      </c>
      <c r="HL10" s="137">
        <v>1</v>
      </c>
      <c r="HM10" s="264">
        <f>SUMIF($C$10:$C$406,HL10,$DH$10:$DH$406)</f>
        <v>25589358.030000001</v>
      </c>
      <c r="HO10" s="199">
        <f>MIN(HP10:HT10)</f>
        <v>25589358.030000001</v>
      </c>
      <c r="HP10" s="199">
        <f>IF(B10="","",$M10)</f>
        <v>25589358.030000001</v>
      </c>
      <c r="HQ10" s="199" t="str">
        <f>IF($N10="Yes",IF(P10&gt;=6,0,MIN($T10*$M10,$U10*$M10)),"")</f>
        <v/>
      </c>
      <c r="HR10" s="199" t="str">
        <f>IF(AND(N10="Yes",P10&gt;=6),"",IF($S10="Yes",$R10*$M10,""))</f>
        <v/>
      </c>
      <c r="HS10" s="199" t="str">
        <f>IF($Q10="Yes",MIN($M10,$T10*$M10),"")</f>
        <v/>
      </c>
      <c r="HT10" s="199" t="str">
        <f>IF(AND($N10="Yes",$P10&gt;=6),"",IF(OR(CZ10=1,DD10=1,),MIN($T10*$M10,$U10*$M10),IF(OR(DA10=1,DB10=1,DC10=1),IF(AK10&gt;=5000000,MIN($T10*$M10,$IF10*$M10),MIN($T10*$M10,$U10*$M10)),"")))</f>
        <v/>
      </c>
      <c r="HU10" s="199" t="str">
        <f>IF(DE10&gt;0,DE10,"")</f>
        <v/>
      </c>
      <c r="HV10" s="200">
        <f>IF(B10="",0,$L10-$M10)</f>
        <v>0</v>
      </c>
      <c r="HW10" s="272">
        <f>IF(OR(SUM(HQ10:HU10)&gt;0,P10&gt;=6),"",IF($B10="","",1))</f>
        <v>1</v>
      </c>
      <c r="HX10" s="200" t="str">
        <f>IF(AND($HU10&lt;&gt;0,OR(HU10&lt;=MIN(HQ10:HT10),SUM(HQ10:HT10)=0)),$HU10,0)</f>
        <v/>
      </c>
      <c r="HY10" s="200">
        <f>IF(AND($HT10&lt;&gt;0,OR(AND($HT10&lt;&gt;$HU10,$HT10&lt;&gt;$HS10,$HT10&lt;&gt;$HR10,$HT10&lt;&gt;$HQ10,$HT10&lt;MIN($HQ10:$HS10),$HT10&lt;HU10),SUM($HQ10:$HS10)+SUM(HU10)=0),IB10&lt;=0),$HT10,0)</f>
        <v>0</v>
      </c>
      <c r="HZ10" s="200" t="str">
        <f t="shared" ref="HZ10:HZ80" si="4">IF(AND($HS10&lt;&gt;0,OR(AND($HS10&lt;&gt;$HU10,$HS10&lt;&gt;$HT10,$HS10&lt;&gt;$HR10,$HS10&lt;&gt;$HQ10),$HS10&lt;MIN($HQ10:$HR10),$HS10&lt;MIN($HT10:$HU10),SUM($HQ10:$HR10)+SUM($HT10:$HU10)=0)),$HS10,0)</f>
        <v/>
      </c>
      <c r="IA10" s="200" t="str">
        <f>IF(AND($HR10&lt;&gt;0,OR(AND($HR10&lt;&gt;$HU10,HR10&lt;&gt;HT10,HR10&lt;&gt;HS10,HR10&lt;&gt;HQ10,HR10&lt;MIN(HS10:HU10)),SUM(HQ10)+SUM(HS10:HU10)=0)),$HR10,0)</f>
        <v/>
      </c>
      <c r="IB10" s="200" t="str">
        <f>IF(AND($HQ10&lt;&gt;0,OR(HQ10&lt;=MIN(HR10:HU10),SUM(HR10:HU10)=0)),$HQ10,0)</f>
        <v/>
      </c>
      <c r="IC10" s="273">
        <f>IF(C10="","",INDEX(Lookups!$E$2:$E$69,MATCH('Loan List'!BE10,Lookups!$F$2:$F$69,0)))</f>
        <v>41</v>
      </c>
      <c r="ID10" t="b">
        <f>HV10=DG10</f>
        <v>1</v>
      </c>
      <c r="IF10" s="346" t="str">
        <f>IF(B10="","",IF(AND(Y10="Second Lien",OR(DA10=1,DB10=1,DC10=1)),50%,IF(DA10=1,90%,IF(DB10=1,80%,IF(DC10=1,65%,"No Initial Haircut")))))</f>
        <v>No Initial Haircut</v>
      </c>
    </row>
    <row r="11" spans="1:240">
      <c r="A11" t="s">
        <v>571</v>
      </c>
      <c r="B11" s="242">
        <f>IF(D11="","",B10+1)</f>
        <v>2</v>
      </c>
      <c r="C11" s="242">
        <f>IF(COUNTIF($A$10:A10,A11)&gt;0,C10,C10+1)</f>
        <v>2</v>
      </c>
      <c r="D11" s="428" t="s">
        <v>571</v>
      </c>
      <c r="E11" s="428" t="s">
        <v>539</v>
      </c>
      <c r="F11" s="429"/>
      <c r="G11" s="430">
        <v>6009486.5</v>
      </c>
      <c r="H11" s="430">
        <v>6009486.5</v>
      </c>
      <c r="I11" s="244">
        <f>IF(B11="","",VLOOKUP(BF11,Inputs!$A$12:$J$15,10,FALSE))</f>
        <v>1</v>
      </c>
      <c r="J11" s="245">
        <f t="shared" ref="J11:J81" si="5">IF(B11="","",G11*I11)</f>
        <v>6009486.5</v>
      </c>
      <c r="K11" s="245">
        <f t="shared" ref="K11:K81" si="6">IF(B11="","",H11*I11)</f>
        <v>6009486.5</v>
      </c>
      <c r="L11" s="245">
        <f t="shared" ref="L11:L81" si="7">IF(B11="","",IF(COUNTIF($CF11:$CY11,1)&gt;0,0,J11))</f>
        <v>6009486.5</v>
      </c>
      <c r="M11" s="245">
        <f t="shared" ref="M11:M81" si="8">IF(B11="","",IF(COUNTIF($CF11:$CY11,1)&gt;0,0,K11))</f>
        <v>6009486.5</v>
      </c>
      <c r="N11" s="246" t="s">
        <v>246</v>
      </c>
      <c r="O11" s="246" t="s">
        <v>245</v>
      </c>
      <c r="P11" s="247">
        <f>IF(B11="","",IF(OR(O11="N/A",O11=""),0,YEARFRAC('Borrowing Base'!$J$4,'Loan List'!O11)*12))</f>
        <v>0</v>
      </c>
      <c r="Q11" s="246" t="s">
        <v>246</v>
      </c>
      <c r="R11" s="248">
        <v>0.99750000000000005</v>
      </c>
      <c r="S11" s="249" t="str">
        <f t="shared" si="1"/>
        <v>No</v>
      </c>
      <c r="T11" s="248">
        <v>0.995000000416009</v>
      </c>
      <c r="U11" s="250">
        <f t="shared" ref="U11:U81" si="9">IF(B11="","",IF(OR(Y11="First Lien",Y11="Split First Lien",Y11="Tier 1 Split Lien",Y11="Tier 2 Split Lien"),50%,30%))</f>
        <v>0.5</v>
      </c>
      <c r="V11" s="250">
        <f t="shared" ref="V11:V80" si="10">IF(B11="",0,IF(AND(Y11="First Lien",AN11="Tier 1"),IF(AND(X11="Yes",MIN(AH11,$AJ$5)&gt;4.5),(((4.5/MIN(AH11,$AJ$5))*72.5%)+(((MIN(AH11,$AJ$5)-4.5)/MIN(AH11,$AJ$5))*35%)),72.5%),IF(AND(Y11="First Lien",AN11="Tier 2"),IF(AND(X11="Yes",MIN(AH11,$AK$5)&gt;4.5),(((4.5/MIN(AH11,$AK$5))*72.5%)+(((MIN(AH11,$AK$5)-4.5)/MIN(AH11,$AK$5))*35%)),72.5%),IF(AND(X11="Yes",MIN(AH11,$AL$5)&gt;4),(((4/MIN(AH11,$AL$5))*72.5%)+(((MIN(AH11,$AL$5)-4)/MIN(AH11,$AL$5))*35%)),IF(OR(Y11="First Lien",Y11="Split First Lien"),72.5%,IF(Y11="Split Lien", 53%,35%))))))</f>
        <v>0.72499999999999998</v>
      </c>
      <c r="W11" s="251">
        <f t="shared" ref="W11:W74" si="11">IF($C11="","",MIN($HP11:$HT11))</f>
        <v>6009486.5</v>
      </c>
      <c r="X11" s="246" t="s">
        <v>64</v>
      </c>
      <c r="Y11" s="252" t="s">
        <v>483</v>
      </c>
      <c r="Z11" s="252" t="s">
        <v>484</v>
      </c>
      <c r="AA11" s="253" t="s">
        <v>407</v>
      </c>
      <c r="AB11" s="253" t="s">
        <v>713</v>
      </c>
      <c r="AC11" s="254">
        <v>2.68</v>
      </c>
      <c r="AD11" s="254">
        <v>1.2512860992405894</v>
      </c>
      <c r="AE11" s="254">
        <v>1.8366382257632969</v>
      </c>
      <c r="AF11" s="255">
        <v>0.42754938195361575</v>
      </c>
      <c r="AG11" s="256">
        <v>3.76</v>
      </c>
      <c r="AH11" s="256">
        <v>3.76</v>
      </c>
      <c r="AI11" s="256">
        <v>4.3704656922255127</v>
      </c>
      <c r="AJ11" s="256">
        <v>4.3704656922255127</v>
      </c>
      <c r="AK11" s="257">
        <v>35900000</v>
      </c>
      <c r="AL11" s="257">
        <v>61779000</v>
      </c>
      <c r="AM11" s="258">
        <v>45747</v>
      </c>
      <c r="AN11" s="245" t="str">
        <f t="shared" ref="AN11:AN81" si="12">IF(C11="","",(IF(AK11&gt;=50000000,"Tier 1",(IF(OR(AK11&gt;=20000000,AND(AK11&gt;5000000,AC11&gt;=1.25,AF11&lt;=0.65)),"Tier 2","Tier 3")))))</f>
        <v>Tier 2</v>
      </c>
      <c r="AO11" s="243">
        <v>48149</v>
      </c>
      <c r="AP11" s="259">
        <f>IF(C11="","",DAYS360(Inputs!$J$8,AO11)/360)</f>
        <v>6.177777777777778</v>
      </c>
      <c r="AQ11" s="259">
        <f t="shared" ref="AQ11:AQ81" si="13">IF(C11="","",AP11)</f>
        <v>6.177777777777778</v>
      </c>
      <c r="AR11" s="246" t="s">
        <v>246</v>
      </c>
      <c r="AS11" s="248">
        <v>0</v>
      </c>
      <c r="AT11" s="246" t="s">
        <v>64</v>
      </c>
      <c r="AU11" s="248">
        <v>0.01</v>
      </c>
      <c r="AV11" s="248">
        <v>0.05</v>
      </c>
      <c r="AW11" s="248">
        <v>4.3078999999999992E-2</v>
      </c>
      <c r="AX11" s="260">
        <f t="shared" ref="AX11:AX81" si="14">IF(C11="","",MAX(AU11,AW11))</f>
        <v>4.3078999999999992E-2</v>
      </c>
      <c r="AY11" s="248">
        <v>0</v>
      </c>
      <c r="AZ11" s="248">
        <v>0</v>
      </c>
      <c r="BA11" s="248">
        <v>0</v>
      </c>
      <c r="BB11" s="407">
        <f t="shared" ref="BB11:BB81" si="15">IF(B11="","",IF(AR11="No",AV11-AZ11,""))</f>
        <v>0.05</v>
      </c>
      <c r="BC11" s="407" t="str">
        <f t="shared" ref="BC11:BC81" si="16">IF(B11="","",IF(AR11="Yes",AS11-BA11,""))</f>
        <v/>
      </c>
      <c r="BD11" s="252" t="s">
        <v>247</v>
      </c>
      <c r="BE11" s="261" t="s">
        <v>324</v>
      </c>
      <c r="BF11" s="252" t="s">
        <v>7</v>
      </c>
      <c r="BG11" s="252" t="s">
        <v>460</v>
      </c>
      <c r="BH11" s="246" t="s">
        <v>246</v>
      </c>
      <c r="BI11" s="408" t="str">
        <f t="shared" ref="BI11:BI80" si="17">IF(B11="","",IF(OR(AND(AZ11&gt;0,BB11&gt;=2.5%,BB11&lt;4%),AND(BA11&gt;0,BC11&gt;=6%,BC11&lt;8%)),"Yes","No"))</f>
        <v>No</v>
      </c>
      <c r="BJ11" s="408" t="str">
        <f t="shared" ref="BJ11:BJ81" si="18">IF(B11="","",IF(OR(AND(AZ11&gt;0,BB11&lt;2.5%),AND(BA11&gt;0,BC11&lt;6%)),"Yes","No"))</f>
        <v>No</v>
      </c>
      <c r="BK11" s="246" t="s">
        <v>246</v>
      </c>
      <c r="BL11" s="246" t="s">
        <v>246</v>
      </c>
      <c r="BM11" s="246" t="s">
        <v>246</v>
      </c>
      <c r="BN11" s="246" t="s">
        <v>246</v>
      </c>
      <c r="BO11" s="246" t="s">
        <v>246</v>
      </c>
      <c r="BP11" s="246" t="s">
        <v>246</v>
      </c>
      <c r="BQ11" s="246" t="s">
        <v>246</v>
      </c>
      <c r="BR11" s="246" t="s">
        <v>246</v>
      </c>
      <c r="BS11" s="246" t="s">
        <v>246</v>
      </c>
      <c r="BT11" s="246" t="s">
        <v>246</v>
      </c>
      <c r="BU11" s="246" t="s">
        <v>246</v>
      </c>
      <c r="BV11" s="246" t="s">
        <v>246</v>
      </c>
      <c r="BW11" s="246" t="s">
        <v>246</v>
      </c>
      <c r="BX11" s="246" t="s">
        <v>246</v>
      </c>
      <c r="BY11" s="246" t="s">
        <v>246</v>
      </c>
      <c r="BZ11" s="246" t="s">
        <v>246</v>
      </c>
      <c r="CA11" s="246" t="s">
        <v>246</v>
      </c>
      <c r="CB11" s="246" t="s">
        <v>64</v>
      </c>
      <c r="CC11" s="262">
        <f t="shared" ref="CC11:CC81" si="19">IF(B11="","",IF(AT11="No",((BB11+AW11)-$AZ$4),((BB11+AX11)-$AZ$4))*IF(DE11&gt;0,0,M11))</f>
        <v>299612.56463589997</v>
      </c>
      <c r="CD11" s="262">
        <f t="shared" ref="CD11:CD81" si="20">IF(B11="","",AY11*(L11-M11)*IF(DE11&gt;0,0,1))</f>
        <v>0</v>
      </c>
      <c r="CE11" s="263"/>
      <c r="CF11" s="263">
        <f t="shared" ref="CF11:CF12" si="21">IF(AND(B11&lt;&gt;"",R11&lt;=85%),1,0)</f>
        <v>0</v>
      </c>
      <c r="CG11" s="263">
        <f t="shared" ref="CG11:CG12" si="22">IF(B11="",0,(IF(OR(BF11="USD",BF11="CAD",BF11="GBP",BF11="AUD",BF11="EUR"),0,1)))</f>
        <v>0</v>
      </c>
      <c r="CH11" s="263">
        <f t="shared" ref="CH11:CH12" si="23">IF(B11="",0,(IF(OR(BG11="United States",BG11="Canada",BG11="United Kingdom",BG11="Australia",BG11="Netherlands Antilles",BG11="Bermuda",BG11="Cayman Islands",BG11="British Virgin Islands",BG11="Channel Islands",BG11="Isle of Man",BG11="Australia",BG11="Netherlands",BG11="Germany",BG11="Sweden",BG11="Switzerland",BG11="Austria",BG11="Belgium",BG11="Denmark",BG11="Finland",BG11="Iceland",BG11="Ireland",BG11="Lichtenstein",BG11="Luxemborg",BG11="Norway"),0,1)))</f>
        <v>0</v>
      </c>
      <c r="CI11" s="263">
        <f t="shared" ref="CI11:CI12" si="24">IF(BO11="Yes",1,0)</f>
        <v>0</v>
      </c>
      <c r="CJ11" s="263">
        <f t="shared" ref="CJ11:CJ12" si="25">IF(BP11="Yes",1,0)</f>
        <v>0</v>
      </c>
      <c r="CK11" s="263">
        <f t="shared" ref="CK11:CK12" si="26">IF(BQ11="Yes",1,0)</f>
        <v>0</v>
      </c>
      <c r="CL11" s="263">
        <f t="shared" ref="CL11:CL12" si="27">IF(BR11="Yes",1,0)</f>
        <v>0</v>
      </c>
      <c r="CM11" s="263">
        <f t="shared" ref="CM11:CM12" si="28">IF(BS11="Yes",1,0)</f>
        <v>0</v>
      </c>
      <c r="CN11" s="263">
        <f t="shared" ref="CN11:CN12" si="29">IF(BT11="Yes",1,0)</f>
        <v>0</v>
      </c>
      <c r="CO11" s="263">
        <f t="shared" ref="CO11:CO12" si="30">IF(OR(AND(BJ11="Yes",N11="No"),AND(BJ11="Yes",N11="Yes",P11&gt;=6)),1,0)</f>
        <v>0</v>
      </c>
      <c r="CP11" s="263">
        <f t="shared" ref="CP11:CP12" si="31">IF(BU11="Yes",1,0)</f>
        <v>0</v>
      </c>
      <c r="CQ11" s="263">
        <f t="shared" ref="CQ11:CQ12" si="32">IF(AND(BV11="Yes",BW11="No"),1,0)</f>
        <v>0</v>
      </c>
      <c r="CR11" s="263">
        <f t="shared" ref="CR11:CR12" si="33">IF(BX11="Yes",1,0)</f>
        <v>0</v>
      </c>
      <c r="CS11" s="263">
        <f t="shared" ref="CS11:CS12" si="34">IF(AP11="",0,IF(AP11&gt;7,1,0))</f>
        <v>0</v>
      </c>
      <c r="CT11" s="263">
        <f t="shared" ref="CT11:CT12" si="35">IF(OR(BD11&lt;&gt;"Monthly",BD11&lt;&gt;"Quarterly",BD11&lt;&gt;"Semi-Annually"),0,1)</f>
        <v>0</v>
      </c>
      <c r="CU11" s="263">
        <f t="shared" ref="CU11:CU12" si="36">IF(BY11="Yes",1,0)</f>
        <v>0</v>
      </c>
      <c r="CV11" s="263">
        <f t="shared" ref="CV11:CV12" si="37">IF(BZ11="Yes",1,0)</f>
        <v>0</v>
      </c>
      <c r="CW11" s="263">
        <f t="shared" ref="CW11:CW12" si="38">IF(CA11="Yes",1,0)</f>
        <v>0</v>
      </c>
      <c r="CX11" s="263">
        <f t="shared" ref="CX11:CX12" si="39">IF(CB11="No",1,0)</f>
        <v>0</v>
      </c>
      <c r="CY11" s="263">
        <f t="shared" ref="CY11:CY12" si="40">IF(B11="",0,IF(AK11&gt;=5000000,0,1))</f>
        <v>0</v>
      </c>
      <c r="CZ11" s="263">
        <f t="shared" ref="CZ11:CZ12" si="41">IF(B11="",0,IF(AL11&gt;=5000000,0,1))</f>
        <v>0</v>
      </c>
      <c r="DA11" s="263">
        <f t="shared" ref="DA11:DA12" si="42">IF(OR(DB11=1,DC11=1,DD11=1),0,IF(B11="",0,IF(OR(AND(AN11="Tier 1",X11="No",OR(AI11&gt;$AJ$3,AJ11&gt;$AJ$4)),(AND(AN11="Tier 1",X11="Yes",AJ11&gt;$AJ$5)),(AND(AN11="Tier 2",X11="No",OR(AI11&gt;$AK$3,AJ11&gt;$AK$4))),(AND(AN11="Tier 2",X11="Yes",AJ11&gt;$AK$5)),(AND(AN11="Tier 3",X11="No",OR(AI11&gt;$AL$3,AJ11&gt;$AL$4))),(AND(AN11="Tier 3",X11="Yes",AJ11&gt;$AL$5))),1,0)))</f>
        <v>0</v>
      </c>
      <c r="DB11" s="263">
        <f t="shared" ref="DB11:DB12" si="43">IF(OR(DC11=1,DD11=1),0,IF(B11="",0,IF(OR(AND(AN11="Tier 1",X11="No",OR(AI11&gt;$AM$3,AJ11&gt;$AM$4)),(AND(AN11="Tier 1",X11="Yes",AJ11&gt;$AM$5)),(AND(AN11="Tier 2",X11="No",OR(AI11&gt;$AN$3,AJ11&gt;$AN$4))),(AND(AN11="Tier 2",X11="Yes",AJ11&gt;$AN$5)),(AND(AN11="Tier 3",X11="No",OR(AI11&gt;$AO$3,AJ11&gt;$AO$4))),(AND(AN11="Tier 3",X11="Yes",AJ11&gt;$AO$5))),1,0)))</f>
        <v>0</v>
      </c>
      <c r="DC11" s="263">
        <f t="shared" ref="DC11:DC12" si="44">IF(DD11=1,0,IF(B11="",0,IF(OR(AND(AN11="Tier 1",X11="No",OR(AI11&gt;$AP$3,AJ11&gt;$AP$4)),(AND(AN11="Tier 1",X11="Yes",AJ11&gt;$AP$5)),(AND(AN11="Tier 2",X11="No",OR(AI11&gt;$AQ$3,AJ11&gt;$AQ$4))),(AND(AN11="Tier 2",X11="Yes",AJ11&gt;$AQ$5)),(AND(AN11="Tier 3",X11="No",OR(AI11&gt;$AR$3,AJ11&gt;$AR$4))),(AND(AN11="Tier 3",X11="Yes",AJ11&gt;$AR$5))),1,0)))</f>
        <v>0</v>
      </c>
      <c r="DD11" s="263">
        <f t="shared" ref="DD11:DD12" si="45">IF(B11="",0,IF(OR(AND(AN11="Tier 1",X11="No",OR(AI11&gt;$AS$3,AJ11&gt;$AS$4)),(AND(AN11="Tier 1",X11="Yes",AJ11&gt;$AS$5)),(AND(AN11="Tier 2",X11="No",OR(AI11&gt;$AT$3,AJ11&gt;$AT$4))),(AND(AN11="Tier 2",X11="Yes",AJ11&gt;$AT$5)),(AND(AN11="Tier 3",X11="No",OR(AI11&gt;$AU$3,AJ11&gt;$AU$4))),(AND(AN11="Tier 3",X11="Yes",AJ11&gt;$AU$5))),1,0))</f>
        <v>0</v>
      </c>
      <c r="DE11" s="263">
        <f t="shared" ref="DE11:DE12" si="46">IF((SUM(CF11:CY11)=0),0,W11)</f>
        <v>0</v>
      </c>
      <c r="DF11" s="263">
        <f t="shared" ref="DF11:DF12" si="47">IF(OR(B11="",DE11&gt;0),0,W11)</f>
        <v>6009486.5</v>
      </c>
      <c r="DG11" s="263">
        <f t="shared" ref="DG11:DG12" si="48">IF(B11="",0,IF(COUNTIF(CF11:CY11,1)&gt;0,0,L11-M11))</f>
        <v>0</v>
      </c>
      <c r="DH11" s="263">
        <f t="shared" ref="DH11:DH12" si="49">DF11+IF(DE11&gt;0,0,DG11)</f>
        <v>6009486.5</v>
      </c>
      <c r="DI11" s="263">
        <f t="shared" ref="DI11:DI12" si="50">IF(B11="","",M11+DG11)</f>
        <v>6009486.5</v>
      </c>
      <c r="DJ11" s="263">
        <f t="shared" ref="DJ11:DJ12" si="51">IF(B11="",0,J11-K11)</f>
        <v>0</v>
      </c>
      <c r="DK11" s="263">
        <f t="shared" ref="DK11:DK12" si="52">IF(OR(BF11="EUR",BF11="CAD",BF11="GBP",BF11="AUD"),(GB11*(1-V11))+(HH11)+IF(HY11="",0,HY11*(1-U11)),0)</f>
        <v>0</v>
      </c>
      <c r="DL11" s="263">
        <f t="shared" ref="DL11:DL12" si="53">IF(BF11="EUR",33%,IF(BF11="CAD",38%,IF(BF11="GBP",51%,IF(BF11="AUD",61%,0))))</f>
        <v>0</v>
      </c>
      <c r="DM11" s="263">
        <f t="shared" ref="DM11:DM12" si="54">DK11*DL11</f>
        <v>0</v>
      </c>
      <c r="DO11" s="264">
        <f t="shared" ref="DO11:DO12" si="55">IF(OR(Y11="Second Lien",Y11="Tier 1 Split Lien",Y11="Tier 2 Split Lien"),DH11,0)</f>
        <v>0</v>
      </c>
      <c r="DP11" s="265">
        <f t="shared" ref="DP11:DP12" si="56">DO11*DO$6</f>
        <v>0</v>
      </c>
      <c r="DQ11" s="264">
        <f t="shared" ref="DQ11:DQ12" si="57">DH11-DP11</f>
        <v>6009486.5</v>
      </c>
      <c r="DR11" s="264">
        <f t="shared" ref="DR11:DR12" si="58">IF(Y11="Second Lien",DQ11,0)</f>
        <v>0</v>
      </c>
      <c r="DS11" s="265">
        <f t="shared" ref="DS11:DS12" si="59">DR11*DR$6</f>
        <v>0</v>
      </c>
      <c r="DT11" s="264">
        <f t="shared" ref="DT11:DT12" si="60">DQ11-DS11</f>
        <v>6009486.5</v>
      </c>
      <c r="DU11" s="264">
        <f t="shared" ref="DU11:DU12" si="61">IF(BH11="Yes",DT11,0)</f>
        <v>0</v>
      </c>
      <c r="DV11" s="265">
        <f t="shared" ref="DV11:DV12" si="62">DU11*DU$6</f>
        <v>0</v>
      </c>
      <c r="DW11" s="264">
        <f t="shared" ref="DW11:DW12" si="63">DT11-DV11</f>
        <v>6009486.5</v>
      </c>
      <c r="DX11" s="264">
        <f t="shared" ref="DX11:DX12" si="64">IF(OR(BG11="Canada",BG11="United Kingdom",BG11="Australia",BG11="Netherlands Antilles",BG11="Bermuda",BG11="Cayman Islands",BG11="British Virgin Islands",BG11="Channel Islands",BG11="Isle of Man",BG11="Australia",BG11="Netherlands",BG11="Germany",BG11="Sweden",BG11="Switzerland",BG11="Austria",BG11="Belgium",BG11="Denmark",BG11="Finland",BG11="Iceland",BG11="Ireland",BG11="Lichtenstein",BG11="Luxemborg",BG11="Norway"),DW11,0)</f>
        <v>0</v>
      </c>
      <c r="DY11" s="265">
        <f t="shared" ref="DY11:DY12" si="65">DX11*DX$6</f>
        <v>0</v>
      </c>
      <c r="DZ11" s="264">
        <f t="shared" ref="DZ11:DZ12" si="66">DW11-DY11</f>
        <v>6009486.5</v>
      </c>
      <c r="EA11" s="264">
        <f t="shared" ref="EA11:EA12" si="67">IF(BI11="Yes",DZ11,0)</f>
        <v>0</v>
      </c>
      <c r="EB11" s="265">
        <f t="shared" ref="EB11:EB12" si="68">EA11*EA$6</f>
        <v>0</v>
      </c>
      <c r="EC11" s="264">
        <f t="shared" ref="EC11:EC12" si="69">DZ11-EB11</f>
        <v>6009486.5</v>
      </c>
      <c r="ED11" s="264">
        <f t="shared" ref="ED11:ED12" si="70">IF(OR(Z11="Delayed Draw",Z11="Revolver"),EC11,0)</f>
        <v>0</v>
      </c>
      <c r="EE11" s="265">
        <f t="shared" ref="EE11:EE12" si="71">ED11*ED$6</f>
        <v>0</v>
      </c>
      <c r="EF11" s="264">
        <f t="shared" ref="EF11:EF12" si="72">EC11-EE11</f>
        <v>6009486.5</v>
      </c>
      <c r="EG11" s="264">
        <f t="shared" ref="EG11:EG12" si="73">IF(S11="Yes",EF11,0)</f>
        <v>0</v>
      </c>
      <c r="EH11" s="265">
        <f t="shared" ref="EH11:EH12" si="74">EG11*EG$6</f>
        <v>0</v>
      </c>
      <c r="EI11" s="264">
        <f t="shared" ref="EI11:EI12" si="75">EF11-EH11</f>
        <v>6009486.5</v>
      </c>
      <c r="EJ11" s="264">
        <f t="shared" ref="EJ11:EJ12" si="76">IF(Q11="Yes",EI11,0)</f>
        <v>0</v>
      </c>
      <c r="EK11" s="265">
        <f t="shared" ref="EK11:EK12" si="77">EJ11*EJ$6</f>
        <v>0</v>
      </c>
      <c r="EL11" s="264">
        <f t="shared" ref="EL11:EL12" si="78">EI11-EK11</f>
        <v>6009486.5</v>
      </c>
      <c r="EM11" s="264">
        <f t="shared" ref="EM11:EM12" si="79">IF(BD11="Semi-Annually",EL11,0)</f>
        <v>0</v>
      </c>
      <c r="EN11" s="265">
        <f t="shared" ref="EN11:EN12" si="80">EM11*EM$6</f>
        <v>0</v>
      </c>
      <c r="EO11" s="264">
        <f t="shared" ref="EO11:EO12" si="81">EL11-EN11</f>
        <v>6009486.5</v>
      </c>
      <c r="EP11" s="264">
        <f t="shared" ref="EP11:EP12" si="82">IF(BK11="Yes",EO11,0)</f>
        <v>0</v>
      </c>
      <c r="EQ11" s="265">
        <f t="shared" ref="EQ11:EQ12" si="83">EP11*EP$6</f>
        <v>0</v>
      </c>
      <c r="ER11" s="264">
        <f t="shared" ref="ER11:ER12" si="84">EO11-EQ11</f>
        <v>6009486.5</v>
      </c>
      <c r="ES11" s="264">
        <f t="shared" ref="ES11:ES12" si="85">IF(BL11="Yes",ER11,0)</f>
        <v>0</v>
      </c>
      <c r="ET11" s="265">
        <f t="shared" ref="ET11:ET12" si="86">ES11*ES$6</f>
        <v>0</v>
      </c>
      <c r="EU11" s="264">
        <f t="shared" ref="EU11:EU12" si="87">ER11-ET11</f>
        <v>6009486.5</v>
      </c>
      <c r="EV11" s="264">
        <f>IF(AND(BM11="Yes",OR(BN11="No",AND(BN11="Yes",Inputs!$J$8=Inputs!$J$17+75))),EU11,0)</f>
        <v>0</v>
      </c>
      <c r="EW11" s="265">
        <f t="shared" ref="EW11:EW12" si="88">EV11*EV$6</f>
        <v>0</v>
      </c>
      <c r="EX11" s="264">
        <f t="shared" ref="EX11:EX12" si="89">EU11-EW11</f>
        <v>6009486.5</v>
      </c>
      <c r="EY11" s="264">
        <f t="shared" ref="EY11:EY12" si="90">IF(BW11="Yes",EX11,0)</f>
        <v>0</v>
      </c>
      <c r="EZ11" s="265">
        <f t="shared" ref="EZ11:EZ12" si="91">EY11*EY$6</f>
        <v>0</v>
      </c>
      <c r="FA11" s="264">
        <f t="shared" ref="FA11:FA12" si="92">EX11-EZ11</f>
        <v>6009486.5</v>
      </c>
      <c r="FB11" s="264">
        <f t="shared" ref="FB11:FB12" si="93">IF(AR11="Yes",FA11,0)</f>
        <v>0</v>
      </c>
      <c r="FC11" s="265">
        <f t="shared" ref="FC11:FC12" si="94">FB11*FB$6</f>
        <v>0</v>
      </c>
      <c r="FD11" s="264">
        <f t="shared" ref="FD11:FD12" si="95">FA11-FC11</f>
        <v>6009486.5</v>
      </c>
      <c r="FE11" s="264">
        <f t="shared" ref="FE11:FE12" si="96">IF(OR(BF11="EUR",BF11="AUD",BF11="CAD",BF11="GBP"),FD11,0)</f>
        <v>0</v>
      </c>
      <c r="FF11" s="265">
        <f t="shared" ref="FF11:FF12" si="97">FE11*FE$6</f>
        <v>0</v>
      </c>
      <c r="FG11" s="264">
        <f t="shared" ref="FG11:FG12" si="98">FD11-FF11</f>
        <v>6009486.5</v>
      </c>
      <c r="FH11" s="264">
        <f t="shared" ref="FH11:FH12" si="99">FG11</f>
        <v>6009486.5</v>
      </c>
      <c r="FI11" s="264">
        <f>IF(FG11=0,0,VLOOKUP(C11,$GV$10:$GW$406,2,FALSE)*FG11)</f>
        <v>0</v>
      </c>
      <c r="FJ11" s="264">
        <f t="shared" ref="FJ11:FJ12" si="100">FG11-FI11</f>
        <v>6009486.5</v>
      </c>
      <c r="FK11" s="264">
        <f t="shared" ref="FK11:FK12" si="101">FJ11</f>
        <v>6009486.5</v>
      </c>
      <c r="FL11" s="264">
        <f>IF(OR(IC11="",FJ11&lt;0.01),,VLOOKUP(IC11,$GM$10:$GN$406,2,FALSE)*FJ11)</f>
        <v>0</v>
      </c>
      <c r="FM11" s="264">
        <f t="shared" ref="FM11:FM12" si="102">FJ11-FL11</f>
        <v>6009486.5</v>
      </c>
      <c r="FN11" s="264">
        <f t="shared" ref="FN11:FN12" si="103">FM11</f>
        <v>6009486.5</v>
      </c>
      <c r="FO11" s="264">
        <f>IF(FM11=0,0,VLOOKUP(C11,$HE$10:$HF$406,2,FALSE)*FM11)</f>
        <v>0</v>
      </c>
      <c r="FP11" s="264">
        <f t="shared" ref="FP11:FP12" si="104">FM11-FO11</f>
        <v>6009486.5</v>
      </c>
      <c r="FQ11" s="264">
        <f t="shared" ref="FQ11:FQ12" si="105">IF(SUM(CZ11:DD11)&gt;0,0,IF(AND(AL11&gt;=5000000,AL11&lt;7500000),FP11,0))</f>
        <v>0</v>
      </c>
      <c r="FR11" s="265">
        <f t="shared" ref="FR11:FR12" si="106">IF(B11="",0,FQ11*FQ$6*(1-$U11))</f>
        <v>0</v>
      </c>
      <c r="FS11" s="264">
        <f t="shared" ref="FS11:FS12" si="107">FP11-FR11</f>
        <v>6009486.5</v>
      </c>
      <c r="FT11" s="264">
        <f t="shared" ref="FT11:FT12" si="108">IF(SUM(CZ11:DD11)&gt;0,0,IF(AL11&lt;15000000,FS11,0))</f>
        <v>0</v>
      </c>
      <c r="FU11" s="265">
        <f t="shared" ref="FU11:FU12" si="109">IF(B11="",0,FT11*FT$6*(1-$U11))</f>
        <v>0</v>
      </c>
      <c r="FV11" s="264">
        <f t="shared" ref="FV11:FV12" si="110">FS11-FU11</f>
        <v>6009486.5</v>
      </c>
      <c r="FW11" s="264">
        <f t="shared" ref="FW11:FW12" si="111">IF(SUM(CZ11:DD11)&gt;0,0,IF(OR(AND(X11="No",AN11="Tier 1",AI11&gt;$AG$3),AND(X11="No",AN11="Tier 2",AI11&gt;$AH$3),AND(X11="No",AN11="Tier 3",AI11&gt;$AI$3)),FV11,0))</f>
        <v>0</v>
      </c>
      <c r="FX11" s="264">
        <f t="shared" ref="FX11:FX12" si="112">IF(SUM(CZ11:DD11)&gt;0,0,IF(OR(AND(X11="No",AN11="Tier 1",AJ11&gt;$AG$4),AND(X11="No",AN11="Tier 2",AJ11&gt;$AH$4),AND(X11="No",AN11="Tier 3",AJ11&gt;$AI$4)),FV11,0))</f>
        <v>0</v>
      </c>
      <c r="FY11" s="264">
        <f t="shared" ref="FY11:FY12" si="113">IF(SUM(CZ11:DD11)&gt;0,0,IF(OR(AND(X11="Yes",AN11="Tier 1",AJ11&gt;$AG$5),AND(X11="Yes",AN11="Tier 2",AJ11&gt;$AH$5),AND(X11="Yes",AN11="Tier 3",AJ11&gt;$AI$5)),FV11,0))</f>
        <v>0</v>
      </c>
      <c r="FZ11" s="264">
        <f t="shared" ref="FZ11:FZ12" si="114">IF(SUM(FW11:FY11)&gt;0,FV11,0)</f>
        <v>0</v>
      </c>
      <c r="GA11" s="265">
        <f t="shared" ref="GA11:GA12" si="115">IF(B11="",0,FZ11*FW$6*(1-MIN(90%,T11)))</f>
        <v>0</v>
      </c>
      <c r="GB11" s="264">
        <f>FV11-GA11</f>
        <v>6009486.5</v>
      </c>
      <c r="GC11" s="264">
        <f t="shared" ref="GC11:GC12" si="116">IF(AND(N11="No",DJ11=0),GB11,IF(AND(N11="No",DJ11&lt;&gt;0,K11=0),0,IF(AND(N11="No",DJ11&lt;&gt;0,K11&gt;0,J11&lt;&gt;K11),MAX(0,M11-(DI11-GB11)),DH11)))</f>
        <v>6009486.5</v>
      </c>
      <c r="GD11" s="266">
        <f t="shared" ref="GD11:GD12" si="117">+GC11*V11</f>
        <v>4356877.7124999994</v>
      </c>
      <c r="GE11" s="138">
        <f t="shared" si="3"/>
        <v>0.72499999999999987</v>
      </c>
      <c r="GF11" s="267">
        <f>IF(IC11="","",IC11)</f>
        <v>1</v>
      </c>
      <c r="GG11" s="264">
        <f t="array" ref="GG11">IF(SUM(IF(IC$9:IC10=IC11,1,0))&gt;0,0,SUMIF($IC$10:$IC$406,IC11,$FJ$10:$FJ$406))</f>
        <v>57413376.5</v>
      </c>
      <c r="GH11" s="268">
        <f>GG11</f>
        <v>57413376.5</v>
      </c>
      <c r="GI11" s="137">
        <f>GI10+1</f>
        <v>2</v>
      </c>
      <c r="GJ11" s="269">
        <f>LARGE($GH$10:$GH$406,GI11)</f>
        <v>105924673.35995001</v>
      </c>
      <c r="GK11" s="269">
        <f>IF(GI11&gt;GI$6,0,IF(GI11=$GI$2,$GK$2,IF(GI11&lt;4,$GK$3,$GK$4)))</f>
        <v>152892852.51729038</v>
      </c>
      <c r="GL11" s="163">
        <f>MAX(0,GJ11-GK11)</f>
        <v>0</v>
      </c>
      <c r="GM11" s="137">
        <f t="array" ref="GM11">IF(GJ11=0,0,LARGE(IF($GG$10:$GG$406=GJ11,$GF$10:$GF$406,0),COUNTIF($GJ$10:$GJ$406,GJ11)-COUNTIF(GJ$9:GJ10,GJ11)))</f>
        <v>46</v>
      </c>
      <c r="GN11" s="270">
        <f>IF(GJ11=0,0,GL11/GJ11)</f>
        <v>0</v>
      </c>
      <c r="GP11" s="137">
        <f>IF(C11="","",IF(ISERROR(MATCH(C11,C10:C$10,0)),MAX(GP10:GP$10)+1,INDEX(GP10:GP$10,MATCH(C11,C10:C$10,0))))</f>
        <v>2</v>
      </c>
      <c r="GQ11" s="264">
        <f>IF(COUNTIF($A$10:A11,A11)&lt;=1,SUMIF($A$10:$A$406,A11,$FH$10:$FH$406),0)</f>
        <v>6009486.5</v>
      </c>
      <c r="GR11" s="137">
        <f>GR10+1</f>
        <v>2</v>
      </c>
      <c r="GS11" s="269">
        <f>LARGE($GQ$10:$GQ$406,GR11)</f>
        <v>41568911</v>
      </c>
      <c r="GT11" s="269">
        <f>IF(GR11&gt;GR$6,0,IF(GR11&lt;=GR$2,GT$2,IF(AND(GR11&lt;=$GR$3,GR11&gt;$GR$2),GT$3,GT$4)))</f>
        <v>67952372.101335615</v>
      </c>
      <c r="GU11" s="163">
        <f>MAX(0,GS11-GT11)</f>
        <v>0</v>
      </c>
      <c r="GV11" s="137">
        <f t="array" ref="GV11">IF(GS11=0,0,LARGE(IF($GQ$10:$GQ$406=GS11,$GP$10:$GP$406,0),COUNTIF($GS$10:$GS$406,GS11)-COUNTIF(GS$9:GS10,GS11)))</f>
        <v>11</v>
      </c>
      <c r="GW11" s="270">
        <f>IF(GS11=0,0,GU11/GS11)</f>
        <v>0</v>
      </c>
      <c r="GX11" s="270"/>
      <c r="GY11" s="137">
        <f>IF(C11="","",IF(ISERROR(MATCH(C11,C10:C$10,0)),MAX(GP10:GP$10)+1,INDEX(GP10:GP$10,MATCH(C11,C10:C$10,0))))</f>
        <v>2</v>
      </c>
      <c r="GZ11" s="264">
        <f>IF(COUNTIF($A$10:A11,A11)&lt;=1,SUMIF($A$10:$A$406,A11,$FH$10:$FH$406),0)</f>
        <v>6009486.5</v>
      </c>
      <c r="HA11" s="137">
        <f>HA10+1</f>
        <v>2</v>
      </c>
      <c r="HB11" s="269">
        <f>LARGE($GZ$10:$GZ$406,HA11)</f>
        <v>41568911</v>
      </c>
      <c r="HC11" s="414" t="s">
        <v>622</v>
      </c>
      <c r="HD11" s="163">
        <f>IF(HA11&lt;6,MAX(0,$HD$2/5),0)</f>
        <v>0</v>
      </c>
      <c r="HE11" s="137">
        <f t="array" ref="HE11">IF(HB11=0,0,LARGE(IF($GZ$10:$GZ$406=HB11,$GY$10:$GY$406,0),COUNTIF($HB$10:$HB$406,HB11)-COUNTIF(HB$9:HB10,HB11)))</f>
        <v>11</v>
      </c>
      <c r="HF11" s="270">
        <f>IF(HB11=0,0,HD11/HB11)</f>
        <v>0</v>
      </c>
      <c r="HG11"/>
      <c r="HH11" s="268">
        <f t="shared" ref="HH11:HH12" si="118">DH11-GB11</f>
        <v>0</v>
      </c>
      <c r="HI11" s="423">
        <v>0</v>
      </c>
      <c r="HJ11" s="264">
        <f>MIN(HI11,DF11)</f>
        <v>0</v>
      </c>
      <c r="HL11" s="137">
        <f>IF(COUNTIF($C$10:$C$406,HL10+1),HL10+1,"")</f>
        <v>2</v>
      </c>
      <c r="HM11" s="264">
        <f>SUMIF($C$10:$C$406,HL11,$DH$10:$DH$406)</f>
        <v>6009486.5</v>
      </c>
      <c r="HO11" s="199">
        <f>MIN(HP11:HT11)</f>
        <v>6009486.5</v>
      </c>
      <c r="HP11" s="199">
        <f>IF(B11="","",$M11)</f>
        <v>6009486.5</v>
      </c>
      <c r="HQ11" s="199" t="str">
        <f>IF($N11="Yes",IF(P11&gt;=6,0,MIN($T11*$M11,$U11*$M11)),"")</f>
        <v/>
      </c>
      <c r="HR11" s="199" t="str">
        <f>IF(AND(N11="Yes",P11&gt;=6),"",IF($S11="Yes",$R11*$M11,""))</f>
        <v/>
      </c>
      <c r="HS11" s="199" t="str">
        <f t="shared" ref="HS11:HS81" si="119">IF($Q11="Yes",MIN($M11,$T11*$M11),"")</f>
        <v/>
      </c>
      <c r="HT11" s="199" t="str">
        <f>IF(AND($N11="Yes",$P11&gt;=6),"",IF(OR(CZ11=1,DD11=1,),MIN($T11*$M11,$U11*$M11),IF(OR(DA11=1,DB11=1,DC11=1),IF(AK11&gt;=5000000,MIN($T11*$M11,$IF11*$M11),MIN($T11*$M11,$U11*$M11)),"")))</f>
        <v/>
      </c>
      <c r="HU11" s="199" t="str">
        <f>IF(DE11&gt;0,DE11,"")</f>
        <v/>
      </c>
      <c r="HV11" s="200">
        <f>IF(B11="",0,$L11-$M11)</f>
        <v>0</v>
      </c>
      <c r="HW11" s="272">
        <f>IF(OR(SUM(HQ11:HU11)&gt;0,P11&gt;=6),"",IF($B11="","",1))</f>
        <v>1</v>
      </c>
      <c r="HX11" s="200" t="str">
        <f>IF(AND($HU11&lt;&gt;0,OR(HU11&lt;=MIN(HQ11:HT11),SUM(HQ11:HT11)=0)),$HU11,0)</f>
        <v/>
      </c>
      <c r="HY11" s="200">
        <f>IF(AND($HT11&lt;&gt;0,OR(AND($HT11&lt;&gt;$HU11,$HT11&lt;&gt;$HS11,$HT11&lt;&gt;$HR11,$HT11&lt;&gt;$HQ11,$HT11&lt;MIN($HQ11:$HS11),$HT11&lt;HU11),SUM($HQ11:$HS11)+SUM(HU11)=0),IB11&lt;=0),$HT11,0)</f>
        <v>0</v>
      </c>
      <c r="HZ11" s="200" t="str">
        <f t="shared" si="4"/>
        <v/>
      </c>
      <c r="IA11" s="200" t="str">
        <f>IF(AND($HR11&lt;&gt;0,OR(AND($HR11&lt;&gt;$HU11,HR11&lt;&gt;HT11,HR11&lt;&gt;HS11,HR11&lt;&gt;HQ11,HR11&lt;MIN(HS11:HU11)),SUM(HQ11)+SUM(HS11:HU11)=0)),$HR11,0)</f>
        <v/>
      </c>
      <c r="IB11" s="200" t="str">
        <f>IF(AND($HQ11&lt;&gt;0,OR(HQ11&lt;=MIN(HR11:HU11),SUM(HR11:HU11)=0)),$HQ11,0)</f>
        <v/>
      </c>
      <c r="IC11" s="273">
        <f>IF(C11="","",INDEX(Lookups!$E$2:$E$69,MATCH('Loan List'!BE11,Lookups!$F$2:$F$69,0)))</f>
        <v>1</v>
      </c>
      <c r="ID11" t="b">
        <f t="shared" ref="ID11:ID12" si="120">HV11=DG11</f>
        <v>1</v>
      </c>
      <c r="IF11" s="424" t="str">
        <f t="shared" ref="IF11:IF81" si="121">IF(B11="","",IF(AND(Y11="Second Lien",OR(DA11=1,DB11=1,DC11=1)),50%,IF(DA11=1,90%,IF(DB11=1,80%,IF(DC11=1,65%,"No Initial Haircut")))))</f>
        <v>No Initial Haircut</v>
      </c>
    </row>
    <row r="12" spans="1:240">
      <c r="A12" t="s">
        <v>650</v>
      </c>
      <c r="B12" s="242">
        <f t="shared" ref="B12" si="122">IF(D12="","",B11+1)</f>
        <v>3</v>
      </c>
      <c r="C12" s="242">
        <f>IF(COUNTIF($A$10:A11,A12)&gt;0,C11,C11+1)</f>
        <v>3</v>
      </c>
      <c r="D12" s="428" t="s">
        <v>650</v>
      </c>
      <c r="E12" s="428" t="s">
        <v>646</v>
      </c>
      <c r="F12" s="429"/>
      <c r="G12" s="430">
        <v>5271860.1900000004</v>
      </c>
      <c r="H12" s="430">
        <v>5271860.1900000004</v>
      </c>
      <c r="I12" s="244">
        <f>IF(B12="","",VLOOKUP(BF12,Inputs!$A$12:$J$15,10,FALSE))</f>
        <v>1</v>
      </c>
      <c r="J12" s="245">
        <f t="shared" si="5"/>
        <v>5271860.1900000004</v>
      </c>
      <c r="K12" s="245">
        <f t="shared" si="6"/>
        <v>5271860.1900000004</v>
      </c>
      <c r="L12" s="245">
        <f t="shared" si="7"/>
        <v>5271860.1900000004</v>
      </c>
      <c r="M12" s="245">
        <f t="shared" si="8"/>
        <v>5271860.1900000004</v>
      </c>
      <c r="N12" s="246" t="s">
        <v>246</v>
      </c>
      <c r="O12" s="246" t="s">
        <v>245</v>
      </c>
      <c r="P12" s="247">
        <f>IF(B12="","",IF(OR(O12="N/A",O12=""),0,YEARFRAC('Borrowing Base'!$J$4,'Loan List'!O12)*12))</f>
        <v>0</v>
      </c>
      <c r="Q12" s="246" t="s">
        <v>246</v>
      </c>
      <c r="R12" s="248">
        <v>0.99000524258712808</v>
      </c>
      <c r="S12" s="249" t="str">
        <f t="shared" si="1"/>
        <v>No</v>
      </c>
      <c r="T12" s="248">
        <v>1</v>
      </c>
      <c r="U12" s="250">
        <f t="shared" si="9"/>
        <v>0.5</v>
      </c>
      <c r="V12" s="250">
        <f t="shared" si="10"/>
        <v>0.72499999999999998</v>
      </c>
      <c r="W12" s="251">
        <f t="shared" si="11"/>
        <v>5271860.1900000004</v>
      </c>
      <c r="X12" s="246" t="s">
        <v>246</v>
      </c>
      <c r="Y12" s="252" t="s">
        <v>483</v>
      </c>
      <c r="Z12" s="252" t="s">
        <v>484</v>
      </c>
      <c r="AA12" s="253" t="s">
        <v>407</v>
      </c>
      <c r="AB12" s="253" t="s">
        <v>713</v>
      </c>
      <c r="AC12" s="254">
        <v>1.6330679651968127</v>
      </c>
      <c r="AD12" s="254">
        <v>2.3463154426741317</v>
      </c>
      <c r="AE12" s="254">
        <v>3.2232536314671267</v>
      </c>
      <c r="AF12" s="255">
        <v>0.48220858895705526</v>
      </c>
      <c r="AG12" s="256">
        <v>3.4364287444593526</v>
      </c>
      <c r="AH12" s="256">
        <v>3.4364287444593526</v>
      </c>
      <c r="AI12" s="256">
        <v>3.8376354975650115</v>
      </c>
      <c r="AJ12" s="256">
        <v>3.8376354975650115</v>
      </c>
      <c r="AK12" s="257">
        <v>11436291.255380884</v>
      </c>
      <c r="AL12" s="257">
        <v>15496060.518966101</v>
      </c>
      <c r="AM12" s="258">
        <v>45838</v>
      </c>
      <c r="AN12" s="245" t="str">
        <f t="shared" si="12"/>
        <v>Tier 2</v>
      </c>
      <c r="AO12" s="243">
        <v>47358</v>
      </c>
      <c r="AP12" s="259">
        <f>IF(C12="","",DAYS360(Inputs!$J$8,AO12)/360)</f>
        <v>4.0111111111111111</v>
      </c>
      <c r="AQ12" s="259">
        <f t="shared" si="13"/>
        <v>4.0111111111111111</v>
      </c>
      <c r="AR12" s="246" t="s">
        <v>246</v>
      </c>
      <c r="AS12" s="248">
        <v>0</v>
      </c>
      <c r="AT12" s="246" t="s">
        <v>64</v>
      </c>
      <c r="AU12" s="248">
        <v>0.01</v>
      </c>
      <c r="AV12" s="248">
        <v>5.7500000000000002E-2</v>
      </c>
      <c r="AW12" s="248">
        <v>4.2956000000000001E-2</v>
      </c>
      <c r="AX12" s="260">
        <f t="shared" si="14"/>
        <v>4.2956000000000001E-2</v>
      </c>
      <c r="AY12" s="248">
        <v>0</v>
      </c>
      <c r="AZ12" s="248">
        <v>0</v>
      </c>
      <c r="BA12" s="248">
        <v>0</v>
      </c>
      <c r="BB12" s="407">
        <f t="shared" si="15"/>
        <v>5.7500000000000002E-2</v>
      </c>
      <c r="BC12" s="407" t="str">
        <f t="shared" si="16"/>
        <v/>
      </c>
      <c r="BD12" s="252" t="s">
        <v>247</v>
      </c>
      <c r="BE12" s="261" t="s">
        <v>380</v>
      </c>
      <c r="BF12" s="252" t="s">
        <v>7</v>
      </c>
      <c r="BG12" s="252" t="s">
        <v>460</v>
      </c>
      <c r="BH12" s="246" t="s">
        <v>246</v>
      </c>
      <c r="BI12" s="408" t="str">
        <f t="shared" si="17"/>
        <v>No</v>
      </c>
      <c r="BJ12" s="408" t="str">
        <f t="shared" si="18"/>
        <v>No</v>
      </c>
      <c r="BK12" s="246" t="s">
        <v>246</v>
      </c>
      <c r="BL12" s="246" t="s">
        <v>246</v>
      </c>
      <c r="BM12" s="246" t="s">
        <v>246</v>
      </c>
      <c r="BN12" s="246" t="s">
        <v>246</v>
      </c>
      <c r="BO12" s="246" t="s">
        <v>246</v>
      </c>
      <c r="BP12" s="246" t="s">
        <v>246</v>
      </c>
      <c r="BQ12" s="246" t="s">
        <v>246</v>
      </c>
      <c r="BR12" s="246" t="s">
        <v>246</v>
      </c>
      <c r="BS12" s="246" t="s">
        <v>246</v>
      </c>
      <c r="BT12" s="246" t="s">
        <v>246</v>
      </c>
      <c r="BU12" s="246" t="s">
        <v>246</v>
      </c>
      <c r="BV12" s="246" t="s">
        <v>246</v>
      </c>
      <c r="BW12" s="246" t="s">
        <v>246</v>
      </c>
      <c r="BX12" s="246" t="s">
        <v>246</v>
      </c>
      <c r="BY12" s="246" t="s">
        <v>246</v>
      </c>
      <c r="BZ12" s="246" t="s">
        <v>246</v>
      </c>
      <c r="CA12" s="246" t="s">
        <v>246</v>
      </c>
      <c r="CB12" s="246" t="s">
        <v>64</v>
      </c>
      <c r="CC12" s="262">
        <f t="shared" si="19"/>
        <v>301727.53737038403</v>
      </c>
      <c r="CD12" s="262">
        <f t="shared" si="20"/>
        <v>0</v>
      </c>
      <c r="CE12" s="263"/>
      <c r="CF12" s="263">
        <f t="shared" si="21"/>
        <v>0</v>
      </c>
      <c r="CG12" s="263">
        <f t="shared" si="22"/>
        <v>0</v>
      </c>
      <c r="CH12" s="263">
        <f t="shared" si="23"/>
        <v>0</v>
      </c>
      <c r="CI12" s="263">
        <f t="shared" si="24"/>
        <v>0</v>
      </c>
      <c r="CJ12" s="263">
        <f t="shared" si="25"/>
        <v>0</v>
      </c>
      <c r="CK12" s="263">
        <f t="shared" si="26"/>
        <v>0</v>
      </c>
      <c r="CL12" s="263">
        <f t="shared" si="27"/>
        <v>0</v>
      </c>
      <c r="CM12" s="263">
        <f t="shared" si="28"/>
        <v>0</v>
      </c>
      <c r="CN12" s="263">
        <f t="shared" si="29"/>
        <v>0</v>
      </c>
      <c r="CO12" s="263">
        <f t="shared" si="30"/>
        <v>0</v>
      </c>
      <c r="CP12" s="263">
        <f t="shared" si="31"/>
        <v>0</v>
      </c>
      <c r="CQ12" s="263">
        <f t="shared" si="32"/>
        <v>0</v>
      </c>
      <c r="CR12" s="263">
        <f t="shared" si="33"/>
        <v>0</v>
      </c>
      <c r="CS12" s="263">
        <f t="shared" si="34"/>
        <v>0</v>
      </c>
      <c r="CT12" s="263">
        <f t="shared" si="35"/>
        <v>0</v>
      </c>
      <c r="CU12" s="263">
        <f t="shared" si="36"/>
        <v>0</v>
      </c>
      <c r="CV12" s="263">
        <f t="shared" si="37"/>
        <v>0</v>
      </c>
      <c r="CW12" s="263">
        <f t="shared" si="38"/>
        <v>0</v>
      </c>
      <c r="CX12" s="263">
        <f t="shared" si="39"/>
        <v>0</v>
      </c>
      <c r="CY12" s="263">
        <f t="shared" si="40"/>
        <v>0</v>
      </c>
      <c r="CZ12" s="263">
        <f t="shared" si="41"/>
        <v>0</v>
      </c>
      <c r="DA12" s="263">
        <f t="shared" si="42"/>
        <v>0</v>
      </c>
      <c r="DB12" s="263">
        <f t="shared" si="43"/>
        <v>0</v>
      </c>
      <c r="DC12" s="263">
        <f t="shared" si="44"/>
        <v>0</v>
      </c>
      <c r="DD12" s="263">
        <f t="shared" si="45"/>
        <v>0</v>
      </c>
      <c r="DE12" s="263">
        <f t="shared" si="46"/>
        <v>0</v>
      </c>
      <c r="DF12" s="263">
        <f t="shared" si="47"/>
        <v>5271860.1900000004</v>
      </c>
      <c r="DG12" s="263">
        <f t="shared" si="48"/>
        <v>0</v>
      </c>
      <c r="DH12" s="263">
        <f t="shared" si="49"/>
        <v>5271860.1900000004</v>
      </c>
      <c r="DI12" s="263">
        <f t="shared" si="50"/>
        <v>5271860.1900000004</v>
      </c>
      <c r="DJ12" s="263">
        <f t="shared" si="51"/>
        <v>0</v>
      </c>
      <c r="DK12" s="263">
        <f t="shared" si="52"/>
        <v>0</v>
      </c>
      <c r="DL12" s="263">
        <f t="shared" si="53"/>
        <v>0</v>
      </c>
      <c r="DM12" s="263">
        <f t="shared" si="54"/>
        <v>0</v>
      </c>
      <c r="DO12" s="264">
        <f t="shared" si="55"/>
        <v>0</v>
      </c>
      <c r="DP12" s="265">
        <f t="shared" si="56"/>
        <v>0</v>
      </c>
      <c r="DQ12" s="264">
        <f t="shared" si="57"/>
        <v>5271860.1900000004</v>
      </c>
      <c r="DR12" s="264">
        <f t="shared" si="58"/>
        <v>0</v>
      </c>
      <c r="DS12" s="265">
        <f t="shared" si="59"/>
        <v>0</v>
      </c>
      <c r="DT12" s="264">
        <f t="shared" si="60"/>
        <v>5271860.1900000004</v>
      </c>
      <c r="DU12" s="264">
        <f t="shared" si="61"/>
        <v>0</v>
      </c>
      <c r="DV12" s="265">
        <f t="shared" si="62"/>
        <v>0</v>
      </c>
      <c r="DW12" s="264">
        <f t="shared" si="63"/>
        <v>5271860.1900000004</v>
      </c>
      <c r="DX12" s="264">
        <f t="shared" si="64"/>
        <v>0</v>
      </c>
      <c r="DY12" s="265">
        <f t="shared" si="65"/>
        <v>0</v>
      </c>
      <c r="DZ12" s="264">
        <f t="shared" si="66"/>
        <v>5271860.1900000004</v>
      </c>
      <c r="EA12" s="264">
        <f t="shared" si="67"/>
        <v>0</v>
      </c>
      <c r="EB12" s="265">
        <f t="shared" si="68"/>
        <v>0</v>
      </c>
      <c r="EC12" s="264">
        <f t="shared" si="69"/>
        <v>5271860.1900000004</v>
      </c>
      <c r="ED12" s="264">
        <f t="shared" si="70"/>
        <v>0</v>
      </c>
      <c r="EE12" s="265">
        <f t="shared" si="71"/>
        <v>0</v>
      </c>
      <c r="EF12" s="264">
        <f t="shared" si="72"/>
        <v>5271860.1900000004</v>
      </c>
      <c r="EG12" s="264">
        <f t="shared" si="73"/>
        <v>0</v>
      </c>
      <c r="EH12" s="265">
        <f t="shared" si="74"/>
        <v>0</v>
      </c>
      <c r="EI12" s="264">
        <f t="shared" si="75"/>
        <v>5271860.1900000004</v>
      </c>
      <c r="EJ12" s="264">
        <f t="shared" si="76"/>
        <v>0</v>
      </c>
      <c r="EK12" s="265">
        <f t="shared" si="77"/>
        <v>0</v>
      </c>
      <c r="EL12" s="264">
        <f t="shared" si="78"/>
        <v>5271860.1900000004</v>
      </c>
      <c r="EM12" s="264">
        <f t="shared" si="79"/>
        <v>0</v>
      </c>
      <c r="EN12" s="265">
        <f t="shared" si="80"/>
        <v>0</v>
      </c>
      <c r="EO12" s="264">
        <f t="shared" si="81"/>
        <v>5271860.1900000004</v>
      </c>
      <c r="EP12" s="264">
        <f t="shared" si="82"/>
        <v>0</v>
      </c>
      <c r="EQ12" s="265">
        <f t="shared" si="83"/>
        <v>0</v>
      </c>
      <c r="ER12" s="264">
        <f t="shared" si="84"/>
        <v>5271860.1900000004</v>
      </c>
      <c r="ES12" s="264">
        <f t="shared" si="85"/>
        <v>0</v>
      </c>
      <c r="ET12" s="265">
        <f t="shared" si="86"/>
        <v>0</v>
      </c>
      <c r="EU12" s="264">
        <f t="shared" si="87"/>
        <v>5271860.1900000004</v>
      </c>
      <c r="EV12" s="264">
        <f>IF(AND(BM12="Yes",OR(BN12="No",AND(BN12="Yes",Inputs!$J$8=Inputs!$J$17+75))),EU12,0)</f>
        <v>0</v>
      </c>
      <c r="EW12" s="265">
        <f t="shared" si="88"/>
        <v>0</v>
      </c>
      <c r="EX12" s="264">
        <f t="shared" si="89"/>
        <v>5271860.1900000004</v>
      </c>
      <c r="EY12" s="264">
        <f t="shared" si="90"/>
        <v>0</v>
      </c>
      <c r="EZ12" s="265">
        <f t="shared" si="91"/>
        <v>0</v>
      </c>
      <c r="FA12" s="264">
        <f t="shared" si="92"/>
        <v>5271860.1900000004</v>
      </c>
      <c r="FB12" s="264">
        <f t="shared" si="93"/>
        <v>0</v>
      </c>
      <c r="FC12" s="265">
        <f t="shared" si="94"/>
        <v>0</v>
      </c>
      <c r="FD12" s="264">
        <f t="shared" si="95"/>
        <v>5271860.1900000004</v>
      </c>
      <c r="FE12" s="264">
        <f t="shared" si="96"/>
        <v>0</v>
      </c>
      <c r="FF12" s="265">
        <f t="shared" si="97"/>
        <v>0</v>
      </c>
      <c r="FG12" s="264">
        <f t="shared" si="98"/>
        <v>5271860.1900000004</v>
      </c>
      <c r="FH12" s="264">
        <f t="shared" si="99"/>
        <v>5271860.1900000004</v>
      </c>
      <c r="FI12" s="264">
        <f>IF(FG12=0,0,VLOOKUP(C12,$GV$10:$GW$406,2,FALSE)*FG12)</f>
        <v>0</v>
      </c>
      <c r="FJ12" s="264">
        <f t="shared" si="100"/>
        <v>5271860.1900000004</v>
      </c>
      <c r="FK12" s="264">
        <f t="shared" si="101"/>
        <v>5271860.1900000004</v>
      </c>
      <c r="FL12" s="264">
        <f>IF(OR(IC12="",FJ12&lt;0.01),,VLOOKUP(IC12,$GM$10:$GN$406,2,FALSE)*FJ12)</f>
        <v>0</v>
      </c>
      <c r="FM12" s="264">
        <f t="shared" si="102"/>
        <v>5271860.1900000004</v>
      </c>
      <c r="FN12" s="264">
        <f t="shared" si="103"/>
        <v>5271860.1900000004</v>
      </c>
      <c r="FO12" s="264">
        <f>IF(FM12=0,0,VLOOKUP(C12,$HE$10:$HF$406,2,FALSE)*FM12)</f>
        <v>0</v>
      </c>
      <c r="FP12" s="264">
        <f t="shared" si="104"/>
        <v>5271860.1900000004</v>
      </c>
      <c r="FQ12" s="264">
        <f t="shared" si="105"/>
        <v>0</v>
      </c>
      <c r="FR12" s="265">
        <f t="shared" si="106"/>
        <v>0</v>
      </c>
      <c r="FS12" s="264">
        <f t="shared" si="107"/>
        <v>5271860.1900000004</v>
      </c>
      <c r="FT12" s="264">
        <f t="shared" si="108"/>
        <v>0</v>
      </c>
      <c r="FU12" s="265">
        <f t="shared" si="109"/>
        <v>0</v>
      </c>
      <c r="FV12" s="264">
        <f t="shared" si="110"/>
        <v>5271860.1900000004</v>
      </c>
      <c r="FW12" s="264">
        <f t="shared" si="111"/>
        <v>0</v>
      </c>
      <c r="FX12" s="264">
        <f t="shared" si="112"/>
        <v>0</v>
      </c>
      <c r="FY12" s="264">
        <f t="shared" si="113"/>
        <v>0</v>
      </c>
      <c r="FZ12" s="264">
        <f t="shared" si="114"/>
        <v>0</v>
      </c>
      <c r="GA12" s="265">
        <f t="shared" si="115"/>
        <v>0</v>
      </c>
      <c r="GB12" s="264">
        <f t="shared" ref="GB11:GB12" si="123">FV12-GA12</f>
        <v>5271860.1900000004</v>
      </c>
      <c r="GC12" s="264">
        <f t="shared" si="116"/>
        <v>5271860.1900000004</v>
      </c>
      <c r="GD12" s="266">
        <f t="shared" si="117"/>
        <v>3822098.6377500002</v>
      </c>
      <c r="GE12" s="138">
        <f t="shared" si="3"/>
        <v>0.72499999999999998</v>
      </c>
      <c r="GF12" s="267">
        <f t="shared" ref="GF12" si="124">IF(IC12="","",IC12)</f>
        <v>20</v>
      </c>
      <c r="GG12" s="264">
        <f t="array" ref="GG12">IF(SUM(IF(IC$9:IC11=IC12,1,0))&gt;0,0,SUMIF($IC$10:$IC$406,IC12,$FJ$10:$FJ$406))</f>
        <v>51605988.703000002</v>
      </c>
      <c r="GH12" s="268">
        <f t="shared" ref="GH12" si="125">GG12</f>
        <v>51605988.703000002</v>
      </c>
      <c r="GI12" s="137">
        <f t="shared" ref="GI12:GI167" si="126">GI11+1</f>
        <v>3</v>
      </c>
      <c r="GJ12" s="269">
        <f>LARGE($GH$10:$GH$406,GI12)</f>
        <v>84429923.036949992</v>
      </c>
      <c r="GK12" s="269">
        <f t="shared" ref="GK12" si="127">IF(GI12&gt;GI$6,0,IF(GI12=$GI$2,$GK$2,IF(GI12&lt;4,$GK$3,$GK$4)))</f>
        <v>152892852.51729038</v>
      </c>
      <c r="GL12" s="163">
        <f t="shared" ref="GL12" si="128">MAX(0,GJ12-GK12)</f>
        <v>0</v>
      </c>
      <c r="GM12" s="137">
        <f t="array" ref="GM12">IF(GJ12=0,0,LARGE(IF($GG$10:$GG$406=GJ12,$GF$10:$GF$406,0),COUNTIF($GJ$10:$GJ$406,GJ12)-COUNTIF(GJ$9:GJ11,GJ12)))</f>
        <v>31</v>
      </c>
      <c r="GN12" s="270">
        <f t="shared" ref="GN12" si="129">IF(GJ12=0,0,GL12/GJ12)</f>
        <v>0</v>
      </c>
      <c r="GP12" s="137">
        <f>IF(C12="","",IF(ISERROR(MATCH(C12,C$10:C11,0)),MAX(GP$10:GP11)+1,INDEX(GP$10:GP11,MATCH(C12,C$10:C11,0))))</f>
        <v>3</v>
      </c>
      <c r="GQ12" s="264">
        <f>IF(COUNTIF($A$10:A12,A12)&lt;=1,SUMIF($A$10:$A$406,A12,$FH$10:$FH$406),0)</f>
        <v>5271860.1900000004</v>
      </c>
      <c r="GR12" s="137">
        <f t="shared" ref="GR12:GR167" si="130">GR11+1</f>
        <v>3</v>
      </c>
      <c r="GS12" s="269">
        <f>LARGE($GQ$10:$GQ$406,GR12)</f>
        <v>37406250</v>
      </c>
      <c r="GT12" s="269">
        <f t="shared" ref="GT12" si="131">IF(GR12&gt;GR$6,0,IF(GR12&lt;=GR$2,GT$2,IF(AND(GR12&lt;=$GR$3,GR12&gt;$GR$2),GT$3,GT$4)))</f>
        <v>67952372.101335615</v>
      </c>
      <c r="GU12" s="163">
        <f t="shared" ref="GU12" si="132">MAX(0,GS12-GT12)</f>
        <v>0</v>
      </c>
      <c r="GV12" s="137">
        <f t="array" ref="GV12">IF(GS12=0,0,LARGE(IF($GQ$10:$GQ$406=GS12,$GP$10:$GP$406,0),COUNTIF($GS$10:$GS$406,GS12)-COUNTIF(GS$9:GS11,GS12)))</f>
        <v>71</v>
      </c>
      <c r="GW12" s="270">
        <f t="shared" ref="GW12" si="133">IF(GS12=0,0,GU12/GS12)</f>
        <v>0</v>
      </c>
      <c r="GX12" s="270"/>
      <c r="GY12" s="137">
        <f>IF(C12="","",IF(ISERROR(MATCH(C12,C$10:C11,0)),MAX(GP$10:GP11)+1,INDEX(GP$10:GP11,MATCH(C12,C$10:C11,0))))</f>
        <v>3</v>
      </c>
      <c r="GZ12" s="264">
        <f>IF(COUNTIF($A$10:A12,A12)&lt;=1,SUMIF($A$10:$A$406,A12,$FH$10:$FH$406),0)</f>
        <v>5271860.1900000004</v>
      </c>
      <c r="HA12" s="137">
        <f t="shared" ref="HA12:HA167" si="134">HA11+1</f>
        <v>3</v>
      </c>
      <c r="HB12" s="269">
        <f>LARGE($GZ$10:$GZ$406,HA12)</f>
        <v>37406250</v>
      </c>
      <c r="HC12" s="414" t="s">
        <v>622</v>
      </c>
      <c r="HD12" s="163">
        <f>IF(HA12&lt;6,MAX(0,$HD$2/5),0)</f>
        <v>0</v>
      </c>
      <c r="HE12" s="137">
        <f t="array" ref="HE12">IF(HB12=0,0,LARGE(IF($GZ$10:$GZ$406=HB12,$GY$10:$GY$406,0),COUNTIF($HB$10:$HB$406,HB12)-COUNTIF(HB$9:HB11,HB12)))</f>
        <v>71</v>
      </c>
      <c r="HF12" s="270">
        <f t="shared" ref="HF12" si="135">IF(HB12=0,0,HD12/HB12)</f>
        <v>0</v>
      </c>
      <c r="HG12"/>
      <c r="HH12" s="268">
        <f t="shared" si="118"/>
        <v>0</v>
      </c>
      <c r="HI12" s="271">
        <v>0</v>
      </c>
      <c r="HJ12" s="264">
        <f t="shared" ref="HJ11:HJ12" si="136">MIN(HI12,DF12)</f>
        <v>0</v>
      </c>
      <c r="HL12" s="137">
        <f>IF(COUNTIF($C$10:$C$406,HL11+1),HL11+1,"")</f>
        <v>3</v>
      </c>
      <c r="HM12" s="264">
        <f>SUMIF($C$10:$C$406,HL12,$DH$10:$DH$406)</f>
        <v>5271860.1900000004</v>
      </c>
      <c r="HO12" s="199">
        <f t="shared" ref="HO12" si="137">MIN(HP12:HT12)</f>
        <v>5271860.1900000004</v>
      </c>
      <c r="HP12" s="199">
        <f t="shared" ref="HP12" si="138">IF(B12="","",$M12)</f>
        <v>5271860.1900000004</v>
      </c>
      <c r="HQ12" s="199" t="str">
        <f t="shared" ref="HQ12" si="139">IF($N12="Yes",IF(P12&gt;=6,0,MIN($T12*$M12,$U12*$M12)),"")</f>
        <v/>
      </c>
      <c r="HR12" s="199" t="str">
        <f t="shared" ref="HR12" si="140">IF(AND(N12="Yes",P12&gt;=6),"",IF($S12="Yes",$R12*$M12,""))</f>
        <v/>
      </c>
      <c r="HS12" s="199" t="str">
        <f t="shared" si="119"/>
        <v/>
      </c>
      <c r="HT12" s="199" t="str">
        <f t="shared" ref="HT12" si="141">IF(AND($N12="Yes",$P12&gt;=6),"",IF(OR(CZ12=1,DD12=1,),MIN($T12*$M12,$U12*$M12),IF(OR(DA12=1,DB12=1,DC12=1),IF(AK12&gt;=5000000,MIN($T12*$M12,$IF12*$M12),MIN($T12*$M12,$U12*$M12)),"")))</f>
        <v/>
      </c>
      <c r="HU12" s="199" t="str">
        <f t="shared" ref="HU12" si="142">IF(DE12&gt;0,DE12,"")</f>
        <v/>
      </c>
      <c r="HV12" s="200">
        <f t="shared" ref="HV12" si="143">IF(B12="",0,$L12-$M12)</f>
        <v>0</v>
      </c>
      <c r="HW12" s="272">
        <f t="shared" ref="HW12" si="144">IF(OR(SUM(HQ12:HU12)&gt;0,P12&gt;=6),"",IF($B12="","",1))</f>
        <v>1</v>
      </c>
      <c r="HX12" s="200" t="str">
        <f t="shared" ref="HX12" si="145">IF(AND($HU12&lt;&gt;0,OR(HU12&lt;=MIN(HQ12:HT12),SUM(HQ12:HT12)=0)),$HU12,0)</f>
        <v/>
      </c>
      <c r="HY12" s="200">
        <f t="shared" ref="HY12" si="146">IF(AND($HT12&lt;&gt;0,OR(AND($HT12&lt;&gt;$HU12,$HT12&lt;&gt;$HS12,$HT12&lt;&gt;$HR12,$HT12&lt;&gt;$HQ12,$HT12&lt;MIN($HQ12:$HS12),$HT12&lt;HU12),SUM($HQ12:$HS12)+SUM(HU12)=0),IB12&lt;=0),$HT12,0)</f>
        <v>0</v>
      </c>
      <c r="HZ12" s="200" t="str">
        <f t="shared" si="4"/>
        <v/>
      </c>
      <c r="IA12" s="200" t="str">
        <f t="shared" ref="IA12" si="147">IF(AND($HR12&lt;&gt;0,OR(AND($HR12&lt;&gt;$HU12,HR12&lt;&gt;HT12,HR12&lt;&gt;HS12,HR12&lt;&gt;HQ12,HR12&lt;MIN(HS12:HU12)),SUM(HQ12)+SUM(HS12:HU12)=0)),$HR12,0)</f>
        <v/>
      </c>
      <c r="IB12" s="200" t="str">
        <f t="shared" ref="IB12" si="148">IF(AND($HQ12&lt;&gt;0,OR(HQ12&lt;=MIN(HR12:HU12),SUM(HR12:HU12)=0)),$HQ12,0)</f>
        <v/>
      </c>
      <c r="IC12" s="273">
        <f>IF(C12="","",INDEX(Lookups!$E$2:$E$69,MATCH('Loan List'!BE12,Lookups!$F$2:$F$69,0)))</f>
        <v>20</v>
      </c>
      <c r="ID12" t="b">
        <f t="shared" si="120"/>
        <v>1</v>
      </c>
      <c r="IF12" s="346" t="str">
        <f t="shared" si="121"/>
        <v>No Initial Haircut</v>
      </c>
    </row>
    <row r="13" spans="1:240">
      <c r="A13" t="s">
        <v>659</v>
      </c>
      <c r="B13" s="242">
        <f t="shared" ref="B13:B76" si="149">IF(D13="","",B12+1)</f>
        <v>4</v>
      </c>
      <c r="C13" s="242">
        <f>IF(COUNTIF($A$10:A12,A13)&gt;0,C12,C12+1)</f>
        <v>4</v>
      </c>
      <c r="D13" s="428" t="s">
        <v>659</v>
      </c>
      <c r="E13" s="428" t="s">
        <v>648</v>
      </c>
      <c r="F13" s="429"/>
      <c r="G13" s="430">
        <v>34673920.380000003</v>
      </c>
      <c r="H13" s="430">
        <v>34673920.380000003</v>
      </c>
      <c r="I13" s="244">
        <f>IF(B13="","",VLOOKUP(BF13,Inputs!$A$12:$J$15,10,FALSE))</f>
        <v>1</v>
      </c>
      <c r="J13" s="245">
        <f>IF(B13="","",G13*I13)</f>
        <v>34673920.380000003</v>
      </c>
      <c r="K13" s="245">
        <f>IF(B13="","",H13*I13)</f>
        <v>34673920.380000003</v>
      </c>
      <c r="L13" s="245">
        <f>IF(B13="","",IF(COUNTIF($CF13:$CY13,1)&gt;0,0,J13))</f>
        <v>34673920.380000003</v>
      </c>
      <c r="M13" s="245">
        <f>IF(B13="","",IF(COUNTIF($CF13:$CY13,1)&gt;0,0,K13))</f>
        <v>34673920.380000003</v>
      </c>
      <c r="N13" s="246" t="s">
        <v>246</v>
      </c>
      <c r="O13" s="246" t="s">
        <v>245</v>
      </c>
      <c r="P13" s="247">
        <f>IF(B13="","",IF(OR(O13="N/A",O13=""),0,YEARFRAC('Borrowing Base'!$J$4,'Loan List'!O13)*12))</f>
        <v>0</v>
      </c>
      <c r="Q13" s="246" t="s">
        <v>246</v>
      </c>
      <c r="R13" s="248">
        <v>0.99010092783067272</v>
      </c>
      <c r="S13" s="249" t="str">
        <f>IF(B13="","",IF(R13&lt;95%,"Yes","No"))</f>
        <v>No</v>
      </c>
      <c r="T13" s="248">
        <v>0.99100000010382461</v>
      </c>
      <c r="U13" s="250">
        <f>IF(B13="","",IF(OR(Y13="First Lien",Y13="Split First Lien",Y13="Tier 1 Split Lien",Y13="Tier 2 Split Lien"),50%,30%))</f>
        <v>0.5</v>
      </c>
      <c r="V13" s="250">
        <f t="shared" si="10"/>
        <v>0.72499999999999998</v>
      </c>
      <c r="W13" s="251">
        <f t="shared" si="11"/>
        <v>34673920.380000003</v>
      </c>
      <c r="X13" s="246" t="s">
        <v>246</v>
      </c>
      <c r="Y13" s="252" t="s">
        <v>483</v>
      </c>
      <c r="Z13" s="252" t="s">
        <v>484</v>
      </c>
      <c r="AA13" s="253" t="s">
        <v>407</v>
      </c>
      <c r="AB13" s="253" t="s">
        <v>713</v>
      </c>
      <c r="AC13" s="254">
        <v>1.8301480790513838</v>
      </c>
      <c r="AD13" s="254">
        <v>1.6327846598992644</v>
      </c>
      <c r="AE13" s="254">
        <v>1.9659378987282068</v>
      </c>
      <c r="AF13" s="255">
        <v>0.34427480916030534</v>
      </c>
      <c r="AG13" s="256">
        <v>3.5191247576232083</v>
      </c>
      <c r="AH13" s="256">
        <v>3.5191247576232083</v>
      </c>
      <c r="AI13" s="256">
        <v>5.137173307556921</v>
      </c>
      <c r="AJ13" s="256">
        <v>6.9590510863760029</v>
      </c>
      <c r="AK13" s="257">
        <v>64078433.000000007</v>
      </c>
      <c r="AL13" s="257">
        <v>82332636</v>
      </c>
      <c r="AM13" s="258">
        <v>45838</v>
      </c>
      <c r="AN13" s="245" t="str">
        <f>IF(C13="","",(IF(AK13&gt;=50000000,"Tier 1",(IF(OR(AK13&gt;=20000000,AND(AK13&gt;5000000,AC13&gt;=1.25,AF13&lt;=0.65)),"Tier 2","Tier 3")))))</f>
        <v>Tier 1</v>
      </c>
      <c r="AO13" s="243">
        <v>47374</v>
      </c>
      <c r="AP13" s="259">
        <f>IF(C13="","",DAYS360(Inputs!$J$8,AO13)/360)</f>
        <v>4.052777777777778</v>
      </c>
      <c r="AQ13" s="259">
        <f>IF(C13="","",AP13)</f>
        <v>4.052777777777778</v>
      </c>
      <c r="AR13" s="246" t="s">
        <v>246</v>
      </c>
      <c r="AS13" s="248">
        <v>0</v>
      </c>
      <c r="AT13" s="246" t="s">
        <v>64</v>
      </c>
      <c r="AU13" s="248">
        <v>0.01</v>
      </c>
      <c r="AV13" s="248">
        <v>5.7500000000000002E-2</v>
      </c>
      <c r="AW13" s="248">
        <v>4.3506999999999997E-2</v>
      </c>
      <c r="AX13" s="260">
        <f>IF(C13="","",MAX(AU13,AW13))</f>
        <v>4.3506999999999997E-2</v>
      </c>
      <c r="AY13" s="248">
        <v>0</v>
      </c>
      <c r="AZ13" s="248">
        <v>0</v>
      </c>
      <c r="BA13" s="248">
        <v>0</v>
      </c>
      <c r="BB13" s="407">
        <f>IF(B13="","",IF(AR13="No",AV13-AZ13,""))</f>
        <v>5.7500000000000002E-2</v>
      </c>
      <c r="BC13" s="407" t="str">
        <f>IF(B13="","",IF(AR13="Yes",AS13-BA13,""))</f>
        <v/>
      </c>
      <c r="BD13" s="252" t="s">
        <v>247</v>
      </c>
      <c r="BE13" s="261" t="s">
        <v>427</v>
      </c>
      <c r="BF13" s="252" t="s">
        <v>7</v>
      </c>
      <c r="BG13" s="252" t="s">
        <v>460</v>
      </c>
      <c r="BH13" s="246" t="s">
        <v>246</v>
      </c>
      <c r="BI13" s="408" t="str">
        <f t="shared" si="17"/>
        <v>No</v>
      </c>
      <c r="BJ13" s="408" t="str">
        <f>IF(B13="","",IF(OR(AND(AZ13&gt;0,BB13&lt;2.5%),AND(BA13&gt;0,BC13&lt;6%)),"Yes","No"))</f>
        <v>No</v>
      </c>
      <c r="BK13" s="246" t="s">
        <v>246</v>
      </c>
      <c r="BL13" s="246" t="s">
        <v>246</v>
      </c>
      <c r="BM13" s="246" t="s">
        <v>246</v>
      </c>
      <c r="BN13" s="246" t="s">
        <v>246</v>
      </c>
      <c r="BO13" s="246" t="s">
        <v>246</v>
      </c>
      <c r="BP13" s="246" t="s">
        <v>246</v>
      </c>
      <c r="BQ13" s="246" t="s">
        <v>246</v>
      </c>
      <c r="BR13" s="246" t="s">
        <v>246</v>
      </c>
      <c r="BS13" s="246" t="s">
        <v>246</v>
      </c>
      <c r="BT13" s="246" t="s">
        <v>246</v>
      </c>
      <c r="BU13" s="246" t="s">
        <v>246</v>
      </c>
      <c r="BV13" s="246" t="s">
        <v>246</v>
      </c>
      <c r="BW13" s="246" t="s">
        <v>246</v>
      </c>
      <c r="BX13" s="246" t="s">
        <v>246</v>
      </c>
      <c r="BY13" s="246" t="s">
        <v>246</v>
      </c>
      <c r="BZ13" s="246" t="s">
        <v>246</v>
      </c>
      <c r="CA13" s="246" t="s">
        <v>246</v>
      </c>
      <c r="CB13" s="246" t="s">
        <v>64</v>
      </c>
      <c r="CC13" s="262">
        <f>IF(B13="","",IF(AT13="No",((BB13+AW13)-$AZ$4),((BB13+AX13)-$AZ$4))*IF(DE13&gt;0,0,M13))</f>
        <v>2003618.6195901481</v>
      </c>
      <c r="CD13" s="262">
        <f>IF(B13="","",AY13*(L13-M13)*IF(DE13&gt;0,0,1))</f>
        <v>0</v>
      </c>
      <c r="CE13" s="263"/>
      <c r="CF13" s="263">
        <f t="shared" ref="CF13:CF76" si="150">IF(AND(B13&lt;&gt;"",R13&lt;=85%),1,0)</f>
        <v>0</v>
      </c>
      <c r="CG13" s="263">
        <f t="shared" ref="CG13:CG76" si="151">IF(B13="",0,(IF(OR(BF13="USD",BF13="CAD",BF13="GBP",BF13="AUD",BF13="EUR"),0,1)))</f>
        <v>0</v>
      </c>
      <c r="CH13" s="263">
        <f t="shared" ref="CH13:CH76" si="152">IF(B13="",0,(IF(OR(BG13="United States",BG13="Canada",BG13="United Kingdom",BG13="Australia",BG13="Netherlands Antilles",BG13="Bermuda",BG13="Cayman Islands",BG13="British Virgin Islands",BG13="Channel Islands",BG13="Isle of Man",BG13="Australia",BG13="Netherlands",BG13="Germany",BG13="Sweden",BG13="Switzerland",BG13="Austria",BG13="Belgium",BG13="Denmark",BG13="Finland",BG13="Iceland",BG13="Ireland",BG13="Lichtenstein",BG13="Luxemborg",BG13="Norway"),0,1)))</f>
        <v>0</v>
      </c>
      <c r="CI13" s="263">
        <f t="shared" ref="CI13:CI76" si="153">IF(BO13="Yes",1,0)</f>
        <v>0</v>
      </c>
      <c r="CJ13" s="263">
        <f t="shared" ref="CJ13:CJ76" si="154">IF(BP13="Yes",1,0)</f>
        <v>0</v>
      </c>
      <c r="CK13" s="263">
        <f t="shared" ref="CK13:CK76" si="155">IF(BQ13="Yes",1,0)</f>
        <v>0</v>
      </c>
      <c r="CL13" s="263">
        <f t="shared" ref="CL13:CL76" si="156">IF(BR13="Yes",1,0)</f>
        <v>0</v>
      </c>
      <c r="CM13" s="263">
        <f t="shared" ref="CM13:CM76" si="157">IF(BS13="Yes",1,0)</f>
        <v>0</v>
      </c>
      <c r="CN13" s="263">
        <f t="shared" ref="CN13:CN76" si="158">IF(BT13="Yes",1,0)</f>
        <v>0</v>
      </c>
      <c r="CO13" s="263">
        <f t="shared" ref="CO13:CO76" si="159">IF(OR(AND(BJ13="Yes",N13="No"),AND(BJ13="Yes",N13="Yes",P13&gt;=6)),1,0)</f>
        <v>0</v>
      </c>
      <c r="CP13" s="263">
        <f t="shared" ref="CP13:CP76" si="160">IF(BU13="Yes",1,0)</f>
        <v>0</v>
      </c>
      <c r="CQ13" s="263">
        <f t="shared" ref="CQ13:CQ76" si="161">IF(AND(BV13="Yes",BW13="No"),1,0)</f>
        <v>0</v>
      </c>
      <c r="CR13" s="263">
        <f t="shared" ref="CR13:CR76" si="162">IF(BX13="Yes",1,0)</f>
        <v>0</v>
      </c>
      <c r="CS13" s="263">
        <f t="shared" ref="CS13:CS76" si="163">IF(AP13="",0,IF(AP13&gt;7,1,0))</f>
        <v>0</v>
      </c>
      <c r="CT13" s="263">
        <f t="shared" ref="CT13:CT76" si="164">IF(OR(BD13&lt;&gt;"Monthly",BD13&lt;&gt;"Quarterly",BD13&lt;&gt;"Semi-Annually"),0,1)</f>
        <v>0</v>
      </c>
      <c r="CU13" s="263">
        <f t="shared" ref="CU13:CU76" si="165">IF(BY13="Yes",1,0)</f>
        <v>0</v>
      </c>
      <c r="CV13" s="263">
        <f t="shared" ref="CV13:CV76" si="166">IF(BZ13="Yes",1,0)</f>
        <v>0</v>
      </c>
      <c r="CW13" s="263">
        <f t="shared" ref="CW13:CW76" si="167">IF(CA13="Yes",1,0)</f>
        <v>0</v>
      </c>
      <c r="CX13" s="263">
        <f t="shared" ref="CX13:CX76" si="168">IF(CB13="No",1,0)</f>
        <v>0</v>
      </c>
      <c r="CY13" s="263">
        <f t="shared" ref="CY13:CY76" si="169">IF(B13="",0,IF(AK13&gt;=5000000,0,1))</f>
        <v>0</v>
      </c>
      <c r="CZ13" s="263">
        <f t="shared" ref="CZ13:CZ76" si="170">IF(B13="",0,IF(AL13&gt;=5000000,0,1))</f>
        <v>0</v>
      </c>
      <c r="DA13" s="263">
        <f t="shared" ref="DA13:DA76" si="171">IF(OR(DB13=1,DC13=1,DD13=1),0,IF(B13="",0,IF(OR(AND(AN13="Tier 1",X13="No",OR(AI13&gt;$AJ$3,AJ13&gt;$AJ$4)),(AND(AN13="Tier 1",X13="Yes",AJ13&gt;$AJ$5)),(AND(AN13="Tier 2",X13="No",OR(AI13&gt;$AK$3,AJ13&gt;$AK$4))),(AND(AN13="Tier 2",X13="Yes",AJ13&gt;$AK$5)),(AND(AN13="Tier 3",X13="No",OR(AI13&gt;$AL$3,AJ13&gt;$AL$4))),(AND(AN13="Tier 3",X13="Yes",AJ13&gt;$AL$5))),1,0)))</f>
        <v>0</v>
      </c>
      <c r="DB13" s="263">
        <f t="shared" ref="DB13:DB76" si="172">IF(OR(DC13=1,DD13=1),0,IF(B13="",0,IF(OR(AND(AN13="Tier 1",X13="No",OR(AI13&gt;$AM$3,AJ13&gt;$AM$4)),(AND(AN13="Tier 1",X13="Yes",AJ13&gt;$AM$5)),(AND(AN13="Tier 2",X13="No",OR(AI13&gt;$AN$3,AJ13&gt;$AN$4))),(AND(AN13="Tier 2",X13="Yes",AJ13&gt;$AN$5)),(AND(AN13="Tier 3",X13="No",OR(AI13&gt;$AO$3,AJ13&gt;$AO$4))),(AND(AN13="Tier 3",X13="Yes",AJ13&gt;$AO$5))),1,0)))</f>
        <v>0</v>
      </c>
      <c r="DC13" s="263">
        <f t="shared" ref="DC13:DC76" si="173">IF(DD13=1,0,IF(B13="",0,IF(OR(AND(AN13="Tier 1",X13="No",OR(AI13&gt;$AP$3,AJ13&gt;$AP$4)),(AND(AN13="Tier 1",X13="Yes",AJ13&gt;$AP$5)),(AND(AN13="Tier 2",X13="No",OR(AI13&gt;$AQ$3,AJ13&gt;$AQ$4))),(AND(AN13="Tier 2",X13="Yes",AJ13&gt;$AQ$5)),(AND(AN13="Tier 3",X13="No",OR(AI13&gt;$AR$3,AJ13&gt;$AR$4))),(AND(AN13="Tier 3",X13="Yes",AJ13&gt;$AR$5))),1,0)))</f>
        <v>0</v>
      </c>
      <c r="DD13" s="263">
        <f t="shared" ref="DD13:DD76" si="174">IF(B13="",0,IF(OR(AND(AN13="Tier 1",X13="No",OR(AI13&gt;$AS$3,AJ13&gt;$AS$4)),(AND(AN13="Tier 1",X13="Yes",AJ13&gt;$AS$5)),(AND(AN13="Tier 2",X13="No",OR(AI13&gt;$AT$3,AJ13&gt;$AT$4))),(AND(AN13="Tier 2",X13="Yes",AJ13&gt;$AT$5)),(AND(AN13="Tier 3",X13="No",OR(AI13&gt;$AU$3,AJ13&gt;$AU$4))),(AND(AN13="Tier 3",X13="Yes",AJ13&gt;$AU$5))),1,0))</f>
        <v>0</v>
      </c>
      <c r="DE13" s="263">
        <f t="shared" ref="DE13:DE76" si="175">IF((SUM(CF13:CY13)=0),0,W13)</f>
        <v>0</v>
      </c>
      <c r="DF13" s="263">
        <f t="shared" ref="DF13:DF76" si="176">IF(OR(B13="",DE13&gt;0),0,W13)</f>
        <v>34673920.380000003</v>
      </c>
      <c r="DG13" s="263">
        <f t="shared" ref="DG13:DG76" si="177">IF(B13="",0,IF(COUNTIF(CF13:CY13,1)&gt;0,0,L13-M13))</f>
        <v>0</v>
      </c>
      <c r="DH13" s="263">
        <f t="shared" ref="DH13:DH76" si="178">DF13+IF(DE13&gt;0,0,DG13)</f>
        <v>34673920.380000003</v>
      </c>
      <c r="DI13" s="263">
        <f t="shared" ref="DI13:DI76" si="179">IF(B13="","",M13+DG13)</f>
        <v>34673920.380000003</v>
      </c>
      <c r="DJ13" s="263">
        <f t="shared" ref="DJ13:DJ76" si="180">IF(B13="",0,J13-K13)</f>
        <v>0</v>
      </c>
      <c r="DK13" s="263">
        <f t="shared" ref="DK13:DK76" si="181">IF(OR(BF13="EUR",BF13="CAD",BF13="GBP",BF13="AUD"),(GB13*(1-V13))+(HH13)+IF(HY13="",0,HY13*(1-U13)),0)</f>
        <v>0</v>
      </c>
      <c r="DL13" s="263">
        <f t="shared" ref="DL13:DL76" si="182">IF(BF13="EUR",33%,IF(BF13="CAD",38%,IF(BF13="GBP",51%,IF(BF13="AUD",61%,0))))</f>
        <v>0</v>
      </c>
      <c r="DM13" s="263">
        <f t="shared" ref="DM13:DM76" si="183">DK13*DL13</f>
        <v>0</v>
      </c>
      <c r="DO13" s="264">
        <f t="shared" ref="DO13:DO76" si="184">IF(OR(Y13="Second Lien",Y13="Tier 1 Split Lien",Y13="Tier 2 Split Lien"),DH13,0)</f>
        <v>0</v>
      </c>
      <c r="DP13" s="265">
        <f t="shared" ref="DP13:DP76" si="185">DO13*DO$6</f>
        <v>0</v>
      </c>
      <c r="DQ13" s="264">
        <f t="shared" ref="DQ13:DQ76" si="186">DH13-DP13</f>
        <v>34673920.380000003</v>
      </c>
      <c r="DR13" s="264">
        <f t="shared" ref="DR13:DR76" si="187">IF(Y13="Second Lien",DQ13,0)</f>
        <v>0</v>
      </c>
      <c r="DS13" s="265">
        <f t="shared" ref="DS13:DS76" si="188">DR13*DR$6</f>
        <v>0</v>
      </c>
      <c r="DT13" s="264">
        <f t="shared" ref="DT13:DT76" si="189">DQ13-DS13</f>
        <v>34673920.380000003</v>
      </c>
      <c r="DU13" s="264">
        <f t="shared" ref="DU13:DU76" si="190">IF(BH13="Yes",DT13,0)</f>
        <v>0</v>
      </c>
      <c r="DV13" s="265">
        <f t="shared" ref="DV13:DV76" si="191">DU13*DU$6</f>
        <v>0</v>
      </c>
      <c r="DW13" s="264">
        <f t="shared" ref="DW13:DW76" si="192">DT13-DV13</f>
        <v>34673920.380000003</v>
      </c>
      <c r="DX13" s="264">
        <f t="shared" ref="DX13:DX76" si="193">IF(OR(BG13="Canada",BG13="United Kingdom",BG13="Australia",BG13="Netherlands Antilles",BG13="Bermuda",BG13="Cayman Islands",BG13="British Virgin Islands",BG13="Channel Islands",BG13="Isle of Man",BG13="Australia",BG13="Netherlands",BG13="Germany",BG13="Sweden",BG13="Switzerland",BG13="Austria",BG13="Belgium",BG13="Denmark",BG13="Finland",BG13="Iceland",BG13="Ireland",BG13="Lichtenstein",BG13="Luxemborg",BG13="Norway"),DW13,0)</f>
        <v>0</v>
      </c>
      <c r="DY13" s="265">
        <f t="shared" ref="DY13:DY76" si="194">DX13*DX$6</f>
        <v>0</v>
      </c>
      <c r="DZ13" s="264">
        <f t="shared" ref="DZ13:DZ76" si="195">DW13-DY13</f>
        <v>34673920.380000003</v>
      </c>
      <c r="EA13" s="264">
        <f t="shared" ref="EA13:EA76" si="196">IF(BI13="Yes",DZ13,0)</f>
        <v>0</v>
      </c>
      <c r="EB13" s="265">
        <f t="shared" ref="EB13:EB76" si="197">EA13*EA$6</f>
        <v>0</v>
      </c>
      <c r="EC13" s="264">
        <f t="shared" ref="EC13:EC76" si="198">DZ13-EB13</f>
        <v>34673920.380000003</v>
      </c>
      <c r="ED13" s="264">
        <f t="shared" ref="ED13:ED76" si="199">IF(OR(Z13="Delayed Draw",Z13="Revolver"),EC13,0)</f>
        <v>0</v>
      </c>
      <c r="EE13" s="265">
        <f t="shared" ref="EE13:EE76" si="200">ED13*ED$6</f>
        <v>0</v>
      </c>
      <c r="EF13" s="264">
        <f t="shared" ref="EF13:EF76" si="201">EC13-EE13</f>
        <v>34673920.380000003</v>
      </c>
      <c r="EG13" s="264">
        <f t="shared" ref="EG13:EG76" si="202">IF(S13="Yes",EF13,0)</f>
        <v>0</v>
      </c>
      <c r="EH13" s="265">
        <f t="shared" ref="EH13:EH76" si="203">EG13*EG$6</f>
        <v>0</v>
      </c>
      <c r="EI13" s="264">
        <f t="shared" ref="EI13:EI76" si="204">EF13-EH13</f>
        <v>34673920.380000003</v>
      </c>
      <c r="EJ13" s="264">
        <f t="shared" ref="EJ13:EJ76" si="205">IF(Q13="Yes",EI13,0)</f>
        <v>0</v>
      </c>
      <c r="EK13" s="265">
        <f t="shared" ref="EK13:EK76" si="206">EJ13*EJ$6</f>
        <v>0</v>
      </c>
      <c r="EL13" s="264">
        <f t="shared" ref="EL13:EL76" si="207">EI13-EK13</f>
        <v>34673920.380000003</v>
      </c>
      <c r="EM13" s="264">
        <f t="shared" ref="EM13:EM76" si="208">IF(BD13="Semi-Annually",EL13,0)</f>
        <v>0</v>
      </c>
      <c r="EN13" s="265">
        <f t="shared" ref="EN13:EN76" si="209">EM13*EM$6</f>
        <v>0</v>
      </c>
      <c r="EO13" s="264">
        <f t="shared" ref="EO13:EO76" si="210">EL13-EN13</f>
        <v>34673920.380000003</v>
      </c>
      <c r="EP13" s="264">
        <f t="shared" ref="EP13:EP76" si="211">IF(BK13="Yes",EO13,0)</f>
        <v>0</v>
      </c>
      <c r="EQ13" s="265">
        <f t="shared" ref="EQ13:EQ76" si="212">EP13*EP$6</f>
        <v>0</v>
      </c>
      <c r="ER13" s="264">
        <f t="shared" ref="ER13:ER76" si="213">EO13-EQ13</f>
        <v>34673920.380000003</v>
      </c>
      <c r="ES13" s="264">
        <f t="shared" ref="ES13:ES76" si="214">IF(BL13="Yes",ER13,0)</f>
        <v>0</v>
      </c>
      <c r="ET13" s="265">
        <f t="shared" ref="ET13:ET76" si="215">ES13*ES$6</f>
        <v>0</v>
      </c>
      <c r="EU13" s="264">
        <f t="shared" ref="EU13:EU76" si="216">ER13-ET13</f>
        <v>34673920.380000003</v>
      </c>
      <c r="EV13" s="264">
        <f>IF(AND(BM13="Yes",OR(BN13="No",AND(BN13="Yes",Inputs!$J$8=Inputs!$J$17+75))),EU13,0)</f>
        <v>0</v>
      </c>
      <c r="EW13" s="265">
        <f t="shared" ref="EW13:EW76" si="217">EV13*EV$6</f>
        <v>0</v>
      </c>
      <c r="EX13" s="264">
        <f t="shared" ref="EX13:EX76" si="218">EU13-EW13</f>
        <v>34673920.380000003</v>
      </c>
      <c r="EY13" s="264">
        <f t="shared" ref="EY13:EY76" si="219">IF(BW13="Yes",EX13,0)</f>
        <v>0</v>
      </c>
      <c r="EZ13" s="265">
        <f t="shared" ref="EZ13:EZ76" si="220">EY13*EY$6</f>
        <v>0</v>
      </c>
      <c r="FA13" s="264">
        <f t="shared" ref="FA13:FA76" si="221">EX13-EZ13</f>
        <v>34673920.380000003</v>
      </c>
      <c r="FB13" s="264">
        <f t="shared" ref="FB13:FB76" si="222">IF(AR13="Yes",FA13,0)</f>
        <v>0</v>
      </c>
      <c r="FC13" s="265">
        <f t="shared" ref="FC13:FC76" si="223">FB13*FB$6</f>
        <v>0</v>
      </c>
      <c r="FD13" s="264">
        <f t="shared" ref="FD13:FD76" si="224">FA13-FC13</f>
        <v>34673920.380000003</v>
      </c>
      <c r="FE13" s="264">
        <f t="shared" ref="FE13:FE76" si="225">IF(OR(BF13="EUR",BF13="AUD",BF13="CAD",BF13="GBP"),FD13,0)</f>
        <v>0</v>
      </c>
      <c r="FF13" s="265">
        <f t="shared" ref="FF13:FF76" si="226">FE13*FE$6</f>
        <v>0</v>
      </c>
      <c r="FG13" s="264">
        <f t="shared" ref="FG13:FG76" si="227">FD13-FF13</f>
        <v>34673920.380000003</v>
      </c>
      <c r="FH13" s="264">
        <f t="shared" ref="FH13:FH76" si="228">FG13</f>
        <v>34673920.380000003</v>
      </c>
      <c r="FI13" s="264">
        <f t="shared" ref="FI13:FI76" si="229">IF(FG13=0,0,VLOOKUP(C13,$GV$10:$GW$406,2,FALSE)*FG13)</f>
        <v>0</v>
      </c>
      <c r="FJ13" s="264">
        <f t="shared" ref="FJ13:FJ76" si="230">FG13-FI13</f>
        <v>34673920.380000003</v>
      </c>
      <c r="FK13" s="264">
        <f t="shared" ref="FK13:FK76" si="231">FJ13</f>
        <v>34673920.380000003</v>
      </c>
      <c r="FL13" s="264">
        <f t="shared" ref="FL13:FL76" si="232">IF(OR(IC13="",FJ13&lt;0.01),,VLOOKUP(IC13,$GM$10:$GN$406,2,FALSE)*FJ13)</f>
        <v>0</v>
      </c>
      <c r="FM13" s="264">
        <f t="shared" ref="FM13:FM76" si="233">FJ13-FL13</f>
        <v>34673920.380000003</v>
      </c>
      <c r="FN13" s="264">
        <f t="shared" ref="FN13:FN76" si="234">FM13</f>
        <v>34673920.380000003</v>
      </c>
      <c r="FO13" s="264">
        <f t="shared" ref="FO13:FO76" si="235">IF(FM13=0,0,VLOOKUP(C13,$HE$10:$HF$406,2,FALSE)*FM13)</f>
        <v>0</v>
      </c>
      <c r="FP13" s="264">
        <f t="shared" ref="FP13:FP76" si="236">FM13-FO13</f>
        <v>34673920.380000003</v>
      </c>
      <c r="FQ13" s="264">
        <f t="shared" ref="FQ13:FQ76" si="237">IF(SUM(CZ13:DD13)&gt;0,0,IF(AND(AL13&gt;=5000000,AL13&lt;7500000),FP13,0))</f>
        <v>0</v>
      </c>
      <c r="FR13" s="265">
        <f t="shared" ref="FR13:FR76" si="238">IF(B13="",0,FQ13*FQ$6*(1-$U13))</f>
        <v>0</v>
      </c>
      <c r="FS13" s="264">
        <f t="shared" ref="FS13:FS76" si="239">FP13-FR13</f>
        <v>34673920.380000003</v>
      </c>
      <c r="FT13" s="264">
        <f t="shared" ref="FT13:FT76" si="240">IF(SUM(CZ13:DD13)&gt;0,0,IF(AL13&lt;15000000,FS13,0))</f>
        <v>0</v>
      </c>
      <c r="FU13" s="265">
        <f t="shared" ref="FU13:FU76" si="241">IF(B13="",0,FT13*FT$6*(1-$U13))</f>
        <v>0</v>
      </c>
      <c r="FV13" s="264">
        <f t="shared" ref="FV13:FV76" si="242">FS13-FU13</f>
        <v>34673920.380000003</v>
      </c>
      <c r="FW13" s="264">
        <f t="shared" ref="FW13:FW76" si="243">IF(SUM(CZ13:DD13)&gt;0,0,IF(OR(AND(X13="No",AN13="Tier 1",AI13&gt;$AG$3),AND(X13="No",AN13="Tier 2",AI13&gt;$AH$3),AND(X13="No",AN13="Tier 3",AI13&gt;$AI$3)),FV13,0))</f>
        <v>34673920.380000003</v>
      </c>
      <c r="FX13" s="264">
        <f t="shared" ref="FX13:FX76" si="244">IF(SUM(CZ13:DD13)&gt;0,0,IF(OR(AND(X13="No",AN13="Tier 1",AJ13&gt;$AG$4),AND(X13="No",AN13="Tier 2",AJ13&gt;$AH$4),AND(X13="No",AN13="Tier 3",AJ13&gt;$AI$4)),FV13,0))</f>
        <v>0</v>
      </c>
      <c r="FY13" s="264">
        <f t="shared" ref="FY13:FY76" si="245">IF(SUM(CZ13:DD13)&gt;0,0,IF(OR(AND(X13="Yes",AN13="Tier 1",AJ13&gt;$AG$5),AND(X13="Yes",AN13="Tier 2",AJ13&gt;$AH$5),AND(X13="Yes",AN13="Tier 3",AJ13&gt;$AI$5)),FV13,0))</f>
        <v>0</v>
      </c>
      <c r="FZ13" s="264">
        <f t="shared" ref="FZ13:FZ76" si="246">IF(SUM(FW13:FY13)&gt;0,FV13,0)</f>
        <v>34673920.380000003</v>
      </c>
      <c r="GA13" s="265">
        <f>IF(B13="",0,FZ13*FW$6*(1-MIN(90%,T13)))</f>
        <v>155354.58933948295</v>
      </c>
      <c r="GB13" s="264">
        <f>FV13-GA13</f>
        <v>34518565.790660523</v>
      </c>
      <c r="GC13" s="264">
        <f t="shared" ref="GC13:GC76" si="247">IF(AND(N13="No",DJ13=0),GB13,IF(AND(N13="No",DJ13&lt;&gt;0,K13=0),0,IF(AND(N13="No",DJ13&lt;&gt;0,K13&gt;0,J13&lt;&gt;K13),MAX(0,M13-(DI13-GB13)),DH13)))</f>
        <v>34518565.790660523</v>
      </c>
      <c r="GD13" s="266">
        <f t="shared" ref="GD13:GD76" si="248">+GC13*V13</f>
        <v>25025960.198228877</v>
      </c>
      <c r="GE13" s="138">
        <f t="shared" ref="GE13:GE76" si="249">IFERROR(GD13/K13,"")</f>
        <v>0.72175167745565649</v>
      </c>
      <c r="GF13" s="267">
        <f t="shared" ref="GF13:GF76" si="250">IF(IC13="","",IC13)</f>
        <v>41</v>
      </c>
      <c r="GG13" s="264">
        <f t="array" ref="GG13">IF(SUM(IF(IC$9:IC12=IC13,1,0))&gt;0,0,SUMIF($IC$10:$IC$406,IC13,$FJ$10:$FJ$406))</f>
        <v>0</v>
      </c>
      <c r="GH13" s="268">
        <f t="shared" ref="GH13:GH76" si="251">GG13</f>
        <v>0</v>
      </c>
      <c r="GI13" s="137">
        <f t="shared" si="126"/>
        <v>4</v>
      </c>
      <c r="GJ13" s="269">
        <f t="shared" ref="GJ13:GJ76" si="252">LARGE($GH$10:$GH$406,GI13)</f>
        <v>66360671.208000004</v>
      </c>
      <c r="GK13" s="269">
        <f t="shared" ref="GK13:GK76" si="253">IF(GI13&gt;GI$6,0,IF(GI13=$GI$2,$GK$2,IF(GI13&lt;4,$GK$3,$GK$4)))</f>
        <v>152892852.51729038</v>
      </c>
      <c r="GL13" s="163">
        <f t="shared" ref="GL13:GL76" si="254">MAX(0,GJ13-GK13)</f>
        <v>0</v>
      </c>
      <c r="GM13" s="137">
        <f t="array" ref="GM13">IF(GJ13=0,0,LARGE(IF($GG$10:$GG$406=GJ13,$GF$10:$GF$406,0),COUNTIF($GJ$10:$GJ$406,GJ13)-COUNTIF(GJ$9:GJ12,GJ13)))</f>
        <v>55</v>
      </c>
      <c r="GN13" s="270">
        <f t="shared" ref="GN13:GN76" si="255">IF(GJ13=0,0,GL13/GJ13)</f>
        <v>0</v>
      </c>
      <c r="GP13" s="137">
        <f>IF(C13="","",IF(ISERROR(MATCH(C13,C$10:C12,0)),MAX(GP$10:GP12)+1,INDEX(GP$10:GP12,MATCH(C13,C$10:C12,0))))</f>
        <v>4</v>
      </c>
      <c r="GQ13" s="264">
        <f>IF(COUNTIF($A$10:A13,A13)&lt;=1,SUMIF($A$10:$A$406,A13,$FH$10:$FH$406),0)</f>
        <v>34673920.380000003</v>
      </c>
      <c r="GR13" s="137">
        <f t="shared" si="130"/>
        <v>4</v>
      </c>
      <c r="GS13" s="269">
        <f t="shared" ref="GS13:GS76" si="256">LARGE($GQ$10:$GQ$406,GR13)</f>
        <v>34673920.380000003</v>
      </c>
      <c r="GT13" s="269">
        <f t="shared" ref="GT13:GT76" si="257">IF(GR13&gt;GR$6,0,IF(GR13&lt;=GR$2,GT$2,IF(AND(GR13&lt;=$GR$3,GR13&gt;$GR$2),GT$3,GT$4)))</f>
        <v>61157141.00691615</v>
      </c>
      <c r="GU13" s="163">
        <f t="shared" ref="GU13:GU76" si="258">MAX(0,GS13-GT13)</f>
        <v>0</v>
      </c>
      <c r="GV13" s="137">
        <f t="array" ref="GV13">IF(GS13=0,0,LARGE(IF($GQ$10:$GQ$406=GS13,$GP$10:$GP$406,0),COUNTIF($GS$10:$GS$406,GS13)-COUNTIF(GS$9:GS12,GS13)))</f>
        <v>4</v>
      </c>
      <c r="GW13" s="270">
        <f t="shared" ref="GW13:GW76" si="259">IF(GS13=0,0,GU13/GS13)</f>
        <v>0</v>
      </c>
      <c r="GX13" s="270"/>
      <c r="GY13" s="137">
        <f>IF(C13="","",IF(ISERROR(MATCH(C13,C$10:C12,0)),MAX(GP$10:GP12)+1,INDEX(GP$10:GP12,MATCH(C13,C$10:C12,0))))</f>
        <v>4</v>
      </c>
      <c r="GZ13" s="264">
        <f>IF(COUNTIF($A$10:A13,A13)&lt;=1,SUMIF($A$10:$A$406,A13,$FH$10:$FH$406),0)</f>
        <v>34673920.380000003</v>
      </c>
      <c r="HA13" s="137">
        <f t="shared" si="134"/>
        <v>4</v>
      </c>
      <c r="HB13" s="269">
        <f t="shared" ref="HB13:HB76" si="260">LARGE($GZ$10:$GZ$406,HA13)</f>
        <v>34673920.380000003</v>
      </c>
      <c r="HC13" s="414" t="s">
        <v>622</v>
      </c>
      <c r="HD13" s="163">
        <f t="shared" ref="HD13:HD76" si="261">IF(HA13&lt;6,MAX(0,$HD$2/5),0)</f>
        <v>0</v>
      </c>
      <c r="HE13" s="137">
        <f t="array" ref="HE13">IF(HB13=0,0,LARGE(IF($GZ$10:$GZ$406=HB13,$GY$10:$GY$406,0),COUNTIF($HB$10:$HB$406,HB13)-COUNTIF(HB$9:HB12,HB13)))</f>
        <v>4</v>
      </c>
      <c r="HF13" s="270">
        <f t="shared" ref="HF13:HF76" si="262">IF(HB13=0,0,HD13/HB13)</f>
        <v>0</v>
      </c>
      <c r="HG13"/>
      <c r="HH13" s="268">
        <f t="shared" ref="HH13:HH76" si="263">DH13-GB13</f>
        <v>155354.5893394798</v>
      </c>
      <c r="HI13" s="271">
        <v>0</v>
      </c>
      <c r="HJ13" s="264">
        <f t="shared" ref="HJ13:HJ76" si="264">MIN(HI13,DF13)</f>
        <v>0</v>
      </c>
      <c r="HL13" s="137">
        <f t="shared" ref="HL13:HL76" si="265">IF(COUNTIF($C$10:$C$406,HL12+1),HL12+1,"")</f>
        <v>4</v>
      </c>
      <c r="HM13" s="264">
        <f t="shared" ref="HM13:HM14" si="266">SUMIF($C$10:$C$406,HL13,$DH$10:$DH$406)</f>
        <v>34673920.380000003</v>
      </c>
      <c r="HO13" s="199">
        <f t="shared" ref="HO13:HO15" si="267">MIN(HP13:HT13)</f>
        <v>34673920.380000003</v>
      </c>
      <c r="HP13" s="199">
        <f t="shared" ref="HP13:HP15" si="268">IF(B13="","",$M13)</f>
        <v>34673920.380000003</v>
      </c>
      <c r="HQ13" s="199" t="str">
        <f t="shared" ref="HQ13:HQ15" si="269">IF($N13="Yes",IF(P13&gt;=6,0,MIN($T13*$M13,$U13*$M13)),"")</f>
        <v/>
      </c>
      <c r="HR13" s="199" t="str">
        <f t="shared" ref="HR13:HR15" si="270">IF(AND(N13="Yes",P13&gt;=6),"",IF($S13="Yes",$R13*$M13,""))</f>
        <v/>
      </c>
      <c r="HS13" s="199" t="str">
        <f t="shared" si="119"/>
        <v/>
      </c>
      <c r="HT13" s="199" t="str">
        <f t="shared" ref="HT13:HT15" si="271">IF(AND($N13="Yes",$P13&gt;=6),"",IF(OR(CZ13=1,DD13=1,),MIN($T13*$M13,$U13*$M13),IF(OR(DA13=1,DB13=1,DC13=1),IF(AK13&gt;=5000000,MIN($T13*$M13,$IF13*$M13),MIN($T13*$M13,$U13*$M13)),"")))</f>
        <v/>
      </c>
      <c r="HU13" s="199" t="str">
        <f t="shared" ref="HU13:HU15" si="272">IF(DE13&gt;0,DE13,"")</f>
        <v/>
      </c>
      <c r="HV13" s="200">
        <f t="shared" ref="HV13:HV15" si="273">IF(B13="",0,$L13-$M13)</f>
        <v>0</v>
      </c>
      <c r="HW13" s="272">
        <f t="shared" ref="HW13:HW15" si="274">IF(OR(SUM(HQ13:HU13)&gt;0,P13&gt;=6),"",IF($B13="","",1))</f>
        <v>1</v>
      </c>
      <c r="HX13" s="200" t="str">
        <f t="shared" ref="HX13:HX15" si="275">IF(AND($HU13&lt;&gt;0,OR(HU13&lt;=MIN(HQ13:HT13),SUM(HQ13:HT13)=0)),$HU13,0)</f>
        <v/>
      </c>
      <c r="HY13" s="200">
        <f t="shared" ref="HY13:HY15" si="276">IF(AND($HT13&lt;&gt;0,OR(AND($HT13&lt;&gt;$HU13,$HT13&lt;&gt;$HS13,$HT13&lt;&gt;$HR13,$HT13&lt;&gt;$HQ13,$HT13&lt;MIN($HQ13:$HS13),$HT13&lt;HU13),SUM($HQ13:$HS13)+SUM(HU13)=0),IB13&lt;=0),$HT13,0)</f>
        <v>0</v>
      </c>
      <c r="HZ13" s="200" t="str">
        <f t="shared" si="4"/>
        <v/>
      </c>
      <c r="IA13" s="200" t="str">
        <f t="shared" ref="IA13:IA15" si="277">IF(AND($HR13&lt;&gt;0,OR(AND($HR13&lt;&gt;$HU13,HR13&lt;&gt;HT13,HR13&lt;&gt;HS13,HR13&lt;&gt;HQ13,HR13&lt;MIN(HS13:HU13)),SUM(HQ13)+SUM(HS13:HU13)=0)),$HR13,0)</f>
        <v/>
      </c>
      <c r="IB13" s="200" t="str">
        <f t="shared" ref="IB13:IB15" si="278">IF(AND($HQ13&lt;&gt;0,OR(HQ13&lt;=MIN(HR13:HU13),SUM(HR13:HU13)=0)),$HQ13,0)</f>
        <v/>
      </c>
      <c r="IC13" s="273">
        <f>IF(C13="","",INDEX(Lookups!$E$2:$E$69,MATCH('Loan List'!BE13,Lookups!$F$2:$F$69,0)))</f>
        <v>41</v>
      </c>
      <c r="ID13" t="b">
        <f t="shared" ref="ID13:ID15" si="279">HV13=DG13</f>
        <v>1</v>
      </c>
      <c r="IF13" s="346" t="str">
        <f>IF(B13="","",IF(AND(Y13="Second Lien",OR(DA13=1,DB13=1,DC13=1)),50%,IF(DA13=1,90%,IF(DB13=1,80%,IF(DC13=1,65%,"No Initial Haircut")))))</f>
        <v>No Initial Haircut</v>
      </c>
    </row>
    <row r="14" spans="1:240">
      <c r="A14" t="s">
        <v>704</v>
      </c>
      <c r="B14" s="242">
        <f t="shared" si="149"/>
        <v>5</v>
      </c>
      <c r="C14" s="242">
        <f>IF(COUNTIF($A$10:A13,A14)&gt;0,C13,C13+1)</f>
        <v>5</v>
      </c>
      <c r="D14" s="428" t="s">
        <v>704</v>
      </c>
      <c r="E14" s="428" t="s">
        <v>709</v>
      </c>
      <c r="F14" s="429"/>
      <c r="G14" s="430">
        <v>18000000</v>
      </c>
      <c r="H14" s="430">
        <v>18000000</v>
      </c>
      <c r="I14" s="244">
        <f>IF(B14="","",VLOOKUP(BF14,Inputs!$A$12:$J$15,10,FALSE))</f>
        <v>1</v>
      </c>
      <c r="J14" s="245">
        <f t="shared" ref="J14" si="280">IF(B14="","",G14*I14)</f>
        <v>18000000</v>
      </c>
      <c r="K14" s="245">
        <f t="shared" ref="K14" si="281">IF(B14="","",H14*I14)</f>
        <v>18000000</v>
      </c>
      <c r="L14" s="245">
        <f t="shared" ref="L14" si="282">IF(B14="","",IF(COUNTIF($CF14:$CY14,1)&gt;0,0,J14))</f>
        <v>18000000</v>
      </c>
      <c r="M14" s="245">
        <f t="shared" ref="M14" si="283">IF(B14="","",IF(COUNTIF($CF14:$CY14,1)&gt;0,0,K14))</f>
        <v>18000000</v>
      </c>
      <c r="N14" s="246" t="s">
        <v>246</v>
      </c>
      <c r="O14" s="246" t="s">
        <v>245</v>
      </c>
      <c r="P14" s="247">
        <f>IF(B14="","",IF(OR(O14="N/A",O14=""),0,YEARFRAC('Borrowing Base'!$J$4,'Loan List'!O14)*12))</f>
        <v>0</v>
      </c>
      <c r="Q14" s="246" t="s">
        <v>246</v>
      </c>
      <c r="R14" s="248">
        <v>0.99181993219269859</v>
      </c>
      <c r="S14" s="249" t="str">
        <f t="shared" ref="S14" si="284">IF(B14="","",IF(R14&lt;95%,"Yes","No"))</f>
        <v>No</v>
      </c>
      <c r="T14" s="248">
        <v>0.99178564703085148</v>
      </c>
      <c r="U14" s="250">
        <f t="shared" ref="U14" si="285">IF(B14="","",IF(OR(Y14="First Lien",Y14="Split First Lien",Y14="Tier 1 Split Lien",Y14="Tier 2 Split Lien"),50%,30%))</f>
        <v>0.5</v>
      </c>
      <c r="V14" s="250">
        <f t="shared" ref="V14" si="286">IF(B14="",0,IF(AND(Y14="First Lien",AN14="Tier 1"),IF(AND(X14="Yes",MIN(AH14,$AJ$5)&gt;4.5),(((4.5/MIN(AH14,$AJ$5))*72.5%)+(((MIN(AH14,$AJ$5)-4.5)/MIN(AH14,$AJ$5))*35%)),72.5%),IF(AND(Y14="First Lien",AN14="Tier 2"),IF(AND(X14="Yes",MIN(AH14,$AK$5)&gt;4.5),(((4.5/MIN(AH14,$AK$5))*72.5%)+(((MIN(AH14,$AK$5)-4.5)/MIN(AH14,$AK$5))*35%)),72.5%),IF(AND(X14="Yes",MIN(AH14,$AL$5)&gt;4),(((4/MIN(AH14,$AL$5))*72.5%)+(((MIN(AH14,$AL$5)-4)/MIN(AH14,$AL$5))*35%)),IF(OR(Y14="First Lien",Y14="Split First Lien"),72.5%,IF(Y14="Split Lien", 53%,35%))))))</f>
        <v>0.72499999999999998</v>
      </c>
      <c r="W14" s="251">
        <f t="shared" si="11"/>
        <v>18000000</v>
      </c>
      <c r="X14" s="246" t="s">
        <v>246</v>
      </c>
      <c r="Y14" s="252" t="s">
        <v>483</v>
      </c>
      <c r="Z14" s="252" t="s">
        <v>484</v>
      </c>
      <c r="AA14" s="253" t="s">
        <v>407</v>
      </c>
      <c r="AB14" s="253" t="s">
        <v>713</v>
      </c>
      <c r="AC14" s="254">
        <v>1.5400112681393889</v>
      </c>
      <c r="AD14" s="254">
        <v>1.5400112681393889</v>
      </c>
      <c r="AE14" s="254">
        <v>2.3477094079543104</v>
      </c>
      <c r="AF14" s="255">
        <v>0.36153846153846153</v>
      </c>
      <c r="AG14" s="256">
        <v>4.4470088741331439</v>
      </c>
      <c r="AH14" s="256">
        <v>4.4470088741331439</v>
      </c>
      <c r="AI14" s="256">
        <v>4.4470088741331439</v>
      </c>
      <c r="AJ14" s="256">
        <v>4.4470088741331439</v>
      </c>
      <c r="AK14" s="257">
        <v>10568901.778762858</v>
      </c>
      <c r="AL14" s="257">
        <v>10568901.778762858</v>
      </c>
      <c r="AM14" s="258">
        <v>45777</v>
      </c>
      <c r="AN14" s="245" t="str">
        <f t="shared" ref="AN14" si="287">IF(C14="","",(IF(AK14&gt;=50000000,"Tier 1",(IF(OR(AK14&gt;=20000000,AND(AK14&gt;5000000,AC14&gt;=1.25,AF14&lt;=0.65)),"Tier 2","Tier 3")))))</f>
        <v>Tier 2</v>
      </c>
      <c r="AO14" s="243">
        <v>48046</v>
      </c>
      <c r="AP14" s="259">
        <f>IF(C14="","",DAYS360(Inputs!$J$8,AO14)/360)</f>
        <v>5.8972222222222221</v>
      </c>
      <c r="AQ14" s="259">
        <f t="shared" ref="AQ14" si="288">IF(C14="","",AP14)</f>
        <v>5.8972222222222221</v>
      </c>
      <c r="AR14" s="246" t="s">
        <v>246</v>
      </c>
      <c r="AS14" s="248">
        <v>0</v>
      </c>
      <c r="AT14" s="246" t="s">
        <v>64</v>
      </c>
      <c r="AU14" s="248">
        <v>0.01</v>
      </c>
      <c r="AV14" s="248">
        <v>5.5E-2</v>
      </c>
      <c r="AW14" s="248">
        <v>3.5930999999999998E-2</v>
      </c>
      <c r="AX14" s="260">
        <f t="shared" ref="AX14" si="289">IF(C14="","",MAX(AU14,AW14))</f>
        <v>3.5930999999999998E-2</v>
      </c>
      <c r="AY14" s="248">
        <v>0</v>
      </c>
      <c r="AZ14" s="248">
        <v>0</v>
      </c>
      <c r="BA14" s="248">
        <v>0</v>
      </c>
      <c r="BB14" s="407">
        <f t="shared" ref="BB14" si="290">IF(B14="","",IF(AR14="No",AV14-AZ14,""))</f>
        <v>5.5E-2</v>
      </c>
      <c r="BC14" s="407" t="str">
        <f t="shared" ref="BC14" si="291">IF(B14="","",IF(AR14="Yes",AS14-BA14,""))</f>
        <v/>
      </c>
      <c r="BD14" s="252" t="s">
        <v>247</v>
      </c>
      <c r="BE14" s="261" t="s">
        <v>357</v>
      </c>
      <c r="BF14" s="252" t="s">
        <v>7</v>
      </c>
      <c r="BG14" s="252" t="s">
        <v>460</v>
      </c>
      <c r="BH14" s="246" t="s">
        <v>246</v>
      </c>
      <c r="BI14" s="408" t="str">
        <f t="shared" ref="BI14" si="292">IF(B14="","",IF(OR(AND(AZ14&gt;0,BB14&gt;=2.5%,BB14&lt;4%),AND(BA14&gt;0,BC14&gt;=6%,BC14&lt;8%)),"Yes","No"))</f>
        <v>No</v>
      </c>
      <c r="BJ14" s="408" t="str">
        <f t="shared" ref="BJ14" si="293">IF(B14="","",IF(OR(AND(AZ14&gt;0,BB14&lt;2.5%),AND(BA14&gt;0,BC14&lt;6%)),"Yes","No"))</f>
        <v>No</v>
      </c>
      <c r="BK14" s="246" t="s">
        <v>246</v>
      </c>
      <c r="BL14" s="246" t="s">
        <v>246</v>
      </c>
      <c r="BM14" s="246" t="s">
        <v>246</v>
      </c>
      <c r="BN14" s="246" t="s">
        <v>246</v>
      </c>
      <c r="BO14" s="246" t="s">
        <v>246</v>
      </c>
      <c r="BP14" s="246" t="s">
        <v>246</v>
      </c>
      <c r="BQ14" s="246" t="s">
        <v>246</v>
      </c>
      <c r="BR14" s="246" t="s">
        <v>246</v>
      </c>
      <c r="BS14" s="246" t="s">
        <v>246</v>
      </c>
      <c r="BT14" s="246" t="s">
        <v>246</v>
      </c>
      <c r="BU14" s="246" t="s">
        <v>246</v>
      </c>
      <c r="BV14" s="246" t="s">
        <v>246</v>
      </c>
      <c r="BW14" s="246" t="s">
        <v>246</v>
      </c>
      <c r="BX14" s="246" t="s">
        <v>246</v>
      </c>
      <c r="BY14" s="246" t="s">
        <v>246</v>
      </c>
      <c r="BZ14" s="246" t="s">
        <v>246</v>
      </c>
      <c r="CA14" s="246" t="s">
        <v>246</v>
      </c>
      <c r="CB14" s="246" t="s">
        <v>64</v>
      </c>
      <c r="CC14" s="262">
        <f t="shared" ref="CC14" si="294">IF(B14="","",IF(AT14="No",((BB14+AW14)-$AZ$4),((BB14+AX14)-$AZ$4))*IF(DE14&gt;0,0,M14))</f>
        <v>858754.79999999993</v>
      </c>
      <c r="CD14" s="262">
        <f t="shared" ref="CD14" si="295">IF(B14="","",AY14*(L14-M14)*IF(DE14&gt;0,0,1))</f>
        <v>0</v>
      </c>
      <c r="CE14" s="263"/>
      <c r="CF14" s="263">
        <f t="shared" si="150"/>
        <v>0</v>
      </c>
      <c r="CG14" s="263">
        <f t="shared" si="151"/>
        <v>0</v>
      </c>
      <c r="CH14" s="263">
        <f t="shared" si="152"/>
        <v>0</v>
      </c>
      <c r="CI14" s="263">
        <f t="shared" si="153"/>
        <v>0</v>
      </c>
      <c r="CJ14" s="263">
        <f t="shared" si="154"/>
        <v>0</v>
      </c>
      <c r="CK14" s="263">
        <f t="shared" si="155"/>
        <v>0</v>
      </c>
      <c r="CL14" s="263">
        <f t="shared" si="156"/>
        <v>0</v>
      </c>
      <c r="CM14" s="263">
        <f t="shared" si="157"/>
        <v>0</v>
      </c>
      <c r="CN14" s="263">
        <f t="shared" si="158"/>
        <v>0</v>
      </c>
      <c r="CO14" s="263">
        <f t="shared" si="159"/>
        <v>0</v>
      </c>
      <c r="CP14" s="263">
        <f t="shared" si="160"/>
        <v>0</v>
      </c>
      <c r="CQ14" s="263">
        <f t="shared" si="161"/>
        <v>0</v>
      </c>
      <c r="CR14" s="263">
        <f t="shared" si="162"/>
        <v>0</v>
      </c>
      <c r="CS14" s="263">
        <f t="shared" si="163"/>
        <v>0</v>
      </c>
      <c r="CT14" s="263">
        <f t="shared" si="164"/>
        <v>0</v>
      </c>
      <c r="CU14" s="263">
        <f t="shared" si="165"/>
        <v>0</v>
      </c>
      <c r="CV14" s="263">
        <f t="shared" si="166"/>
        <v>0</v>
      </c>
      <c r="CW14" s="263">
        <f t="shared" si="167"/>
        <v>0</v>
      </c>
      <c r="CX14" s="263">
        <f t="shared" si="168"/>
        <v>0</v>
      </c>
      <c r="CY14" s="263">
        <f t="shared" si="169"/>
        <v>0</v>
      </c>
      <c r="CZ14" s="263">
        <f t="shared" si="170"/>
        <v>0</v>
      </c>
      <c r="DA14" s="263">
        <f t="shared" si="171"/>
        <v>0</v>
      </c>
      <c r="DB14" s="263">
        <f t="shared" si="172"/>
        <v>0</v>
      </c>
      <c r="DC14" s="263">
        <f t="shared" si="173"/>
        <v>0</v>
      </c>
      <c r="DD14" s="263">
        <f t="shared" si="174"/>
        <v>0</v>
      </c>
      <c r="DE14" s="263">
        <f t="shared" si="175"/>
        <v>0</v>
      </c>
      <c r="DF14" s="263">
        <f t="shared" si="176"/>
        <v>18000000</v>
      </c>
      <c r="DG14" s="263">
        <f t="shared" si="177"/>
        <v>0</v>
      </c>
      <c r="DH14" s="263">
        <f t="shared" si="178"/>
        <v>18000000</v>
      </c>
      <c r="DI14" s="263">
        <f t="shared" si="179"/>
        <v>18000000</v>
      </c>
      <c r="DJ14" s="263">
        <f t="shared" si="180"/>
        <v>0</v>
      </c>
      <c r="DK14" s="263">
        <f t="shared" si="181"/>
        <v>0</v>
      </c>
      <c r="DL14" s="263">
        <f t="shared" si="182"/>
        <v>0</v>
      </c>
      <c r="DM14" s="263">
        <f t="shared" si="183"/>
        <v>0</v>
      </c>
      <c r="DO14" s="264">
        <f t="shared" si="184"/>
        <v>0</v>
      </c>
      <c r="DP14" s="265">
        <f t="shared" si="185"/>
        <v>0</v>
      </c>
      <c r="DQ14" s="264">
        <f t="shared" si="186"/>
        <v>18000000</v>
      </c>
      <c r="DR14" s="264">
        <f t="shared" si="187"/>
        <v>0</v>
      </c>
      <c r="DS14" s="265">
        <f t="shared" si="188"/>
        <v>0</v>
      </c>
      <c r="DT14" s="264">
        <f t="shared" si="189"/>
        <v>18000000</v>
      </c>
      <c r="DU14" s="264">
        <f t="shared" si="190"/>
        <v>0</v>
      </c>
      <c r="DV14" s="265">
        <f t="shared" si="191"/>
        <v>0</v>
      </c>
      <c r="DW14" s="264">
        <f t="shared" si="192"/>
        <v>18000000</v>
      </c>
      <c r="DX14" s="264">
        <f t="shared" si="193"/>
        <v>0</v>
      </c>
      <c r="DY14" s="265">
        <f t="shared" si="194"/>
        <v>0</v>
      </c>
      <c r="DZ14" s="264">
        <f t="shared" si="195"/>
        <v>18000000</v>
      </c>
      <c r="EA14" s="264">
        <f t="shared" si="196"/>
        <v>0</v>
      </c>
      <c r="EB14" s="265">
        <f t="shared" si="197"/>
        <v>0</v>
      </c>
      <c r="EC14" s="264">
        <f t="shared" si="198"/>
        <v>18000000</v>
      </c>
      <c r="ED14" s="264">
        <f t="shared" si="199"/>
        <v>0</v>
      </c>
      <c r="EE14" s="265">
        <f t="shared" si="200"/>
        <v>0</v>
      </c>
      <c r="EF14" s="264">
        <f t="shared" si="201"/>
        <v>18000000</v>
      </c>
      <c r="EG14" s="264">
        <f t="shared" si="202"/>
        <v>0</v>
      </c>
      <c r="EH14" s="265">
        <f t="shared" si="203"/>
        <v>0</v>
      </c>
      <c r="EI14" s="264">
        <f t="shared" si="204"/>
        <v>18000000</v>
      </c>
      <c r="EJ14" s="264">
        <f t="shared" si="205"/>
        <v>0</v>
      </c>
      <c r="EK14" s="265">
        <f t="shared" si="206"/>
        <v>0</v>
      </c>
      <c r="EL14" s="264">
        <f t="shared" si="207"/>
        <v>18000000</v>
      </c>
      <c r="EM14" s="264">
        <f t="shared" si="208"/>
        <v>0</v>
      </c>
      <c r="EN14" s="265">
        <f t="shared" si="209"/>
        <v>0</v>
      </c>
      <c r="EO14" s="264">
        <f t="shared" si="210"/>
        <v>18000000</v>
      </c>
      <c r="EP14" s="264">
        <f t="shared" si="211"/>
        <v>0</v>
      </c>
      <c r="EQ14" s="265">
        <f t="shared" si="212"/>
        <v>0</v>
      </c>
      <c r="ER14" s="264">
        <f t="shared" si="213"/>
        <v>18000000</v>
      </c>
      <c r="ES14" s="264">
        <f t="shared" si="214"/>
        <v>0</v>
      </c>
      <c r="ET14" s="265">
        <f t="shared" si="215"/>
        <v>0</v>
      </c>
      <c r="EU14" s="264">
        <f t="shared" si="216"/>
        <v>18000000</v>
      </c>
      <c r="EV14" s="264">
        <f>IF(AND(BM14="Yes",OR(BN14="No",AND(BN14="Yes",Inputs!$J$8=Inputs!$J$17+75))),EU14,0)</f>
        <v>0</v>
      </c>
      <c r="EW14" s="265">
        <f t="shared" si="217"/>
        <v>0</v>
      </c>
      <c r="EX14" s="264">
        <f t="shared" si="218"/>
        <v>18000000</v>
      </c>
      <c r="EY14" s="264">
        <f t="shared" si="219"/>
        <v>0</v>
      </c>
      <c r="EZ14" s="265">
        <f t="shared" si="220"/>
        <v>0</v>
      </c>
      <c r="FA14" s="264">
        <f t="shared" si="221"/>
        <v>18000000</v>
      </c>
      <c r="FB14" s="264">
        <f t="shared" si="222"/>
        <v>0</v>
      </c>
      <c r="FC14" s="265">
        <f t="shared" si="223"/>
        <v>0</v>
      </c>
      <c r="FD14" s="264">
        <f t="shared" si="224"/>
        <v>18000000</v>
      </c>
      <c r="FE14" s="264">
        <f t="shared" si="225"/>
        <v>0</v>
      </c>
      <c r="FF14" s="265">
        <f t="shared" si="226"/>
        <v>0</v>
      </c>
      <c r="FG14" s="264">
        <f t="shared" si="227"/>
        <v>18000000</v>
      </c>
      <c r="FH14" s="264">
        <f t="shared" si="228"/>
        <v>18000000</v>
      </c>
      <c r="FI14" s="264">
        <f t="shared" si="229"/>
        <v>0</v>
      </c>
      <c r="FJ14" s="264">
        <f t="shared" si="230"/>
        <v>18000000</v>
      </c>
      <c r="FK14" s="264">
        <f t="shared" si="231"/>
        <v>18000000</v>
      </c>
      <c r="FL14" s="264">
        <f t="shared" si="232"/>
        <v>0</v>
      </c>
      <c r="FM14" s="264">
        <f t="shared" si="233"/>
        <v>18000000</v>
      </c>
      <c r="FN14" s="264">
        <f t="shared" si="234"/>
        <v>18000000</v>
      </c>
      <c r="FO14" s="264">
        <f t="shared" si="235"/>
        <v>0</v>
      </c>
      <c r="FP14" s="264">
        <f t="shared" si="236"/>
        <v>18000000</v>
      </c>
      <c r="FQ14" s="264">
        <f t="shared" si="237"/>
        <v>0</v>
      </c>
      <c r="FR14" s="265">
        <f t="shared" si="238"/>
        <v>0</v>
      </c>
      <c r="FS14" s="264">
        <f t="shared" si="239"/>
        <v>18000000</v>
      </c>
      <c r="FT14" s="264">
        <f t="shared" si="240"/>
        <v>18000000</v>
      </c>
      <c r="FU14" s="265">
        <f t="shared" si="241"/>
        <v>0</v>
      </c>
      <c r="FV14" s="264">
        <f t="shared" si="242"/>
        <v>18000000</v>
      </c>
      <c r="FW14" s="264">
        <f t="shared" si="243"/>
        <v>18000000</v>
      </c>
      <c r="FX14" s="264">
        <f t="shared" si="244"/>
        <v>0</v>
      </c>
      <c r="FY14" s="264">
        <f t="shared" si="245"/>
        <v>0</v>
      </c>
      <c r="FZ14" s="264">
        <f t="shared" si="246"/>
        <v>18000000</v>
      </c>
      <c r="GA14" s="265">
        <f t="shared" ref="GA13:GA76" si="296">IF(B14="",0,FZ14*FW$6*(1-MIN(90%,T14)))</f>
        <v>80648.007997493492</v>
      </c>
      <c r="GB14" s="264">
        <f t="shared" ref="GB13:GB76" si="297">FV14-GA14</f>
        <v>17919351.992002506</v>
      </c>
      <c r="GC14" s="264">
        <f t="shared" si="247"/>
        <v>17919351.992002506</v>
      </c>
      <c r="GD14" s="266">
        <f t="shared" si="248"/>
        <v>12991530.194201816</v>
      </c>
      <c r="GE14" s="138">
        <f t="shared" si="249"/>
        <v>0.72175167745565649</v>
      </c>
      <c r="GF14" s="267">
        <f t="shared" si="250"/>
        <v>12</v>
      </c>
      <c r="GG14" s="264">
        <f t="array" ref="GG14">IF(SUM(IF(IC$9:IC13=IC14,1,0))&gt;0,0,SUMIF($IC$10:$IC$406,IC14,$FJ$10:$FJ$406))</f>
        <v>52656704</v>
      </c>
      <c r="GH14" s="268">
        <f t="shared" si="251"/>
        <v>52656704</v>
      </c>
      <c r="GI14" s="137">
        <f t="shared" si="126"/>
        <v>5</v>
      </c>
      <c r="GJ14" s="269">
        <f t="shared" si="252"/>
        <v>57413376.5</v>
      </c>
      <c r="GK14" s="269">
        <f t="shared" si="253"/>
        <v>152892852.51729038</v>
      </c>
      <c r="GL14" s="163">
        <f t="shared" si="254"/>
        <v>0</v>
      </c>
      <c r="GM14" s="137">
        <f t="array" ref="GM14">IF(GJ14=0,0,LARGE(IF($GG$10:$GG$406=GJ14,$GF$10:$GF$406,0),COUNTIF($GJ$10:$GJ$406,GJ14)-COUNTIF(GJ$9:GJ13,GJ14)))</f>
        <v>1</v>
      </c>
      <c r="GN14" s="270">
        <f t="shared" si="255"/>
        <v>0</v>
      </c>
      <c r="GP14" s="137">
        <f>IF(C14="","",IF(ISERROR(MATCH(C14,C$10:C13,0)),MAX(GP$10:GP13)+1,INDEX(GP$10:GP13,MATCH(C14,C$10:C13,0))))</f>
        <v>5</v>
      </c>
      <c r="GQ14" s="264">
        <f>IF(COUNTIF($A$10:A14,A14)&lt;=1,SUMIF($A$10:$A$406,A14,$FH$10:$FH$406),0)</f>
        <v>18000000</v>
      </c>
      <c r="GR14" s="137">
        <f t="shared" si="130"/>
        <v>5</v>
      </c>
      <c r="GS14" s="269">
        <f t="shared" si="256"/>
        <v>34155778.5</v>
      </c>
      <c r="GT14" s="269">
        <f t="shared" si="257"/>
        <v>61157141.00691615</v>
      </c>
      <c r="GU14" s="163">
        <f t="shared" si="258"/>
        <v>0</v>
      </c>
      <c r="GV14" s="137">
        <f t="array" ref="GV14">IF(GS14=0,0,LARGE(IF($GQ$10:$GQ$406=GS14,$GP$10:$GP$406,0),COUNTIF($GS$10:$GS$406,GS14)-COUNTIF(GS$9:GS13,GS14)))</f>
        <v>70</v>
      </c>
      <c r="GW14" s="270">
        <f t="shared" si="259"/>
        <v>0</v>
      </c>
      <c r="GX14" s="270"/>
      <c r="GY14" s="137">
        <f>IF(C14="","",IF(ISERROR(MATCH(C14,C$10:C13,0)),MAX(GP$10:GP13)+1,INDEX(GP$10:GP13,MATCH(C14,C$10:C13,0))))</f>
        <v>5</v>
      </c>
      <c r="GZ14" s="264">
        <f>IF(COUNTIF($A$10:A14,A14)&lt;=1,SUMIF($A$10:$A$406,A14,$FH$10:$FH$406),0)</f>
        <v>18000000</v>
      </c>
      <c r="HA14" s="137">
        <f t="shared" si="134"/>
        <v>5</v>
      </c>
      <c r="HB14" s="269">
        <f t="shared" si="260"/>
        <v>34155778.5</v>
      </c>
      <c r="HC14" s="414" t="s">
        <v>622</v>
      </c>
      <c r="HD14" s="163">
        <f t="shared" si="261"/>
        <v>0</v>
      </c>
      <c r="HE14" s="137">
        <f t="array" ref="HE14">IF(HB14=0,0,LARGE(IF($GZ$10:$GZ$406=HB14,$GY$10:$GY$406,0),COUNTIF($HB$10:$HB$406,HB14)-COUNTIF(HB$9:HB13,HB14)))</f>
        <v>70</v>
      </c>
      <c r="HF14" s="270">
        <f t="shared" si="262"/>
        <v>0</v>
      </c>
      <c r="HG14"/>
      <c r="HH14" s="268">
        <f t="shared" si="263"/>
        <v>80648.007997494191</v>
      </c>
      <c r="HI14" s="271">
        <v>0</v>
      </c>
      <c r="HJ14" s="264">
        <f t="shared" si="264"/>
        <v>0</v>
      </c>
      <c r="HL14" s="137">
        <f t="shared" si="265"/>
        <v>5</v>
      </c>
      <c r="HM14" s="264">
        <f t="shared" si="266"/>
        <v>18000000</v>
      </c>
      <c r="HO14" s="199">
        <f t="shared" si="267"/>
        <v>18000000</v>
      </c>
      <c r="HP14" s="199">
        <f t="shared" si="268"/>
        <v>18000000</v>
      </c>
      <c r="HQ14" s="199" t="str">
        <f t="shared" si="269"/>
        <v/>
      </c>
      <c r="HR14" s="199" t="str">
        <f t="shared" si="270"/>
        <v/>
      </c>
      <c r="HS14" s="199" t="str">
        <f t="shared" si="119"/>
        <v/>
      </c>
      <c r="HT14" s="199" t="str">
        <f t="shared" si="271"/>
        <v/>
      </c>
      <c r="HU14" s="199" t="str">
        <f t="shared" si="272"/>
        <v/>
      </c>
      <c r="HV14" s="200">
        <f t="shared" si="273"/>
        <v>0</v>
      </c>
      <c r="HW14" s="272">
        <f t="shared" si="274"/>
        <v>1</v>
      </c>
      <c r="HX14" s="200" t="str">
        <f t="shared" si="275"/>
        <v/>
      </c>
      <c r="HY14" s="200">
        <f t="shared" si="276"/>
        <v>0</v>
      </c>
      <c r="HZ14" s="200" t="str">
        <f t="shared" si="4"/>
        <v/>
      </c>
      <c r="IA14" s="200" t="str">
        <f t="shared" si="277"/>
        <v/>
      </c>
      <c r="IB14" s="200" t="str">
        <f t="shared" si="278"/>
        <v/>
      </c>
      <c r="IC14" s="273">
        <f>IF(C14="","",INDEX(Lookups!$E$2:$E$69,MATCH('Loan List'!BE14,Lookups!$F$2:$F$69,0)))</f>
        <v>12</v>
      </c>
      <c r="ID14" t="b">
        <f t="shared" si="279"/>
        <v>1</v>
      </c>
      <c r="IF14" s="346"/>
    </row>
    <row r="15" spans="1:240">
      <c r="A15" t="s">
        <v>673</v>
      </c>
      <c r="B15" s="242">
        <f t="shared" si="149"/>
        <v>6</v>
      </c>
      <c r="C15" s="242">
        <f>IF(COUNTIF($A$10:A14,A15)&gt;0,C14,C14+1)</f>
        <v>6</v>
      </c>
      <c r="D15" s="428" t="s">
        <v>673</v>
      </c>
      <c r="E15" s="428" t="s">
        <v>625</v>
      </c>
      <c r="F15" s="429"/>
      <c r="G15" s="430">
        <v>4247877.1100000003</v>
      </c>
      <c r="H15" s="430">
        <v>4247877.1100000003</v>
      </c>
      <c r="I15" s="244">
        <f>IF(B15="","",VLOOKUP(BF15,Inputs!$A$12:$J$15,10,FALSE))</f>
        <v>1</v>
      </c>
      <c r="J15" s="245">
        <f>IF(B15="","",G15*I15)</f>
        <v>4247877.1100000003</v>
      </c>
      <c r="K15" s="245">
        <f>IF(B15="","",H15*I15)</f>
        <v>4247877.1100000003</v>
      </c>
      <c r="L15" s="245">
        <f>IF(B15="","",IF(COUNTIF($CF15:$CY15,1)&gt;0,0,J15))</f>
        <v>4247877.1100000003</v>
      </c>
      <c r="M15" s="245">
        <f>IF(B15="","",IF(COUNTIF($CF15:$CY15,1)&gt;0,0,K15))</f>
        <v>4247877.1100000003</v>
      </c>
      <c r="N15" s="246" t="s">
        <v>246</v>
      </c>
      <c r="O15" s="246" t="s">
        <v>245</v>
      </c>
      <c r="P15" s="247">
        <f>IF(B15="","",IF(OR(O15="N/A",O15=""),0,YEARFRAC('Borrowing Base'!$J$4,'Loan List'!O15)*12))</f>
        <v>0</v>
      </c>
      <c r="Q15" s="246" t="s">
        <v>246</v>
      </c>
      <c r="R15" s="248">
        <v>0.99015530000000007</v>
      </c>
      <c r="S15" s="249" t="str">
        <f>IF(B15="","",IF(R15&lt;95%,"Yes","No"))</f>
        <v>No</v>
      </c>
      <c r="T15" s="248">
        <v>0.97699999847688612</v>
      </c>
      <c r="U15" s="250">
        <f>IF(B15="","",IF(OR(Y15="First Lien",Y15="Split First Lien",Y15="Tier 1 Split Lien",Y15="Tier 2 Split Lien"),50%,30%))</f>
        <v>0.5</v>
      </c>
      <c r="V15" s="250">
        <f t="shared" ref="V15" si="298">IF(B15="",0,IF(AND(Y15="First Lien",AN15="Tier 1"),IF(AND(X15="Yes",MIN(AH15,$AJ$5)&gt;4.5),(((4.5/MIN(AH15,$AJ$5))*72.5%)+(((MIN(AH15,$AJ$5)-4.5)/MIN(AH15,$AJ$5))*35%)),72.5%),IF(AND(Y15="First Lien",AN15="Tier 2"),IF(AND(X15="Yes",MIN(AH15,$AK$5)&gt;4.5),(((4.5/MIN(AH15,$AK$5))*72.5%)+(((MIN(AH15,$AK$5)-4.5)/MIN(AH15,$AK$5))*35%)),72.5%),IF(AND(X15="Yes",MIN(AH15,$AL$5)&gt;4),(((4/MIN(AH15,$AL$5))*72.5%)+(((MIN(AH15,$AL$5)-4)/MIN(AH15,$AL$5))*35%)),IF(OR(Y15="First Lien",Y15="Split First Lien"),72.5%,IF(Y15="Split Lien", 53%,35%))))))</f>
        <v>0.72499999999999998</v>
      </c>
      <c r="W15" s="251">
        <f t="shared" si="11"/>
        <v>4247877.1100000003</v>
      </c>
      <c r="X15" s="246" t="s">
        <v>246</v>
      </c>
      <c r="Y15" s="252" t="s">
        <v>483</v>
      </c>
      <c r="Z15" s="252" t="s">
        <v>484</v>
      </c>
      <c r="AA15" s="253" t="s">
        <v>407</v>
      </c>
      <c r="AB15" s="253" t="s">
        <v>713</v>
      </c>
      <c r="AC15" s="254">
        <v>2.0309022020544347</v>
      </c>
      <c r="AD15" s="254">
        <v>1.6349539586769959</v>
      </c>
      <c r="AE15" s="254">
        <v>3.0181648150736131</v>
      </c>
      <c r="AF15" s="255">
        <v>0.32838249137697639</v>
      </c>
      <c r="AG15" s="256">
        <v>2.3080214524981475</v>
      </c>
      <c r="AH15" s="256">
        <v>2.3080214524981475</v>
      </c>
      <c r="AI15" s="256">
        <v>3.2384246360751527</v>
      </c>
      <c r="AJ15" s="256">
        <v>3.2384246360751527</v>
      </c>
      <c r="AK15" s="257">
        <v>7235634.6523227999</v>
      </c>
      <c r="AL15" s="257">
        <v>13442170.558817899</v>
      </c>
      <c r="AM15" s="258">
        <v>45838</v>
      </c>
      <c r="AN15" s="245" t="str">
        <f>IF(C15="","",(IF(AK15&gt;=50000000,"Tier 1",(IF(OR(AK15&gt;=20000000,AND(AK15&gt;5000000,AC15&gt;=1.25,AF15&lt;=0.65)),"Tier 2","Tier 3")))))</f>
        <v>Tier 2</v>
      </c>
      <c r="AO15" s="243">
        <v>47295</v>
      </c>
      <c r="AP15" s="259">
        <f>IF(C15="","",DAYS360(Inputs!$J$8,AO15)/360)</f>
        <v>3.838888888888889</v>
      </c>
      <c r="AQ15" s="259">
        <f>IF(C15="","",AP15)</f>
        <v>3.838888888888889</v>
      </c>
      <c r="AR15" s="246" t="s">
        <v>246</v>
      </c>
      <c r="AS15" s="248">
        <v>0</v>
      </c>
      <c r="AT15" s="246" t="s">
        <v>64</v>
      </c>
      <c r="AU15" s="248">
        <v>0.01</v>
      </c>
      <c r="AV15" s="248">
        <v>5.7500000000000002E-2</v>
      </c>
      <c r="AW15" s="248">
        <v>4.3506999999999997E-2</v>
      </c>
      <c r="AX15" s="260">
        <f>IF(C15="","",MAX(AU15,AW15))</f>
        <v>4.3506999999999997E-2</v>
      </c>
      <c r="AY15" s="248">
        <v>0</v>
      </c>
      <c r="AZ15" s="248">
        <v>0</v>
      </c>
      <c r="BA15" s="248">
        <v>0</v>
      </c>
      <c r="BB15" s="407">
        <f>IF(B15="","",IF(AR15="No",AV15-AZ15,""))</f>
        <v>5.7500000000000002E-2</v>
      </c>
      <c r="BC15" s="407" t="str">
        <f>IF(B15="","",IF(AR15="Yes",AS15-BA15,""))</f>
        <v/>
      </c>
      <c r="BD15" s="252" t="s">
        <v>247</v>
      </c>
      <c r="BE15" s="261" t="s">
        <v>378</v>
      </c>
      <c r="BF15" s="252" t="s">
        <v>7</v>
      </c>
      <c r="BG15" s="252" t="s">
        <v>460</v>
      </c>
      <c r="BH15" s="246" t="s">
        <v>246</v>
      </c>
      <c r="BI15" s="408" t="str">
        <f t="shared" ref="BI15" si="299">IF(B15="","",IF(OR(AND(AZ15&gt;0,BB15&gt;=2.5%,BB15&lt;4%),AND(BA15&gt;0,BC15&gt;=6%,BC15&lt;8%)),"Yes","No"))</f>
        <v>No</v>
      </c>
      <c r="BJ15" s="408" t="str">
        <f>IF(B15="","",IF(OR(AND(AZ15&gt;0,BB15&lt;2.5%),AND(BA15&gt;0,BC15&lt;6%)),"Yes","No"))</f>
        <v>No</v>
      </c>
      <c r="BK15" s="246" t="s">
        <v>246</v>
      </c>
      <c r="BL15" s="246" t="s">
        <v>246</v>
      </c>
      <c r="BM15" s="246" t="s">
        <v>246</v>
      </c>
      <c r="BN15" s="246" t="s">
        <v>246</v>
      </c>
      <c r="BO15" s="246" t="s">
        <v>246</v>
      </c>
      <c r="BP15" s="246" t="s">
        <v>246</v>
      </c>
      <c r="BQ15" s="246" t="s">
        <v>246</v>
      </c>
      <c r="BR15" s="246" t="s">
        <v>246</v>
      </c>
      <c r="BS15" s="246" t="s">
        <v>246</v>
      </c>
      <c r="BT15" s="246" t="s">
        <v>246</v>
      </c>
      <c r="BU15" s="246" t="s">
        <v>246</v>
      </c>
      <c r="BV15" s="246" t="s">
        <v>246</v>
      </c>
      <c r="BW15" s="246" t="s">
        <v>246</v>
      </c>
      <c r="BX15" s="246" t="s">
        <v>246</v>
      </c>
      <c r="BY15" s="246" t="s">
        <v>246</v>
      </c>
      <c r="BZ15" s="246" t="s">
        <v>246</v>
      </c>
      <c r="CA15" s="246" t="s">
        <v>246</v>
      </c>
      <c r="CB15" s="246" t="s">
        <v>64</v>
      </c>
      <c r="CC15" s="262">
        <f>IF(B15="","",IF(AT15="No",((BB15+AW15)-$AZ$4),((BB15+AX15)-$AZ$4))*IF(DE15&gt;0,0,M15))</f>
        <v>245461.87965050602</v>
      </c>
      <c r="CD15" s="262">
        <f>IF(B15="","",AY15*(L15-M15)*IF(DE15&gt;0,0,1))</f>
        <v>0</v>
      </c>
      <c r="CE15" s="263"/>
      <c r="CF15" s="263">
        <f t="shared" si="150"/>
        <v>0</v>
      </c>
      <c r="CG15" s="263">
        <f t="shared" si="151"/>
        <v>0</v>
      </c>
      <c r="CH15" s="263">
        <f t="shared" si="152"/>
        <v>0</v>
      </c>
      <c r="CI15" s="263">
        <f t="shared" si="153"/>
        <v>0</v>
      </c>
      <c r="CJ15" s="263">
        <f t="shared" si="154"/>
        <v>0</v>
      </c>
      <c r="CK15" s="263">
        <f t="shared" si="155"/>
        <v>0</v>
      </c>
      <c r="CL15" s="263">
        <f t="shared" si="156"/>
        <v>0</v>
      </c>
      <c r="CM15" s="263">
        <f t="shared" si="157"/>
        <v>0</v>
      </c>
      <c r="CN15" s="263">
        <f t="shared" si="158"/>
        <v>0</v>
      </c>
      <c r="CO15" s="263">
        <f t="shared" si="159"/>
        <v>0</v>
      </c>
      <c r="CP15" s="263">
        <f t="shared" si="160"/>
        <v>0</v>
      </c>
      <c r="CQ15" s="263">
        <f t="shared" si="161"/>
        <v>0</v>
      </c>
      <c r="CR15" s="263">
        <f t="shared" si="162"/>
        <v>0</v>
      </c>
      <c r="CS15" s="263">
        <f t="shared" si="163"/>
        <v>0</v>
      </c>
      <c r="CT15" s="263">
        <f t="shared" si="164"/>
        <v>0</v>
      </c>
      <c r="CU15" s="263">
        <f t="shared" si="165"/>
        <v>0</v>
      </c>
      <c r="CV15" s="263">
        <f t="shared" si="166"/>
        <v>0</v>
      </c>
      <c r="CW15" s="263">
        <f t="shared" si="167"/>
        <v>0</v>
      </c>
      <c r="CX15" s="263">
        <f t="shared" si="168"/>
        <v>0</v>
      </c>
      <c r="CY15" s="263">
        <f t="shared" si="169"/>
        <v>0</v>
      </c>
      <c r="CZ15" s="263">
        <f t="shared" si="170"/>
        <v>0</v>
      </c>
      <c r="DA15" s="263">
        <f t="shared" si="171"/>
        <v>0</v>
      </c>
      <c r="DB15" s="263">
        <f t="shared" si="172"/>
        <v>0</v>
      </c>
      <c r="DC15" s="263">
        <f t="shared" si="173"/>
        <v>0</v>
      </c>
      <c r="DD15" s="263">
        <f t="shared" si="174"/>
        <v>0</v>
      </c>
      <c r="DE15" s="263">
        <f t="shared" si="175"/>
        <v>0</v>
      </c>
      <c r="DF15" s="263">
        <f t="shared" si="176"/>
        <v>4247877.1100000003</v>
      </c>
      <c r="DG15" s="263">
        <f t="shared" si="177"/>
        <v>0</v>
      </c>
      <c r="DH15" s="263">
        <f>DF15+IF(DE15&gt;0,0,DG15)</f>
        <v>4247877.1100000003</v>
      </c>
      <c r="DI15" s="263">
        <f t="shared" si="179"/>
        <v>4247877.1100000003</v>
      </c>
      <c r="DJ15" s="263">
        <f t="shared" si="180"/>
        <v>0</v>
      </c>
      <c r="DK15" s="263">
        <f t="shared" si="181"/>
        <v>0</v>
      </c>
      <c r="DL15" s="263">
        <f t="shared" si="182"/>
        <v>0</v>
      </c>
      <c r="DM15" s="263">
        <f t="shared" si="183"/>
        <v>0</v>
      </c>
      <c r="DO15" s="264">
        <f t="shared" si="184"/>
        <v>0</v>
      </c>
      <c r="DP15" s="265">
        <f t="shared" si="185"/>
        <v>0</v>
      </c>
      <c r="DQ15" s="264">
        <f t="shared" si="186"/>
        <v>4247877.1100000003</v>
      </c>
      <c r="DR15" s="264">
        <f t="shared" si="187"/>
        <v>0</v>
      </c>
      <c r="DS15" s="265">
        <f t="shared" si="188"/>
        <v>0</v>
      </c>
      <c r="DT15" s="264">
        <f t="shared" si="189"/>
        <v>4247877.1100000003</v>
      </c>
      <c r="DU15" s="264">
        <f t="shared" si="190"/>
        <v>0</v>
      </c>
      <c r="DV15" s="265">
        <f t="shared" si="191"/>
        <v>0</v>
      </c>
      <c r="DW15" s="264">
        <f t="shared" si="192"/>
        <v>4247877.1100000003</v>
      </c>
      <c r="DX15" s="264">
        <f t="shared" si="193"/>
        <v>0</v>
      </c>
      <c r="DY15" s="265">
        <f t="shared" si="194"/>
        <v>0</v>
      </c>
      <c r="DZ15" s="264">
        <f t="shared" si="195"/>
        <v>4247877.1100000003</v>
      </c>
      <c r="EA15" s="264">
        <f t="shared" si="196"/>
        <v>0</v>
      </c>
      <c r="EB15" s="265">
        <f t="shared" si="197"/>
        <v>0</v>
      </c>
      <c r="EC15" s="264">
        <f t="shared" si="198"/>
        <v>4247877.1100000003</v>
      </c>
      <c r="ED15" s="264">
        <f t="shared" si="199"/>
        <v>0</v>
      </c>
      <c r="EE15" s="265">
        <f t="shared" si="200"/>
        <v>0</v>
      </c>
      <c r="EF15" s="264">
        <f t="shared" si="201"/>
        <v>4247877.1100000003</v>
      </c>
      <c r="EG15" s="264">
        <f t="shared" si="202"/>
        <v>0</v>
      </c>
      <c r="EH15" s="265">
        <f t="shared" si="203"/>
        <v>0</v>
      </c>
      <c r="EI15" s="264">
        <f t="shared" si="204"/>
        <v>4247877.1100000003</v>
      </c>
      <c r="EJ15" s="264">
        <f t="shared" si="205"/>
        <v>0</v>
      </c>
      <c r="EK15" s="265">
        <f t="shared" si="206"/>
        <v>0</v>
      </c>
      <c r="EL15" s="264">
        <f t="shared" si="207"/>
        <v>4247877.1100000003</v>
      </c>
      <c r="EM15" s="264">
        <f t="shared" si="208"/>
        <v>0</v>
      </c>
      <c r="EN15" s="265">
        <f t="shared" si="209"/>
        <v>0</v>
      </c>
      <c r="EO15" s="264">
        <f t="shared" si="210"/>
        <v>4247877.1100000003</v>
      </c>
      <c r="EP15" s="264">
        <f t="shared" si="211"/>
        <v>0</v>
      </c>
      <c r="EQ15" s="265">
        <f t="shared" si="212"/>
        <v>0</v>
      </c>
      <c r="ER15" s="264">
        <f t="shared" si="213"/>
        <v>4247877.1100000003</v>
      </c>
      <c r="ES15" s="264">
        <f t="shared" si="214"/>
        <v>0</v>
      </c>
      <c r="ET15" s="265">
        <f t="shared" si="215"/>
        <v>0</v>
      </c>
      <c r="EU15" s="264">
        <f t="shared" si="216"/>
        <v>4247877.1100000003</v>
      </c>
      <c r="EV15" s="264">
        <f>IF(AND(BM15="Yes",OR(BN15="No",AND(BN15="Yes",Inputs!$J$8=Inputs!$J$17+75))),EU15,0)</f>
        <v>0</v>
      </c>
      <c r="EW15" s="265">
        <f t="shared" si="217"/>
        <v>0</v>
      </c>
      <c r="EX15" s="264">
        <f t="shared" si="218"/>
        <v>4247877.1100000003</v>
      </c>
      <c r="EY15" s="264">
        <f t="shared" si="219"/>
        <v>0</v>
      </c>
      <c r="EZ15" s="265">
        <f t="shared" si="220"/>
        <v>0</v>
      </c>
      <c r="FA15" s="264">
        <f t="shared" si="221"/>
        <v>4247877.1100000003</v>
      </c>
      <c r="FB15" s="264">
        <f t="shared" si="222"/>
        <v>0</v>
      </c>
      <c r="FC15" s="265">
        <f t="shared" si="223"/>
        <v>0</v>
      </c>
      <c r="FD15" s="264">
        <f t="shared" si="224"/>
        <v>4247877.1100000003</v>
      </c>
      <c r="FE15" s="264">
        <f t="shared" si="225"/>
        <v>0</v>
      </c>
      <c r="FF15" s="265">
        <f t="shared" si="226"/>
        <v>0</v>
      </c>
      <c r="FG15" s="264">
        <f t="shared" si="227"/>
        <v>4247877.1100000003</v>
      </c>
      <c r="FH15" s="264">
        <f t="shared" si="228"/>
        <v>4247877.1100000003</v>
      </c>
      <c r="FI15" s="264">
        <f t="shared" si="229"/>
        <v>0</v>
      </c>
      <c r="FJ15" s="264">
        <f t="shared" si="230"/>
        <v>4247877.1100000003</v>
      </c>
      <c r="FK15" s="264">
        <f t="shared" si="231"/>
        <v>4247877.1100000003</v>
      </c>
      <c r="FL15" s="264">
        <f t="shared" si="232"/>
        <v>0</v>
      </c>
      <c r="FM15" s="264">
        <f t="shared" si="233"/>
        <v>4247877.1100000003</v>
      </c>
      <c r="FN15" s="264">
        <f t="shared" si="234"/>
        <v>4247877.1100000003</v>
      </c>
      <c r="FO15" s="264">
        <f t="shared" si="235"/>
        <v>0</v>
      </c>
      <c r="FP15" s="264">
        <f t="shared" si="236"/>
        <v>4247877.1100000003</v>
      </c>
      <c r="FQ15" s="264">
        <f t="shared" si="237"/>
        <v>0</v>
      </c>
      <c r="FR15" s="265">
        <f t="shared" si="238"/>
        <v>0</v>
      </c>
      <c r="FS15" s="264">
        <f t="shared" si="239"/>
        <v>4247877.1100000003</v>
      </c>
      <c r="FT15" s="264">
        <f t="shared" si="240"/>
        <v>4247877.1100000003</v>
      </c>
      <c r="FU15" s="265">
        <f t="shared" si="241"/>
        <v>0</v>
      </c>
      <c r="FV15" s="264">
        <f t="shared" si="242"/>
        <v>4247877.1100000003</v>
      </c>
      <c r="FW15" s="264">
        <f t="shared" si="243"/>
        <v>0</v>
      </c>
      <c r="FX15" s="264">
        <f t="shared" si="244"/>
        <v>0</v>
      </c>
      <c r="FY15" s="264">
        <f t="shared" si="245"/>
        <v>0</v>
      </c>
      <c r="FZ15" s="264">
        <f t="shared" si="246"/>
        <v>0</v>
      </c>
      <c r="GA15" s="265">
        <f t="shared" si="296"/>
        <v>0</v>
      </c>
      <c r="GB15" s="264">
        <f t="shared" si="297"/>
        <v>4247877.1100000003</v>
      </c>
      <c r="GC15" s="264">
        <f t="shared" si="247"/>
        <v>4247877.1100000003</v>
      </c>
      <c r="GD15" s="266">
        <f t="shared" si="248"/>
        <v>3079710.9047500002</v>
      </c>
      <c r="GE15" s="138">
        <f t="shared" si="249"/>
        <v>0.72499999999999998</v>
      </c>
      <c r="GF15" s="267">
        <f t="shared" si="250"/>
        <v>19</v>
      </c>
      <c r="GG15" s="264">
        <f t="array" ref="GG15">IF(SUM(IF(IC$9:IC14=IC15,1,0))&gt;0,0,SUMIF($IC$10:$IC$406,IC15,$FJ$10:$FJ$406))</f>
        <v>56358064.983802594</v>
      </c>
      <c r="GH15" s="268">
        <f t="shared" si="251"/>
        <v>56358064.983802594</v>
      </c>
      <c r="GI15" s="137">
        <f t="shared" si="126"/>
        <v>6</v>
      </c>
      <c r="GJ15" s="269">
        <f t="shared" si="252"/>
        <v>56358064.983802594</v>
      </c>
      <c r="GK15" s="269">
        <f t="shared" si="253"/>
        <v>152892852.51729038</v>
      </c>
      <c r="GL15" s="163">
        <f t="shared" si="254"/>
        <v>0</v>
      </c>
      <c r="GM15" s="137">
        <f t="array" ref="GM15">IF(GJ15=0,0,LARGE(IF($GG$10:$GG$406=GJ15,$GF$10:$GF$406,0),COUNTIF($GJ$10:$GJ$406,GJ15)-COUNTIF(GJ$9:GJ14,GJ15)))</f>
        <v>19</v>
      </c>
      <c r="GN15" s="270">
        <f t="shared" si="255"/>
        <v>0</v>
      </c>
      <c r="GP15" s="137">
        <f>IF(C15="","",IF(ISERROR(MATCH(C15,C$10:C14,0)),MAX(GP$10:GP14)+1,INDEX(GP$10:GP14,MATCH(C15,C$10:C14,0))))</f>
        <v>6</v>
      </c>
      <c r="GQ15" s="264">
        <f>IF(COUNTIF($A$10:A15,A15)&lt;=1,SUMIF($A$10:$A$406,A15,$FH$10:$FH$406),0)</f>
        <v>4247877.1100000003</v>
      </c>
      <c r="GR15" s="137">
        <f t="shared" si="130"/>
        <v>6</v>
      </c>
      <c r="GS15" s="269">
        <f t="shared" si="256"/>
        <v>29454620.510000002</v>
      </c>
      <c r="GT15" s="269">
        <f t="shared" si="257"/>
        <v>50964284.172430128</v>
      </c>
      <c r="GU15" s="163">
        <f t="shared" si="258"/>
        <v>0</v>
      </c>
      <c r="GV15" s="137">
        <f t="array" ref="GV15">IF(GS15=0,0,LARGE(IF($GQ$10:$GQ$406=GS15,$GP$10:$GP$406,0),COUNTIF($GS$10:$GS$406,GS15)-COUNTIF(GS$9:GS14,GS15)))</f>
        <v>51</v>
      </c>
      <c r="GW15" s="270">
        <f t="shared" si="259"/>
        <v>0</v>
      </c>
      <c r="GX15" s="270"/>
      <c r="GY15" s="137">
        <f>IF(C15="","",IF(ISERROR(MATCH(C15,C$10:C14,0)),MAX(GP$10:GP14)+1,INDEX(GP$10:GP14,MATCH(C15,C$10:C14,0))))</f>
        <v>6</v>
      </c>
      <c r="GZ15" s="264">
        <f>IF(COUNTIF($A$10:A15,A15)&lt;=1,SUMIF($A$10:$A$406,A15,$FH$10:$FH$406),0)</f>
        <v>4247877.1100000003</v>
      </c>
      <c r="HA15" s="137">
        <f t="shared" si="134"/>
        <v>6</v>
      </c>
      <c r="HB15" s="269">
        <f t="shared" si="260"/>
        <v>29454620.510000002</v>
      </c>
      <c r="HC15" s="414" t="s">
        <v>622</v>
      </c>
      <c r="HD15" s="163">
        <f t="shared" si="261"/>
        <v>0</v>
      </c>
      <c r="HE15" s="137">
        <f t="array" ref="HE15">IF(HB15=0,0,LARGE(IF($GZ$10:$GZ$406=HB15,$GY$10:$GY$406,0),COUNTIF($HB$10:$HB$406,HB15)-COUNTIF(HB$9:HB14,HB15)))</f>
        <v>51</v>
      </c>
      <c r="HF15" s="270">
        <f t="shared" si="262"/>
        <v>0</v>
      </c>
      <c r="HG15"/>
      <c r="HH15" s="268">
        <f t="shared" si="263"/>
        <v>0</v>
      </c>
      <c r="HI15" s="271">
        <v>0</v>
      </c>
      <c r="HJ15" s="264">
        <f t="shared" si="264"/>
        <v>0</v>
      </c>
      <c r="HL15" s="137">
        <f t="shared" si="265"/>
        <v>6</v>
      </c>
      <c r="HM15" s="264">
        <f t="shared" ref="HM15:HM78" si="300">SUMIF($C$10:$C$406,HL15,$DH$10:$DH$406)</f>
        <v>4247877.1100000003</v>
      </c>
      <c r="HO15" s="199">
        <f t="shared" si="267"/>
        <v>4247877.1100000003</v>
      </c>
      <c r="HP15" s="199">
        <f t="shared" si="268"/>
        <v>4247877.1100000003</v>
      </c>
      <c r="HQ15" s="199" t="str">
        <f t="shared" si="269"/>
        <v/>
      </c>
      <c r="HR15" s="199" t="str">
        <f t="shared" si="270"/>
        <v/>
      </c>
      <c r="HS15" s="199" t="str">
        <f t="shared" si="119"/>
        <v/>
      </c>
      <c r="HT15" s="199" t="str">
        <f t="shared" si="271"/>
        <v/>
      </c>
      <c r="HU15" s="199" t="str">
        <f t="shared" si="272"/>
        <v/>
      </c>
      <c r="HV15" s="200">
        <f t="shared" si="273"/>
        <v>0</v>
      </c>
      <c r="HW15" s="272">
        <f t="shared" si="274"/>
        <v>1</v>
      </c>
      <c r="HX15" s="200" t="str">
        <f t="shared" si="275"/>
        <v/>
      </c>
      <c r="HY15" s="200">
        <f t="shared" si="276"/>
        <v>0</v>
      </c>
      <c r="HZ15" s="200" t="str">
        <f t="shared" si="4"/>
        <v/>
      </c>
      <c r="IA15" s="200" t="str">
        <f t="shared" si="277"/>
        <v/>
      </c>
      <c r="IB15" s="200" t="str">
        <f t="shared" si="278"/>
        <v/>
      </c>
      <c r="IC15" s="273">
        <f>IF(C15="","",INDEX(Lookups!$E$2:$E$69,MATCH('Loan List'!BE15,Lookups!$F$2:$F$69,0)))</f>
        <v>19</v>
      </c>
      <c r="ID15" t="b">
        <f t="shared" si="279"/>
        <v>1</v>
      </c>
      <c r="IF15" s="346" t="str">
        <f>IF(B15="","",IF(AND(Y15="Second Lien",OR(DA15=1,DB15=1,DC15=1)),50%,IF(DA15=1,90%,IF(DB15=1,80%,IF(DC15=1,65%,"No Initial Haircut")))))</f>
        <v>No Initial Haircut</v>
      </c>
    </row>
    <row r="16" spans="1:240">
      <c r="A16" t="s">
        <v>720</v>
      </c>
      <c r="B16" s="242">
        <f t="shared" si="149"/>
        <v>7</v>
      </c>
      <c r="C16" s="242">
        <f>IF(COUNTIF($A$10:A15,A16)&gt;0,C15,C15+1)</f>
        <v>7</v>
      </c>
      <c r="D16" s="431" t="s">
        <v>720</v>
      </c>
      <c r="E16" s="428" t="s">
        <v>804</v>
      </c>
      <c r="F16" s="429"/>
      <c r="G16" s="430">
        <v>1984732.82</v>
      </c>
      <c r="H16" s="430">
        <v>1984732.82</v>
      </c>
      <c r="I16" s="244">
        <f>IF(B16="","",VLOOKUP(BF16,Inputs!$A$12:$J$15,10,FALSE))</f>
        <v>1</v>
      </c>
      <c r="J16" s="245">
        <f t="shared" si="5"/>
        <v>1984732.82</v>
      </c>
      <c r="K16" s="245">
        <f t="shared" si="6"/>
        <v>1984732.82</v>
      </c>
      <c r="L16" s="245">
        <f t="shared" si="7"/>
        <v>1984732.82</v>
      </c>
      <c r="M16" s="245">
        <f t="shared" si="8"/>
        <v>1984732.82</v>
      </c>
      <c r="N16" s="246" t="s">
        <v>246</v>
      </c>
      <c r="O16" s="246" t="s">
        <v>245</v>
      </c>
      <c r="P16" s="247">
        <f>IF(B16="","",IF(OR(O16="N/A",O16=""),0,YEARFRAC('Borrowing Base'!$J$4,'Loan List'!O16)*12))</f>
        <v>0</v>
      </c>
      <c r="Q16" s="246" t="s">
        <v>246</v>
      </c>
      <c r="R16" s="248">
        <v>1</v>
      </c>
      <c r="S16" s="249" t="str">
        <f t="shared" si="1"/>
        <v>No</v>
      </c>
      <c r="T16" s="248">
        <v>1</v>
      </c>
      <c r="U16" s="250">
        <f t="shared" si="9"/>
        <v>0.5</v>
      </c>
      <c r="V16" s="250">
        <f t="shared" si="10"/>
        <v>0.69284998976598733</v>
      </c>
      <c r="W16" s="251">
        <f t="shared" si="11"/>
        <v>1984732.82</v>
      </c>
      <c r="X16" s="246" t="s">
        <v>64</v>
      </c>
      <c r="Y16" s="252" t="s">
        <v>483</v>
      </c>
      <c r="Z16" s="252" t="s">
        <v>484</v>
      </c>
      <c r="AA16" s="253" t="s">
        <v>407</v>
      </c>
      <c r="AB16" s="253" t="s">
        <v>713</v>
      </c>
      <c r="AC16" s="254">
        <v>1.46571537228148</v>
      </c>
      <c r="AD16" s="254">
        <v>3.3313021694696361</v>
      </c>
      <c r="AE16" s="254">
        <v>3.8492242255670339</v>
      </c>
      <c r="AF16" s="255">
        <v>0.25226999534285599</v>
      </c>
      <c r="AG16" s="256">
        <v>4.9219776881189494</v>
      </c>
      <c r="AH16" s="256">
        <v>4.9219776881189494</v>
      </c>
      <c r="AI16" s="256">
        <v>1.9726984552198714</v>
      </c>
      <c r="AJ16" s="256">
        <v>1.9726984552198714</v>
      </c>
      <c r="AK16" s="257">
        <v>26534049.578333601</v>
      </c>
      <c r="AL16" s="257">
        <v>68148598</v>
      </c>
      <c r="AM16" s="258">
        <v>45838</v>
      </c>
      <c r="AN16" s="245" t="str">
        <f t="shared" si="12"/>
        <v>Tier 2</v>
      </c>
      <c r="AO16" s="243">
        <v>47109</v>
      </c>
      <c r="AP16" s="259">
        <f>IF(C16="","",DAYS360(Inputs!$J$8,AO16)/360)</f>
        <v>3.3277777777777779</v>
      </c>
      <c r="AQ16" s="259">
        <f t="shared" si="13"/>
        <v>3.3277777777777779</v>
      </c>
      <c r="AR16" s="246" t="s">
        <v>246</v>
      </c>
      <c r="AS16" s="248">
        <v>0</v>
      </c>
      <c r="AT16" s="246" t="s">
        <v>64</v>
      </c>
      <c r="AU16" s="248">
        <v>0.01</v>
      </c>
      <c r="AV16" s="248">
        <v>5.7500000000000002E-2</v>
      </c>
      <c r="AW16" s="248">
        <v>4.3506999999999997E-2</v>
      </c>
      <c r="AX16" s="260">
        <f t="shared" si="14"/>
        <v>4.3506999999999997E-2</v>
      </c>
      <c r="AY16" s="248">
        <v>0</v>
      </c>
      <c r="AZ16" s="248">
        <v>0</v>
      </c>
      <c r="BA16" s="248">
        <v>0</v>
      </c>
      <c r="BB16" s="407">
        <f t="shared" si="15"/>
        <v>5.7500000000000002E-2</v>
      </c>
      <c r="BC16" s="407" t="str">
        <f t="shared" si="16"/>
        <v/>
      </c>
      <c r="BD16" s="252" t="s">
        <v>247</v>
      </c>
      <c r="BE16" s="261" t="s">
        <v>378</v>
      </c>
      <c r="BF16" s="252" t="s">
        <v>7</v>
      </c>
      <c r="BG16" s="252" t="s">
        <v>460</v>
      </c>
      <c r="BH16" s="246" t="s">
        <v>246</v>
      </c>
      <c r="BI16" s="408" t="str">
        <f t="shared" si="17"/>
        <v>No</v>
      </c>
      <c r="BJ16" s="408" t="str">
        <f t="shared" si="18"/>
        <v>No</v>
      </c>
      <c r="BK16" s="246" t="s">
        <v>246</v>
      </c>
      <c r="BL16" s="246" t="s">
        <v>246</v>
      </c>
      <c r="BM16" s="246" t="s">
        <v>64</v>
      </c>
      <c r="BN16" s="246" t="s">
        <v>64</v>
      </c>
      <c r="BO16" s="246" t="s">
        <v>246</v>
      </c>
      <c r="BP16" s="246" t="s">
        <v>246</v>
      </c>
      <c r="BQ16" s="246" t="s">
        <v>246</v>
      </c>
      <c r="BR16" s="246" t="s">
        <v>246</v>
      </c>
      <c r="BS16" s="246" t="s">
        <v>246</v>
      </c>
      <c r="BT16" s="246" t="s">
        <v>246</v>
      </c>
      <c r="BU16" s="246" t="s">
        <v>246</v>
      </c>
      <c r="BV16" s="246" t="s">
        <v>246</v>
      </c>
      <c r="BW16" s="246" t="s">
        <v>246</v>
      </c>
      <c r="BX16" s="246" t="s">
        <v>246</v>
      </c>
      <c r="BY16" s="246" t="s">
        <v>246</v>
      </c>
      <c r="BZ16" s="246" t="s">
        <v>246</v>
      </c>
      <c r="CA16" s="246" t="s">
        <v>246</v>
      </c>
      <c r="CB16" s="246" t="s">
        <v>64</v>
      </c>
      <c r="CC16" s="262">
        <f t="shared" si="19"/>
        <v>114686.992110572</v>
      </c>
      <c r="CD16" s="262">
        <f t="shared" si="20"/>
        <v>0</v>
      </c>
      <c r="CE16" s="263"/>
      <c r="CF16" s="263">
        <f t="shared" si="150"/>
        <v>0</v>
      </c>
      <c r="CG16" s="263">
        <f t="shared" si="151"/>
        <v>0</v>
      </c>
      <c r="CH16" s="263">
        <f t="shared" si="152"/>
        <v>0</v>
      </c>
      <c r="CI16" s="263">
        <f t="shared" si="153"/>
        <v>0</v>
      </c>
      <c r="CJ16" s="263">
        <f t="shared" si="154"/>
        <v>0</v>
      </c>
      <c r="CK16" s="263">
        <f t="shared" si="155"/>
        <v>0</v>
      </c>
      <c r="CL16" s="263">
        <f t="shared" si="156"/>
        <v>0</v>
      </c>
      <c r="CM16" s="263">
        <f t="shared" si="157"/>
        <v>0</v>
      </c>
      <c r="CN16" s="263">
        <f t="shared" si="158"/>
        <v>0</v>
      </c>
      <c r="CO16" s="263">
        <f t="shared" si="159"/>
        <v>0</v>
      </c>
      <c r="CP16" s="263">
        <f t="shared" si="160"/>
        <v>0</v>
      </c>
      <c r="CQ16" s="263">
        <f t="shared" si="161"/>
        <v>0</v>
      </c>
      <c r="CR16" s="263">
        <f t="shared" si="162"/>
        <v>0</v>
      </c>
      <c r="CS16" s="263">
        <f t="shared" si="163"/>
        <v>0</v>
      </c>
      <c r="CT16" s="263">
        <f t="shared" si="164"/>
        <v>0</v>
      </c>
      <c r="CU16" s="263">
        <f t="shared" si="165"/>
        <v>0</v>
      </c>
      <c r="CV16" s="263">
        <f t="shared" si="166"/>
        <v>0</v>
      </c>
      <c r="CW16" s="263">
        <f t="shared" si="167"/>
        <v>0</v>
      </c>
      <c r="CX16" s="263">
        <f t="shared" si="168"/>
        <v>0</v>
      </c>
      <c r="CY16" s="263">
        <f t="shared" si="169"/>
        <v>0</v>
      </c>
      <c r="CZ16" s="263">
        <f t="shared" si="170"/>
        <v>0</v>
      </c>
      <c r="DA16" s="263">
        <f t="shared" si="171"/>
        <v>0</v>
      </c>
      <c r="DB16" s="263">
        <f t="shared" si="172"/>
        <v>0</v>
      </c>
      <c r="DC16" s="263">
        <f t="shared" si="173"/>
        <v>0</v>
      </c>
      <c r="DD16" s="263">
        <f t="shared" si="174"/>
        <v>0</v>
      </c>
      <c r="DE16" s="263">
        <f t="shared" si="175"/>
        <v>0</v>
      </c>
      <c r="DF16" s="263">
        <f t="shared" si="176"/>
        <v>1984732.82</v>
      </c>
      <c r="DG16" s="263">
        <f t="shared" si="177"/>
        <v>0</v>
      </c>
      <c r="DH16" s="263">
        <f t="shared" si="178"/>
        <v>1984732.82</v>
      </c>
      <c r="DI16" s="263">
        <f t="shared" si="179"/>
        <v>1984732.82</v>
      </c>
      <c r="DJ16" s="263">
        <f t="shared" si="180"/>
        <v>0</v>
      </c>
      <c r="DK16" s="263">
        <f t="shared" si="181"/>
        <v>0</v>
      </c>
      <c r="DL16" s="263">
        <f t="shared" si="182"/>
        <v>0</v>
      </c>
      <c r="DM16" s="263">
        <f t="shared" si="183"/>
        <v>0</v>
      </c>
      <c r="DO16" s="264">
        <f t="shared" si="184"/>
        <v>0</v>
      </c>
      <c r="DP16" s="265">
        <f t="shared" si="185"/>
        <v>0</v>
      </c>
      <c r="DQ16" s="264">
        <f t="shared" si="186"/>
        <v>1984732.82</v>
      </c>
      <c r="DR16" s="264">
        <f t="shared" si="187"/>
        <v>0</v>
      </c>
      <c r="DS16" s="265">
        <f t="shared" si="188"/>
        <v>0</v>
      </c>
      <c r="DT16" s="264">
        <f t="shared" si="189"/>
        <v>1984732.82</v>
      </c>
      <c r="DU16" s="264">
        <f t="shared" si="190"/>
        <v>0</v>
      </c>
      <c r="DV16" s="265">
        <f t="shared" si="191"/>
        <v>0</v>
      </c>
      <c r="DW16" s="264">
        <f t="shared" si="192"/>
        <v>1984732.82</v>
      </c>
      <c r="DX16" s="264">
        <f t="shared" si="193"/>
        <v>0</v>
      </c>
      <c r="DY16" s="265">
        <f t="shared" si="194"/>
        <v>0</v>
      </c>
      <c r="DZ16" s="264">
        <f t="shared" si="195"/>
        <v>1984732.82</v>
      </c>
      <c r="EA16" s="264">
        <f t="shared" si="196"/>
        <v>0</v>
      </c>
      <c r="EB16" s="265">
        <f t="shared" si="197"/>
        <v>0</v>
      </c>
      <c r="EC16" s="264">
        <f t="shared" si="198"/>
        <v>1984732.82</v>
      </c>
      <c r="ED16" s="264">
        <f t="shared" si="199"/>
        <v>0</v>
      </c>
      <c r="EE16" s="265">
        <f t="shared" si="200"/>
        <v>0</v>
      </c>
      <c r="EF16" s="264">
        <f t="shared" si="201"/>
        <v>1984732.82</v>
      </c>
      <c r="EG16" s="264">
        <f t="shared" si="202"/>
        <v>0</v>
      </c>
      <c r="EH16" s="265">
        <f t="shared" si="203"/>
        <v>0</v>
      </c>
      <c r="EI16" s="264">
        <f t="shared" si="204"/>
        <v>1984732.82</v>
      </c>
      <c r="EJ16" s="264">
        <f t="shared" si="205"/>
        <v>0</v>
      </c>
      <c r="EK16" s="265">
        <f t="shared" si="206"/>
        <v>0</v>
      </c>
      <c r="EL16" s="264">
        <f t="shared" si="207"/>
        <v>1984732.82</v>
      </c>
      <c r="EM16" s="264">
        <f t="shared" si="208"/>
        <v>0</v>
      </c>
      <c r="EN16" s="265">
        <f t="shared" si="209"/>
        <v>0</v>
      </c>
      <c r="EO16" s="264">
        <f t="shared" si="210"/>
        <v>1984732.82</v>
      </c>
      <c r="EP16" s="264">
        <f t="shared" si="211"/>
        <v>0</v>
      </c>
      <c r="EQ16" s="265">
        <f t="shared" si="212"/>
        <v>0</v>
      </c>
      <c r="ER16" s="264">
        <f t="shared" si="213"/>
        <v>1984732.82</v>
      </c>
      <c r="ES16" s="264">
        <f t="shared" si="214"/>
        <v>0</v>
      </c>
      <c r="ET16" s="265">
        <f t="shared" si="215"/>
        <v>0</v>
      </c>
      <c r="EU16" s="264">
        <f t="shared" si="216"/>
        <v>1984732.82</v>
      </c>
      <c r="EV16" s="264">
        <f>IF(AND(BM16="Yes",OR(BN16="No",AND(BN16="Yes",Inputs!$J$8=Inputs!$J$17+75))),EU16,0)</f>
        <v>0</v>
      </c>
      <c r="EW16" s="265">
        <f t="shared" si="217"/>
        <v>0</v>
      </c>
      <c r="EX16" s="264">
        <f t="shared" si="218"/>
        <v>1984732.82</v>
      </c>
      <c r="EY16" s="264">
        <f t="shared" si="219"/>
        <v>0</v>
      </c>
      <c r="EZ16" s="265">
        <f t="shared" si="220"/>
        <v>0</v>
      </c>
      <c r="FA16" s="264">
        <f t="shared" si="221"/>
        <v>1984732.82</v>
      </c>
      <c r="FB16" s="264">
        <f t="shared" si="222"/>
        <v>0</v>
      </c>
      <c r="FC16" s="265">
        <f t="shared" si="223"/>
        <v>0</v>
      </c>
      <c r="FD16" s="264">
        <f t="shared" si="224"/>
        <v>1984732.82</v>
      </c>
      <c r="FE16" s="264">
        <f t="shared" si="225"/>
        <v>0</v>
      </c>
      <c r="FF16" s="265">
        <f t="shared" si="226"/>
        <v>0</v>
      </c>
      <c r="FG16" s="264">
        <f t="shared" si="227"/>
        <v>1984732.82</v>
      </c>
      <c r="FH16" s="264">
        <f t="shared" si="228"/>
        <v>1984732.82</v>
      </c>
      <c r="FI16" s="264">
        <f t="shared" si="229"/>
        <v>0</v>
      </c>
      <c r="FJ16" s="264">
        <f t="shared" si="230"/>
        <v>1984732.82</v>
      </c>
      <c r="FK16" s="264">
        <f t="shared" si="231"/>
        <v>1984732.82</v>
      </c>
      <c r="FL16" s="264">
        <f t="shared" si="232"/>
        <v>0</v>
      </c>
      <c r="FM16" s="264">
        <f t="shared" si="233"/>
        <v>1984732.82</v>
      </c>
      <c r="FN16" s="264">
        <f t="shared" si="234"/>
        <v>1984732.82</v>
      </c>
      <c r="FO16" s="264">
        <f t="shared" si="235"/>
        <v>0</v>
      </c>
      <c r="FP16" s="264">
        <f t="shared" si="236"/>
        <v>1984732.82</v>
      </c>
      <c r="FQ16" s="264">
        <f t="shared" si="237"/>
        <v>0</v>
      </c>
      <c r="FR16" s="265">
        <f t="shared" si="238"/>
        <v>0</v>
      </c>
      <c r="FS16" s="264">
        <f t="shared" si="239"/>
        <v>1984732.82</v>
      </c>
      <c r="FT16" s="264">
        <f t="shared" si="240"/>
        <v>0</v>
      </c>
      <c r="FU16" s="265">
        <f t="shared" si="241"/>
        <v>0</v>
      </c>
      <c r="FV16" s="264">
        <f t="shared" si="242"/>
        <v>1984732.82</v>
      </c>
      <c r="FW16" s="264">
        <f t="shared" si="243"/>
        <v>0</v>
      </c>
      <c r="FX16" s="264">
        <f t="shared" si="244"/>
        <v>0</v>
      </c>
      <c r="FY16" s="264">
        <f t="shared" si="245"/>
        <v>0</v>
      </c>
      <c r="FZ16" s="264">
        <f t="shared" si="246"/>
        <v>0</v>
      </c>
      <c r="GA16" s="265">
        <f t="shared" si="296"/>
        <v>0</v>
      </c>
      <c r="GB16" s="264">
        <f t="shared" si="297"/>
        <v>1984732.82</v>
      </c>
      <c r="GC16" s="264">
        <f t="shared" si="247"/>
        <v>1984732.82</v>
      </c>
      <c r="GD16" s="266">
        <f t="shared" si="248"/>
        <v>1375122.1140252191</v>
      </c>
      <c r="GE16" s="138">
        <f t="shared" si="249"/>
        <v>0.69284998976598733</v>
      </c>
      <c r="GF16" s="267">
        <f t="shared" si="250"/>
        <v>19</v>
      </c>
      <c r="GG16" s="264">
        <f t="array" ref="GG16">IF(SUM(IF(IC$9:IC15=IC16,1,0))&gt;0,0,SUMIF($IC$10:$IC$406,IC16,$FJ$10:$FJ$406))</f>
        <v>0</v>
      </c>
      <c r="GH16" s="268">
        <f t="shared" si="251"/>
        <v>0</v>
      </c>
      <c r="GI16" s="137">
        <f t="shared" si="126"/>
        <v>7</v>
      </c>
      <c r="GJ16" s="269">
        <f t="shared" si="252"/>
        <v>56100012.079999998</v>
      </c>
      <c r="GK16" s="269">
        <f t="shared" si="253"/>
        <v>152892852.51729038</v>
      </c>
      <c r="GL16" s="163">
        <f t="shared" si="254"/>
        <v>0</v>
      </c>
      <c r="GM16" s="137">
        <f t="array" ref="GM16">IF(GJ16=0,0,LARGE(IF($GG$10:$GG$406=GJ16,$GF$10:$GF$406,0),COUNTIF($GJ$10:$GJ$406,GJ16)-COUNTIF(GJ$9:GJ15,GJ16)))</f>
        <v>42</v>
      </c>
      <c r="GN16" s="270">
        <f t="shared" si="255"/>
        <v>0</v>
      </c>
      <c r="GP16" s="137">
        <f>IF(C16="","",IF(ISERROR(MATCH(C16,C$10:C15,0)),MAX(GP$10:GP15)+1,INDEX(GP$10:GP15,MATCH(C16,C$10:C15,0))))</f>
        <v>7</v>
      </c>
      <c r="GQ16" s="264">
        <f>IF(COUNTIF($A$10:A16,A16)&lt;=1,SUMIF($A$10:$A$406,A16,$FH$10:$FH$406),0)</f>
        <v>1984732.82</v>
      </c>
      <c r="GR16" s="137">
        <f t="shared" si="130"/>
        <v>7</v>
      </c>
      <c r="GS16" s="269">
        <f t="shared" si="256"/>
        <v>27620404</v>
      </c>
      <c r="GT16" s="269">
        <f t="shared" si="257"/>
        <v>50964284.172430128</v>
      </c>
      <c r="GU16" s="163">
        <f t="shared" si="258"/>
        <v>0</v>
      </c>
      <c r="GV16" s="137">
        <f t="array" ref="GV16">IF(GS16=0,0,LARGE(IF($GQ$10:$GQ$406=GS16,$GP$10:$GP$406,0),COUNTIF($GS$10:$GS$406,GS16)-COUNTIF(GS$9:GS15,GS16)))</f>
        <v>99</v>
      </c>
      <c r="GW16" s="270">
        <f t="shared" si="259"/>
        <v>0</v>
      </c>
      <c r="GX16" s="270"/>
      <c r="GY16" s="137">
        <f>IF(C16="","",IF(ISERROR(MATCH(C16,C$10:C15,0)),MAX(GP$10:GP15)+1,INDEX(GP$10:GP15,MATCH(C16,C$10:C15,0))))</f>
        <v>7</v>
      </c>
      <c r="GZ16" s="264">
        <f>IF(COUNTIF($A$10:A16,A16)&lt;=1,SUMIF($A$10:$A$406,A16,$FH$10:$FH$406),0)</f>
        <v>1984732.82</v>
      </c>
      <c r="HA16" s="137">
        <f t="shared" si="134"/>
        <v>7</v>
      </c>
      <c r="HB16" s="269">
        <f t="shared" si="260"/>
        <v>27620404</v>
      </c>
      <c r="HC16" s="414" t="s">
        <v>622</v>
      </c>
      <c r="HD16" s="163">
        <f t="shared" si="261"/>
        <v>0</v>
      </c>
      <c r="HE16" s="137">
        <f t="array" ref="HE16">IF(HB16=0,0,LARGE(IF($GZ$10:$GZ$406=HB16,$GY$10:$GY$406,0),COUNTIF($HB$10:$HB$406,HB16)-COUNTIF(HB$9:HB15,HB16)))</f>
        <v>99</v>
      </c>
      <c r="HF16" s="270">
        <f t="shared" si="262"/>
        <v>0</v>
      </c>
      <c r="HG16"/>
      <c r="HH16" s="268">
        <f t="shared" si="263"/>
        <v>0</v>
      </c>
      <c r="HI16" s="271">
        <v>0</v>
      </c>
      <c r="HJ16" s="264">
        <f t="shared" si="264"/>
        <v>0</v>
      </c>
      <c r="HL16" s="137">
        <f t="shared" si="265"/>
        <v>7</v>
      </c>
      <c r="HM16" s="264">
        <f t="shared" si="300"/>
        <v>3213434.8200000003</v>
      </c>
      <c r="HO16" s="199">
        <f t="shared" ref="HO16:HO79" si="301">MIN(HP16:HT16)</f>
        <v>1984732.82</v>
      </c>
      <c r="HP16" s="199">
        <f t="shared" ref="HP16:HP79" si="302">IF(B16="","",$M16)</f>
        <v>1984732.82</v>
      </c>
      <c r="HQ16" s="199" t="str">
        <f t="shared" ref="HQ16:HQ79" si="303">IF($N16="Yes",IF(P16&gt;=6,0,MIN($T16*$M16,$U16*$M16)),"")</f>
        <v/>
      </c>
      <c r="HR16" s="199" t="str">
        <f t="shared" ref="HR16:HR79" si="304">IF(AND(N16="Yes",P16&gt;=6),"",IF($S16="Yes",$R16*$M16,""))</f>
        <v/>
      </c>
      <c r="HS16" s="199" t="str">
        <f t="shared" si="119"/>
        <v/>
      </c>
      <c r="HT16" s="199" t="str">
        <f t="shared" ref="HT16:HT79" si="305">IF(AND($N16="Yes",$P16&gt;=6),"",IF(OR(CZ16=1,DD16=1,),MIN($T16*$M16,$U16*$M16),IF(OR(DA16=1,DB16=1,DC16=1),IF(AK16&gt;=5000000,MIN($T16*$M16,$IF16*$M16),MIN($T16*$M16,$U16*$M16)),"")))</f>
        <v/>
      </c>
      <c r="HU16" s="199" t="str">
        <f t="shared" ref="HU16:HU79" si="306">IF(DE16&gt;0,DE16,"")</f>
        <v/>
      </c>
      <c r="HV16" s="200">
        <f t="shared" ref="HV16:HV79" si="307">IF(B16="",0,$L16-$M16)</f>
        <v>0</v>
      </c>
      <c r="HW16" s="272">
        <f t="shared" ref="HW16:HW79" si="308">IF(OR(SUM(HQ16:HU16)&gt;0,P16&gt;=6),"",IF($B16="","",1))</f>
        <v>1</v>
      </c>
      <c r="HX16" s="200" t="str">
        <f t="shared" ref="HX16:HX79" si="309">IF(AND($HU16&lt;&gt;0,OR(HU16&lt;=MIN(HQ16:HT16),SUM(HQ16:HT16)=0)),$HU16,0)</f>
        <v/>
      </c>
      <c r="HY16" s="200">
        <f t="shared" ref="HY16:HY79" si="310">IF(AND($HT16&lt;&gt;0,OR(AND($HT16&lt;&gt;$HU16,$HT16&lt;&gt;$HS16,$HT16&lt;&gt;$HR16,$HT16&lt;&gt;$HQ16,$HT16&lt;MIN($HQ16:$HS16),$HT16&lt;HU16),SUM($HQ16:$HS16)+SUM(HU16)=0),IB16&lt;=0),$HT16,0)</f>
        <v>0</v>
      </c>
      <c r="HZ16" s="200" t="str">
        <f t="shared" si="4"/>
        <v/>
      </c>
      <c r="IA16" s="200" t="str">
        <f t="shared" ref="IA16:IA79" si="311">IF(AND($HR16&lt;&gt;0,OR(AND($HR16&lt;&gt;$HU16,HR16&lt;&gt;HT16,HR16&lt;&gt;HS16,HR16&lt;&gt;HQ16,HR16&lt;MIN(HS16:HU16)),SUM(HQ16)+SUM(HS16:HU16)=0)),$HR16,0)</f>
        <v/>
      </c>
      <c r="IB16" s="200" t="str">
        <f t="shared" ref="IB16:IB79" si="312">IF(AND($HQ16&lt;&gt;0,OR(HQ16&lt;=MIN(HR16:HU16),SUM(HR16:HU16)=0)),$HQ16,0)</f>
        <v/>
      </c>
      <c r="IC16" s="273">
        <f>IF(C16="","",INDEX(Lookups!$E$2:$E$69,MATCH('Loan List'!BE16,Lookups!$F$2:$F$69,0)))</f>
        <v>19</v>
      </c>
      <c r="ID16" t="b">
        <f t="shared" ref="ID16:ID79" si="313">HV16=DG16</f>
        <v>1</v>
      </c>
      <c r="IF16" s="346" t="str">
        <f t="shared" si="121"/>
        <v>No Initial Haircut</v>
      </c>
    </row>
    <row r="17" spans="1:240">
      <c r="A17" t="s">
        <v>607</v>
      </c>
      <c r="B17" s="242">
        <f t="shared" si="149"/>
        <v>8</v>
      </c>
      <c r="C17" s="242">
        <f>IF(COUNTIF($A$10:A16,A17)&gt;0,C16,C16+1)</f>
        <v>7</v>
      </c>
      <c r="D17" s="431" t="s">
        <v>721</v>
      </c>
      <c r="E17" s="428" t="s">
        <v>566</v>
      </c>
      <c r="F17" s="429"/>
      <c r="G17" s="430">
        <v>1228702</v>
      </c>
      <c r="H17" s="430">
        <v>1228702</v>
      </c>
      <c r="I17" s="244">
        <f>IF(B17="","",VLOOKUP(BF17,Inputs!$A$12:$J$15,10,FALSE))</f>
        <v>1</v>
      </c>
      <c r="J17" s="245">
        <f>IF(B17="","",G17*I17)</f>
        <v>1228702</v>
      </c>
      <c r="K17" s="245">
        <f>IF(B17="","",H17*I17)</f>
        <v>1228702</v>
      </c>
      <c r="L17" s="245">
        <f>IF(B17="","",IF(COUNTIF($CF17:$CY17,1)&gt;0,0,J17))</f>
        <v>1228702</v>
      </c>
      <c r="M17" s="245">
        <f>IF(B17="","",IF(COUNTIF($CF17:$CY17,1)&gt;0,0,K17))</f>
        <v>1228702</v>
      </c>
      <c r="N17" s="246" t="s">
        <v>246</v>
      </c>
      <c r="O17" s="246" t="s">
        <v>245</v>
      </c>
      <c r="P17" s="247">
        <f>IF(B17="","",IF(OR(O17="N/A",O17=""),0,YEARFRAC('Borrowing Base'!$J$4,'Loan List'!O17)*12))</f>
        <v>0</v>
      </c>
      <c r="Q17" s="246" t="s">
        <v>246</v>
      </c>
      <c r="R17" s="248">
        <v>0.9973376757335527</v>
      </c>
      <c r="S17" s="249" t="str">
        <f>IF(B17="","",IF(R17&lt;95%,"Yes","No"))</f>
        <v>No</v>
      </c>
      <c r="T17" s="248">
        <v>0.98999999943312122</v>
      </c>
      <c r="U17" s="250">
        <f>IF(B17="","",IF(OR(Y17="First Lien",Y17="Split First Lien",Y17="Tier 1 Split Lien",Y17="Tier 2 Split Lien"),50%,30%))</f>
        <v>0.5</v>
      </c>
      <c r="V17" s="250">
        <f t="shared" si="10"/>
        <v>0.71636277883214983</v>
      </c>
      <c r="W17" s="251">
        <f t="shared" si="11"/>
        <v>1228702</v>
      </c>
      <c r="X17" s="246" t="s">
        <v>64</v>
      </c>
      <c r="Y17" s="252" t="s">
        <v>483</v>
      </c>
      <c r="Z17" s="252" t="s">
        <v>484</v>
      </c>
      <c r="AA17" s="253" t="s">
        <v>407</v>
      </c>
      <c r="AB17" s="253" t="s">
        <v>713</v>
      </c>
      <c r="AC17" s="254">
        <v>5.1870294623273443</v>
      </c>
      <c r="AD17" s="254">
        <v>1.4275347114025934</v>
      </c>
      <c r="AE17" s="254">
        <v>2.2249289706538167</v>
      </c>
      <c r="AF17" s="255">
        <v>0.45907660020986363</v>
      </c>
      <c r="AG17" s="256">
        <v>4.6060901857421843</v>
      </c>
      <c r="AH17" s="256">
        <v>4.6060901857421843</v>
      </c>
      <c r="AI17" s="256">
        <v>4.6060901857421843</v>
      </c>
      <c r="AJ17" s="256">
        <v>4.6060901857421843</v>
      </c>
      <c r="AK17" s="257">
        <v>77650021.075818196</v>
      </c>
      <c r="AL17" s="257">
        <v>77650021.075818196</v>
      </c>
      <c r="AM17" s="258">
        <v>45747</v>
      </c>
      <c r="AN17" s="245" t="str">
        <f>IF(C17="","",(IF(AK17&gt;=50000000,"Tier 1",(IF(OR(AK17&gt;=20000000,AND(AK17&gt;5000000,AC17&gt;=1.25,AF17&lt;=0.65)),"Tier 2","Tier 3")))))</f>
        <v>Tier 1</v>
      </c>
      <c r="AO17" s="243">
        <v>47393</v>
      </c>
      <c r="AP17" s="259">
        <f>IF(C17="","",DAYS360(Inputs!$J$8,AO17)/360)</f>
        <v>4.1055555555555552</v>
      </c>
      <c r="AQ17" s="259">
        <f>IF(C17="","",AP17)</f>
        <v>4.1055555555555552</v>
      </c>
      <c r="AR17" s="246" t="s">
        <v>246</v>
      </c>
      <c r="AS17" s="248">
        <v>0</v>
      </c>
      <c r="AT17" s="246" t="s">
        <v>64</v>
      </c>
      <c r="AU17" s="248">
        <v>0.01</v>
      </c>
      <c r="AV17" s="248">
        <v>4.7500000000000001E-2</v>
      </c>
      <c r="AW17" s="248">
        <v>4.2906E-2</v>
      </c>
      <c r="AX17" s="260">
        <f>IF(C17="","",MAX(AU17,AW17))</f>
        <v>4.2906E-2</v>
      </c>
      <c r="AY17" s="248">
        <v>0</v>
      </c>
      <c r="AZ17" s="248">
        <v>0</v>
      </c>
      <c r="BA17" s="248">
        <v>0</v>
      </c>
      <c r="BB17" s="407">
        <f>IF(B17="","",IF(AR17="No",AV17-AZ17,""))</f>
        <v>4.7500000000000001E-2</v>
      </c>
      <c r="BC17" s="407" t="str">
        <f>IF(B17="","",IF(AR17="Yes",AS17-BA17,""))</f>
        <v/>
      </c>
      <c r="BD17" s="252" t="s">
        <v>247</v>
      </c>
      <c r="BE17" s="261" t="s">
        <v>427</v>
      </c>
      <c r="BF17" s="252" t="s">
        <v>7</v>
      </c>
      <c r="BG17" s="252" t="s">
        <v>460</v>
      </c>
      <c r="BH17" s="246" t="s">
        <v>246</v>
      </c>
      <c r="BI17" s="408" t="str">
        <f t="shared" si="17"/>
        <v>No</v>
      </c>
      <c r="BJ17" s="408" t="str">
        <f>IF(B17="","",IF(OR(AND(AZ17&gt;0,BB17&lt;2.5%),AND(BA17&gt;0,BC17&lt;6%)),"Yes","No"))</f>
        <v>No</v>
      </c>
      <c r="BK17" s="246" t="s">
        <v>246</v>
      </c>
      <c r="BL17" s="246" t="s">
        <v>246</v>
      </c>
      <c r="BM17" s="246" t="s">
        <v>64</v>
      </c>
      <c r="BN17" s="246" t="s">
        <v>64</v>
      </c>
      <c r="BO17" s="246" t="s">
        <v>246</v>
      </c>
      <c r="BP17" s="246" t="s">
        <v>246</v>
      </c>
      <c r="BQ17" s="246" t="s">
        <v>246</v>
      </c>
      <c r="BR17" s="246" t="s">
        <v>246</v>
      </c>
      <c r="BS17" s="246" t="s">
        <v>246</v>
      </c>
      <c r="BT17" s="246" t="s">
        <v>246</v>
      </c>
      <c r="BU17" s="246" t="s">
        <v>246</v>
      </c>
      <c r="BV17" s="246" t="s">
        <v>246</v>
      </c>
      <c r="BW17" s="246" t="s">
        <v>246</v>
      </c>
      <c r="BX17" s="246" t="s">
        <v>246</v>
      </c>
      <c r="BY17" s="246" t="s">
        <v>246</v>
      </c>
      <c r="BZ17" s="246" t="s">
        <v>246</v>
      </c>
      <c r="CA17" s="246" t="s">
        <v>246</v>
      </c>
      <c r="CB17" s="246" t="s">
        <v>64</v>
      </c>
      <c r="CC17" s="262">
        <f>IF(B17="","",IF(AT17="No",((BB17+AW17)-$AZ$4),((BB17+AX17)-$AZ$4))*IF(DE17&gt;0,0,M17))</f>
        <v>57974.5836872</v>
      </c>
      <c r="CD17" s="262">
        <f>IF(B17="","",AY17*(L17-M17)*IF(DE17&gt;0,0,1))</f>
        <v>0</v>
      </c>
      <c r="CE17" s="263"/>
      <c r="CF17" s="263">
        <f t="shared" si="150"/>
        <v>0</v>
      </c>
      <c r="CG17" s="263">
        <f t="shared" si="151"/>
        <v>0</v>
      </c>
      <c r="CH17" s="263">
        <f t="shared" si="152"/>
        <v>0</v>
      </c>
      <c r="CI17" s="263">
        <f t="shared" si="153"/>
        <v>0</v>
      </c>
      <c r="CJ17" s="263">
        <f t="shared" si="154"/>
        <v>0</v>
      </c>
      <c r="CK17" s="263">
        <f t="shared" si="155"/>
        <v>0</v>
      </c>
      <c r="CL17" s="263">
        <f t="shared" si="156"/>
        <v>0</v>
      </c>
      <c r="CM17" s="263">
        <f t="shared" si="157"/>
        <v>0</v>
      </c>
      <c r="CN17" s="263">
        <f t="shared" si="158"/>
        <v>0</v>
      </c>
      <c r="CO17" s="263">
        <f t="shared" si="159"/>
        <v>0</v>
      </c>
      <c r="CP17" s="263">
        <f t="shared" si="160"/>
        <v>0</v>
      </c>
      <c r="CQ17" s="263">
        <f t="shared" si="161"/>
        <v>0</v>
      </c>
      <c r="CR17" s="263">
        <f t="shared" si="162"/>
        <v>0</v>
      </c>
      <c r="CS17" s="263">
        <f t="shared" si="163"/>
        <v>0</v>
      </c>
      <c r="CT17" s="263">
        <f t="shared" si="164"/>
        <v>0</v>
      </c>
      <c r="CU17" s="263">
        <f t="shared" si="165"/>
        <v>0</v>
      </c>
      <c r="CV17" s="263">
        <f t="shared" si="166"/>
        <v>0</v>
      </c>
      <c r="CW17" s="263">
        <f t="shared" si="167"/>
        <v>0</v>
      </c>
      <c r="CX17" s="263">
        <f t="shared" si="168"/>
        <v>0</v>
      </c>
      <c r="CY17" s="263">
        <f t="shared" si="169"/>
        <v>0</v>
      </c>
      <c r="CZ17" s="263">
        <f t="shared" si="170"/>
        <v>0</v>
      </c>
      <c r="DA17" s="263">
        <f t="shared" si="171"/>
        <v>0</v>
      </c>
      <c r="DB17" s="263">
        <f t="shared" si="172"/>
        <v>0</v>
      </c>
      <c r="DC17" s="263">
        <f t="shared" si="173"/>
        <v>0</v>
      </c>
      <c r="DD17" s="263">
        <f t="shared" si="174"/>
        <v>0</v>
      </c>
      <c r="DE17" s="263">
        <f t="shared" si="175"/>
        <v>0</v>
      </c>
      <c r="DF17" s="263">
        <f t="shared" si="176"/>
        <v>1228702</v>
      </c>
      <c r="DG17" s="263">
        <f t="shared" si="177"/>
        <v>0</v>
      </c>
      <c r="DH17" s="263">
        <f t="shared" si="178"/>
        <v>1228702</v>
      </c>
      <c r="DI17" s="263">
        <f t="shared" si="179"/>
        <v>1228702</v>
      </c>
      <c r="DJ17" s="263">
        <f t="shared" si="180"/>
        <v>0</v>
      </c>
      <c r="DK17" s="263">
        <f t="shared" si="181"/>
        <v>0</v>
      </c>
      <c r="DL17" s="263">
        <f t="shared" si="182"/>
        <v>0</v>
      </c>
      <c r="DM17" s="263">
        <f t="shared" si="183"/>
        <v>0</v>
      </c>
      <c r="DO17" s="264">
        <f t="shared" si="184"/>
        <v>0</v>
      </c>
      <c r="DP17" s="265">
        <f t="shared" si="185"/>
        <v>0</v>
      </c>
      <c r="DQ17" s="264">
        <f t="shared" si="186"/>
        <v>1228702</v>
      </c>
      <c r="DR17" s="264">
        <f t="shared" si="187"/>
        <v>0</v>
      </c>
      <c r="DS17" s="265">
        <f t="shared" si="188"/>
        <v>0</v>
      </c>
      <c r="DT17" s="264">
        <f t="shared" si="189"/>
        <v>1228702</v>
      </c>
      <c r="DU17" s="264">
        <f t="shared" si="190"/>
        <v>0</v>
      </c>
      <c r="DV17" s="265">
        <f t="shared" si="191"/>
        <v>0</v>
      </c>
      <c r="DW17" s="264">
        <f t="shared" si="192"/>
        <v>1228702</v>
      </c>
      <c r="DX17" s="264">
        <f t="shared" si="193"/>
        <v>0</v>
      </c>
      <c r="DY17" s="265">
        <f t="shared" si="194"/>
        <v>0</v>
      </c>
      <c r="DZ17" s="264">
        <f t="shared" si="195"/>
        <v>1228702</v>
      </c>
      <c r="EA17" s="264">
        <f t="shared" si="196"/>
        <v>0</v>
      </c>
      <c r="EB17" s="265">
        <f t="shared" si="197"/>
        <v>0</v>
      </c>
      <c r="EC17" s="264">
        <f t="shared" si="198"/>
        <v>1228702</v>
      </c>
      <c r="ED17" s="264">
        <f t="shared" si="199"/>
        <v>0</v>
      </c>
      <c r="EE17" s="265">
        <f t="shared" si="200"/>
        <v>0</v>
      </c>
      <c r="EF17" s="264">
        <f t="shared" si="201"/>
        <v>1228702</v>
      </c>
      <c r="EG17" s="264">
        <f t="shared" si="202"/>
        <v>0</v>
      </c>
      <c r="EH17" s="265">
        <f t="shared" si="203"/>
        <v>0</v>
      </c>
      <c r="EI17" s="264">
        <f t="shared" si="204"/>
        <v>1228702</v>
      </c>
      <c r="EJ17" s="264">
        <f t="shared" si="205"/>
        <v>0</v>
      </c>
      <c r="EK17" s="265">
        <f t="shared" si="206"/>
        <v>0</v>
      </c>
      <c r="EL17" s="264">
        <f t="shared" si="207"/>
        <v>1228702</v>
      </c>
      <c r="EM17" s="264">
        <f t="shared" si="208"/>
        <v>0</v>
      </c>
      <c r="EN17" s="265">
        <f t="shared" si="209"/>
        <v>0</v>
      </c>
      <c r="EO17" s="264">
        <f t="shared" si="210"/>
        <v>1228702</v>
      </c>
      <c r="EP17" s="264">
        <f t="shared" si="211"/>
        <v>0</v>
      </c>
      <c r="EQ17" s="265">
        <f t="shared" si="212"/>
        <v>0</v>
      </c>
      <c r="ER17" s="264">
        <f t="shared" si="213"/>
        <v>1228702</v>
      </c>
      <c r="ES17" s="264">
        <f t="shared" si="214"/>
        <v>0</v>
      </c>
      <c r="ET17" s="265">
        <f t="shared" si="215"/>
        <v>0</v>
      </c>
      <c r="EU17" s="264">
        <f t="shared" si="216"/>
        <v>1228702</v>
      </c>
      <c r="EV17" s="264">
        <f>IF(AND(BM17="Yes",OR(BN17="No",AND(BN17="Yes",Inputs!$J$8=Inputs!$J$17+75))),EU17,0)</f>
        <v>0</v>
      </c>
      <c r="EW17" s="265">
        <f t="shared" si="217"/>
        <v>0</v>
      </c>
      <c r="EX17" s="264">
        <f t="shared" si="218"/>
        <v>1228702</v>
      </c>
      <c r="EY17" s="264">
        <f t="shared" si="219"/>
        <v>0</v>
      </c>
      <c r="EZ17" s="265">
        <f t="shared" si="220"/>
        <v>0</v>
      </c>
      <c r="FA17" s="264">
        <f t="shared" si="221"/>
        <v>1228702</v>
      </c>
      <c r="FB17" s="264">
        <f t="shared" si="222"/>
        <v>0</v>
      </c>
      <c r="FC17" s="265">
        <f t="shared" si="223"/>
        <v>0</v>
      </c>
      <c r="FD17" s="264">
        <f t="shared" si="224"/>
        <v>1228702</v>
      </c>
      <c r="FE17" s="264">
        <f t="shared" si="225"/>
        <v>0</v>
      </c>
      <c r="FF17" s="265">
        <f t="shared" si="226"/>
        <v>0</v>
      </c>
      <c r="FG17" s="264">
        <f t="shared" si="227"/>
        <v>1228702</v>
      </c>
      <c r="FH17" s="264">
        <f t="shared" si="228"/>
        <v>1228702</v>
      </c>
      <c r="FI17" s="264">
        <f t="shared" si="229"/>
        <v>0</v>
      </c>
      <c r="FJ17" s="264">
        <f t="shared" si="230"/>
        <v>1228702</v>
      </c>
      <c r="FK17" s="264">
        <f t="shared" si="231"/>
        <v>1228702</v>
      </c>
      <c r="FL17" s="264">
        <f t="shared" si="232"/>
        <v>0</v>
      </c>
      <c r="FM17" s="264">
        <f t="shared" si="233"/>
        <v>1228702</v>
      </c>
      <c r="FN17" s="264">
        <f t="shared" si="234"/>
        <v>1228702</v>
      </c>
      <c r="FO17" s="264">
        <f t="shared" si="235"/>
        <v>0</v>
      </c>
      <c r="FP17" s="264">
        <f t="shared" si="236"/>
        <v>1228702</v>
      </c>
      <c r="FQ17" s="264">
        <f t="shared" si="237"/>
        <v>0</v>
      </c>
      <c r="FR17" s="265">
        <f t="shared" si="238"/>
        <v>0</v>
      </c>
      <c r="FS17" s="264">
        <f t="shared" si="239"/>
        <v>1228702</v>
      </c>
      <c r="FT17" s="264">
        <f t="shared" si="240"/>
        <v>0</v>
      </c>
      <c r="FU17" s="265">
        <f t="shared" si="241"/>
        <v>0</v>
      </c>
      <c r="FV17" s="264">
        <f t="shared" si="242"/>
        <v>1228702</v>
      </c>
      <c r="FW17" s="264">
        <f t="shared" si="243"/>
        <v>0</v>
      </c>
      <c r="FX17" s="264">
        <f t="shared" si="244"/>
        <v>0</v>
      </c>
      <c r="FY17" s="264">
        <f t="shared" si="245"/>
        <v>0</v>
      </c>
      <c r="FZ17" s="264">
        <f t="shared" si="246"/>
        <v>0</v>
      </c>
      <c r="GA17" s="265">
        <f t="shared" si="296"/>
        <v>0</v>
      </c>
      <c r="GB17" s="264">
        <f t="shared" si="297"/>
        <v>1228702</v>
      </c>
      <c r="GC17" s="264">
        <f t="shared" si="247"/>
        <v>1228702</v>
      </c>
      <c r="GD17" s="266">
        <f t="shared" si="248"/>
        <v>880196.37907662021</v>
      </c>
      <c r="GE17" s="138">
        <f t="shared" si="249"/>
        <v>0.71636277883214983</v>
      </c>
      <c r="GF17" s="267">
        <f t="shared" si="250"/>
        <v>41</v>
      </c>
      <c r="GG17" s="264">
        <f t="array" ref="GG17">IF(SUM(IF(IC$9:IC16=IC17,1,0))&gt;0,0,SUMIF($IC$10:$IC$406,IC17,$FJ$10:$FJ$406))</f>
        <v>0</v>
      </c>
      <c r="GH17" s="268">
        <f t="shared" si="251"/>
        <v>0</v>
      </c>
      <c r="GI17" s="137">
        <f t="shared" si="126"/>
        <v>8</v>
      </c>
      <c r="GJ17" s="269">
        <f t="shared" si="252"/>
        <v>52656704</v>
      </c>
      <c r="GK17" s="269">
        <f t="shared" si="253"/>
        <v>152892852.51729038</v>
      </c>
      <c r="GL17" s="163">
        <f t="shared" si="254"/>
        <v>0</v>
      </c>
      <c r="GM17" s="137">
        <f t="array" ref="GM17">IF(GJ17=0,0,LARGE(IF($GG$10:$GG$406=GJ17,$GF$10:$GF$406,0),COUNTIF($GJ$10:$GJ$406,GJ17)-COUNTIF(GJ$9:GJ16,GJ17)))</f>
        <v>12</v>
      </c>
      <c r="GN17" s="270">
        <f t="shared" si="255"/>
        <v>0</v>
      </c>
      <c r="GP17" s="137">
        <f>IF(C17="","",IF(ISERROR(MATCH(C17,C$10:C16,0)),MAX(GP$10:GP16)+1,INDEX(GP$10:GP16,MATCH(C17,C$10:C16,0))))</f>
        <v>7</v>
      </c>
      <c r="GQ17" s="264">
        <f>IF(COUNTIF($A$10:A17,A17)&lt;=1,SUMIF($A$10:$A$406,A17,$FH$10:$FH$406),0)</f>
        <v>0</v>
      </c>
      <c r="GR17" s="137">
        <f t="shared" si="130"/>
        <v>8</v>
      </c>
      <c r="GS17" s="269">
        <f t="shared" si="256"/>
        <v>27610421.649999999</v>
      </c>
      <c r="GT17" s="269">
        <f t="shared" si="257"/>
        <v>50964284.172430128</v>
      </c>
      <c r="GU17" s="163">
        <f t="shared" si="258"/>
        <v>0</v>
      </c>
      <c r="GV17" s="137">
        <f t="array" ref="GV17">IF(GS17=0,0,LARGE(IF($GQ$10:$GQ$406=GS17,$GP$10:$GP$406,0),COUNTIF($GS$10:$GS$406,GS17)-COUNTIF(GS$9:GS16,GS17)))</f>
        <v>19</v>
      </c>
      <c r="GW17" s="270">
        <f t="shared" si="259"/>
        <v>0</v>
      </c>
      <c r="GX17" s="270"/>
      <c r="GY17" s="137">
        <f>IF(C17="","",IF(ISERROR(MATCH(C17,C$10:C16,0)),MAX(GP$10:GP16)+1,INDEX(GP$10:GP16,MATCH(C17,C$10:C16,0))))</f>
        <v>7</v>
      </c>
      <c r="GZ17" s="264">
        <f>IF(COUNTIF($A$10:A17,A17)&lt;=1,SUMIF($A$10:$A$406,A17,$FH$10:$FH$406),0)</f>
        <v>0</v>
      </c>
      <c r="HA17" s="137">
        <f t="shared" si="134"/>
        <v>8</v>
      </c>
      <c r="HB17" s="269">
        <f t="shared" si="260"/>
        <v>27610421.649999999</v>
      </c>
      <c r="HC17" s="414" t="s">
        <v>622</v>
      </c>
      <c r="HD17" s="163">
        <f t="shared" si="261"/>
        <v>0</v>
      </c>
      <c r="HE17" s="137">
        <f t="array" ref="HE17">IF(HB17=0,0,LARGE(IF($GZ$10:$GZ$406=HB17,$GY$10:$GY$406,0),COUNTIF($HB$10:$HB$406,HB17)-COUNTIF(HB$9:HB16,HB17)))</f>
        <v>19</v>
      </c>
      <c r="HF17" s="270">
        <f t="shared" si="262"/>
        <v>0</v>
      </c>
      <c r="HG17"/>
      <c r="HH17" s="268">
        <f t="shared" si="263"/>
        <v>0</v>
      </c>
      <c r="HI17" s="271">
        <v>0</v>
      </c>
      <c r="HJ17" s="264">
        <f t="shared" si="264"/>
        <v>0</v>
      </c>
      <c r="HL17" s="137">
        <f t="shared" si="265"/>
        <v>8</v>
      </c>
      <c r="HM17" s="264">
        <f t="shared" si="300"/>
        <v>4800000</v>
      </c>
      <c r="HO17" s="199">
        <f t="shared" si="301"/>
        <v>1228702</v>
      </c>
      <c r="HP17" s="199">
        <f t="shared" si="302"/>
        <v>1228702</v>
      </c>
      <c r="HQ17" s="199" t="str">
        <f t="shared" si="303"/>
        <v/>
      </c>
      <c r="HR17" s="199" t="str">
        <f t="shared" si="304"/>
        <v/>
      </c>
      <c r="HS17" s="199" t="str">
        <f t="shared" si="119"/>
        <v/>
      </c>
      <c r="HT17" s="199" t="str">
        <f t="shared" si="305"/>
        <v/>
      </c>
      <c r="HU17" s="199" t="str">
        <f t="shared" si="306"/>
        <v/>
      </c>
      <c r="HV17" s="200">
        <f t="shared" si="307"/>
        <v>0</v>
      </c>
      <c r="HW17" s="272">
        <f t="shared" si="308"/>
        <v>1</v>
      </c>
      <c r="HX17" s="200" t="str">
        <f t="shared" si="309"/>
        <v/>
      </c>
      <c r="HY17" s="200">
        <f t="shared" si="310"/>
        <v>0</v>
      </c>
      <c r="HZ17" s="200" t="str">
        <f t="shared" si="4"/>
        <v/>
      </c>
      <c r="IA17" s="200" t="str">
        <f t="shared" si="311"/>
        <v/>
      </c>
      <c r="IB17" s="200" t="str">
        <f t="shared" si="312"/>
        <v/>
      </c>
      <c r="IC17" s="273">
        <f>IF(C17="","",INDEX(Lookups!$E$2:$E$69,MATCH('Loan List'!BE17,Lookups!$F$2:$F$69,0)))</f>
        <v>41</v>
      </c>
      <c r="ID17" t="b">
        <f t="shared" si="313"/>
        <v>1</v>
      </c>
      <c r="IF17" s="346" t="str">
        <f>IF(B17="","",IF(AND(Y17="Second Lien",OR(DA17=1,DB17=1,DC17=1)),50%,IF(DA17=1,90%,IF(DB17=1,80%,IF(DC17=1,65%,"No Initial Haircut")))))</f>
        <v>No Initial Haircut</v>
      </c>
    </row>
    <row r="18" spans="1:240">
      <c r="A18" t="s">
        <v>722</v>
      </c>
      <c r="B18" s="242">
        <f t="shared" si="149"/>
        <v>9</v>
      </c>
      <c r="C18" s="242">
        <f>IF(COUNTIF($A$10:A17,A18)&gt;0,C17,C17+1)</f>
        <v>8</v>
      </c>
      <c r="D18" s="431" t="s">
        <v>722</v>
      </c>
      <c r="E18" s="428" t="s">
        <v>805</v>
      </c>
      <c r="F18" s="429"/>
      <c r="G18" s="430">
        <v>4800000</v>
      </c>
      <c r="H18" s="430">
        <v>4800000</v>
      </c>
      <c r="I18" s="244">
        <f>IF(B18="","",VLOOKUP(BF18,Inputs!$A$12:$J$15,10,FALSE))</f>
        <v>1</v>
      </c>
      <c r="J18" s="245">
        <f t="shared" si="5"/>
        <v>4800000</v>
      </c>
      <c r="K18" s="245">
        <f t="shared" si="6"/>
        <v>4800000</v>
      </c>
      <c r="L18" s="245">
        <f t="shared" si="7"/>
        <v>4800000</v>
      </c>
      <c r="M18" s="245">
        <f t="shared" si="8"/>
        <v>4800000</v>
      </c>
      <c r="N18" s="246" t="s">
        <v>246</v>
      </c>
      <c r="O18" s="246" t="s">
        <v>245</v>
      </c>
      <c r="P18" s="247">
        <f>IF(B18="","",IF(OR(O18="N/A",O18=""),0,YEARFRAC('Borrowing Base'!$J$4,'Loan List'!O18)*12))</f>
        <v>0</v>
      </c>
      <c r="Q18" s="246" t="s">
        <v>246</v>
      </c>
      <c r="R18" s="248">
        <v>1</v>
      </c>
      <c r="S18" s="249" t="str">
        <f t="shared" si="1"/>
        <v>No</v>
      </c>
      <c r="T18" s="248">
        <v>1</v>
      </c>
      <c r="U18" s="250">
        <f t="shared" si="9"/>
        <v>0.5</v>
      </c>
      <c r="V18" s="250">
        <f t="shared" si="10"/>
        <v>0.70963023829087923</v>
      </c>
      <c r="W18" s="251">
        <f t="shared" si="11"/>
        <v>4800000</v>
      </c>
      <c r="X18" s="246" t="s">
        <v>64</v>
      </c>
      <c r="Y18" s="252" t="s">
        <v>483</v>
      </c>
      <c r="Z18" s="252" t="s">
        <v>484</v>
      </c>
      <c r="AA18" s="253" t="s">
        <v>407</v>
      </c>
      <c r="AB18" s="253" t="s">
        <v>713</v>
      </c>
      <c r="AC18" s="254">
        <v>1.5</v>
      </c>
      <c r="AD18" s="254">
        <v>0.81284538057390332</v>
      </c>
      <c r="AE18" s="254">
        <v>1.6853020249622066</v>
      </c>
      <c r="AF18" s="255">
        <v>0.43201987930422436</v>
      </c>
      <c r="AG18" s="256">
        <v>4.6923195558297346</v>
      </c>
      <c r="AH18" s="256">
        <v>4.6923195558297346</v>
      </c>
      <c r="AI18" s="256">
        <v>5.1659334642144819</v>
      </c>
      <c r="AJ18" s="256">
        <v>5.1659334642144819</v>
      </c>
      <c r="AK18" s="257">
        <v>12968000</v>
      </c>
      <c r="AL18" s="257">
        <v>11275995.464037107</v>
      </c>
      <c r="AM18" s="258">
        <v>45838</v>
      </c>
      <c r="AN18" s="245" t="str">
        <f t="shared" si="12"/>
        <v>Tier 2</v>
      </c>
      <c r="AO18" s="243">
        <v>46149</v>
      </c>
      <c r="AP18" s="259">
        <f>IF(C18="","",DAYS360(Inputs!$J$8,AO18)/360)</f>
        <v>0.70277777777777772</v>
      </c>
      <c r="AQ18" s="259">
        <f t="shared" si="13"/>
        <v>0.70277777777777772</v>
      </c>
      <c r="AR18" s="246" t="s">
        <v>246</v>
      </c>
      <c r="AS18" s="248">
        <v>0</v>
      </c>
      <c r="AT18" s="246" t="s">
        <v>64</v>
      </c>
      <c r="AU18" s="248">
        <v>0.01</v>
      </c>
      <c r="AV18" s="248">
        <v>5.7500000000000002E-2</v>
      </c>
      <c r="AW18" s="248">
        <v>4.3506999999999997E-2</v>
      </c>
      <c r="AX18" s="260">
        <f t="shared" si="14"/>
        <v>4.3506999999999997E-2</v>
      </c>
      <c r="AY18" s="248">
        <v>0</v>
      </c>
      <c r="AZ18" s="248">
        <v>0</v>
      </c>
      <c r="BA18" s="248">
        <v>0</v>
      </c>
      <c r="BB18" s="407">
        <f t="shared" si="15"/>
        <v>5.7500000000000002E-2</v>
      </c>
      <c r="BC18" s="407" t="str">
        <f t="shared" si="16"/>
        <v/>
      </c>
      <c r="BD18" s="252" t="s">
        <v>247</v>
      </c>
      <c r="BE18" s="261" t="s">
        <v>437</v>
      </c>
      <c r="BF18" s="252" t="s">
        <v>7</v>
      </c>
      <c r="BG18" s="252" t="s">
        <v>460</v>
      </c>
      <c r="BH18" s="246" t="s">
        <v>246</v>
      </c>
      <c r="BI18" s="408" t="str">
        <f t="shared" si="17"/>
        <v>No</v>
      </c>
      <c r="BJ18" s="408" t="str">
        <f t="shared" si="18"/>
        <v>No</v>
      </c>
      <c r="BK18" s="246" t="s">
        <v>246</v>
      </c>
      <c r="BL18" s="246" t="s">
        <v>246</v>
      </c>
      <c r="BM18" s="246" t="s">
        <v>64</v>
      </c>
      <c r="BN18" s="246" t="s">
        <v>64</v>
      </c>
      <c r="BO18" s="246" t="s">
        <v>246</v>
      </c>
      <c r="BP18" s="246" t="s">
        <v>246</v>
      </c>
      <c r="BQ18" s="246" t="s">
        <v>246</v>
      </c>
      <c r="BR18" s="246" t="s">
        <v>246</v>
      </c>
      <c r="BS18" s="246" t="s">
        <v>246</v>
      </c>
      <c r="BT18" s="246" t="s">
        <v>246</v>
      </c>
      <c r="BU18" s="246" t="s">
        <v>246</v>
      </c>
      <c r="BV18" s="246" t="s">
        <v>246</v>
      </c>
      <c r="BW18" s="246" t="s">
        <v>246</v>
      </c>
      <c r="BX18" s="246" t="s">
        <v>246</v>
      </c>
      <c r="BY18" s="246" t="s">
        <v>246</v>
      </c>
      <c r="BZ18" s="246" t="s">
        <v>246</v>
      </c>
      <c r="CA18" s="246" t="s">
        <v>246</v>
      </c>
      <c r="CB18" s="246" t="s">
        <v>64</v>
      </c>
      <c r="CC18" s="262">
        <f t="shared" si="19"/>
        <v>277366.08</v>
      </c>
      <c r="CD18" s="262">
        <f t="shared" si="20"/>
        <v>0</v>
      </c>
      <c r="CE18" s="263"/>
      <c r="CF18" s="263">
        <f t="shared" si="150"/>
        <v>0</v>
      </c>
      <c r="CG18" s="263">
        <f t="shared" si="151"/>
        <v>0</v>
      </c>
      <c r="CH18" s="263">
        <f t="shared" si="152"/>
        <v>0</v>
      </c>
      <c r="CI18" s="263">
        <f t="shared" si="153"/>
        <v>0</v>
      </c>
      <c r="CJ18" s="263">
        <f t="shared" si="154"/>
        <v>0</v>
      </c>
      <c r="CK18" s="263">
        <f t="shared" si="155"/>
        <v>0</v>
      </c>
      <c r="CL18" s="263">
        <f t="shared" si="156"/>
        <v>0</v>
      </c>
      <c r="CM18" s="263">
        <f t="shared" si="157"/>
        <v>0</v>
      </c>
      <c r="CN18" s="263">
        <f t="shared" si="158"/>
        <v>0</v>
      </c>
      <c r="CO18" s="263">
        <f t="shared" si="159"/>
        <v>0</v>
      </c>
      <c r="CP18" s="263">
        <f t="shared" si="160"/>
        <v>0</v>
      </c>
      <c r="CQ18" s="263">
        <f t="shared" si="161"/>
        <v>0</v>
      </c>
      <c r="CR18" s="263">
        <f t="shared" si="162"/>
        <v>0</v>
      </c>
      <c r="CS18" s="263">
        <f t="shared" si="163"/>
        <v>0</v>
      </c>
      <c r="CT18" s="263">
        <f t="shared" si="164"/>
        <v>0</v>
      </c>
      <c r="CU18" s="263">
        <f t="shared" si="165"/>
        <v>0</v>
      </c>
      <c r="CV18" s="263">
        <f t="shared" si="166"/>
        <v>0</v>
      </c>
      <c r="CW18" s="263">
        <f t="shared" si="167"/>
        <v>0</v>
      </c>
      <c r="CX18" s="263">
        <f t="shared" si="168"/>
        <v>0</v>
      </c>
      <c r="CY18" s="263">
        <f t="shared" si="169"/>
        <v>0</v>
      </c>
      <c r="CZ18" s="263">
        <f t="shared" si="170"/>
        <v>0</v>
      </c>
      <c r="DA18" s="263">
        <f t="shared" si="171"/>
        <v>0</v>
      </c>
      <c r="DB18" s="263">
        <f t="shared" si="172"/>
        <v>0</v>
      </c>
      <c r="DC18" s="263">
        <f t="shared" si="173"/>
        <v>0</v>
      </c>
      <c r="DD18" s="263">
        <f t="shared" si="174"/>
        <v>0</v>
      </c>
      <c r="DE18" s="263">
        <f t="shared" si="175"/>
        <v>0</v>
      </c>
      <c r="DF18" s="263">
        <f t="shared" si="176"/>
        <v>4800000</v>
      </c>
      <c r="DG18" s="263">
        <f t="shared" si="177"/>
        <v>0</v>
      </c>
      <c r="DH18" s="263">
        <f t="shared" si="178"/>
        <v>4800000</v>
      </c>
      <c r="DI18" s="263">
        <f t="shared" si="179"/>
        <v>4800000</v>
      </c>
      <c r="DJ18" s="263">
        <f t="shared" si="180"/>
        <v>0</v>
      </c>
      <c r="DK18" s="263">
        <f t="shared" si="181"/>
        <v>0</v>
      </c>
      <c r="DL18" s="263">
        <f t="shared" si="182"/>
        <v>0</v>
      </c>
      <c r="DM18" s="263">
        <f t="shared" si="183"/>
        <v>0</v>
      </c>
      <c r="DO18" s="264">
        <f t="shared" si="184"/>
        <v>0</v>
      </c>
      <c r="DP18" s="265">
        <f t="shared" si="185"/>
        <v>0</v>
      </c>
      <c r="DQ18" s="264">
        <f t="shared" si="186"/>
        <v>4800000</v>
      </c>
      <c r="DR18" s="264">
        <f t="shared" si="187"/>
        <v>0</v>
      </c>
      <c r="DS18" s="265">
        <f t="shared" si="188"/>
        <v>0</v>
      </c>
      <c r="DT18" s="264">
        <f t="shared" si="189"/>
        <v>4800000</v>
      </c>
      <c r="DU18" s="264">
        <f t="shared" si="190"/>
        <v>0</v>
      </c>
      <c r="DV18" s="265">
        <f t="shared" si="191"/>
        <v>0</v>
      </c>
      <c r="DW18" s="264">
        <f t="shared" si="192"/>
        <v>4800000</v>
      </c>
      <c r="DX18" s="264">
        <f t="shared" si="193"/>
        <v>0</v>
      </c>
      <c r="DY18" s="265">
        <f t="shared" si="194"/>
        <v>0</v>
      </c>
      <c r="DZ18" s="264">
        <f t="shared" si="195"/>
        <v>4800000</v>
      </c>
      <c r="EA18" s="264">
        <f t="shared" si="196"/>
        <v>0</v>
      </c>
      <c r="EB18" s="265">
        <f t="shared" si="197"/>
        <v>0</v>
      </c>
      <c r="EC18" s="264">
        <f t="shared" si="198"/>
        <v>4800000</v>
      </c>
      <c r="ED18" s="264">
        <f t="shared" si="199"/>
        <v>0</v>
      </c>
      <c r="EE18" s="265">
        <f t="shared" si="200"/>
        <v>0</v>
      </c>
      <c r="EF18" s="264">
        <f t="shared" si="201"/>
        <v>4800000</v>
      </c>
      <c r="EG18" s="264">
        <f t="shared" si="202"/>
        <v>0</v>
      </c>
      <c r="EH18" s="265">
        <f t="shared" si="203"/>
        <v>0</v>
      </c>
      <c r="EI18" s="264">
        <f t="shared" si="204"/>
        <v>4800000</v>
      </c>
      <c r="EJ18" s="264">
        <f t="shared" si="205"/>
        <v>0</v>
      </c>
      <c r="EK18" s="265">
        <f t="shared" si="206"/>
        <v>0</v>
      </c>
      <c r="EL18" s="264">
        <f t="shared" si="207"/>
        <v>4800000</v>
      </c>
      <c r="EM18" s="264">
        <f t="shared" si="208"/>
        <v>0</v>
      </c>
      <c r="EN18" s="265">
        <f t="shared" si="209"/>
        <v>0</v>
      </c>
      <c r="EO18" s="264">
        <f t="shared" si="210"/>
        <v>4800000</v>
      </c>
      <c r="EP18" s="264">
        <f t="shared" si="211"/>
        <v>0</v>
      </c>
      <c r="EQ18" s="265">
        <f t="shared" si="212"/>
        <v>0</v>
      </c>
      <c r="ER18" s="264">
        <f t="shared" si="213"/>
        <v>4800000</v>
      </c>
      <c r="ES18" s="264">
        <f t="shared" si="214"/>
        <v>0</v>
      </c>
      <c r="ET18" s="265">
        <f t="shared" si="215"/>
        <v>0</v>
      </c>
      <c r="EU18" s="264">
        <f t="shared" si="216"/>
        <v>4800000</v>
      </c>
      <c r="EV18" s="264">
        <f>IF(AND(BM18="Yes",OR(BN18="No",AND(BN18="Yes",Inputs!$J$8=Inputs!$J$17+75))),EU18,0)</f>
        <v>0</v>
      </c>
      <c r="EW18" s="265">
        <f t="shared" si="217"/>
        <v>0</v>
      </c>
      <c r="EX18" s="264">
        <f t="shared" si="218"/>
        <v>4800000</v>
      </c>
      <c r="EY18" s="264">
        <f t="shared" si="219"/>
        <v>0</v>
      </c>
      <c r="EZ18" s="265">
        <f t="shared" si="220"/>
        <v>0</v>
      </c>
      <c r="FA18" s="264">
        <f t="shared" si="221"/>
        <v>4800000</v>
      </c>
      <c r="FB18" s="264">
        <f t="shared" si="222"/>
        <v>0</v>
      </c>
      <c r="FC18" s="265">
        <f t="shared" si="223"/>
        <v>0</v>
      </c>
      <c r="FD18" s="264">
        <f t="shared" si="224"/>
        <v>4800000</v>
      </c>
      <c r="FE18" s="264">
        <f t="shared" si="225"/>
        <v>0</v>
      </c>
      <c r="FF18" s="265">
        <f t="shared" si="226"/>
        <v>0</v>
      </c>
      <c r="FG18" s="264">
        <f t="shared" si="227"/>
        <v>4800000</v>
      </c>
      <c r="FH18" s="264">
        <f t="shared" si="228"/>
        <v>4800000</v>
      </c>
      <c r="FI18" s="264">
        <f t="shared" si="229"/>
        <v>0</v>
      </c>
      <c r="FJ18" s="264">
        <f t="shared" si="230"/>
        <v>4800000</v>
      </c>
      <c r="FK18" s="264">
        <f t="shared" si="231"/>
        <v>4800000</v>
      </c>
      <c r="FL18" s="264">
        <f t="shared" si="232"/>
        <v>0</v>
      </c>
      <c r="FM18" s="264">
        <f t="shared" si="233"/>
        <v>4800000</v>
      </c>
      <c r="FN18" s="264">
        <f t="shared" si="234"/>
        <v>4800000</v>
      </c>
      <c r="FO18" s="264">
        <f t="shared" si="235"/>
        <v>0</v>
      </c>
      <c r="FP18" s="264">
        <f t="shared" si="236"/>
        <v>4800000</v>
      </c>
      <c r="FQ18" s="264">
        <f t="shared" si="237"/>
        <v>0</v>
      </c>
      <c r="FR18" s="265">
        <f t="shared" si="238"/>
        <v>0</v>
      </c>
      <c r="FS18" s="264">
        <f t="shared" si="239"/>
        <v>4800000</v>
      </c>
      <c r="FT18" s="264">
        <f t="shared" si="240"/>
        <v>4800000</v>
      </c>
      <c r="FU18" s="265">
        <f t="shared" si="241"/>
        <v>0</v>
      </c>
      <c r="FV18" s="264">
        <f t="shared" si="242"/>
        <v>4800000</v>
      </c>
      <c r="FW18" s="264">
        <f t="shared" si="243"/>
        <v>0</v>
      </c>
      <c r="FX18" s="264">
        <f t="shared" si="244"/>
        <v>0</v>
      </c>
      <c r="FY18" s="264">
        <f t="shared" si="245"/>
        <v>0</v>
      </c>
      <c r="FZ18" s="264">
        <f t="shared" si="246"/>
        <v>0</v>
      </c>
      <c r="GA18" s="265">
        <f t="shared" si="296"/>
        <v>0</v>
      </c>
      <c r="GB18" s="264">
        <f t="shared" si="297"/>
        <v>4800000</v>
      </c>
      <c r="GC18" s="264">
        <f t="shared" si="247"/>
        <v>4800000</v>
      </c>
      <c r="GD18" s="266">
        <f t="shared" si="248"/>
        <v>3406225.1437962204</v>
      </c>
      <c r="GE18" s="138">
        <f t="shared" si="249"/>
        <v>0.70963023829087923</v>
      </c>
      <c r="GF18" s="267">
        <f t="shared" si="250"/>
        <v>46</v>
      </c>
      <c r="GG18" s="264">
        <f t="array" ref="GG18">IF(SUM(IF(IC$9:IC17=IC18,1,0))&gt;0,0,SUMIF($IC$10:$IC$406,IC18,$FJ$10:$FJ$406))</f>
        <v>105924673.35995001</v>
      </c>
      <c r="GH18" s="268">
        <f t="shared" si="251"/>
        <v>105924673.35995001</v>
      </c>
      <c r="GI18" s="137">
        <f t="shared" si="126"/>
        <v>9</v>
      </c>
      <c r="GJ18" s="269">
        <f t="shared" si="252"/>
        <v>51605988.703000002</v>
      </c>
      <c r="GK18" s="269">
        <f t="shared" si="253"/>
        <v>152892852.51729038</v>
      </c>
      <c r="GL18" s="163">
        <f t="shared" si="254"/>
        <v>0</v>
      </c>
      <c r="GM18" s="137">
        <f t="array" ref="GM18">IF(GJ18=0,0,LARGE(IF($GG$10:$GG$406=GJ18,$GF$10:$GF$406,0),COUNTIF($GJ$10:$GJ$406,GJ18)-COUNTIF(GJ$9:GJ17,GJ18)))</f>
        <v>20</v>
      </c>
      <c r="GN18" s="270">
        <f t="shared" si="255"/>
        <v>0</v>
      </c>
      <c r="GP18" s="137">
        <f>IF(C18="","",IF(ISERROR(MATCH(C18,C$10:C17,0)),MAX(GP$10:GP17)+1,INDEX(GP$10:GP17,MATCH(C18,C$10:C17,0))))</f>
        <v>8</v>
      </c>
      <c r="GQ18" s="264">
        <f>IF(COUNTIF($A$10:A18,A18)&lt;=1,SUMIF($A$10:$A$406,A18,$FH$10:$FH$406),0)</f>
        <v>4800000</v>
      </c>
      <c r="GR18" s="137">
        <f t="shared" si="130"/>
        <v>9</v>
      </c>
      <c r="GS18" s="269">
        <f t="shared" si="256"/>
        <v>26818060.030000001</v>
      </c>
      <c r="GT18" s="269">
        <f t="shared" si="257"/>
        <v>50964284.172430128</v>
      </c>
      <c r="GU18" s="163">
        <f t="shared" si="258"/>
        <v>0</v>
      </c>
      <c r="GV18" s="137">
        <f t="array" ref="GV18">IF(GS18=0,0,LARGE(IF($GQ$10:$GQ$406=GS18,$GP$10:$GP$406,0),COUNTIF($GS$10:$GS$406,GS18)-COUNTIF(GS$9:GS17,GS18)))</f>
        <v>1</v>
      </c>
      <c r="GW18" s="270">
        <f t="shared" si="259"/>
        <v>0</v>
      </c>
      <c r="GX18" s="270"/>
      <c r="GY18" s="137">
        <f>IF(C18="","",IF(ISERROR(MATCH(C18,C$10:C17,0)),MAX(GP$10:GP17)+1,INDEX(GP$10:GP17,MATCH(C18,C$10:C17,0))))</f>
        <v>8</v>
      </c>
      <c r="GZ18" s="264">
        <f>IF(COUNTIF($A$10:A18,A18)&lt;=1,SUMIF($A$10:$A$406,A18,$FH$10:$FH$406),0)</f>
        <v>4800000</v>
      </c>
      <c r="HA18" s="137">
        <f t="shared" si="134"/>
        <v>9</v>
      </c>
      <c r="HB18" s="269">
        <f t="shared" si="260"/>
        <v>26818060.030000001</v>
      </c>
      <c r="HC18" s="414" t="s">
        <v>622</v>
      </c>
      <c r="HD18" s="163">
        <f t="shared" si="261"/>
        <v>0</v>
      </c>
      <c r="HE18" s="137">
        <f t="array" ref="HE18">IF(HB18=0,0,LARGE(IF($GZ$10:$GZ$406=HB18,$GY$10:$GY$406,0),COUNTIF($HB$10:$HB$406,HB18)-COUNTIF(HB$9:HB17,HB18)))</f>
        <v>1</v>
      </c>
      <c r="HF18" s="270">
        <f t="shared" si="262"/>
        <v>0</v>
      </c>
      <c r="HG18"/>
      <c r="HH18" s="268">
        <f t="shared" si="263"/>
        <v>0</v>
      </c>
      <c r="HI18" s="271">
        <v>0</v>
      </c>
      <c r="HJ18" s="264">
        <f t="shared" si="264"/>
        <v>0</v>
      </c>
      <c r="HL18" s="137">
        <f t="shared" si="265"/>
        <v>9</v>
      </c>
      <c r="HM18" s="264">
        <f t="shared" si="300"/>
        <v>4909661.1000000006</v>
      </c>
      <c r="HO18" s="199">
        <f t="shared" si="301"/>
        <v>4800000</v>
      </c>
      <c r="HP18" s="199">
        <f t="shared" si="302"/>
        <v>4800000</v>
      </c>
      <c r="HQ18" s="199" t="str">
        <f t="shared" si="303"/>
        <v/>
      </c>
      <c r="HR18" s="199" t="str">
        <f t="shared" si="304"/>
        <v/>
      </c>
      <c r="HS18" s="199" t="str">
        <f t="shared" si="119"/>
        <v/>
      </c>
      <c r="HT18" s="199" t="str">
        <f t="shared" si="305"/>
        <v/>
      </c>
      <c r="HU18" s="199" t="str">
        <f t="shared" si="306"/>
        <v/>
      </c>
      <c r="HV18" s="200">
        <f t="shared" si="307"/>
        <v>0</v>
      </c>
      <c r="HW18" s="272">
        <f t="shared" si="308"/>
        <v>1</v>
      </c>
      <c r="HX18" s="200" t="str">
        <f t="shared" si="309"/>
        <v/>
      </c>
      <c r="HY18" s="200">
        <f t="shared" si="310"/>
        <v>0</v>
      </c>
      <c r="HZ18" s="200" t="str">
        <f t="shared" si="4"/>
        <v/>
      </c>
      <c r="IA18" s="200" t="str">
        <f t="shared" si="311"/>
        <v/>
      </c>
      <c r="IB18" s="200" t="str">
        <f t="shared" si="312"/>
        <v/>
      </c>
      <c r="IC18" s="273">
        <f>IF(C18="","",INDEX(Lookups!$E$2:$E$69,MATCH('Loan List'!BE18,Lookups!$F$2:$F$69,0)))</f>
        <v>46</v>
      </c>
      <c r="ID18" t="b">
        <f t="shared" si="313"/>
        <v>1</v>
      </c>
      <c r="IF18" s="346" t="str">
        <f t="shared" si="121"/>
        <v>No Initial Haircut</v>
      </c>
    </row>
    <row r="19" spans="1:240">
      <c r="A19" t="s">
        <v>723</v>
      </c>
      <c r="B19" s="242">
        <f t="shared" si="149"/>
        <v>10</v>
      </c>
      <c r="C19" s="242">
        <f>IF(COUNTIF($A$10:A18,A19)&gt;0,C18,C18+1)</f>
        <v>9</v>
      </c>
      <c r="D19" s="431" t="s">
        <v>723</v>
      </c>
      <c r="E19" s="428" t="s">
        <v>806</v>
      </c>
      <c r="F19" s="429"/>
      <c r="G19" s="430">
        <v>5455179</v>
      </c>
      <c r="H19" s="430">
        <v>5455179</v>
      </c>
      <c r="I19" s="244">
        <f>IF(B19="","",VLOOKUP(BF19,Inputs!$A$12:$J$15,10,FALSE))</f>
        <v>1</v>
      </c>
      <c r="J19" s="245">
        <f t="shared" ref="J19" si="314">IF(B19="","",G19*I19)</f>
        <v>5455179</v>
      </c>
      <c r="K19" s="245">
        <f t="shared" ref="K19" si="315">IF(B19="","",H19*I19)</f>
        <v>5455179</v>
      </c>
      <c r="L19" s="245">
        <f t="shared" ref="L19" si="316">IF(B19="","",IF(COUNTIF($CF19:$CY19,1)&gt;0,0,J19))</f>
        <v>5455179</v>
      </c>
      <c r="M19" s="245">
        <f t="shared" ref="M19" si="317">IF(B19="","",IF(COUNTIF($CF19:$CY19,1)&gt;0,0,K19))</f>
        <v>5455179</v>
      </c>
      <c r="N19" s="246" t="s">
        <v>246</v>
      </c>
      <c r="O19" s="246" t="s">
        <v>245</v>
      </c>
      <c r="P19" s="247">
        <f>IF(B19="","",IF(OR(O19="N/A",O19=""),0,YEARFRAC('Borrowing Base'!$J$4,'Loan List'!O19)*12))</f>
        <v>0</v>
      </c>
      <c r="Q19" s="246" t="s">
        <v>246</v>
      </c>
      <c r="R19" s="248">
        <v>0.99</v>
      </c>
      <c r="S19" s="249" t="str">
        <f t="shared" ref="S19" si="318">IF(B19="","",IF(R19&lt;95%,"Yes","No"))</f>
        <v>No</v>
      </c>
      <c r="T19" s="248">
        <v>1</v>
      </c>
      <c r="U19" s="250">
        <f t="shared" ref="U19" si="319">IF(B19="","",IF(OR(Y19="First Lien",Y19="Split First Lien",Y19="Tier 1 Split Lien",Y19="Tier 2 Split Lien"),50%,30%))</f>
        <v>0.5</v>
      </c>
      <c r="V19" s="250">
        <f t="shared" ref="V19" si="320">IF(B19="",0,IF(AND(Y19="First Lien",AN19="Tier 1"),IF(AND(X19="Yes",MIN(AH19,$AJ$5)&gt;4.5),(((4.5/MIN(AH19,$AJ$5))*72.5%)+(((MIN(AH19,$AJ$5)-4.5)/MIN(AH19,$AJ$5))*35%)),72.5%),IF(AND(Y19="First Lien",AN19="Tier 2"),IF(AND(X19="Yes",MIN(AH19,$AK$5)&gt;4.5),(((4.5/MIN(AH19,$AK$5))*72.5%)+(((MIN(AH19,$AK$5)-4.5)/MIN(AH19,$AK$5))*35%)),72.5%),IF(AND(X19="Yes",MIN(AH19,$AL$5)&gt;4),(((4/MIN(AH19,$AL$5))*72.5%)+(((MIN(AH19,$AL$5)-4)/MIN(AH19,$AL$5))*35%)),IF(OR(Y19="First Lien",Y19="Split First Lien"),72.5%,IF(Y19="Split Lien", 53%,35%))))))</f>
        <v>0.72499999999999998</v>
      </c>
      <c r="W19" s="251">
        <f t="shared" si="11"/>
        <v>4909661.1000000006</v>
      </c>
      <c r="X19" s="246" t="s">
        <v>246</v>
      </c>
      <c r="Y19" s="252" t="s">
        <v>483</v>
      </c>
      <c r="Z19" s="252" t="s">
        <v>484</v>
      </c>
      <c r="AA19" s="253" t="s">
        <v>407</v>
      </c>
      <c r="AB19" s="253" t="s">
        <v>713</v>
      </c>
      <c r="AC19" s="254">
        <v>1.65</v>
      </c>
      <c r="AD19" s="254">
        <v>0.37822683557335912</v>
      </c>
      <c r="AE19" s="254">
        <v>1.1738646222239846</v>
      </c>
      <c r="AF19" s="255">
        <v>0.70128022759601705</v>
      </c>
      <c r="AG19" s="256">
        <v>3.3763022421538689</v>
      </c>
      <c r="AH19" s="256">
        <v>4.4444754842747969</v>
      </c>
      <c r="AI19" s="256">
        <v>4.5545555192507399</v>
      </c>
      <c r="AJ19" s="256">
        <v>6.9435472114257859</v>
      </c>
      <c r="AK19" s="257">
        <v>21719323.313075028</v>
      </c>
      <c r="AL19" s="257">
        <v>33751487.819779307</v>
      </c>
      <c r="AM19" s="258">
        <v>45808</v>
      </c>
      <c r="AN19" s="245" t="str">
        <f t="shared" ref="AN19" si="321">IF(C19="","",(IF(AK19&gt;=50000000,"Tier 1",(IF(OR(AK19&gt;=20000000,AND(AK19&gt;5000000,AC19&gt;=1.25,AF19&lt;=0.65)),"Tier 2","Tier 3")))))</f>
        <v>Tier 2</v>
      </c>
      <c r="AO19" s="243">
        <v>46183</v>
      </c>
      <c r="AP19" s="259">
        <f>IF(C19="","",DAYS360(Inputs!$J$8,AO19)/360)</f>
        <v>0.7944444444444444</v>
      </c>
      <c r="AQ19" s="259">
        <f t="shared" ref="AQ19" si="322">IF(C19="","",AP19)</f>
        <v>0.7944444444444444</v>
      </c>
      <c r="AR19" s="246" t="s">
        <v>246</v>
      </c>
      <c r="AS19" s="248">
        <v>0</v>
      </c>
      <c r="AT19" s="246" t="s">
        <v>64</v>
      </c>
      <c r="AU19" s="248">
        <v>0.01</v>
      </c>
      <c r="AV19" s="248">
        <v>5.7500000000000002E-2</v>
      </c>
      <c r="AW19" s="248">
        <v>4.3506999999999997E-2</v>
      </c>
      <c r="AX19" s="260">
        <f t="shared" ref="AX19" si="323">IF(C19="","",MAX(AU19,AW19))</f>
        <v>4.3506999999999997E-2</v>
      </c>
      <c r="AY19" s="248">
        <v>0</v>
      </c>
      <c r="AZ19" s="248">
        <v>0</v>
      </c>
      <c r="BA19" s="248">
        <v>0</v>
      </c>
      <c r="BB19" s="407">
        <f t="shared" ref="BB19" si="324">IF(B19="","",IF(AR19="No",AV19-AZ19,""))</f>
        <v>5.7500000000000002E-2</v>
      </c>
      <c r="BC19" s="407" t="str">
        <f t="shared" ref="BC19" si="325">IF(B19="","",IF(AR19="Yes",AS19-BA19,""))</f>
        <v/>
      </c>
      <c r="BD19" s="252" t="s">
        <v>247</v>
      </c>
      <c r="BE19" s="261" t="s">
        <v>437</v>
      </c>
      <c r="BF19" s="252" t="s">
        <v>7</v>
      </c>
      <c r="BG19" s="252" t="s">
        <v>460</v>
      </c>
      <c r="BH19" s="246" t="s">
        <v>246</v>
      </c>
      <c r="BI19" s="408" t="str">
        <f t="shared" ref="BI19" si="326">IF(B19="","",IF(OR(AND(AZ19&gt;0,BB19&gt;=2.5%,BB19&lt;4%),AND(BA19&gt;0,BC19&gt;=6%,BC19&lt;8%)),"Yes","No"))</f>
        <v>No</v>
      </c>
      <c r="BJ19" s="408" t="str">
        <f t="shared" ref="BJ19" si="327">IF(B19="","",IF(OR(AND(AZ19&gt;0,BB19&lt;2.5%),AND(BA19&gt;0,BC19&lt;6%)),"Yes","No"))</f>
        <v>No</v>
      </c>
      <c r="BK19" s="246" t="s">
        <v>246</v>
      </c>
      <c r="BL19" s="246" t="s">
        <v>246</v>
      </c>
      <c r="BM19" s="246" t="s">
        <v>64</v>
      </c>
      <c r="BN19" s="246" t="s">
        <v>64</v>
      </c>
      <c r="BO19" s="246" t="s">
        <v>246</v>
      </c>
      <c r="BP19" s="246" t="s">
        <v>246</v>
      </c>
      <c r="BQ19" s="246" t="s">
        <v>246</v>
      </c>
      <c r="BR19" s="246" t="s">
        <v>246</v>
      </c>
      <c r="BS19" s="246" t="s">
        <v>246</v>
      </c>
      <c r="BT19" s="246" t="s">
        <v>246</v>
      </c>
      <c r="BU19" s="246" t="s">
        <v>246</v>
      </c>
      <c r="BV19" s="246" t="s">
        <v>246</v>
      </c>
      <c r="BW19" s="246" t="s">
        <v>246</v>
      </c>
      <c r="BX19" s="246" t="s">
        <v>246</v>
      </c>
      <c r="BY19" s="246" t="s">
        <v>246</v>
      </c>
      <c r="BZ19" s="246" t="s">
        <v>246</v>
      </c>
      <c r="CA19" s="246" t="s">
        <v>246</v>
      </c>
      <c r="CB19" s="246" t="s">
        <v>64</v>
      </c>
      <c r="CC19" s="262">
        <f t="shared" ref="CC19" si="328">IF(B19="","",IF(AT19="No",((BB19+AW19)-$AZ$4),((BB19+AX19)-$AZ$4))*IF(DE19&gt;0,0,M19))</f>
        <v>315225.33644340001</v>
      </c>
      <c r="CD19" s="262">
        <f t="shared" ref="CD19" si="329">IF(B19="","",AY19*(L19-M19)*IF(DE19&gt;0,0,1))</f>
        <v>0</v>
      </c>
      <c r="CE19" s="263"/>
      <c r="CF19" s="263">
        <f t="shared" si="150"/>
        <v>0</v>
      </c>
      <c r="CG19" s="263">
        <f t="shared" si="151"/>
        <v>0</v>
      </c>
      <c r="CH19" s="263">
        <f t="shared" si="152"/>
        <v>0</v>
      </c>
      <c r="CI19" s="263">
        <f t="shared" si="153"/>
        <v>0</v>
      </c>
      <c r="CJ19" s="263">
        <f t="shared" si="154"/>
        <v>0</v>
      </c>
      <c r="CK19" s="263">
        <f t="shared" si="155"/>
        <v>0</v>
      </c>
      <c r="CL19" s="263">
        <f t="shared" si="156"/>
        <v>0</v>
      </c>
      <c r="CM19" s="263">
        <f t="shared" si="157"/>
        <v>0</v>
      </c>
      <c r="CN19" s="263">
        <f t="shared" si="158"/>
        <v>0</v>
      </c>
      <c r="CO19" s="263">
        <f t="shared" si="159"/>
        <v>0</v>
      </c>
      <c r="CP19" s="263">
        <f t="shared" si="160"/>
        <v>0</v>
      </c>
      <c r="CQ19" s="263">
        <f t="shared" si="161"/>
        <v>0</v>
      </c>
      <c r="CR19" s="263">
        <f t="shared" si="162"/>
        <v>0</v>
      </c>
      <c r="CS19" s="263">
        <f t="shared" si="163"/>
        <v>0</v>
      </c>
      <c r="CT19" s="263">
        <f t="shared" si="164"/>
        <v>0</v>
      </c>
      <c r="CU19" s="263">
        <f t="shared" si="165"/>
        <v>0</v>
      </c>
      <c r="CV19" s="263">
        <f t="shared" si="166"/>
        <v>0</v>
      </c>
      <c r="CW19" s="263">
        <f t="shared" si="167"/>
        <v>0</v>
      </c>
      <c r="CX19" s="263">
        <f t="shared" si="168"/>
        <v>0</v>
      </c>
      <c r="CY19" s="263">
        <f t="shared" si="169"/>
        <v>0</v>
      </c>
      <c r="CZ19" s="263">
        <f t="shared" si="170"/>
        <v>0</v>
      </c>
      <c r="DA19" s="263">
        <f t="shared" si="171"/>
        <v>1</v>
      </c>
      <c r="DB19" s="263">
        <f t="shared" si="172"/>
        <v>0</v>
      </c>
      <c r="DC19" s="263">
        <f t="shared" si="173"/>
        <v>0</v>
      </c>
      <c r="DD19" s="263">
        <f t="shared" si="174"/>
        <v>0</v>
      </c>
      <c r="DE19" s="263">
        <f t="shared" si="175"/>
        <v>0</v>
      </c>
      <c r="DF19" s="263">
        <f t="shared" si="176"/>
        <v>4909661.1000000006</v>
      </c>
      <c r="DG19" s="263">
        <f t="shared" si="177"/>
        <v>0</v>
      </c>
      <c r="DH19" s="263">
        <f t="shared" si="178"/>
        <v>4909661.1000000006</v>
      </c>
      <c r="DI19" s="263">
        <f t="shared" si="179"/>
        <v>5455179</v>
      </c>
      <c r="DJ19" s="263">
        <f t="shared" si="180"/>
        <v>0</v>
      </c>
      <c r="DK19" s="263">
        <f t="shared" si="181"/>
        <v>0</v>
      </c>
      <c r="DL19" s="263">
        <f t="shared" si="182"/>
        <v>0</v>
      </c>
      <c r="DM19" s="263">
        <f t="shared" si="183"/>
        <v>0</v>
      </c>
      <c r="DO19" s="264">
        <f t="shared" si="184"/>
        <v>0</v>
      </c>
      <c r="DP19" s="265">
        <f t="shared" si="185"/>
        <v>0</v>
      </c>
      <c r="DQ19" s="264">
        <f t="shared" si="186"/>
        <v>4909661.1000000006</v>
      </c>
      <c r="DR19" s="264">
        <f t="shared" si="187"/>
        <v>0</v>
      </c>
      <c r="DS19" s="265">
        <f t="shared" si="188"/>
        <v>0</v>
      </c>
      <c r="DT19" s="264">
        <f t="shared" si="189"/>
        <v>4909661.1000000006</v>
      </c>
      <c r="DU19" s="264">
        <f t="shared" si="190"/>
        <v>0</v>
      </c>
      <c r="DV19" s="265">
        <f t="shared" si="191"/>
        <v>0</v>
      </c>
      <c r="DW19" s="264">
        <f t="shared" si="192"/>
        <v>4909661.1000000006</v>
      </c>
      <c r="DX19" s="264">
        <f t="shared" si="193"/>
        <v>0</v>
      </c>
      <c r="DY19" s="265">
        <f t="shared" si="194"/>
        <v>0</v>
      </c>
      <c r="DZ19" s="264">
        <f t="shared" si="195"/>
        <v>4909661.1000000006</v>
      </c>
      <c r="EA19" s="264">
        <f t="shared" si="196"/>
        <v>0</v>
      </c>
      <c r="EB19" s="265">
        <f t="shared" si="197"/>
        <v>0</v>
      </c>
      <c r="EC19" s="264">
        <f t="shared" si="198"/>
        <v>4909661.1000000006</v>
      </c>
      <c r="ED19" s="264">
        <f t="shared" si="199"/>
        <v>0</v>
      </c>
      <c r="EE19" s="265">
        <f t="shared" si="200"/>
        <v>0</v>
      </c>
      <c r="EF19" s="264">
        <f t="shared" si="201"/>
        <v>4909661.1000000006</v>
      </c>
      <c r="EG19" s="264">
        <f t="shared" si="202"/>
        <v>0</v>
      </c>
      <c r="EH19" s="265">
        <f t="shared" si="203"/>
        <v>0</v>
      </c>
      <c r="EI19" s="264">
        <f t="shared" si="204"/>
        <v>4909661.1000000006</v>
      </c>
      <c r="EJ19" s="264">
        <f t="shared" si="205"/>
        <v>0</v>
      </c>
      <c r="EK19" s="265">
        <f t="shared" si="206"/>
        <v>0</v>
      </c>
      <c r="EL19" s="264">
        <f t="shared" si="207"/>
        <v>4909661.1000000006</v>
      </c>
      <c r="EM19" s="264">
        <f t="shared" si="208"/>
        <v>0</v>
      </c>
      <c r="EN19" s="265">
        <f t="shared" si="209"/>
        <v>0</v>
      </c>
      <c r="EO19" s="264">
        <f t="shared" si="210"/>
        <v>4909661.1000000006</v>
      </c>
      <c r="EP19" s="264">
        <f t="shared" si="211"/>
        <v>0</v>
      </c>
      <c r="EQ19" s="265">
        <f t="shared" si="212"/>
        <v>0</v>
      </c>
      <c r="ER19" s="264">
        <f t="shared" si="213"/>
        <v>4909661.1000000006</v>
      </c>
      <c r="ES19" s="264">
        <f t="shared" si="214"/>
        <v>0</v>
      </c>
      <c r="ET19" s="265">
        <f t="shared" si="215"/>
        <v>0</v>
      </c>
      <c r="EU19" s="264">
        <f t="shared" si="216"/>
        <v>4909661.1000000006</v>
      </c>
      <c r="EV19" s="264">
        <f>IF(AND(BM19="Yes",OR(BN19="No",AND(BN19="Yes",Inputs!$J$8=Inputs!$J$17+75))),EU19,0)</f>
        <v>0</v>
      </c>
      <c r="EW19" s="265">
        <f t="shared" si="217"/>
        <v>0</v>
      </c>
      <c r="EX19" s="264">
        <f t="shared" si="218"/>
        <v>4909661.1000000006</v>
      </c>
      <c r="EY19" s="264">
        <f t="shared" si="219"/>
        <v>0</v>
      </c>
      <c r="EZ19" s="265">
        <f t="shared" si="220"/>
        <v>0</v>
      </c>
      <c r="FA19" s="264">
        <f t="shared" si="221"/>
        <v>4909661.1000000006</v>
      </c>
      <c r="FB19" s="264">
        <f t="shared" si="222"/>
        <v>0</v>
      </c>
      <c r="FC19" s="265">
        <f t="shared" si="223"/>
        <v>0</v>
      </c>
      <c r="FD19" s="264">
        <f t="shared" si="224"/>
        <v>4909661.1000000006</v>
      </c>
      <c r="FE19" s="264">
        <f t="shared" si="225"/>
        <v>0</v>
      </c>
      <c r="FF19" s="265">
        <f t="shared" si="226"/>
        <v>0</v>
      </c>
      <c r="FG19" s="264">
        <f t="shared" si="227"/>
        <v>4909661.1000000006</v>
      </c>
      <c r="FH19" s="264">
        <f t="shared" si="228"/>
        <v>4909661.1000000006</v>
      </c>
      <c r="FI19" s="264">
        <f t="shared" si="229"/>
        <v>0</v>
      </c>
      <c r="FJ19" s="264">
        <f t="shared" si="230"/>
        <v>4909661.1000000006</v>
      </c>
      <c r="FK19" s="264">
        <f t="shared" si="231"/>
        <v>4909661.1000000006</v>
      </c>
      <c r="FL19" s="264">
        <f t="shared" si="232"/>
        <v>0</v>
      </c>
      <c r="FM19" s="264">
        <f t="shared" si="233"/>
        <v>4909661.1000000006</v>
      </c>
      <c r="FN19" s="264">
        <f t="shared" si="234"/>
        <v>4909661.1000000006</v>
      </c>
      <c r="FO19" s="264">
        <f t="shared" si="235"/>
        <v>0</v>
      </c>
      <c r="FP19" s="264">
        <f t="shared" si="236"/>
        <v>4909661.1000000006</v>
      </c>
      <c r="FQ19" s="264">
        <f t="shared" si="237"/>
        <v>0</v>
      </c>
      <c r="FR19" s="265">
        <f t="shared" si="238"/>
        <v>0</v>
      </c>
      <c r="FS19" s="264">
        <f t="shared" si="239"/>
        <v>4909661.1000000006</v>
      </c>
      <c r="FT19" s="264">
        <f t="shared" si="240"/>
        <v>0</v>
      </c>
      <c r="FU19" s="265">
        <f t="shared" si="241"/>
        <v>0</v>
      </c>
      <c r="FV19" s="264">
        <f t="shared" si="242"/>
        <v>4909661.1000000006</v>
      </c>
      <c r="FW19" s="264">
        <f t="shared" si="243"/>
        <v>0</v>
      </c>
      <c r="FX19" s="264">
        <f t="shared" si="244"/>
        <v>0</v>
      </c>
      <c r="FY19" s="264">
        <f t="shared" si="245"/>
        <v>0</v>
      </c>
      <c r="FZ19" s="264">
        <f t="shared" si="246"/>
        <v>0</v>
      </c>
      <c r="GA19" s="265">
        <f t="shared" si="296"/>
        <v>0</v>
      </c>
      <c r="GB19" s="264">
        <f t="shared" si="297"/>
        <v>4909661.1000000006</v>
      </c>
      <c r="GC19" s="264">
        <f t="shared" si="247"/>
        <v>4909661.1000000006</v>
      </c>
      <c r="GD19" s="266">
        <f t="shared" si="248"/>
        <v>3559504.2975000003</v>
      </c>
      <c r="GE19" s="138">
        <f t="shared" si="249"/>
        <v>0.65250000000000008</v>
      </c>
      <c r="GF19" s="267">
        <f t="shared" si="250"/>
        <v>46</v>
      </c>
      <c r="GG19" s="264">
        <f t="array" ref="GG19">IF(SUM(IF(IC$9:IC18=IC19,1,0))&gt;0,0,SUMIF($IC$10:$IC$406,IC19,$FJ$10:$FJ$406))</f>
        <v>0</v>
      </c>
      <c r="GH19" s="268">
        <f t="shared" si="251"/>
        <v>0</v>
      </c>
      <c r="GI19" s="137">
        <f t="shared" si="126"/>
        <v>10</v>
      </c>
      <c r="GJ19" s="269">
        <f t="shared" si="252"/>
        <v>50000000</v>
      </c>
      <c r="GK19" s="269">
        <f t="shared" si="253"/>
        <v>152892852.51729038</v>
      </c>
      <c r="GL19" s="163">
        <f t="shared" si="254"/>
        <v>0</v>
      </c>
      <c r="GM19" s="137">
        <f t="array" ref="GM19">IF(GJ19=0,0,LARGE(IF($GG$10:$GG$406=GJ19,$GF$10:$GF$406,0),COUNTIF($GJ$10:$GJ$406,GJ19)-COUNTIF(GJ$9:GJ18,GJ19)))</f>
        <v>57</v>
      </c>
      <c r="GN19" s="270">
        <f t="shared" si="255"/>
        <v>0</v>
      </c>
      <c r="GP19" s="137">
        <f>IF(C19="","",IF(ISERROR(MATCH(C19,C$10:C18,0)),MAX(GP$10:GP18)+1,INDEX(GP$10:GP18,MATCH(C19,C$10:C18,0))))</f>
        <v>9</v>
      </c>
      <c r="GQ19" s="264">
        <f>IF(COUNTIF($A$10:A19,A19)&lt;=1,SUMIF($A$10:$A$406,A19,$FH$10:$FH$406),0)</f>
        <v>4909661.1000000006</v>
      </c>
      <c r="GR19" s="137">
        <f t="shared" si="130"/>
        <v>10</v>
      </c>
      <c r="GS19" s="269">
        <f t="shared" si="256"/>
        <v>25304386.32</v>
      </c>
      <c r="GT19" s="269">
        <f t="shared" si="257"/>
        <v>50964284.172430128</v>
      </c>
      <c r="GU19" s="163">
        <f t="shared" si="258"/>
        <v>0</v>
      </c>
      <c r="GV19" s="137">
        <f t="array" ref="GV19">IF(GS19=0,0,LARGE(IF($GQ$10:$GQ$406=GS19,$GP$10:$GP$406,0),COUNTIF($GS$10:$GS$406,GS19)-COUNTIF(GS$9:GS18,GS19)))</f>
        <v>81</v>
      </c>
      <c r="GW19" s="270">
        <f t="shared" si="259"/>
        <v>0</v>
      </c>
      <c r="GX19" s="270"/>
      <c r="GY19" s="137">
        <f>IF(C19="","",IF(ISERROR(MATCH(C19,C$10:C18,0)),MAX(GP$10:GP18)+1,INDEX(GP$10:GP18,MATCH(C19,C$10:C18,0))))</f>
        <v>9</v>
      </c>
      <c r="GZ19" s="264">
        <f>IF(COUNTIF($A$10:A19,A19)&lt;=1,SUMIF($A$10:$A$406,A19,$FH$10:$FH$406),0)</f>
        <v>4909661.1000000006</v>
      </c>
      <c r="HA19" s="137">
        <f t="shared" si="134"/>
        <v>10</v>
      </c>
      <c r="HB19" s="269">
        <f t="shared" si="260"/>
        <v>25304386.32</v>
      </c>
      <c r="HC19" s="414" t="s">
        <v>622</v>
      </c>
      <c r="HD19" s="163">
        <f t="shared" si="261"/>
        <v>0</v>
      </c>
      <c r="HE19" s="137">
        <f t="array" ref="HE19">IF(HB19=0,0,LARGE(IF($GZ$10:$GZ$406=HB19,$GY$10:$GY$406,0),COUNTIF($HB$10:$HB$406,HB19)-COUNTIF(HB$9:HB18,HB19)))</f>
        <v>81</v>
      </c>
      <c r="HF19" s="270">
        <f t="shared" si="262"/>
        <v>0</v>
      </c>
      <c r="HG19"/>
      <c r="HH19" s="268">
        <f t="shared" si="263"/>
        <v>0</v>
      </c>
      <c r="HI19" s="271">
        <v>0</v>
      </c>
      <c r="HJ19" s="264">
        <f t="shared" si="264"/>
        <v>0</v>
      </c>
      <c r="HL19" s="137">
        <f t="shared" si="265"/>
        <v>10</v>
      </c>
      <c r="HM19" s="264">
        <f t="shared" si="300"/>
        <v>15648476.247</v>
      </c>
      <c r="HO19" s="199">
        <f t="shared" si="301"/>
        <v>4909661.1000000006</v>
      </c>
      <c r="HP19" s="199">
        <f t="shared" si="302"/>
        <v>5455179</v>
      </c>
      <c r="HQ19" s="199" t="str">
        <f t="shared" si="303"/>
        <v/>
      </c>
      <c r="HR19" s="199" t="str">
        <f t="shared" si="304"/>
        <v/>
      </c>
      <c r="HS19" s="199" t="str">
        <f t="shared" si="119"/>
        <v/>
      </c>
      <c r="HT19" s="199">
        <f t="shared" si="305"/>
        <v>4909661.1000000006</v>
      </c>
      <c r="HU19" s="199" t="str">
        <f t="shared" si="306"/>
        <v/>
      </c>
      <c r="HV19" s="200">
        <f t="shared" si="307"/>
        <v>0</v>
      </c>
      <c r="HW19" s="272" t="str">
        <f t="shared" si="308"/>
        <v/>
      </c>
      <c r="HX19" s="200">
        <f t="shared" si="309"/>
        <v>0</v>
      </c>
      <c r="HY19" s="200">
        <f t="shared" si="310"/>
        <v>4909661.1000000006</v>
      </c>
      <c r="HZ19" s="200">
        <f t="shared" si="4"/>
        <v>0</v>
      </c>
      <c r="IA19" s="200">
        <f t="shared" si="311"/>
        <v>0</v>
      </c>
      <c r="IB19" s="200">
        <f t="shared" si="312"/>
        <v>0</v>
      </c>
      <c r="IC19" s="273">
        <f>IF(C19="","",INDEX(Lookups!$E$2:$E$69,MATCH('Loan List'!BE19,Lookups!$F$2:$F$69,0)))</f>
        <v>46</v>
      </c>
      <c r="ID19" t="b">
        <f t="shared" si="313"/>
        <v>1</v>
      </c>
      <c r="IF19" s="346">
        <f t="shared" ref="IF19" si="330">IF(B19="","",IF(AND(Y19="Second Lien",OR(DA19=1,DB19=1,DC19=1)),50%,IF(DA19=1,90%,IF(DB19=1,80%,IF(DC19=1,65%,"No Initial Haircut")))))</f>
        <v>0.9</v>
      </c>
    </row>
    <row r="20" spans="1:240">
      <c r="A20" t="s">
        <v>628</v>
      </c>
      <c r="B20" s="242">
        <f t="shared" si="149"/>
        <v>11</v>
      </c>
      <c r="C20" s="242">
        <f>IF(COUNTIF($A$10:A19,A20)&gt;0,C19,C19+1)</f>
        <v>10</v>
      </c>
      <c r="D20" s="428" t="s">
        <v>628</v>
      </c>
      <c r="E20" s="428" t="s">
        <v>626</v>
      </c>
      <c r="F20" s="429"/>
      <c r="G20" s="430">
        <v>17387195.829999998</v>
      </c>
      <c r="H20" s="430">
        <v>17387195.829999998</v>
      </c>
      <c r="I20" s="244">
        <f>IF(B20="","",VLOOKUP(BF20,Inputs!$A$12:$J$15,10,FALSE))</f>
        <v>1</v>
      </c>
      <c r="J20" s="245">
        <f t="shared" si="5"/>
        <v>17387195.829999998</v>
      </c>
      <c r="K20" s="245">
        <f t="shared" si="6"/>
        <v>17387195.829999998</v>
      </c>
      <c r="L20" s="245">
        <f t="shared" si="7"/>
        <v>17387195.829999998</v>
      </c>
      <c r="M20" s="245">
        <f t="shared" si="8"/>
        <v>17387195.829999998</v>
      </c>
      <c r="N20" s="246" t="s">
        <v>246</v>
      </c>
      <c r="O20" s="246" t="s">
        <v>245</v>
      </c>
      <c r="P20" s="247">
        <f>IF(B20="","",IF(OR(O20="N/A",O20=""),0,YEARFRAC('Borrowing Base'!$J$4,'Loan List'!O20)*12))</f>
        <v>0</v>
      </c>
      <c r="Q20" s="246" t="s">
        <v>246</v>
      </c>
      <c r="R20" s="248">
        <v>0.98881144130864229</v>
      </c>
      <c r="S20" s="249" t="str">
        <f t="shared" si="1"/>
        <v>No</v>
      </c>
      <c r="T20" s="248">
        <v>0.98999999990222709</v>
      </c>
      <c r="U20" s="250">
        <f t="shared" si="9"/>
        <v>0.5</v>
      </c>
      <c r="V20" s="250">
        <f t="shared" si="10"/>
        <v>0.72499999999999998</v>
      </c>
      <c r="W20" s="251">
        <f t="shared" si="11"/>
        <v>15648476.247</v>
      </c>
      <c r="X20" s="246" t="s">
        <v>246</v>
      </c>
      <c r="Y20" s="252" t="s">
        <v>483</v>
      </c>
      <c r="Z20" s="252" t="s">
        <v>484</v>
      </c>
      <c r="AA20" s="253" t="s">
        <v>407</v>
      </c>
      <c r="AB20" s="253" t="s">
        <v>713</v>
      </c>
      <c r="AC20" s="254">
        <v>1.8043488495180704</v>
      </c>
      <c r="AD20" s="254">
        <v>1.2453581554884974</v>
      </c>
      <c r="AE20" s="254">
        <v>1.9044460934567848</v>
      </c>
      <c r="AF20" s="255">
        <v>0.43180747738239661</v>
      </c>
      <c r="AG20" s="256">
        <v>3.8076241224875207</v>
      </c>
      <c r="AH20" s="256">
        <v>3.8076241224875207</v>
      </c>
      <c r="AI20" s="256">
        <v>5.1840023982544654</v>
      </c>
      <c r="AJ20" s="256">
        <v>5.1855655156846083</v>
      </c>
      <c r="AK20" s="257">
        <v>16872357.6856189</v>
      </c>
      <c r="AL20" s="257">
        <v>21286315</v>
      </c>
      <c r="AM20" s="258">
        <v>45838</v>
      </c>
      <c r="AN20" s="245" t="str">
        <f t="shared" si="12"/>
        <v>Tier 2</v>
      </c>
      <c r="AO20" s="243">
        <v>47290</v>
      </c>
      <c r="AP20" s="259">
        <f>IF(C20="","",DAYS360(Inputs!$J$8,AO20)/360)</f>
        <v>3.8250000000000002</v>
      </c>
      <c r="AQ20" s="259">
        <f t="shared" si="13"/>
        <v>3.8250000000000002</v>
      </c>
      <c r="AR20" s="246" t="s">
        <v>246</v>
      </c>
      <c r="AS20" s="248">
        <v>0</v>
      </c>
      <c r="AT20" s="246" t="s">
        <v>64</v>
      </c>
      <c r="AU20" s="248">
        <v>0.01</v>
      </c>
      <c r="AV20" s="248">
        <v>5.5E-2</v>
      </c>
      <c r="AW20" s="248">
        <v>4.2956000000000001E-2</v>
      </c>
      <c r="AX20" s="260">
        <f t="shared" si="14"/>
        <v>4.2956000000000001E-2</v>
      </c>
      <c r="AY20" s="248">
        <v>0</v>
      </c>
      <c r="AZ20" s="248">
        <v>0</v>
      </c>
      <c r="BA20" s="248">
        <v>0</v>
      </c>
      <c r="BB20" s="407">
        <f t="shared" si="15"/>
        <v>5.5E-2</v>
      </c>
      <c r="BC20" s="407" t="str">
        <f t="shared" si="16"/>
        <v/>
      </c>
      <c r="BD20" s="252" t="s">
        <v>247</v>
      </c>
      <c r="BE20" s="261" t="s">
        <v>408</v>
      </c>
      <c r="BF20" s="252" t="s">
        <v>7</v>
      </c>
      <c r="BG20" s="252" t="s">
        <v>460</v>
      </c>
      <c r="BH20" s="246" t="s">
        <v>246</v>
      </c>
      <c r="BI20" s="408" t="str">
        <f t="shared" si="17"/>
        <v>No</v>
      </c>
      <c r="BJ20" s="408" t="str">
        <f t="shared" si="18"/>
        <v>No</v>
      </c>
      <c r="BK20" s="246" t="s">
        <v>246</v>
      </c>
      <c r="BL20" s="246" t="s">
        <v>246</v>
      </c>
      <c r="BM20" s="246" t="s">
        <v>246</v>
      </c>
      <c r="BN20" s="246" t="s">
        <v>246</v>
      </c>
      <c r="BO20" s="246" t="s">
        <v>246</v>
      </c>
      <c r="BP20" s="246" t="s">
        <v>246</v>
      </c>
      <c r="BQ20" s="246" t="s">
        <v>246</v>
      </c>
      <c r="BR20" s="246" t="s">
        <v>246</v>
      </c>
      <c r="BS20" s="246" t="s">
        <v>246</v>
      </c>
      <c r="BT20" s="246" t="s">
        <v>246</v>
      </c>
      <c r="BU20" s="246" t="s">
        <v>246</v>
      </c>
      <c r="BV20" s="246" t="s">
        <v>246</v>
      </c>
      <c r="BW20" s="246" t="s">
        <v>246</v>
      </c>
      <c r="BX20" s="246" t="s">
        <v>246</v>
      </c>
      <c r="BY20" s="246" t="s">
        <v>246</v>
      </c>
      <c r="BZ20" s="246" t="s">
        <v>246</v>
      </c>
      <c r="CA20" s="246" t="s">
        <v>246</v>
      </c>
      <c r="CB20" s="246" t="s">
        <v>64</v>
      </c>
      <c r="CC20" s="262">
        <f t="shared" si="19"/>
        <v>951663.82168088795</v>
      </c>
      <c r="CD20" s="262">
        <f t="shared" si="20"/>
        <v>0</v>
      </c>
      <c r="CE20" s="263"/>
      <c r="CF20" s="263">
        <f t="shared" si="150"/>
        <v>0</v>
      </c>
      <c r="CG20" s="263">
        <f t="shared" si="151"/>
        <v>0</v>
      </c>
      <c r="CH20" s="263">
        <f t="shared" si="152"/>
        <v>0</v>
      </c>
      <c r="CI20" s="263">
        <f t="shared" si="153"/>
        <v>0</v>
      </c>
      <c r="CJ20" s="263">
        <f t="shared" si="154"/>
        <v>0</v>
      </c>
      <c r="CK20" s="263">
        <f t="shared" si="155"/>
        <v>0</v>
      </c>
      <c r="CL20" s="263">
        <f t="shared" si="156"/>
        <v>0</v>
      </c>
      <c r="CM20" s="263">
        <f t="shared" si="157"/>
        <v>0</v>
      </c>
      <c r="CN20" s="263">
        <f t="shared" si="158"/>
        <v>0</v>
      </c>
      <c r="CO20" s="263">
        <f t="shared" si="159"/>
        <v>0</v>
      </c>
      <c r="CP20" s="263">
        <f t="shared" si="160"/>
        <v>0</v>
      </c>
      <c r="CQ20" s="263">
        <f t="shared" si="161"/>
        <v>0</v>
      </c>
      <c r="CR20" s="263">
        <f t="shared" si="162"/>
        <v>0</v>
      </c>
      <c r="CS20" s="263">
        <f t="shared" si="163"/>
        <v>0</v>
      </c>
      <c r="CT20" s="263">
        <f t="shared" si="164"/>
        <v>0</v>
      </c>
      <c r="CU20" s="263">
        <f t="shared" si="165"/>
        <v>0</v>
      </c>
      <c r="CV20" s="263">
        <f t="shared" si="166"/>
        <v>0</v>
      </c>
      <c r="CW20" s="263">
        <f t="shared" si="167"/>
        <v>0</v>
      </c>
      <c r="CX20" s="263">
        <f t="shared" si="168"/>
        <v>0</v>
      </c>
      <c r="CY20" s="263">
        <f t="shared" si="169"/>
        <v>0</v>
      </c>
      <c r="CZ20" s="263">
        <f t="shared" si="170"/>
        <v>0</v>
      </c>
      <c r="DA20" s="263">
        <f t="shared" si="171"/>
        <v>1</v>
      </c>
      <c r="DB20" s="263">
        <f t="shared" si="172"/>
        <v>0</v>
      </c>
      <c r="DC20" s="263">
        <f t="shared" si="173"/>
        <v>0</v>
      </c>
      <c r="DD20" s="263">
        <f t="shared" si="174"/>
        <v>0</v>
      </c>
      <c r="DE20" s="263">
        <f t="shared" si="175"/>
        <v>0</v>
      </c>
      <c r="DF20" s="263">
        <f t="shared" si="176"/>
        <v>15648476.247</v>
      </c>
      <c r="DG20" s="263">
        <f t="shared" si="177"/>
        <v>0</v>
      </c>
      <c r="DH20" s="263">
        <f t="shared" si="178"/>
        <v>15648476.247</v>
      </c>
      <c r="DI20" s="263">
        <f t="shared" si="179"/>
        <v>17387195.829999998</v>
      </c>
      <c r="DJ20" s="263">
        <f t="shared" si="180"/>
        <v>0</v>
      </c>
      <c r="DK20" s="263">
        <f t="shared" si="181"/>
        <v>0</v>
      </c>
      <c r="DL20" s="263">
        <f t="shared" si="182"/>
        <v>0</v>
      </c>
      <c r="DM20" s="263">
        <f t="shared" si="183"/>
        <v>0</v>
      </c>
      <c r="DO20" s="264">
        <f t="shared" si="184"/>
        <v>0</v>
      </c>
      <c r="DP20" s="265">
        <f t="shared" si="185"/>
        <v>0</v>
      </c>
      <c r="DQ20" s="264">
        <f t="shared" si="186"/>
        <v>15648476.247</v>
      </c>
      <c r="DR20" s="264">
        <f t="shared" si="187"/>
        <v>0</v>
      </c>
      <c r="DS20" s="265">
        <f t="shared" si="188"/>
        <v>0</v>
      </c>
      <c r="DT20" s="264">
        <f t="shared" si="189"/>
        <v>15648476.247</v>
      </c>
      <c r="DU20" s="264">
        <f t="shared" si="190"/>
        <v>0</v>
      </c>
      <c r="DV20" s="265">
        <f t="shared" si="191"/>
        <v>0</v>
      </c>
      <c r="DW20" s="264">
        <f t="shared" si="192"/>
        <v>15648476.247</v>
      </c>
      <c r="DX20" s="264">
        <f t="shared" si="193"/>
        <v>0</v>
      </c>
      <c r="DY20" s="265">
        <f t="shared" si="194"/>
        <v>0</v>
      </c>
      <c r="DZ20" s="264">
        <f t="shared" si="195"/>
        <v>15648476.247</v>
      </c>
      <c r="EA20" s="264">
        <f t="shared" si="196"/>
        <v>0</v>
      </c>
      <c r="EB20" s="265">
        <f t="shared" si="197"/>
        <v>0</v>
      </c>
      <c r="EC20" s="264">
        <f t="shared" si="198"/>
        <v>15648476.247</v>
      </c>
      <c r="ED20" s="264">
        <f t="shared" si="199"/>
        <v>0</v>
      </c>
      <c r="EE20" s="265">
        <f t="shared" si="200"/>
        <v>0</v>
      </c>
      <c r="EF20" s="264">
        <f t="shared" si="201"/>
        <v>15648476.247</v>
      </c>
      <c r="EG20" s="264">
        <f t="shared" si="202"/>
        <v>0</v>
      </c>
      <c r="EH20" s="265">
        <f t="shared" si="203"/>
        <v>0</v>
      </c>
      <c r="EI20" s="264">
        <f t="shared" si="204"/>
        <v>15648476.247</v>
      </c>
      <c r="EJ20" s="264">
        <f t="shared" si="205"/>
        <v>0</v>
      </c>
      <c r="EK20" s="265">
        <f t="shared" si="206"/>
        <v>0</v>
      </c>
      <c r="EL20" s="264">
        <f t="shared" si="207"/>
        <v>15648476.247</v>
      </c>
      <c r="EM20" s="264">
        <f t="shared" si="208"/>
        <v>0</v>
      </c>
      <c r="EN20" s="265">
        <f t="shared" si="209"/>
        <v>0</v>
      </c>
      <c r="EO20" s="264">
        <f t="shared" si="210"/>
        <v>15648476.247</v>
      </c>
      <c r="EP20" s="264">
        <f t="shared" si="211"/>
        <v>0</v>
      </c>
      <c r="EQ20" s="265">
        <f t="shared" si="212"/>
        <v>0</v>
      </c>
      <c r="ER20" s="264">
        <f t="shared" si="213"/>
        <v>15648476.247</v>
      </c>
      <c r="ES20" s="264">
        <f t="shared" si="214"/>
        <v>0</v>
      </c>
      <c r="ET20" s="265">
        <f t="shared" si="215"/>
        <v>0</v>
      </c>
      <c r="EU20" s="264">
        <f t="shared" si="216"/>
        <v>15648476.247</v>
      </c>
      <c r="EV20" s="264">
        <f>IF(AND(BM20="Yes",OR(BN20="No",AND(BN20="Yes",Inputs!$J$8=Inputs!$J$17+75))),EU20,0)</f>
        <v>0</v>
      </c>
      <c r="EW20" s="265">
        <f t="shared" si="217"/>
        <v>0</v>
      </c>
      <c r="EX20" s="264">
        <f t="shared" si="218"/>
        <v>15648476.247</v>
      </c>
      <c r="EY20" s="264">
        <f t="shared" si="219"/>
        <v>0</v>
      </c>
      <c r="EZ20" s="265">
        <f t="shared" si="220"/>
        <v>0</v>
      </c>
      <c r="FA20" s="264">
        <f t="shared" si="221"/>
        <v>15648476.247</v>
      </c>
      <c r="FB20" s="264">
        <f t="shared" si="222"/>
        <v>0</v>
      </c>
      <c r="FC20" s="265">
        <f t="shared" si="223"/>
        <v>0</v>
      </c>
      <c r="FD20" s="264">
        <f t="shared" si="224"/>
        <v>15648476.247</v>
      </c>
      <c r="FE20" s="264">
        <f t="shared" si="225"/>
        <v>0</v>
      </c>
      <c r="FF20" s="265">
        <f t="shared" si="226"/>
        <v>0</v>
      </c>
      <c r="FG20" s="264">
        <f t="shared" si="227"/>
        <v>15648476.247</v>
      </c>
      <c r="FH20" s="264">
        <f t="shared" si="228"/>
        <v>15648476.247</v>
      </c>
      <c r="FI20" s="264">
        <f t="shared" si="229"/>
        <v>0</v>
      </c>
      <c r="FJ20" s="264">
        <f t="shared" si="230"/>
        <v>15648476.247</v>
      </c>
      <c r="FK20" s="264">
        <f t="shared" si="231"/>
        <v>15648476.247</v>
      </c>
      <c r="FL20" s="264">
        <f t="shared" si="232"/>
        <v>0</v>
      </c>
      <c r="FM20" s="264">
        <f t="shared" si="233"/>
        <v>15648476.247</v>
      </c>
      <c r="FN20" s="264">
        <f t="shared" si="234"/>
        <v>15648476.247</v>
      </c>
      <c r="FO20" s="264">
        <f t="shared" si="235"/>
        <v>0</v>
      </c>
      <c r="FP20" s="264">
        <f t="shared" si="236"/>
        <v>15648476.247</v>
      </c>
      <c r="FQ20" s="264">
        <f t="shared" si="237"/>
        <v>0</v>
      </c>
      <c r="FR20" s="265">
        <f t="shared" si="238"/>
        <v>0</v>
      </c>
      <c r="FS20" s="264">
        <f t="shared" si="239"/>
        <v>15648476.247</v>
      </c>
      <c r="FT20" s="264">
        <f t="shared" si="240"/>
        <v>0</v>
      </c>
      <c r="FU20" s="265">
        <f t="shared" si="241"/>
        <v>0</v>
      </c>
      <c r="FV20" s="264">
        <f t="shared" si="242"/>
        <v>15648476.247</v>
      </c>
      <c r="FW20" s="264">
        <f t="shared" si="243"/>
        <v>0</v>
      </c>
      <c r="FX20" s="264">
        <f t="shared" si="244"/>
        <v>0</v>
      </c>
      <c r="FY20" s="264">
        <f t="shared" si="245"/>
        <v>0</v>
      </c>
      <c r="FZ20" s="264">
        <f t="shared" si="246"/>
        <v>0</v>
      </c>
      <c r="GA20" s="265">
        <f t="shared" si="296"/>
        <v>0</v>
      </c>
      <c r="GB20" s="264">
        <f t="shared" si="297"/>
        <v>15648476.247</v>
      </c>
      <c r="GC20" s="264">
        <f t="shared" si="247"/>
        <v>15648476.247</v>
      </c>
      <c r="GD20" s="266">
        <f t="shared" si="248"/>
        <v>11345145.279074999</v>
      </c>
      <c r="GE20" s="138">
        <f t="shared" si="249"/>
        <v>0.65249999999999997</v>
      </c>
      <c r="GF20" s="267">
        <f t="shared" si="250"/>
        <v>31</v>
      </c>
      <c r="GG20" s="264">
        <f t="array" ref="GG20">IF(SUM(IF(IC$9:IC19=IC20,1,0))&gt;0,0,SUMIF($IC$10:$IC$406,IC20,$FJ$10:$FJ$406))</f>
        <v>84429923.036949992</v>
      </c>
      <c r="GH20" s="268">
        <f t="shared" si="251"/>
        <v>84429923.036949992</v>
      </c>
      <c r="GI20" s="137">
        <f t="shared" si="126"/>
        <v>11</v>
      </c>
      <c r="GJ20" s="269">
        <f t="shared" si="252"/>
        <v>48659572.185049996</v>
      </c>
      <c r="GK20" s="269">
        <f t="shared" si="253"/>
        <v>152892852.51729038</v>
      </c>
      <c r="GL20" s="163">
        <f t="shared" si="254"/>
        <v>0</v>
      </c>
      <c r="GM20" s="137">
        <f t="array" ref="GM20">IF(GJ20=0,0,LARGE(IF($GG$10:$GG$406=GJ20,$GF$10:$GF$406,0),COUNTIF($GJ$10:$GJ$406,GJ20)-COUNTIF(GJ$9:GJ19,GJ20)))</f>
        <v>53</v>
      </c>
      <c r="GN20" s="270">
        <f t="shared" si="255"/>
        <v>0</v>
      </c>
      <c r="GP20" s="137">
        <f>IF(C20="","",IF(ISERROR(MATCH(C20,C$10:C19,0)),MAX(GP$10:GP19)+1,INDEX(GP$10:GP19,MATCH(C20,C$10:C19,0))))</f>
        <v>10</v>
      </c>
      <c r="GQ20" s="264">
        <f>IF(COUNTIF($A$10:A20,A20)&lt;=1,SUMIF($A$10:$A$406,A20,$FH$10:$FH$406),0)</f>
        <v>15648476.247</v>
      </c>
      <c r="GR20" s="137">
        <f t="shared" si="130"/>
        <v>11</v>
      </c>
      <c r="GS20" s="269">
        <f t="shared" si="256"/>
        <v>25111100</v>
      </c>
      <c r="GT20" s="269">
        <f t="shared" si="257"/>
        <v>50964284.172430128</v>
      </c>
      <c r="GU20" s="163">
        <f t="shared" si="258"/>
        <v>0</v>
      </c>
      <c r="GV20" s="137">
        <f t="array" ref="GV20">IF(GS20=0,0,LARGE(IF($GQ$10:$GQ$406=GS20,$GP$10:$GP$406,0),COUNTIF($GS$10:$GS$406,GS20)-COUNTIF(GS$9:GS19,GS20)))</f>
        <v>44</v>
      </c>
      <c r="GW20" s="270">
        <f t="shared" si="259"/>
        <v>0</v>
      </c>
      <c r="GX20" s="270"/>
      <c r="GY20" s="137">
        <f>IF(C20="","",IF(ISERROR(MATCH(C20,C$10:C19,0)),MAX(GP$10:GP19)+1,INDEX(GP$10:GP19,MATCH(C20,C$10:C19,0))))</f>
        <v>10</v>
      </c>
      <c r="GZ20" s="264">
        <f>IF(COUNTIF($A$10:A20,A20)&lt;=1,SUMIF($A$10:$A$406,A20,$FH$10:$FH$406),0)</f>
        <v>15648476.247</v>
      </c>
      <c r="HA20" s="137">
        <f t="shared" si="134"/>
        <v>11</v>
      </c>
      <c r="HB20" s="269">
        <f t="shared" si="260"/>
        <v>25111100</v>
      </c>
      <c r="HC20" s="414" t="s">
        <v>622</v>
      </c>
      <c r="HD20" s="163">
        <f t="shared" si="261"/>
        <v>0</v>
      </c>
      <c r="HE20" s="137">
        <f t="array" ref="HE20">IF(HB20=0,0,LARGE(IF($GZ$10:$GZ$406=HB20,$GY$10:$GY$406,0),COUNTIF($HB$10:$HB$406,HB20)-COUNTIF(HB$9:HB19,HB20)))</f>
        <v>44</v>
      </c>
      <c r="HF20" s="270">
        <f t="shared" si="262"/>
        <v>0</v>
      </c>
      <c r="HG20"/>
      <c r="HH20" s="268">
        <f t="shared" si="263"/>
        <v>0</v>
      </c>
      <c r="HI20" s="271">
        <v>0</v>
      </c>
      <c r="HJ20" s="264">
        <f t="shared" si="264"/>
        <v>0</v>
      </c>
      <c r="HL20" s="137">
        <f t="shared" si="265"/>
        <v>11</v>
      </c>
      <c r="HM20" s="264">
        <f t="shared" si="300"/>
        <v>41568911</v>
      </c>
      <c r="HO20" s="199">
        <f t="shared" si="301"/>
        <v>15648476.247</v>
      </c>
      <c r="HP20" s="199">
        <f t="shared" si="302"/>
        <v>17387195.829999998</v>
      </c>
      <c r="HQ20" s="199" t="str">
        <f t="shared" si="303"/>
        <v/>
      </c>
      <c r="HR20" s="199" t="str">
        <f t="shared" si="304"/>
        <v/>
      </c>
      <c r="HS20" s="199" t="str">
        <f t="shared" si="119"/>
        <v/>
      </c>
      <c r="HT20" s="199">
        <f t="shared" si="305"/>
        <v>15648476.247</v>
      </c>
      <c r="HU20" s="199" t="str">
        <f t="shared" si="306"/>
        <v/>
      </c>
      <c r="HV20" s="200">
        <f t="shared" si="307"/>
        <v>0</v>
      </c>
      <c r="HW20" s="272" t="str">
        <f t="shared" si="308"/>
        <v/>
      </c>
      <c r="HX20" s="200">
        <f t="shared" si="309"/>
        <v>0</v>
      </c>
      <c r="HY20" s="200">
        <f t="shared" si="310"/>
        <v>15648476.247</v>
      </c>
      <c r="HZ20" s="200">
        <f t="shared" si="4"/>
        <v>0</v>
      </c>
      <c r="IA20" s="200">
        <f t="shared" si="311"/>
        <v>0</v>
      </c>
      <c r="IB20" s="200">
        <f t="shared" si="312"/>
        <v>0</v>
      </c>
      <c r="IC20" s="273">
        <f>IF(C20="","",INDEX(Lookups!$E$2:$E$69,MATCH('Loan List'!BE20,Lookups!$F$2:$F$69,0)))</f>
        <v>31</v>
      </c>
      <c r="ID20" t="b">
        <f t="shared" si="313"/>
        <v>1</v>
      </c>
      <c r="IF20" s="346">
        <f t="shared" si="121"/>
        <v>0.9</v>
      </c>
    </row>
    <row r="21" spans="1:240">
      <c r="A21" t="s">
        <v>603</v>
      </c>
      <c r="B21" s="242">
        <f t="shared" si="149"/>
        <v>12</v>
      </c>
      <c r="C21" s="242">
        <f>IF(COUNTIF($A$10:A20,A21)&gt;0,C20,C20+1)</f>
        <v>11</v>
      </c>
      <c r="D21" s="428" t="s">
        <v>603</v>
      </c>
      <c r="E21" s="428" t="s">
        <v>677</v>
      </c>
      <c r="F21" s="429"/>
      <c r="G21" s="430">
        <v>41568911</v>
      </c>
      <c r="H21" s="430">
        <v>41568911</v>
      </c>
      <c r="I21" s="244">
        <f>IF(B21="","",VLOOKUP(BF21,Inputs!$A$12:$J$15,10,FALSE))</f>
        <v>1</v>
      </c>
      <c r="J21" s="245">
        <f t="shared" si="5"/>
        <v>41568911</v>
      </c>
      <c r="K21" s="245">
        <f t="shared" si="6"/>
        <v>41568911</v>
      </c>
      <c r="L21" s="245">
        <f t="shared" si="7"/>
        <v>41568911</v>
      </c>
      <c r="M21" s="245">
        <f t="shared" si="8"/>
        <v>41568911</v>
      </c>
      <c r="N21" s="246" t="s">
        <v>246</v>
      </c>
      <c r="O21" s="246" t="s">
        <v>245</v>
      </c>
      <c r="P21" s="247">
        <f>IF(B21="","",IF(OR(O21="N/A",O21=""),0,YEARFRAC('Borrowing Base'!$J$4,'Loan List'!O21)*12))</f>
        <v>0</v>
      </c>
      <c r="Q21" s="246" t="s">
        <v>246</v>
      </c>
      <c r="R21" s="248">
        <v>0.98503022028403742</v>
      </c>
      <c r="S21" s="249" t="str">
        <f t="shared" si="1"/>
        <v>No</v>
      </c>
      <c r="T21" s="248">
        <v>0.98749999993985893</v>
      </c>
      <c r="U21" s="250">
        <f t="shared" si="9"/>
        <v>0.5</v>
      </c>
      <c r="V21" s="250">
        <f t="shared" si="10"/>
        <v>0.72499999999999998</v>
      </c>
      <c r="W21" s="251">
        <f t="shared" si="11"/>
        <v>41568911</v>
      </c>
      <c r="X21" s="246" t="s">
        <v>246</v>
      </c>
      <c r="Y21" s="252" t="s">
        <v>483</v>
      </c>
      <c r="Z21" s="252" t="s">
        <v>484</v>
      </c>
      <c r="AA21" s="253" t="s">
        <v>407</v>
      </c>
      <c r="AB21" s="253" t="s">
        <v>713</v>
      </c>
      <c r="AC21" s="254">
        <v>1.2337514253135691</v>
      </c>
      <c r="AD21" s="254">
        <v>1.7525076936941157</v>
      </c>
      <c r="AE21" s="254">
        <v>1.9699999669847252</v>
      </c>
      <c r="AF21" s="255">
        <v>0.53300118975939847</v>
      </c>
      <c r="AG21" s="256">
        <v>5.0375939849624061</v>
      </c>
      <c r="AH21" s="256">
        <v>5.3300118975939856</v>
      </c>
      <c r="AI21" s="256">
        <v>4.7445567993645144</v>
      </c>
      <c r="AJ21" s="256">
        <v>5.1038799472954333</v>
      </c>
      <c r="AK21" s="257">
        <v>47275000</v>
      </c>
      <c r="AL21" s="257">
        <v>67742897</v>
      </c>
      <c r="AM21" s="258">
        <v>45838</v>
      </c>
      <c r="AN21" s="245" t="str">
        <f t="shared" si="12"/>
        <v>Tier 2</v>
      </c>
      <c r="AO21" s="243">
        <v>47430</v>
      </c>
      <c r="AP21" s="259">
        <f>IF(C21="","",DAYS360(Inputs!$J$8,AO21)/360)</f>
        <v>4.2055555555555557</v>
      </c>
      <c r="AQ21" s="259">
        <f t="shared" si="13"/>
        <v>4.2055555555555557</v>
      </c>
      <c r="AR21" s="246" t="s">
        <v>246</v>
      </c>
      <c r="AS21" s="248">
        <v>0</v>
      </c>
      <c r="AT21" s="246" t="s">
        <v>64</v>
      </c>
      <c r="AU21" s="248">
        <v>0.01</v>
      </c>
      <c r="AV21" s="248">
        <v>6.7500000000000004E-2</v>
      </c>
      <c r="AW21" s="248">
        <v>4.2955999999999994E-2</v>
      </c>
      <c r="AX21" s="260">
        <f t="shared" si="14"/>
        <v>4.2955999999999994E-2</v>
      </c>
      <c r="AY21" s="248">
        <v>0</v>
      </c>
      <c r="AZ21" s="248">
        <v>0</v>
      </c>
      <c r="BA21" s="248">
        <v>0</v>
      </c>
      <c r="BB21" s="407">
        <f t="shared" si="15"/>
        <v>6.7500000000000004E-2</v>
      </c>
      <c r="BC21" s="407" t="str">
        <f t="shared" si="16"/>
        <v/>
      </c>
      <c r="BD21" s="252" t="s">
        <v>247</v>
      </c>
      <c r="BE21" s="261" t="s">
        <v>324</v>
      </c>
      <c r="BF21" s="252" t="s">
        <v>7</v>
      </c>
      <c r="BG21" s="252" t="s">
        <v>460</v>
      </c>
      <c r="BH21" s="246" t="s">
        <v>246</v>
      </c>
      <c r="BI21" s="408" t="str">
        <f t="shared" si="17"/>
        <v>No</v>
      </c>
      <c r="BJ21" s="408" t="str">
        <f t="shared" si="18"/>
        <v>No</v>
      </c>
      <c r="BK21" s="246" t="s">
        <v>246</v>
      </c>
      <c r="BL21" s="246" t="s">
        <v>246</v>
      </c>
      <c r="BM21" s="246" t="s">
        <v>246</v>
      </c>
      <c r="BN21" s="246" t="s">
        <v>246</v>
      </c>
      <c r="BO21" s="246" t="s">
        <v>246</v>
      </c>
      <c r="BP21" s="246" t="s">
        <v>246</v>
      </c>
      <c r="BQ21" s="246" t="s">
        <v>246</v>
      </c>
      <c r="BR21" s="246" t="s">
        <v>246</v>
      </c>
      <c r="BS21" s="246" t="s">
        <v>246</v>
      </c>
      <c r="BT21" s="246" t="s">
        <v>246</v>
      </c>
      <c r="BU21" s="246" t="s">
        <v>246</v>
      </c>
      <c r="BV21" s="246" t="s">
        <v>246</v>
      </c>
      <c r="BW21" s="246" t="s">
        <v>246</v>
      </c>
      <c r="BX21" s="246" t="s">
        <v>246</v>
      </c>
      <c r="BY21" s="246" t="s">
        <v>246</v>
      </c>
      <c r="BZ21" s="246" t="s">
        <v>246</v>
      </c>
      <c r="CA21" s="246" t="s">
        <v>246</v>
      </c>
      <c r="CB21" s="246" t="s">
        <v>64</v>
      </c>
      <c r="CC21" s="262">
        <f t="shared" si="19"/>
        <v>2794827.5346096</v>
      </c>
      <c r="CD21" s="262">
        <f t="shared" si="20"/>
        <v>0</v>
      </c>
      <c r="CE21" s="263"/>
      <c r="CF21" s="263">
        <f t="shared" si="150"/>
        <v>0</v>
      </c>
      <c r="CG21" s="263">
        <f t="shared" si="151"/>
        <v>0</v>
      </c>
      <c r="CH21" s="263">
        <f t="shared" si="152"/>
        <v>0</v>
      </c>
      <c r="CI21" s="263">
        <f t="shared" si="153"/>
        <v>0</v>
      </c>
      <c r="CJ21" s="263">
        <f t="shared" si="154"/>
        <v>0</v>
      </c>
      <c r="CK21" s="263">
        <f t="shared" si="155"/>
        <v>0</v>
      </c>
      <c r="CL21" s="263">
        <f t="shared" si="156"/>
        <v>0</v>
      </c>
      <c r="CM21" s="263">
        <f t="shared" si="157"/>
        <v>0</v>
      </c>
      <c r="CN21" s="263">
        <f t="shared" si="158"/>
        <v>0</v>
      </c>
      <c r="CO21" s="263">
        <f t="shared" si="159"/>
        <v>0</v>
      </c>
      <c r="CP21" s="263">
        <f t="shared" si="160"/>
        <v>0</v>
      </c>
      <c r="CQ21" s="263">
        <f t="shared" si="161"/>
        <v>0</v>
      </c>
      <c r="CR21" s="263">
        <f t="shared" si="162"/>
        <v>0</v>
      </c>
      <c r="CS21" s="263">
        <f t="shared" si="163"/>
        <v>0</v>
      </c>
      <c r="CT21" s="263">
        <f t="shared" si="164"/>
        <v>0</v>
      </c>
      <c r="CU21" s="263">
        <f t="shared" si="165"/>
        <v>0</v>
      </c>
      <c r="CV21" s="263">
        <f t="shared" si="166"/>
        <v>0</v>
      </c>
      <c r="CW21" s="263">
        <f t="shared" si="167"/>
        <v>0</v>
      </c>
      <c r="CX21" s="263">
        <f t="shared" si="168"/>
        <v>0</v>
      </c>
      <c r="CY21" s="263">
        <f t="shared" si="169"/>
        <v>0</v>
      </c>
      <c r="CZ21" s="263">
        <f t="shared" si="170"/>
        <v>0</v>
      </c>
      <c r="DA21" s="263">
        <f t="shared" si="171"/>
        <v>0</v>
      </c>
      <c r="DB21" s="263">
        <f t="shared" si="172"/>
        <v>0</v>
      </c>
      <c r="DC21" s="263">
        <f t="shared" si="173"/>
        <v>0</v>
      </c>
      <c r="DD21" s="263">
        <f t="shared" si="174"/>
        <v>0</v>
      </c>
      <c r="DE21" s="263">
        <f t="shared" si="175"/>
        <v>0</v>
      </c>
      <c r="DF21" s="263">
        <f t="shared" si="176"/>
        <v>41568911</v>
      </c>
      <c r="DG21" s="263">
        <f t="shared" si="177"/>
        <v>0</v>
      </c>
      <c r="DH21" s="263">
        <f t="shared" si="178"/>
        <v>41568911</v>
      </c>
      <c r="DI21" s="263">
        <f t="shared" si="179"/>
        <v>41568911</v>
      </c>
      <c r="DJ21" s="263">
        <f t="shared" si="180"/>
        <v>0</v>
      </c>
      <c r="DK21" s="263">
        <f t="shared" si="181"/>
        <v>0</v>
      </c>
      <c r="DL21" s="263">
        <f t="shared" si="182"/>
        <v>0</v>
      </c>
      <c r="DM21" s="263">
        <f t="shared" si="183"/>
        <v>0</v>
      </c>
      <c r="DO21" s="264">
        <f t="shared" si="184"/>
        <v>0</v>
      </c>
      <c r="DP21" s="265">
        <f t="shared" si="185"/>
        <v>0</v>
      </c>
      <c r="DQ21" s="264">
        <f t="shared" si="186"/>
        <v>41568911</v>
      </c>
      <c r="DR21" s="264">
        <f t="shared" si="187"/>
        <v>0</v>
      </c>
      <c r="DS21" s="265">
        <f t="shared" si="188"/>
        <v>0</v>
      </c>
      <c r="DT21" s="264">
        <f t="shared" si="189"/>
        <v>41568911</v>
      </c>
      <c r="DU21" s="264">
        <f t="shared" si="190"/>
        <v>0</v>
      </c>
      <c r="DV21" s="265">
        <f t="shared" si="191"/>
        <v>0</v>
      </c>
      <c r="DW21" s="264">
        <f t="shared" si="192"/>
        <v>41568911</v>
      </c>
      <c r="DX21" s="264">
        <f t="shared" si="193"/>
        <v>0</v>
      </c>
      <c r="DY21" s="265">
        <f t="shared" si="194"/>
        <v>0</v>
      </c>
      <c r="DZ21" s="264">
        <f t="shared" si="195"/>
        <v>41568911</v>
      </c>
      <c r="EA21" s="264">
        <f t="shared" si="196"/>
        <v>0</v>
      </c>
      <c r="EB21" s="265">
        <f t="shared" si="197"/>
        <v>0</v>
      </c>
      <c r="EC21" s="264">
        <f t="shared" si="198"/>
        <v>41568911</v>
      </c>
      <c r="ED21" s="264">
        <f t="shared" si="199"/>
        <v>0</v>
      </c>
      <c r="EE21" s="265">
        <f t="shared" si="200"/>
        <v>0</v>
      </c>
      <c r="EF21" s="264">
        <f t="shared" si="201"/>
        <v>41568911</v>
      </c>
      <c r="EG21" s="264">
        <f t="shared" si="202"/>
        <v>0</v>
      </c>
      <c r="EH21" s="265">
        <f t="shared" si="203"/>
        <v>0</v>
      </c>
      <c r="EI21" s="264">
        <f t="shared" si="204"/>
        <v>41568911</v>
      </c>
      <c r="EJ21" s="264">
        <f t="shared" si="205"/>
        <v>0</v>
      </c>
      <c r="EK21" s="265">
        <f t="shared" si="206"/>
        <v>0</v>
      </c>
      <c r="EL21" s="264">
        <f t="shared" si="207"/>
        <v>41568911</v>
      </c>
      <c r="EM21" s="264">
        <f t="shared" si="208"/>
        <v>0</v>
      </c>
      <c r="EN21" s="265">
        <f t="shared" si="209"/>
        <v>0</v>
      </c>
      <c r="EO21" s="264">
        <f t="shared" si="210"/>
        <v>41568911</v>
      </c>
      <c r="EP21" s="264">
        <f t="shared" si="211"/>
        <v>0</v>
      </c>
      <c r="EQ21" s="265">
        <f t="shared" si="212"/>
        <v>0</v>
      </c>
      <c r="ER21" s="264">
        <f t="shared" si="213"/>
        <v>41568911</v>
      </c>
      <c r="ES21" s="264">
        <f t="shared" si="214"/>
        <v>0</v>
      </c>
      <c r="ET21" s="265">
        <f t="shared" si="215"/>
        <v>0</v>
      </c>
      <c r="EU21" s="264">
        <f t="shared" si="216"/>
        <v>41568911</v>
      </c>
      <c r="EV21" s="264">
        <f>IF(AND(BM21="Yes",OR(BN21="No",AND(BN21="Yes",Inputs!$J$8=Inputs!$J$17+75))),EU21,0)</f>
        <v>0</v>
      </c>
      <c r="EW21" s="265">
        <f t="shared" si="217"/>
        <v>0</v>
      </c>
      <c r="EX21" s="264">
        <f t="shared" si="218"/>
        <v>41568911</v>
      </c>
      <c r="EY21" s="264">
        <f t="shared" si="219"/>
        <v>0</v>
      </c>
      <c r="EZ21" s="265">
        <f t="shared" si="220"/>
        <v>0</v>
      </c>
      <c r="FA21" s="264">
        <f t="shared" si="221"/>
        <v>41568911</v>
      </c>
      <c r="FB21" s="264">
        <f t="shared" si="222"/>
        <v>0</v>
      </c>
      <c r="FC21" s="265">
        <f t="shared" si="223"/>
        <v>0</v>
      </c>
      <c r="FD21" s="264">
        <f t="shared" si="224"/>
        <v>41568911</v>
      </c>
      <c r="FE21" s="264">
        <f t="shared" si="225"/>
        <v>0</v>
      </c>
      <c r="FF21" s="265">
        <f t="shared" si="226"/>
        <v>0</v>
      </c>
      <c r="FG21" s="264">
        <f t="shared" si="227"/>
        <v>41568911</v>
      </c>
      <c r="FH21" s="264">
        <f t="shared" si="228"/>
        <v>41568911</v>
      </c>
      <c r="FI21" s="264">
        <f t="shared" si="229"/>
        <v>0</v>
      </c>
      <c r="FJ21" s="264">
        <f t="shared" si="230"/>
        <v>41568911</v>
      </c>
      <c r="FK21" s="264">
        <f t="shared" si="231"/>
        <v>41568911</v>
      </c>
      <c r="FL21" s="264">
        <f t="shared" si="232"/>
        <v>0</v>
      </c>
      <c r="FM21" s="264">
        <f t="shared" si="233"/>
        <v>41568911</v>
      </c>
      <c r="FN21" s="264">
        <f t="shared" si="234"/>
        <v>41568911</v>
      </c>
      <c r="FO21" s="264">
        <f t="shared" si="235"/>
        <v>0</v>
      </c>
      <c r="FP21" s="264">
        <f t="shared" si="236"/>
        <v>41568911</v>
      </c>
      <c r="FQ21" s="264">
        <f t="shared" si="237"/>
        <v>0</v>
      </c>
      <c r="FR21" s="265">
        <f t="shared" si="238"/>
        <v>0</v>
      </c>
      <c r="FS21" s="264">
        <f t="shared" si="239"/>
        <v>41568911</v>
      </c>
      <c r="FT21" s="264">
        <f t="shared" si="240"/>
        <v>0</v>
      </c>
      <c r="FU21" s="265">
        <f t="shared" si="241"/>
        <v>0</v>
      </c>
      <c r="FV21" s="264">
        <f t="shared" si="242"/>
        <v>41568911</v>
      </c>
      <c r="FW21" s="264">
        <f t="shared" si="243"/>
        <v>41568911</v>
      </c>
      <c r="FX21" s="264">
        <f t="shared" si="244"/>
        <v>0</v>
      </c>
      <c r="FY21" s="264">
        <f t="shared" si="245"/>
        <v>0</v>
      </c>
      <c r="FZ21" s="264">
        <f t="shared" si="246"/>
        <v>41568911</v>
      </c>
      <c r="GA21" s="265">
        <f t="shared" si="296"/>
        <v>186247.21482083862</v>
      </c>
      <c r="GB21" s="264">
        <f t="shared" si="297"/>
        <v>41382663.785179161</v>
      </c>
      <c r="GC21" s="264">
        <f t="shared" si="247"/>
        <v>41382663.785179161</v>
      </c>
      <c r="GD21" s="266">
        <f t="shared" si="248"/>
        <v>30002431.244254891</v>
      </c>
      <c r="GE21" s="138">
        <f t="shared" si="249"/>
        <v>0.72175167745565649</v>
      </c>
      <c r="GF21" s="267">
        <f t="shared" si="250"/>
        <v>1</v>
      </c>
      <c r="GG21" s="264">
        <f t="array" ref="GG21">IF(SUM(IF(IC$9:IC20=IC21,1,0))&gt;0,0,SUMIF($IC$10:$IC$406,IC21,$FJ$10:$FJ$406))</f>
        <v>0</v>
      </c>
      <c r="GH21" s="268">
        <f t="shared" si="251"/>
        <v>0</v>
      </c>
      <c r="GI21" s="137">
        <f t="shared" si="126"/>
        <v>12</v>
      </c>
      <c r="GJ21" s="269">
        <f t="shared" si="252"/>
        <v>46330725.82</v>
      </c>
      <c r="GK21" s="269">
        <f t="shared" si="253"/>
        <v>152892852.51729038</v>
      </c>
      <c r="GL21" s="163">
        <f t="shared" si="254"/>
        <v>0</v>
      </c>
      <c r="GM21" s="137">
        <f t="array" ref="GM21">IF(GJ21=0,0,LARGE(IF($GG$10:$GG$406=GJ21,$GF$10:$GF$406,0),COUNTIF($GJ$10:$GJ$406,GJ21)-COUNTIF(GJ$9:GJ20,GJ21)))</f>
        <v>14</v>
      </c>
      <c r="GN21" s="270">
        <f t="shared" si="255"/>
        <v>0</v>
      </c>
      <c r="GP21" s="137">
        <f>IF(C21="","",IF(ISERROR(MATCH(C21,C$10:C20,0)),MAX(GP$10:GP20)+1,INDEX(GP$10:GP20,MATCH(C21,C$10:C20,0))))</f>
        <v>11</v>
      </c>
      <c r="GQ21" s="264">
        <f>IF(COUNTIF($A$10:A21,A21)&lt;=1,SUMIF($A$10:$A$406,A21,$FH$10:$FH$406),0)</f>
        <v>41568911</v>
      </c>
      <c r="GR21" s="137">
        <f t="shared" si="130"/>
        <v>12</v>
      </c>
      <c r="GS21" s="269">
        <f t="shared" si="256"/>
        <v>25000000</v>
      </c>
      <c r="GT21" s="269">
        <f t="shared" si="257"/>
        <v>50964284.172430128</v>
      </c>
      <c r="GU21" s="163">
        <f t="shared" si="258"/>
        <v>0</v>
      </c>
      <c r="GV21" s="137">
        <f t="array" ref="GV21">IF(GS21=0,0,LARGE(IF($GQ$10:$GQ$406=GS21,$GP$10:$GP$406,0),COUNTIF($GS$10:$GS$406,GS21)-COUNTIF(GS$9:GS20,GS21)))</f>
        <v>31</v>
      </c>
      <c r="GW21" s="270">
        <f t="shared" si="259"/>
        <v>0</v>
      </c>
      <c r="GX21" s="270"/>
      <c r="GY21" s="137">
        <f>IF(C21="","",IF(ISERROR(MATCH(C21,C$10:C20,0)),MAX(GP$10:GP20)+1,INDEX(GP$10:GP20,MATCH(C21,C$10:C20,0))))</f>
        <v>11</v>
      </c>
      <c r="GZ21" s="264">
        <f>IF(COUNTIF($A$10:A21,A21)&lt;=1,SUMIF($A$10:$A$406,A21,$FH$10:$FH$406),0)</f>
        <v>41568911</v>
      </c>
      <c r="HA21" s="137">
        <f t="shared" si="134"/>
        <v>12</v>
      </c>
      <c r="HB21" s="269">
        <f t="shared" si="260"/>
        <v>25000000</v>
      </c>
      <c r="HC21" s="414" t="s">
        <v>622</v>
      </c>
      <c r="HD21" s="163">
        <f t="shared" si="261"/>
        <v>0</v>
      </c>
      <c r="HE21" s="137">
        <f t="array" ref="HE21">IF(HB21=0,0,LARGE(IF($GZ$10:$GZ$406=HB21,$GY$10:$GY$406,0),COUNTIF($HB$10:$HB$406,HB21)-COUNTIF(HB$9:HB20,HB21)))</f>
        <v>31</v>
      </c>
      <c r="HF21" s="270">
        <f t="shared" si="262"/>
        <v>0</v>
      </c>
      <c r="HG21"/>
      <c r="HH21" s="268">
        <f t="shared" si="263"/>
        <v>186247.21482083946</v>
      </c>
      <c r="HI21" s="271">
        <v>0</v>
      </c>
      <c r="HJ21" s="264">
        <f t="shared" si="264"/>
        <v>0</v>
      </c>
      <c r="HL21" s="137">
        <f t="shared" si="265"/>
        <v>12</v>
      </c>
      <c r="HM21" s="264">
        <f t="shared" si="300"/>
        <v>15545911.470000001</v>
      </c>
      <c r="HO21" s="199">
        <f t="shared" si="301"/>
        <v>41568911</v>
      </c>
      <c r="HP21" s="199">
        <f t="shared" si="302"/>
        <v>41568911</v>
      </c>
      <c r="HQ21" s="199" t="str">
        <f t="shared" si="303"/>
        <v/>
      </c>
      <c r="HR21" s="199" t="str">
        <f t="shared" si="304"/>
        <v/>
      </c>
      <c r="HS21" s="199" t="str">
        <f t="shared" si="119"/>
        <v/>
      </c>
      <c r="HT21" s="199" t="str">
        <f t="shared" si="305"/>
        <v/>
      </c>
      <c r="HU21" s="199" t="str">
        <f t="shared" si="306"/>
        <v/>
      </c>
      <c r="HV21" s="200">
        <f t="shared" si="307"/>
        <v>0</v>
      </c>
      <c r="HW21" s="272">
        <f t="shared" si="308"/>
        <v>1</v>
      </c>
      <c r="HX21" s="200" t="str">
        <f t="shared" si="309"/>
        <v/>
      </c>
      <c r="HY21" s="200">
        <f t="shared" si="310"/>
        <v>0</v>
      </c>
      <c r="HZ21" s="200" t="str">
        <f t="shared" si="4"/>
        <v/>
      </c>
      <c r="IA21" s="200" t="str">
        <f t="shared" si="311"/>
        <v/>
      </c>
      <c r="IB21" s="200" t="str">
        <f t="shared" si="312"/>
        <v/>
      </c>
      <c r="IC21" s="273">
        <f>IF(C21="","",INDEX(Lookups!$E$2:$E$69,MATCH('Loan List'!BE21,Lookups!$F$2:$F$69,0)))</f>
        <v>1</v>
      </c>
      <c r="ID21" t="b">
        <f t="shared" si="313"/>
        <v>1</v>
      </c>
      <c r="IF21" s="346" t="str">
        <f t="shared" si="121"/>
        <v>No Initial Haircut</v>
      </c>
    </row>
    <row r="22" spans="1:240">
      <c r="A22" t="s">
        <v>594</v>
      </c>
      <c r="B22" s="242">
        <f t="shared" si="149"/>
        <v>13</v>
      </c>
      <c r="C22" s="242">
        <f>IF(COUNTIF($A$10:A21,A22)&gt;0,C21,C21+1)</f>
        <v>12</v>
      </c>
      <c r="D22" s="428" t="s">
        <v>594</v>
      </c>
      <c r="E22" s="428" t="s">
        <v>593</v>
      </c>
      <c r="F22" s="429"/>
      <c r="G22" s="430">
        <v>10088880.470000001</v>
      </c>
      <c r="H22" s="430">
        <v>10088880.470000001</v>
      </c>
      <c r="I22" s="244">
        <f>IF(B22="","",VLOOKUP(BF22,Inputs!$A$12:$J$15,10,FALSE))</f>
        <v>1</v>
      </c>
      <c r="J22" s="245">
        <f t="shared" si="5"/>
        <v>10088880.470000001</v>
      </c>
      <c r="K22" s="245">
        <f t="shared" si="6"/>
        <v>10088880.470000001</v>
      </c>
      <c r="L22" s="245">
        <f t="shared" si="7"/>
        <v>10088880.470000001</v>
      </c>
      <c r="M22" s="245">
        <f t="shared" si="8"/>
        <v>10088880.470000001</v>
      </c>
      <c r="N22" s="246" t="s">
        <v>246</v>
      </c>
      <c r="O22" s="246" t="s">
        <v>245</v>
      </c>
      <c r="P22" s="247">
        <f>IF(B22="","",IF(OR(O22="N/A",O22=""),0,YEARFRAC('Borrowing Base'!$J$4,'Loan List'!O22)*12))</f>
        <v>0</v>
      </c>
      <c r="Q22" s="246" t="s">
        <v>246</v>
      </c>
      <c r="R22" s="248">
        <v>0.98257459390359603</v>
      </c>
      <c r="S22" s="249" t="str">
        <f t="shared" si="1"/>
        <v>No</v>
      </c>
      <c r="T22" s="248">
        <v>1</v>
      </c>
      <c r="U22" s="250">
        <f t="shared" si="9"/>
        <v>0.5</v>
      </c>
      <c r="V22" s="250">
        <f t="shared" si="10"/>
        <v>0.72499999999999998</v>
      </c>
      <c r="W22" s="251">
        <f t="shared" si="11"/>
        <v>10088880.470000001</v>
      </c>
      <c r="X22" s="246" t="s">
        <v>246</v>
      </c>
      <c r="Y22" s="252" t="s">
        <v>483</v>
      </c>
      <c r="Z22" s="252" t="s">
        <v>484</v>
      </c>
      <c r="AA22" s="253" t="s">
        <v>407</v>
      </c>
      <c r="AB22" s="253" t="s">
        <v>713</v>
      </c>
      <c r="AC22" s="254">
        <v>1.58</v>
      </c>
      <c r="AD22" s="254">
        <v>1.2410284126093523</v>
      </c>
      <c r="AE22" s="254">
        <v>2.314638244494132</v>
      </c>
      <c r="AF22" s="255">
        <v>0.48189321138071189</v>
      </c>
      <c r="AG22" s="256">
        <v>3.7538418759146341</v>
      </c>
      <c r="AH22" s="256">
        <v>3.7538418759146341</v>
      </c>
      <c r="AI22" s="256">
        <v>3.3434574103676646</v>
      </c>
      <c r="AJ22" s="256">
        <v>3.3434574103676646</v>
      </c>
      <c r="AK22" s="257">
        <v>32799999.999999996</v>
      </c>
      <c r="AL22" s="257">
        <v>35032000</v>
      </c>
      <c r="AM22" s="258">
        <v>45838</v>
      </c>
      <c r="AN22" s="245" t="str">
        <f t="shared" si="12"/>
        <v>Tier 2</v>
      </c>
      <c r="AO22" s="243">
        <v>47543</v>
      </c>
      <c r="AP22" s="259">
        <f>IF(C22="","",DAYS360(Inputs!$J$8,AO22)/360)</f>
        <v>4.5194444444444448</v>
      </c>
      <c r="AQ22" s="259">
        <f t="shared" si="13"/>
        <v>4.5194444444444448</v>
      </c>
      <c r="AR22" s="246" t="s">
        <v>246</v>
      </c>
      <c r="AS22" s="248">
        <v>0</v>
      </c>
      <c r="AT22" s="246" t="s">
        <v>64</v>
      </c>
      <c r="AU22" s="248">
        <v>0.01</v>
      </c>
      <c r="AV22" s="248">
        <v>5.5E-2</v>
      </c>
      <c r="AW22" s="248">
        <v>4.2956000000000001E-2</v>
      </c>
      <c r="AX22" s="260">
        <f t="shared" si="14"/>
        <v>4.2956000000000001E-2</v>
      </c>
      <c r="AY22" s="248">
        <v>0</v>
      </c>
      <c r="AZ22" s="248">
        <v>0</v>
      </c>
      <c r="BA22" s="248">
        <v>0</v>
      </c>
      <c r="BB22" s="407">
        <f t="shared" si="15"/>
        <v>5.5E-2</v>
      </c>
      <c r="BC22" s="407" t="str">
        <f t="shared" si="16"/>
        <v/>
      </c>
      <c r="BD22" s="252" t="s">
        <v>247</v>
      </c>
      <c r="BE22" s="261" t="s">
        <v>363</v>
      </c>
      <c r="BF22" s="252" t="s">
        <v>7</v>
      </c>
      <c r="BG22" s="252" t="s">
        <v>460</v>
      </c>
      <c r="BH22" s="246" t="s">
        <v>246</v>
      </c>
      <c r="BI22" s="408" t="str">
        <f t="shared" si="17"/>
        <v>No</v>
      </c>
      <c r="BJ22" s="408" t="str">
        <f t="shared" si="18"/>
        <v>No</v>
      </c>
      <c r="BK22" s="246" t="s">
        <v>246</v>
      </c>
      <c r="BL22" s="246" t="s">
        <v>246</v>
      </c>
      <c r="BM22" s="246" t="s">
        <v>246</v>
      </c>
      <c r="BN22" s="246" t="s">
        <v>246</v>
      </c>
      <c r="BO22" s="246" t="s">
        <v>246</v>
      </c>
      <c r="BP22" s="246" t="s">
        <v>246</v>
      </c>
      <c r="BQ22" s="246" t="s">
        <v>246</v>
      </c>
      <c r="BR22" s="246" t="s">
        <v>246</v>
      </c>
      <c r="BS22" s="246" t="s">
        <v>246</v>
      </c>
      <c r="BT22" s="246" t="s">
        <v>246</v>
      </c>
      <c r="BU22" s="246" t="s">
        <v>246</v>
      </c>
      <c r="BV22" s="246" t="s">
        <v>246</v>
      </c>
      <c r="BW22" s="246" t="s">
        <v>246</v>
      </c>
      <c r="BX22" s="246" t="s">
        <v>246</v>
      </c>
      <c r="BY22" s="246" t="s">
        <v>246</v>
      </c>
      <c r="BZ22" s="246" t="s">
        <v>246</v>
      </c>
      <c r="CA22" s="246" t="s">
        <v>246</v>
      </c>
      <c r="CB22" s="246" t="s">
        <v>64</v>
      </c>
      <c r="CC22" s="262">
        <f t="shared" si="19"/>
        <v>552200.748092792</v>
      </c>
      <c r="CD22" s="262">
        <f t="shared" si="20"/>
        <v>0</v>
      </c>
      <c r="CE22" s="263"/>
      <c r="CF22" s="263">
        <f t="shared" si="150"/>
        <v>0</v>
      </c>
      <c r="CG22" s="263">
        <f t="shared" si="151"/>
        <v>0</v>
      </c>
      <c r="CH22" s="263">
        <f t="shared" si="152"/>
        <v>0</v>
      </c>
      <c r="CI22" s="263">
        <f t="shared" si="153"/>
        <v>0</v>
      </c>
      <c r="CJ22" s="263">
        <f t="shared" si="154"/>
        <v>0</v>
      </c>
      <c r="CK22" s="263">
        <f t="shared" si="155"/>
        <v>0</v>
      </c>
      <c r="CL22" s="263">
        <f t="shared" si="156"/>
        <v>0</v>
      </c>
      <c r="CM22" s="263">
        <f t="shared" si="157"/>
        <v>0</v>
      </c>
      <c r="CN22" s="263">
        <f t="shared" si="158"/>
        <v>0</v>
      </c>
      <c r="CO22" s="263">
        <f t="shared" si="159"/>
        <v>0</v>
      </c>
      <c r="CP22" s="263">
        <f t="shared" si="160"/>
        <v>0</v>
      </c>
      <c r="CQ22" s="263">
        <f t="shared" si="161"/>
        <v>0</v>
      </c>
      <c r="CR22" s="263">
        <f t="shared" si="162"/>
        <v>0</v>
      </c>
      <c r="CS22" s="263">
        <f t="shared" si="163"/>
        <v>0</v>
      </c>
      <c r="CT22" s="263">
        <f t="shared" si="164"/>
        <v>0</v>
      </c>
      <c r="CU22" s="263">
        <f t="shared" si="165"/>
        <v>0</v>
      </c>
      <c r="CV22" s="263">
        <f t="shared" si="166"/>
        <v>0</v>
      </c>
      <c r="CW22" s="263">
        <f t="shared" si="167"/>
        <v>0</v>
      </c>
      <c r="CX22" s="263">
        <f t="shared" si="168"/>
        <v>0</v>
      </c>
      <c r="CY22" s="263">
        <f t="shared" si="169"/>
        <v>0</v>
      </c>
      <c r="CZ22" s="263">
        <f t="shared" si="170"/>
        <v>0</v>
      </c>
      <c r="DA22" s="263">
        <f t="shared" si="171"/>
        <v>0</v>
      </c>
      <c r="DB22" s="263">
        <f t="shared" si="172"/>
        <v>0</v>
      </c>
      <c r="DC22" s="263">
        <f t="shared" si="173"/>
        <v>0</v>
      </c>
      <c r="DD22" s="263">
        <f t="shared" si="174"/>
        <v>0</v>
      </c>
      <c r="DE22" s="263">
        <f t="shared" si="175"/>
        <v>0</v>
      </c>
      <c r="DF22" s="263">
        <f t="shared" si="176"/>
        <v>10088880.470000001</v>
      </c>
      <c r="DG22" s="263">
        <f t="shared" si="177"/>
        <v>0</v>
      </c>
      <c r="DH22" s="263">
        <f t="shared" si="178"/>
        <v>10088880.470000001</v>
      </c>
      <c r="DI22" s="263">
        <f t="shared" si="179"/>
        <v>10088880.470000001</v>
      </c>
      <c r="DJ22" s="263">
        <f t="shared" si="180"/>
        <v>0</v>
      </c>
      <c r="DK22" s="263">
        <f t="shared" si="181"/>
        <v>0</v>
      </c>
      <c r="DL22" s="263">
        <f t="shared" si="182"/>
        <v>0</v>
      </c>
      <c r="DM22" s="263">
        <f t="shared" si="183"/>
        <v>0</v>
      </c>
      <c r="DO22" s="264">
        <f t="shared" si="184"/>
        <v>0</v>
      </c>
      <c r="DP22" s="265">
        <f t="shared" si="185"/>
        <v>0</v>
      </c>
      <c r="DQ22" s="264">
        <f t="shared" si="186"/>
        <v>10088880.470000001</v>
      </c>
      <c r="DR22" s="264">
        <f t="shared" si="187"/>
        <v>0</v>
      </c>
      <c r="DS22" s="265">
        <f t="shared" si="188"/>
        <v>0</v>
      </c>
      <c r="DT22" s="264">
        <f t="shared" si="189"/>
        <v>10088880.470000001</v>
      </c>
      <c r="DU22" s="264">
        <f t="shared" si="190"/>
        <v>0</v>
      </c>
      <c r="DV22" s="265">
        <f t="shared" si="191"/>
        <v>0</v>
      </c>
      <c r="DW22" s="264">
        <f t="shared" si="192"/>
        <v>10088880.470000001</v>
      </c>
      <c r="DX22" s="264">
        <f t="shared" si="193"/>
        <v>0</v>
      </c>
      <c r="DY22" s="265">
        <f t="shared" si="194"/>
        <v>0</v>
      </c>
      <c r="DZ22" s="264">
        <f t="shared" si="195"/>
        <v>10088880.470000001</v>
      </c>
      <c r="EA22" s="264">
        <f t="shared" si="196"/>
        <v>0</v>
      </c>
      <c r="EB22" s="265">
        <f t="shared" si="197"/>
        <v>0</v>
      </c>
      <c r="EC22" s="264">
        <f t="shared" si="198"/>
        <v>10088880.470000001</v>
      </c>
      <c r="ED22" s="264">
        <f t="shared" si="199"/>
        <v>0</v>
      </c>
      <c r="EE22" s="265">
        <f t="shared" si="200"/>
        <v>0</v>
      </c>
      <c r="EF22" s="264">
        <f t="shared" si="201"/>
        <v>10088880.470000001</v>
      </c>
      <c r="EG22" s="264">
        <f t="shared" si="202"/>
        <v>0</v>
      </c>
      <c r="EH22" s="265">
        <f t="shared" si="203"/>
        <v>0</v>
      </c>
      <c r="EI22" s="264">
        <f t="shared" si="204"/>
        <v>10088880.470000001</v>
      </c>
      <c r="EJ22" s="264">
        <f t="shared" si="205"/>
        <v>0</v>
      </c>
      <c r="EK22" s="265">
        <f t="shared" si="206"/>
        <v>0</v>
      </c>
      <c r="EL22" s="264">
        <f t="shared" si="207"/>
        <v>10088880.470000001</v>
      </c>
      <c r="EM22" s="264">
        <f t="shared" si="208"/>
        <v>0</v>
      </c>
      <c r="EN22" s="265">
        <f t="shared" si="209"/>
        <v>0</v>
      </c>
      <c r="EO22" s="264">
        <f t="shared" si="210"/>
        <v>10088880.470000001</v>
      </c>
      <c r="EP22" s="264">
        <f t="shared" si="211"/>
        <v>0</v>
      </c>
      <c r="EQ22" s="265">
        <f t="shared" si="212"/>
        <v>0</v>
      </c>
      <c r="ER22" s="264">
        <f t="shared" si="213"/>
        <v>10088880.470000001</v>
      </c>
      <c r="ES22" s="264">
        <f t="shared" si="214"/>
        <v>0</v>
      </c>
      <c r="ET22" s="265">
        <f t="shared" si="215"/>
        <v>0</v>
      </c>
      <c r="EU22" s="264">
        <f t="shared" si="216"/>
        <v>10088880.470000001</v>
      </c>
      <c r="EV22" s="264">
        <f>IF(AND(BM22="Yes",OR(BN22="No",AND(BN22="Yes",Inputs!$J$8=Inputs!$J$17+75))),EU22,0)</f>
        <v>0</v>
      </c>
      <c r="EW22" s="265">
        <f t="shared" si="217"/>
        <v>0</v>
      </c>
      <c r="EX22" s="264">
        <f t="shared" si="218"/>
        <v>10088880.470000001</v>
      </c>
      <c r="EY22" s="264">
        <f t="shared" si="219"/>
        <v>0</v>
      </c>
      <c r="EZ22" s="265">
        <f t="shared" si="220"/>
        <v>0</v>
      </c>
      <c r="FA22" s="264">
        <f t="shared" si="221"/>
        <v>10088880.470000001</v>
      </c>
      <c r="FB22" s="264">
        <f t="shared" si="222"/>
        <v>0</v>
      </c>
      <c r="FC22" s="265">
        <f t="shared" si="223"/>
        <v>0</v>
      </c>
      <c r="FD22" s="264">
        <f t="shared" si="224"/>
        <v>10088880.470000001</v>
      </c>
      <c r="FE22" s="264">
        <f t="shared" si="225"/>
        <v>0</v>
      </c>
      <c r="FF22" s="265">
        <f t="shared" si="226"/>
        <v>0</v>
      </c>
      <c r="FG22" s="264">
        <f t="shared" si="227"/>
        <v>10088880.470000001</v>
      </c>
      <c r="FH22" s="264">
        <f t="shared" si="228"/>
        <v>10088880.470000001</v>
      </c>
      <c r="FI22" s="264">
        <f t="shared" si="229"/>
        <v>0</v>
      </c>
      <c r="FJ22" s="264">
        <f t="shared" si="230"/>
        <v>10088880.470000001</v>
      </c>
      <c r="FK22" s="264">
        <f t="shared" si="231"/>
        <v>10088880.470000001</v>
      </c>
      <c r="FL22" s="264">
        <f t="shared" si="232"/>
        <v>0</v>
      </c>
      <c r="FM22" s="264">
        <f t="shared" si="233"/>
        <v>10088880.470000001</v>
      </c>
      <c r="FN22" s="264">
        <f t="shared" si="234"/>
        <v>10088880.470000001</v>
      </c>
      <c r="FO22" s="264">
        <f t="shared" si="235"/>
        <v>0</v>
      </c>
      <c r="FP22" s="264">
        <f t="shared" si="236"/>
        <v>10088880.470000001</v>
      </c>
      <c r="FQ22" s="264">
        <f t="shared" si="237"/>
        <v>0</v>
      </c>
      <c r="FR22" s="265">
        <f t="shared" si="238"/>
        <v>0</v>
      </c>
      <c r="FS22" s="264">
        <f t="shared" si="239"/>
        <v>10088880.470000001</v>
      </c>
      <c r="FT22" s="264">
        <f t="shared" si="240"/>
        <v>0</v>
      </c>
      <c r="FU22" s="265">
        <f t="shared" si="241"/>
        <v>0</v>
      </c>
      <c r="FV22" s="264">
        <f t="shared" si="242"/>
        <v>10088880.470000001</v>
      </c>
      <c r="FW22" s="264">
        <f t="shared" si="243"/>
        <v>0</v>
      </c>
      <c r="FX22" s="264">
        <f t="shared" si="244"/>
        <v>0</v>
      </c>
      <c r="FY22" s="264">
        <f t="shared" si="245"/>
        <v>0</v>
      </c>
      <c r="FZ22" s="264">
        <f t="shared" si="246"/>
        <v>0</v>
      </c>
      <c r="GA22" s="265">
        <f t="shared" si="296"/>
        <v>0</v>
      </c>
      <c r="GB22" s="264">
        <f t="shared" si="297"/>
        <v>10088880.470000001</v>
      </c>
      <c r="GC22" s="264">
        <f t="shared" si="247"/>
        <v>10088880.470000001</v>
      </c>
      <c r="GD22" s="266">
        <f t="shared" si="248"/>
        <v>7314438.3407500004</v>
      </c>
      <c r="GE22" s="138">
        <f t="shared" si="249"/>
        <v>0.72499999999999998</v>
      </c>
      <c r="GF22" s="267">
        <f t="shared" si="250"/>
        <v>14</v>
      </c>
      <c r="GG22" s="264">
        <f t="array" ref="GG22">IF(SUM(IF(IC$9:IC21=IC22,1,0))&gt;0,0,SUMIF($IC$10:$IC$406,IC22,$FJ$10:$FJ$406))</f>
        <v>46330725.82</v>
      </c>
      <c r="GH22" s="268">
        <f t="shared" si="251"/>
        <v>46330725.82</v>
      </c>
      <c r="GI22" s="137">
        <f t="shared" si="126"/>
        <v>13</v>
      </c>
      <c r="GJ22" s="269">
        <f t="shared" si="252"/>
        <v>25111100</v>
      </c>
      <c r="GK22" s="269">
        <f t="shared" si="253"/>
        <v>152892852.51729038</v>
      </c>
      <c r="GL22" s="163">
        <f t="shared" si="254"/>
        <v>0</v>
      </c>
      <c r="GM22" s="137">
        <f t="array" ref="GM22">IF(GJ22=0,0,LARGE(IF($GG$10:$GG$406=GJ22,$GF$10:$GF$406,0),COUNTIF($GJ$10:$GJ$406,GJ22)-COUNTIF(GJ$9:GJ21,GJ22)))</f>
        <v>5</v>
      </c>
      <c r="GN22" s="270">
        <f t="shared" si="255"/>
        <v>0</v>
      </c>
      <c r="GP22" s="137">
        <f>IF(C22="","",IF(ISERROR(MATCH(C22,C$10:C21,0)),MAX(GP$10:GP21)+1,INDEX(GP$10:GP21,MATCH(C22,C$10:C21,0))))</f>
        <v>12</v>
      </c>
      <c r="GQ22" s="264">
        <f>IF(COUNTIF($A$10:A22,A22)&lt;=1,SUMIF($A$10:$A$406,A22,$FH$10:$FH$406),0)</f>
        <v>15545911.470000001</v>
      </c>
      <c r="GR22" s="137">
        <f t="shared" si="130"/>
        <v>13</v>
      </c>
      <c r="GS22" s="269">
        <f t="shared" si="256"/>
        <v>20000000</v>
      </c>
      <c r="GT22" s="269">
        <f t="shared" si="257"/>
        <v>50964284.172430128</v>
      </c>
      <c r="GU22" s="163">
        <f t="shared" si="258"/>
        <v>0</v>
      </c>
      <c r="GV22" s="137">
        <f t="array" ref="GV22">IF(GS22=0,0,LARGE(IF($GQ$10:$GQ$406=GS22,$GP$10:$GP$406,0),COUNTIF($GS$10:$GS$406,GS22)-COUNTIF(GS$9:GS21,GS22)))</f>
        <v>32</v>
      </c>
      <c r="GW22" s="270">
        <f t="shared" si="259"/>
        <v>0</v>
      </c>
      <c r="GX22" s="270"/>
      <c r="GY22" s="137">
        <f>IF(C22="","",IF(ISERROR(MATCH(C22,C$10:C21,0)),MAX(GP$10:GP21)+1,INDEX(GP$10:GP21,MATCH(C22,C$10:C21,0))))</f>
        <v>12</v>
      </c>
      <c r="GZ22" s="264">
        <f>IF(COUNTIF($A$10:A22,A22)&lt;=1,SUMIF($A$10:$A$406,A22,$FH$10:$FH$406),0)</f>
        <v>15545911.470000001</v>
      </c>
      <c r="HA22" s="137">
        <f t="shared" si="134"/>
        <v>13</v>
      </c>
      <c r="HB22" s="269">
        <f t="shared" si="260"/>
        <v>20000000</v>
      </c>
      <c r="HC22" s="414" t="s">
        <v>622</v>
      </c>
      <c r="HD22" s="163">
        <f t="shared" si="261"/>
        <v>0</v>
      </c>
      <c r="HE22" s="137">
        <f t="array" ref="HE22">IF(HB22=0,0,LARGE(IF($GZ$10:$GZ$406=HB22,$GY$10:$GY$406,0),COUNTIF($HB$10:$HB$406,HB22)-COUNTIF(HB$9:HB21,HB22)))</f>
        <v>32</v>
      </c>
      <c r="HF22" s="270">
        <f t="shared" si="262"/>
        <v>0</v>
      </c>
      <c r="HG22"/>
      <c r="HH22" s="268">
        <f t="shared" si="263"/>
        <v>0</v>
      </c>
      <c r="HI22" s="271">
        <v>0</v>
      </c>
      <c r="HJ22" s="264">
        <f t="shared" si="264"/>
        <v>0</v>
      </c>
      <c r="HL22" s="137">
        <f t="shared" si="265"/>
        <v>13</v>
      </c>
      <c r="HM22" s="264">
        <f t="shared" si="300"/>
        <v>893147.4</v>
      </c>
      <c r="HO22" s="199">
        <f t="shared" si="301"/>
        <v>10088880.470000001</v>
      </c>
      <c r="HP22" s="199">
        <f t="shared" si="302"/>
        <v>10088880.470000001</v>
      </c>
      <c r="HQ22" s="199" t="str">
        <f t="shared" si="303"/>
        <v/>
      </c>
      <c r="HR22" s="199" t="str">
        <f t="shared" si="304"/>
        <v/>
      </c>
      <c r="HS22" s="199" t="str">
        <f t="shared" si="119"/>
        <v/>
      </c>
      <c r="HT22" s="199" t="str">
        <f t="shared" si="305"/>
        <v/>
      </c>
      <c r="HU22" s="199" t="str">
        <f t="shared" si="306"/>
        <v/>
      </c>
      <c r="HV22" s="200">
        <f t="shared" si="307"/>
        <v>0</v>
      </c>
      <c r="HW22" s="272">
        <f t="shared" si="308"/>
        <v>1</v>
      </c>
      <c r="HX22" s="200" t="str">
        <f t="shared" si="309"/>
        <v/>
      </c>
      <c r="HY22" s="200">
        <f t="shared" si="310"/>
        <v>0</v>
      </c>
      <c r="HZ22" s="200" t="str">
        <f t="shared" si="4"/>
        <v/>
      </c>
      <c r="IA22" s="200" t="str">
        <f t="shared" si="311"/>
        <v/>
      </c>
      <c r="IB22" s="200" t="str">
        <f t="shared" si="312"/>
        <v/>
      </c>
      <c r="IC22" s="273">
        <f>IF(C22="","",INDEX(Lookups!$E$2:$E$69,MATCH('Loan List'!BE22,Lookups!$F$2:$F$69,0)))</f>
        <v>14</v>
      </c>
      <c r="ID22" t="b">
        <f t="shared" si="313"/>
        <v>1</v>
      </c>
      <c r="IF22" s="346" t="str">
        <f t="shared" si="121"/>
        <v>No Initial Haircut</v>
      </c>
    </row>
    <row r="23" spans="1:240">
      <c r="A23" t="s">
        <v>594</v>
      </c>
      <c r="B23" s="242">
        <f t="shared" si="149"/>
        <v>14</v>
      </c>
      <c r="C23" s="242">
        <f>IF(COUNTIF($A$10:A22,A23)&gt;0,C22,C22+1)</f>
        <v>12</v>
      </c>
      <c r="D23" s="431" t="s">
        <v>724</v>
      </c>
      <c r="E23" s="428" t="s">
        <v>593</v>
      </c>
      <c r="F23" s="429"/>
      <c r="G23" s="430">
        <v>5457031</v>
      </c>
      <c r="H23" s="430">
        <v>5457031</v>
      </c>
      <c r="I23" s="244">
        <f>IF(B23="","",VLOOKUP(BF23,Inputs!$A$12:$J$15,10,FALSE))</f>
        <v>1</v>
      </c>
      <c r="J23" s="245">
        <f t="shared" si="5"/>
        <v>5457031</v>
      </c>
      <c r="K23" s="245">
        <f t="shared" si="6"/>
        <v>5457031</v>
      </c>
      <c r="L23" s="245">
        <f t="shared" si="7"/>
        <v>5457031</v>
      </c>
      <c r="M23" s="245">
        <f t="shared" si="8"/>
        <v>5457031</v>
      </c>
      <c r="N23" s="246" t="s">
        <v>246</v>
      </c>
      <c r="O23" s="246" t="s">
        <v>245</v>
      </c>
      <c r="P23" s="247">
        <f>IF(B23="","",IF(OR(O23="N/A",O23=""),0,YEARFRAC('Borrowing Base'!$J$4,'Loan List'!O23)*12))</f>
        <v>0</v>
      </c>
      <c r="Q23" s="246" t="s">
        <v>246</v>
      </c>
      <c r="R23" s="248">
        <v>0.98257459390359603</v>
      </c>
      <c r="S23" s="249" t="str">
        <f t="shared" si="1"/>
        <v>No</v>
      </c>
      <c r="T23" s="248">
        <v>1</v>
      </c>
      <c r="U23" s="250">
        <f t="shared" si="9"/>
        <v>0.5</v>
      </c>
      <c r="V23" s="250">
        <f t="shared" si="10"/>
        <v>0.72499999999999998</v>
      </c>
      <c r="W23" s="251">
        <f t="shared" si="11"/>
        <v>5457031</v>
      </c>
      <c r="X23" s="246" t="s">
        <v>246</v>
      </c>
      <c r="Y23" s="252" t="s">
        <v>483</v>
      </c>
      <c r="Z23" s="252" t="s">
        <v>484</v>
      </c>
      <c r="AA23" s="253" t="s">
        <v>407</v>
      </c>
      <c r="AB23" s="253" t="s">
        <v>713</v>
      </c>
      <c r="AC23" s="254">
        <v>3.7538418759146341</v>
      </c>
      <c r="AD23" s="254">
        <v>1.2410284126093523</v>
      </c>
      <c r="AE23" s="254">
        <v>2.314638244494132</v>
      </c>
      <c r="AF23" s="255">
        <v>0.48189321138071189</v>
      </c>
      <c r="AG23" s="256">
        <v>3.3434574103676646</v>
      </c>
      <c r="AH23" s="256">
        <v>3.3434574103676646</v>
      </c>
      <c r="AI23" s="256">
        <v>3.3434574103676646</v>
      </c>
      <c r="AJ23" s="256">
        <v>3.3434574103676646</v>
      </c>
      <c r="AK23" s="257">
        <v>35032000</v>
      </c>
      <c r="AL23" s="257">
        <v>35032000</v>
      </c>
      <c r="AM23" s="258">
        <v>45838</v>
      </c>
      <c r="AN23" s="245" t="str">
        <f t="shared" si="12"/>
        <v>Tier 2</v>
      </c>
      <c r="AO23" s="243">
        <v>47543</v>
      </c>
      <c r="AP23" s="259">
        <f>IF(C23="","",DAYS360(Inputs!$J$8,AO23)/360)</f>
        <v>4.5194444444444448</v>
      </c>
      <c r="AQ23" s="259">
        <f t="shared" si="13"/>
        <v>4.5194444444444448</v>
      </c>
      <c r="AR23" s="246" t="s">
        <v>246</v>
      </c>
      <c r="AS23" s="248">
        <v>0</v>
      </c>
      <c r="AT23" s="246" t="s">
        <v>64</v>
      </c>
      <c r="AU23" s="248">
        <v>0.01</v>
      </c>
      <c r="AV23" s="248">
        <v>5.5E-2</v>
      </c>
      <c r="AW23" s="248">
        <v>4.2956000000000001E-2</v>
      </c>
      <c r="AX23" s="260">
        <f t="shared" si="14"/>
        <v>4.2956000000000001E-2</v>
      </c>
      <c r="AY23" s="248">
        <v>0</v>
      </c>
      <c r="AZ23" s="248">
        <v>0</v>
      </c>
      <c r="BA23" s="248">
        <v>0</v>
      </c>
      <c r="BB23" s="407">
        <f t="shared" si="15"/>
        <v>5.5E-2</v>
      </c>
      <c r="BC23" s="407" t="str">
        <f t="shared" si="16"/>
        <v/>
      </c>
      <c r="BD23" s="252" t="s">
        <v>247</v>
      </c>
      <c r="BE23" s="261" t="s">
        <v>363</v>
      </c>
      <c r="BF23" s="252" t="s">
        <v>7</v>
      </c>
      <c r="BG23" s="252" t="s">
        <v>460</v>
      </c>
      <c r="BH23" s="246" t="s">
        <v>246</v>
      </c>
      <c r="BI23" s="408" t="str">
        <f t="shared" si="17"/>
        <v>No</v>
      </c>
      <c r="BJ23" s="408" t="str">
        <f t="shared" si="18"/>
        <v>No</v>
      </c>
      <c r="BK23" s="246" t="s">
        <v>246</v>
      </c>
      <c r="BL23" s="246" t="s">
        <v>246</v>
      </c>
      <c r="BM23" s="246" t="s">
        <v>64</v>
      </c>
      <c r="BN23" s="246" t="s">
        <v>64</v>
      </c>
      <c r="BO23" s="246" t="s">
        <v>246</v>
      </c>
      <c r="BP23" s="246" t="s">
        <v>246</v>
      </c>
      <c r="BQ23" s="246" t="s">
        <v>246</v>
      </c>
      <c r="BR23" s="246" t="s">
        <v>246</v>
      </c>
      <c r="BS23" s="246" t="s">
        <v>246</v>
      </c>
      <c r="BT23" s="246" t="s">
        <v>246</v>
      </c>
      <c r="BU23" s="246" t="s">
        <v>246</v>
      </c>
      <c r="BV23" s="246" t="s">
        <v>246</v>
      </c>
      <c r="BW23" s="246" t="s">
        <v>246</v>
      </c>
      <c r="BX23" s="246" t="s">
        <v>246</v>
      </c>
      <c r="BY23" s="246" t="s">
        <v>246</v>
      </c>
      <c r="BZ23" s="246" t="s">
        <v>246</v>
      </c>
      <c r="CA23" s="246" t="s">
        <v>246</v>
      </c>
      <c r="CB23" s="246" t="s">
        <v>64</v>
      </c>
      <c r="CC23" s="262">
        <f t="shared" si="19"/>
        <v>298682.95194160001</v>
      </c>
      <c r="CD23" s="262">
        <f t="shared" si="20"/>
        <v>0</v>
      </c>
      <c r="CE23" s="263"/>
      <c r="CF23" s="263">
        <f t="shared" si="150"/>
        <v>0</v>
      </c>
      <c r="CG23" s="263">
        <f t="shared" si="151"/>
        <v>0</v>
      </c>
      <c r="CH23" s="263">
        <f t="shared" si="152"/>
        <v>0</v>
      </c>
      <c r="CI23" s="263">
        <f t="shared" si="153"/>
        <v>0</v>
      </c>
      <c r="CJ23" s="263">
        <f t="shared" si="154"/>
        <v>0</v>
      </c>
      <c r="CK23" s="263">
        <f t="shared" si="155"/>
        <v>0</v>
      </c>
      <c r="CL23" s="263">
        <f t="shared" si="156"/>
        <v>0</v>
      </c>
      <c r="CM23" s="263">
        <f t="shared" si="157"/>
        <v>0</v>
      </c>
      <c r="CN23" s="263">
        <f t="shared" si="158"/>
        <v>0</v>
      </c>
      <c r="CO23" s="263">
        <f t="shared" si="159"/>
        <v>0</v>
      </c>
      <c r="CP23" s="263">
        <f t="shared" si="160"/>
        <v>0</v>
      </c>
      <c r="CQ23" s="263">
        <f t="shared" si="161"/>
        <v>0</v>
      </c>
      <c r="CR23" s="263">
        <f t="shared" si="162"/>
        <v>0</v>
      </c>
      <c r="CS23" s="263">
        <f t="shared" si="163"/>
        <v>0</v>
      </c>
      <c r="CT23" s="263">
        <f t="shared" si="164"/>
        <v>0</v>
      </c>
      <c r="CU23" s="263">
        <f t="shared" si="165"/>
        <v>0</v>
      </c>
      <c r="CV23" s="263">
        <f t="shared" si="166"/>
        <v>0</v>
      </c>
      <c r="CW23" s="263">
        <f t="shared" si="167"/>
        <v>0</v>
      </c>
      <c r="CX23" s="263">
        <f t="shared" si="168"/>
        <v>0</v>
      </c>
      <c r="CY23" s="263">
        <f t="shared" si="169"/>
        <v>0</v>
      </c>
      <c r="CZ23" s="263">
        <f t="shared" si="170"/>
        <v>0</v>
      </c>
      <c r="DA23" s="263">
        <f t="shared" si="171"/>
        <v>0</v>
      </c>
      <c r="DB23" s="263">
        <f t="shared" si="172"/>
        <v>0</v>
      </c>
      <c r="DC23" s="263">
        <f t="shared" si="173"/>
        <v>0</v>
      </c>
      <c r="DD23" s="263">
        <f t="shared" si="174"/>
        <v>0</v>
      </c>
      <c r="DE23" s="263">
        <f t="shared" si="175"/>
        <v>0</v>
      </c>
      <c r="DF23" s="263">
        <f t="shared" si="176"/>
        <v>5457031</v>
      </c>
      <c r="DG23" s="263">
        <f t="shared" si="177"/>
        <v>0</v>
      </c>
      <c r="DH23" s="263">
        <f t="shared" si="178"/>
        <v>5457031</v>
      </c>
      <c r="DI23" s="263">
        <f t="shared" si="179"/>
        <v>5457031</v>
      </c>
      <c r="DJ23" s="263">
        <f t="shared" si="180"/>
        <v>0</v>
      </c>
      <c r="DK23" s="263">
        <f t="shared" si="181"/>
        <v>0</v>
      </c>
      <c r="DL23" s="263">
        <f t="shared" si="182"/>
        <v>0</v>
      </c>
      <c r="DM23" s="263">
        <f t="shared" si="183"/>
        <v>0</v>
      </c>
      <c r="DO23" s="264">
        <f t="shared" si="184"/>
        <v>0</v>
      </c>
      <c r="DP23" s="265">
        <f t="shared" si="185"/>
        <v>0</v>
      </c>
      <c r="DQ23" s="264">
        <f t="shared" si="186"/>
        <v>5457031</v>
      </c>
      <c r="DR23" s="264">
        <f t="shared" si="187"/>
        <v>0</v>
      </c>
      <c r="DS23" s="265">
        <f t="shared" si="188"/>
        <v>0</v>
      </c>
      <c r="DT23" s="264">
        <f t="shared" si="189"/>
        <v>5457031</v>
      </c>
      <c r="DU23" s="264">
        <f t="shared" si="190"/>
        <v>0</v>
      </c>
      <c r="DV23" s="265">
        <f t="shared" si="191"/>
        <v>0</v>
      </c>
      <c r="DW23" s="264">
        <f t="shared" si="192"/>
        <v>5457031</v>
      </c>
      <c r="DX23" s="264">
        <f t="shared" si="193"/>
        <v>0</v>
      </c>
      <c r="DY23" s="265">
        <f t="shared" si="194"/>
        <v>0</v>
      </c>
      <c r="DZ23" s="264">
        <f t="shared" si="195"/>
        <v>5457031</v>
      </c>
      <c r="EA23" s="264">
        <f t="shared" si="196"/>
        <v>0</v>
      </c>
      <c r="EB23" s="265">
        <f t="shared" si="197"/>
        <v>0</v>
      </c>
      <c r="EC23" s="264">
        <f t="shared" si="198"/>
        <v>5457031</v>
      </c>
      <c r="ED23" s="264">
        <f t="shared" si="199"/>
        <v>0</v>
      </c>
      <c r="EE23" s="265">
        <f t="shared" si="200"/>
        <v>0</v>
      </c>
      <c r="EF23" s="264">
        <f t="shared" si="201"/>
        <v>5457031</v>
      </c>
      <c r="EG23" s="264">
        <f t="shared" si="202"/>
        <v>0</v>
      </c>
      <c r="EH23" s="265">
        <f t="shared" si="203"/>
        <v>0</v>
      </c>
      <c r="EI23" s="264">
        <f t="shared" si="204"/>
        <v>5457031</v>
      </c>
      <c r="EJ23" s="264">
        <f t="shared" si="205"/>
        <v>0</v>
      </c>
      <c r="EK23" s="265">
        <f t="shared" si="206"/>
        <v>0</v>
      </c>
      <c r="EL23" s="264">
        <f t="shared" si="207"/>
        <v>5457031</v>
      </c>
      <c r="EM23" s="264">
        <f t="shared" si="208"/>
        <v>0</v>
      </c>
      <c r="EN23" s="265">
        <f t="shared" si="209"/>
        <v>0</v>
      </c>
      <c r="EO23" s="264">
        <f t="shared" si="210"/>
        <v>5457031</v>
      </c>
      <c r="EP23" s="264">
        <f t="shared" si="211"/>
        <v>0</v>
      </c>
      <c r="EQ23" s="265">
        <f t="shared" si="212"/>
        <v>0</v>
      </c>
      <c r="ER23" s="264">
        <f t="shared" si="213"/>
        <v>5457031</v>
      </c>
      <c r="ES23" s="264">
        <f t="shared" si="214"/>
        <v>0</v>
      </c>
      <c r="ET23" s="265">
        <f t="shared" si="215"/>
        <v>0</v>
      </c>
      <c r="EU23" s="264">
        <f t="shared" si="216"/>
        <v>5457031</v>
      </c>
      <c r="EV23" s="264">
        <f>IF(AND(BM23="Yes",OR(BN23="No",AND(BN23="Yes",Inputs!$J$8=Inputs!$J$17+75))),EU23,0)</f>
        <v>0</v>
      </c>
      <c r="EW23" s="265">
        <f t="shared" si="217"/>
        <v>0</v>
      </c>
      <c r="EX23" s="264">
        <f t="shared" si="218"/>
        <v>5457031</v>
      </c>
      <c r="EY23" s="264">
        <f t="shared" si="219"/>
        <v>0</v>
      </c>
      <c r="EZ23" s="265">
        <f t="shared" si="220"/>
        <v>0</v>
      </c>
      <c r="FA23" s="264">
        <f t="shared" si="221"/>
        <v>5457031</v>
      </c>
      <c r="FB23" s="264">
        <f t="shared" si="222"/>
        <v>0</v>
      </c>
      <c r="FC23" s="265">
        <f t="shared" si="223"/>
        <v>0</v>
      </c>
      <c r="FD23" s="264">
        <f t="shared" si="224"/>
        <v>5457031</v>
      </c>
      <c r="FE23" s="264">
        <f t="shared" si="225"/>
        <v>0</v>
      </c>
      <c r="FF23" s="265">
        <f t="shared" si="226"/>
        <v>0</v>
      </c>
      <c r="FG23" s="264">
        <f t="shared" si="227"/>
        <v>5457031</v>
      </c>
      <c r="FH23" s="264">
        <f t="shared" si="228"/>
        <v>5457031</v>
      </c>
      <c r="FI23" s="264">
        <f t="shared" si="229"/>
        <v>0</v>
      </c>
      <c r="FJ23" s="264">
        <f t="shared" si="230"/>
        <v>5457031</v>
      </c>
      <c r="FK23" s="264">
        <f t="shared" si="231"/>
        <v>5457031</v>
      </c>
      <c r="FL23" s="264">
        <f t="shared" si="232"/>
        <v>0</v>
      </c>
      <c r="FM23" s="264">
        <f t="shared" si="233"/>
        <v>5457031</v>
      </c>
      <c r="FN23" s="264">
        <f t="shared" si="234"/>
        <v>5457031</v>
      </c>
      <c r="FO23" s="264">
        <f t="shared" si="235"/>
        <v>0</v>
      </c>
      <c r="FP23" s="264">
        <f t="shared" si="236"/>
        <v>5457031</v>
      </c>
      <c r="FQ23" s="264">
        <f t="shared" si="237"/>
        <v>0</v>
      </c>
      <c r="FR23" s="265">
        <f t="shared" si="238"/>
        <v>0</v>
      </c>
      <c r="FS23" s="264">
        <f t="shared" si="239"/>
        <v>5457031</v>
      </c>
      <c r="FT23" s="264">
        <f t="shared" si="240"/>
        <v>0</v>
      </c>
      <c r="FU23" s="265">
        <f t="shared" si="241"/>
        <v>0</v>
      </c>
      <c r="FV23" s="264">
        <f t="shared" si="242"/>
        <v>5457031</v>
      </c>
      <c r="FW23" s="264">
        <f t="shared" si="243"/>
        <v>0</v>
      </c>
      <c r="FX23" s="264">
        <f t="shared" si="244"/>
        <v>0</v>
      </c>
      <c r="FY23" s="264">
        <f t="shared" si="245"/>
        <v>0</v>
      </c>
      <c r="FZ23" s="264">
        <f t="shared" si="246"/>
        <v>0</v>
      </c>
      <c r="GA23" s="265">
        <f t="shared" si="296"/>
        <v>0</v>
      </c>
      <c r="GB23" s="264">
        <f t="shared" si="297"/>
        <v>5457031</v>
      </c>
      <c r="GC23" s="264">
        <f t="shared" si="247"/>
        <v>5457031</v>
      </c>
      <c r="GD23" s="266">
        <f t="shared" si="248"/>
        <v>3956347.4750000001</v>
      </c>
      <c r="GE23" s="138">
        <f t="shared" si="249"/>
        <v>0.72499999999999998</v>
      </c>
      <c r="GF23" s="267">
        <f t="shared" si="250"/>
        <v>14</v>
      </c>
      <c r="GG23" s="264">
        <f t="array" ref="GG23">IF(SUM(IF(IC$9:IC22=IC23,1,0))&gt;0,0,SUMIF($IC$10:$IC$406,IC23,$FJ$10:$FJ$406))</f>
        <v>0</v>
      </c>
      <c r="GH23" s="268">
        <f t="shared" si="251"/>
        <v>0</v>
      </c>
      <c r="GI23" s="137">
        <f t="shared" si="126"/>
        <v>14</v>
      </c>
      <c r="GJ23" s="269">
        <f t="shared" si="252"/>
        <v>18831303.969999999</v>
      </c>
      <c r="GK23" s="269">
        <f t="shared" si="253"/>
        <v>152892852.51729038</v>
      </c>
      <c r="GL23" s="163">
        <f t="shared" si="254"/>
        <v>0</v>
      </c>
      <c r="GM23" s="137">
        <f t="array" ref="GM23">IF(GJ23=0,0,LARGE(IF($GG$10:$GG$406=GJ23,$GF$10:$GF$406,0),COUNTIF($GJ$10:$GJ$406,GJ23)-COUNTIF(GJ$9:GJ22,GJ23)))</f>
        <v>18</v>
      </c>
      <c r="GN23" s="270">
        <f t="shared" si="255"/>
        <v>0</v>
      </c>
      <c r="GP23" s="137">
        <f>IF(C23="","",IF(ISERROR(MATCH(C23,C$10:C22,0)),MAX(GP$10:GP22)+1,INDEX(GP$10:GP22,MATCH(C23,C$10:C22,0))))</f>
        <v>12</v>
      </c>
      <c r="GQ23" s="264">
        <f>IF(COUNTIF($A$10:A23,A23)&lt;=1,SUMIF($A$10:$A$406,A23,$FH$10:$FH$406),0)</f>
        <v>0</v>
      </c>
      <c r="GR23" s="137">
        <f t="shared" si="130"/>
        <v>14</v>
      </c>
      <c r="GS23" s="269">
        <f t="shared" si="256"/>
        <v>19189335.850000001</v>
      </c>
      <c r="GT23" s="269">
        <f t="shared" si="257"/>
        <v>50964284.172430128</v>
      </c>
      <c r="GU23" s="163">
        <f t="shared" si="258"/>
        <v>0</v>
      </c>
      <c r="GV23" s="137">
        <f t="array" ref="GV23">IF(GS23=0,0,LARGE(IF($GQ$10:$GQ$406=GS23,$GP$10:$GP$406,0),COUNTIF($GS$10:$GS$406,GS23)-COUNTIF(GS$9:GS22,GS23)))</f>
        <v>91</v>
      </c>
      <c r="GW23" s="270">
        <f t="shared" si="259"/>
        <v>0</v>
      </c>
      <c r="GX23" s="270"/>
      <c r="GY23" s="137">
        <f>IF(C23="","",IF(ISERROR(MATCH(C23,C$10:C22,0)),MAX(GP$10:GP22)+1,INDEX(GP$10:GP22,MATCH(C23,C$10:C22,0))))</f>
        <v>12</v>
      </c>
      <c r="GZ23" s="264">
        <f>IF(COUNTIF($A$10:A23,A23)&lt;=1,SUMIF($A$10:$A$406,A23,$FH$10:$FH$406),0)</f>
        <v>0</v>
      </c>
      <c r="HA23" s="137">
        <f t="shared" si="134"/>
        <v>14</v>
      </c>
      <c r="HB23" s="269">
        <f t="shared" si="260"/>
        <v>19189335.850000001</v>
      </c>
      <c r="HC23" s="414" t="s">
        <v>622</v>
      </c>
      <c r="HD23" s="163">
        <f t="shared" si="261"/>
        <v>0</v>
      </c>
      <c r="HE23" s="137">
        <f t="array" ref="HE23">IF(HB23=0,0,LARGE(IF($GZ$10:$GZ$406=HB23,$GY$10:$GY$406,0),COUNTIF($HB$10:$HB$406,HB23)-COUNTIF(HB$9:HB22,HB23)))</f>
        <v>91</v>
      </c>
      <c r="HF23" s="270">
        <f t="shared" si="262"/>
        <v>0</v>
      </c>
      <c r="HG23"/>
      <c r="HH23" s="268">
        <f t="shared" si="263"/>
        <v>0</v>
      </c>
      <c r="HI23" s="271">
        <v>0</v>
      </c>
      <c r="HJ23" s="264">
        <f t="shared" si="264"/>
        <v>0</v>
      </c>
      <c r="HL23" s="137">
        <f t="shared" si="265"/>
        <v>14</v>
      </c>
      <c r="HM23" s="264">
        <f t="shared" si="300"/>
        <v>13171771.859999999</v>
      </c>
      <c r="HO23" s="199">
        <f t="shared" si="301"/>
        <v>5457031</v>
      </c>
      <c r="HP23" s="199">
        <f t="shared" si="302"/>
        <v>5457031</v>
      </c>
      <c r="HQ23" s="199" t="str">
        <f t="shared" si="303"/>
        <v/>
      </c>
      <c r="HR23" s="199" t="str">
        <f t="shared" si="304"/>
        <v/>
      </c>
      <c r="HS23" s="199" t="str">
        <f t="shared" si="119"/>
        <v/>
      </c>
      <c r="HT23" s="199" t="str">
        <f t="shared" si="305"/>
        <v/>
      </c>
      <c r="HU23" s="199" t="str">
        <f t="shared" si="306"/>
        <v/>
      </c>
      <c r="HV23" s="200">
        <f t="shared" si="307"/>
        <v>0</v>
      </c>
      <c r="HW23" s="272">
        <f t="shared" si="308"/>
        <v>1</v>
      </c>
      <c r="HX23" s="200" t="str">
        <f t="shared" si="309"/>
        <v/>
      </c>
      <c r="HY23" s="200">
        <f t="shared" si="310"/>
        <v>0</v>
      </c>
      <c r="HZ23" s="200" t="str">
        <f t="shared" si="4"/>
        <v/>
      </c>
      <c r="IA23" s="200" t="str">
        <f t="shared" si="311"/>
        <v/>
      </c>
      <c r="IB23" s="200" t="str">
        <f t="shared" si="312"/>
        <v/>
      </c>
      <c r="IC23" s="273">
        <f>IF(C23="","",INDEX(Lookups!$E$2:$E$69,MATCH('Loan List'!BE23,Lookups!$F$2:$F$69,0)))</f>
        <v>14</v>
      </c>
      <c r="ID23" t="b">
        <f t="shared" si="313"/>
        <v>1</v>
      </c>
      <c r="IF23" s="346" t="str">
        <f t="shared" si="121"/>
        <v>No Initial Haircut</v>
      </c>
    </row>
    <row r="24" spans="1:240">
      <c r="A24" t="s">
        <v>725</v>
      </c>
      <c r="B24" s="242">
        <f t="shared" si="149"/>
        <v>15</v>
      </c>
      <c r="C24" s="242">
        <f>IF(COUNTIF($A$10:A23,A24)&gt;0,C23,C23+1)</f>
        <v>13</v>
      </c>
      <c r="D24" s="431" t="s">
        <v>725</v>
      </c>
      <c r="E24" s="428" t="s">
        <v>807</v>
      </c>
      <c r="F24" s="429"/>
      <c r="G24" s="430">
        <v>992386</v>
      </c>
      <c r="H24" s="430">
        <v>992386</v>
      </c>
      <c r="I24" s="244">
        <f>IF(B24="","",VLOOKUP(BF24,Inputs!$A$12:$J$15,10,FALSE))</f>
        <v>1</v>
      </c>
      <c r="J24" s="245">
        <f t="shared" si="5"/>
        <v>992386</v>
      </c>
      <c r="K24" s="245">
        <f t="shared" si="6"/>
        <v>992386</v>
      </c>
      <c r="L24" s="245">
        <f t="shared" si="7"/>
        <v>992386</v>
      </c>
      <c r="M24" s="245">
        <f t="shared" si="8"/>
        <v>992386</v>
      </c>
      <c r="N24" s="246" t="s">
        <v>246</v>
      </c>
      <c r="O24" s="246" t="s">
        <v>245</v>
      </c>
      <c r="P24" s="247">
        <f>IF(B24="","",IF(OR(O24="N/A",O24=""),0,YEARFRAC('Borrowing Base'!$J$4,'Loan List'!O24)*12))</f>
        <v>0</v>
      </c>
      <c r="Q24" s="246" t="s">
        <v>246</v>
      </c>
      <c r="R24" s="248">
        <v>0.98750000000000004</v>
      </c>
      <c r="S24" s="249" t="str">
        <f t="shared" si="1"/>
        <v>No</v>
      </c>
      <c r="T24" s="248">
        <v>0.98750000000000004</v>
      </c>
      <c r="U24" s="250">
        <f t="shared" si="9"/>
        <v>0.5</v>
      </c>
      <c r="V24" s="250">
        <f t="shared" si="10"/>
        <v>0.65982854378661238</v>
      </c>
      <c r="W24" s="251">
        <f t="shared" si="11"/>
        <v>893147.4</v>
      </c>
      <c r="X24" s="246" t="s">
        <v>64</v>
      </c>
      <c r="Y24" s="252" t="s">
        <v>483</v>
      </c>
      <c r="Z24" s="252" t="s">
        <v>484</v>
      </c>
      <c r="AA24" s="253" t="s">
        <v>407</v>
      </c>
      <c r="AB24" s="253" t="s">
        <v>713</v>
      </c>
      <c r="AC24" s="254">
        <v>1.1074989174726502</v>
      </c>
      <c r="AD24" s="254">
        <v>1.2501326238021628</v>
      </c>
      <c r="AE24" s="254">
        <v>1.6733112465750091</v>
      </c>
      <c r="AF24" s="255">
        <v>0.41619213042369224</v>
      </c>
      <c r="AG24" s="256">
        <v>4.8413873740215889</v>
      </c>
      <c r="AH24" s="256">
        <v>4.8413873740215889</v>
      </c>
      <c r="AI24" s="256">
        <v>5.2084956874069075</v>
      </c>
      <c r="AJ24" s="256">
        <v>5.2084956874069075</v>
      </c>
      <c r="AK24" s="257">
        <v>19547000</v>
      </c>
      <c r="AL24" s="257">
        <v>19592987.742820311</v>
      </c>
      <c r="AM24" s="258">
        <v>45808</v>
      </c>
      <c r="AN24" s="245" t="str">
        <f t="shared" si="12"/>
        <v>Tier 3</v>
      </c>
      <c r="AO24" s="243">
        <v>46783</v>
      </c>
      <c r="AP24" s="259">
        <f>IF(C24="","",DAYS360(Inputs!$J$8,AO24)/360)</f>
        <v>2.4361111111111109</v>
      </c>
      <c r="AQ24" s="259">
        <f t="shared" si="13"/>
        <v>2.4361111111111109</v>
      </c>
      <c r="AR24" s="246" t="s">
        <v>246</v>
      </c>
      <c r="AS24" s="248">
        <v>0</v>
      </c>
      <c r="AT24" s="246" t="s">
        <v>64</v>
      </c>
      <c r="AU24" s="248">
        <v>0.01</v>
      </c>
      <c r="AV24" s="248">
        <v>5.5E-2</v>
      </c>
      <c r="AW24" s="248">
        <v>4.2956000000000001E-2</v>
      </c>
      <c r="AX24" s="260">
        <f t="shared" si="14"/>
        <v>4.2956000000000001E-2</v>
      </c>
      <c r="AY24" s="248">
        <v>0</v>
      </c>
      <c r="AZ24" s="248">
        <v>0</v>
      </c>
      <c r="BA24" s="248">
        <v>0</v>
      </c>
      <c r="BB24" s="407">
        <f t="shared" si="15"/>
        <v>5.5E-2</v>
      </c>
      <c r="BC24" s="407" t="str">
        <f t="shared" si="16"/>
        <v/>
      </c>
      <c r="BD24" s="252" t="s">
        <v>247</v>
      </c>
      <c r="BE24" s="261" t="s">
        <v>406</v>
      </c>
      <c r="BF24" s="252" t="s">
        <v>7</v>
      </c>
      <c r="BG24" s="252" t="s">
        <v>460</v>
      </c>
      <c r="BH24" s="246" t="s">
        <v>246</v>
      </c>
      <c r="BI24" s="408" t="str">
        <f t="shared" si="17"/>
        <v>No</v>
      </c>
      <c r="BJ24" s="408" t="str">
        <f t="shared" si="18"/>
        <v>No</v>
      </c>
      <c r="BK24" s="246" t="s">
        <v>246</v>
      </c>
      <c r="BL24" s="246" t="s">
        <v>246</v>
      </c>
      <c r="BM24" s="246" t="s">
        <v>64</v>
      </c>
      <c r="BN24" s="246" t="s">
        <v>64</v>
      </c>
      <c r="BO24" s="246" t="s">
        <v>246</v>
      </c>
      <c r="BP24" s="246" t="s">
        <v>246</v>
      </c>
      <c r="BQ24" s="246" t="s">
        <v>246</v>
      </c>
      <c r="BR24" s="246" t="s">
        <v>246</v>
      </c>
      <c r="BS24" s="246" t="s">
        <v>246</v>
      </c>
      <c r="BT24" s="246" t="s">
        <v>246</v>
      </c>
      <c r="BU24" s="246" t="s">
        <v>246</v>
      </c>
      <c r="BV24" s="246" t="s">
        <v>246</v>
      </c>
      <c r="BW24" s="246" t="s">
        <v>246</v>
      </c>
      <c r="BX24" s="246" t="s">
        <v>246</v>
      </c>
      <c r="BY24" s="246" t="s">
        <v>246</v>
      </c>
      <c r="BZ24" s="246" t="s">
        <v>246</v>
      </c>
      <c r="CA24" s="246" t="s">
        <v>246</v>
      </c>
      <c r="CB24" s="246" t="s">
        <v>64</v>
      </c>
      <c r="CC24" s="262">
        <f t="shared" si="19"/>
        <v>54316.858369599999</v>
      </c>
      <c r="CD24" s="262">
        <f t="shared" si="20"/>
        <v>0</v>
      </c>
      <c r="CE24" s="263"/>
      <c r="CF24" s="263">
        <f t="shared" si="150"/>
        <v>0</v>
      </c>
      <c r="CG24" s="263">
        <f t="shared" si="151"/>
        <v>0</v>
      </c>
      <c r="CH24" s="263">
        <f t="shared" si="152"/>
        <v>0</v>
      </c>
      <c r="CI24" s="263">
        <f t="shared" si="153"/>
        <v>0</v>
      </c>
      <c r="CJ24" s="263">
        <f t="shared" si="154"/>
        <v>0</v>
      </c>
      <c r="CK24" s="263">
        <f t="shared" si="155"/>
        <v>0</v>
      </c>
      <c r="CL24" s="263">
        <f t="shared" si="156"/>
        <v>0</v>
      </c>
      <c r="CM24" s="263">
        <f t="shared" si="157"/>
        <v>0</v>
      </c>
      <c r="CN24" s="263">
        <f t="shared" si="158"/>
        <v>0</v>
      </c>
      <c r="CO24" s="263">
        <f t="shared" si="159"/>
        <v>0</v>
      </c>
      <c r="CP24" s="263">
        <f t="shared" si="160"/>
        <v>0</v>
      </c>
      <c r="CQ24" s="263">
        <f t="shared" si="161"/>
        <v>0</v>
      </c>
      <c r="CR24" s="263">
        <f t="shared" si="162"/>
        <v>0</v>
      </c>
      <c r="CS24" s="263">
        <f t="shared" si="163"/>
        <v>0</v>
      </c>
      <c r="CT24" s="263">
        <f t="shared" si="164"/>
        <v>0</v>
      </c>
      <c r="CU24" s="263">
        <f t="shared" si="165"/>
        <v>0</v>
      </c>
      <c r="CV24" s="263">
        <f t="shared" si="166"/>
        <v>0</v>
      </c>
      <c r="CW24" s="263">
        <f t="shared" si="167"/>
        <v>0</v>
      </c>
      <c r="CX24" s="263">
        <f t="shared" si="168"/>
        <v>0</v>
      </c>
      <c r="CY24" s="263">
        <f t="shared" si="169"/>
        <v>0</v>
      </c>
      <c r="CZ24" s="263">
        <f t="shared" si="170"/>
        <v>0</v>
      </c>
      <c r="DA24" s="263">
        <f t="shared" si="171"/>
        <v>1</v>
      </c>
      <c r="DB24" s="263">
        <f t="shared" si="172"/>
        <v>0</v>
      </c>
      <c r="DC24" s="263">
        <f t="shared" si="173"/>
        <v>0</v>
      </c>
      <c r="DD24" s="263">
        <f t="shared" si="174"/>
        <v>0</v>
      </c>
      <c r="DE24" s="263">
        <f t="shared" si="175"/>
        <v>0</v>
      </c>
      <c r="DF24" s="263">
        <f t="shared" si="176"/>
        <v>893147.4</v>
      </c>
      <c r="DG24" s="263">
        <f t="shared" si="177"/>
        <v>0</v>
      </c>
      <c r="DH24" s="263">
        <f t="shared" si="178"/>
        <v>893147.4</v>
      </c>
      <c r="DI24" s="263">
        <f t="shared" si="179"/>
        <v>992386</v>
      </c>
      <c r="DJ24" s="263">
        <f t="shared" si="180"/>
        <v>0</v>
      </c>
      <c r="DK24" s="263">
        <f t="shared" si="181"/>
        <v>0</v>
      </c>
      <c r="DL24" s="263">
        <f t="shared" si="182"/>
        <v>0</v>
      </c>
      <c r="DM24" s="263">
        <f t="shared" si="183"/>
        <v>0</v>
      </c>
      <c r="DO24" s="264">
        <f t="shared" si="184"/>
        <v>0</v>
      </c>
      <c r="DP24" s="265">
        <f t="shared" si="185"/>
        <v>0</v>
      </c>
      <c r="DQ24" s="264">
        <f t="shared" si="186"/>
        <v>893147.4</v>
      </c>
      <c r="DR24" s="264">
        <f t="shared" si="187"/>
        <v>0</v>
      </c>
      <c r="DS24" s="265">
        <f t="shared" si="188"/>
        <v>0</v>
      </c>
      <c r="DT24" s="264">
        <f t="shared" si="189"/>
        <v>893147.4</v>
      </c>
      <c r="DU24" s="264">
        <f t="shared" si="190"/>
        <v>0</v>
      </c>
      <c r="DV24" s="265">
        <f t="shared" si="191"/>
        <v>0</v>
      </c>
      <c r="DW24" s="264">
        <f t="shared" si="192"/>
        <v>893147.4</v>
      </c>
      <c r="DX24" s="264">
        <f t="shared" si="193"/>
        <v>0</v>
      </c>
      <c r="DY24" s="265">
        <f t="shared" si="194"/>
        <v>0</v>
      </c>
      <c r="DZ24" s="264">
        <f t="shared" si="195"/>
        <v>893147.4</v>
      </c>
      <c r="EA24" s="264">
        <f t="shared" si="196"/>
        <v>0</v>
      </c>
      <c r="EB24" s="265">
        <f t="shared" si="197"/>
        <v>0</v>
      </c>
      <c r="EC24" s="264">
        <f t="shared" si="198"/>
        <v>893147.4</v>
      </c>
      <c r="ED24" s="264">
        <f t="shared" si="199"/>
        <v>0</v>
      </c>
      <c r="EE24" s="265">
        <f t="shared" si="200"/>
        <v>0</v>
      </c>
      <c r="EF24" s="264">
        <f t="shared" si="201"/>
        <v>893147.4</v>
      </c>
      <c r="EG24" s="264">
        <f t="shared" si="202"/>
        <v>0</v>
      </c>
      <c r="EH24" s="265">
        <f t="shared" si="203"/>
        <v>0</v>
      </c>
      <c r="EI24" s="264">
        <f t="shared" si="204"/>
        <v>893147.4</v>
      </c>
      <c r="EJ24" s="264">
        <f t="shared" si="205"/>
        <v>0</v>
      </c>
      <c r="EK24" s="265">
        <f t="shared" si="206"/>
        <v>0</v>
      </c>
      <c r="EL24" s="264">
        <f t="shared" si="207"/>
        <v>893147.4</v>
      </c>
      <c r="EM24" s="264">
        <f t="shared" si="208"/>
        <v>0</v>
      </c>
      <c r="EN24" s="265">
        <f t="shared" si="209"/>
        <v>0</v>
      </c>
      <c r="EO24" s="264">
        <f t="shared" si="210"/>
        <v>893147.4</v>
      </c>
      <c r="EP24" s="264">
        <f t="shared" si="211"/>
        <v>0</v>
      </c>
      <c r="EQ24" s="265">
        <f t="shared" si="212"/>
        <v>0</v>
      </c>
      <c r="ER24" s="264">
        <f t="shared" si="213"/>
        <v>893147.4</v>
      </c>
      <c r="ES24" s="264">
        <f t="shared" si="214"/>
        <v>0</v>
      </c>
      <c r="ET24" s="265">
        <f t="shared" si="215"/>
        <v>0</v>
      </c>
      <c r="EU24" s="264">
        <f t="shared" si="216"/>
        <v>893147.4</v>
      </c>
      <c r="EV24" s="264">
        <f>IF(AND(BM24="Yes",OR(BN24="No",AND(BN24="Yes",Inputs!$J$8=Inputs!$J$17+75))),EU24,0)</f>
        <v>0</v>
      </c>
      <c r="EW24" s="265">
        <f t="shared" si="217"/>
        <v>0</v>
      </c>
      <c r="EX24" s="264">
        <f t="shared" si="218"/>
        <v>893147.4</v>
      </c>
      <c r="EY24" s="264">
        <f t="shared" si="219"/>
        <v>0</v>
      </c>
      <c r="EZ24" s="265">
        <f t="shared" si="220"/>
        <v>0</v>
      </c>
      <c r="FA24" s="264">
        <f t="shared" si="221"/>
        <v>893147.4</v>
      </c>
      <c r="FB24" s="264">
        <f t="shared" si="222"/>
        <v>0</v>
      </c>
      <c r="FC24" s="265">
        <f t="shared" si="223"/>
        <v>0</v>
      </c>
      <c r="FD24" s="264">
        <f t="shared" si="224"/>
        <v>893147.4</v>
      </c>
      <c r="FE24" s="264">
        <f t="shared" si="225"/>
        <v>0</v>
      </c>
      <c r="FF24" s="265">
        <f t="shared" si="226"/>
        <v>0</v>
      </c>
      <c r="FG24" s="264">
        <f t="shared" si="227"/>
        <v>893147.4</v>
      </c>
      <c r="FH24" s="264">
        <f t="shared" si="228"/>
        <v>893147.4</v>
      </c>
      <c r="FI24" s="264">
        <f t="shared" si="229"/>
        <v>0</v>
      </c>
      <c r="FJ24" s="264">
        <f t="shared" si="230"/>
        <v>893147.4</v>
      </c>
      <c r="FK24" s="264">
        <f t="shared" si="231"/>
        <v>893147.4</v>
      </c>
      <c r="FL24" s="264">
        <f t="shared" si="232"/>
        <v>0</v>
      </c>
      <c r="FM24" s="264">
        <f t="shared" si="233"/>
        <v>893147.4</v>
      </c>
      <c r="FN24" s="264">
        <f t="shared" si="234"/>
        <v>893147.4</v>
      </c>
      <c r="FO24" s="264">
        <f t="shared" si="235"/>
        <v>0</v>
      </c>
      <c r="FP24" s="264">
        <f t="shared" si="236"/>
        <v>893147.4</v>
      </c>
      <c r="FQ24" s="264">
        <f t="shared" si="237"/>
        <v>0</v>
      </c>
      <c r="FR24" s="265">
        <f t="shared" si="238"/>
        <v>0</v>
      </c>
      <c r="FS24" s="264">
        <f t="shared" si="239"/>
        <v>893147.4</v>
      </c>
      <c r="FT24" s="264">
        <f t="shared" si="240"/>
        <v>0</v>
      </c>
      <c r="FU24" s="265">
        <f t="shared" si="241"/>
        <v>0</v>
      </c>
      <c r="FV24" s="264">
        <f t="shared" si="242"/>
        <v>893147.4</v>
      </c>
      <c r="FW24" s="264">
        <f t="shared" si="243"/>
        <v>0</v>
      </c>
      <c r="FX24" s="264">
        <f t="shared" si="244"/>
        <v>0</v>
      </c>
      <c r="FY24" s="264">
        <f t="shared" si="245"/>
        <v>0</v>
      </c>
      <c r="FZ24" s="264">
        <f t="shared" si="246"/>
        <v>0</v>
      </c>
      <c r="GA24" s="265">
        <f t="shared" si="296"/>
        <v>0</v>
      </c>
      <c r="GB24" s="264">
        <f t="shared" si="297"/>
        <v>893147.4</v>
      </c>
      <c r="GC24" s="264">
        <f t="shared" si="247"/>
        <v>893147.4</v>
      </c>
      <c r="GD24" s="266">
        <f t="shared" si="248"/>
        <v>589324.14832879906</v>
      </c>
      <c r="GE24" s="138">
        <f t="shared" si="249"/>
        <v>0.59384568940795124</v>
      </c>
      <c r="GF24" s="267">
        <f t="shared" si="250"/>
        <v>30</v>
      </c>
      <c r="GG24" s="264">
        <f t="array" ref="GG24">IF(SUM(IF(IC$9:IC23=IC24,1,0))&gt;0,0,SUMIF($IC$10:$IC$406,IC24,$FJ$10:$FJ$406))</f>
        <v>893147.4</v>
      </c>
      <c r="GH24" s="268">
        <f t="shared" si="251"/>
        <v>893147.4</v>
      </c>
      <c r="GI24" s="137">
        <f t="shared" si="126"/>
        <v>15</v>
      </c>
      <c r="GJ24" s="269">
        <f t="shared" si="252"/>
        <v>17406840.6664</v>
      </c>
      <c r="GK24" s="269">
        <f t="shared" si="253"/>
        <v>152892852.51729038</v>
      </c>
      <c r="GL24" s="163">
        <f t="shared" si="254"/>
        <v>0</v>
      </c>
      <c r="GM24" s="137">
        <f t="array" ref="GM24">IF(GJ24=0,0,LARGE(IF($GG$10:$GG$406=GJ24,$GF$10:$GF$406,0),COUNTIF($GJ$10:$GJ$406,GJ24)-COUNTIF(GJ$9:GJ23,GJ24)))</f>
        <v>59</v>
      </c>
      <c r="GN24" s="270">
        <f t="shared" si="255"/>
        <v>0</v>
      </c>
      <c r="GP24" s="137">
        <f>IF(C24="","",IF(ISERROR(MATCH(C24,C$10:C23,0)),MAX(GP$10:GP23)+1,INDEX(GP$10:GP23,MATCH(C24,C$10:C23,0))))</f>
        <v>13</v>
      </c>
      <c r="GQ24" s="264">
        <f>IF(COUNTIF($A$10:A24,A24)&lt;=1,SUMIF($A$10:$A$406,A24,$FH$10:$FH$406),0)</f>
        <v>893147.4</v>
      </c>
      <c r="GR24" s="137">
        <f t="shared" si="130"/>
        <v>15</v>
      </c>
      <c r="GS24" s="269">
        <f t="shared" si="256"/>
        <v>18000000</v>
      </c>
      <c r="GT24" s="269">
        <f t="shared" si="257"/>
        <v>50964284.172430128</v>
      </c>
      <c r="GU24" s="163">
        <f t="shared" si="258"/>
        <v>0</v>
      </c>
      <c r="GV24" s="137">
        <f t="array" ref="GV24">IF(GS24=0,0,LARGE(IF($GQ$10:$GQ$406=GS24,$GP$10:$GP$406,0),COUNTIF($GS$10:$GS$406,GS24)-COUNTIF(GS$9:GS23,GS24)))</f>
        <v>5</v>
      </c>
      <c r="GW24" s="270">
        <f t="shared" si="259"/>
        <v>0</v>
      </c>
      <c r="GX24" s="270"/>
      <c r="GY24" s="137">
        <f>IF(C24="","",IF(ISERROR(MATCH(C24,C$10:C23,0)),MAX(GP$10:GP23)+1,INDEX(GP$10:GP23,MATCH(C24,C$10:C23,0))))</f>
        <v>13</v>
      </c>
      <c r="GZ24" s="264">
        <f>IF(COUNTIF($A$10:A24,A24)&lt;=1,SUMIF($A$10:$A$406,A24,$FH$10:$FH$406),0)</f>
        <v>893147.4</v>
      </c>
      <c r="HA24" s="137">
        <f t="shared" si="134"/>
        <v>15</v>
      </c>
      <c r="HB24" s="269">
        <f t="shared" si="260"/>
        <v>18000000</v>
      </c>
      <c r="HC24" s="414" t="s">
        <v>622</v>
      </c>
      <c r="HD24" s="163">
        <f t="shared" si="261"/>
        <v>0</v>
      </c>
      <c r="HE24" s="137">
        <f t="array" ref="HE24">IF(HB24=0,0,LARGE(IF($GZ$10:$GZ$406=HB24,$GY$10:$GY$406,0),COUNTIF($HB$10:$HB$406,HB24)-COUNTIF(HB$9:HB23,HB24)))</f>
        <v>5</v>
      </c>
      <c r="HF24" s="270">
        <f t="shared" si="262"/>
        <v>0</v>
      </c>
      <c r="HG24"/>
      <c r="HH24" s="268">
        <f t="shared" si="263"/>
        <v>0</v>
      </c>
      <c r="HI24" s="271">
        <v>0</v>
      </c>
      <c r="HJ24" s="264">
        <f t="shared" si="264"/>
        <v>0</v>
      </c>
      <c r="HL24" s="137">
        <f t="shared" si="265"/>
        <v>15</v>
      </c>
      <c r="HM24" s="264">
        <f t="shared" si="300"/>
        <v>2954760.73</v>
      </c>
      <c r="HO24" s="199">
        <f t="shared" si="301"/>
        <v>893147.4</v>
      </c>
      <c r="HP24" s="199">
        <f t="shared" si="302"/>
        <v>992386</v>
      </c>
      <c r="HQ24" s="199" t="str">
        <f t="shared" si="303"/>
        <v/>
      </c>
      <c r="HR24" s="199" t="str">
        <f t="shared" si="304"/>
        <v/>
      </c>
      <c r="HS24" s="199" t="str">
        <f t="shared" si="119"/>
        <v/>
      </c>
      <c r="HT24" s="199">
        <f t="shared" si="305"/>
        <v>893147.4</v>
      </c>
      <c r="HU24" s="199" t="str">
        <f t="shared" si="306"/>
        <v/>
      </c>
      <c r="HV24" s="200">
        <f t="shared" si="307"/>
        <v>0</v>
      </c>
      <c r="HW24" s="272" t="str">
        <f t="shared" si="308"/>
        <v/>
      </c>
      <c r="HX24" s="200">
        <f t="shared" si="309"/>
        <v>0</v>
      </c>
      <c r="HY24" s="200">
        <f t="shared" si="310"/>
        <v>893147.4</v>
      </c>
      <c r="HZ24" s="200">
        <f t="shared" si="4"/>
        <v>0</v>
      </c>
      <c r="IA24" s="200">
        <f t="shared" si="311"/>
        <v>0</v>
      </c>
      <c r="IB24" s="200">
        <f t="shared" si="312"/>
        <v>0</v>
      </c>
      <c r="IC24" s="273">
        <f>IF(C24="","",INDEX(Lookups!$E$2:$E$69,MATCH('Loan List'!BE24,Lookups!$F$2:$F$69,0)))</f>
        <v>30</v>
      </c>
      <c r="ID24" t="b">
        <f t="shared" si="313"/>
        <v>1</v>
      </c>
      <c r="IF24" s="346">
        <f t="shared" si="121"/>
        <v>0.9</v>
      </c>
    </row>
    <row r="25" spans="1:240">
      <c r="A25" t="s">
        <v>606</v>
      </c>
      <c r="B25" s="242">
        <f t="shared" si="149"/>
        <v>16</v>
      </c>
      <c r="C25" s="242">
        <f>IF(COUNTIF($A$10:A24,A25)&gt;0,C24,C24+1)</f>
        <v>14</v>
      </c>
      <c r="D25" s="428" t="s">
        <v>606</v>
      </c>
      <c r="E25" s="428" t="s">
        <v>605</v>
      </c>
      <c r="F25" s="429"/>
      <c r="G25" s="430">
        <v>7322147.8600000003</v>
      </c>
      <c r="H25" s="430">
        <v>7322147.8600000003</v>
      </c>
      <c r="I25" s="244">
        <f>IF(B25="","",VLOOKUP(BF25,Inputs!$A$12:$J$15,10,FALSE))</f>
        <v>1</v>
      </c>
      <c r="J25" s="245">
        <f>IF(B25="","",G25*I25)</f>
        <v>7322147.8600000003</v>
      </c>
      <c r="K25" s="245">
        <f>IF(B25="","",H25*I25)</f>
        <v>7322147.8600000003</v>
      </c>
      <c r="L25" s="245">
        <f>IF(B25="","",IF(COUNTIF($CF25:$CY25,1)&gt;0,0,J25))</f>
        <v>7322147.8600000003</v>
      </c>
      <c r="M25" s="245">
        <f>IF(B25="","",IF(COUNTIF($CF25:$CY25,1)&gt;0,0,K25))</f>
        <v>7322147.8600000003</v>
      </c>
      <c r="N25" s="246" t="s">
        <v>246</v>
      </c>
      <c r="O25" s="246" t="s">
        <v>245</v>
      </c>
      <c r="P25" s="247">
        <f>IF(B25="","",IF(OR(O25="N/A",O25=""),0,YEARFRAC('Borrowing Base'!$J$4,'Loan List'!O25)*12))</f>
        <v>0</v>
      </c>
      <c r="Q25" s="246" t="s">
        <v>246</v>
      </c>
      <c r="R25" s="248">
        <v>0.98380000000000001</v>
      </c>
      <c r="S25" s="249" t="str">
        <f>IF(B25="","",IF(R25&lt;95%,"Yes","No"))</f>
        <v>No</v>
      </c>
      <c r="T25" s="248">
        <v>0.97750000093551781</v>
      </c>
      <c r="U25" s="250">
        <f>IF(B25="","",IF(OR(Y25="First Lien",Y25="Split First Lien",Y25="Tier 1 Split Lien",Y25="Tier 2 Split Lien"),50%,30%))</f>
        <v>0.5</v>
      </c>
      <c r="V25" s="250">
        <f t="shared" si="10"/>
        <v>0.67544642857142856</v>
      </c>
      <c r="W25" s="251">
        <f t="shared" si="11"/>
        <v>7322147.8600000003</v>
      </c>
      <c r="X25" s="246" t="s">
        <v>64</v>
      </c>
      <c r="Y25" s="252" t="s">
        <v>483</v>
      </c>
      <c r="Z25" s="252" t="s">
        <v>484</v>
      </c>
      <c r="AA25" s="253" t="s">
        <v>407</v>
      </c>
      <c r="AB25" s="253" t="s">
        <v>713</v>
      </c>
      <c r="AC25" s="254">
        <v>1.80337078651685</v>
      </c>
      <c r="AD25" s="254">
        <v>0.84072126220886567</v>
      </c>
      <c r="AE25" s="254">
        <v>1.5979339325318083</v>
      </c>
      <c r="AF25" s="255">
        <v>0.58823529411764697</v>
      </c>
      <c r="AG25" s="256">
        <v>5.1851851851851851</v>
      </c>
      <c r="AH25" s="256">
        <v>5.1851851851851851</v>
      </c>
      <c r="AI25" s="256">
        <v>5.7123927097410423</v>
      </c>
      <c r="AJ25" s="256">
        <v>5.7123927097410423</v>
      </c>
      <c r="AK25" s="257">
        <v>135000000</v>
      </c>
      <c r="AL25" s="257">
        <v>136895000</v>
      </c>
      <c r="AM25" s="258">
        <v>45747</v>
      </c>
      <c r="AN25" s="245" t="str">
        <f>IF(C25="","",(IF(AK25&gt;=50000000,"Tier 1",(IF(OR(AK25&gt;=20000000,AND(AK25&gt;5000000,AC25&gt;=1.25,AF25&lt;=0.65)),"Tier 2","Tier 3")))))</f>
        <v>Tier 1</v>
      </c>
      <c r="AO25" s="243">
        <v>47301</v>
      </c>
      <c r="AP25" s="259">
        <f>IF(C25="","",DAYS360(Inputs!$J$8,AO25)/360)</f>
        <v>3.8555555555555556</v>
      </c>
      <c r="AQ25" s="259">
        <f>IF(C25="","",AP25)</f>
        <v>3.8555555555555556</v>
      </c>
      <c r="AR25" s="246" t="s">
        <v>246</v>
      </c>
      <c r="AS25" s="248">
        <v>0</v>
      </c>
      <c r="AT25" s="246" t="s">
        <v>64</v>
      </c>
      <c r="AU25" s="248">
        <v>0.01</v>
      </c>
      <c r="AV25" s="248">
        <v>5.7500000000000002E-2</v>
      </c>
      <c r="AW25" s="248">
        <v>4.2956000000000001E-2</v>
      </c>
      <c r="AX25" s="260">
        <f>IF(C25="","",MAX(AU25,AW25))</f>
        <v>4.2956000000000001E-2</v>
      </c>
      <c r="AY25" s="248">
        <v>0</v>
      </c>
      <c r="AZ25" s="248">
        <v>0</v>
      </c>
      <c r="BA25" s="248">
        <v>0</v>
      </c>
      <c r="BB25" s="407">
        <f>IF(B25="","",IF(AR25="No",AV25-AZ25,""))</f>
        <v>5.7500000000000002E-2</v>
      </c>
      <c r="BC25" s="407" t="str">
        <f>IF(B25="","",IF(AR25="Yes",AS25-BA25,""))</f>
        <v/>
      </c>
      <c r="BD25" s="252" t="s">
        <v>247</v>
      </c>
      <c r="BE25" s="261" t="s">
        <v>462</v>
      </c>
      <c r="BF25" s="252" t="s">
        <v>7</v>
      </c>
      <c r="BG25" s="252" t="s">
        <v>460</v>
      </c>
      <c r="BH25" s="246" t="s">
        <v>246</v>
      </c>
      <c r="BI25" s="408" t="str">
        <f t="shared" si="17"/>
        <v>No</v>
      </c>
      <c r="BJ25" s="408" t="str">
        <f>IF(B25="","",IF(OR(AND(AZ25&gt;0,BB25&lt;2.5%),AND(BA25&gt;0,BC25&lt;6%)),"Yes","No"))</f>
        <v>No</v>
      </c>
      <c r="BK25" s="246" t="s">
        <v>246</v>
      </c>
      <c r="BL25" s="246" t="s">
        <v>246</v>
      </c>
      <c r="BM25" s="246" t="s">
        <v>246</v>
      </c>
      <c r="BN25" s="246" t="s">
        <v>246</v>
      </c>
      <c r="BO25" s="246" t="s">
        <v>246</v>
      </c>
      <c r="BP25" s="246" t="s">
        <v>246</v>
      </c>
      <c r="BQ25" s="246" t="s">
        <v>246</v>
      </c>
      <c r="BR25" s="246" t="s">
        <v>246</v>
      </c>
      <c r="BS25" s="246" t="s">
        <v>246</v>
      </c>
      <c r="BT25" s="246" t="s">
        <v>246</v>
      </c>
      <c r="BU25" s="246" t="s">
        <v>246</v>
      </c>
      <c r="BV25" s="246" t="s">
        <v>246</v>
      </c>
      <c r="BW25" s="246" t="s">
        <v>246</v>
      </c>
      <c r="BX25" s="246" t="s">
        <v>246</v>
      </c>
      <c r="BY25" s="246" t="s">
        <v>246</v>
      </c>
      <c r="BZ25" s="246" t="s">
        <v>246</v>
      </c>
      <c r="CA25" s="246" t="s">
        <v>246</v>
      </c>
      <c r="CB25" s="246" t="s">
        <v>64</v>
      </c>
      <c r="CC25" s="262">
        <f>IF(B25="","",IF(AT25="No",((BB25+AW25)-$AZ$4),((BB25+AX25)-$AZ$4))*IF(DE25&gt;0,0,M25))</f>
        <v>419072.88176009606</v>
      </c>
      <c r="CD25" s="262">
        <f>IF(B25="","",AY25*(L25-M25)*IF(DE25&gt;0,0,1))</f>
        <v>0</v>
      </c>
      <c r="CE25" s="263"/>
      <c r="CF25" s="263">
        <f t="shared" si="150"/>
        <v>0</v>
      </c>
      <c r="CG25" s="263">
        <f t="shared" si="151"/>
        <v>0</v>
      </c>
      <c r="CH25" s="263">
        <f t="shared" si="152"/>
        <v>0</v>
      </c>
      <c r="CI25" s="263">
        <f t="shared" si="153"/>
        <v>0</v>
      </c>
      <c r="CJ25" s="263">
        <f t="shared" si="154"/>
        <v>0</v>
      </c>
      <c r="CK25" s="263">
        <f t="shared" si="155"/>
        <v>0</v>
      </c>
      <c r="CL25" s="263">
        <f t="shared" si="156"/>
        <v>0</v>
      </c>
      <c r="CM25" s="263">
        <f t="shared" si="157"/>
        <v>0</v>
      </c>
      <c r="CN25" s="263">
        <f t="shared" si="158"/>
        <v>0</v>
      </c>
      <c r="CO25" s="263">
        <f t="shared" si="159"/>
        <v>0</v>
      </c>
      <c r="CP25" s="263">
        <f t="shared" si="160"/>
        <v>0</v>
      </c>
      <c r="CQ25" s="263">
        <f t="shared" si="161"/>
        <v>0</v>
      </c>
      <c r="CR25" s="263">
        <f t="shared" si="162"/>
        <v>0</v>
      </c>
      <c r="CS25" s="263">
        <f t="shared" si="163"/>
        <v>0</v>
      </c>
      <c r="CT25" s="263">
        <f t="shared" si="164"/>
        <v>0</v>
      </c>
      <c r="CU25" s="263">
        <f t="shared" si="165"/>
        <v>0</v>
      </c>
      <c r="CV25" s="263">
        <f t="shared" si="166"/>
        <v>0</v>
      </c>
      <c r="CW25" s="263">
        <f t="shared" si="167"/>
        <v>0</v>
      </c>
      <c r="CX25" s="263">
        <f t="shared" si="168"/>
        <v>0</v>
      </c>
      <c r="CY25" s="263">
        <f t="shared" si="169"/>
        <v>0</v>
      </c>
      <c r="CZ25" s="263">
        <f t="shared" si="170"/>
        <v>0</v>
      </c>
      <c r="DA25" s="263">
        <f t="shared" si="171"/>
        <v>0</v>
      </c>
      <c r="DB25" s="263">
        <f t="shared" si="172"/>
        <v>0</v>
      </c>
      <c r="DC25" s="263">
        <f t="shared" si="173"/>
        <v>0</v>
      </c>
      <c r="DD25" s="263">
        <f t="shared" si="174"/>
        <v>0</v>
      </c>
      <c r="DE25" s="263">
        <f t="shared" si="175"/>
        <v>0</v>
      </c>
      <c r="DF25" s="263">
        <f t="shared" si="176"/>
        <v>7322147.8600000003</v>
      </c>
      <c r="DG25" s="263">
        <f t="shared" si="177"/>
        <v>0</v>
      </c>
      <c r="DH25" s="263">
        <f t="shared" si="178"/>
        <v>7322147.8600000003</v>
      </c>
      <c r="DI25" s="263">
        <f t="shared" si="179"/>
        <v>7322147.8600000003</v>
      </c>
      <c r="DJ25" s="263">
        <f t="shared" si="180"/>
        <v>0</v>
      </c>
      <c r="DK25" s="263">
        <f t="shared" si="181"/>
        <v>0</v>
      </c>
      <c r="DL25" s="263">
        <f t="shared" si="182"/>
        <v>0</v>
      </c>
      <c r="DM25" s="263">
        <f t="shared" si="183"/>
        <v>0</v>
      </c>
      <c r="DO25" s="264">
        <f t="shared" si="184"/>
        <v>0</v>
      </c>
      <c r="DP25" s="265">
        <f t="shared" si="185"/>
        <v>0</v>
      </c>
      <c r="DQ25" s="264">
        <f t="shared" si="186"/>
        <v>7322147.8600000003</v>
      </c>
      <c r="DR25" s="264">
        <f t="shared" si="187"/>
        <v>0</v>
      </c>
      <c r="DS25" s="265">
        <f t="shared" si="188"/>
        <v>0</v>
      </c>
      <c r="DT25" s="264">
        <f t="shared" si="189"/>
        <v>7322147.8600000003</v>
      </c>
      <c r="DU25" s="264">
        <f t="shared" si="190"/>
        <v>0</v>
      </c>
      <c r="DV25" s="265">
        <f t="shared" si="191"/>
        <v>0</v>
      </c>
      <c r="DW25" s="264">
        <f t="shared" si="192"/>
        <v>7322147.8600000003</v>
      </c>
      <c r="DX25" s="264">
        <f t="shared" si="193"/>
        <v>0</v>
      </c>
      <c r="DY25" s="265">
        <f t="shared" si="194"/>
        <v>0</v>
      </c>
      <c r="DZ25" s="264">
        <f t="shared" si="195"/>
        <v>7322147.8600000003</v>
      </c>
      <c r="EA25" s="264">
        <f t="shared" si="196"/>
        <v>0</v>
      </c>
      <c r="EB25" s="265">
        <f t="shared" si="197"/>
        <v>0</v>
      </c>
      <c r="EC25" s="264">
        <f t="shared" si="198"/>
        <v>7322147.8600000003</v>
      </c>
      <c r="ED25" s="264">
        <f t="shared" si="199"/>
        <v>0</v>
      </c>
      <c r="EE25" s="265">
        <f t="shared" si="200"/>
        <v>0</v>
      </c>
      <c r="EF25" s="264">
        <f t="shared" si="201"/>
        <v>7322147.8600000003</v>
      </c>
      <c r="EG25" s="264">
        <f t="shared" si="202"/>
        <v>0</v>
      </c>
      <c r="EH25" s="265">
        <f t="shared" si="203"/>
        <v>0</v>
      </c>
      <c r="EI25" s="264">
        <f t="shared" si="204"/>
        <v>7322147.8600000003</v>
      </c>
      <c r="EJ25" s="264">
        <f t="shared" si="205"/>
        <v>0</v>
      </c>
      <c r="EK25" s="265">
        <f t="shared" si="206"/>
        <v>0</v>
      </c>
      <c r="EL25" s="264">
        <f t="shared" si="207"/>
        <v>7322147.8600000003</v>
      </c>
      <c r="EM25" s="264">
        <f t="shared" si="208"/>
        <v>0</v>
      </c>
      <c r="EN25" s="265">
        <f t="shared" si="209"/>
        <v>0</v>
      </c>
      <c r="EO25" s="264">
        <f t="shared" si="210"/>
        <v>7322147.8600000003</v>
      </c>
      <c r="EP25" s="264">
        <f t="shared" si="211"/>
        <v>0</v>
      </c>
      <c r="EQ25" s="265">
        <f t="shared" si="212"/>
        <v>0</v>
      </c>
      <c r="ER25" s="264">
        <f t="shared" si="213"/>
        <v>7322147.8600000003</v>
      </c>
      <c r="ES25" s="264">
        <f t="shared" si="214"/>
        <v>0</v>
      </c>
      <c r="ET25" s="265">
        <f t="shared" si="215"/>
        <v>0</v>
      </c>
      <c r="EU25" s="264">
        <f t="shared" si="216"/>
        <v>7322147.8600000003</v>
      </c>
      <c r="EV25" s="264">
        <f>IF(AND(BM25="Yes",OR(BN25="No",AND(BN25="Yes",Inputs!$J$8=Inputs!$J$17+75))),EU25,0)</f>
        <v>0</v>
      </c>
      <c r="EW25" s="265">
        <f t="shared" si="217"/>
        <v>0</v>
      </c>
      <c r="EX25" s="264">
        <f t="shared" si="218"/>
        <v>7322147.8600000003</v>
      </c>
      <c r="EY25" s="264">
        <f t="shared" si="219"/>
        <v>0</v>
      </c>
      <c r="EZ25" s="265">
        <f t="shared" si="220"/>
        <v>0</v>
      </c>
      <c r="FA25" s="264">
        <f t="shared" si="221"/>
        <v>7322147.8600000003</v>
      </c>
      <c r="FB25" s="264">
        <f t="shared" si="222"/>
        <v>0</v>
      </c>
      <c r="FC25" s="265">
        <f t="shared" si="223"/>
        <v>0</v>
      </c>
      <c r="FD25" s="264">
        <f t="shared" si="224"/>
        <v>7322147.8600000003</v>
      </c>
      <c r="FE25" s="264">
        <f t="shared" si="225"/>
        <v>0</v>
      </c>
      <c r="FF25" s="265">
        <f t="shared" si="226"/>
        <v>0</v>
      </c>
      <c r="FG25" s="264">
        <f t="shared" si="227"/>
        <v>7322147.8600000003</v>
      </c>
      <c r="FH25" s="264">
        <f t="shared" si="228"/>
        <v>7322147.8600000003</v>
      </c>
      <c r="FI25" s="264">
        <f t="shared" si="229"/>
        <v>0</v>
      </c>
      <c r="FJ25" s="264">
        <f t="shared" si="230"/>
        <v>7322147.8600000003</v>
      </c>
      <c r="FK25" s="264">
        <f t="shared" si="231"/>
        <v>7322147.8600000003</v>
      </c>
      <c r="FL25" s="264">
        <f t="shared" si="232"/>
        <v>0</v>
      </c>
      <c r="FM25" s="264">
        <f t="shared" si="233"/>
        <v>7322147.8600000003</v>
      </c>
      <c r="FN25" s="264">
        <f t="shared" si="234"/>
        <v>7322147.8600000003</v>
      </c>
      <c r="FO25" s="264">
        <f t="shared" si="235"/>
        <v>0</v>
      </c>
      <c r="FP25" s="264">
        <f t="shared" si="236"/>
        <v>7322147.8600000003</v>
      </c>
      <c r="FQ25" s="264">
        <f t="shared" si="237"/>
        <v>0</v>
      </c>
      <c r="FR25" s="265">
        <f t="shared" si="238"/>
        <v>0</v>
      </c>
      <c r="FS25" s="264">
        <f t="shared" si="239"/>
        <v>7322147.8600000003</v>
      </c>
      <c r="FT25" s="264">
        <f t="shared" si="240"/>
        <v>0</v>
      </c>
      <c r="FU25" s="265">
        <f t="shared" si="241"/>
        <v>0</v>
      </c>
      <c r="FV25" s="264">
        <f t="shared" si="242"/>
        <v>7322147.8600000003</v>
      </c>
      <c r="FW25" s="264">
        <f t="shared" si="243"/>
        <v>0</v>
      </c>
      <c r="FX25" s="264">
        <f t="shared" si="244"/>
        <v>0</v>
      </c>
      <c r="FY25" s="264">
        <f t="shared" si="245"/>
        <v>0</v>
      </c>
      <c r="FZ25" s="264">
        <f t="shared" si="246"/>
        <v>0</v>
      </c>
      <c r="GA25" s="265">
        <f t="shared" si="296"/>
        <v>0</v>
      </c>
      <c r="GB25" s="264">
        <f t="shared" si="297"/>
        <v>7322147.8600000003</v>
      </c>
      <c r="GC25" s="264">
        <f t="shared" si="247"/>
        <v>7322147.8600000003</v>
      </c>
      <c r="GD25" s="266">
        <f t="shared" si="248"/>
        <v>4945718.6215089289</v>
      </c>
      <c r="GE25" s="138">
        <f t="shared" si="249"/>
        <v>0.67544642857142856</v>
      </c>
      <c r="GF25" s="267">
        <f t="shared" si="250"/>
        <v>59</v>
      </c>
      <c r="GG25" s="264">
        <f t="array" ref="GG25">IF(SUM(IF(IC$9:IC24=IC25,1,0))&gt;0,0,SUMIF($IC$10:$IC$406,IC25,$FJ$10:$FJ$406))</f>
        <v>17406840.6664</v>
      </c>
      <c r="GH25" s="268">
        <f t="shared" si="251"/>
        <v>17406840.6664</v>
      </c>
      <c r="GI25" s="137">
        <f t="shared" si="126"/>
        <v>16</v>
      </c>
      <c r="GJ25" s="269">
        <f t="shared" si="252"/>
        <v>16600344</v>
      </c>
      <c r="GK25" s="269">
        <f t="shared" si="253"/>
        <v>152892852.51729038</v>
      </c>
      <c r="GL25" s="163">
        <f t="shared" si="254"/>
        <v>0</v>
      </c>
      <c r="GM25" s="137">
        <f t="array" ref="GM25">IF(GJ25=0,0,LARGE(IF($GG$10:$GG$406=GJ25,$GF$10:$GF$406,0),COUNTIF($GJ$10:$GJ$406,GJ25)-COUNTIF(GJ$9:GJ24,GJ25)))</f>
        <v>32</v>
      </c>
      <c r="GN25" s="270">
        <f t="shared" si="255"/>
        <v>0</v>
      </c>
      <c r="GP25" s="137">
        <f>IF(C25="","",IF(ISERROR(MATCH(C25,C$10:C24,0)),MAX(GP$10:GP24)+1,INDEX(GP$10:GP24,MATCH(C25,C$10:C24,0))))</f>
        <v>14</v>
      </c>
      <c r="GQ25" s="264">
        <f>IF(COUNTIF($A$10:A25,A25)&lt;=1,SUMIF($A$10:$A$406,A25,$FH$10:$FH$406),0)</f>
        <v>13171771.859999999</v>
      </c>
      <c r="GR25" s="137">
        <f t="shared" si="130"/>
        <v>16</v>
      </c>
      <c r="GS25" s="269">
        <f t="shared" si="256"/>
        <v>15648476.247</v>
      </c>
      <c r="GT25" s="269">
        <f t="shared" si="257"/>
        <v>50964284.172430128</v>
      </c>
      <c r="GU25" s="163">
        <f t="shared" si="258"/>
        <v>0</v>
      </c>
      <c r="GV25" s="137">
        <f t="array" ref="GV25">IF(GS25=0,0,LARGE(IF($GQ$10:$GQ$406=GS25,$GP$10:$GP$406,0),COUNTIF($GS$10:$GS$406,GS25)-COUNTIF(GS$9:GS24,GS25)))</f>
        <v>10</v>
      </c>
      <c r="GW25" s="270">
        <f t="shared" si="259"/>
        <v>0</v>
      </c>
      <c r="GX25" s="270"/>
      <c r="GY25" s="137">
        <f>IF(C25="","",IF(ISERROR(MATCH(C25,C$10:C24,0)),MAX(GP$10:GP24)+1,INDEX(GP$10:GP24,MATCH(C25,C$10:C24,0))))</f>
        <v>14</v>
      </c>
      <c r="GZ25" s="264">
        <f>IF(COUNTIF($A$10:A25,A25)&lt;=1,SUMIF($A$10:$A$406,A25,$FH$10:$FH$406),0)</f>
        <v>13171771.859999999</v>
      </c>
      <c r="HA25" s="137">
        <f t="shared" si="134"/>
        <v>16</v>
      </c>
      <c r="HB25" s="269">
        <f t="shared" si="260"/>
        <v>15648476.247</v>
      </c>
      <c r="HC25" s="414" t="s">
        <v>622</v>
      </c>
      <c r="HD25" s="163">
        <f t="shared" si="261"/>
        <v>0</v>
      </c>
      <c r="HE25" s="137">
        <f t="array" ref="HE25">IF(HB25=0,0,LARGE(IF($GZ$10:$GZ$406=HB25,$GY$10:$GY$406,0),COUNTIF($HB$10:$HB$406,HB25)-COUNTIF(HB$9:HB24,HB25)))</f>
        <v>10</v>
      </c>
      <c r="HF25" s="270">
        <f t="shared" si="262"/>
        <v>0</v>
      </c>
      <c r="HG25"/>
      <c r="HH25" s="268">
        <f t="shared" si="263"/>
        <v>0</v>
      </c>
      <c r="HI25" s="271">
        <v>0</v>
      </c>
      <c r="HJ25" s="264">
        <f t="shared" si="264"/>
        <v>0</v>
      </c>
      <c r="HL25" s="137">
        <f t="shared" si="265"/>
        <v>16</v>
      </c>
      <c r="HM25" s="264">
        <f t="shared" si="300"/>
        <v>4500000</v>
      </c>
      <c r="HO25" s="199">
        <f t="shared" si="301"/>
        <v>7322147.8600000003</v>
      </c>
      <c r="HP25" s="199">
        <f t="shared" si="302"/>
        <v>7322147.8600000003</v>
      </c>
      <c r="HQ25" s="199" t="str">
        <f t="shared" si="303"/>
        <v/>
      </c>
      <c r="HR25" s="199" t="str">
        <f t="shared" si="304"/>
        <v/>
      </c>
      <c r="HS25" s="199" t="str">
        <f t="shared" si="119"/>
        <v/>
      </c>
      <c r="HT25" s="199" t="str">
        <f t="shared" si="305"/>
        <v/>
      </c>
      <c r="HU25" s="199" t="str">
        <f t="shared" si="306"/>
        <v/>
      </c>
      <c r="HV25" s="200">
        <f t="shared" si="307"/>
        <v>0</v>
      </c>
      <c r="HW25" s="272">
        <f t="shared" si="308"/>
        <v>1</v>
      </c>
      <c r="HX25" s="200" t="str">
        <f t="shared" si="309"/>
        <v/>
      </c>
      <c r="HY25" s="200">
        <f t="shared" si="310"/>
        <v>0</v>
      </c>
      <c r="HZ25" s="200" t="str">
        <f t="shared" si="4"/>
        <v/>
      </c>
      <c r="IA25" s="200" t="str">
        <f t="shared" si="311"/>
        <v/>
      </c>
      <c r="IB25" s="200" t="str">
        <f t="shared" si="312"/>
        <v/>
      </c>
      <c r="IC25" s="273">
        <f>IF(C25="","",INDEX(Lookups!$E$2:$E$69,MATCH('Loan List'!BE25,Lookups!$F$2:$F$69,0)))</f>
        <v>59</v>
      </c>
      <c r="ID25" t="b">
        <f t="shared" si="313"/>
        <v>1</v>
      </c>
      <c r="IF25" s="346" t="str">
        <f>IF(B25="","",IF(AND(Y25="Second Lien",OR(DA25=1,DB25=1,DC25=1)),50%,IF(DA25=1,90%,IF(DB25=1,80%,IF(DC25=1,65%,"No Initial Haircut")))))</f>
        <v>No Initial Haircut</v>
      </c>
    </row>
    <row r="26" spans="1:240">
      <c r="A26" t="s">
        <v>606</v>
      </c>
      <c r="B26" s="242">
        <f t="shared" si="149"/>
        <v>17</v>
      </c>
      <c r="C26" s="242">
        <f>IF(COUNTIF($A$10:A25,A26)&gt;0,C25,C25+1)</f>
        <v>14</v>
      </c>
      <c r="D26" s="431" t="s">
        <v>726</v>
      </c>
      <c r="E26" s="428" t="s">
        <v>605</v>
      </c>
      <c r="F26" s="429"/>
      <c r="G26" s="430">
        <v>5849624</v>
      </c>
      <c r="H26" s="430">
        <v>5849624</v>
      </c>
      <c r="I26" s="244">
        <f>IF(B26="","",VLOOKUP(BF26,Inputs!$A$12:$J$15,10,FALSE))</f>
        <v>1</v>
      </c>
      <c r="J26" s="245">
        <f>IF(B26="","",G26*I26)</f>
        <v>5849624</v>
      </c>
      <c r="K26" s="245">
        <f>IF(B26="","",H26*I26)</f>
        <v>5849624</v>
      </c>
      <c r="L26" s="245">
        <f>IF(B26="","",IF(COUNTIF($CF26:$CY26,1)&gt;0,0,J26))</f>
        <v>5849624</v>
      </c>
      <c r="M26" s="245">
        <f>IF(B26="","",IF(COUNTIF($CF26:$CY26,1)&gt;0,0,K26))</f>
        <v>5849624</v>
      </c>
      <c r="N26" s="246" t="s">
        <v>246</v>
      </c>
      <c r="O26" s="246" t="s">
        <v>245</v>
      </c>
      <c r="P26" s="247">
        <f>IF(B26="","",IF(OR(O26="N/A",O26=""),0,YEARFRAC('Borrowing Base'!$J$4,'Loan List'!O26)*12))</f>
        <v>0</v>
      </c>
      <c r="Q26" s="246" t="s">
        <v>246</v>
      </c>
      <c r="R26" s="248">
        <v>0.98380000000000001</v>
      </c>
      <c r="S26" s="249" t="str">
        <f>IF(B26="","",IF(R26&lt;95%,"Yes","No"))</f>
        <v>No</v>
      </c>
      <c r="T26" s="248">
        <v>0.97750000093551781</v>
      </c>
      <c r="U26" s="250">
        <f>IF(B26="","",IF(OR(Y26="First Lien",Y26="Split First Lien",Y26="Tier 1 Split Lien",Y26="Tier 2 Split Lien"),50%,30%))</f>
        <v>0.5</v>
      </c>
      <c r="V26" s="250">
        <f t="shared" si="10"/>
        <v>0.64541036230271687</v>
      </c>
      <c r="W26" s="251">
        <f t="shared" si="11"/>
        <v>5849624</v>
      </c>
      <c r="X26" s="246" t="s">
        <v>64</v>
      </c>
      <c r="Y26" s="252" t="s">
        <v>483</v>
      </c>
      <c r="Z26" s="252" t="s">
        <v>484</v>
      </c>
      <c r="AA26" s="253" t="s">
        <v>407</v>
      </c>
      <c r="AB26" s="253" t="s">
        <v>713</v>
      </c>
      <c r="AC26" s="254">
        <v>1.80337078651685</v>
      </c>
      <c r="AD26" s="254">
        <v>0.84072126220886567</v>
      </c>
      <c r="AE26" s="254">
        <v>1.5979339325318083</v>
      </c>
      <c r="AF26" s="255">
        <v>0.58823529411764697</v>
      </c>
      <c r="AG26" s="256">
        <v>5.7123927097410423</v>
      </c>
      <c r="AH26" s="256">
        <v>5.7123927097410423</v>
      </c>
      <c r="AI26" s="256">
        <v>5.7123927097410423</v>
      </c>
      <c r="AJ26" s="256">
        <v>5.7123927097410423</v>
      </c>
      <c r="AK26" s="257">
        <v>136895000</v>
      </c>
      <c r="AL26" s="257">
        <v>136895000</v>
      </c>
      <c r="AM26" s="258">
        <v>45747</v>
      </c>
      <c r="AN26" s="245" t="str">
        <f>IF(C26="","",(IF(AK26&gt;=50000000,"Tier 1",(IF(OR(AK26&gt;=20000000,AND(AK26&gt;5000000,AC26&gt;=1.25,AF26&lt;=0.65)),"Tier 2","Tier 3")))))</f>
        <v>Tier 1</v>
      </c>
      <c r="AO26" s="243">
        <v>47301</v>
      </c>
      <c r="AP26" s="259">
        <f>IF(C26="","",DAYS360(Inputs!$J$8,AO26)/360)</f>
        <v>3.8555555555555556</v>
      </c>
      <c r="AQ26" s="259">
        <f>IF(C26="","",AP26)</f>
        <v>3.8555555555555556</v>
      </c>
      <c r="AR26" s="246" t="s">
        <v>246</v>
      </c>
      <c r="AS26" s="248">
        <v>0</v>
      </c>
      <c r="AT26" s="246" t="s">
        <v>64</v>
      </c>
      <c r="AU26" s="248">
        <v>0.01</v>
      </c>
      <c r="AV26" s="248">
        <v>5.7500000000000002E-2</v>
      </c>
      <c r="AW26" s="248">
        <v>4.2956000000000001E-2</v>
      </c>
      <c r="AX26" s="260">
        <f>IF(C26="","",MAX(AU26,AW26))</f>
        <v>4.2956000000000001E-2</v>
      </c>
      <c r="AY26" s="248">
        <v>0</v>
      </c>
      <c r="AZ26" s="248">
        <v>0</v>
      </c>
      <c r="BA26" s="248">
        <v>0</v>
      </c>
      <c r="BB26" s="407">
        <f>IF(B26="","",IF(AR26="No",AV26-AZ26,""))</f>
        <v>5.7500000000000002E-2</v>
      </c>
      <c r="BC26" s="407" t="str">
        <f>IF(B26="","",IF(AR26="Yes",AS26-BA26,""))</f>
        <v/>
      </c>
      <c r="BD26" s="252" t="s">
        <v>247</v>
      </c>
      <c r="BE26" s="261" t="s">
        <v>462</v>
      </c>
      <c r="BF26" s="252" t="s">
        <v>7</v>
      </c>
      <c r="BG26" s="252" t="s">
        <v>460</v>
      </c>
      <c r="BH26" s="246" t="s">
        <v>246</v>
      </c>
      <c r="BI26" s="408" t="str">
        <f t="shared" si="17"/>
        <v>No</v>
      </c>
      <c r="BJ26" s="408" t="str">
        <f>IF(B26="","",IF(OR(AND(AZ26&gt;0,BB26&lt;2.5%),AND(BA26&gt;0,BC26&lt;6%)),"Yes","No"))</f>
        <v>No</v>
      </c>
      <c r="BK26" s="246" t="s">
        <v>246</v>
      </c>
      <c r="BL26" s="246" t="s">
        <v>246</v>
      </c>
      <c r="BM26" s="246" t="s">
        <v>64</v>
      </c>
      <c r="BN26" s="246" t="s">
        <v>64</v>
      </c>
      <c r="BO26" s="246" t="s">
        <v>246</v>
      </c>
      <c r="BP26" s="246" t="s">
        <v>246</v>
      </c>
      <c r="BQ26" s="246" t="s">
        <v>246</v>
      </c>
      <c r="BR26" s="246" t="s">
        <v>246</v>
      </c>
      <c r="BS26" s="246" t="s">
        <v>246</v>
      </c>
      <c r="BT26" s="246" t="s">
        <v>246</v>
      </c>
      <c r="BU26" s="246" t="s">
        <v>246</v>
      </c>
      <c r="BV26" s="246" t="s">
        <v>246</v>
      </c>
      <c r="BW26" s="246" t="s">
        <v>246</v>
      </c>
      <c r="BX26" s="246" t="s">
        <v>246</v>
      </c>
      <c r="BY26" s="246" t="s">
        <v>246</v>
      </c>
      <c r="BZ26" s="246" t="s">
        <v>246</v>
      </c>
      <c r="CA26" s="246" t="s">
        <v>246</v>
      </c>
      <c r="CB26" s="246" t="s">
        <v>64</v>
      </c>
      <c r="CC26" s="262">
        <f>IF(B26="","",IF(AT26="No",((BB26+AW26)-$AZ$4),((BB26+AX26)-$AZ$4))*IF(DE26&gt;0,0,M26))</f>
        <v>334795.04016640002</v>
      </c>
      <c r="CD26" s="262">
        <f>IF(B26="","",AY26*(L26-M26)*IF(DE26&gt;0,0,1))</f>
        <v>0</v>
      </c>
      <c r="CE26" s="263"/>
      <c r="CF26" s="263">
        <f t="shared" si="150"/>
        <v>0</v>
      </c>
      <c r="CG26" s="263">
        <f t="shared" si="151"/>
        <v>0</v>
      </c>
      <c r="CH26" s="263">
        <f t="shared" si="152"/>
        <v>0</v>
      </c>
      <c r="CI26" s="263">
        <f t="shared" si="153"/>
        <v>0</v>
      </c>
      <c r="CJ26" s="263">
        <f t="shared" si="154"/>
        <v>0</v>
      </c>
      <c r="CK26" s="263">
        <f t="shared" si="155"/>
        <v>0</v>
      </c>
      <c r="CL26" s="263">
        <f t="shared" si="156"/>
        <v>0</v>
      </c>
      <c r="CM26" s="263">
        <f t="shared" si="157"/>
        <v>0</v>
      </c>
      <c r="CN26" s="263">
        <f t="shared" si="158"/>
        <v>0</v>
      </c>
      <c r="CO26" s="263">
        <f t="shared" si="159"/>
        <v>0</v>
      </c>
      <c r="CP26" s="263">
        <f t="shared" si="160"/>
        <v>0</v>
      </c>
      <c r="CQ26" s="263">
        <f t="shared" si="161"/>
        <v>0</v>
      </c>
      <c r="CR26" s="263">
        <f t="shared" si="162"/>
        <v>0</v>
      </c>
      <c r="CS26" s="263">
        <f t="shared" si="163"/>
        <v>0</v>
      </c>
      <c r="CT26" s="263">
        <f t="shared" si="164"/>
        <v>0</v>
      </c>
      <c r="CU26" s="263">
        <f t="shared" si="165"/>
        <v>0</v>
      </c>
      <c r="CV26" s="263">
        <f t="shared" si="166"/>
        <v>0</v>
      </c>
      <c r="CW26" s="263">
        <f t="shared" si="167"/>
        <v>0</v>
      </c>
      <c r="CX26" s="263">
        <f t="shared" si="168"/>
        <v>0</v>
      </c>
      <c r="CY26" s="263">
        <f t="shared" si="169"/>
        <v>0</v>
      </c>
      <c r="CZ26" s="263">
        <f t="shared" si="170"/>
        <v>0</v>
      </c>
      <c r="DA26" s="263">
        <f t="shared" si="171"/>
        <v>0</v>
      </c>
      <c r="DB26" s="263">
        <f t="shared" si="172"/>
        <v>0</v>
      </c>
      <c r="DC26" s="263">
        <f t="shared" si="173"/>
        <v>0</v>
      </c>
      <c r="DD26" s="263">
        <f t="shared" si="174"/>
        <v>0</v>
      </c>
      <c r="DE26" s="263">
        <f t="shared" si="175"/>
        <v>0</v>
      </c>
      <c r="DF26" s="263">
        <f t="shared" si="176"/>
        <v>5849624</v>
      </c>
      <c r="DG26" s="263">
        <f t="shared" si="177"/>
        <v>0</v>
      </c>
      <c r="DH26" s="263">
        <f t="shared" si="178"/>
        <v>5849624</v>
      </c>
      <c r="DI26" s="263">
        <f t="shared" si="179"/>
        <v>5849624</v>
      </c>
      <c r="DJ26" s="263">
        <f t="shared" si="180"/>
        <v>0</v>
      </c>
      <c r="DK26" s="263">
        <f t="shared" si="181"/>
        <v>0</v>
      </c>
      <c r="DL26" s="263">
        <f t="shared" si="182"/>
        <v>0</v>
      </c>
      <c r="DM26" s="263">
        <f t="shared" si="183"/>
        <v>0</v>
      </c>
      <c r="DO26" s="264">
        <f t="shared" si="184"/>
        <v>0</v>
      </c>
      <c r="DP26" s="265">
        <f t="shared" si="185"/>
        <v>0</v>
      </c>
      <c r="DQ26" s="264">
        <f t="shared" si="186"/>
        <v>5849624</v>
      </c>
      <c r="DR26" s="264">
        <f t="shared" si="187"/>
        <v>0</v>
      </c>
      <c r="DS26" s="265">
        <f t="shared" si="188"/>
        <v>0</v>
      </c>
      <c r="DT26" s="264">
        <f t="shared" si="189"/>
        <v>5849624</v>
      </c>
      <c r="DU26" s="264">
        <f t="shared" si="190"/>
        <v>0</v>
      </c>
      <c r="DV26" s="265">
        <f t="shared" si="191"/>
        <v>0</v>
      </c>
      <c r="DW26" s="264">
        <f t="shared" si="192"/>
        <v>5849624</v>
      </c>
      <c r="DX26" s="264">
        <f t="shared" si="193"/>
        <v>0</v>
      </c>
      <c r="DY26" s="265">
        <f t="shared" si="194"/>
        <v>0</v>
      </c>
      <c r="DZ26" s="264">
        <f t="shared" si="195"/>
        <v>5849624</v>
      </c>
      <c r="EA26" s="264">
        <f t="shared" si="196"/>
        <v>0</v>
      </c>
      <c r="EB26" s="265">
        <f t="shared" si="197"/>
        <v>0</v>
      </c>
      <c r="EC26" s="264">
        <f t="shared" si="198"/>
        <v>5849624</v>
      </c>
      <c r="ED26" s="264">
        <f t="shared" si="199"/>
        <v>0</v>
      </c>
      <c r="EE26" s="265">
        <f t="shared" si="200"/>
        <v>0</v>
      </c>
      <c r="EF26" s="264">
        <f t="shared" si="201"/>
        <v>5849624</v>
      </c>
      <c r="EG26" s="264">
        <f t="shared" si="202"/>
        <v>0</v>
      </c>
      <c r="EH26" s="265">
        <f t="shared" si="203"/>
        <v>0</v>
      </c>
      <c r="EI26" s="264">
        <f t="shared" si="204"/>
        <v>5849624</v>
      </c>
      <c r="EJ26" s="264">
        <f t="shared" si="205"/>
        <v>0</v>
      </c>
      <c r="EK26" s="265">
        <f t="shared" si="206"/>
        <v>0</v>
      </c>
      <c r="EL26" s="264">
        <f t="shared" si="207"/>
        <v>5849624</v>
      </c>
      <c r="EM26" s="264">
        <f t="shared" si="208"/>
        <v>0</v>
      </c>
      <c r="EN26" s="265">
        <f t="shared" si="209"/>
        <v>0</v>
      </c>
      <c r="EO26" s="264">
        <f t="shared" si="210"/>
        <v>5849624</v>
      </c>
      <c r="EP26" s="264">
        <f t="shared" si="211"/>
        <v>0</v>
      </c>
      <c r="EQ26" s="265">
        <f t="shared" si="212"/>
        <v>0</v>
      </c>
      <c r="ER26" s="264">
        <f t="shared" si="213"/>
        <v>5849624</v>
      </c>
      <c r="ES26" s="264">
        <f t="shared" si="214"/>
        <v>0</v>
      </c>
      <c r="ET26" s="265">
        <f t="shared" si="215"/>
        <v>0</v>
      </c>
      <c r="EU26" s="264">
        <f t="shared" si="216"/>
        <v>5849624</v>
      </c>
      <c r="EV26" s="264">
        <f>IF(AND(BM26="Yes",OR(BN26="No",AND(BN26="Yes",Inputs!$J$8=Inputs!$J$17+75))),EU26,0)</f>
        <v>0</v>
      </c>
      <c r="EW26" s="265">
        <f t="shared" si="217"/>
        <v>0</v>
      </c>
      <c r="EX26" s="264">
        <f t="shared" si="218"/>
        <v>5849624</v>
      </c>
      <c r="EY26" s="264">
        <f t="shared" si="219"/>
        <v>0</v>
      </c>
      <c r="EZ26" s="265">
        <f t="shared" si="220"/>
        <v>0</v>
      </c>
      <c r="FA26" s="264">
        <f t="shared" si="221"/>
        <v>5849624</v>
      </c>
      <c r="FB26" s="264">
        <f t="shared" si="222"/>
        <v>0</v>
      </c>
      <c r="FC26" s="265">
        <f t="shared" si="223"/>
        <v>0</v>
      </c>
      <c r="FD26" s="264">
        <f t="shared" si="224"/>
        <v>5849624</v>
      </c>
      <c r="FE26" s="264">
        <f t="shared" si="225"/>
        <v>0</v>
      </c>
      <c r="FF26" s="265">
        <f t="shared" si="226"/>
        <v>0</v>
      </c>
      <c r="FG26" s="264">
        <f t="shared" si="227"/>
        <v>5849624</v>
      </c>
      <c r="FH26" s="264">
        <f t="shared" si="228"/>
        <v>5849624</v>
      </c>
      <c r="FI26" s="264">
        <f t="shared" si="229"/>
        <v>0</v>
      </c>
      <c r="FJ26" s="264">
        <f t="shared" si="230"/>
        <v>5849624</v>
      </c>
      <c r="FK26" s="264">
        <f t="shared" si="231"/>
        <v>5849624</v>
      </c>
      <c r="FL26" s="264">
        <f t="shared" si="232"/>
        <v>0</v>
      </c>
      <c r="FM26" s="264">
        <f t="shared" si="233"/>
        <v>5849624</v>
      </c>
      <c r="FN26" s="264">
        <f t="shared" si="234"/>
        <v>5849624</v>
      </c>
      <c r="FO26" s="264">
        <f t="shared" si="235"/>
        <v>0</v>
      </c>
      <c r="FP26" s="264">
        <f t="shared" si="236"/>
        <v>5849624</v>
      </c>
      <c r="FQ26" s="264">
        <f t="shared" si="237"/>
        <v>0</v>
      </c>
      <c r="FR26" s="265">
        <f t="shared" si="238"/>
        <v>0</v>
      </c>
      <c r="FS26" s="264">
        <f t="shared" si="239"/>
        <v>5849624</v>
      </c>
      <c r="FT26" s="264">
        <f t="shared" si="240"/>
        <v>0</v>
      </c>
      <c r="FU26" s="265">
        <f t="shared" si="241"/>
        <v>0</v>
      </c>
      <c r="FV26" s="264">
        <f t="shared" si="242"/>
        <v>5849624</v>
      </c>
      <c r="FW26" s="264">
        <f t="shared" si="243"/>
        <v>0</v>
      </c>
      <c r="FX26" s="264">
        <f t="shared" si="244"/>
        <v>0</v>
      </c>
      <c r="FY26" s="264">
        <f t="shared" si="245"/>
        <v>0</v>
      </c>
      <c r="FZ26" s="264">
        <f t="shared" si="246"/>
        <v>0</v>
      </c>
      <c r="GA26" s="265">
        <f t="shared" si="296"/>
        <v>0</v>
      </c>
      <c r="GB26" s="264">
        <f t="shared" si="297"/>
        <v>5849624</v>
      </c>
      <c r="GC26" s="264">
        <f t="shared" si="247"/>
        <v>5849624</v>
      </c>
      <c r="GD26" s="266">
        <f t="shared" si="248"/>
        <v>3775407.945174668</v>
      </c>
      <c r="GE26" s="138">
        <f t="shared" si="249"/>
        <v>0.64541036230271687</v>
      </c>
      <c r="GF26" s="267">
        <f t="shared" si="250"/>
        <v>59</v>
      </c>
      <c r="GG26" s="264">
        <f t="array" ref="GG26">IF(SUM(IF(IC$9:IC25=IC26,1,0))&gt;0,0,SUMIF($IC$10:$IC$406,IC26,$FJ$10:$FJ$406))</f>
        <v>0</v>
      </c>
      <c r="GH26" s="268">
        <f t="shared" si="251"/>
        <v>0</v>
      </c>
      <c r="GI26" s="137">
        <f t="shared" si="126"/>
        <v>17</v>
      </c>
      <c r="GJ26" s="269">
        <f t="shared" si="252"/>
        <v>5882906.3300000001</v>
      </c>
      <c r="GK26" s="269">
        <f t="shared" si="253"/>
        <v>152892852.51729038</v>
      </c>
      <c r="GL26" s="163">
        <f t="shared" si="254"/>
        <v>0</v>
      </c>
      <c r="GM26" s="137">
        <f t="array" ref="GM26">IF(GJ26=0,0,LARGE(IF($GG$10:$GG$406=GJ26,$GF$10:$GF$406,0),COUNTIF($GJ$10:$GJ$406,GJ26)-COUNTIF(GJ$9:GJ25,GJ26)))</f>
        <v>37</v>
      </c>
      <c r="GN26" s="270">
        <f t="shared" si="255"/>
        <v>0</v>
      </c>
      <c r="GP26" s="137">
        <f>IF(C26="","",IF(ISERROR(MATCH(C26,C$10:C25,0)),MAX(GP$10:GP25)+1,INDEX(GP$10:GP25,MATCH(C26,C$10:C25,0))))</f>
        <v>14</v>
      </c>
      <c r="GQ26" s="264">
        <f>IF(COUNTIF($A$10:A26,A26)&lt;=1,SUMIF($A$10:$A$406,A26,$FH$10:$FH$406),0)</f>
        <v>0</v>
      </c>
      <c r="GR26" s="137">
        <f t="shared" si="130"/>
        <v>17</v>
      </c>
      <c r="GS26" s="269">
        <f t="shared" si="256"/>
        <v>15545911.470000001</v>
      </c>
      <c r="GT26" s="269">
        <f t="shared" si="257"/>
        <v>50964284.172430128</v>
      </c>
      <c r="GU26" s="163">
        <f t="shared" si="258"/>
        <v>0</v>
      </c>
      <c r="GV26" s="137">
        <f t="array" ref="GV26">IF(GS26=0,0,LARGE(IF($GQ$10:$GQ$406=GS26,$GP$10:$GP$406,0),COUNTIF($GS$10:$GS$406,GS26)-COUNTIF(GS$9:GS25,GS26)))</f>
        <v>12</v>
      </c>
      <c r="GW26" s="270">
        <f t="shared" si="259"/>
        <v>0</v>
      </c>
      <c r="GX26" s="270"/>
      <c r="GY26" s="137">
        <f>IF(C26="","",IF(ISERROR(MATCH(C26,C$10:C25,0)),MAX(GP$10:GP25)+1,INDEX(GP$10:GP25,MATCH(C26,C$10:C25,0))))</f>
        <v>14</v>
      </c>
      <c r="GZ26" s="264">
        <f>IF(COUNTIF($A$10:A26,A26)&lt;=1,SUMIF($A$10:$A$406,A26,$FH$10:$FH$406),0)</f>
        <v>0</v>
      </c>
      <c r="HA26" s="137">
        <f t="shared" si="134"/>
        <v>17</v>
      </c>
      <c r="HB26" s="269">
        <f t="shared" si="260"/>
        <v>15545911.470000001</v>
      </c>
      <c r="HC26" s="414" t="s">
        <v>622</v>
      </c>
      <c r="HD26" s="163">
        <f t="shared" si="261"/>
        <v>0</v>
      </c>
      <c r="HE26" s="137">
        <f t="array" ref="HE26">IF(HB26=0,0,LARGE(IF($GZ$10:$GZ$406=HB26,$GY$10:$GY$406,0),COUNTIF($HB$10:$HB$406,HB26)-COUNTIF(HB$9:HB25,HB26)))</f>
        <v>12</v>
      </c>
      <c r="HF26" s="270">
        <f t="shared" si="262"/>
        <v>0</v>
      </c>
      <c r="HG26"/>
      <c r="HH26" s="268">
        <f t="shared" si="263"/>
        <v>0</v>
      </c>
      <c r="HI26" s="271">
        <v>0</v>
      </c>
      <c r="HJ26" s="264">
        <f t="shared" si="264"/>
        <v>0</v>
      </c>
      <c r="HL26" s="137">
        <f t="shared" si="265"/>
        <v>17</v>
      </c>
      <c r="HM26" s="264">
        <f t="shared" si="300"/>
        <v>3385135.1645999998</v>
      </c>
      <c r="HO26" s="199">
        <f t="shared" si="301"/>
        <v>5849624</v>
      </c>
      <c r="HP26" s="199">
        <f t="shared" si="302"/>
        <v>5849624</v>
      </c>
      <c r="HQ26" s="199" t="str">
        <f t="shared" si="303"/>
        <v/>
      </c>
      <c r="HR26" s="199" t="str">
        <f t="shared" si="304"/>
        <v/>
      </c>
      <c r="HS26" s="199" t="str">
        <f t="shared" si="119"/>
        <v/>
      </c>
      <c r="HT26" s="199" t="str">
        <f t="shared" si="305"/>
        <v/>
      </c>
      <c r="HU26" s="199" t="str">
        <f t="shared" si="306"/>
        <v/>
      </c>
      <c r="HV26" s="200">
        <f t="shared" si="307"/>
        <v>0</v>
      </c>
      <c r="HW26" s="272">
        <f t="shared" si="308"/>
        <v>1</v>
      </c>
      <c r="HX26" s="200" t="str">
        <f t="shared" si="309"/>
        <v/>
      </c>
      <c r="HY26" s="200">
        <f t="shared" si="310"/>
        <v>0</v>
      </c>
      <c r="HZ26" s="200" t="str">
        <f t="shared" si="4"/>
        <v/>
      </c>
      <c r="IA26" s="200" t="str">
        <f t="shared" si="311"/>
        <v/>
      </c>
      <c r="IB26" s="200" t="str">
        <f t="shared" si="312"/>
        <v/>
      </c>
      <c r="IC26" s="273">
        <f>IF(C26="","",INDEX(Lookups!$E$2:$E$69,MATCH('Loan List'!BE26,Lookups!$F$2:$F$69,0)))</f>
        <v>59</v>
      </c>
      <c r="ID26" t="b">
        <f t="shared" si="313"/>
        <v>1</v>
      </c>
      <c r="IF26" s="346" t="str">
        <f>IF(B26="","",IF(AND(Y26="Second Lien",OR(DA26=1,DB26=1,DC26=1)),50%,IF(DA26=1,90%,IF(DB26=1,80%,IF(DC26=1,65%,"No Initial Haircut")))))</f>
        <v>No Initial Haircut</v>
      </c>
    </row>
    <row r="27" spans="1:240">
      <c r="A27" t="s">
        <v>668</v>
      </c>
      <c r="B27" s="242">
        <f t="shared" si="149"/>
        <v>18</v>
      </c>
      <c r="C27" s="242">
        <f>IF(COUNTIF($A$10:A26,A27)&gt;0,C26,C26+1)</f>
        <v>15</v>
      </c>
      <c r="D27" s="428" t="s">
        <v>668</v>
      </c>
      <c r="E27" s="428" t="s">
        <v>667</v>
      </c>
      <c r="F27" s="429"/>
      <c r="G27" s="430">
        <v>2954760.73</v>
      </c>
      <c r="H27" s="430">
        <v>2954760.73</v>
      </c>
      <c r="I27" s="244">
        <f>IF(B27="","",VLOOKUP(BF27,Inputs!$A$12:$J$15,10,FALSE))</f>
        <v>1</v>
      </c>
      <c r="J27" s="245">
        <f t="shared" si="5"/>
        <v>2954760.73</v>
      </c>
      <c r="K27" s="245">
        <f t="shared" si="6"/>
        <v>2954760.73</v>
      </c>
      <c r="L27" s="245">
        <f t="shared" si="7"/>
        <v>2954760.73</v>
      </c>
      <c r="M27" s="245">
        <f t="shared" si="8"/>
        <v>2954760.73</v>
      </c>
      <c r="N27" s="246" t="s">
        <v>246</v>
      </c>
      <c r="O27" s="246" t="s">
        <v>245</v>
      </c>
      <c r="P27" s="247">
        <f>IF(B27="","",IF(OR(O27="N/A",O27=""),0,YEARFRAC('Borrowing Base'!$J$4,'Loan List'!O27)*12))</f>
        <v>0</v>
      </c>
      <c r="Q27" s="246" t="s">
        <v>246</v>
      </c>
      <c r="R27" s="248">
        <v>0.98838429375329684</v>
      </c>
      <c r="S27" s="249" t="str">
        <f t="shared" si="1"/>
        <v>No</v>
      </c>
      <c r="T27" s="248">
        <v>1</v>
      </c>
      <c r="U27" s="250">
        <f t="shared" si="9"/>
        <v>0.5</v>
      </c>
      <c r="V27" s="250">
        <f t="shared" si="10"/>
        <v>0.72499999999999998</v>
      </c>
      <c r="W27" s="251">
        <f t="shared" si="11"/>
        <v>2954760.73</v>
      </c>
      <c r="X27" s="246" t="s">
        <v>246</v>
      </c>
      <c r="Y27" s="252" t="s">
        <v>483</v>
      </c>
      <c r="Z27" s="252" t="s">
        <v>484</v>
      </c>
      <c r="AA27" s="253" t="s">
        <v>407</v>
      </c>
      <c r="AB27" s="253" t="s">
        <v>713</v>
      </c>
      <c r="AC27" s="254">
        <v>0.93017377567140602</v>
      </c>
      <c r="AD27" s="254">
        <v>0.96589718532754443</v>
      </c>
      <c r="AE27" s="254">
        <v>2.0839723043394098</v>
      </c>
      <c r="AF27" s="255">
        <v>0.26661655559369785</v>
      </c>
      <c r="AG27" s="256">
        <v>4.1373071271124173</v>
      </c>
      <c r="AH27" s="256">
        <v>4.1373071271124173</v>
      </c>
      <c r="AI27" s="256">
        <v>3.9429104849775691</v>
      </c>
      <c r="AJ27" s="256">
        <v>3.9429104849775691</v>
      </c>
      <c r="AK27" s="257">
        <v>10888000</v>
      </c>
      <c r="AL27" s="257">
        <v>14539722.679077292</v>
      </c>
      <c r="AM27" s="258">
        <v>45808</v>
      </c>
      <c r="AN27" s="245" t="str">
        <f t="shared" si="12"/>
        <v>Tier 3</v>
      </c>
      <c r="AO27" s="243">
        <v>47807</v>
      </c>
      <c r="AP27" s="259">
        <f>IF(C27="","",DAYS360(Inputs!$J$8,AO27)/360)</f>
        <v>5.2388888888888889</v>
      </c>
      <c r="AQ27" s="259">
        <f t="shared" si="13"/>
        <v>5.2388888888888889</v>
      </c>
      <c r="AR27" s="246" t="s">
        <v>246</v>
      </c>
      <c r="AS27" s="248">
        <v>0</v>
      </c>
      <c r="AT27" s="246" t="s">
        <v>64</v>
      </c>
      <c r="AU27" s="248">
        <v>0.01</v>
      </c>
      <c r="AV27" s="248">
        <v>4.4999999999999998E-2</v>
      </c>
      <c r="AW27" s="248">
        <v>4.2956000000000008E-2</v>
      </c>
      <c r="AX27" s="260">
        <f t="shared" si="14"/>
        <v>4.2956000000000008E-2</v>
      </c>
      <c r="AY27" s="248">
        <v>0</v>
      </c>
      <c r="AZ27" s="248">
        <v>0</v>
      </c>
      <c r="BA27" s="248">
        <v>0</v>
      </c>
      <c r="BB27" s="407">
        <f t="shared" si="15"/>
        <v>4.4999999999999998E-2</v>
      </c>
      <c r="BC27" s="407" t="str">
        <f t="shared" si="16"/>
        <v/>
      </c>
      <c r="BD27" s="252" t="s">
        <v>247</v>
      </c>
      <c r="BE27" s="261" t="s">
        <v>455</v>
      </c>
      <c r="BF27" s="252" t="s">
        <v>7</v>
      </c>
      <c r="BG27" s="252" t="s">
        <v>460</v>
      </c>
      <c r="BH27" s="246" t="s">
        <v>246</v>
      </c>
      <c r="BI27" s="408" t="str">
        <f t="shared" si="17"/>
        <v>No</v>
      </c>
      <c r="BJ27" s="408" t="str">
        <f t="shared" si="18"/>
        <v>No</v>
      </c>
      <c r="BK27" s="246" t="s">
        <v>246</v>
      </c>
      <c r="BL27" s="246" t="s">
        <v>246</v>
      </c>
      <c r="BM27" s="246" t="s">
        <v>246</v>
      </c>
      <c r="BN27" s="246" t="s">
        <v>246</v>
      </c>
      <c r="BO27" s="246" t="s">
        <v>246</v>
      </c>
      <c r="BP27" s="246" t="s">
        <v>246</v>
      </c>
      <c r="BQ27" s="246" t="s">
        <v>246</v>
      </c>
      <c r="BR27" s="246" t="s">
        <v>246</v>
      </c>
      <c r="BS27" s="246" t="s">
        <v>246</v>
      </c>
      <c r="BT27" s="246" t="s">
        <v>246</v>
      </c>
      <c r="BU27" s="246" t="s">
        <v>246</v>
      </c>
      <c r="BV27" s="246" t="s">
        <v>246</v>
      </c>
      <c r="BW27" s="246" t="s">
        <v>246</v>
      </c>
      <c r="BX27" s="246" t="s">
        <v>246</v>
      </c>
      <c r="BY27" s="246" t="s">
        <v>246</v>
      </c>
      <c r="BZ27" s="246" t="s">
        <v>246</v>
      </c>
      <c r="CA27" s="246" t="s">
        <v>246</v>
      </c>
      <c r="CB27" s="246" t="s">
        <v>64</v>
      </c>
      <c r="CC27" s="262">
        <f t="shared" si="19"/>
        <v>132177.08459152802</v>
      </c>
      <c r="CD27" s="262">
        <f t="shared" si="20"/>
        <v>0</v>
      </c>
      <c r="CE27" s="263"/>
      <c r="CF27" s="263">
        <f t="shared" si="150"/>
        <v>0</v>
      </c>
      <c r="CG27" s="263">
        <f t="shared" si="151"/>
        <v>0</v>
      </c>
      <c r="CH27" s="263">
        <f t="shared" si="152"/>
        <v>0</v>
      </c>
      <c r="CI27" s="263">
        <f t="shared" si="153"/>
        <v>0</v>
      </c>
      <c r="CJ27" s="263">
        <f t="shared" si="154"/>
        <v>0</v>
      </c>
      <c r="CK27" s="263">
        <f t="shared" si="155"/>
        <v>0</v>
      </c>
      <c r="CL27" s="263">
        <f t="shared" si="156"/>
        <v>0</v>
      </c>
      <c r="CM27" s="263">
        <f t="shared" si="157"/>
        <v>0</v>
      </c>
      <c r="CN27" s="263">
        <f t="shared" si="158"/>
        <v>0</v>
      </c>
      <c r="CO27" s="263">
        <f t="shared" si="159"/>
        <v>0</v>
      </c>
      <c r="CP27" s="263">
        <f t="shared" si="160"/>
        <v>0</v>
      </c>
      <c r="CQ27" s="263">
        <f t="shared" si="161"/>
        <v>0</v>
      </c>
      <c r="CR27" s="263">
        <f t="shared" si="162"/>
        <v>0</v>
      </c>
      <c r="CS27" s="263">
        <f t="shared" si="163"/>
        <v>0</v>
      </c>
      <c r="CT27" s="263">
        <f t="shared" si="164"/>
        <v>0</v>
      </c>
      <c r="CU27" s="263">
        <f t="shared" si="165"/>
        <v>0</v>
      </c>
      <c r="CV27" s="263">
        <f t="shared" si="166"/>
        <v>0</v>
      </c>
      <c r="CW27" s="263">
        <f t="shared" si="167"/>
        <v>0</v>
      </c>
      <c r="CX27" s="263">
        <f t="shared" si="168"/>
        <v>0</v>
      </c>
      <c r="CY27" s="263">
        <f t="shared" si="169"/>
        <v>0</v>
      </c>
      <c r="CZ27" s="263">
        <f t="shared" si="170"/>
        <v>0</v>
      </c>
      <c r="DA27" s="263">
        <f t="shared" si="171"/>
        <v>0</v>
      </c>
      <c r="DB27" s="263">
        <f t="shared" si="172"/>
        <v>0</v>
      </c>
      <c r="DC27" s="263">
        <f t="shared" si="173"/>
        <v>0</v>
      </c>
      <c r="DD27" s="263">
        <f t="shared" si="174"/>
        <v>0</v>
      </c>
      <c r="DE27" s="263">
        <f t="shared" si="175"/>
        <v>0</v>
      </c>
      <c r="DF27" s="263">
        <f t="shared" si="176"/>
        <v>2954760.73</v>
      </c>
      <c r="DG27" s="263">
        <f t="shared" si="177"/>
        <v>0</v>
      </c>
      <c r="DH27" s="263">
        <f t="shared" si="178"/>
        <v>2954760.73</v>
      </c>
      <c r="DI27" s="263">
        <f t="shared" si="179"/>
        <v>2954760.73</v>
      </c>
      <c r="DJ27" s="263">
        <f t="shared" si="180"/>
        <v>0</v>
      </c>
      <c r="DK27" s="263">
        <f t="shared" si="181"/>
        <v>0</v>
      </c>
      <c r="DL27" s="263">
        <f t="shared" si="182"/>
        <v>0</v>
      </c>
      <c r="DM27" s="263">
        <f t="shared" si="183"/>
        <v>0</v>
      </c>
      <c r="DO27" s="264">
        <f t="shared" si="184"/>
        <v>0</v>
      </c>
      <c r="DP27" s="265">
        <f t="shared" si="185"/>
        <v>0</v>
      </c>
      <c r="DQ27" s="264">
        <f t="shared" si="186"/>
        <v>2954760.73</v>
      </c>
      <c r="DR27" s="264">
        <f t="shared" si="187"/>
        <v>0</v>
      </c>
      <c r="DS27" s="265">
        <f t="shared" si="188"/>
        <v>0</v>
      </c>
      <c r="DT27" s="264">
        <f t="shared" si="189"/>
        <v>2954760.73</v>
      </c>
      <c r="DU27" s="264">
        <f t="shared" si="190"/>
        <v>0</v>
      </c>
      <c r="DV27" s="265">
        <f t="shared" si="191"/>
        <v>0</v>
      </c>
      <c r="DW27" s="264">
        <f t="shared" si="192"/>
        <v>2954760.73</v>
      </c>
      <c r="DX27" s="264">
        <f t="shared" si="193"/>
        <v>0</v>
      </c>
      <c r="DY27" s="265">
        <f t="shared" si="194"/>
        <v>0</v>
      </c>
      <c r="DZ27" s="264">
        <f t="shared" si="195"/>
        <v>2954760.73</v>
      </c>
      <c r="EA27" s="264">
        <f t="shared" si="196"/>
        <v>0</v>
      </c>
      <c r="EB27" s="265">
        <f t="shared" si="197"/>
        <v>0</v>
      </c>
      <c r="EC27" s="264">
        <f t="shared" si="198"/>
        <v>2954760.73</v>
      </c>
      <c r="ED27" s="264">
        <f t="shared" si="199"/>
        <v>0</v>
      </c>
      <c r="EE27" s="265">
        <f t="shared" si="200"/>
        <v>0</v>
      </c>
      <c r="EF27" s="264">
        <f t="shared" si="201"/>
        <v>2954760.73</v>
      </c>
      <c r="EG27" s="264">
        <f t="shared" si="202"/>
        <v>0</v>
      </c>
      <c r="EH27" s="265">
        <f t="shared" si="203"/>
        <v>0</v>
      </c>
      <c r="EI27" s="264">
        <f t="shared" si="204"/>
        <v>2954760.73</v>
      </c>
      <c r="EJ27" s="264">
        <f t="shared" si="205"/>
        <v>0</v>
      </c>
      <c r="EK27" s="265">
        <f t="shared" si="206"/>
        <v>0</v>
      </c>
      <c r="EL27" s="264">
        <f t="shared" si="207"/>
        <v>2954760.73</v>
      </c>
      <c r="EM27" s="264">
        <f t="shared" si="208"/>
        <v>0</v>
      </c>
      <c r="EN27" s="265">
        <f t="shared" si="209"/>
        <v>0</v>
      </c>
      <c r="EO27" s="264">
        <f t="shared" si="210"/>
        <v>2954760.73</v>
      </c>
      <c r="EP27" s="264">
        <f t="shared" si="211"/>
        <v>0</v>
      </c>
      <c r="EQ27" s="265">
        <f t="shared" si="212"/>
        <v>0</v>
      </c>
      <c r="ER27" s="264">
        <f t="shared" si="213"/>
        <v>2954760.73</v>
      </c>
      <c r="ES27" s="264">
        <f t="shared" si="214"/>
        <v>0</v>
      </c>
      <c r="ET27" s="265">
        <f t="shared" si="215"/>
        <v>0</v>
      </c>
      <c r="EU27" s="264">
        <f t="shared" si="216"/>
        <v>2954760.73</v>
      </c>
      <c r="EV27" s="264">
        <f>IF(AND(BM27="Yes",OR(BN27="No",AND(BN27="Yes",Inputs!$J$8=Inputs!$J$17+75))),EU27,0)</f>
        <v>0</v>
      </c>
      <c r="EW27" s="265">
        <f t="shared" si="217"/>
        <v>0</v>
      </c>
      <c r="EX27" s="264">
        <f t="shared" si="218"/>
        <v>2954760.73</v>
      </c>
      <c r="EY27" s="264">
        <f t="shared" si="219"/>
        <v>0</v>
      </c>
      <c r="EZ27" s="265">
        <f t="shared" si="220"/>
        <v>0</v>
      </c>
      <c r="FA27" s="264">
        <f t="shared" si="221"/>
        <v>2954760.73</v>
      </c>
      <c r="FB27" s="264">
        <f t="shared" si="222"/>
        <v>0</v>
      </c>
      <c r="FC27" s="265">
        <f t="shared" si="223"/>
        <v>0</v>
      </c>
      <c r="FD27" s="264">
        <f t="shared" si="224"/>
        <v>2954760.73</v>
      </c>
      <c r="FE27" s="264">
        <f t="shared" si="225"/>
        <v>0</v>
      </c>
      <c r="FF27" s="265">
        <f t="shared" si="226"/>
        <v>0</v>
      </c>
      <c r="FG27" s="264">
        <f t="shared" si="227"/>
        <v>2954760.73</v>
      </c>
      <c r="FH27" s="264">
        <f t="shared" si="228"/>
        <v>2954760.73</v>
      </c>
      <c r="FI27" s="264">
        <f t="shared" si="229"/>
        <v>0</v>
      </c>
      <c r="FJ27" s="264">
        <f t="shared" si="230"/>
        <v>2954760.73</v>
      </c>
      <c r="FK27" s="264">
        <f t="shared" si="231"/>
        <v>2954760.73</v>
      </c>
      <c r="FL27" s="264">
        <f t="shared" si="232"/>
        <v>0</v>
      </c>
      <c r="FM27" s="264">
        <f t="shared" si="233"/>
        <v>2954760.73</v>
      </c>
      <c r="FN27" s="264">
        <f t="shared" si="234"/>
        <v>2954760.73</v>
      </c>
      <c r="FO27" s="264">
        <f t="shared" si="235"/>
        <v>0</v>
      </c>
      <c r="FP27" s="264">
        <f t="shared" si="236"/>
        <v>2954760.73</v>
      </c>
      <c r="FQ27" s="264">
        <f t="shared" si="237"/>
        <v>0</v>
      </c>
      <c r="FR27" s="265">
        <f t="shared" si="238"/>
        <v>0</v>
      </c>
      <c r="FS27" s="264">
        <f t="shared" si="239"/>
        <v>2954760.73</v>
      </c>
      <c r="FT27" s="264">
        <f t="shared" si="240"/>
        <v>2954760.73</v>
      </c>
      <c r="FU27" s="265">
        <f t="shared" si="241"/>
        <v>0</v>
      </c>
      <c r="FV27" s="264">
        <f t="shared" si="242"/>
        <v>2954760.73</v>
      </c>
      <c r="FW27" s="264">
        <f t="shared" si="243"/>
        <v>2954760.73</v>
      </c>
      <c r="FX27" s="264">
        <f t="shared" si="244"/>
        <v>0</v>
      </c>
      <c r="FY27" s="264">
        <f t="shared" si="245"/>
        <v>0</v>
      </c>
      <c r="FZ27" s="264">
        <f t="shared" si="246"/>
        <v>2954760.73</v>
      </c>
      <c r="GA27" s="265">
        <f t="shared" si="296"/>
        <v>13238.642610206651</v>
      </c>
      <c r="GB27" s="264">
        <f t="shared" si="297"/>
        <v>2941522.0873897932</v>
      </c>
      <c r="GC27" s="264">
        <f t="shared" si="247"/>
        <v>2941522.0873897932</v>
      </c>
      <c r="GD27" s="266">
        <f t="shared" si="248"/>
        <v>2132603.5133576002</v>
      </c>
      <c r="GE27" s="138">
        <f t="shared" si="249"/>
        <v>0.72175167745565649</v>
      </c>
      <c r="GF27" s="267">
        <f t="shared" si="250"/>
        <v>55</v>
      </c>
      <c r="GG27" s="264">
        <f t="array" ref="GG27">IF(SUM(IF(IC$9:IC26=IC27,1,0))&gt;0,0,SUMIF($IC$10:$IC$406,IC27,$FJ$10:$FJ$406))</f>
        <v>66360671.208000004</v>
      </c>
      <c r="GH27" s="268">
        <f t="shared" si="251"/>
        <v>66360671.208000004</v>
      </c>
      <c r="GI27" s="137">
        <f t="shared" si="126"/>
        <v>18</v>
      </c>
      <c r="GJ27" s="269">
        <f t="shared" si="252"/>
        <v>5043516.63</v>
      </c>
      <c r="GK27" s="269">
        <f t="shared" si="253"/>
        <v>152892852.51729038</v>
      </c>
      <c r="GL27" s="163">
        <f t="shared" si="254"/>
        <v>0</v>
      </c>
      <c r="GM27" s="137">
        <f t="array" ref="GM27">IF(GJ27=0,0,LARGE(IF($GG$10:$GG$406=GJ27,$GF$10:$GF$406,0),COUNTIF($GJ$10:$GJ$406,GJ27)-COUNTIF(GJ$9:GJ26,GJ27)))</f>
        <v>47</v>
      </c>
      <c r="GN27" s="270">
        <f t="shared" si="255"/>
        <v>0</v>
      </c>
      <c r="GP27" s="137">
        <f>IF(C27="","",IF(ISERROR(MATCH(C27,C$10:C26,0)),MAX(GP$10:GP26)+1,INDEX(GP$10:GP26,MATCH(C27,C$10:C26,0))))</f>
        <v>15</v>
      </c>
      <c r="GQ27" s="264">
        <f>IF(COUNTIF($A$10:A27,A27)&lt;=1,SUMIF($A$10:$A$406,A27,$FH$10:$FH$406),0)</f>
        <v>2954760.73</v>
      </c>
      <c r="GR27" s="137">
        <f t="shared" si="130"/>
        <v>18</v>
      </c>
      <c r="GS27" s="269">
        <f t="shared" si="256"/>
        <v>13889257.298902601</v>
      </c>
      <c r="GT27" s="269">
        <f t="shared" si="257"/>
        <v>50964284.172430128</v>
      </c>
      <c r="GU27" s="163">
        <f t="shared" si="258"/>
        <v>0</v>
      </c>
      <c r="GV27" s="137">
        <f t="array" ref="GV27">IF(GS27=0,0,LARGE(IF($GQ$10:$GQ$406=GS27,$GP$10:$GP$406,0),COUNTIF($GS$10:$GS$406,GS27)-COUNTIF(GS$9:GS26,GS27)))</f>
        <v>63</v>
      </c>
      <c r="GW27" s="270">
        <f t="shared" si="259"/>
        <v>0</v>
      </c>
      <c r="GX27" s="270"/>
      <c r="GY27" s="137">
        <f>IF(C27="","",IF(ISERROR(MATCH(C27,C$10:C26,0)),MAX(GP$10:GP26)+1,INDEX(GP$10:GP26,MATCH(C27,C$10:C26,0))))</f>
        <v>15</v>
      </c>
      <c r="GZ27" s="264">
        <f>IF(COUNTIF($A$10:A27,A27)&lt;=1,SUMIF($A$10:$A$406,A27,$FH$10:$FH$406),0)</f>
        <v>2954760.73</v>
      </c>
      <c r="HA27" s="137">
        <f t="shared" si="134"/>
        <v>18</v>
      </c>
      <c r="HB27" s="269">
        <f t="shared" si="260"/>
        <v>13889257.298902601</v>
      </c>
      <c r="HC27" s="414" t="s">
        <v>622</v>
      </c>
      <c r="HD27" s="163">
        <f t="shared" si="261"/>
        <v>0</v>
      </c>
      <c r="HE27" s="137">
        <f t="array" ref="HE27">IF(HB27=0,0,LARGE(IF($GZ$10:$GZ$406=HB27,$GY$10:$GY$406,0),COUNTIF($HB$10:$HB$406,HB27)-COUNTIF(HB$9:HB26,HB27)))</f>
        <v>63</v>
      </c>
      <c r="HF27" s="270">
        <f t="shared" si="262"/>
        <v>0</v>
      </c>
      <c r="HG27"/>
      <c r="HH27" s="268">
        <f t="shared" si="263"/>
        <v>13238.642610206734</v>
      </c>
      <c r="HI27" s="271">
        <v>0</v>
      </c>
      <c r="HJ27" s="264">
        <f t="shared" si="264"/>
        <v>0</v>
      </c>
      <c r="HL27" s="137">
        <f t="shared" si="265"/>
        <v>18</v>
      </c>
      <c r="HM27" s="264">
        <f t="shared" si="300"/>
        <v>5882906.3300000001</v>
      </c>
      <c r="HO27" s="199">
        <f t="shared" si="301"/>
        <v>2954760.73</v>
      </c>
      <c r="HP27" s="199">
        <f t="shared" si="302"/>
        <v>2954760.73</v>
      </c>
      <c r="HQ27" s="199" t="str">
        <f t="shared" si="303"/>
        <v/>
      </c>
      <c r="HR27" s="199" t="str">
        <f t="shared" si="304"/>
        <v/>
      </c>
      <c r="HS27" s="199" t="str">
        <f t="shared" si="119"/>
        <v/>
      </c>
      <c r="HT27" s="199" t="str">
        <f t="shared" si="305"/>
        <v/>
      </c>
      <c r="HU27" s="199" t="str">
        <f t="shared" si="306"/>
        <v/>
      </c>
      <c r="HV27" s="200">
        <f t="shared" si="307"/>
        <v>0</v>
      </c>
      <c r="HW27" s="272">
        <f t="shared" si="308"/>
        <v>1</v>
      </c>
      <c r="HX27" s="200" t="str">
        <f t="shared" si="309"/>
        <v/>
      </c>
      <c r="HY27" s="200">
        <f t="shared" si="310"/>
        <v>0</v>
      </c>
      <c r="HZ27" s="200" t="str">
        <f t="shared" si="4"/>
        <v/>
      </c>
      <c r="IA27" s="200" t="str">
        <f t="shared" si="311"/>
        <v/>
      </c>
      <c r="IB27" s="200" t="str">
        <f t="shared" si="312"/>
        <v/>
      </c>
      <c r="IC27" s="273">
        <f>IF(C27="","",INDEX(Lookups!$E$2:$E$69,MATCH('Loan List'!BE27,Lookups!$F$2:$F$69,0)))</f>
        <v>55</v>
      </c>
      <c r="ID27" t="b">
        <f t="shared" si="313"/>
        <v>1</v>
      </c>
      <c r="IF27" s="346" t="str">
        <f t="shared" si="121"/>
        <v>No Initial Haircut</v>
      </c>
    </row>
    <row r="28" spans="1:240">
      <c r="A28" t="s">
        <v>727</v>
      </c>
      <c r="B28" s="242">
        <f t="shared" si="149"/>
        <v>19</v>
      </c>
      <c r="C28" s="242">
        <f>IF(COUNTIF($A$10:A27,A28)&gt;0,C27,C27+1)</f>
        <v>16</v>
      </c>
      <c r="D28" s="428" t="s">
        <v>727</v>
      </c>
      <c r="E28" s="428" t="s">
        <v>808</v>
      </c>
      <c r="F28" s="429"/>
      <c r="G28" s="430">
        <v>5000000</v>
      </c>
      <c r="H28" s="430">
        <v>5000000</v>
      </c>
      <c r="I28" s="244">
        <f>IF(B28="","",VLOOKUP(BF28,Inputs!$A$12:$J$15,10,FALSE))</f>
        <v>1</v>
      </c>
      <c r="J28" s="245">
        <f t="shared" ref="J28" si="331">IF(B28="","",G28*I28)</f>
        <v>5000000</v>
      </c>
      <c r="K28" s="245">
        <f t="shared" ref="K28" si="332">IF(B28="","",H28*I28)</f>
        <v>5000000</v>
      </c>
      <c r="L28" s="245">
        <f t="shared" ref="L28" si="333">IF(B28="","",IF(COUNTIF($CF28:$CY28,1)&gt;0,0,J28))</f>
        <v>5000000</v>
      </c>
      <c r="M28" s="245">
        <f t="shared" ref="M28" si="334">IF(B28="","",IF(COUNTIF($CF28:$CY28,1)&gt;0,0,K28))</f>
        <v>5000000</v>
      </c>
      <c r="N28" s="246" t="s">
        <v>246</v>
      </c>
      <c r="O28" s="246" t="s">
        <v>245</v>
      </c>
      <c r="P28" s="247">
        <f>IF(B28="","",IF(OR(O28="N/A",O28=""),0,YEARFRAC('Borrowing Base'!$J$4,'Loan List'!O28)*12))</f>
        <v>0</v>
      </c>
      <c r="Q28" s="246" t="s">
        <v>246</v>
      </c>
      <c r="R28" s="248">
        <v>0.99</v>
      </c>
      <c r="S28" s="249" t="str">
        <f t="shared" ref="S28" si="335">IF(B28="","",IF(R28&lt;95%,"Yes","No"))</f>
        <v>No</v>
      </c>
      <c r="T28" s="248">
        <v>0.99</v>
      </c>
      <c r="U28" s="250">
        <f t="shared" ref="U28" si="336">IF(B28="","",IF(OR(Y28="First Lien",Y28="Split First Lien",Y28="Tier 1 Split Lien",Y28="Tier 2 Split Lien"),50%,30%))</f>
        <v>0.5</v>
      </c>
      <c r="V28" s="250">
        <f t="shared" ref="V28" si="337">IF(B28="",0,IF(AND(Y28="First Lien",AN28="Tier 1"),IF(AND(X28="Yes",MIN(AH28,$AJ$5)&gt;4.5),(((4.5/MIN(AH28,$AJ$5))*72.5%)+(((MIN(AH28,$AJ$5)-4.5)/MIN(AH28,$AJ$5))*35%)),72.5%),IF(AND(Y28="First Lien",AN28="Tier 2"),IF(AND(X28="Yes",MIN(AH28,$AK$5)&gt;4.5),(((4.5/MIN(AH28,$AK$5))*72.5%)+(((MIN(AH28,$AK$5)-4.5)/MIN(AH28,$AK$5))*35%)),72.5%),IF(AND(X28="Yes",MIN(AH28,$AL$5)&gt;4),(((4/MIN(AH28,$AL$5))*72.5%)+(((MIN(AH28,$AL$5)-4)/MIN(AH28,$AL$5))*35%)),IF(OR(Y28="First Lien",Y28="Split First Lien"),72.5%,IF(Y28="Split Lien", 53%,35%))))))</f>
        <v>0.72499999999999998</v>
      </c>
      <c r="W28" s="251">
        <f t="shared" si="11"/>
        <v>4500000</v>
      </c>
      <c r="X28" s="246" t="s">
        <v>246</v>
      </c>
      <c r="Y28" s="252" t="s">
        <v>483</v>
      </c>
      <c r="Z28" s="252" t="s">
        <v>540</v>
      </c>
      <c r="AA28" s="253" t="s">
        <v>407</v>
      </c>
      <c r="AB28" s="253" t="s">
        <v>713</v>
      </c>
      <c r="AC28" s="254">
        <v>1.5046521517030358</v>
      </c>
      <c r="AD28" s="254">
        <v>1.5046521517030358</v>
      </c>
      <c r="AE28" s="254">
        <v>2.23</v>
      </c>
      <c r="AF28" s="255">
        <v>0.37781629116117849</v>
      </c>
      <c r="AG28" s="256">
        <v>4.7702407002188183</v>
      </c>
      <c r="AH28" s="256">
        <v>4.7702407002188183</v>
      </c>
      <c r="AI28" s="256">
        <v>4.7702407002188183</v>
      </c>
      <c r="AJ28" s="256">
        <v>4.7702407002188183</v>
      </c>
      <c r="AK28" s="257">
        <v>45700000</v>
      </c>
      <c r="AL28" s="257">
        <v>45700000</v>
      </c>
      <c r="AM28" s="258">
        <v>45838</v>
      </c>
      <c r="AN28" s="245" t="str">
        <f t="shared" ref="AN28" si="338">IF(C28="","",(IF(AK28&gt;=50000000,"Tier 1",(IF(OR(AK28&gt;=20000000,AND(AK28&gt;5000000,AC28&gt;=1.25,AF28&lt;=0.65)),"Tier 2","Tier 3")))))</f>
        <v>Tier 2</v>
      </c>
      <c r="AO28" s="243">
        <v>47869</v>
      </c>
      <c r="AP28" s="259">
        <f>IF(C28="","",DAYS360(Inputs!$J$8,AO28)/360)</f>
        <v>5.4083333333333332</v>
      </c>
      <c r="AQ28" s="259">
        <f t="shared" ref="AQ28" si="339">IF(C28="","",AP28)</f>
        <v>5.4083333333333332</v>
      </c>
      <c r="AR28" s="246" t="s">
        <v>246</v>
      </c>
      <c r="AS28" s="248">
        <v>0</v>
      </c>
      <c r="AT28" s="246" t="s">
        <v>64</v>
      </c>
      <c r="AU28" s="248">
        <v>0.01</v>
      </c>
      <c r="AV28" s="248">
        <v>4.4999999999999998E-2</v>
      </c>
      <c r="AW28" s="248">
        <v>4.2956000000000008E-2</v>
      </c>
      <c r="AX28" s="260">
        <f t="shared" ref="AX28" si="340">IF(C28="","",MAX(AU28,AW28))</f>
        <v>4.2956000000000008E-2</v>
      </c>
      <c r="AY28" s="248">
        <v>0</v>
      </c>
      <c r="AZ28" s="248">
        <v>0</v>
      </c>
      <c r="BA28" s="248">
        <v>0</v>
      </c>
      <c r="BB28" s="407">
        <f t="shared" ref="BB28" si="341">IF(B28="","",IF(AR28="No",AV28-AZ28,""))</f>
        <v>4.4999999999999998E-2</v>
      </c>
      <c r="BC28" s="407" t="str">
        <f t="shared" ref="BC28" si="342">IF(B28="","",IF(AR28="Yes",AS28-BA28,""))</f>
        <v/>
      </c>
      <c r="BD28" s="252" t="s">
        <v>247</v>
      </c>
      <c r="BE28" s="261" t="s">
        <v>408</v>
      </c>
      <c r="BF28" s="252" t="s">
        <v>7</v>
      </c>
      <c r="BG28" s="252" t="s">
        <v>460</v>
      </c>
      <c r="BH28" s="246" t="s">
        <v>246</v>
      </c>
      <c r="BI28" s="408" t="str">
        <f t="shared" ref="BI28" si="343">IF(B28="","",IF(OR(AND(AZ28&gt;0,BB28&gt;=2.5%,BB28&lt;4%),AND(BA28&gt;0,BC28&gt;=6%,BC28&lt;8%)),"Yes","No"))</f>
        <v>No</v>
      </c>
      <c r="BJ28" s="408" t="str">
        <f t="shared" ref="BJ28" si="344">IF(B28="","",IF(OR(AND(AZ28&gt;0,BB28&lt;2.5%),AND(BA28&gt;0,BC28&lt;6%)),"Yes","No"))</f>
        <v>No</v>
      </c>
      <c r="BK28" s="246" t="s">
        <v>246</v>
      </c>
      <c r="BL28" s="246" t="s">
        <v>246</v>
      </c>
      <c r="BM28" s="246" t="s">
        <v>246</v>
      </c>
      <c r="BN28" s="246" t="s">
        <v>246</v>
      </c>
      <c r="BO28" s="246" t="s">
        <v>246</v>
      </c>
      <c r="BP28" s="246" t="s">
        <v>246</v>
      </c>
      <c r="BQ28" s="246" t="s">
        <v>246</v>
      </c>
      <c r="BR28" s="246" t="s">
        <v>246</v>
      </c>
      <c r="BS28" s="246" t="s">
        <v>246</v>
      </c>
      <c r="BT28" s="246" t="s">
        <v>246</v>
      </c>
      <c r="BU28" s="246" t="s">
        <v>246</v>
      </c>
      <c r="BV28" s="246" t="s">
        <v>246</v>
      </c>
      <c r="BW28" s="246" t="s">
        <v>246</v>
      </c>
      <c r="BX28" s="246" t="s">
        <v>246</v>
      </c>
      <c r="BY28" s="246" t="s">
        <v>246</v>
      </c>
      <c r="BZ28" s="246" t="s">
        <v>246</v>
      </c>
      <c r="CA28" s="246" t="s">
        <v>246</v>
      </c>
      <c r="CB28" s="246" t="s">
        <v>64</v>
      </c>
      <c r="CC28" s="262">
        <f t="shared" ref="CC28" si="345">IF(B28="","",IF(AT28="No",((BB28+AW28)-$AZ$4),((BB28+AX28)-$AZ$4))*IF(DE28&gt;0,0,M28))</f>
        <v>223668.00000000003</v>
      </c>
      <c r="CD28" s="262">
        <f t="shared" ref="CD28" si="346">IF(B28="","",AY28*(L28-M28)*IF(DE28&gt;0,0,1))</f>
        <v>0</v>
      </c>
      <c r="CE28" s="263"/>
      <c r="CF28" s="263">
        <f t="shared" si="150"/>
        <v>0</v>
      </c>
      <c r="CG28" s="263">
        <f t="shared" si="151"/>
        <v>0</v>
      </c>
      <c r="CH28" s="263">
        <f t="shared" si="152"/>
        <v>0</v>
      </c>
      <c r="CI28" s="263">
        <f t="shared" si="153"/>
        <v>0</v>
      </c>
      <c r="CJ28" s="263">
        <f t="shared" si="154"/>
        <v>0</v>
      </c>
      <c r="CK28" s="263">
        <f t="shared" si="155"/>
        <v>0</v>
      </c>
      <c r="CL28" s="263">
        <f t="shared" si="156"/>
        <v>0</v>
      </c>
      <c r="CM28" s="263">
        <f t="shared" si="157"/>
        <v>0</v>
      </c>
      <c r="CN28" s="263">
        <f t="shared" si="158"/>
        <v>0</v>
      </c>
      <c r="CO28" s="263">
        <f t="shared" si="159"/>
        <v>0</v>
      </c>
      <c r="CP28" s="263">
        <f t="shared" si="160"/>
        <v>0</v>
      </c>
      <c r="CQ28" s="263">
        <f t="shared" si="161"/>
        <v>0</v>
      </c>
      <c r="CR28" s="263">
        <f t="shared" si="162"/>
        <v>0</v>
      </c>
      <c r="CS28" s="263">
        <f t="shared" si="163"/>
        <v>0</v>
      </c>
      <c r="CT28" s="263">
        <f t="shared" si="164"/>
        <v>0</v>
      </c>
      <c r="CU28" s="263">
        <f t="shared" si="165"/>
        <v>0</v>
      </c>
      <c r="CV28" s="263">
        <f t="shared" si="166"/>
        <v>0</v>
      </c>
      <c r="CW28" s="263">
        <f t="shared" si="167"/>
        <v>0</v>
      </c>
      <c r="CX28" s="263">
        <f t="shared" si="168"/>
        <v>0</v>
      </c>
      <c r="CY28" s="263">
        <f t="shared" si="169"/>
        <v>0</v>
      </c>
      <c r="CZ28" s="263">
        <f t="shared" si="170"/>
        <v>0</v>
      </c>
      <c r="DA28" s="263">
        <f t="shared" si="171"/>
        <v>1</v>
      </c>
      <c r="DB28" s="263">
        <f t="shared" si="172"/>
        <v>0</v>
      </c>
      <c r="DC28" s="263">
        <f t="shared" si="173"/>
        <v>0</v>
      </c>
      <c r="DD28" s="263">
        <f t="shared" si="174"/>
        <v>0</v>
      </c>
      <c r="DE28" s="263">
        <f t="shared" si="175"/>
        <v>0</v>
      </c>
      <c r="DF28" s="263">
        <f t="shared" si="176"/>
        <v>4500000</v>
      </c>
      <c r="DG28" s="263">
        <f t="shared" si="177"/>
        <v>0</v>
      </c>
      <c r="DH28" s="263">
        <f t="shared" si="178"/>
        <v>4500000</v>
      </c>
      <c r="DI28" s="263">
        <f t="shared" si="179"/>
        <v>5000000</v>
      </c>
      <c r="DJ28" s="263">
        <f t="shared" si="180"/>
        <v>0</v>
      </c>
      <c r="DK28" s="263">
        <f t="shared" si="181"/>
        <v>0</v>
      </c>
      <c r="DL28" s="263">
        <f t="shared" si="182"/>
        <v>0</v>
      </c>
      <c r="DM28" s="263">
        <f t="shared" si="183"/>
        <v>0</v>
      </c>
      <c r="DO28" s="264">
        <f t="shared" si="184"/>
        <v>0</v>
      </c>
      <c r="DP28" s="265">
        <f t="shared" si="185"/>
        <v>0</v>
      </c>
      <c r="DQ28" s="264">
        <f t="shared" si="186"/>
        <v>4500000</v>
      </c>
      <c r="DR28" s="264">
        <f t="shared" si="187"/>
        <v>0</v>
      </c>
      <c r="DS28" s="265">
        <f t="shared" si="188"/>
        <v>0</v>
      </c>
      <c r="DT28" s="264">
        <f t="shared" si="189"/>
        <v>4500000</v>
      </c>
      <c r="DU28" s="264">
        <f t="shared" si="190"/>
        <v>0</v>
      </c>
      <c r="DV28" s="265">
        <f t="shared" si="191"/>
        <v>0</v>
      </c>
      <c r="DW28" s="264">
        <f t="shared" si="192"/>
        <v>4500000</v>
      </c>
      <c r="DX28" s="264">
        <f t="shared" si="193"/>
        <v>0</v>
      </c>
      <c r="DY28" s="265">
        <f t="shared" si="194"/>
        <v>0</v>
      </c>
      <c r="DZ28" s="264">
        <f t="shared" si="195"/>
        <v>4500000</v>
      </c>
      <c r="EA28" s="264">
        <f t="shared" si="196"/>
        <v>0</v>
      </c>
      <c r="EB28" s="265">
        <f t="shared" si="197"/>
        <v>0</v>
      </c>
      <c r="EC28" s="264">
        <f t="shared" si="198"/>
        <v>4500000</v>
      </c>
      <c r="ED28" s="264">
        <f t="shared" si="199"/>
        <v>0</v>
      </c>
      <c r="EE28" s="265">
        <f t="shared" si="200"/>
        <v>0</v>
      </c>
      <c r="EF28" s="264">
        <f t="shared" si="201"/>
        <v>4500000</v>
      </c>
      <c r="EG28" s="264">
        <f t="shared" si="202"/>
        <v>0</v>
      </c>
      <c r="EH28" s="265">
        <f t="shared" si="203"/>
        <v>0</v>
      </c>
      <c r="EI28" s="264">
        <f t="shared" si="204"/>
        <v>4500000</v>
      </c>
      <c r="EJ28" s="264">
        <f t="shared" si="205"/>
        <v>0</v>
      </c>
      <c r="EK28" s="265">
        <f t="shared" si="206"/>
        <v>0</v>
      </c>
      <c r="EL28" s="264">
        <f t="shared" si="207"/>
        <v>4500000</v>
      </c>
      <c r="EM28" s="264">
        <f t="shared" si="208"/>
        <v>0</v>
      </c>
      <c r="EN28" s="265">
        <f t="shared" si="209"/>
        <v>0</v>
      </c>
      <c r="EO28" s="264">
        <f t="shared" si="210"/>
        <v>4500000</v>
      </c>
      <c r="EP28" s="264">
        <f t="shared" si="211"/>
        <v>0</v>
      </c>
      <c r="EQ28" s="265">
        <f t="shared" si="212"/>
        <v>0</v>
      </c>
      <c r="ER28" s="264">
        <f t="shared" si="213"/>
        <v>4500000</v>
      </c>
      <c r="ES28" s="264">
        <f t="shared" si="214"/>
        <v>0</v>
      </c>
      <c r="ET28" s="265">
        <f t="shared" si="215"/>
        <v>0</v>
      </c>
      <c r="EU28" s="264">
        <f t="shared" si="216"/>
        <v>4500000</v>
      </c>
      <c r="EV28" s="264">
        <f>IF(AND(BM28="Yes",OR(BN28="No",AND(BN28="Yes",Inputs!$J$8=Inputs!$J$17+75))),EU28,0)</f>
        <v>0</v>
      </c>
      <c r="EW28" s="265">
        <f t="shared" si="217"/>
        <v>0</v>
      </c>
      <c r="EX28" s="264">
        <f t="shared" si="218"/>
        <v>4500000</v>
      </c>
      <c r="EY28" s="264">
        <f t="shared" si="219"/>
        <v>0</v>
      </c>
      <c r="EZ28" s="265">
        <f t="shared" si="220"/>
        <v>0</v>
      </c>
      <c r="FA28" s="264">
        <f t="shared" si="221"/>
        <v>4500000</v>
      </c>
      <c r="FB28" s="264">
        <f t="shared" si="222"/>
        <v>0</v>
      </c>
      <c r="FC28" s="265">
        <f t="shared" si="223"/>
        <v>0</v>
      </c>
      <c r="FD28" s="264">
        <f t="shared" si="224"/>
        <v>4500000</v>
      </c>
      <c r="FE28" s="264">
        <f t="shared" si="225"/>
        <v>0</v>
      </c>
      <c r="FF28" s="265">
        <f t="shared" si="226"/>
        <v>0</v>
      </c>
      <c r="FG28" s="264">
        <f t="shared" si="227"/>
        <v>4500000</v>
      </c>
      <c r="FH28" s="264">
        <f t="shared" si="228"/>
        <v>4500000</v>
      </c>
      <c r="FI28" s="264">
        <f t="shared" si="229"/>
        <v>0</v>
      </c>
      <c r="FJ28" s="264">
        <f t="shared" si="230"/>
        <v>4500000</v>
      </c>
      <c r="FK28" s="264">
        <f t="shared" si="231"/>
        <v>4500000</v>
      </c>
      <c r="FL28" s="264">
        <f t="shared" si="232"/>
        <v>0</v>
      </c>
      <c r="FM28" s="264">
        <f t="shared" si="233"/>
        <v>4500000</v>
      </c>
      <c r="FN28" s="264">
        <f t="shared" si="234"/>
        <v>4500000</v>
      </c>
      <c r="FO28" s="264">
        <f t="shared" si="235"/>
        <v>0</v>
      </c>
      <c r="FP28" s="264">
        <f t="shared" si="236"/>
        <v>4500000</v>
      </c>
      <c r="FQ28" s="264">
        <f t="shared" si="237"/>
        <v>0</v>
      </c>
      <c r="FR28" s="265">
        <f t="shared" si="238"/>
        <v>0</v>
      </c>
      <c r="FS28" s="264">
        <f t="shared" si="239"/>
        <v>4500000</v>
      </c>
      <c r="FT28" s="264">
        <f t="shared" si="240"/>
        <v>0</v>
      </c>
      <c r="FU28" s="265">
        <f t="shared" si="241"/>
        <v>0</v>
      </c>
      <c r="FV28" s="264">
        <f t="shared" si="242"/>
        <v>4500000</v>
      </c>
      <c r="FW28" s="264">
        <f t="shared" si="243"/>
        <v>0</v>
      </c>
      <c r="FX28" s="264">
        <f t="shared" si="244"/>
        <v>0</v>
      </c>
      <c r="FY28" s="264">
        <f t="shared" si="245"/>
        <v>0</v>
      </c>
      <c r="FZ28" s="264">
        <f t="shared" si="246"/>
        <v>0</v>
      </c>
      <c r="GA28" s="265">
        <f t="shared" si="296"/>
        <v>0</v>
      </c>
      <c r="GB28" s="264">
        <f t="shared" si="297"/>
        <v>4500000</v>
      </c>
      <c r="GC28" s="264">
        <f t="shared" si="247"/>
        <v>4500000</v>
      </c>
      <c r="GD28" s="266">
        <f t="shared" si="248"/>
        <v>3262500</v>
      </c>
      <c r="GE28" s="138">
        <f t="shared" si="249"/>
        <v>0.65249999999999997</v>
      </c>
      <c r="GF28" s="267">
        <f t="shared" si="250"/>
        <v>31</v>
      </c>
      <c r="GG28" s="264">
        <f t="array" ref="GG28">IF(SUM(IF(IC$9:IC27=IC28,1,0))&gt;0,0,SUMIF($IC$10:$IC$406,IC28,$FJ$10:$FJ$406))</f>
        <v>0</v>
      </c>
      <c r="GH28" s="268">
        <f t="shared" si="251"/>
        <v>0</v>
      </c>
      <c r="GI28" s="137">
        <f t="shared" si="126"/>
        <v>19</v>
      </c>
      <c r="GJ28" s="269">
        <f t="shared" si="252"/>
        <v>4976411.1645999998</v>
      </c>
      <c r="GK28" s="269">
        <f t="shared" si="253"/>
        <v>152892852.51729038</v>
      </c>
      <c r="GL28" s="163">
        <f t="shared" si="254"/>
        <v>0</v>
      </c>
      <c r="GM28" s="137">
        <f t="array" ref="GM28">IF(GJ28=0,0,LARGE(IF($GG$10:$GG$406=GJ28,$GF$10:$GF$406,0),COUNTIF($GJ$10:$GJ$406,GJ28)-COUNTIF(GJ$9:GJ27,GJ28)))</f>
        <v>4</v>
      </c>
      <c r="GN28" s="270">
        <f t="shared" si="255"/>
        <v>0</v>
      </c>
      <c r="GP28" s="137">
        <f>IF(C28="","",IF(ISERROR(MATCH(C28,C$10:C27,0)),MAX(GP$10:GP27)+1,INDEX(GP$10:GP27,MATCH(C28,C$10:C27,0))))</f>
        <v>16</v>
      </c>
      <c r="GQ28" s="264">
        <f>IF(COUNTIF($A$10:A28,A28)&lt;=1,SUMIF($A$10:$A$406,A28,$FH$10:$FH$406),0)</f>
        <v>4500000</v>
      </c>
      <c r="GR28" s="137">
        <f t="shared" si="130"/>
        <v>19</v>
      </c>
      <c r="GS28" s="269">
        <f t="shared" si="256"/>
        <v>13171771.859999999</v>
      </c>
      <c r="GT28" s="269">
        <f t="shared" si="257"/>
        <v>50964284.172430128</v>
      </c>
      <c r="GU28" s="163">
        <f t="shared" si="258"/>
        <v>0</v>
      </c>
      <c r="GV28" s="137">
        <f t="array" ref="GV28">IF(GS28=0,0,LARGE(IF($GQ$10:$GQ$406=GS28,$GP$10:$GP$406,0),COUNTIF($GS$10:$GS$406,GS28)-COUNTIF(GS$9:GS27,GS28)))</f>
        <v>14</v>
      </c>
      <c r="GW28" s="270">
        <f t="shared" si="259"/>
        <v>0</v>
      </c>
      <c r="GX28" s="270"/>
      <c r="GY28" s="137">
        <f>IF(C28="","",IF(ISERROR(MATCH(C28,C$10:C27,0)),MAX(GP$10:GP27)+1,INDEX(GP$10:GP27,MATCH(C28,C$10:C27,0))))</f>
        <v>16</v>
      </c>
      <c r="GZ28" s="264">
        <f>IF(COUNTIF($A$10:A28,A28)&lt;=1,SUMIF($A$10:$A$406,A28,$FH$10:$FH$406),0)</f>
        <v>4500000</v>
      </c>
      <c r="HA28" s="137">
        <f t="shared" si="134"/>
        <v>19</v>
      </c>
      <c r="HB28" s="269">
        <f t="shared" si="260"/>
        <v>13171771.859999999</v>
      </c>
      <c r="HC28" s="414" t="s">
        <v>622</v>
      </c>
      <c r="HD28" s="163">
        <f t="shared" si="261"/>
        <v>0</v>
      </c>
      <c r="HE28" s="137">
        <f t="array" ref="HE28">IF(HB28=0,0,LARGE(IF($GZ$10:$GZ$406=HB28,$GY$10:$GY$406,0),COUNTIF($HB$10:$HB$406,HB28)-COUNTIF(HB$9:HB27,HB28)))</f>
        <v>14</v>
      </c>
      <c r="HF28" s="270">
        <f t="shared" si="262"/>
        <v>0</v>
      </c>
      <c r="HG28"/>
      <c r="HH28" s="268">
        <f t="shared" si="263"/>
        <v>0</v>
      </c>
      <c r="HI28" s="271">
        <v>0</v>
      </c>
      <c r="HJ28" s="264">
        <f t="shared" si="264"/>
        <v>0</v>
      </c>
      <c r="HL28" s="137">
        <f t="shared" si="265"/>
        <v>19</v>
      </c>
      <c r="HM28" s="264">
        <f t="shared" si="300"/>
        <v>27610421.649999999</v>
      </c>
      <c r="HO28" s="199">
        <f t="shared" si="301"/>
        <v>4500000</v>
      </c>
      <c r="HP28" s="199">
        <f t="shared" si="302"/>
        <v>5000000</v>
      </c>
      <c r="HQ28" s="199" t="str">
        <f t="shared" si="303"/>
        <v/>
      </c>
      <c r="HR28" s="199" t="str">
        <f t="shared" si="304"/>
        <v/>
      </c>
      <c r="HS28" s="199" t="str">
        <f t="shared" si="119"/>
        <v/>
      </c>
      <c r="HT28" s="199">
        <f t="shared" si="305"/>
        <v>4500000</v>
      </c>
      <c r="HU28" s="199" t="str">
        <f t="shared" si="306"/>
        <v/>
      </c>
      <c r="HV28" s="200">
        <f t="shared" si="307"/>
        <v>0</v>
      </c>
      <c r="HW28" s="272" t="str">
        <f t="shared" si="308"/>
        <v/>
      </c>
      <c r="HX28" s="200">
        <f t="shared" si="309"/>
        <v>0</v>
      </c>
      <c r="HY28" s="200">
        <f t="shared" si="310"/>
        <v>4500000</v>
      </c>
      <c r="HZ28" s="200">
        <f t="shared" si="4"/>
        <v>0</v>
      </c>
      <c r="IA28" s="200">
        <f t="shared" si="311"/>
        <v>0</v>
      </c>
      <c r="IB28" s="200">
        <f t="shared" si="312"/>
        <v>0</v>
      </c>
      <c r="IC28" s="273">
        <f>IF(C28="","",INDEX(Lookups!$E$2:$E$69,MATCH('Loan List'!BE28,Lookups!$F$2:$F$69,0)))</f>
        <v>31</v>
      </c>
      <c r="ID28" t="b">
        <f t="shared" si="313"/>
        <v>1</v>
      </c>
      <c r="IF28" s="346">
        <f t="shared" ref="IF28:IF29" si="347">IF(B28="","",IF(AND(Y28="Second Lien",OR(DA28=1,DB28=1,DC28=1)),50%,IF(DA28=1,90%,IF(DB28=1,80%,IF(DC28=1,65%,"No Initial Haircut")))))</f>
        <v>0.9</v>
      </c>
    </row>
    <row r="29" spans="1:240">
      <c r="A29" t="s">
        <v>728</v>
      </c>
      <c r="B29" s="242">
        <f t="shared" si="149"/>
        <v>20</v>
      </c>
      <c r="C29" s="242">
        <f>IF(COUNTIF($A$10:A28,A29)&gt;0,C28,C28+1)</f>
        <v>17</v>
      </c>
      <c r="D29" s="431" t="s">
        <v>728</v>
      </c>
      <c r="E29" s="428" t="s">
        <v>809</v>
      </c>
      <c r="F29" s="429"/>
      <c r="G29" s="430">
        <v>3922066</v>
      </c>
      <c r="H29" s="430">
        <v>3922066</v>
      </c>
      <c r="I29" s="244">
        <f>IF(B29="","",VLOOKUP(BF29,Inputs!$A$12:$J$15,10,FALSE))</f>
        <v>1</v>
      </c>
      <c r="J29" s="245">
        <f t="shared" ref="J29" si="348">IF(B29="","",G29*I29)</f>
        <v>3922066</v>
      </c>
      <c r="K29" s="245">
        <f t="shared" ref="K29" si="349">IF(B29="","",H29*I29)</f>
        <v>3922066</v>
      </c>
      <c r="L29" s="245">
        <f t="shared" ref="L29" si="350">IF(B29="","",IF(COUNTIF($CF29:$CY29,1)&gt;0,0,J29))</f>
        <v>3922066</v>
      </c>
      <c r="M29" s="245">
        <f t="shared" ref="M29" si="351">IF(B29="","",IF(COUNTIF($CF29:$CY29,1)&gt;0,0,K29))</f>
        <v>3922066</v>
      </c>
      <c r="N29" s="246" t="s">
        <v>246</v>
      </c>
      <c r="O29" s="246" t="s">
        <v>245</v>
      </c>
      <c r="P29" s="247">
        <f>IF(B29="","",IF(OR(O29="N/A",O29=""),0,YEARFRAC('Borrowing Base'!$J$4,'Loan List'!O29)*12))</f>
        <v>0</v>
      </c>
      <c r="Q29" s="246" t="s">
        <v>246</v>
      </c>
      <c r="R29" s="248">
        <v>0.86309999999999998</v>
      </c>
      <c r="S29" s="249" t="str">
        <f t="shared" ref="S29" si="352">IF(B29="","",IF(R29&lt;95%,"Yes","No"))</f>
        <v>Yes</v>
      </c>
      <c r="T29" s="248">
        <v>0.86309999999999998</v>
      </c>
      <c r="U29" s="250">
        <f t="shared" ref="U29" si="353">IF(B29="","",IF(OR(Y29="First Lien",Y29="Split First Lien",Y29="Tier 1 Split Lien",Y29="Tier 2 Split Lien"),50%,30%))</f>
        <v>0.5</v>
      </c>
      <c r="V29" s="250">
        <f t="shared" ref="V29" si="354">IF(B29="",0,IF(AND(Y29="First Lien",AN29="Tier 1"),IF(AND(X29="Yes",MIN(AH29,$AJ$5)&gt;4.5),(((4.5/MIN(AH29,$AJ$5))*72.5%)+(((MIN(AH29,$AJ$5)-4.5)/MIN(AH29,$AJ$5))*35%)),72.5%),IF(AND(Y29="First Lien",AN29="Tier 2"),IF(AND(X29="Yes",MIN(AH29,$AK$5)&gt;4.5),(((4.5/MIN(AH29,$AK$5))*72.5%)+(((MIN(AH29,$AK$5)-4.5)/MIN(AH29,$AK$5))*35%)),72.5%),IF(AND(X29="Yes",MIN(AH29,$AL$5)&gt;4),(((4/MIN(AH29,$AL$5))*72.5%)+(((MIN(AH29,$AL$5)-4)/MIN(AH29,$AL$5))*35%)),IF(OR(Y29="First Lien",Y29="Split First Lien"),72.5%,IF(Y29="Split Lien", 53%,35%))))))</f>
        <v>0.72499999999999998</v>
      </c>
      <c r="W29" s="251">
        <f t="shared" si="11"/>
        <v>3385135.1645999998</v>
      </c>
      <c r="X29" s="246" t="s">
        <v>246</v>
      </c>
      <c r="Y29" s="252" t="s">
        <v>483</v>
      </c>
      <c r="Z29" s="252" t="s">
        <v>484</v>
      </c>
      <c r="AA29" s="253" t="s">
        <v>370</v>
      </c>
      <c r="AB29" s="253" t="s">
        <v>859</v>
      </c>
      <c r="AC29" s="254">
        <v>1.7453210046914109</v>
      </c>
      <c r="AD29" s="254">
        <v>1.4842257989799976</v>
      </c>
      <c r="AE29" s="254">
        <v>1.4094117647058824</v>
      </c>
      <c r="AF29" s="255">
        <v>0.57220497631913991</v>
      </c>
      <c r="AG29" s="256">
        <v>5.074291372746071</v>
      </c>
      <c r="AH29" s="256">
        <v>6.5424468731596352</v>
      </c>
      <c r="AI29" s="256">
        <v>5.7475792988313863</v>
      </c>
      <c r="AJ29" s="256">
        <v>6.937228714524208</v>
      </c>
      <c r="AK29" s="257">
        <v>241800000</v>
      </c>
      <c r="AL29" s="257">
        <v>299500000</v>
      </c>
      <c r="AM29" s="258">
        <v>45747</v>
      </c>
      <c r="AN29" s="245" t="str">
        <f t="shared" ref="AN29" si="355">IF(C29="","",(IF(AK29&gt;=50000000,"Tier 1",(IF(OR(AK29&gt;=20000000,AND(AK29&gt;5000000,AC29&gt;=1.25,AF29&lt;=0.65)),"Tier 2","Tier 3")))))</f>
        <v>Tier 1</v>
      </c>
      <c r="AO29" s="243">
        <v>47324</v>
      </c>
      <c r="AP29" s="259">
        <f>IF(C29="","",DAYS360(Inputs!$J$8,AO29)/360)</f>
        <v>3.9194444444444443</v>
      </c>
      <c r="AQ29" s="259">
        <f t="shared" ref="AQ29" si="356">IF(C29="","",AP29)</f>
        <v>3.9194444444444443</v>
      </c>
      <c r="AR29" s="246" t="s">
        <v>246</v>
      </c>
      <c r="AS29" s="248">
        <v>0</v>
      </c>
      <c r="AT29" s="246" t="s">
        <v>64</v>
      </c>
      <c r="AU29" s="248">
        <v>0.01</v>
      </c>
      <c r="AV29" s="248">
        <v>4.4999999999999998E-2</v>
      </c>
      <c r="AW29" s="248">
        <v>4.2956000000000008E-2</v>
      </c>
      <c r="AX29" s="260">
        <f t="shared" ref="AX29" si="357">IF(C29="","",MAX(AU29,AW29))</f>
        <v>4.2956000000000008E-2</v>
      </c>
      <c r="AY29" s="248">
        <v>0</v>
      </c>
      <c r="AZ29" s="248">
        <v>0</v>
      </c>
      <c r="BA29" s="248">
        <v>0</v>
      </c>
      <c r="BB29" s="407">
        <f t="shared" ref="BB29" si="358">IF(B29="","",IF(AR29="No",AV29-AZ29,""))</f>
        <v>4.4999999999999998E-2</v>
      </c>
      <c r="BC29" s="407" t="str">
        <f t="shared" ref="BC29" si="359">IF(B29="","",IF(AR29="Yes",AS29-BA29,""))</f>
        <v/>
      </c>
      <c r="BD29" s="252" t="s">
        <v>247</v>
      </c>
      <c r="BE29" s="261" t="s">
        <v>333</v>
      </c>
      <c r="BF29" s="252" t="s">
        <v>7</v>
      </c>
      <c r="BG29" s="252" t="s">
        <v>460</v>
      </c>
      <c r="BH29" s="246" t="s">
        <v>246</v>
      </c>
      <c r="BI29" s="408" t="str">
        <f t="shared" ref="BI29" si="360">IF(B29="","",IF(OR(AND(AZ29&gt;0,BB29&gt;=2.5%,BB29&lt;4%),AND(BA29&gt;0,BC29&gt;=6%,BC29&lt;8%)),"Yes","No"))</f>
        <v>No</v>
      </c>
      <c r="BJ29" s="408" t="str">
        <f t="shared" ref="BJ29" si="361">IF(B29="","",IF(OR(AND(AZ29&gt;0,BB29&lt;2.5%),AND(BA29&gt;0,BC29&lt;6%)),"Yes","No"))</f>
        <v>No</v>
      </c>
      <c r="BK29" s="246" t="s">
        <v>246</v>
      </c>
      <c r="BL29" s="246" t="s">
        <v>246</v>
      </c>
      <c r="BM29" s="246" t="s">
        <v>64</v>
      </c>
      <c r="BN29" s="246" t="s">
        <v>64</v>
      </c>
      <c r="BO29" s="246" t="s">
        <v>246</v>
      </c>
      <c r="BP29" s="246" t="s">
        <v>246</v>
      </c>
      <c r="BQ29" s="246" t="s">
        <v>246</v>
      </c>
      <c r="BR29" s="246" t="s">
        <v>246</v>
      </c>
      <c r="BS29" s="246" t="s">
        <v>246</v>
      </c>
      <c r="BT29" s="246" t="s">
        <v>246</v>
      </c>
      <c r="BU29" s="246" t="s">
        <v>246</v>
      </c>
      <c r="BV29" s="246" t="s">
        <v>246</v>
      </c>
      <c r="BW29" s="246" t="s">
        <v>246</v>
      </c>
      <c r="BX29" s="246" t="s">
        <v>246</v>
      </c>
      <c r="BY29" s="246" t="s">
        <v>246</v>
      </c>
      <c r="BZ29" s="246" t="s">
        <v>246</v>
      </c>
      <c r="CA29" s="246" t="s">
        <v>246</v>
      </c>
      <c r="CB29" s="246" t="s">
        <v>64</v>
      </c>
      <c r="CC29" s="262">
        <f t="shared" ref="CC29" si="362">IF(B29="","",IF(AT29="No",((BB29+AW29)-$AZ$4),((BB29+AX29)-$AZ$4))*IF(DE29&gt;0,0,M29))</f>
        <v>175448.13161760001</v>
      </c>
      <c r="CD29" s="262">
        <f t="shared" ref="CD29" si="363">IF(B29="","",AY29*(L29-M29)*IF(DE29&gt;0,0,1))</f>
        <v>0</v>
      </c>
      <c r="CE29" s="263"/>
      <c r="CF29" s="263">
        <f t="shared" si="150"/>
        <v>0</v>
      </c>
      <c r="CG29" s="263">
        <f t="shared" si="151"/>
        <v>0</v>
      </c>
      <c r="CH29" s="263">
        <f t="shared" si="152"/>
        <v>0</v>
      </c>
      <c r="CI29" s="263">
        <f t="shared" si="153"/>
        <v>0</v>
      </c>
      <c r="CJ29" s="263">
        <f t="shared" si="154"/>
        <v>0</v>
      </c>
      <c r="CK29" s="263">
        <f t="shared" si="155"/>
        <v>0</v>
      </c>
      <c r="CL29" s="263">
        <f t="shared" si="156"/>
        <v>0</v>
      </c>
      <c r="CM29" s="263">
        <f t="shared" si="157"/>
        <v>0</v>
      </c>
      <c r="CN29" s="263">
        <f t="shared" si="158"/>
        <v>0</v>
      </c>
      <c r="CO29" s="263">
        <f t="shared" si="159"/>
        <v>0</v>
      </c>
      <c r="CP29" s="263">
        <f t="shared" si="160"/>
        <v>0</v>
      </c>
      <c r="CQ29" s="263">
        <f t="shared" si="161"/>
        <v>0</v>
      </c>
      <c r="CR29" s="263">
        <f t="shared" si="162"/>
        <v>0</v>
      </c>
      <c r="CS29" s="263">
        <f t="shared" si="163"/>
        <v>0</v>
      </c>
      <c r="CT29" s="263">
        <f t="shared" si="164"/>
        <v>0</v>
      </c>
      <c r="CU29" s="263">
        <f t="shared" si="165"/>
        <v>0</v>
      </c>
      <c r="CV29" s="263">
        <f t="shared" si="166"/>
        <v>0</v>
      </c>
      <c r="CW29" s="263">
        <f t="shared" si="167"/>
        <v>0</v>
      </c>
      <c r="CX29" s="263">
        <f t="shared" si="168"/>
        <v>0</v>
      </c>
      <c r="CY29" s="263">
        <f t="shared" si="169"/>
        <v>0</v>
      </c>
      <c r="CZ29" s="263">
        <f t="shared" si="170"/>
        <v>0</v>
      </c>
      <c r="DA29" s="263">
        <f t="shared" si="171"/>
        <v>1</v>
      </c>
      <c r="DB29" s="263">
        <f t="shared" si="172"/>
        <v>0</v>
      </c>
      <c r="DC29" s="263">
        <f t="shared" si="173"/>
        <v>0</v>
      </c>
      <c r="DD29" s="263">
        <f t="shared" si="174"/>
        <v>0</v>
      </c>
      <c r="DE29" s="263">
        <f t="shared" si="175"/>
        <v>0</v>
      </c>
      <c r="DF29" s="263">
        <f t="shared" si="176"/>
        <v>3385135.1645999998</v>
      </c>
      <c r="DG29" s="263">
        <f t="shared" si="177"/>
        <v>0</v>
      </c>
      <c r="DH29" s="263">
        <f t="shared" si="178"/>
        <v>3385135.1645999998</v>
      </c>
      <c r="DI29" s="263">
        <f t="shared" si="179"/>
        <v>3922066</v>
      </c>
      <c r="DJ29" s="263">
        <f t="shared" si="180"/>
        <v>0</v>
      </c>
      <c r="DK29" s="263">
        <f t="shared" si="181"/>
        <v>0</v>
      </c>
      <c r="DL29" s="263">
        <f t="shared" si="182"/>
        <v>0</v>
      </c>
      <c r="DM29" s="263">
        <f t="shared" si="183"/>
        <v>0</v>
      </c>
      <c r="DO29" s="264">
        <f t="shared" si="184"/>
        <v>0</v>
      </c>
      <c r="DP29" s="265">
        <f t="shared" si="185"/>
        <v>0</v>
      </c>
      <c r="DQ29" s="264">
        <f t="shared" si="186"/>
        <v>3385135.1645999998</v>
      </c>
      <c r="DR29" s="264">
        <f t="shared" si="187"/>
        <v>0</v>
      </c>
      <c r="DS29" s="265">
        <f t="shared" si="188"/>
        <v>0</v>
      </c>
      <c r="DT29" s="264">
        <f t="shared" si="189"/>
        <v>3385135.1645999998</v>
      </c>
      <c r="DU29" s="264">
        <f t="shared" si="190"/>
        <v>0</v>
      </c>
      <c r="DV29" s="265">
        <f t="shared" si="191"/>
        <v>0</v>
      </c>
      <c r="DW29" s="264">
        <f t="shared" si="192"/>
        <v>3385135.1645999998</v>
      </c>
      <c r="DX29" s="264">
        <f t="shared" si="193"/>
        <v>0</v>
      </c>
      <c r="DY29" s="265">
        <f t="shared" si="194"/>
        <v>0</v>
      </c>
      <c r="DZ29" s="264">
        <f t="shared" si="195"/>
        <v>3385135.1645999998</v>
      </c>
      <c r="EA29" s="264">
        <f t="shared" si="196"/>
        <v>0</v>
      </c>
      <c r="EB29" s="265">
        <f t="shared" si="197"/>
        <v>0</v>
      </c>
      <c r="EC29" s="264">
        <f t="shared" si="198"/>
        <v>3385135.1645999998</v>
      </c>
      <c r="ED29" s="264">
        <f t="shared" si="199"/>
        <v>0</v>
      </c>
      <c r="EE29" s="265">
        <f t="shared" si="200"/>
        <v>0</v>
      </c>
      <c r="EF29" s="264">
        <f t="shared" si="201"/>
        <v>3385135.1645999998</v>
      </c>
      <c r="EG29" s="264">
        <f t="shared" si="202"/>
        <v>3385135.1645999998</v>
      </c>
      <c r="EH29" s="265">
        <f t="shared" si="203"/>
        <v>0</v>
      </c>
      <c r="EI29" s="264">
        <f t="shared" si="204"/>
        <v>3385135.1645999998</v>
      </c>
      <c r="EJ29" s="264">
        <f t="shared" si="205"/>
        <v>0</v>
      </c>
      <c r="EK29" s="265">
        <f t="shared" si="206"/>
        <v>0</v>
      </c>
      <c r="EL29" s="264">
        <f t="shared" si="207"/>
        <v>3385135.1645999998</v>
      </c>
      <c r="EM29" s="264">
        <f t="shared" si="208"/>
        <v>0</v>
      </c>
      <c r="EN29" s="265">
        <f t="shared" si="209"/>
        <v>0</v>
      </c>
      <c r="EO29" s="264">
        <f t="shared" si="210"/>
        <v>3385135.1645999998</v>
      </c>
      <c r="EP29" s="264">
        <f t="shared" si="211"/>
        <v>0</v>
      </c>
      <c r="EQ29" s="265">
        <f t="shared" si="212"/>
        <v>0</v>
      </c>
      <c r="ER29" s="264">
        <f t="shared" si="213"/>
        <v>3385135.1645999998</v>
      </c>
      <c r="ES29" s="264">
        <f t="shared" si="214"/>
        <v>0</v>
      </c>
      <c r="ET29" s="265">
        <f t="shared" si="215"/>
        <v>0</v>
      </c>
      <c r="EU29" s="264">
        <f t="shared" si="216"/>
        <v>3385135.1645999998</v>
      </c>
      <c r="EV29" s="264">
        <f>IF(AND(BM29="Yes",OR(BN29="No",AND(BN29="Yes",Inputs!$J$8=Inputs!$J$17+75))),EU29,0)</f>
        <v>0</v>
      </c>
      <c r="EW29" s="265">
        <f t="shared" si="217"/>
        <v>0</v>
      </c>
      <c r="EX29" s="264">
        <f t="shared" si="218"/>
        <v>3385135.1645999998</v>
      </c>
      <c r="EY29" s="264">
        <f t="shared" si="219"/>
        <v>0</v>
      </c>
      <c r="EZ29" s="265">
        <f t="shared" si="220"/>
        <v>0</v>
      </c>
      <c r="FA29" s="264">
        <f t="shared" si="221"/>
        <v>3385135.1645999998</v>
      </c>
      <c r="FB29" s="264">
        <f t="shared" si="222"/>
        <v>0</v>
      </c>
      <c r="FC29" s="265">
        <f t="shared" si="223"/>
        <v>0</v>
      </c>
      <c r="FD29" s="264">
        <f t="shared" si="224"/>
        <v>3385135.1645999998</v>
      </c>
      <c r="FE29" s="264">
        <f t="shared" si="225"/>
        <v>0</v>
      </c>
      <c r="FF29" s="265">
        <f t="shared" si="226"/>
        <v>0</v>
      </c>
      <c r="FG29" s="264">
        <f t="shared" si="227"/>
        <v>3385135.1645999998</v>
      </c>
      <c r="FH29" s="264">
        <f t="shared" si="228"/>
        <v>3385135.1645999998</v>
      </c>
      <c r="FI29" s="264">
        <f t="shared" si="229"/>
        <v>0</v>
      </c>
      <c r="FJ29" s="264">
        <f t="shared" si="230"/>
        <v>3385135.1645999998</v>
      </c>
      <c r="FK29" s="264">
        <f t="shared" si="231"/>
        <v>3385135.1645999998</v>
      </c>
      <c r="FL29" s="264">
        <f t="shared" si="232"/>
        <v>0</v>
      </c>
      <c r="FM29" s="264">
        <f t="shared" si="233"/>
        <v>3385135.1645999998</v>
      </c>
      <c r="FN29" s="264">
        <f t="shared" si="234"/>
        <v>3385135.1645999998</v>
      </c>
      <c r="FO29" s="264">
        <f t="shared" si="235"/>
        <v>0</v>
      </c>
      <c r="FP29" s="264">
        <f t="shared" si="236"/>
        <v>3385135.1645999998</v>
      </c>
      <c r="FQ29" s="264">
        <f t="shared" si="237"/>
        <v>0</v>
      </c>
      <c r="FR29" s="265">
        <f t="shared" si="238"/>
        <v>0</v>
      </c>
      <c r="FS29" s="264">
        <f t="shared" si="239"/>
        <v>3385135.1645999998</v>
      </c>
      <c r="FT29" s="264">
        <f t="shared" si="240"/>
        <v>0</v>
      </c>
      <c r="FU29" s="265">
        <f t="shared" si="241"/>
        <v>0</v>
      </c>
      <c r="FV29" s="264">
        <f t="shared" si="242"/>
        <v>3385135.1645999998</v>
      </c>
      <c r="FW29" s="264">
        <f t="shared" si="243"/>
        <v>0</v>
      </c>
      <c r="FX29" s="264">
        <f t="shared" si="244"/>
        <v>0</v>
      </c>
      <c r="FY29" s="264">
        <f t="shared" si="245"/>
        <v>0</v>
      </c>
      <c r="FZ29" s="264">
        <f t="shared" si="246"/>
        <v>0</v>
      </c>
      <c r="GA29" s="265">
        <f t="shared" si="296"/>
        <v>0</v>
      </c>
      <c r="GB29" s="264">
        <f t="shared" si="297"/>
        <v>3385135.1645999998</v>
      </c>
      <c r="GC29" s="264">
        <f t="shared" si="247"/>
        <v>3385135.1645999998</v>
      </c>
      <c r="GD29" s="266">
        <f t="shared" si="248"/>
        <v>2454222.9943349999</v>
      </c>
      <c r="GE29" s="138">
        <f t="shared" si="249"/>
        <v>0.62574750000000001</v>
      </c>
      <c r="GF29" s="267">
        <f t="shared" si="250"/>
        <v>4</v>
      </c>
      <c r="GG29" s="264">
        <f t="array" ref="GG29">IF(SUM(IF(IC$9:IC28=IC29,1,0))&gt;0,0,SUMIF($IC$10:$IC$406,IC29,$FJ$10:$FJ$406))</f>
        <v>4976411.1645999998</v>
      </c>
      <c r="GH29" s="268">
        <f t="shared" si="251"/>
        <v>4976411.1645999998</v>
      </c>
      <c r="GI29" s="137">
        <f t="shared" si="126"/>
        <v>20</v>
      </c>
      <c r="GJ29" s="269">
        <f t="shared" si="252"/>
        <v>4634449</v>
      </c>
      <c r="GK29" s="269">
        <f t="shared" si="253"/>
        <v>152892852.51729038</v>
      </c>
      <c r="GL29" s="163">
        <f t="shared" si="254"/>
        <v>0</v>
      </c>
      <c r="GM29" s="137">
        <f t="array" ref="GM29">IF(GJ29=0,0,LARGE(IF($GG$10:$GG$406=GJ29,$GF$10:$GF$406,0),COUNTIF($GJ$10:$GJ$406,GJ29)-COUNTIF(GJ$9:GJ28,GJ29)))</f>
        <v>2</v>
      </c>
      <c r="GN29" s="270">
        <f t="shared" si="255"/>
        <v>0</v>
      </c>
      <c r="GP29" s="137">
        <f>IF(C29="","",IF(ISERROR(MATCH(C29,C$10:C28,0)),MAX(GP$10:GP28)+1,INDEX(GP$10:GP28,MATCH(C29,C$10:C28,0))))</f>
        <v>17</v>
      </c>
      <c r="GQ29" s="264">
        <f>IF(COUNTIF($A$10:A29,A29)&lt;=1,SUMIF($A$10:$A$406,A29,$FH$10:$FH$406),0)</f>
        <v>3385135.1645999998</v>
      </c>
      <c r="GR29" s="137">
        <f t="shared" si="130"/>
        <v>20</v>
      </c>
      <c r="GS29" s="269">
        <f t="shared" si="256"/>
        <v>12428247.09</v>
      </c>
      <c r="GT29" s="269">
        <f t="shared" si="257"/>
        <v>50964284.172430128</v>
      </c>
      <c r="GU29" s="163">
        <f t="shared" si="258"/>
        <v>0</v>
      </c>
      <c r="GV29" s="137">
        <f t="array" ref="GV29">IF(GS29=0,0,LARGE(IF($GQ$10:$GQ$406=GS29,$GP$10:$GP$406,0),COUNTIF($GS$10:$GS$406,GS29)-COUNTIF(GS$9:GS28,GS29)))</f>
        <v>48</v>
      </c>
      <c r="GW29" s="270">
        <f t="shared" si="259"/>
        <v>0</v>
      </c>
      <c r="GX29" s="270"/>
      <c r="GY29" s="137">
        <f>IF(C29="","",IF(ISERROR(MATCH(C29,C$10:C28,0)),MAX(GP$10:GP28)+1,INDEX(GP$10:GP28,MATCH(C29,C$10:C28,0))))</f>
        <v>17</v>
      </c>
      <c r="GZ29" s="264">
        <f>IF(COUNTIF($A$10:A29,A29)&lt;=1,SUMIF($A$10:$A$406,A29,$FH$10:$FH$406),0)</f>
        <v>3385135.1645999998</v>
      </c>
      <c r="HA29" s="137">
        <f t="shared" si="134"/>
        <v>20</v>
      </c>
      <c r="HB29" s="269">
        <f t="shared" si="260"/>
        <v>12428247.09</v>
      </c>
      <c r="HC29" s="414" t="s">
        <v>622</v>
      </c>
      <c r="HD29" s="163">
        <f t="shared" si="261"/>
        <v>0</v>
      </c>
      <c r="HE29" s="137">
        <f t="array" ref="HE29">IF(HB29=0,0,LARGE(IF($GZ$10:$GZ$406=HB29,$GY$10:$GY$406,0),COUNTIF($HB$10:$HB$406,HB29)-COUNTIF(HB$9:HB28,HB29)))</f>
        <v>48</v>
      </c>
      <c r="HF29" s="270">
        <f t="shared" si="262"/>
        <v>0</v>
      </c>
      <c r="HG29"/>
      <c r="HH29" s="268">
        <f t="shared" si="263"/>
        <v>0</v>
      </c>
      <c r="HI29" s="271">
        <v>0</v>
      </c>
      <c r="HJ29" s="264">
        <f t="shared" si="264"/>
        <v>0</v>
      </c>
      <c r="HL29" s="137">
        <f t="shared" si="265"/>
        <v>20</v>
      </c>
      <c r="HM29" s="264">
        <f t="shared" si="300"/>
        <v>9905100.2599999998</v>
      </c>
      <c r="HO29" s="199">
        <f t="shared" si="301"/>
        <v>3385135.1645999998</v>
      </c>
      <c r="HP29" s="199">
        <f t="shared" si="302"/>
        <v>3922066</v>
      </c>
      <c r="HQ29" s="199" t="str">
        <f t="shared" si="303"/>
        <v/>
      </c>
      <c r="HR29" s="199">
        <f>IF(AND(N29="Yes",P29&gt;=6),"",IF($S29="Yes",$R29*$M29,""))</f>
        <v>3385135.1645999998</v>
      </c>
      <c r="HS29" s="199" t="str">
        <f t="shared" si="119"/>
        <v/>
      </c>
      <c r="HT29" s="199">
        <f t="shared" si="305"/>
        <v>3385135.1645999998</v>
      </c>
      <c r="HU29" s="199" t="str">
        <f t="shared" si="306"/>
        <v/>
      </c>
      <c r="HV29" s="200">
        <f t="shared" si="307"/>
        <v>0</v>
      </c>
      <c r="HW29" s="272" t="str">
        <f t="shared" si="308"/>
        <v/>
      </c>
      <c r="HX29" s="200">
        <f t="shared" si="309"/>
        <v>0</v>
      </c>
      <c r="HY29" s="200">
        <f t="shared" si="310"/>
        <v>0</v>
      </c>
      <c r="HZ29" s="200">
        <f t="shared" si="4"/>
        <v>0</v>
      </c>
      <c r="IA29" s="200">
        <f t="shared" si="311"/>
        <v>0</v>
      </c>
      <c r="IB29" s="200">
        <f t="shared" si="312"/>
        <v>0</v>
      </c>
      <c r="IC29" s="273">
        <f>IF(C29="","",INDEX(Lookups!$E$2:$E$69,MATCH('Loan List'!BE29,Lookups!$F$2:$F$69,0)))</f>
        <v>4</v>
      </c>
      <c r="ID29" t="b">
        <f t="shared" si="313"/>
        <v>1</v>
      </c>
      <c r="IF29" s="346">
        <f t="shared" si="347"/>
        <v>0.9</v>
      </c>
    </row>
    <row r="30" spans="1:240">
      <c r="A30" t="s">
        <v>675</v>
      </c>
      <c r="B30" s="242">
        <f t="shared" si="149"/>
        <v>21</v>
      </c>
      <c r="C30" s="242">
        <f>IF(COUNTIF($A$10:A29,A30)&gt;0,C29,C29+1)</f>
        <v>18</v>
      </c>
      <c r="D30" s="428" t="s">
        <v>675</v>
      </c>
      <c r="E30" s="428" t="s">
        <v>678</v>
      </c>
      <c r="F30" s="429"/>
      <c r="G30" s="430">
        <v>5882906.3300000001</v>
      </c>
      <c r="H30" s="430">
        <v>5882906.3300000001</v>
      </c>
      <c r="I30" s="244">
        <f>IF(B30="","",VLOOKUP(BF30,Inputs!$A$12:$J$15,10,FALSE))</f>
        <v>1</v>
      </c>
      <c r="J30" s="245">
        <f t="shared" ref="J30" si="364">IF(B30="","",G30*I30)</f>
        <v>5882906.3300000001</v>
      </c>
      <c r="K30" s="245">
        <f t="shared" ref="K30" si="365">IF(B30="","",H30*I30)</f>
        <v>5882906.3300000001</v>
      </c>
      <c r="L30" s="245">
        <f t="shared" ref="L30" si="366">IF(B30="","",IF(COUNTIF($CF30:$CY30,1)&gt;0,0,J30))</f>
        <v>5882906.3300000001</v>
      </c>
      <c r="M30" s="245">
        <f t="shared" ref="M30" si="367">IF(B30="","",IF(COUNTIF($CF30:$CY30,1)&gt;0,0,K30))</f>
        <v>5882906.3300000001</v>
      </c>
      <c r="N30" s="246" t="s">
        <v>246</v>
      </c>
      <c r="O30" s="246" t="s">
        <v>245</v>
      </c>
      <c r="P30" s="247">
        <f>IF(B30="","",IF(OR(O30="N/A",O30=""),0,YEARFRAC('Borrowing Base'!$J$4,'Loan List'!O30)*12))</f>
        <v>0</v>
      </c>
      <c r="Q30" s="246" t="s">
        <v>246</v>
      </c>
      <c r="R30" s="248">
        <v>0.99250000000000005</v>
      </c>
      <c r="S30" s="249" t="str">
        <f t="shared" ref="S30" si="368">IF(B30="","",IF(R30&lt;95%,"Yes","No"))</f>
        <v>No</v>
      </c>
      <c r="T30" s="248">
        <v>1</v>
      </c>
      <c r="U30" s="250">
        <f t="shared" ref="U30" si="369">IF(B30="","",IF(OR(Y30="First Lien",Y30="Split First Lien",Y30="Tier 1 Split Lien",Y30="Tier 2 Split Lien"),50%,30%))</f>
        <v>0.5</v>
      </c>
      <c r="V30" s="250">
        <f t="shared" ref="V30" si="370">IF(B30="",0,IF(AND(Y30="First Lien",AN30="Tier 1"),IF(AND(X30="Yes",MIN(AH30,$AJ$5)&gt;4.5),(((4.5/MIN(AH30,$AJ$5))*72.5%)+(((MIN(AH30,$AJ$5)-4.5)/MIN(AH30,$AJ$5))*35%)),72.5%),IF(AND(Y30="First Lien",AN30="Tier 2"),IF(AND(X30="Yes",MIN(AH30,$AK$5)&gt;4.5),(((4.5/MIN(AH30,$AK$5))*72.5%)+(((MIN(AH30,$AK$5)-4.5)/MIN(AH30,$AK$5))*35%)),72.5%),IF(AND(X30="Yes",MIN(AH30,$AL$5)&gt;4),(((4/MIN(AH30,$AL$5))*72.5%)+(((MIN(AH30,$AL$5)-4)/MIN(AH30,$AL$5))*35%)),IF(OR(Y30="First Lien",Y30="Split First Lien"),72.5%,IF(Y30="Split Lien", 53%,35%))))))</f>
        <v>0.72499999999999998</v>
      </c>
      <c r="W30" s="251">
        <f t="shared" si="11"/>
        <v>5882906.3300000001</v>
      </c>
      <c r="X30" s="246" t="s">
        <v>246</v>
      </c>
      <c r="Y30" s="252" t="s">
        <v>483</v>
      </c>
      <c r="Z30" s="252" t="s">
        <v>484</v>
      </c>
      <c r="AA30" s="253" t="s">
        <v>407</v>
      </c>
      <c r="AB30" s="253" t="s">
        <v>713</v>
      </c>
      <c r="AC30" s="254">
        <v>1.8983182272787966</v>
      </c>
      <c r="AD30" s="254">
        <v>1.7292358628583167</v>
      </c>
      <c r="AE30" s="254">
        <v>2.1901082231734055</v>
      </c>
      <c r="AF30" s="255">
        <v>0.41798846106063153</v>
      </c>
      <c r="AG30" s="256">
        <v>4.1112871784763971</v>
      </c>
      <c r="AH30" s="256">
        <v>4.1112871784763971</v>
      </c>
      <c r="AI30" s="256">
        <v>3.1753383011623049</v>
      </c>
      <c r="AJ30" s="256">
        <v>3.1753383011623049</v>
      </c>
      <c r="AK30" s="257">
        <v>10147000</v>
      </c>
      <c r="AL30" s="257">
        <v>12189228</v>
      </c>
      <c r="AM30" s="258">
        <v>45838</v>
      </c>
      <c r="AN30" s="245" t="str">
        <f t="shared" ref="AN30" si="371">IF(C30="","",(IF(AK30&gt;=50000000,"Tier 1",(IF(OR(AK30&gt;=20000000,AND(AK30&gt;5000000,AC30&gt;=1.25,AF30&lt;=0.65)),"Tier 2","Tier 3")))))</f>
        <v>Tier 2</v>
      </c>
      <c r="AO30" s="243">
        <v>47844</v>
      </c>
      <c r="AP30" s="259">
        <f>IF(C30="","",DAYS360(Inputs!$J$8,AO30)/360)</f>
        <v>5.3416666666666668</v>
      </c>
      <c r="AQ30" s="259">
        <f t="shared" ref="AQ30" si="372">IF(C30="","",AP30)</f>
        <v>5.3416666666666668</v>
      </c>
      <c r="AR30" s="246" t="s">
        <v>246</v>
      </c>
      <c r="AS30" s="248">
        <v>0</v>
      </c>
      <c r="AT30" s="246" t="s">
        <v>64</v>
      </c>
      <c r="AU30" s="248">
        <v>0.01</v>
      </c>
      <c r="AV30" s="248">
        <v>0.05</v>
      </c>
      <c r="AW30" s="248">
        <v>4.317E-2</v>
      </c>
      <c r="AX30" s="260">
        <f t="shared" ref="AX30" si="373">IF(C30="","",MAX(AU30,AW30))</f>
        <v>4.317E-2</v>
      </c>
      <c r="AY30" s="248">
        <v>0</v>
      </c>
      <c r="AZ30" s="248">
        <v>0</v>
      </c>
      <c r="BA30" s="248">
        <v>0</v>
      </c>
      <c r="BB30" s="407">
        <f t="shared" ref="BB30" si="374">IF(B30="","",IF(AR30="No",AV30-AZ30,""))</f>
        <v>0.05</v>
      </c>
      <c r="BC30" s="407" t="str">
        <f t="shared" ref="BC30" si="375">IF(B30="","",IF(AR30="Yes",AS30-BA30,""))</f>
        <v/>
      </c>
      <c r="BD30" s="252" t="s">
        <v>247</v>
      </c>
      <c r="BE30" s="261" t="s">
        <v>419</v>
      </c>
      <c r="BF30" s="252" t="s">
        <v>7</v>
      </c>
      <c r="BG30" s="252" t="s">
        <v>460</v>
      </c>
      <c r="BH30" s="246" t="s">
        <v>246</v>
      </c>
      <c r="BI30" s="408" t="str">
        <f t="shared" ref="BI30" si="376">IF(B30="","",IF(OR(AND(AZ30&gt;0,BB30&gt;=2.5%,BB30&lt;4%),AND(BA30&gt;0,BC30&gt;=6%,BC30&lt;8%)),"Yes","No"))</f>
        <v>No</v>
      </c>
      <c r="BJ30" s="408" t="str">
        <f t="shared" ref="BJ30" si="377">IF(B30="","",IF(OR(AND(AZ30&gt;0,BB30&lt;2.5%),AND(BA30&gt;0,BC30&lt;6%)),"Yes","No"))</f>
        <v>No</v>
      </c>
      <c r="BK30" s="246" t="s">
        <v>246</v>
      </c>
      <c r="BL30" s="246" t="s">
        <v>246</v>
      </c>
      <c r="BM30" s="246" t="s">
        <v>246</v>
      </c>
      <c r="BN30" s="246" t="s">
        <v>246</v>
      </c>
      <c r="BO30" s="246" t="s">
        <v>246</v>
      </c>
      <c r="BP30" s="246" t="s">
        <v>246</v>
      </c>
      <c r="BQ30" s="246" t="s">
        <v>246</v>
      </c>
      <c r="BR30" s="246" t="s">
        <v>246</v>
      </c>
      <c r="BS30" s="246" t="s">
        <v>246</v>
      </c>
      <c r="BT30" s="246" t="s">
        <v>246</v>
      </c>
      <c r="BU30" s="246" t="s">
        <v>246</v>
      </c>
      <c r="BV30" s="246" t="s">
        <v>246</v>
      </c>
      <c r="BW30" s="246" t="s">
        <v>246</v>
      </c>
      <c r="BX30" s="246" t="s">
        <v>246</v>
      </c>
      <c r="BY30" s="246" t="s">
        <v>246</v>
      </c>
      <c r="BZ30" s="246" t="s">
        <v>246</v>
      </c>
      <c r="CA30" s="246" t="s">
        <v>246</v>
      </c>
      <c r="CB30" s="246" t="s">
        <v>64</v>
      </c>
      <c r="CC30" s="262">
        <f t="shared" ref="CC30" si="378">IF(B30="","",IF(AT30="No",((BB30+AW30)-$AZ$4),((BB30+AX30)-$AZ$4))*IF(DE30&gt;0,0,M30))</f>
        <v>293837.05220830801</v>
      </c>
      <c r="CD30" s="262">
        <f t="shared" ref="CD30" si="379">IF(B30="","",AY30*(L30-M30)*IF(DE30&gt;0,0,1))</f>
        <v>0</v>
      </c>
      <c r="CE30" s="263"/>
      <c r="CF30" s="263">
        <f t="shared" si="150"/>
        <v>0</v>
      </c>
      <c r="CG30" s="263">
        <f t="shared" si="151"/>
        <v>0</v>
      </c>
      <c r="CH30" s="263">
        <f t="shared" si="152"/>
        <v>0</v>
      </c>
      <c r="CI30" s="263">
        <f t="shared" si="153"/>
        <v>0</v>
      </c>
      <c r="CJ30" s="263">
        <f t="shared" si="154"/>
        <v>0</v>
      </c>
      <c r="CK30" s="263">
        <f t="shared" si="155"/>
        <v>0</v>
      </c>
      <c r="CL30" s="263">
        <f t="shared" si="156"/>
        <v>0</v>
      </c>
      <c r="CM30" s="263">
        <f t="shared" si="157"/>
        <v>0</v>
      </c>
      <c r="CN30" s="263">
        <f t="shared" si="158"/>
        <v>0</v>
      </c>
      <c r="CO30" s="263">
        <f t="shared" si="159"/>
        <v>0</v>
      </c>
      <c r="CP30" s="263">
        <f t="shared" si="160"/>
        <v>0</v>
      </c>
      <c r="CQ30" s="263">
        <f t="shared" si="161"/>
        <v>0</v>
      </c>
      <c r="CR30" s="263">
        <f t="shared" si="162"/>
        <v>0</v>
      </c>
      <c r="CS30" s="263">
        <f t="shared" si="163"/>
        <v>0</v>
      </c>
      <c r="CT30" s="263">
        <f t="shared" si="164"/>
        <v>0</v>
      </c>
      <c r="CU30" s="263">
        <f t="shared" si="165"/>
        <v>0</v>
      </c>
      <c r="CV30" s="263">
        <f t="shared" si="166"/>
        <v>0</v>
      </c>
      <c r="CW30" s="263">
        <f t="shared" si="167"/>
        <v>0</v>
      </c>
      <c r="CX30" s="263">
        <f t="shared" si="168"/>
        <v>0</v>
      </c>
      <c r="CY30" s="263">
        <f t="shared" si="169"/>
        <v>0</v>
      </c>
      <c r="CZ30" s="263">
        <f t="shared" si="170"/>
        <v>0</v>
      </c>
      <c r="DA30" s="263">
        <f t="shared" si="171"/>
        <v>0</v>
      </c>
      <c r="DB30" s="263">
        <f t="shared" si="172"/>
        <v>0</v>
      </c>
      <c r="DC30" s="263">
        <f t="shared" si="173"/>
        <v>0</v>
      </c>
      <c r="DD30" s="263">
        <f t="shared" si="174"/>
        <v>0</v>
      </c>
      <c r="DE30" s="263">
        <f t="shared" si="175"/>
        <v>0</v>
      </c>
      <c r="DF30" s="263">
        <f t="shared" si="176"/>
        <v>5882906.3300000001</v>
      </c>
      <c r="DG30" s="263">
        <f t="shared" si="177"/>
        <v>0</v>
      </c>
      <c r="DH30" s="263">
        <f t="shared" si="178"/>
        <v>5882906.3300000001</v>
      </c>
      <c r="DI30" s="263">
        <f t="shared" si="179"/>
        <v>5882906.3300000001</v>
      </c>
      <c r="DJ30" s="263">
        <f t="shared" si="180"/>
        <v>0</v>
      </c>
      <c r="DK30" s="263">
        <f t="shared" si="181"/>
        <v>0</v>
      </c>
      <c r="DL30" s="263">
        <f t="shared" si="182"/>
        <v>0</v>
      </c>
      <c r="DM30" s="263">
        <f t="shared" si="183"/>
        <v>0</v>
      </c>
      <c r="DO30" s="264">
        <f t="shared" si="184"/>
        <v>0</v>
      </c>
      <c r="DP30" s="265">
        <f t="shared" si="185"/>
        <v>0</v>
      </c>
      <c r="DQ30" s="264">
        <f t="shared" si="186"/>
        <v>5882906.3300000001</v>
      </c>
      <c r="DR30" s="264">
        <f t="shared" si="187"/>
        <v>0</v>
      </c>
      <c r="DS30" s="265">
        <f t="shared" si="188"/>
        <v>0</v>
      </c>
      <c r="DT30" s="264">
        <f t="shared" si="189"/>
        <v>5882906.3300000001</v>
      </c>
      <c r="DU30" s="264">
        <f t="shared" si="190"/>
        <v>0</v>
      </c>
      <c r="DV30" s="265">
        <f t="shared" si="191"/>
        <v>0</v>
      </c>
      <c r="DW30" s="264">
        <f t="shared" si="192"/>
        <v>5882906.3300000001</v>
      </c>
      <c r="DX30" s="264">
        <f t="shared" si="193"/>
        <v>0</v>
      </c>
      <c r="DY30" s="265">
        <f t="shared" si="194"/>
        <v>0</v>
      </c>
      <c r="DZ30" s="264">
        <f t="shared" si="195"/>
        <v>5882906.3300000001</v>
      </c>
      <c r="EA30" s="264">
        <f t="shared" si="196"/>
        <v>0</v>
      </c>
      <c r="EB30" s="265">
        <f t="shared" si="197"/>
        <v>0</v>
      </c>
      <c r="EC30" s="264">
        <f t="shared" si="198"/>
        <v>5882906.3300000001</v>
      </c>
      <c r="ED30" s="264">
        <f t="shared" si="199"/>
        <v>0</v>
      </c>
      <c r="EE30" s="265">
        <f t="shared" si="200"/>
        <v>0</v>
      </c>
      <c r="EF30" s="264">
        <f t="shared" si="201"/>
        <v>5882906.3300000001</v>
      </c>
      <c r="EG30" s="264">
        <f t="shared" si="202"/>
        <v>0</v>
      </c>
      <c r="EH30" s="265">
        <f t="shared" si="203"/>
        <v>0</v>
      </c>
      <c r="EI30" s="264">
        <f t="shared" si="204"/>
        <v>5882906.3300000001</v>
      </c>
      <c r="EJ30" s="264">
        <f t="shared" si="205"/>
        <v>0</v>
      </c>
      <c r="EK30" s="265">
        <f t="shared" si="206"/>
        <v>0</v>
      </c>
      <c r="EL30" s="264">
        <f t="shared" si="207"/>
        <v>5882906.3300000001</v>
      </c>
      <c r="EM30" s="264">
        <f t="shared" si="208"/>
        <v>0</v>
      </c>
      <c r="EN30" s="265">
        <f t="shared" si="209"/>
        <v>0</v>
      </c>
      <c r="EO30" s="264">
        <f t="shared" si="210"/>
        <v>5882906.3300000001</v>
      </c>
      <c r="EP30" s="264">
        <f t="shared" si="211"/>
        <v>0</v>
      </c>
      <c r="EQ30" s="265">
        <f t="shared" si="212"/>
        <v>0</v>
      </c>
      <c r="ER30" s="264">
        <f t="shared" si="213"/>
        <v>5882906.3300000001</v>
      </c>
      <c r="ES30" s="264">
        <f t="shared" si="214"/>
        <v>0</v>
      </c>
      <c r="ET30" s="265">
        <f t="shared" si="215"/>
        <v>0</v>
      </c>
      <c r="EU30" s="264">
        <f t="shared" si="216"/>
        <v>5882906.3300000001</v>
      </c>
      <c r="EV30" s="264">
        <f>IF(AND(BM30="Yes",OR(BN30="No",AND(BN30="Yes",Inputs!$J$8=Inputs!$J$17+75))),EU30,0)</f>
        <v>0</v>
      </c>
      <c r="EW30" s="265">
        <f t="shared" si="217"/>
        <v>0</v>
      </c>
      <c r="EX30" s="264">
        <f t="shared" si="218"/>
        <v>5882906.3300000001</v>
      </c>
      <c r="EY30" s="264">
        <f t="shared" si="219"/>
        <v>0</v>
      </c>
      <c r="EZ30" s="265">
        <f t="shared" si="220"/>
        <v>0</v>
      </c>
      <c r="FA30" s="264">
        <f t="shared" si="221"/>
        <v>5882906.3300000001</v>
      </c>
      <c r="FB30" s="264">
        <f t="shared" si="222"/>
        <v>0</v>
      </c>
      <c r="FC30" s="265">
        <f t="shared" si="223"/>
        <v>0</v>
      </c>
      <c r="FD30" s="264">
        <f t="shared" si="224"/>
        <v>5882906.3300000001</v>
      </c>
      <c r="FE30" s="264">
        <f t="shared" si="225"/>
        <v>0</v>
      </c>
      <c r="FF30" s="265">
        <f t="shared" si="226"/>
        <v>0</v>
      </c>
      <c r="FG30" s="264">
        <f t="shared" si="227"/>
        <v>5882906.3300000001</v>
      </c>
      <c r="FH30" s="264">
        <f t="shared" si="228"/>
        <v>5882906.3300000001</v>
      </c>
      <c r="FI30" s="264">
        <f t="shared" si="229"/>
        <v>0</v>
      </c>
      <c r="FJ30" s="264">
        <f t="shared" si="230"/>
        <v>5882906.3300000001</v>
      </c>
      <c r="FK30" s="264">
        <f t="shared" si="231"/>
        <v>5882906.3300000001</v>
      </c>
      <c r="FL30" s="264">
        <f t="shared" si="232"/>
        <v>0</v>
      </c>
      <c r="FM30" s="264">
        <f t="shared" si="233"/>
        <v>5882906.3300000001</v>
      </c>
      <c r="FN30" s="264">
        <f t="shared" si="234"/>
        <v>5882906.3300000001</v>
      </c>
      <c r="FO30" s="264">
        <f t="shared" si="235"/>
        <v>0</v>
      </c>
      <c r="FP30" s="264">
        <f t="shared" si="236"/>
        <v>5882906.3300000001</v>
      </c>
      <c r="FQ30" s="264">
        <f t="shared" si="237"/>
        <v>0</v>
      </c>
      <c r="FR30" s="265">
        <f t="shared" si="238"/>
        <v>0</v>
      </c>
      <c r="FS30" s="264">
        <f t="shared" si="239"/>
        <v>5882906.3300000001</v>
      </c>
      <c r="FT30" s="264">
        <f t="shared" si="240"/>
        <v>5882906.3300000001</v>
      </c>
      <c r="FU30" s="265">
        <f t="shared" si="241"/>
        <v>0</v>
      </c>
      <c r="FV30" s="264">
        <f t="shared" si="242"/>
        <v>5882906.3300000001</v>
      </c>
      <c r="FW30" s="264">
        <f t="shared" si="243"/>
        <v>0</v>
      </c>
      <c r="FX30" s="264">
        <f t="shared" si="244"/>
        <v>0</v>
      </c>
      <c r="FY30" s="264">
        <f t="shared" si="245"/>
        <v>0</v>
      </c>
      <c r="FZ30" s="264">
        <f t="shared" si="246"/>
        <v>0</v>
      </c>
      <c r="GA30" s="265">
        <f t="shared" si="296"/>
        <v>0</v>
      </c>
      <c r="GB30" s="264">
        <f t="shared" si="297"/>
        <v>5882906.3300000001</v>
      </c>
      <c r="GC30" s="264">
        <f t="shared" si="247"/>
        <v>5882906.3300000001</v>
      </c>
      <c r="GD30" s="266">
        <f t="shared" si="248"/>
        <v>4265107.0892500002</v>
      </c>
      <c r="GE30" s="138">
        <f t="shared" si="249"/>
        <v>0.72499999999999998</v>
      </c>
      <c r="GF30" s="267">
        <f t="shared" si="250"/>
        <v>37</v>
      </c>
      <c r="GG30" s="264">
        <f t="array" ref="GG30">IF(SUM(IF(IC$9:IC29=IC30,1,0))&gt;0,0,SUMIF($IC$10:$IC$406,IC30,$FJ$10:$FJ$406))</f>
        <v>5882906.3300000001</v>
      </c>
      <c r="GH30" s="268">
        <f t="shared" si="251"/>
        <v>5882906.3300000001</v>
      </c>
      <c r="GI30" s="137">
        <f t="shared" si="126"/>
        <v>21</v>
      </c>
      <c r="GJ30" s="269">
        <f t="shared" si="252"/>
        <v>4567103.2099000001</v>
      </c>
      <c r="GK30" s="269">
        <f t="shared" si="253"/>
        <v>152892852.51729038</v>
      </c>
      <c r="GL30" s="163">
        <f t="shared" si="254"/>
        <v>0</v>
      </c>
      <c r="GM30" s="137">
        <f t="array" ref="GM30">IF(GJ30=0,0,LARGE(IF($GG$10:$GG$406=GJ30,$GF$10:$GF$406,0),COUNTIF($GJ$10:$GJ$406,GJ30)-COUNTIF(GJ$9:GJ29,GJ30)))</f>
        <v>62</v>
      </c>
      <c r="GN30" s="270">
        <f t="shared" si="255"/>
        <v>0</v>
      </c>
      <c r="GP30" s="137">
        <f>IF(C30="","",IF(ISERROR(MATCH(C30,C$10:C29,0)),MAX(GP$10:GP29)+1,INDEX(GP$10:GP29,MATCH(C30,C$10:C29,0))))</f>
        <v>18</v>
      </c>
      <c r="GQ30" s="264">
        <f>IF(COUNTIF($A$10:A30,A30)&lt;=1,SUMIF($A$10:$A$406,A30,$FH$10:$FH$406),0)</f>
        <v>5882906.3300000001</v>
      </c>
      <c r="GR30" s="137">
        <f t="shared" si="130"/>
        <v>21</v>
      </c>
      <c r="GS30" s="269">
        <f t="shared" si="256"/>
        <v>12271677.58</v>
      </c>
      <c r="GT30" s="269">
        <f t="shared" si="257"/>
        <v>50964284.172430128</v>
      </c>
      <c r="GU30" s="163">
        <f t="shared" si="258"/>
        <v>0</v>
      </c>
      <c r="GV30" s="137">
        <f t="array" ref="GV30">IF(GS30=0,0,LARGE(IF($GQ$10:$GQ$406=GS30,$GP$10:$GP$406,0),COUNTIF($GS$10:$GS$406,GS30)-COUNTIF(GS$9:GS29,GS30)))</f>
        <v>62</v>
      </c>
      <c r="GW30" s="270">
        <f t="shared" si="259"/>
        <v>0</v>
      </c>
      <c r="GX30" s="270"/>
      <c r="GY30" s="137">
        <f>IF(C30="","",IF(ISERROR(MATCH(C30,C$10:C29,0)),MAX(GP$10:GP29)+1,INDEX(GP$10:GP29,MATCH(C30,C$10:C29,0))))</f>
        <v>18</v>
      </c>
      <c r="GZ30" s="264">
        <f>IF(COUNTIF($A$10:A30,A30)&lt;=1,SUMIF($A$10:$A$406,A30,$FH$10:$FH$406),0)</f>
        <v>5882906.3300000001</v>
      </c>
      <c r="HA30" s="137">
        <f t="shared" si="134"/>
        <v>21</v>
      </c>
      <c r="HB30" s="269">
        <f t="shared" si="260"/>
        <v>12271677.58</v>
      </c>
      <c r="HC30" s="414" t="s">
        <v>622</v>
      </c>
      <c r="HD30" s="163">
        <f t="shared" si="261"/>
        <v>0</v>
      </c>
      <c r="HE30" s="137">
        <f t="array" ref="HE30">IF(HB30=0,0,LARGE(IF($GZ$10:$GZ$406=HB30,$GY$10:$GY$406,0),COUNTIF($HB$10:$HB$406,HB30)-COUNTIF(HB$9:HB29,HB30)))</f>
        <v>62</v>
      </c>
      <c r="HF30" s="270">
        <f t="shared" si="262"/>
        <v>0</v>
      </c>
      <c r="HG30"/>
      <c r="HH30" s="268">
        <f t="shared" si="263"/>
        <v>0</v>
      </c>
      <c r="HI30" s="271">
        <v>0</v>
      </c>
      <c r="HJ30" s="264">
        <f t="shared" si="264"/>
        <v>0</v>
      </c>
      <c r="HL30" s="137">
        <f t="shared" si="265"/>
        <v>21</v>
      </c>
      <c r="HM30" s="264">
        <f t="shared" si="300"/>
        <v>4627663</v>
      </c>
      <c r="HO30" s="199">
        <f t="shared" si="301"/>
        <v>5882906.3300000001</v>
      </c>
      <c r="HP30" s="199">
        <f t="shared" si="302"/>
        <v>5882906.3300000001</v>
      </c>
      <c r="HQ30" s="199" t="str">
        <f t="shared" si="303"/>
        <v/>
      </c>
      <c r="HR30" s="199" t="str">
        <f t="shared" si="304"/>
        <v/>
      </c>
      <c r="HS30" s="199" t="str">
        <f t="shared" si="119"/>
        <v/>
      </c>
      <c r="HT30" s="199" t="str">
        <f t="shared" si="305"/>
        <v/>
      </c>
      <c r="HU30" s="199" t="str">
        <f t="shared" si="306"/>
        <v/>
      </c>
      <c r="HV30" s="200">
        <f t="shared" si="307"/>
        <v>0</v>
      </c>
      <c r="HW30" s="272">
        <f t="shared" si="308"/>
        <v>1</v>
      </c>
      <c r="HX30" s="200" t="str">
        <f t="shared" si="309"/>
        <v/>
      </c>
      <c r="HY30" s="200">
        <f t="shared" si="310"/>
        <v>0</v>
      </c>
      <c r="HZ30" s="200" t="str">
        <f t="shared" si="4"/>
        <v/>
      </c>
      <c r="IA30" s="200" t="str">
        <f t="shared" si="311"/>
        <v/>
      </c>
      <c r="IB30" s="200" t="str">
        <f t="shared" si="312"/>
        <v/>
      </c>
      <c r="IC30" s="273">
        <f>IF(C30="","",INDEX(Lookups!$E$2:$E$69,MATCH('Loan List'!BE30,Lookups!$F$2:$F$69,0)))</f>
        <v>37</v>
      </c>
      <c r="ID30" t="b">
        <f t="shared" si="313"/>
        <v>1</v>
      </c>
      <c r="IF30" s="346" t="str">
        <f t="shared" ref="IF30" si="380">IF(B30="","",IF(AND(Y30="Second Lien",OR(DA30=1,DB30=1,DC30=1)),50%,IF(DA30=1,90%,IF(DB30=1,80%,IF(DC30=1,65%,"No Initial Haircut")))))</f>
        <v>No Initial Haircut</v>
      </c>
    </row>
    <row r="31" spans="1:240">
      <c r="A31" t="s">
        <v>248</v>
      </c>
      <c r="B31" s="242">
        <f t="shared" si="149"/>
        <v>22</v>
      </c>
      <c r="C31" s="242">
        <f>IF(COUNTIF($A$10:A30,A31)&gt;0,C30,C30+1)</f>
        <v>19</v>
      </c>
      <c r="D31" s="428" t="s">
        <v>248</v>
      </c>
      <c r="E31" s="428" t="s">
        <v>472</v>
      </c>
      <c r="F31" s="429"/>
      <c r="G31" s="430">
        <v>25445609.859999999</v>
      </c>
      <c r="H31" s="430">
        <v>25445609.859999999</v>
      </c>
      <c r="I31" s="244">
        <f>IF(B31="","",VLOOKUP(BF31,Inputs!$A$12:$J$15,10,FALSE))</f>
        <v>1</v>
      </c>
      <c r="J31" s="245">
        <f t="shared" si="5"/>
        <v>25445609.859999999</v>
      </c>
      <c r="K31" s="245">
        <f t="shared" si="6"/>
        <v>25445609.859999999</v>
      </c>
      <c r="L31" s="245">
        <f t="shared" si="7"/>
        <v>25445609.859999999</v>
      </c>
      <c r="M31" s="245">
        <f t="shared" si="8"/>
        <v>25445609.859999999</v>
      </c>
      <c r="N31" s="246" t="s">
        <v>246</v>
      </c>
      <c r="O31" s="246" t="s">
        <v>245</v>
      </c>
      <c r="P31" s="247">
        <f>IF(B31="","",IF(OR(O31="N/A",O31=""),0,YEARFRAC('Borrowing Base'!$J$4,'Loan List'!O31)*12))</f>
        <v>0</v>
      </c>
      <c r="Q31" s="246" t="s">
        <v>246</v>
      </c>
      <c r="R31" s="248">
        <v>0.99814277310933508</v>
      </c>
      <c r="S31" s="249" t="str">
        <f t="shared" si="1"/>
        <v>No</v>
      </c>
      <c r="T31" s="248">
        <v>0.9925000001552331</v>
      </c>
      <c r="U31" s="250">
        <f t="shared" si="9"/>
        <v>0.5</v>
      </c>
      <c r="V31" s="250">
        <f t="shared" si="10"/>
        <v>0.6423719748132104</v>
      </c>
      <c r="W31" s="251">
        <f t="shared" si="11"/>
        <v>25445609.859999999</v>
      </c>
      <c r="X31" s="246" t="s">
        <v>64</v>
      </c>
      <c r="Y31" s="252" t="s">
        <v>483</v>
      </c>
      <c r="Z31" s="252" t="s">
        <v>484</v>
      </c>
      <c r="AA31" s="253" t="s">
        <v>407</v>
      </c>
      <c r="AB31" s="253" t="s">
        <v>713</v>
      </c>
      <c r="AC31" s="254">
        <v>1.99</v>
      </c>
      <c r="AD31" s="254">
        <v>1.5111458950351011</v>
      </c>
      <c r="AE31" s="254">
        <v>1.8242042690493716</v>
      </c>
      <c r="AF31" s="255">
        <v>0.52470518423354484</v>
      </c>
      <c r="AG31" s="256">
        <v>5.4401602434822323</v>
      </c>
      <c r="AH31" s="256">
        <v>5.7717570265689924</v>
      </c>
      <c r="AI31" s="256">
        <v>5.9339210343677609</v>
      </c>
      <c r="AJ31" s="256">
        <v>6.0060275356701842</v>
      </c>
      <c r="AK31" s="257">
        <v>60314216</v>
      </c>
      <c r="AL31" s="257">
        <v>110947000</v>
      </c>
      <c r="AM31" s="258">
        <v>45838</v>
      </c>
      <c r="AN31" s="245" t="str">
        <f t="shared" si="12"/>
        <v>Tier 1</v>
      </c>
      <c r="AO31" s="243">
        <v>48044</v>
      </c>
      <c r="AP31" s="259">
        <f>IF(C31="","",DAYS360(Inputs!$J$8,AO31)/360)</f>
        <v>5.8916666666666666</v>
      </c>
      <c r="AQ31" s="259">
        <f t="shared" si="13"/>
        <v>5.8916666666666666</v>
      </c>
      <c r="AR31" s="246" t="s">
        <v>246</v>
      </c>
      <c r="AS31" s="248">
        <v>0</v>
      </c>
      <c r="AT31" s="246" t="s">
        <v>64</v>
      </c>
      <c r="AU31" s="248">
        <v>0.01</v>
      </c>
      <c r="AV31" s="248">
        <v>6.4699999999999994E-2</v>
      </c>
      <c r="AW31" s="248">
        <v>3.3476000000000006E-2</v>
      </c>
      <c r="AX31" s="260">
        <f t="shared" si="14"/>
        <v>3.3476000000000006E-2</v>
      </c>
      <c r="AY31" s="248">
        <v>0</v>
      </c>
      <c r="AZ31" s="248">
        <v>0</v>
      </c>
      <c r="BA31" s="248">
        <v>0</v>
      </c>
      <c r="BB31" s="407">
        <f t="shared" si="15"/>
        <v>6.4699999999999994E-2</v>
      </c>
      <c r="BC31" s="407" t="str">
        <f t="shared" si="16"/>
        <v/>
      </c>
      <c r="BD31" s="252" t="s">
        <v>247</v>
      </c>
      <c r="BE31" s="261" t="s">
        <v>427</v>
      </c>
      <c r="BF31" s="252" t="s">
        <v>7</v>
      </c>
      <c r="BG31" s="252" t="s">
        <v>460</v>
      </c>
      <c r="BH31" s="246" t="s">
        <v>246</v>
      </c>
      <c r="BI31" s="408" t="str">
        <f t="shared" ref="BI31" si="381">IF(B31="","",IF(OR(AND(AZ31&gt;0,BB31&gt;=2.5%,BB31&lt;4%),AND(BA31&gt;0,BC31&gt;=6%,BC31&lt;8%)),"Yes","No"))</f>
        <v>No</v>
      </c>
      <c r="BJ31" s="408" t="str">
        <f t="shared" ref="BJ31" si="382">IF(B31="","",IF(OR(AND(AZ31&gt;0,BB31&lt;2.5%),AND(BA31&gt;0,BC31&lt;6%)),"Yes","No"))</f>
        <v>No</v>
      </c>
      <c r="BK31" s="246" t="s">
        <v>246</v>
      </c>
      <c r="BL31" s="246" t="s">
        <v>246</v>
      </c>
      <c r="BM31" s="246" t="s">
        <v>246</v>
      </c>
      <c r="BN31" s="246" t="s">
        <v>246</v>
      </c>
      <c r="BO31" s="246" t="s">
        <v>246</v>
      </c>
      <c r="BP31" s="246" t="s">
        <v>246</v>
      </c>
      <c r="BQ31" s="246" t="s">
        <v>246</v>
      </c>
      <c r="BR31" s="246" t="s">
        <v>246</v>
      </c>
      <c r="BS31" s="246" t="s">
        <v>246</v>
      </c>
      <c r="BT31" s="246" t="s">
        <v>246</v>
      </c>
      <c r="BU31" s="246" t="s">
        <v>246</v>
      </c>
      <c r="BV31" s="246" t="s">
        <v>246</v>
      </c>
      <c r="BW31" s="246" t="s">
        <v>246</v>
      </c>
      <c r="BX31" s="246" t="s">
        <v>246</v>
      </c>
      <c r="BY31" s="246" t="s">
        <v>246</v>
      </c>
      <c r="BZ31" s="246" t="s">
        <v>246</v>
      </c>
      <c r="CA31" s="246" t="s">
        <v>246</v>
      </c>
      <c r="CB31" s="246" t="s">
        <v>64</v>
      </c>
      <c r="CC31" s="262">
        <f t="shared" si="19"/>
        <v>1398327.8660024959</v>
      </c>
      <c r="CD31" s="262">
        <f t="shared" si="20"/>
        <v>0</v>
      </c>
      <c r="CE31" s="263"/>
      <c r="CF31" s="263">
        <f t="shared" si="150"/>
        <v>0</v>
      </c>
      <c r="CG31" s="263">
        <f t="shared" si="151"/>
        <v>0</v>
      </c>
      <c r="CH31" s="263">
        <f t="shared" si="152"/>
        <v>0</v>
      </c>
      <c r="CI31" s="263">
        <f t="shared" si="153"/>
        <v>0</v>
      </c>
      <c r="CJ31" s="263">
        <f t="shared" si="154"/>
        <v>0</v>
      </c>
      <c r="CK31" s="263">
        <f t="shared" si="155"/>
        <v>0</v>
      </c>
      <c r="CL31" s="263">
        <f t="shared" si="156"/>
        <v>0</v>
      </c>
      <c r="CM31" s="263">
        <f t="shared" si="157"/>
        <v>0</v>
      </c>
      <c r="CN31" s="263">
        <f t="shared" si="158"/>
        <v>0</v>
      </c>
      <c r="CO31" s="263">
        <f t="shared" si="159"/>
        <v>0</v>
      </c>
      <c r="CP31" s="263">
        <f t="shared" si="160"/>
        <v>0</v>
      </c>
      <c r="CQ31" s="263">
        <f t="shared" si="161"/>
        <v>0</v>
      </c>
      <c r="CR31" s="263">
        <f t="shared" si="162"/>
        <v>0</v>
      </c>
      <c r="CS31" s="263">
        <f t="shared" si="163"/>
        <v>0</v>
      </c>
      <c r="CT31" s="263">
        <f t="shared" si="164"/>
        <v>0</v>
      </c>
      <c r="CU31" s="263">
        <f t="shared" si="165"/>
        <v>0</v>
      </c>
      <c r="CV31" s="263">
        <f t="shared" si="166"/>
        <v>0</v>
      </c>
      <c r="CW31" s="263">
        <f t="shared" si="167"/>
        <v>0</v>
      </c>
      <c r="CX31" s="263">
        <f t="shared" si="168"/>
        <v>0</v>
      </c>
      <c r="CY31" s="263">
        <f t="shared" si="169"/>
        <v>0</v>
      </c>
      <c r="CZ31" s="263">
        <f t="shared" si="170"/>
        <v>0</v>
      </c>
      <c r="DA31" s="263">
        <f t="shared" si="171"/>
        <v>0</v>
      </c>
      <c r="DB31" s="263">
        <f t="shared" si="172"/>
        <v>0</v>
      </c>
      <c r="DC31" s="263">
        <f t="shared" si="173"/>
        <v>0</v>
      </c>
      <c r="DD31" s="263">
        <f t="shared" si="174"/>
        <v>0</v>
      </c>
      <c r="DE31" s="263">
        <f t="shared" si="175"/>
        <v>0</v>
      </c>
      <c r="DF31" s="263">
        <f t="shared" si="176"/>
        <v>25445609.859999999</v>
      </c>
      <c r="DG31" s="263">
        <f t="shared" si="177"/>
        <v>0</v>
      </c>
      <c r="DH31" s="263">
        <f t="shared" si="178"/>
        <v>25445609.859999999</v>
      </c>
      <c r="DI31" s="263">
        <f t="shared" si="179"/>
        <v>25445609.859999999</v>
      </c>
      <c r="DJ31" s="263">
        <f t="shared" si="180"/>
        <v>0</v>
      </c>
      <c r="DK31" s="263">
        <f t="shared" si="181"/>
        <v>0</v>
      </c>
      <c r="DL31" s="263">
        <f t="shared" si="182"/>
        <v>0</v>
      </c>
      <c r="DM31" s="263">
        <f t="shared" si="183"/>
        <v>0</v>
      </c>
      <c r="DO31" s="264">
        <f t="shared" si="184"/>
        <v>0</v>
      </c>
      <c r="DP31" s="265">
        <f t="shared" si="185"/>
        <v>0</v>
      </c>
      <c r="DQ31" s="264">
        <f t="shared" si="186"/>
        <v>25445609.859999999</v>
      </c>
      <c r="DR31" s="264">
        <f t="shared" si="187"/>
        <v>0</v>
      </c>
      <c r="DS31" s="265">
        <f t="shared" si="188"/>
        <v>0</v>
      </c>
      <c r="DT31" s="264">
        <f t="shared" si="189"/>
        <v>25445609.859999999</v>
      </c>
      <c r="DU31" s="264">
        <f t="shared" si="190"/>
        <v>0</v>
      </c>
      <c r="DV31" s="265">
        <f t="shared" si="191"/>
        <v>0</v>
      </c>
      <c r="DW31" s="264">
        <f t="shared" si="192"/>
        <v>25445609.859999999</v>
      </c>
      <c r="DX31" s="264">
        <f t="shared" si="193"/>
        <v>0</v>
      </c>
      <c r="DY31" s="265">
        <f t="shared" si="194"/>
        <v>0</v>
      </c>
      <c r="DZ31" s="264">
        <f t="shared" si="195"/>
        <v>25445609.859999999</v>
      </c>
      <c r="EA31" s="264">
        <f t="shared" si="196"/>
        <v>0</v>
      </c>
      <c r="EB31" s="265">
        <f t="shared" si="197"/>
        <v>0</v>
      </c>
      <c r="EC31" s="264">
        <f t="shared" si="198"/>
        <v>25445609.859999999</v>
      </c>
      <c r="ED31" s="264">
        <f t="shared" si="199"/>
        <v>0</v>
      </c>
      <c r="EE31" s="265">
        <f t="shared" si="200"/>
        <v>0</v>
      </c>
      <c r="EF31" s="264">
        <f t="shared" si="201"/>
        <v>25445609.859999999</v>
      </c>
      <c r="EG31" s="264">
        <f t="shared" si="202"/>
        <v>0</v>
      </c>
      <c r="EH31" s="265">
        <f t="shared" si="203"/>
        <v>0</v>
      </c>
      <c r="EI31" s="264">
        <f t="shared" si="204"/>
        <v>25445609.859999999</v>
      </c>
      <c r="EJ31" s="264">
        <f t="shared" si="205"/>
        <v>0</v>
      </c>
      <c r="EK31" s="265">
        <f t="shared" si="206"/>
        <v>0</v>
      </c>
      <c r="EL31" s="264">
        <f t="shared" si="207"/>
        <v>25445609.859999999</v>
      </c>
      <c r="EM31" s="264">
        <f t="shared" si="208"/>
        <v>0</v>
      </c>
      <c r="EN31" s="265">
        <f t="shared" si="209"/>
        <v>0</v>
      </c>
      <c r="EO31" s="264">
        <f t="shared" si="210"/>
        <v>25445609.859999999</v>
      </c>
      <c r="EP31" s="264">
        <f t="shared" si="211"/>
        <v>0</v>
      </c>
      <c r="EQ31" s="265">
        <f t="shared" si="212"/>
        <v>0</v>
      </c>
      <c r="ER31" s="264">
        <f t="shared" si="213"/>
        <v>25445609.859999999</v>
      </c>
      <c r="ES31" s="264">
        <f t="shared" si="214"/>
        <v>0</v>
      </c>
      <c r="ET31" s="265">
        <f t="shared" si="215"/>
        <v>0</v>
      </c>
      <c r="EU31" s="264">
        <f t="shared" si="216"/>
        <v>25445609.859999999</v>
      </c>
      <c r="EV31" s="264">
        <f>IF(AND(BM31="Yes",OR(BN31="No",AND(BN31="Yes",Inputs!$J$8=Inputs!$J$17+75))),EU31,0)</f>
        <v>0</v>
      </c>
      <c r="EW31" s="265">
        <f t="shared" si="217"/>
        <v>0</v>
      </c>
      <c r="EX31" s="264">
        <f t="shared" si="218"/>
        <v>25445609.859999999</v>
      </c>
      <c r="EY31" s="264">
        <f t="shared" si="219"/>
        <v>0</v>
      </c>
      <c r="EZ31" s="265">
        <f t="shared" si="220"/>
        <v>0</v>
      </c>
      <c r="FA31" s="264">
        <f t="shared" si="221"/>
        <v>25445609.859999999</v>
      </c>
      <c r="FB31" s="264">
        <f t="shared" si="222"/>
        <v>0</v>
      </c>
      <c r="FC31" s="265">
        <f t="shared" si="223"/>
        <v>0</v>
      </c>
      <c r="FD31" s="264">
        <f t="shared" si="224"/>
        <v>25445609.859999999</v>
      </c>
      <c r="FE31" s="264">
        <f t="shared" si="225"/>
        <v>0</v>
      </c>
      <c r="FF31" s="265">
        <f t="shared" si="226"/>
        <v>0</v>
      </c>
      <c r="FG31" s="264">
        <f t="shared" si="227"/>
        <v>25445609.859999999</v>
      </c>
      <c r="FH31" s="264">
        <f t="shared" si="228"/>
        <v>25445609.859999999</v>
      </c>
      <c r="FI31" s="264">
        <f t="shared" si="229"/>
        <v>0</v>
      </c>
      <c r="FJ31" s="264">
        <f t="shared" si="230"/>
        <v>25445609.859999999</v>
      </c>
      <c r="FK31" s="264">
        <f t="shared" si="231"/>
        <v>25445609.859999999</v>
      </c>
      <c r="FL31" s="264">
        <f t="shared" si="232"/>
        <v>0</v>
      </c>
      <c r="FM31" s="264">
        <f t="shared" si="233"/>
        <v>25445609.859999999</v>
      </c>
      <c r="FN31" s="264">
        <f t="shared" si="234"/>
        <v>25445609.859999999</v>
      </c>
      <c r="FO31" s="264">
        <f t="shared" si="235"/>
        <v>0</v>
      </c>
      <c r="FP31" s="264">
        <f t="shared" si="236"/>
        <v>25445609.859999999</v>
      </c>
      <c r="FQ31" s="264">
        <f t="shared" si="237"/>
        <v>0</v>
      </c>
      <c r="FR31" s="265">
        <f t="shared" si="238"/>
        <v>0</v>
      </c>
      <c r="FS31" s="264">
        <f t="shared" si="239"/>
        <v>25445609.859999999</v>
      </c>
      <c r="FT31" s="264">
        <f t="shared" si="240"/>
        <v>0</v>
      </c>
      <c r="FU31" s="265">
        <f t="shared" si="241"/>
        <v>0</v>
      </c>
      <c r="FV31" s="264">
        <f t="shared" si="242"/>
        <v>25445609.859999999</v>
      </c>
      <c r="FW31" s="264">
        <f t="shared" si="243"/>
        <v>0</v>
      </c>
      <c r="FX31" s="264">
        <f t="shared" si="244"/>
        <v>0</v>
      </c>
      <c r="FY31" s="264">
        <f t="shared" si="245"/>
        <v>25445609.859999999</v>
      </c>
      <c r="FZ31" s="264">
        <f t="shared" si="246"/>
        <v>25445609.859999999</v>
      </c>
      <c r="GA31" s="265">
        <f t="shared" si="296"/>
        <v>114007.65263835441</v>
      </c>
      <c r="GB31" s="264">
        <f t="shared" si="297"/>
        <v>25331602.207361646</v>
      </c>
      <c r="GC31" s="264">
        <f t="shared" si="247"/>
        <v>25331602.207361646</v>
      </c>
      <c r="GD31" s="266">
        <f t="shared" si="248"/>
        <v>16272311.33512558</v>
      </c>
      <c r="GE31" s="138">
        <f t="shared" si="249"/>
        <v>0.6394938625819826</v>
      </c>
      <c r="GF31" s="267">
        <f t="shared" si="250"/>
        <v>41</v>
      </c>
      <c r="GG31" s="264">
        <f t="array" ref="GG31">IF(SUM(IF(IC$9:IC30=IC31,1,0))&gt;0,0,SUMIF($IC$10:$IC$406,IC31,$FJ$10:$FJ$406))</f>
        <v>0</v>
      </c>
      <c r="GH31" s="268">
        <f t="shared" si="251"/>
        <v>0</v>
      </c>
      <c r="GI31" s="137">
        <f t="shared" si="126"/>
        <v>22</v>
      </c>
      <c r="GJ31" s="269">
        <f t="shared" si="252"/>
        <v>3963790.73</v>
      </c>
      <c r="GK31" s="269">
        <f t="shared" si="253"/>
        <v>152892852.51729038</v>
      </c>
      <c r="GL31" s="163">
        <f t="shared" si="254"/>
        <v>0</v>
      </c>
      <c r="GM31" s="137">
        <f t="array" ref="GM31">IF(GJ31=0,0,LARGE(IF($GG$10:$GG$406=GJ31,$GF$10:$GF$406,0),COUNTIF($GJ$10:$GJ$406,GJ31)-COUNTIF(GJ$9:GJ30,GJ31)))</f>
        <v>38</v>
      </c>
      <c r="GN31" s="270">
        <f t="shared" si="255"/>
        <v>0</v>
      </c>
      <c r="GP31" s="137">
        <f>IF(C31="","",IF(ISERROR(MATCH(C31,C$10:C30,0)),MAX(GP$10:GP30)+1,INDEX(GP$10:GP30,MATCH(C31,C$10:C30,0))))</f>
        <v>19</v>
      </c>
      <c r="GQ31" s="264">
        <f>IF(COUNTIF($A$10:A31,A31)&lt;=1,SUMIF($A$10:$A$406,A31,$FH$10:$FH$406),0)</f>
        <v>27610421.649999999</v>
      </c>
      <c r="GR31" s="137">
        <f t="shared" si="130"/>
        <v>22</v>
      </c>
      <c r="GS31" s="269">
        <f t="shared" si="256"/>
        <v>12088121.479999999</v>
      </c>
      <c r="GT31" s="269">
        <f t="shared" si="257"/>
        <v>50964284.172430128</v>
      </c>
      <c r="GU31" s="163">
        <f t="shared" si="258"/>
        <v>0</v>
      </c>
      <c r="GV31" s="137">
        <f t="array" ref="GV31">IF(GS31=0,0,LARGE(IF($GQ$10:$GQ$406=GS31,$GP$10:$GP$406,0),COUNTIF($GS$10:$GS$406,GS31)-COUNTIF(GS$9:GS30,GS31)))</f>
        <v>80</v>
      </c>
      <c r="GW31" s="270">
        <f t="shared" si="259"/>
        <v>0</v>
      </c>
      <c r="GX31" s="270"/>
      <c r="GY31" s="137">
        <f>IF(C31="","",IF(ISERROR(MATCH(C31,C$10:C30,0)),MAX(GP$10:GP30)+1,INDEX(GP$10:GP30,MATCH(C31,C$10:C30,0))))</f>
        <v>19</v>
      </c>
      <c r="GZ31" s="264">
        <f>IF(COUNTIF($A$10:A31,A31)&lt;=1,SUMIF($A$10:$A$406,A31,$FH$10:$FH$406),0)</f>
        <v>27610421.649999999</v>
      </c>
      <c r="HA31" s="137">
        <f t="shared" si="134"/>
        <v>22</v>
      </c>
      <c r="HB31" s="269">
        <f t="shared" si="260"/>
        <v>12088121.479999999</v>
      </c>
      <c r="HC31" s="414" t="s">
        <v>622</v>
      </c>
      <c r="HD31" s="163">
        <f t="shared" si="261"/>
        <v>0</v>
      </c>
      <c r="HE31" s="137">
        <f t="array" ref="HE31">IF(HB31=0,0,LARGE(IF($GZ$10:$GZ$406=HB31,$GY$10:$GY$406,0),COUNTIF($HB$10:$HB$406,HB31)-COUNTIF(HB$9:HB30,HB31)))</f>
        <v>80</v>
      </c>
      <c r="HF31" s="270">
        <f t="shared" si="262"/>
        <v>0</v>
      </c>
      <c r="HG31"/>
      <c r="HH31" s="268">
        <f t="shared" si="263"/>
        <v>114007.65263835341</v>
      </c>
      <c r="HI31" s="271">
        <v>0</v>
      </c>
      <c r="HJ31" s="264">
        <f t="shared" si="264"/>
        <v>0</v>
      </c>
      <c r="HL31" s="137">
        <f t="shared" si="265"/>
        <v>22</v>
      </c>
      <c r="HM31" s="264">
        <f t="shared" si="300"/>
        <v>5906420.6899999995</v>
      </c>
      <c r="HO31" s="199">
        <f t="shared" si="301"/>
        <v>25445609.859999999</v>
      </c>
      <c r="HP31" s="199">
        <f t="shared" si="302"/>
        <v>25445609.859999999</v>
      </c>
      <c r="HQ31" s="199" t="str">
        <f t="shared" si="303"/>
        <v/>
      </c>
      <c r="HR31" s="199" t="str">
        <f t="shared" si="304"/>
        <v/>
      </c>
      <c r="HS31" s="199" t="str">
        <f t="shared" si="119"/>
        <v/>
      </c>
      <c r="HT31" s="199" t="str">
        <f t="shared" si="305"/>
        <v/>
      </c>
      <c r="HU31" s="199" t="str">
        <f t="shared" si="306"/>
        <v/>
      </c>
      <c r="HV31" s="200">
        <f t="shared" si="307"/>
        <v>0</v>
      </c>
      <c r="HW31" s="272">
        <f t="shared" si="308"/>
        <v>1</v>
      </c>
      <c r="HX31" s="200" t="str">
        <f t="shared" si="309"/>
        <v/>
      </c>
      <c r="HY31" s="200">
        <f t="shared" si="310"/>
        <v>0</v>
      </c>
      <c r="HZ31" s="200" t="str">
        <f t="shared" si="4"/>
        <v/>
      </c>
      <c r="IA31" s="200" t="str">
        <f t="shared" si="311"/>
        <v/>
      </c>
      <c r="IB31" s="200" t="str">
        <f t="shared" si="312"/>
        <v/>
      </c>
      <c r="IC31" s="273">
        <f>IF(C31="","",INDEX(Lookups!$E$2:$E$69,MATCH('Loan List'!BE31,Lookups!$F$2:$F$69,0)))</f>
        <v>41</v>
      </c>
      <c r="ID31" t="b">
        <f t="shared" si="313"/>
        <v>1</v>
      </c>
      <c r="IF31" s="346" t="str">
        <f t="shared" si="121"/>
        <v>No Initial Haircut</v>
      </c>
    </row>
    <row r="32" spans="1:240">
      <c r="A32" t="s">
        <v>248</v>
      </c>
      <c r="B32" s="242">
        <f t="shared" si="149"/>
        <v>23</v>
      </c>
      <c r="C32" s="242">
        <f>IF(COUNTIF($A$10:A31,A32)&gt;0,C31,C31+1)</f>
        <v>19</v>
      </c>
      <c r="D32" s="428" t="s">
        <v>562</v>
      </c>
      <c r="E32" s="428" t="s">
        <v>473</v>
      </c>
      <c r="F32" s="429"/>
      <c r="G32" s="430">
        <v>2164811.79</v>
      </c>
      <c r="H32" s="430">
        <v>2164811.79</v>
      </c>
      <c r="I32" s="244">
        <f>IF(B32="","",VLOOKUP(BF32,Inputs!$A$12:$J$15,10,FALSE))</f>
        <v>1</v>
      </c>
      <c r="J32" s="245">
        <f t="shared" si="5"/>
        <v>2164811.79</v>
      </c>
      <c r="K32" s="245">
        <f t="shared" si="6"/>
        <v>2164811.79</v>
      </c>
      <c r="L32" s="245">
        <f t="shared" si="7"/>
        <v>2164811.79</v>
      </c>
      <c r="M32" s="245">
        <f t="shared" si="8"/>
        <v>2164811.79</v>
      </c>
      <c r="N32" s="246" t="s">
        <v>246</v>
      </c>
      <c r="O32" s="246" t="s">
        <v>245</v>
      </c>
      <c r="P32" s="247">
        <f>IF(B32="","",IF(OR(O32="N/A",O32=""),0,YEARFRAC('Borrowing Base'!$J$4,'Loan List'!O32)*12))</f>
        <v>0</v>
      </c>
      <c r="Q32" s="246" t="s">
        <v>246</v>
      </c>
      <c r="R32" s="248">
        <v>1</v>
      </c>
      <c r="S32" s="249" t="str">
        <f t="shared" si="1"/>
        <v>No</v>
      </c>
      <c r="T32" s="248">
        <v>0.9925000001552331</v>
      </c>
      <c r="U32" s="250">
        <f t="shared" si="9"/>
        <v>0.5</v>
      </c>
      <c r="V32" s="250">
        <f t="shared" si="10"/>
        <v>0.6423719748132104</v>
      </c>
      <c r="W32" s="251">
        <f t="shared" si="11"/>
        <v>2164811.79</v>
      </c>
      <c r="X32" s="246" t="s">
        <v>64</v>
      </c>
      <c r="Y32" s="252" t="s">
        <v>483</v>
      </c>
      <c r="Z32" s="252" t="s">
        <v>485</v>
      </c>
      <c r="AA32" s="253" t="s">
        <v>407</v>
      </c>
      <c r="AB32" s="253" t="s">
        <v>713</v>
      </c>
      <c r="AC32" s="254">
        <v>1.99</v>
      </c>
      <c r="AD32" s="254">
        <v>1.5111458950351011</v>
      </c>
      <c r="AE32" s="254">
        <v>1.8242042690493716</v>
      </c>
      <c r="AF32" s="255">
        <v>0.52470518423354484</v>
      </c>
      <c r="AG32" s="256">
        <v>5.4401602434822323</v>
      </c>
      <c r="AH32" s="256">
        <v>5.7717570265689924</v>
      </c>
      <c r="AI32" s="256">
        <v>5.9339210343677609</v>
      </c>
      <c r="AJ32" s="256">
        <v>6.0060275356701842</v>
      </c>
      <c r="AK32" s="257">
        <v>60314216</v>
      </c>
      <c r="AL32" s="257">
        <v>110947000</v>
      </c>
      <c r="AM32" s="258">
        <v>45838</v>
      </c>
      <c r="AN32" s="245" t="str">
        <f t="shared" si="12"/>
        <v>Tier 1</v>
      </c>
      <c r="AO32" s="243">
        <v>48044</v>
      </c>
      <c r="AP32" s="259">
        <f>IF(C32="","",DAYS360(Inputs!$J$8,AO32)/360)</f>
        <v>5.8916666666666666</v>
      </c>
      <c r="AQ32" s="259">
        <f t="shared" si="13"/>
        <v>5.8916666666666666</v>
      </c>
      <c r="AR32" s="246" t="s">
        <v>246</v>
      </c>
      <c r="AS32" s="248">
        <v>0</v>
      </c>
      <c r="AT32" s="246" t="s">
        <v>64</v>
      </c>
      <c r="AU32" s="248">
        <v>0.01</v>
      </c>
      <c r="AV32" s="248">
        <v>6.4699999999999994E-2</v>
      </c>
      <c r="AW32" s="248">
        <v>3.3476000000000006E-2</v>
      </c>
      <c r="AX32" s="260">
        <f t="shared" si="14"/>
        <v>3.3476000000000006E-2</v>
      </c>
      <c r="AY32" s="248">
        <v>0</v>
      </c>
      <c r="AZ32" s="248">
        <v>0</v>
      </c>
      <c r="BA32" s="248">
        <v>0</v>
      </c>
      <c r="BB32" s="407">
        <f t="shared" si="15"/>
        <v>6.4699999999999994E-2</v>
      </c>
      <c r="BC32" s="407" t="str">
        <f t="shared" si="16"/>
        <v/>
      </c>
      <c r="BD32" s="252" t="s">
        <v>247</v>
      </c>
      <c r="BE32" s="261" t="s">
        <v>427</v>
      </c>
      <c r="BF32" s="252" t="s">
        <v>7</v>
      </c>
      <c r="BG32" s="252" t="s">
        <v>460</v>
      </c>
      <c r="BH32" s="246" t="s">
        <v>246</v>
      </c>
      <c r="BI32" s="408" t="str">
        <f t="shared" si="17"/>
        <v>No</v>
      </c>
      <c r="BJ32" s="408" t="str">
        <f t="shared" si="18"/>
        <v>No</v>
      </c>
      <c r="BK32" s="246" t="s">
        <v>246</v>
      </c>
      <c r="BL32" s="246" t="s">
        <v>246</v>
      </c>
      <c r="BM32" s="246" t="s">
        <v>246</v>
      </c>
      <c r="BN32" s="246" t="s">
        <v>246</v>
      </c>
      <c r="BO32" s="246" t="s">
        <v>246</v>
      </c>
      <c r="BP32" s="246" t="s">
        <v>246</v>
      </c>
      <c r="BQ32" s="246" t="s">
        <v>246</v>
      </c>
      <c r="BR32" s="246" t="s">
        <v>246</v>
      </c>
      <c r="BS32" s="246" t="s">
        <v>246</v>
      </c>
      <c r="BT32" s="246" t="s">
        <v>246</v>
      </c>
      <c r="BU32" s="246" t="s">
        <v>246</v>
      </c>
      <c r="BV32" s="246" t="s">
        <v>246</v>
      </c>
      <c r="BW32" s="246" t="s">
        <v>246</v>
      </c>
      <c r="BX32" s="246" t="s">
        <v>246</v>
      </c>
      <c r="BY32" s="246" t="s">
        <v>246</v>
      </c>
      <c r="BZ32" s="246" t="s">
        <v>246</v>
      </c>
      <c r="CA32" s="246" t="s">
        <v>246</v>
      </c>
      <c r="CB32" s="246" t="s">
        <v>64</v>
      </c>
      <c r="CC32" s="262">
        <f t="shared" si="19"/>
        <v>118964.201182944</v>
      </c>
      <c r="CD32" s="262">
        <f t="shared" si="20"/>
        <v>0</v>
      </c>
      <c r="CE32" s="263"/>
      <c r="CF32" s="263">
        <f t="shared" si="150"/>
        <v>0</v>
      </c>
      <c r="CG32" s="263">
        <f t="shared" si="151"/>
        <v>0</v>
      </c>
      <c r="CH32" s="263">
        <f t="shared" si="152"/>
        <v>0</v>
      </c>
      <c r="CI32" s="263">
        <f t="shared" si="153"/>
        <v>0</v>
      </c>
      <c r="CJ32" s="263">
        <f t="shared" si="154"/>
        <v>0</v>
      </c>
      <c r="CK32" s="263">
        <f t="shared" si="155"/>
        <v>0</v>
      </c>
      <c r="CL32" s="263">
        <f t="shared" si="156"/>
        <v>0</v>
      </c>
      <c r="CM32" s="263">
        <f t="shared" si="157"/>
        <v>0</v>
      </c>
      <c r="CN32" s="263">
        <f t="shared" si="158"/>
        <v>0</v>
      </c>
      <c r="CO32" s="263">
        <f t="shared" si="159"/>
        <v>0</v>
      </c>
      <c r="CP32" s="263">
        <f t="shared" si="160"/>
        <v>0</v>
      </c>
      <c r="CQ32" s="263">
        <f t="shared" si="161"/>
        <v>0</v>
      </c>
      <c r="CR32" s="263">
        <f t="shared" si="162"/>
        <v>0</v>
      </c>
      <c r="CS32" s="263">
        <f t="shared" si="163"/>
        <v>0</v>
      </c>
      <c r="CT32" s="263">
        <f t="shared" si="164"/>
        <v>0</v>
      </c>
      <c r="CU32" s="263">
        <f t="shared" si="165"/>
        <v>0</v>
      </c>
      <c r="CV32" s="263">
        <f t="shared" si="166"/>
        <v>0</v>
      </c>
      <c r="CW32" s="263">
        <f t="shared" si="167"/>
        <v>0</v>
      </c>
      <c r="CX32" s="263">
        <f t="shared" si="168"/>
        <v>0</v>
      </c>
      <c r="CY32" s="263">
        <f t="shared" si="169"/>
        <v>0</v>
      </c>
      <c r="CZ32" s="263">
        <f t="shared" si="170"/>
        <v>0</v>
      </c>
      <c r="DA32" s="263">
        <f t="shared" si="171"/>
        <v>0</v>
      </c>
      <c r="DB32" s="263">
        <f t="shared" si="172"/>
        <v>0</v>
      </c>
      <c r="DC32" s="263">
        <f t="shared" si="173"/>
        <v>0</v>
      </c>
      <c r="DD32" s="263">
        <f t="shared" si="174"/>
        <v>0</v>
      </c>
      <c r="DE32" s="263">
        <f t="shared" si="175"/>
        <v>0</v>
      </c>
      <c r="DF32" s="263">
        <f t="shared" si="176"/>
        <v>2164811.79</v>
      </c>
      <c r="DG32" s="263">
        <f t="shared" si="177"/>
        <v>0</v>
      </c>
      <c r="DH32" s="263">
        <f t="shared" si="178"/>
        <v>2164811.79</v>
      </c>
      <c r="DI32" s="263">
        <f t="shared" si="179"/>
        <v>2164811.79</v>
      </c>
      <c r="DJ32" s="263">
        <f t="shared" si="180"/>
        <v>0</v>
      </c>
      <c r="DK32" s="263">
        <f t="shared" si="181"/>
        <v>0</v>
      </c>
      <c r="DL32" s="263">
        <f t="shared" si="182"/>
        <v>0</v>
      </c>
      <c r="DM32" s="263">
        <f t="shared" si="183"/>
        <v>0</v>
      </c>
      <c r="DO32" s="264">
        <f t="shared" si="184"/>
        <v>0</v>
      </c>
      <c r="DP32" s="265">
        <f t="shared" si="185"/>
        <v>0</v>
      </c>
      <c r="DQ32" s="264">
        <f t="shared" si="186"/>
        <v>2164811.79</v>
      </c>
      <c r="DR32" s="264">
        <f t="shared" si="187"/>
        <v>0</v>
      </c>
      <c r="DS32" s="265">
        <f t="shared" si="188"/>
        <v>0</v>
      </c>
      <c r="DT32" s="264">
        <f t="shared" si="189"/>
        <v>2164811.79</v>
      </c>
      <c r="DU32" s="264">
        <f t="shared" si="190"/>
        <v>0</v>
      </c>
      <c r="DV32" s="265">
        <f t="shared" si="191"/>
        <v>0</v>
      </c>
      <c r="DW32" s="264">
        <f t="shared" si="192"/>
        <v>2164811.79</v>
      </c>
      <c r="DX32" s="264">
        <f t="shared" si="193"/>
        <v>0</v>
      </c>
      <c r="DY32" s="265">
        <f t="shared" si="194"/>
        <v>0</v>
      </c>
      <c r="DZ32" s="264">
        <f t="shared" si="195"/>
        <v>2164811.79</v>
      </c>
      <c r="EA32" s="264">
        <f t="shared" si="196"/>
        <v>0</v>
      </c>
      <c r="EB32" s="265">
        <f t="shared" si="197"/>
        <v>0</v>
      </c>
      <c r="EC32" s="264">
        <f t="shared" si="198"/>
        <v>2164811.79</v>
      </c>
      <c r="ED32" s="264">
        <f t="shared" si="199"/>
        <v>2164811.79</v>
      </c>
      <c r="EE32" s="265">
        <f t="shared" si="200"/>
        <v>0</v>
      </c>
      <c r="EF32" s="264">
        <f t="shared" si="201"/>
        <v>2164811.79</v>
      </c>
      <c r="EG32" s="264">
        <f t="shared" si="202"/>
        <v>0</v>
      </c>
      <c r="EH32" s="265">
        <f t="shared" si="203"/>
        <v>0</v>
      </c>
      <c r="EI32" s="264">
        <f t="shared" si="204"/>
        <v>2164811.79</v>
      </c>
      <c r="EJ32" s="264">
        <f t="shared" si="205"/>
        <v>0</v>
      </c>
      <c r="EK32" s="265">
        <f t="shared" si="206"/>
        <v>0</v>
      </c>
      <c r="EL32" s="264">
        <f t="shared" si="207"/>
        <v>2164811.79</v>
      </c>
      <c r="EM32" s="264">
        <f t="shared" si="208"/>
        <v>0</v>
      </c>
      <c r="EN32" s="265">
        <f t="shared" si="209"/>
        <v>0</v>
      </c>
      <c r="EO32" s="264">
        <f t="shared" si="210"/>
        <v>2164811.79</v>
      </c>
      <c r="EP32" s="264">
        <f t="shared" si="211"/>
        <v>0</v>
      </c>
      <c r="EQ32" s="265">
        <f t="shared" si="212"/>
        <v>0</v>
      </c>
      <c r="ER32" s="264">
        <f t="shared" si="213"/>
        <v>2164811.79</v>
      </c>
      <c r="ES32" s="264">
        <f t="shared" si="214"/>
        <v>0</v>
      </c>
      <c r="ET32" s="265">
        <f t="shared" si="215"/>
        <v>0</v>
      </c>
      <c r="EU32" s="264">
        <f t="shared" si="216"/>
        <v>2164811.79</v>
      </c>
      <c r="EV32" s="264">
        <f>IF(AND(BM32="Yes",OR(BN32="No",AND(BN32="Yes",Inputs!$J$8=Inputs!$J$17+75))),EU32,0)</f>
        <v>0</v>
      </c>
      <c r="EW32" s="265">
        <f t="shared" si="217"/>
        <v>0</v>
      </c>
      <c r="EX32" s="264">
        <f t="shared" si="218"/>
        <v>2164811.79</v>
      </c>
      <c r="EY32" s="264">
        <f t="shared" si="219"/>
        <v>0</v>
      </c>
      <c r="EZ32" s="265">
        <f t="shared" si="220"/>
        <v>0</v>
      </c>
      <c r="FA32" s="264">
        <f t="shared" si="221"/>
        <v>2164811.79</v>
      </c>
      <c r="FB32" s="264">
        <f t="shared" si="222"/>
        <v>0</v>
      </c>
      <c r="FC32" s="265">
        <f t="shared" si="223"/>
        <v>0</v>
      </c>
      <c r="FD32" s="264">
        <f t="shared" si="224"/>
        <v>2164811.79</v>
      </c>
      <c r="FE32" s="264">
        <f t="shared" si="225"/>
        <v>0</v>
      </c>
      <c r="FF32" s="265">
        <f t="shared" si="226"/>
        <v>0</v>
      </c>
      <c r="FG32" s="264">
        <f t="shared" si="227"/>
        <v>2164811.79</v>
      </c>
      <c r="FH32" s="264">
        <f t="shared" si="228"/>
        <v>2164811.79</v>
      </c>
      <c r="FI32" s="264">
        <f t="shared" si="229"/>
        <v>0</v>
      </c>
      <c r="FJ32" s="264">
        <f t="shared" si="230"/>
        <v>2164811.79</v>
      </c>
      <c r="FK32" s="264">
        <f t="shared" si="231"/>
        <v>2164811.79</v>
      </c>
      <c r="FL32" s="264">
        <f t="shared" si="232"/>
        <v>0</v>
      </c>
      <c r="FM32" s="264">
        <f t="shared" si="233"/>
        <v>2164811.79</v>
      </c>
      <c r="FN32" s="264">
        <f t="shared" si="234"/>
        <v>2164811.79</v>
      </c>
      <c r="FO32" s="264">
        <f t="shared" si="235"/>
        <v>0</v>
      </c>
      <c r="FP32" s="264">
        <f t="shared" si="236"/>
        <v>2164811.79</v>
      </c>
      <c r="FQ32" s="264">
        <f t="shared" si="237"/>
        <v>0</v>
      </c>
      <c r="FR32" s="265">
        <f t="shared" si="238"/>
        <v>0</v>
      </c>
      <c r="FS32" s="264">
        <f t="shared" si="239"/>
        <v>2164811.79</v>
      </c>
      <c r="FT32" s="264">
        <f t="shared" si="240"/>
        <v>0</v>
      </c>
      <c r="FU32" s="265">
        <f t="shared" si="241"/>
        <v>0</v>
      </c>
      <c r="FV32" s="264">
        <f t="shared" si="242"/>
        <v>2164811.79</v>
      </c>
      <c r="FW32" s="264">
        <f t="shared" si="243"/>
        <v>0</v>
      </c>
      <c r="FX32" s="264">
        <f t="shared" si="244"/>
        <v>0</v>
      </c>
      <c r="FY32" s="264">
        <f t="shared" si="245"/>
        <v>2164811.79</v>
      </c>
      <c r="FZ32" s="264">
        <f t="shared" si="246"/>
        <v>2164811.79</v>
      </c>
      <c r="GA32" s="265">
        <f t="shared" si="296"/>
        <v>9699.3199196104542</v>
      </c>
      <c r="GB32" s="264">
        <f t="shared" si="297"/>
        <v>2155112.4700803896</v>
      </c>
      <c r="GC32" s="264">
        <f t="shared" si="247"/>
        <v>2155112.4700803896</v>
      </c>
      <c r="GD32" s="266">
        <f t="shared" si="248"/>
        <v>1384383.8533501157</v>
      </c>
      <c r="GE32" s="138">
        <f t="shared" si="249"/>
        <v>0.6394938625819826</v>
      </c>
      <c r="GF32" s="267">
        <f t="shared" si="250"/>
        <v>41</v>
      </c>
      <c r="GG32" s="264">
        <f t="array" ref="GG32">IF(SUM(IF(IC$9:IC31=IC32,1,0))&gt;0,0,SUMIF($IC$10:$IC$406,IC32,$FJ$10:$FJ$406))</f>
        <v>0</v>
      </c>
      <c r="GH32" s="268">
        <f t="shared" si="251"/>
        <v>0</v>
      </c>
      <c r="GI32" s="137">
        <f t="shared" si="126"/>
        <v>23</v>
      </c>
      <c r="GJ32" s="269">
        <f t="shared" si="252"/>
        <v>3910721.0049999999</v>
      </c>
      <c r="GK32" s="269">
        <f t="shared" si="253"/>
        <v>152892852.51729038</v>
      </c>
      <c r="GL32" s="163">
        <f t="shared" si="254"/>
        <v>0</v>
      </c>
      <c r="GM32" s="137">
        <f t="array" ref="GM32">IF(GJ32=0,0,LARGE(IF($GG$10:$GG$406=GJ32,$GF$10:$GF$406,0),COUNTIF($GJ$10:$GJ$406,GJ32)-COUNTIF(GJ$9:GJ31,GJ32)))</f>
        <v>33</v>
      </c>
      <c r="GN32" s="270">
        <f t="shared" si="255"/>
        <v>0</v>
      </c>
      <c r="GP32" s="137">
        <f>IF(C32="","",IF(ISERROR(MATCH(C32,C$10:C31,0)),MAX(GP$10:GP31)+1,INDEX(GP$10:GP31,MATCH(C32,C$10:C31,0))))</f>
        <v>19</v>
      </c>
      <c r="GQ32" s="264">
        <f>IF(COUNTIF($A$10:A32,A32)&lt;=1,SUMIF($A$10:$A$406,A32,$FH$10:$FH$406),0)</f>
        <v>0</v>
      </c>
      <c r="GR32" s="137">
        <f t="shared" si="130"/>
        <v>23</v>
      </c>
      <c r="GS32" s="269">
        <f t="shared" si="256"/>
        <v>11943153.16</v>
      </c>
      <c r="GT32" s="269">
        <f t="shared" si="257"/>
        <v>50964284.172430128</v>
      </c>
      <c r="GU32" s="163">
        <f t="shared" si="258"/>
        <v>0</v>
      </c>
      <c r="GV32" s="137">
        <f t="array" ref="GV32">IF(GS32=0,0,LARGE(IF($GQ$10:$GQ$406=GS32,$GP$10:$GP$406,0),COUNTIF($GS$10:$GS$406,GS32)-COUNTIF(GS$9:GS31,GS32)))</f>
        <v>103</v>
      </c>
      <c r="GW32" s="270">
        <f t="shared" si="259"/>
        <v>0</v>
      </c>
      <c r="GX32" s="270"/>
      <c r="GY32" s="137">
        <f>IF(C32="","",IF(ISERROR(MATCH(C32,C$10:C31,0)),MAX(GP$10:GP31)+1,INDEX(GP$10:GP31,MATCH(C32,C$10:C31,0))))</f>
        <v>19</v>
      </c>
      <c r="GZ32" s="264">
        <f>IF(COUNTIF($A$10:A32,A32)&lt;=1,SUMIF($A$10:$A$406,A32,$FH$10:$FH$406),0)</f>
        <v>0</v>
      </c>
      <c r="HA32" s="137">
        <f t="shared" si="134"/>
        <v>23</v>
      </c>
      <c r="HB32" s="269">
        <f t="shared" si="260"/>
        <v>11943153.16</v>
      </c>
      <c r="HC32" s="414" t="s">
        <v>622</v>
      </c>
      <c r="HD32" s="163">
        <f t="shared" si="261"/>
        <v>0</v>
      </c>
      <c r="HE32" s="137">
        <f t="array" ref="HE32">IF(HB32=0,0,LARGE(IF($GZ$10:$GZ$406=HB32,$GY$10:$GY$406,0),COUNTIF($HB$10:$HB$406,HB32)-COUNTIF(HB$9:HB31,HB32)))</f>
        <v>103</v>
      </c>
      <c r="HF32" s="270">
        <f t="shared" si="262"/>
        <v>0</v>
      </c>
      <c r="HG32"/>
      <c r="HH32" s="268">
        <f t="shared" si="263"/>
        <v>9699.319919610396</v>
      </c>
      <c r="HI32" s="271">
        <v>0</v>
      </c>
      <c r="HJ32" s="264">
        <f t="shared" si="264"/>
        <v>0</v>
      </c>
      <c r="HL32" s="137">
        <f t="shared" si="265"/>
        <v>23</v>
      </c>
      <c r="HM32" s="264">
        <f t="shared" si="300"/>
        <v>8574420.2080000006</v>
      </c>
      <c r="HO32" s="199">
        <f t="shared" si="301"/>
        <v>2164811.79</v>
      </c>
      <c r="HP32" s="199">
        <f t="shared" si="302"/>
        <v>2164811.79</v>
      </c>
      <c r="HQ32" s="199" t="str">
        <f t="shared" si="303"/>
        <v/>
      </c>
      <c r="HR32" s="199" t="str">
        <f t="shared" si="304"/>
        <v/>
      </c>
      <c r="HS32" s="199" t="str">
        <f t="shared" si="119"/>
        <v/>
      </c>
      <c r="HT32" s="199" t="str">
        <f t="shared" si="305"/>
        <v/>
      </c>
      <c r="HU32" s="199" t="str">
        <f t="shared" si="306"/>
        <v/>
      </c>
      <c r="HV32" s="200">
        <f t="shared" si="307"/>
        <v>0</v>
      </c>
      <c r="HW32" s="272">
        <f t="shared" si="308"/>
        <v>1</v>
      </c>
      <c r="HX32" s="200" t="str">
        <f t="shared" si="309"/>
        <v/>
      </c>
      <c r="HY32" s="200">
        <f t="shared" si="310"/>
        <v>0</v>
      </c>
      <c r="HZ32" s="200" t="str">
        <f t="shared" si="4"/>
        <v/>
      </c>
      <c r="IA32" s="200" t="str">
        <f t="shared" si="311"/>
        <v/>
      </c>
      <c r="IB32" s="200" t="str">
        <f t="shared" si="312"/>
        <v/>
      </c>
      <c r="IC32" s="273">
        <f>IF(C32="","",INDEX(Lookups!$E$2:$E$69,MATCH('Loan List'!BE32,Lookups!$F$2:$F$69,0)))</f>
        <v>41</v>
      </c>
      <c r="ID32" t="b">
        <f t="shared" si="313"/>
        <v>1</v>
      </c>
      <c r="IF32" s="346" t="str">
        <f t="shared" si="121"/>
        <v>No Initial Haircut</v>
      </c>
    </row>
    <row r="33" spans="1:240">
      <c r="A33" t="s">
        <v>651</v>
      </c>
      <c r="B33" s="242">
        <f t="shared" si="149"/>
        <v>24</v>
      </c>
      <c r="C33" s="242">
        <f>IF(COUNTIF($A$10:A32,A33)&gt;0,C32,C32+1)</f>
        <v>20</v>
      </c>
      <c r="D33" s="428" t="s">
        <v>651</v>
      </c>
      <c r="E33" s="428" t="s">
        <v>631</v>
      </c>
      <c r="F33" s="429"/>
      <c r="G33" s="430">
        <v>9905100.2599999998</v>
      </c>
      <c r="H33" s="430">
        <v>9905100.2599999998</v>
      </c>
      <c r="I33" s="244">
        <f>IF(B33="","",VLOOKUP(BF33,Inputs!$A$12:$J$15,10,FALSE))</f>
        <v>1</v>
      </c>
      <c r="J33" s="245">
        <f>IF(B33="","",G33*I33)</f>
        <v>9905100.2599999998</v>
      </c>
      <c r="K33" s="245">
        <f>IF(B33="","",H33*I33)</f>
        <v>9905100.2599999998</v>
      </c>
      <c r="L33" s="245">
        <f>IF(B33="","",IF(COUNTIF($CF33:$CY33,1)&gt;0,0,J33))</f>
        <v>9905100.2599999998</v>
      </c>
      <c r="M33" s="245">
        <f>IF(B33="","",IF(COUNTIF($CF33:$CY33,1)&gt;0,0,K33))</f>
        <v>9905100.2599999998</v>
      </c>
      <c r="N33" s="246" t="s">
        <v>246</v>
      </c>
      <c r="O33" s="246" t="s">
        <v>245</v>
      </c>
      <c r="P33" s="247">
        <f>IF(B33="","",IF(OR(O33="N/A",O33=""),0,YEARFRAC('Borrowing Base'!$J$4,'Loan List'!O33)*12))</f>
        <v>0</v>
      </c>
      <c r="Q33" s="246" t="s">
        <v>246</v>
      </c>
      <c r="R33" s="248">
        <v>0.98910763283830472</v>
      </c>
      <c r="S33" s="249" t="str">
        <f>IF(B33="","",IF(R33&lt;95%,"Yes","No"))</f>
        <v>No</v>
      </c>
      <c r="T33" s="248">
        <v>1</v>
      </c>
      <c r="U33" s="250">
        <f>IF(B33="","",IF(OR(Y33="First Lien",Y33="Split First Lien",Y33="Tier 1 Split Lien",Y33="Tier 2 Split Lien"),50%,30%))</f>
        <v>0.5</v>
      </c>
      <c r="V33" s="250">
        <f t="shared" si="10"/>
        <v>0.72499999999999998</v>
      </c>
      <c r="W33" s="251">
        <f t="shared" si="11"/>
        <v>9905100.2599999998</v>
      </c>
      <c r="X33" s="246" t="s">
        <v>246</v>
      </c>
      <c r="Y33" s="252" t="s">
        <v>483</v>
      </c>
      <c r="Z33" s="252" t="s">
        <v>484</v>
      </c>
      <c r="AA33" s="253" t="s">
        <v>407</v>
      </c>
      <c r="AB33" s="253" t="s">
        <v>713</v>
      </c>
      <c r="AC33" s="254">
        <v>1.4542787774495036</v>
      </c>
      <c r="AD33" s="254">
        <v>1.7441218291670562</v>
      </c>
      <c r="AE33" s="254">
        <v>1.9968640302155076</v>
      </c>
      <c r="AF33" s="255">
        <v>0.4728132387706856</v>
      </c>
      <c r="AG33" s="256">
        <v>4.3355974529248034</v>
      </c>
      <c r="AH33" s="256">
        <v>4.3355974529248034</v>
      </c>
      <c r="AI33" s="256">
        <v>4.3348177886958821</v>
      </c>
      <c r="AJ33" s="256">
        <v>4.9690259183063654</v>
      </c>
      <c r="AK33" s="257">
        <v>19997243.964960817</v>
      </c>
      <c r="AL33" s="257">
        <v>18152112</v>
      </c>
      <c r="AM33" s="258">
        <v>45838</v>
      </c>
      <c r="AN33" s="245" t="str">
        <f>IF(C33="","",(IF(AK33&gt;=50000000,"Tier 1",(IF(OR(AK33&gt;=20000000,AND(AK33&gt;5000000,AC33&gt;=1.25,AF33&lt;=0.65)),"Tier 2","Tier 3")))))</f>
        <v>Tier 2</v>
      </c>
      <c r="AO33" s="243">
        <v>47330</v>
      </c>
      <c r="AP33" s="259">
        <f>IF(C33="","",DAYS360(Inputs!$J$8,AO33)/360)</f>
        <v>3.9361111111111109</v>
      </c>
      <c r="AQ33" s="259">
        <f>IF(C33="","",AP33)</f>
        <v>3.9361111111111109</v>
      </c>
      <c r="AR33" s="246" t="s">
        <v>246</v>
      </c>
      <c r="AS33" s="248">
        <v>0</v>
      </c>
      <c r="AT33" s="246" t="s">
        <v>64</v>
      </c>
      <c r="AU33" s="248">
        <v>0.01</v>
      </c>
      <c r="AV33" s="248">
        <v>0.06</v>
      </c>
      <c r="AW33" s="248">
        <v>4.2956000000000008E-2</v>
      </c>
      <c r="AX33" s="260">
        <f>IF(C33="","",MAX(AU33,AW33))</f>
        <v>4.2956000000000008E-2</v>
      </c>
      <c r="AY33" s="248">
        <v>0</v>
      </c>
      <c r="AZ33" s="248">
        <v>0</v>
      </c>
      <c r="BA33" s="248">
        <v>0</v>
      </c>
      <c r="BB33" s="407">
        <f>IF(B33="","",IF(AR33="No",AV33-AZ33,""))</f>
        <v>0.06</v>
      </c>
      <c r="BC33" s="407" t="str">
        <f>IF(B33="","",IF(AR33="Yes",AS33-BA33,""))</f>
        <v/>
      </c>
      <c r="BD33" s="252" t="s">
        <v>249</v>
      </c>
      <c r="BE33" s="261" t="s">
        <v>427</v>
      </c>
      <c r="BF33" s="252" t="s">
        <v>7</v>
      </c>
      <c r="BG33" s="252" t="s">
        <v>460</v>
      </c>
      <c r="BH33" s="246" t="s">
        <v>246</v>
      </c>
      <c r="BI33" s="408" t="str">
        <f t="shared" si="17"/>
        <v>No</v>
      </c>
      <c r="BJ33" s="408" t="str">
        <f>IF(B33="","",IF(OR(AND(AZ33&gt;0,BB33&lt;2.5%),AND(BA33&gt;0,BC33&lt;6%)),"Yes","No"))</f>
        <v>No</v>
      </c>
      <c r="BK33" s="246" t="s">
        <v>246</v>
      </c>
      <c r="BL33" s="246" t="s">
        <v>246</v>
      </c>
      <c r="BM33" s="246" t="s">
        <v>246</v>
      </c>
      <c r="BN33" s="246" t="s">
        <v>246</v>
      </c>
      <c r="BO33" s="246" t="s">
        <v>246</v>
      </c>
      <c r="BP33" s="246" t="s">
        <v>246</v>
      </c>
      <c r="BQ33" s="246" t="s">
        <v>246</v>
      </c>
      <c r="BR33" s="246" t="s">
        <v>246</v>
      </c>
      <c r="BS33" s="246" t="s">
        <v>246</v>
      </c>
      <c r="BT33" s="246" t="s">
        <v>246</v>
      </c>
      <c r="BU33" s="246" t="s">
        <v>246</v>
      </c>
      <c r="BV33" s="246" t="s">
        <v>246</v>
      </c>
      <c r="BW33" s="246" t="s">
        <v>246</v>
      </c>
      <c r="BX33" s="246" t="s">
        <v>246</v>
      </c>
      <c r="BY33" s="246" t="s">
        <v>246</v>
      </c>
      <c r="BZ33" s="246" t="s">
        <v>246</v>
      </c>
      <c r="CA33" s="246" t="s">
        <v>246</v>
      </c>
      <c r="CB33" s="246" t="s">
        <v>64</v>
      </c>
      <c r="CC33" s="262">
        <f>IF(B33="","",IF(AT33="No",((BB33+AW33)-$AZ$4),((BB33+AX33)-$AZ$4))*IF(DE33&gt;0,0,M33))</f>
        <v>591667.29689073609</v>
      </c>
      <c r="CD33" s="262">
        <f>IF(B33="","",AY33*(L33-M33)*IF(DE33&gt;0,0,1))</f>
        <v>0</v>
      </c>
      <c r="CE33" s="263"/>
      <c r="CF33" s="263">
        <f t="shared" si="150"/>
        <v>0</v>
      </c>
      <c r="CG33" s="263">
        <f t="shared" si="151"/>
        <v>0</v>
      </c>
      <c r="CH33" s="263">
        <f t="shared" si="152"/>
        <v>0</v>
      </c>
      <c r="CI33" s="263">
        <f t="shared" si="153"/>
        <v>0</v>
      </c>
      <c r="CJ33" s="263">
        <f t="shared" si="154"/>
        <v>0</v>
      </c>
      <c r="CK33" s="263">
        <f t="shared" si="155"/>
        <v>0</v>
      </c>
      <c r="CL33" s="263">
        <f t="shared" si="156"/>
        <v>0</v>
      </c>
      <c r="CM33" s="263">
        <f t="shared" si="157"/>
        <v>0</v>
      </c>
      <c r="CN33" s="263">
        <f t="shared" si="158"/>
        <v>0</v>
      </c>
      <c r="CO33" s="263">
        <f t="shared" si="159"/>
        <v>0</v>
      </c>
      <c r="CP33" s="263">
        <f t="shared" si="160"/>
        <v>0</v>
      </c>
      <c r="CQ33" s="263">
        <f t="shared" si="161"/>
        <v>0</v>
      </c>
      <c r="CR33" s="263">
        <f t="shared" si="162"/>
        <v>0</v>
      </c>
      <c r="CS33" s="263">
        <f t="shared" si="163"/>
        <v>0</v>
      </c>
      <c r="CT33" s="263">
        <f t="shared" si="164"/>
        <v>0</v>
      </c>
      <c r="CU33" s="263">
        <f t="shared" si="165"/>
        <v>0</v>
      </c>
      <c r="CV33" s="263">
        <f t="shared" si="166"/>
        <v>0</v>
      </c>
      <c r="CW33" s="263">
        <f t="shared" si="167"/>
        <v>0</v>
      </c>
      <c r="CX33" s="263">
        <f t="shared" si="168"/>
        <v>0</v>
      </c>
      <c r="CY33" s="263">
        <f t="shared" si="169"/>
        <v>0</v>
      </c>
      <c r="CZ33" s="263">
        <f t="shared" si="170"/>
        <v>0</v>
      </c>
      <c r="DA33" s="263">
        <f t="shared" si="171"/>
        <v>0</v>
      </c>
      <c r="DB33" s="263">
        <f t="shared" si="172"/>
        <v>0</v>
      </c>
      <c r="DC33" s="263">
        <f t="shared" si="173"/>
        <v>0</v>
      </c>
      <c r="DD33" s="263">
        <f t="shared" si="174"/>
        <v>0</v>
      </c>
      <c r="DE33" s="263">
        <f t="shared" si="175"/>
        <v>0</v>
      </c>
      <c r="DF33" s="263">
        <f t="shared" si="176"/>
        <v>9905100.2599999998</v>
      </c>
      <c r="DG33" s="263">
        <f t="shared" si="177"/>
        <v>0</v>
      </c>
      <c r="DH33" s="263">
        <f t="shared" si="178"/>
        <v>9905100.2599999998</v>
      </c>
      <c r="DI33" s="263">
        <f t="shared" si="179"/>
        <v>9905100.2599999998</v>
      </c>
      <c r="DJ33" s="263">
        <f t="shared" si="180"/>
        <v>0</v>
      </c>
      <c r="DK33" s="263">
        <f t="shared" si="181"/>
        <v>0</v>
      </c>
      <c r="DL33" s="263">
        <f t="shared" si="182"/>
        <v>0</v>
      </c>
      <c r="DM33" s="263">
        <f t="shared" si="183"/>
        <v>0</v>
      </c>
      <c r="DO33" s="264">
        <f t="shared" si="184"/>
        <v>0</v>
      </c>
      <c r="DP33" s="265">
        <f t="shared" si="185"/>
        <v>0</v>
      </c>
      <c r="DQ33" s="264">
        <f t="shared" si="186"/>
        <v>9905100.2599999998</v>
      </c>
      <c r="DR33" s="264">
        <f t="shared" si="187"/>
        <v>0</v>
      </c>
      <c r="DS33" s="265">
        <f t="shared" si="188"/>
        <v>0</v>
      </c>
      <c r="DT33" s="264">
        <f t="shared" si="189"/>
        <v>9905100.2599999998</v>
      </c>
      <c r="DU33" s="264">
        <f t="shared" si="190"/>
        <v>0</v>
      </c>
      <c r="DV33" s="265">
        <f t="shared" si="191"/>
        <v>0</v>
      </c>
      <c r="DW33" s="264">
        <f t="shared" si="192"/>
        <v>9905100.2599999998</v>
      </c>
      <c r="DX33" s="264">
        <f t="shared" si="193"/>
        <v>0</v>
      </c>
      <c r="DY33" s="265">
        <f t="shared" si="194"/>
        <v>0</v>
      </c>
      <c r="DZ33" s="264">
        <f t="shared" si="195"/>
        <v>9905100.2599999998</v>
      </c>
      <c r="EA33" s="264">
        <f t="shared" si="196"/>
        <v>0</v>
      </c>
      <c r="EB33" s="265">
        <f t="shared" si="197"/>
        <v>0</v>
      </c>
      <c r="EC33" s="264">
        <f t="shared" si="198"/>
        <v>9905100.2599999998</v>
      </c>
      <c r="ED33" s="264">
        <f t="shared" si="199"/>
        <v>0</v>
      </c>
      <c r="EE33" s="265">
        <f t="shared" si="200"/>
        <v>0</v>
      </c>
      <c r="EF33" s="264">
        <f t="shared" si="201"/>
        <v>9905100.2599999998</v>
      </c>
      <c r="EG33" s="264">
        <f t="shared" si="202"/>
        <v>0</v>
      </c>
      <c r="EH33" s="265">
        <f t="shared" si="203"/>
        <v>0</v>
      </c>
      <c r="EI33" s="264">
        <f t="shared" si="204"/>
        <v>9905100.2599999998</v>
      </c>
      <c r="EJ33" s="264">
        <f t="shared" si="205"/>
        <v>0</v>
      </c>
      <c r="EK33" s="265">
        <f t="shared" si="206"/>
        <v>0</v>
      </c>
      <c r="EL33" s="264">
        <f t="shared" si="207"/>
        <v>9905100.2599999998</v>
      </c>
      <c r="EM33" s="264">
        <f t="shared" si="208"/>
        <v>0</v>
      </c>
      <c r="EN33" s="265">
        <f t="shared" si="209"/>
        <v>0</v>
      </c>
      <c r="EO33" s="264">
        <f t="shared" si="210"/>
        <v>9905100.2599999998</v>
      </c>
      <c r="EP33" s="264">
        <f t="shared" si="211"/>
        <v>0</v>
      </c>
      <c r="EQ33" s="265">
        <f t="shared" si="212"/>
        <v>0</v>
      </c>
      <c r="ER33" s="264">
        <f t="shared" si="213"/>
        <v>9905100.2599999998</v>
      </c>
      <c r="ES33" s="264">
        <f t="shared" si="214"/>
        <v>0</v>
      </c>
      <c r="ET33" s="265">
        <f t="shared" si="215"/>
        <v>0</v>
      </c>
      <c r="EU33" s="264">
        <f t="shared" si="216"/>
        <v>9905100.2599999998</v>
      </c>
      <c r="EV33" s="264">
        <f>IF(AND(BM33="Yes",OR(BN33="No",AND(BN33="Yes",Inputs!$J$8=Inputs!$J$17+75))),EU33,0)</f>
        <v>0</v>
      </c>
      <c r="EW33" s="265">
        <f t="shared" si="217"/>
        <v>0</v>
      </c>
      <c r="EX33" s="264">
        <f t="shared" si="218"/>
        <v>9905100.2599999998</v>
      </c>
      <c r="EY33" s="264">
        <f t="shared" si="219"/>
        <v>0</v>
      </c>
      <c r="EZ33" s="265">
        <f t="shared" si="220"/>
        <v>0</v>
      </c>
      <c r="FA33" s="264">
        <f t="shared" si="221"/>
        <v>9905100.2599999998</v>
      </c>
      <c r="FB33" s="264">
        <f t="shared" si="222"/>
        <v>0</v>
      </c>
      <c r="FC33" s="265">
        <f t="shared" si="223"/>
        <v>0</v>
      </c>
      <c r="FD33" s="264">
        <f t="shared" si="224"/>
        <v>9905100.2599999998</v>
      </c>
      <c r="FE33" s="264">
        <f t="shared" si="225"/>
        <v>0</v>
      </c>
      <c r="FF33" s="265">
        <f t="shared" si="226"/>
        <v>0</v>
      </c>
      <c r="FG33" s="264">
        <f t="shared" si="227"/>
        <v>9905100.2599999998</v>
      </c>
      <c r="FH33" s="264">
        <f t="shared" si="228"/>
        <v>9905100.2599999998</v>
      </c>
      <c r="FI33" s="264">
        <f t="shared" si="229"/>
        <v>0</v>
      </c>
      <c r="FJ33" s="264">
        <f t="shared" si="230"/>
        <v>9905100.2599999998</v>
      </c>
      <c r="FK33" s="264">
        <f t="shared" si="231"/>
        <v>9905100.2599999998</v>
      </c>
      <c r="FL33" s="264">
        <f t="shared" si="232"/>
        <v>0</v>
      </c>
      <c r="FM33" s="264">
        <f t="shared" si="233"/>
        <v>9905100.2599999998</v>
      </c>
      <c r="FN33" s="264">
        <f t="shared" si="234"/>
        <v>9905100.2599999998</v>
      </c>
      <c r="FO33" s="264">
        <f t="shared" si="235"/>
        <v>0</v>
      </c>
      <c r="FP33" s="264">
        <f t="shared" si="236"/>
        <v>9905100.2599999998</v>
      </c>
      <c r="FQ33" s="264">
        <f t="shared" si="237"/>
        <v>0</v>
      </c>
      <c r="FR33" s="265">
        <f t="shared" si="238"/>
        <v>0</v>
      </c>
      <c r="FS33" s="264">
        <f t="shared" si="239"/>
        <v>9905100.2599999998</v>
      </c>
      <c r="FT33" s="264">
        <f t="shared" si="240"/>
        <v>0</v>
      </c>
      <c r="FU33" s="265">
        <f t="shared" si="241"/>
        <v>0</v>
      </c>
      <c r="FV33" s="264">
        <f t="shared" si="242"/>
        <v>9905100.2599999998</v>
      </c>
      <c r="FW33" s="264">
        <f t="shared" si="243"/>
        <v>9905100.2599999998</v>
      </c>
      <c r="FX33" s="264">
        <f t="shared" si="244"/>
        <v>0</v>
      </c>
      <c r="FY33" s="264">
        <f t="shared" si="245"/>
        <v>0</v>
      </c>
      <c r="FZ33" s="264">
        <f t="shared" si="246"/>
        <v>9905100.2599999998</v>
      </c>
      <c r="GA33" s="265">
        <f t="shared" si="296"/>
        <v>44379.255832469709</v>
      </c>
      <c r="GB33" s="264">
        <f t="shared" si="297"/>
        <v>9860721.0041675307</v>
      </c>
      <c r="GC33" s="264">
        <f t="shared" si="247"/>
        <v>9860721.0041675307</v>
      </c>
      <c r="GD33" s="266">
        <f t="shared" si="248"/>
        <v>7149022.7280214597</v>
      </c>
      <c r="GE33" s="138">
        <f t="shared" si="249"/>
        <v>0.72175167745565649</v>
      </c>
      <c r="GF33" s="267">
        <f t="shared" si="250"/>
        <v>41</v>
      </c>
      <c r="GG33" s="264">
        <f t="array" ref="GG33">IF(SUM(IF(IC$9:IC32=IC33,1,0))&gt;0,0,SUMIF($IC$10:$IC$406,IC33,$FJ$10:$FJ$406))</f>
        <v>0</v>
      </c>
      <c r="GH33" s="268">
        <f t="shared" si="251"/>
        <v>0</v>
      </c>
      <c r="GI33" s="137">
        <f t="shared" si="126"/>
        <v>24</v>
      </c>
      <c r="GJ33" s="269">
        <f t="shared" si="252"/>
        <v>3466081</v>
      </c>
      <c r="GK33" s="269">
        <f t="shared" si="253"/>
        <v>152892852.51729038</v>
      </c>
      <c r="GL33" s="163">
        <f t="shared" si="254"/>
        <v>0</v>
      </c>
      <c r="GM33" s="137">
        <f t="array" ref="GM33">IF(GJ33=0,0,LARGE(IF($GG$10:$GG$406=GJ33,$GF$10:$GF$406,0),COUNTIF($GJ$10:$GJ$406,GJ33)-COUNTIF(GJ$9:GJ32,GJ33)))</f>
        <v>24</v>
      </c>
      <c r="GN33" s="270">
        <f t="shared" si="255"/>
        <v>0</v>
      </c>
      <c r="GP33" s="137">
        <f>IF(C33="","",IF(ISERROR(MATCH(C33,C$10:C32,0)),MAX(GP$10:GP32)+1,INDEX(GP$10:GP32,MATCH(C33,C$10:C32,0))))</f>
        <v>20</v>
      </c>
      <c r="GQ33" s="264">
        <f>IF(COUNTIF($A$10:A33,A33)&lt;=1,SUMIF($A$10:$A$406,A33,$FH$10:$FH$406),0)</f>
        <v>9905100.2599999998</v>
      </c>
      <c r="GR33" s="137">
        <f t="shared" si="130"/>
        <v>24</v>
      </c>
      <c r="GS33" s="269">
        <f t="shared" si="256"/>
        <v>11940000</v>
      </c>
      <c r="GT33" s="269">
        <f t="shared" si="257"/>
        <v>50964284.172430128</v>
      </c>
      <c r="GU33" s="163">
        <f t="shared" si="258"/>
        <v>0</v>
      </c>
      <c r="GV33" s="137">
        <f t="array" ref="GV33">IF(GS33=0,0,LARGE(IF($GQ$10:$GQ$406=GS33,$GP$10:$GP$406,0),COUNTIF($GS$10:$GS$406,GS33)-COUNTIF(GS$9:GS32,GS33)))</f>
        <v>100</v>
      </c>
      <c r="GW33" s="270">
        <f t="shared" si="259"/>
        <v>0</v>
      </c>
      <c r="GX33" s="270"/>
      <c r="GY33" s="137">
        <f>IF(C33="","",IF(ISERROR(MATCH(C33,C$10:C32,0)),MAX(GP$10:GP32)+1,INDEX(GP$10:GP32,MATCH(C33,C$10:C32,0))))</f>
        <v>20</v>
      </c>
      <c r="GZ33" s="264">
        <f>IF(COUNTIF($A$10:A33,A33)&lt;=1,SUMIF($A$10:$A$406,A33,$FH$10:$FH$406),0)</f>
        <v>9905100.2599999998</v>
      </c>
      <c r="HA33" s="137">
        <f t="shared" si="134"/>
        <v>24</v>
      </c>
      <c r="HB33" s="269">
        <f t="shared" si="260"/>
        <v>11940000</v>
      </c>
      <c r="HC33" s="414" t="s">
        <v>622</v>
      </c>
      <c r="HD33" s="163">
        <f t="shared" si="261"/>
        <v>0</v>
      </c>
      <c r="HE33" s="137">
        <f t="array" ref="HE33">IF(HB33=0,0,LARGE(IF($GZ$10:$GZ$406=HB33,$GY$10:$GY$406,0),COUNTIF($HB$10:$HB$406,HB33)-COUNTIF(HB$9:HB32,HB33)))</f>
        <v>100</v>
      </c>
      <c r="HF33" s="270">
        <f t="shared" si="262"/>
        <v>0</v>
      </c>
      <c r="HG33"/>
      <c r="HH33" s="268">
        <f t="shared" si="263"/>
        <v>44379.255832469091</v>
      </c>
      <c r="HI33" s="271">
        <v>0</v>
      </c>
      <c r="HJ33" s="264">
        <f t="shared" si="264"/>
        <v>0</v>
      </c>
      <c r="HL33" s="137">
        <f t="shared" si="265"/>
        <v>24</v>
      </c>
      <c r="HM33" s="264">
        <f t="shared" si="300"/>
        <v>2917293</v>
      </c>
      <c r="HO33" s="199">
        <f t="shared" si="301"/>
        <v>9905100.2599999998</v>
      </c>
      <c r="HP33" s="199">
        <f t="shared" si="302"/>
        <v>9905100.2599999998</v>
      </c>
      <c r="HQ33" s="199" t="str">
        <f t="shared" si="303"/>
        <v/>
      </c>
      <c r="HR33" s="199" t="str">
        <f t="shared" si="304"/>
        <v/>
      </c>
      <c r="HS33" s="199" t="str">
        <f t="shared" si="119"/>
        <v/>
      </c>
      <c r="HT33" s="199" t="str">
        <f t="shared" si="305"/>
        <v/>
      </c>
      <c r="HU33" s="199" t="str">
        <f t="shared" si="306"/>
        <v/>
      </c>
      <c r="HV33" s="200">
        <f t="shared" si="307"/>
        <v>0</v>
      </c>
      <c r="HW33" s="272">
        <f t="shared" si="308"/>
        <v>1</v>
      </c>
      <c r="HX33" s="200" t="str">
        <f t="shared" si="309"/>
        <v/>
      </c>
      <c r="HY33" s="200">
        <f t="shared" si="310"/>
        <v>0</v>
      </c>
      <c r="HZ33" s="200" t="str">
        <f t="shared" si="4"/>
        <v/>
      </c>
      <c r="IA33" s="200" t="str">
        <f t="shared" si="311"/>
        <v/>
      </c>
      <c r="IB33" s="200" t="str">
        <f t="shared" si="312"/>
        <v/>
      </c>
      <c r="IC33" s="273">
        <f>IF(C33="","",INDEX(Lookups!$E$2:$E$69,MATCH('Loan List'!BE33,Lookups!$F$2:$F$69,0)))</f>
        <v>41</v>
      </c>
      <c r="ID33" t="b">
        <f t="shared" si="313"/>
        <v>1</v>
      </c>
      <c r="IF33" s="346" t="str">
        <f>IF(B33="","",IF(AND(Y33="Second Lien",OR(DA33=1,DB33=1,DC33=1)),50%,IF(DA33=1,90%,IF(DB33=1,80%,IF(DC33=1,65%,"No Initial Haircut")))))</f>
        <v>No Initial Haircut</v>
      </c>
    </row>
    <row r="34" spans="1:240">
      <c r="A34" t="s">
        <v>729</v>
      </c>
      <c r="B34" s="242">
        <f t="shared" si="149"/>
        <v>25</v>
      </c>
      <c r="C34" s="242">
        <f>IF(COUNTIF($A$10:A33,A34)&gt;0,C33,C33+1)</f>
        <v>21</v>
      </c>
      <c r="D34" s="431" t="s">
        <v>729</v>
      </c>
      <c r="E34" s="428" t="s">
        <v>810</v>
      </c>
      <c r="F34" s="429"/>
      <c r="G34" s="430">
        <v>4627663</v>
      </c>
      <c r="H34" s="430">
        <v>4627663</v>
      </c>
      <c r="I34" s="244">
        <f>IF(B34="","",VLOOKUP(BF34,Inputs!$A$12:$J$15,10,FALSE))</f>
        <v>1</v>
      </c>
      <c r="J34" s="245">
        <f t="shared" si="5"/>
        <v>4627663</v>
      </c>
      <c r="K34" s="245">
        <f t="shared" si="6"/>
        <v>4627663</v>
      </c>
      <c r="L34" s="245">
        <f t="shared" si="7"/>
        <v>4627663</v>
      </c>
      <c r="M34" s="245">
        <f t="shared" si="8"/>
        <v>4627663</v>
      </c>
      <c r="N34" s="246" t="s">
        <v>246</v>
      </c>
      <c r="O34" s="246" t="s">
        <v>245</v>
      </c>
      <c r="P34" s="247">
        <f>IF(B34="","",IF(OR(O34="N/A",O34=""),0,YEARFRAC('Borrowing Base'!$J$4,'Loan List'!O34)*12))</f>
        <v>0</v>
      </c>
      <c r="Q34" s="246" t="s">
        <v>246</v>
      </c>
      <c r="R34" s="248">
        <v>0.9900000000000001</v>
      </c>
      <c r="S34" s="249" t="str">
        <f t="shared" si="1"/>
        <v>No</v>
      </c>
      <c r="T34" s="248">
        <v>0.99</v>
      </c>
      <c r="U34" s="250">
        <f t="shared" si="9"/>
        <v>0.5</v>
      </c>
      <c r="V34" s="250">
        <f t="shared" si="10"/>
        <v>0.68176249999999994</v>
      </c>
      <c r="W34" s="251">
        <f t="shared" si="11"/>
        <v>4627663</v>
      </c>
      <c r="X34" s="246" t="s">
        <v>64</v>
      </c>
      <c r="Y34" s="252" t="s">
        <v>483</v>
      </c>
      <c r="Z34" s="252" t="s">
        <v>484</v>
      </c>
      <c r="AA34" s="253" t="s">
        <v>407</v>
      </c>
      <c r="AB34" s="253" t="s">
        <v>713</v>
      </c>
      <c r="AC34" s="254">
        <v>1.7</v>
      </c>
      <c r="AD34" s="254">
        <v>1.0813730514702853</v>
      </c>
      <c r="AE34" s="254">
        <v>1.5540854224698237</v>
      </c>
      <c r="AF34" s="255">
        <v>0.50387596899224807</v>
      </c>
      <c r="AG34" s="256">
        <v>5.0864699898270604</v>
      </c>
      <c r="AH34" s="256">
        <v>5.0864699898270604</v>
      </c>
      <c r="AI34" s="256">
        <v>5.4771082377815725</v>
      </c>
      <c r="AJ34" s="256">
        <v>5.4771082377815725</v>
      </c>
      <c r="AK34" s="257">
        <v>12779000</v>
      </c>
      <c r="AL34" s="257">
        <v>12297000</v>
      </c>
      <c r="AM34" s="258">
        <v>45838</v>
      </c>
      <c r="AN34" s="245" t="str">
        <f t="shared" si="12"/>
        <v>Tier 2</v>
      </c>
      <c r="AO34" s="243">
        <v>46266</v>
      </c>
      <c r="AP34" s="259">
        <f>IF(C34="","",DAYS360(Inputs!$J$8,AO34)/360)</f>
        <v>1.0194444444444444</v>
      </c>
      <c r="AQ34" s="259">
        <f t="shared" si="13"/>
        <v>1.0194444444444444</v>
      </c>
      <c r="AR34" s="246" t="s">
        <v>246</v>
      </c>
      <c r="AS34" s="248">
        <v>0</v>
      </c>
      <c r="AT34" s="246" t="s">
        <v>64</v>
      </c>
      <c r="AU34" s="248">
        <v>0.01</v>
      </c>
      <c r="AV34" s="248">
        <v>0.06</v>
      </c>
      <c r="AW34" s="248">
        <v>4.2956000000000008E-2</v>
      </c>
      <c r="AX34" s="260">
        <f t="shared" si="14"/>
        <v>4.2956000000000008E-2</v>
      </c>
      <c r="AY34" s="248">
        <v>0</v>
      </c>
      <c r="AZ34" s="248">
        <v>0</v>
      </c>
      <c r="BA34" s="248">
        <v>0</v>
      </c>
      <c r="BB34" s="407">
        <f t="shared" si="15"/>
        <v>0.06</v>
      </c>
      <c r="BC34" s="407" t="str">
        <f t="shared" si="16"/>
        <v/>
      </c>
      <c r="BD34" s="252" t="s">
        <v>249</v>
      </c>
      <c r="BE34" s="261" t="s">
        <v>437</v>
      </c>
      <c r="BF34" s="252" t="s">
        <v>7</v>
      </c>
      <c r="BG34" s="252" t="s">
        <v>460</v>
      </c>
      <c r="BH34" s="246" t="s">
        <v>246</v>
      </c>
      <c r="BI34" s="408" t="str">
        <f t="shared" si="17"/>
        <v>No</v>
      </c>
      <c r="BJ34" s="408" t="str">
        <f t="shared" si="18"/>
        <v>No</v>
      </c>
      <c r="BK34" s="246" t="s">
        <v>246</v>
      </c>
      <c r="BL34" s="246" t="s">
        <v>246</v>
      </c>
      <c r="BM34" s="246" t="s">
        <v>64</v>
      </c>
      <c r="BN34" s="246" t="s">
        <v>64</v>
      </c>
      <c r="BO34" s="246" t="s">
        <v>246</v>
      </c>
      <c r="BP34" s="246" t="s">
        <v>246</v>
      </c>
      <c r="BQ34" s="246" t="s">
        <v>246</v>
      </c>
      <c r="BR34" s="246" t="s">
        <v>246</v>
      </c>
      <c r="BS34" s="246" t="s">
        <v>246</v>
      </c>
      <c r="BT34" s="246" t="s">
        <v>246</v>
      </c>
      <c r="BU34" s="246" t="s">
        <v>246</v>
      </c>
      <c r="BV34" s="246" t="s">
        <v>246</v>
      </c>
      <c r="BW34" s="246" t="s">
        <v>246</v>
      </c>
      <c r="BX34" s="246" t="s">
        <v>246</v>
      </c>
      <c r="BY34" s="246" t="s">
        <v>246</v>
      </c>
      <c r="BZ34" s="246" t="s">
        <v>246</v>
      </c>
      <c r="CA34" s="246" t="s">
        <v>246</v>
      </c>
      <c r="CB34" s="246" t="s">
        <v>64</v>
      </c>
      <c r="CC34" s="262">
        <f t="shared" si="19"/>
        <v>276426.9705768</v>
      </c>
      <c r="CD34" s="262">
        <f t="shared" si="20"/>
        <v>0</v>
      </c>
      <c r="CE34" s="263"/>
      <c r="CF34" s="263">
        <f t="shared" si="150"/>
        <v>0</v>
      </c>
      <c r="CG34" s="263">
        <f t="shared" si="151"/>
        <v>0</v>
      </c>
      <c r="CH34" s="263">
        <f t="shared" si="152"/>
        <v>0</v>
      </c>
      <c r="CI34" s="263">
        <f t="shared" si="153"/>
        <v>0</v>
      </c>
      <c r="CJ34" s="263">
        <f t="shared" si="154"/>
        <v>0</v>
      </c>
      <c r="CK34" s="263">
        <f t="shared" si="155"/>
        <v>0</v>
      </c>
      <c r="CL34" s="263">
        <f t="shared" si="156"/>
        <v>0</v>
      </c>
      <c r="CM34" s="263">
        <f t="shared" si="157"/>
        <v>0</v>
      </c>
      <c r="CN34" s="263">
        <f t="shared" si="158"/>
        <v>0</v>
      </c>
      <c r="CO34" s="263">
        <f t="shared" si="159"/>
        <v>0</v>
      </c>
      <c r="CP34" s="263">
        <f t="shared" si="160"/>
        <v>0</v>
      </c>
      <c r="CQ34" s="263">
        <f t="shared" si="161"/>
        <v>0</v>
      </c>
      <c r="CR34" s="263">
        <f t="shared" si="162"/>
        <v>0</v>
      </c>
      <c r="CS34" s="263">
        <f t="shared" si="163"/>
        <v>0</v>
      </c>
      <c r="CT34" s="263">
        <f t="shared" si="164"/>
        <v>0</v>
      </c>
      <c r="CU34" s="263">
        <f t="shared" si="165"/>
        <v>0</v>
      </c>
      <c r="CV34" s="263">
        <f t="shared" si="166"/>
        <v>0</v>
      </c>
      <c r="CW34" s="263">
        <f t="shared" si="167"/>
        <v>0</v>
      </c>
      <c r="CX34" s="263">
        <f t="shared" si="168"/>
        <v>0</v>
      </c>
      <c r="CY34" s="263">
        <f t="shared" si="169"/>
        <v>0</v>
      </c>
      <c r="CZ34" s="263">
        <f t="shared" si="170"/>
        <v>0</v>
      </c>
      <c r="DA34" s="263">
        <f t="shared" si="171"/>
        <v>0</v>
      </c>
      <c r="DB34" s="263">
        <f t="shared" si="172"/>
        <v>0</v>
      </c>
      <c r="DC34" s="263">
        <f t="shared" si="173"/>
        <v>0</v>
      </c>
      <c r="DD34" s="263">
        <f t="shared" si="174"/>
        <v>0</v>
      </c>
      <c r="DE34" s="263">
        <f t="shared" si="175"/>
        <v>0</v>
      </c>
      <c r="DF34" s="263">
        <f t="shared" si="176"/>
        <v>4627663</v>
      </c>
      <c r="DG34" s="263">
        <f t="shared" si="177"/>
        <v>0</v>
      </c>
      <c r="DH34" s="263">
        <f t="shared" si="178"/>
        <v>4627663</v>
      </c>
      <c r="DI34" s="263">
        <f t="shared" si="179"/>
        <v>4627663</v>
      </c>
      <c r="DJ34" s="263">
        <f t="shared" si="180"/>
        <v>0</v>
      </c>
      <c r="DK34" s="263">
        <f t="shared" si="181"/>
        <v>0</v>
      </c>
      <c r="DL34" s="263">
        <f t="shared" si="182"/>
        <v>0</v>
      </c>
      <c r="DM34" s="263">
        <f t="shared" si="183"/>
        <v>0</v>
      </c>
      <c r="DO34" s="264">
        <f t="shared" si="184"/>
        <v>0</v>
      </c>
      <c r="DP34" s="265">
        <f t="shared" si="185"/>
        <v>0</v>
      </c>
      <c r="DQ34" s="264">
        <f t="shared" si="186"/>
        <v>4627663</v>
      </c>
      <c r="DR34" s="264">
        <f t="shared" si="187"/>
        <v>0</v>
      </c>
      <c r="DS34" s="265">
        <f t="shared" si="188"/>
        <v>0</v>
      </c>
      <c r="DT34" s="264">
        <f t="shared" si="189"/>
        <v>4627663</v>
      </c>
      <c r="DU34" s="264">
        <f t="shared" si="190"/>
        <v>0</v>
      </c>
      <c r="DV34" s="265">
        <f t="shared" si="191"/>
        <v>0</v>
      </c>
      <c r="DW34" s="264">
        <f t="shared" si="192"/>
        <v>4627663</v>
      </c>
      <c r="DX34" s="264">
        <f t="shared" si="193"/>
        <v>0</v>
      </c>
      <c r="DY34" s="265">
        <f t="shared" si="194"/>
        <v>0</v>
      </c>
      <c r="DZ34" s="264">
        <f t="shared" si="195"/>
        <v>4627663</v>
      </c>
      <c r="EA34" s="264">
        <f t="shared" si="196"/>
        <v>0</v>
      </c>
      <c r="EB34" s="265">
        <f t="shared" si="197"/>
        <v>0</v>
      </c>
      <c r="EC34" s="264">
        <f t="shared" si="198"/>
        <v>4627663</v>
      </c>
      <c r="ED34" s="264">
        <f t="shared" si="199"/>
        <v>0</v>
      </c>
      <c r="EE34" s="265">
        <f t="shared" si="200"/>
        <v>0</v>
      </c>
      <c r="EF34" s="264">
        <f t="shared" si="201"/>
        <v>4627663</v>
      </c>
      <c r="EG34" s="264">
        <f t="shared" si="202"/>
        <v>0</v>
      </c>
      <c r="EH34" s="265">
        <f t="shared" si="203"/>
        <v>0</v>
      </c>
      <c r="EI34" s="264">
        <f t="shared" si="204"/>
        <v>4627663</v>
      </c>
      <c r="EJ34" s="264">
        <f t="shared" si="205"/>
        <v>0</v>
      </c>
      <c r="EK34" s="265">
        <f t="shared" si="206"/>
        <v>0</v>
      </c>
      <c r="EL34" s="264">
        <f t="shared" si="207"/>
        <v>4627663</v>
      </c>
      <c r="EM34" s="264">
        <f t="shared" si="208"/>
        <v>0</v>
      </c>
      <c r="EN34" s="265">
        <f t="shared" si="209"/>
        <v>0</v>
      </c>
      <c r="EO34" s="264">
        <f t="shared" si="210"/>
        <v>4627663</v>
      </c>
      <c r="EP34" s="264">
        <f t="shared" si="211"/>
        <v>0</v>
      </c>
      <c r="EQ34" s="265">
        <f t="shared" si="212"/>
        <v>0</v>
      </c>
      <c r="ER34" s="264">
        <f t="shared" si="213"/>
        <v>4627663</v>
      </c>
      <c r="ES34" s="264">
        <f t="shared" si="214"/>
        <v>0</v>
      </c>
      <c r="ET34" s="265">
        <f t="shared" si="215"/>
        <v>0</v>
      </c>
      <c r="EU34" s="264">
        <f t="shared" si="216"/>
        <v>4627663</v>
      </c>
      <c r="EV34" s="264">
        <f>IF(AND(BM34="Yes",OR(BN34="No",AND(BN34="Yes",Inputs!$J$8=Inputs!$J$17+75))),EU34,0)</f>
        <v>0</v>
      </c>
      <c r="EW34" s="265">
        <f t="shared" si="217"/>
        <v>0</v>
      </c>
      <c r="EX34" s="264">
        <f t="shared" si="218"/>
        <v>4627663</v>
      </c>
      <c r="EY34" s="264">
        <f t="shared" si="219"/>
        <v>0</v>
      </c>
      <c r="EZ34" s="265">
        <f t="shared" si="220"/>
        <v>0</v>
      </c>
      <c r="FA34" s="264">
        <f t="shared" si="221"/>
        <v>4627663</v>
      </c>
      <c r="FB34" s="264">
        <f t="shared" si="222"/>
        <v>0</v>
      </c>
      <c r="FC34" s="265">
        <f t="shared" si="223"/>
        <v>0</v>
      </c>
      <c r="FD34" s="264">
        <f t="shared" si="224"/>
        <v>4627663</v>
      </c>
      <c r="FE34" s="264">
        <f t="shared" si="225"/>
        <v>0</v>
      </c>
      <c r="FF34" s="265">
        <f t="shared" si="226"/>
        <v>0</v>
      </c>
      <c r="FG34" s="264">
        <f t="shared" si="227"/>
        <v>4627663</v>
      </c>
      <c r="FH34" s="264">
        <f t="shared" si="228"/>
        <v>4627663</v>
      </c>
      <c r="FI34" s="264">
        <f t="shared" si="229"/>
        <v>0</v>
      </c>
      <c r="FJ34" s="264">
        <f t="shared" si="230"/>
        <v>4627663</v>
      </c>
      <c r="FK34" s="264">
        <f t="shared" si="231"/>
        <v>4627663</v>
      </c>
      <c r="FL34" s="264">
        <f t="shared" si="232"/>
        <v>0</v>
      </c>
      <c r="FM34" s="264">
        <f t="shared" si="233"/>
        <v>4627663</v>
      </c>
      <c r="FN34" s="264">
        <f t="shared" si="234"/>
        <v>4627663</v>
      </c>
      <c r="FO34" s="264">
        <f t="shared" si="235"/>
        <v>0</v>
      </c>
      <c r="FP34" s="264">
        <f t="shared" si="236"/>
        <v>4627663</v>
      </c>
      <c r="FQ34" s="264">
        <f t="shared" si="237"/>
        <v>0</v>
      </c>
      <c r="FR34" s="265">
        <f t="shared" si="238"/>
        <v>0</v>
      </c>
      <c r="FS34" s="264">
        <f t="shared" si="239"/>
        <v>4627663</v>
      </c>
      <c r="FT34" s="264">
        <f t="shared" si="240"/>
        <v>4627663</v>
      </c>
      <c r="FU34" s="265">
        <f t="shared" si="241"/>
        <v>0</v>
      </c>
      <c r="FV34" s="264">
        <f t="shared" si="242"/>
        <v>4627663</v>
      </c>
      <c r="FW34" s="264">
        <f t="shared" si="243"/>
        <v>0</v>
      </c>
      <c r="FX34" s="264">
        <f t="shared" si="244"/>
        <v>0</v>
      </c>
      <c r="FY34" s="264">
        <f t="shared" si="245"/>
        <v>4627663</v>
      </c>
      <c r="FZ34" s="264">
        <f t="shared" si="246"/>
        <v>4627663</v>
      </c>
      <c r="GA34" s="265">
        <f t="shared" si="296"/>
        <v>20733.989035205817</v>
      </c>
      <c r="GB34" s="264">
        <f t="shared" si="297"/>
        <v>4606929.0109647941</v>
      </c>
      <c r="GC34" s="264">
        <f t="shared" si="247"/>
        <v>4606929.0109647941</v>
      </c>
      <c r="GD34" s="266">
        <f t="shared" si="248"/>
        <v>3140831.4398378851</v>
      </c>
      <c r="GE34" s="138">
        <f t="shared" si="249"/>
        <v>0.67870790069153375</v>
      </c>
      <c r="GF34" s="267">
        <f t="shared" si="250"/>
        <v>46</v>
      </c>
      <c r="GG34" s="264">
        <f t="array" ref="GG34">IF(SUM(IF(IC$9:IC33=IC34,1,0))&gt;0,0,SUMIF($IC$10:$IC$406,IC34,$FJ$10:$FJ$406))</f>
        <v>0</v>
      </c>
      <c r="GH34" s="268">
        <f t="shared" si="251"/>
        <v>0</v>
      </c>
      <c r="GI34" s="137">
        <f t="shared" si="126"/>
        <v>25</v>
      </c>
      <c r="GJ34" s="269">
        <f t="shared" si="252"/>
        <v>893147.4</v>
      </c>
      <c r="GK34" s="269">
        <f t="shared" si="253"/>
        <v>152892852.51729038</v>
      </c>
      <c r="GL34" s="163">
        <f t="shared" si="254"/>
        <v>0</v>
      </c>
      <c r="GM34" s="137">
        <f t="array" ref="GM34">IF(GJ34=0,0,LARGE(IF($GG$10:$GG$406=GJ34,$GF$10:$GF$406,0),COUNTIF($GJ$10:$GJ$406,GJ34)-COUNTIF(GJ$9:GJ33,GJ34)))</f>
        <v>30</v>
      </c>
      <c r="GN34" s="270">
        <f t="shared" si="255"/>
        <v>0</v>
      </c>
      <c r="GP34" s="137">
        <f>IF(C34="","",IF(ISERROR(MATCH(C34,C$10:C33,0)),MAX(GP$10:GP33)+1,INDEX(GP$10:GP33,MATCH(C34,C$10:C33,0))))</f>
        <v>21</v>
      </c>
      <c r="GQ34" s="264">
        <f>IF(COUNTIF($A$10:A34,A34)&lt;=1,SUMIF($A$10:$A$406,A34,$FH$10:$FH$406),0)</f>
        <v>4627663</v>
      </c>
      <c r="GR34" s="137">
        <f t="shared" si="130"/>
        <v>25</v>
      </c>
      <c r="GS34" s="269">
        <f t="shared" si="256"/>
        <v>11464651.42</v>
      </c>
      <c r="GT34" s="269">
        <f t="shared" si="257"/>
        <v>50964284.172430128</v>
      </c>
      <c r="GU34" s="163">
        <f t="shared" si="258"/>
        <v>0</v>
      </c>
      <c r="GV34" s="137">
        <f t="array" ref="GV34">IF(GS34=0,0,LARGE(IF($GQ$10:$GQ$406=GS34,$GP$10:$GP$406,0),COUNTIF($GS$10:$GS$406,GS34)-COUNTIF(GS$9:GS33,GS34)))</f>
        <v>98</v>
      </c>
      <c r="GW34" s="270">
        <f t="shared" si="259"/>
        <v>0</v>
      </c>
      <c r="GX34" s="270"/>
      <c r="GY34" s="137">
        <f>IF(C34="","",IF(ISERROR(MATCH(C34,C$10:C33,0)),MAX(GP$10:GP33)+1,INDEX(GP$10:GP33,MATCH(C34,C$10:C33,0))))</f>
        <v>21</v>
      </c>
      <c r="GZ34" s="264">
        <f>IF(COUNTIF($A$10:A34,A34)&lt;=1,SUMIF($A$10:$A$406,A34,$FH$10:$FH$406),0)</f>
        <v>4627663</v>
      </c>
      <c r="HA34" s="137">
        <f t="shared" si="134"/>
        <v>25</v>
      </c>
      <c r="HB34" s="269">
        <f t="shared" si="260"/>
        <v>11464651.42</v>
      </c>
      <c r="HC34" s="414" t="s">
        <v>622</v>
      </c>
      <c r="HD34" s="163">
        <f t="shared" si="261"/>
        <v>0</v>
      </c>
      <c r="HE34" s="137">
        <f t="array" ref="HE34">IF(HB34=0,0,LARGE(IF($GZ$10:$GZ$406=HB34,$GY$10:$GY$406,0),COUNTIF($HB$10:$HB$406,HB34)-COUNTIF(HB$9:HB33,HB34)))</f>
        <v>98</v>
      </c>
      <c r="HF34" s="270">
        <f t="shared" si="262"/>
        <v>0</v>
      </c>
      <c r="HG34"/>
      <c r="HH34" s="268">
        <f t="shared" si="263"/>
        <v>20733.989035205916</v>
      </c>
      <c r="HI34" s="271">
        <v>0</v>
      </c>
      <c r="HJ34" s="264">
        <f t="shared" si="264"/>
        <v>0</v>
      </c>
      <c r="HL34" s="137">
        <f t="shared" si="265"/>
        <v>25</v>
      </c>
      <c r="HM34" s="264">
        <f t="shared" si="300"/>
        <v>11316885.93</v>
      </c>
      <c r="HO34" s="199">
        <f t="shared" si="301"/>
        <v>4627663</v>
      </c>
      <c r="HP34" s="199">
        <f t="shared" si="302"/>
        <v>4627663</v>
      </c>
      <c r="HQ34" s="199" t="str">
        <f t="shared" si="303"/>
        <v/>
      </c>
      <c r="HR34" s="199" t="str">
        <f t="shared" si="304"/>
        <v/>
      </c>
      <c r="HS34" s="199" t="str">
        <f t="shared" si="119"/>
        <v/>
      </c>
      <c r="HT34" s="199" t="str">
        <f t="shared" si="305"/>
        <v/>
      </c>
      <c r="HU34" s="199" t="str">
        <f t="shared" si="306"/>
        <v/>
      </c>
      <c r="HV34" s="200">
        <f t="shared" si="307"/>
        <v>0</v>
      </c>
      <c r="HW34" s="272">
        <f t="shared" si="308"/>
        <v>1</v>
      </c>
      <c r="HX34" s="200" t="str">
        <f t="shared" si="309"/>
        <v/>
      </c>
      <c r="HY34" s="200">
        <f t="shared" si="310"/>
        <v>0</v>
      </c>
      <c r="HZ34" s="200" t="str">
        <f t="shared" si="4"/>
        <v/>
      </c>
      <c r="IA34" s="200" t="str">
        <f t="shared" si="311"/>
        <v/>
      </c>
      <c r="IB34" s="200" t="str">
        <f t="shared" si="312"/>
        <v/>
      </c>
      <c r="IC34" s="273">
        <f>IF(C34="","",INDEX(Lookups!$E$2:$E$69,MATCH('Loan List'!BE34,Lookups!$F$2:$F$69,0)))</f>
        <v>46</v>
      </c>
      <c r="ID34" t="b">
        <f t="shared" si="313"/>
        <v>1</v>
      </c>
      <c r="IF34" s="346" t="str">
        <f t="shared" si="121"/>
        <v>No Initial Haircut</v>
      </c>
    </row>
    <row r="35" spans="1:240">
      <c r="A35" t="s">
        <v>669</v>
      </c>
      <c r="B35" s="242">
        <f t="shared" si="149"/>
        <v>26</v>
      </c>
      <c r="C35" s="242">
        <f>IF(COUNTIF($A$10:A34,A35)&gt;0,C34,C34+1)</f>
        <v>22</v>
      </c>
      <c r="D35" s="428" t="s">
        <v>669</v>
      </c>
      <c r="E35" s="428" t="s">
        <v>580</v>
      </c>
      <c r="F35" s="429"/>
      <c r="G35" s="430">
        <v>1984103.69</v>
      </c>
      <c r="H35" s="430">
        <v>1984103.69</v>
      </c>
      <c r="I35" s="244">
        <f>IF(B35="","",VLOOKUP(BF35,Inputs!$A$12:$J$15,10,FALSE))</f>
        <v>1</v>
      </c>
      <c r="J35" s="245">
        <f>IF(B35="","",G35*I35)</f>
        <v>1984103.69</v>
      </c>
      <c r="K35" s="245">
        <f>IF(B35="","",H35*I35)</f>
        <v>1984103.69</v>
      </c>
      <c r="L35" s="245">
        <f>IF(B35="","",IF(COUNTIF($CF35:$CY35,1)&gt;0,0,J35))</f>
        <v>1984103.69</v>
      </c>
      <c r="M35" s="245">
        <f>IF(B35="","",IF(COUNTIF($CF35:$CY35,1)&gt;0,0,K35))</f>
        <v>1984103.69</v>
      </c>
      <c r="N35" s="246" t="s">
        <v>246</v>
      </c>
      <c r="O35" s="246" t="s">
        <v>245</v>
      </c>
      <c r="P35" s="247">
        <f>IF(B35="","",IF(OR(O35="N/A",O35=""),0,YEARFRAC('Borrowing Base'!$J$4,'Loan List'!O35)*12))</f>
        <v>0</v>
      </c>
      <c r="Q35" s="246" t="s">
        <v>246</v>
      </c>
      <c r="R35" s="248">
        <v>0.99250000000000005</v>
      </c>
      <c r="S35" s="249" t="str">
        <f>IF(B35="","",IF(R35&lt;95%,"Yes","No"))</f>
        <v>No</v>
      </c>
      <c r="T35" s="248">
        <v>1</v>
      </c>
      <c r="U35" s="250">
        <f>IF(B35="","",IF(OR(Y35="First Lien",Y35="Split First Lien",Y35="Tier 1 Split Lien",Y35="Tier 2 Split Lien"),50%,30%))</f>
        <v>0.5</v>
      </c>
      <c r="V35" s="250">
        <f t="shared" si="10"/>
        <v>0.72499999999999998</v>
      </c>
      <c r="W35" s="251">
        <f t="shared" si="11"/>
        <v>1984103.69</v>
      </c>
      <c r="X35" s="246" t="s">
        <v>246</v>
      </c>
      <c r="Y35" s="252" t="s">
        <v>483</v>
      </c>
      <c r="Z35" s="252" t="s">
        <v>484</v>
      </c>
      <c r="AA35" s="253" t="s">
        <v>407</v>
      </c>
      <c r="AB35" s="253" t="s">
        <v>713</v>
      </c>
      <c r="AC35" s="254">
        <v>1.6178086074544229</v>
      </c>
      <c r="AD35" s="254">
        <v>1.953026070584196</v>
      </c>
      <c r="AE35" s="254">
        <v>2.5181580225476337</v>
      </c>
      <c r="AF35" s="255">
        <v>0.26300000000000001</v>
      </c>
      <c r="AG35" s="256">
        <v>1.4414121053161031</v>
      </c>
      <c r="AH35" s="256">
        <v>1.4414121053161031</v>
      </c>
      <c r="AI35" s="256">
        <v>2.8491789451385081</v>
      </c>
      <c r="AJ35" s="256">
        <v>2.8491789451385081</v>
      </c>
      <c r="AK35" s="257">
        <v>10781094.416153846</v>
      </c>
      <c r="AL35" s="257">
        <v>20505877</v>
      </c>
      <c r="AM35" s="258">
        <v>45838</v>
      </c>
      <c r="AN35" s="245" t="str">
        <f>IF(C35="","",(IF(AK35&gt;=50000000,"Tier 1",(IF(OR(AK35&gt;=20000000,AND(AK35&gt;5000000,AC35&gt;=1.25,AF35&lt;=0.65)),"Tier 2","Tier 3")))))</f>
        <v>Tier 2</v>
      </c>
      <c r="AO35" s="243">
        <v>47455</v>
      </c>
      <c r="AP35" s="259">
        <f>IF(C35="","",DAYS360(Inputs!$J$8,AO35)/360)</f>
        <v>4.2750000000000004</v>
      </c>
      <c r="AQ35" s="259">
        <f>IF(C35="","",AP35)</f>
        <v>4.2750000000000004</v>
      </c>
      <c r="AR35" s="246" t="s">
        <v>246</v>
      </c>
      <c r="AS35" s="248">
        <v>0</v>
      </c>
      <c r="AT35" s="246" t="s">
        <v>64</v>
      </c>
      <c r="AU35" s="248">
        <v>0.01</v>
      </c>
      <c r="AV35" s="248">
        <v>5.2499999999999998E-2</v>
      </c>
      <c r="AW35" s="248">
        <v>4.0455999999999999E-2</v>
      </c>
      <c r="AX35" s="260">
        <f>IF(C35="","",MAX(AU35,AW35))</f>
        <v>4.0455999999999999E-2</v>
      </c>
      <c r="AY35" s="248">
        <v>0</v>
      </c>
      <c r="AZ35" s="248">
        <v>0</v>
      </c>
      <c r="BA35" s="248">
        <v>0</v>
      </c>
      <c r="BB35" s="407">
        <f>IF(B35="","",IF(AR35="No",AV35-AZ35,""))</f>
        <v>5.2499999999999998E-2</v>
      </c>
      <c r="BC35" s="407" t="str">
        <f>IF(B35="","",IF(AR35="Yes",AS35-BA35,""))</f>
        <v/>
      </c>
      <c r="BD35" s="252" t="s">
        <v>249</v>
      </c>
      <c r="BE35" s="261" t="s">
        <v>408</v>
      </c>
      <c r="BF35" s="252" t="s">
        <v>7</v>
      </c>
      <c r="BG35" s="252" t="s">
        <v>460</v>
      </c>
      <c r="BH35" s="246" t="s">
        <v>246</v>
      </c>
      <c r="BI35" s="408" t="str">
        <f t="shared" si="17"/>
        <v>No</v>
      </c>
      <c r="BJ35" s="408" t="str">
        <f>IF(B35="","",IF(OR(AND(AZ35&gt;0,BB35&lt;2.5%),AND(BA35&gt;0,BC35&lt;6%)),"Yes","No"))</f>
        <v>No</v>
      </c>
      <c r="BK35" s="246" t="s">
        <v>246</v>
      </c>
      <c r="BL35" s="246" t="s">
        <v>246</v>
      </c>
      <c r="BM35" s="246" t="s">
        <v>246</v>
      </c>
      <c r="BN35" s="246" t="s">
        <v>246</v>
      </c>
      <c r="BO35" s="246" t="s">
        <v>246</v>
      </c>
      <c r="BP35" s="246" t="s">
        <v>246</v>
      </c>
      <c r="BQ35" s="246" t="s">
        <v>246</v>
      </c>
      <c r="BR35" s="246" t="s">
        <v>246</v>
      </c>
      <c r="BS35" s="246" t="s">
        <v>246</v>
      </c>
      <c r="BT35" s="246" t="s">
        <v>246</v>
      </c>
      <c r="BU35" s="246" t="s">
        <v>246</v>
      </c>
      <c r="BV35" s="246" t="s">
        <v>246</v>
      </c>
      <c r="BW35" s="246" t="s">
        <v>246</v>
      </c>
      <c r="BX35" s="246" t="s">
        <v>246</v>
      </c>
      <c r="BY35" s="246" t="s">
        <v>246</v>
      </c>
      <c r="BZ35" s="246" t="s">
        <v>246</v>
      </c>
      <c r="CA35" s="246" t="s">
        <v>246</v>
      </c>
      <c r="CB35" s="246" t="s">
        <v>64</v>
      </c>
      <c r="CC35" s="262">
        <f>IF(B35="","",IF(AT35="No",((BB35+AW35)-$AZ$4),((BB35+AX35)-$AZ$4))*IF(DE35&gt;0,0,M35))</f>
        <v>98676.619276983984</v>
      </c>
      <c r="CD35" s="262">
        <f>IF(B35="","",AY35*(L35-M35)*IF(DE35&gt;0,0,1))</f>
        <v>0</v>
      </c>
      <c r="CE35" s="263"/>
      <c r="CF35" s="263">
        <f t="shared" si="150"/>
        <v>0</v>
      </c>
      <c r="CG35" s="263">
        <f t="shared" si="151"/>
        <v>0</v>
      </c>
      <c r="CH35" s="263">
        <f t="shared" si="152"/>
        <v>0</v>
      </c>
      <c r="CI35" s="263">
        <f t="shared" si="153"/>
        <v>0</v>
      </c>
      <c r="CJ35" s="263">
        <f t="shared" si="154"/>
        <v>0</v>
      </c>
      <c r="CK35" s="263">
        <f t="shared" si="155"/>
        <v>0</v>
      </c>
      <c r="CL35" s="263">
        <f t="shared" si="156"/>
        <v>0</v>
      </c>
      <c r="CM35" s="263">
        <f t="shared" si="157"/>
        <v>0</v>
      </c>
      <c r="CN35" s="263">
        <f t="shared" si="158"/>
        <v>0</v>
      </c>
      <c r="CO35" s="263">
        <f t="shared" si="159"/>
        <v>0</v>
      </c>
      <c r="CP35" s="263">
        <f t="shared" si="160"/>
        <v>0</v>
      </c>
      <c r="CQ35" s="263">
        <f t="shared" si="161"/>
        <v>0</v>
      </c>
      <c r="CR35" s="263">
        <f t="shared" si="162"/>
        <v>0</v>
      </c>
      <c r="CS35" s="263">
        <f t="shared" si="163"/>
        <v>0</v>
      </c>
      <c r="CT35" s="263">
        <f t="shared" si="164"/>
        <v>0</v>
      </c>
      <c r="CU35" s="263">
        <f t="shared" si="165"/>
        <v>0</v>
      </c>
      <c r="CV35" s="263">
        <f t="shared" si="166"/>
        <v>0</v>
      </c>
      <c r="CW35" s="263">
        <f t="shared" si="167"/>
        <v>0</v>
      </c>
      <c r="CX35" s="263">
        <f t="shared" si="168"/>
        <v>0</v>
      </c>
      <c r="CY35" s="263">
        <f t="shared" si="169"/>
        <v>0</v>
      </c>
      <c r="CZ35" s="263">
        <f t="shared" si="170"/>
        <v>0</v>
      </c>
      <c r="DA35" s="263">
        <f t="shared" si="171"/>
        <v>0</v>
      </c>
      <c r="DB35" s="263">
        <f t="shared" si="172"/>
        <v>0</v>
      </c>
      <c r="DC35" s="263">
        <f t="shared" si="173"/>
        <v>0</v>
      </c>
      <c r="DD35" s="263">
        <f t="shared" si="174"/>
        <v>0</v>
      </c>
      <c r="DE35" s="263">
        <f t="shared" si="175"/>
        <v>0</v>
      </c>
      <c r="DF35" s="263">
        <f t="shared" si="176"/>
        <v>1984103.69</v>
      </c>
      <c r="DG35" s="263">
        <f t="shared" si="177"/>
        <v>0</v>
      </c>
      <c r="DH35" s="263">
        <f t="shared" si="178"/>
        <v>1984103.69</v>
      </c>
      <c r="DI35" s="263">
        <f t="shared" si="179"/>
        <v>1984103.69</v>
      </c>
      <c r="DJ35" s="263">
        <f t="shared" si="180"/>
        <v>0</v>
      </c>
      <c r="DK35" s="263">
        <f t="shared" si="181"/>
        <v>0</v>
      </c>
      <c r="DL35" s="263">
        <f t="shared" si="182"/>
        <v>0</v>
      </c>
      <c r="DM35" s="263">
        <f t="shared" si="183"/>
        <v>0</v>
      </c>
      <c r="DO35" s="264">
        <f t="shared" si="184"/>
        <v>0</v>
      </c>
      <c r="DP35" s="265">
        <f t="shared" si="185"/>
        <v>0</v>
      </c>
      <c r="DQ35" s="264">
        <f t="shared" si="186"/>
        <v>1984103.69</v>
      </c>
      <c r="DR35" s="264">
        <f t="shared" si="187"/>
        <v>0</v>
      </c>
      <c r="DS35" s="265">
        <f t="shared" si="188"/>
        <v>0</v>
      </c>
      <c r="DT35" s="264">
        <f t="shared" si="189"/>
        <v>1984103.69</v>
      </c>
      <c r="DU35" s="264">
        <f t="shared" si="190"/>
        <v>0</v>
      </c>
      <c r="DV35" s="265">
        <f t="shared" si="191"/>
        <v>0</v>
      </c>
      <c r="DW35" s="264">
        <f t="shared" si="192"/>
        <v>1984103.69</v>
      </c>
      <c r="DX35" s="264">
        <f t="shared" si="193"/>
        <v>0</v>
      </c>
      <c r="DY35" s="265">
        <f t="shared" si="194"/>
        <v>0</v>
      </c>
      <c r="DZ35" s="264">
        <f t="shared" si="195"/>
        <v>1984103.69</v>
      </c>
      <c r="EA35" s="264">
        <f t="shared" si="196"/>
        <v>0</v>
      </c>
      <c r="EB35" s="265">
        <f t="shared" si="197"/>
        <v>0</v>
      </c>
      <c r="EC35" s="264">
        <f t="shared" si="198"/>
        <v>1984103.69</v>
      </c>
      <c r="ED35" s="264">
        <f t="shared" si="199"/>
        <v>0</v>
      </c>
      <c r="EE35" s="265">
        <f t="shared" si="200"/>
        <v>0</v>
      </c>
      <c r="EF35" s="264">
        <f t="shared" si="201"/>
        <v>1984103.69</v>
      </c>
      <c r="EG35" s="264">
        <f t="shared" si="202"/>
        <v>0</v>
      </c>
      <c r="EH35" s="265">
        <f t="shared" si="203"/>
        <v>0</v>
      </c>
      <c r="EI35" s="264">
        <f t="shared" si="204"/>
        <v>1984103.69</v>
      </c>
      <c r="EJ35" s="264">
        <f t="shared" si="205"/>
        <v>0</v>
      </c>
      <c r="EK35" s="265">
        <f t="shared" si="206"/>
        <v>0</v>
      </c>
      <c r="EL35" s="264">
        <f t="shared" si="207"/>
        <v>1984103.69</v>
      </c>
      <c r="EM35" s="264">
        <f t="shared" si="208"/>
        <v>0</v>
      </c>
      <c r="EN35" s="265">
        <f t="shared" si="209"/>
        <v>0</v>
      </c>
      <c r="EO35" s="264">
        <f t="shared" si="210"/>
        <v>1984103.69</v>
      </c>
      <c r="EP35" s="264">
        <f t="shared" si="211"/>
        <v>0</v>
      </c>
      <c r="EQ35" s="265">
        <f t="shared" si="212"/>
        <v>0</v>
      </c>
      <c r="ER35" s="264">
        <f t="shared" si="213"/>
        <v>1984103.69</v>
      </c>
      <c r="ES35" s="264">
        <f t="shared" si="214"/>
        <v>0</v>
      </c>
      <c r="ET35" s="265">
        <f t="shared" si="215"/>
        <v>0</v>
      </c>
      <c r="EU35" s="264">
        <f t="shared" si="216"/>
        <v>1984103.69</v>
      </c>
      <c r="EV35" s="264">
        <f>IF(AND(BM35="Yes",OR(BN35="No",AND(BN35="Yes",Inputs!$J$8=Inputs!$J$17+75))),EU35,0)</f>
        <v>0</v>
      </c>
      <c r="EW35" s="265">
        <f t="shared" si="217"/>
        <v>0</v>
      </c>
      <c r="EX35" s="264">
        <f t="shared" si="218"/>
        <v>1984103.69</v>
      </c>
      <c r="EY35" s="264">
        <f t="shared" si="219"/>
        <v>0</v>
      </c>
      <c r="EZ35" s="265">
        <f t="shared" si="220"/>
        <v>0</v>
      </c>
      <c r="FA35" s="264">
        <f t="shared" si="221"/>
        <v>1984103.69</v>
      </c>
      <c r="FB35" s="264">
        <f t="shared" si="222"/>
        <v>0</v>
      </c>
      <c r="FC35" s="265">
        <f t="shared" si="223"/>
        <v>0</v>
      </c>
      <c r="FD35" s="264">
        <f t="shared" si="224"/>
        <v>1984103.69</v>
      </c>
      <c r="FE35" s="264">
        <f t="shared" si="225"/>
        <v>0</v>
      </c>
      <c r="FF35" s="265">
        <f t="shared" si="226"/>
        <v>0</v>
      </c>
      <c r="FG35" s="264">
        <f t="shared" si="227"/>
        <v>1984103.69</v>
      </c>
      <c r="FH35" s="264">
        <f t="shared" si="228"/>
        <v>1984103.69</v>
      </c>
      <c r="FI35" s="264">
        <f t="shared" si="229"/>
        <v>0</v>
      </c>
      <c r="FJ35" s="264">
        <f t="shared" si="230"/>
        <v>1984103.69</v>
      </c>
      <c r="FK35" s="264">
        <f t="shared" si="231"/>
        <v>1984103.69</v>
      </c>
      <c r="FL35" s="264">
        <f t="shared" si="232"/>
        <v>0</v>
      </c>
      <c r="FM35" s="264">
        <f t="shared" si="233"/>
        <v>1984103.69</v>
      </c>
      <c r="FN35" s="264">
        <f t="shared" si="234"/>
        <v>1984103.69</v>
      </c>
      <c r="FO35" s="264">
        <f t="shared" si="235"/>
        <v>0</v>
      </c>
      <c r="FP35" s="264">
        <f t="shared" si="236"/>
        <v>1984103.69</v>
      </c>
      <c r="FQ35" s="264">
        <f t="shared" si="237"/>
        <v>0</v>
      </c>
      <c r="FR35" s="265">
        <f t="shared" si="238"/>
        <v>0</v>
      </c>
      <c r="FS35" s="264">
        <f t="shared" si="239"/>
        <v>1984103.69</v>
      </c>
      <c r="FT35" s="264">
        <f t="shared" si="240"/>
        <v>0</v>
      </c>
      <c r="FU35" s="265">
        <f t="shared" si="241"/>
        <v>0</v>
      </c>
      <c r="FV35" s="264">
        <f t="shared" si="242"/>
        <v>1984103.69</v>
      </c>
      <c r="FW35" s="264">
        <f t="shared" si="243"/>
        <v>0</v>
      </c>
      <c r="FX35" s="264">
        <f t="shared" si="244"/>
        <v>0</v>
      </c>
      <c r="FY35" s="264">
        <f t="shared" si="245"/>
        <v>0</v>
      </c>
      <c r="FZ35" s="264">
        <f t="shared" si="246"/>
        <v>0</v>
      </c>
      <c r="GA35" s="265">
        <f t="shared" si="296"/>
        <v>0</v>
      </c>
      <c r="GB35" s="264">
        <f t="shared" si="297"/>
        <v>1984103.69</v>
      </c>
      <c r="GC35" s="264">
        <f t="shared" si="247"/>
        <v>1984103.69</v>
      </c>
      <c r="GD35" s="266">
        <f t="shared" si="248"/>
        <v>1438475.1752499999</v>
      </c>
      <c r="GE35" s="138">
        <f t="shared" si="249"/>
        <v>0.72499999999999998</v>
      </c>
      <c r="GF35" s="267">
        <f t="shared" si="250"/>
        <v>31</v>
      </c>
      <c r="GG35" s="264">
        <f t="array" ref="GG35">IF(SUM(IF(IC$9:IC34=IC35,1,0))&gt;0,0,SUMIF($IC$10:$IC$406,IC35,$FJ$10:$FJ$406))</f>
        <v>0</v>
      </c>
      <c r="GH35" s="268">
        <f t="shared" si="251"/>
        <v>0</v>
      </c>
      <c r="GI35" s="137">
        <f t="shared" si="126"/>
        <v>26</v>
      </c>
      <c r="GJ35" s="269">
        <f t="shared" si="252"/>
        <v>0</v>
      </c>
      <c r="GK35" s="269">
        <f t="shared" si="253"/>
        <v>0</v>
      </c>
      <c r="GL35" s="163">
        <f t="shared" si="254"/>
        <v>0</v>
      </c>
      <c r="GM35" s="137">
        <f t="array" ref="GM35">IF(GJ35=0,0,LARGE(IF($GG$10:$GG$406=GJ35,$GF$10:$GF$406,0),COUNTIF($GJ$10:$GJ$406,GJ35)-COUNTIF(GJ$9:GJ34,GJ35)))</f>
        <v>0</v>
      </c>
      <c r="GN35" s="270">
        <f t="shared" si="255"/>
        <v>0</v>
      </c>
      <c r="GP35" s="137">
        <f>IF(C35="","",IF(ISERROR(MATCH(C35,C$10:C34,0)),MAX(GP$10:GP34)+1,INDEX(GP$10:GP34,MATCH(C35,C$10:C34,0))))</f>
        <v>22</v>
      </c>
      <c r="GQ35" s="264">
        <f>IF(COUNTIF($A$10:A35,A35)&lt;=1,SUMIF($A$10:$A$406,A35,$FH$10:$FH$406),0)</f>
        <v>5906420.6899999995</v>
      </c>
      <c r="GR35" s="137">
        <f t="shared" si="130"/>
        <v>26</v>
      </c>
      <c r="GS35" s="269">
        <f t="shared" si="256"/>
        <v>11316885.93</v>
      </c>
      <c r="GT35" s="269">
        <f t="shared" si="257"/>
        <v>50964284.172430128</v>
      </c>
      <c r="GU35" s="163">
        <f t="shared" si="258"/>
        <v>0</v>
      </c>
      <c r="GV35" s="137">
        <f t="array" ref="GV35">IF(GS35=0,0,LARGE(IF($GQ$10:$GQ$406=GS35,$GP$10:$GP$406,0),COUNTIF($GS$10:$GS$406,GS35)-COUNTIF(GS$9:GS34,GS35)))</f>
        <v>25</v>
      </c>
      <c r="GW35" s="270">
        <f t="shared" si="259"/>
        <v>0</v>
      </c>
      <c r="GX35" s="270"/>
      <c r="GY35" s="137">
        <f>IF(C35="","",IF(ISERROR(MATCH(C35,C$10:C34,0)),MAX(GP$10:GP34)+1,INDEX(GP$10:GP34,MATCH(C35,C$10:C34,0))))</f>
        <v>22</v>
      </c>
      <c r="GZ35" s="264">
        <f>IF(COUNTIF($A$10:A35,A35)&lt;=1,SUMIF($A$10:$A$406,A35,$FH$10:$FH$406),0)</f>
        <v>5906420.6899999995</v>
      </c>
      <c r="HA35" s="137">
        <f t="shared" si="134"/>
        <v>26</v>
      </c>
      <c r="HB35" s="269">
        <f t="shared" si="260"/>
        <v>11316885.93</v>
      </c>
      <c r="HC35" s="414" t="s">
        <v>622</v>
      </c>
      <c r="HD35" s="163">
        <f t="shared" si="261"/>
        <v>0</v>
      </c>
      <c r="HE35" s="137">
        <f t="array" ref="HE35">IF(HB35=0,0,LARGE(IF($GZ$10:$GZ$406=HB35,$GY$10:$GY$406,0),COUNTIF($HB$10:$HB$406,HB35)-COUNTIF(HB$9:HB34,HB35)))</f>
        <v>25</v>
      </c>
      <c r="HF35" s="270">
        <f t="shared" si="262"/>
        <v>0</v>
      </c>
      <c r="HG35"/>
      <c r="HH35" s="268">
        <f t="shared" si="263"/>
        <v>0</v>
      </c>
      <c r="HI35" s="271">
        <v>0</v>
      </c>
      <c r="HJ35" s="264">
        <f t="shared" si="264"/>
        <v>0</v>
      </c>
      <c r="HL35" s="137">
        <f t="shared" si="265"/>
        <v>26</v>
      </c>
      <c r="HM35" s="264">
        <f t="shared" si="300"/>
        <v>9840030.0030000005</v>
      </c>
      <c r="HO35" s="199">
        <f t="shared" si="301"/>
        <v>1984103.69</v>
      </c>
      <c r="HP35" s="199">
        <f t="shared" si="302"/>
        <v>1984103.69</v>
      </c>
      <c r="HQ35" s="199" t="str">
        <f t="shared" si="303"/>
        <v/>
      </c>
      <c r="HR35" s="199" t="str">
        <f t="shared" si="304"/>
        <v/>
      </c>
      <c r="HS35" s="199" t="str">
        <f t="shared" si="119"/>
        <v/>
      </c>
      <c r="HT35" s="199" t="str">
        <f t="shared" si="305"/>
        <v/>
      </c>
      <c r="HU35" s="199" t="str">
        <f t="shared" si="306"/>
        <v/>
      </c>
      <c r="HV35" s="200">
        <f t="shared" si="307"/>
        <v>0</v>
      </c>
      <c r="HW35" s="272">
        <f t="shared" si="308"/>
        <v>1</v>
      </c>
      <c r="HX35" s="200" t="str">
        <f t="shared" si="309"/>
        <v/>
      </c>
      <c r="HY35" s="200">
        <f t="shared" si="310"/>
        <v>0</v>
      </c>
      <c r="HZ35" s="200" t="str">
        <f t="shared" si="4"/>
        <v/>
      </c>
      <c r="IA35" s="200" t="str">
        <f t="shared" si="311"/>
        <v/>
      </c>
      <c r="IB35" s="200" t="str">
        <f t="shared" si="312"/>
        <v/>
      </c>
      <c r="IC35" s="273">
        <f>IF(C35="","",INDEX(Lookups!$E$2:$E$69,MATCH('Loan List'!BE35,Lookups!$F$2:$F$69,0)))</f>
        <v>31</v>
      </c>
      <c r="ID35" t="b">
        <f t="shared" si="313"/>
        <v>1</v>
      </c>
      <c r="IF35" s="346" t="str">
        <f>IF(B35="","",IF(AND(Y35="Second Lien",OR(DA35=1,DB35=1,DC35=1)),50%,IF(DA35=1,90%,IF(DB35=1,80%,IF(DC35=1,65%,"No Initial Haircut")))))</f>
        <v>No Initial Haircut</v>
      </c>
    </row>
    <row r="36" spans="1:240">
      <c r="A36" t="s">
        <v>669</v>
      </c>
      <c r="B36" s="242">
        <f t="shared" si="149"/>
        <v>27</v>
      </c>
      <c r="C36" s="242">
        <f>IF(COUNTIF($A$10:A35,A36)&gt;0,C35,C35+1)</f>
        <v>22</v>
      </c>
      <c r="D36" s="431" t="s">
        <v>730</v>
      </c>
      <c r="E36" s="428" t="s">
        <v>580</v>
      </c>
      <c r="F36" s="429"/>
      <c r="G36" s="430">
        <v>3922317</v>
      </c>
      <c r="H36" s="430">
        <v>3922317</v>
      </c>
      <c r="I36" s="244">
        <f>IF(B36="","",VLOOKUP(BF36,Inputs!$A$12:$J$15,10,FALSE))</f>
        <v>1</v>
      </c>
      <c r="J36" s="245">
        <f t="shared" si="5"/>
        <v>3922317</v>
      </c>
      <c r="K36" s="245">
        <f t="shared" si="6"/>
        <v>3922317</v>
      </c>
      <c r="L36" s="245">
        <f t="shared" si="7"/>
        <v>3922317</v>
      </c>
      <c r="M36" s="245">
        <f t="shared" si="8"/>
        <v>3922317</v>
      </c>
      <c r="N36" s="246" t="s">
        <v>246</v>
      </c>
      <c r="O36" s="246" t="s">
        <v>245</v>
      </c>
      <c r="P36" s="247">
        <f>IF(B36="","",IF(OR(O36="N/A",O36=""),0,YEARFRAC('Borrowing Base'!$J$4,'Loan List'!O36)*12))</f>
        <v>0</v>
      </c>
      <c r="Q36" s="246" t="s">
        <v>246</v>
      </c>
      <c r="R36" s="248">
        <v>0.99250000000000005</v>
      </c>
      <c r="S36" s="249" t="str">
        <f t="shared" si="1"/>
        <v>No</v>
      </c>
      <c r="T36" s="248">
        <v>1</v>
      </c>
      <c r="U36" s="250">
        <f t="shared" si="9"/>
        <v>0.5</v>
      </c>
      <c r="V36" s="250">
        <f t="shared" si="10"/>
        <v>0.72499999999999998</v>
      </c>
      <c r="W36" s="251">
        <f t="shared" si="11"/>
        <v>3922317</v>
      </c>
      <c r="X36" s="246" t="s">
        <v>246</v>
      </c>
      <c r="Y36" s="252" t="s">
        <v>483</v>
      </c>
      <c r="Z36" s="252" t="s">
        <v>484</v>
      </c>
      <c r="AA36" s="253" t="s">
        <v>407</v>
      </c>
      <c r="AB36" s="253" t="s">
        <v>713</v>
      </c>
      <c r="AC36" s="254">
        <v>1.4414121053161031</v>
      </c>
      <c r="AD36" s="254">
        <v>1.953026070584196</v>
      </c>
      <c r="AE36" s="254">
        <v>2.5181580225476337</v>
      </c>
      <c r="AF36" s="255">
        <v>0.26300000000000001</v>
      </c>
      <c r="AG36" s="256">
        <v>2.8491789451385081</v>
      </c>
      <c r="AH36" s="256">
        <v>2.8491789451385081</v>
      </c>
      <c r="AI36" s="256">
        <v>2.8491789451385081</v>
      </c>
      <c r="AJ36" s="256">
        <v>2.8491789451385081</v>
      </c>
      <c r="AK36" s="257">
        <v>20505877</v>
      </c>
      <c r="AL36" s="257">
        <v>20505877</v>
      </c>
      <c r="AM36" s="258">
        <v>45838</v>
      </c>
      <c r="AN36" s="245" t="str">
        <f t="shared" si="12"/>
        <v>Tier 2</v>
      </c>
      <c r="AO36" s="243">
        <v>47455</v>
      </c>
      <c r="AP36" s="259">
        <f>IF(C36="","",DAYS360(Inputs!$J$8,AO36)/360)</f>
        <v>4.2750000000000004</v>
      </c>
      <c r="AQ36" s="259">
        <f t="shared" si="13"/>
        <v>4.2750000000000004</v>
      </c>
      <c r="AR36" s="246" t="s">
        <v>246</v>
      </c>
      <c r="AS36" s="248">
        <v>0</v>
      </c>
      <c r="AT36" s="246" t="s">
        <v>64</v>
      </c>
      <c r="AU36" s="248">
        <v>0.01</v>
      </c>
      <c r="AV36" s="248">
        <v>5.2499999999999998E-2</v>
      </c>
      <c r="AW36" s="248">
        <v>4.0455999999999999E-2</v>
      </c>
      <c r="AX36" s="260">
        <f t="shared" si="14"/>
        <v>4.0455999999999999E-2</v>
      </c>
      <c r="AY36" s="248">
        <v>0</v>
      </c>
      <c r="AZ36" s="248">
        <v>0</v>
      </c>
      <c r="BA36" s="248">
        <v>0</v>
      </c>
      <c r="BB36" s="407">
        <f t="shared" si="15"/>
        <v>5.2499999999999998E-2</v>
      </c>
      <c r="BC36" s="407" t="str">
        <f t="shared" si="16"/>
        <v/>
      </c>
      <c r="BD36" s="252" t="s">
        <v>249</v>
      </c>
      <c r="BE36" s="261" t="s">
        <v>408</v>
      </c>
      <c r="BF36" s="252" t="s">
        <v>7</v>
      </c>
      <c r="BG36" s="252" t="s">
        <v>460</v>
      </c>
      <c r="BH36" s="246" t="s">
        <v>246</v>
      </c>
      <c r="BI36" s="408" t="str">
        <f t="shared" si="17"/>
        <v>No</v>
      </c>
      <c r="BJ36" s="408" t="str">
        <f t="shared" si="18"/>
        <v>No</v>
      </c>
      <c r="BK36" s="246" t="s">
        <v>246</v>
      </c>
      <c r="BL36" s="246" t="s">
        <v>246</v>
      </c>
      <c r="BM36" s="246" t="s">
        <v>64</v>
      </c>
      <c r="BN36" s="246" t="s">
        <v>64</v>
      </c>
      <c r="BO36" s="246" t="s">
        <v>246</v>
      </c>
      <c r="BP36" s="246" t="s">
        <v>246</v>
      </c>
      <c r="BQ36" s="246" t="s">
        <v>246</v>
      </c>
      <c r="BR36" s="246" t="s">
        <v>246</v>
      </c>
      <c r="BS36" s="246" t="s">
        <v>246</v>
      </c>
      <c r="BT36" s="246" t="s">
        <v>246</v>
      </c>
      <c r="BU36" s="246" t="s">
        <v>246</v>
      </c>
      <c r="BV36" s="246" t="s">
        <v>246</v>
      </c>
      <c r="BW36" s="246" t="s">
        <v>246</v>
      </c>
      <c r="BX36" s="246" t="s">
        <v>246</v>
      </c>
      <c r="BY36" s="246" t="s">
        <v>246</v>
      </c>
      <c r="BZ36" s="246" t="s">
        <v>246</v>
      </c>
      <c r="CA36" s="246" t="s">
        <v>246</v>
      </c>
      <c r="CB36" s="246" t="s">
        <v>64</v>
      </c>
      <c r="CC36" s="262">
        <f t="shared" si="19"/>
        <v>195070.94475119998</v>
      </c>
      <c r="CD36" s="262">
        <f t="shared" si="20"/>
        <v>0</v>
      </c>
      <c r="CE36" s="263"/>
      <c r="CF36" s="263">
        <f t="shared" si="150"/>
        <v>0</v>
      </c>
      <c r="CG36" s="263">
        <f t="shared" si="151"/>
        <v>0</v>
      </c>
      <c r="CH36" s="263">
        <f t="shared" si="152"/>
        <v>0</v>
      </c>
      <c r="CI36" s="263">
        <f t="shared" si="153"/>
        <v>0</v>
      </c>
      <c r="CJ36" s="263">
        <f t="shared" si="154"/>
        <v>0</v>
      </c>
      <c r="CK36" s="263">
        <f t="shared" si="155"/>
        <v>0</v>
      </c>
      <c r="CL36" s="263">
        <f t="shared" si="156"/>
        <v>0</v>
      </c>
      <c r="CM36" s="263">
        <f t="shared" si="157"/>
        <v>0</v>
      </c>
      <c r="CN36" s="263">
        <f t="shared" si="158"/>
        <v>0</v>
      </c>
      <c r="CO36" s="263">
        <f t="shared" si="159"/>
        <v>0</v>
      </c>
      <c r="CP36" s="263">
        <f t="shared" si="160"/>
        <v>0</v>
      </c>
      <c r="CQ36" s="263">
        <f t="shared" si="161"/>
        <v>0</v>
      </c>
      <c r="CR36" s="263">
        <f t="shared" si="162"/>
        <v>0</v>
      </c>
      <c r="CS36" s="263">
        <f t="shared" si="163"/>
        <v>0</v>
      </c>
      <c r="CT36" s="263">
        <f t="shared" si="164"/>
        <v>0</v>
      </c>
      <c r="CU36" s="263">
        <f t="shared" si="165"/>
        <v>0</v>
      </c>
      <c r="CV36" s="263">
        <f t="shared" si="166"/>
        <v>0</v>
      </c>
      <c r="CW36" s="263">
        <f t="shared" si="167"/>
        <v>0</v>
      </c>
      <c r="CX36" s="263">
        <f t="shared" si="168"/>
        <v>0</v>
      </c>
      <c r="CY36" s="263">
        <f t="shared" si="169"/>
        <v>0</v>
      </c>
      <c r="CZ36" s="263">
        <f t="shared" si="170"/>
        <v>0</v>
      </c>
      <c r="DA36" s="263">
        <f t="shared" si="171"/>
        <v>0</v>
      </c>
      <c r="DB36" s="263">
        <f t="shared" si="172"/>
        <v>0</v>
      </c>
      <c r="DC36" s="263">
        <f t="shared" si="173"/>
        <v>0</v>
      </c>
      <c r="DD36" s="263">
        <f t="shared" si="174"/>
        <v>0</v>
      </c>
      <c r="DE36" s="263">
        <f t="shared" si="175"/>
        <v>0</v>
      </c>
      <c r="DF36" s="263">
        <f t="shared" si="176"/>
        <v>3922317</v>
      </c>
      <c r="DG36" s="263">
        <f t="shared" si="177"/>
        <v>0</v>
      </c>
      <c r="DH36" s="263">
        <f t="shared" si="178"/>
        <v>3922317</v>
      </c>
      <c r="DI36" s="263">
        <f t="shared" si="179"/>
        <v>3922317</v>
      </c>
      <c r="DJ36" s="263">
        <f t="shared" si="180"/>
        <v>0</v>
      </c>
      <c r="DK36" s="263">
        <f t="shared" si="181"/>
        <v>0</v>
      </c>
      <c r="DL36" s="263">
        <f t="shared" si="182"/>
        <v>0</v>
      </c>
      <c r="DM36" s="263">
        <f t="shared" si="183"/>
        <v>0</v>
      </c>
      <c r="DO36" s="264">
        <f t="shared" si="184"/>
        <v>0</v>
      </c>
      <c r="DP36" s="265">
        <f t="shared" si="185"/>
        <v>0</v>
      </c>
      <c r="DQ36" s="264">
        <f t="shared" si="186"/>
        <v>3922317</v>
      </c>
      <c r="DR36" s="264">
        <f t="shared" si="187"/>
        <v>0</v>
      </c>
      <c r="DS36" s="265">
        <f t="shared" si="188"/>
        <v>0</v>
      </c>
      <c r="DT36" s="264">
        <f t="shared" si="189"/>
        <v>3922317</v>
      </c>
      <c r="DU36" s="264">
        <f t="shared" si="190"/>
        <v>0</v>
      </c>
      <c r="DV36" s="265">
        <f t="shared" si="191"/>
        <v>0</v>
      </c>
      <c r="DW36" s="264">
        <f t="shared" si="192"/>
        <v>3922317</v>
      </c>
      <c r="DX36" s="264">
        <f t="shared" si="193"/>
        <v>0</v>
      </c>
      <c r="DY36" s="265">
        <f t="shared" si="194"/>
        <v>0</v>
      </c>
      <c r="DZ36" s="264">
        <f t="shared" si="195"/>
        <v>3922317</v>
      </c>
      <c r="EA36" s="264">
        <f t="shared" si="196"/>
        <v>0</v>
      </c>
      <c r="EB36" s="265">
        <f t="shared" si="197"/>
        <v>0</v>
      </c>
      <c r="EC36" s="264">
        <f t="shared" si="198"/>
        <v>3922317</v>
      </c>
      <c r="ED36" s="264">
        <f t="shared" si="199"/>
        <v>0</v>
      </c>
      <c r="EE36" s="265">
        <f t="shared" si="200"/>
        <v>0</v>
      </c>
      <c r="EF36" s="264">
        <f t="shared" si="201"/>
        <v>3922317</v>
      </c>
      <c r="EG36" s="264">
        <f t="shared" si="202"/>
        <v>0</v>
      </c>
      <c r="EH36" s="265">
        <f t="shared" si="203"/>
        <v>0</v>
      </c>
      <c r="EI36" s="264">
        <f t="shared" si="204"/>
        <v>3922317</v>
      </c>
      <c r="EJ36" s="264">
        <f t="shared" si="205"/>
        <v>0</v>
      </c>
      <c r="EK36" s="265">
        <f t="shared" si="206"/>
        <v>0</v>
      </c>
      <c r="EL36" s="264">
        <f t="shared" si="207"/>
        <v>3922317</v>
      </c>
      <c r="EM36" s="264">
        <f t="shared" si="208"/>
        <v>0</v>
      </c>
      <c r="EN36" s="265">
        <f t="shared" si="209"/>
        <v>0</v>
      </c>
      <c r="EO36" s="264">
        <f t="shared" si="210"/>
        <v>3922317</v>
      </c>
      <c r="EP36" s="264">
        <f t="shared" si="211"/>
        <v>0</v>
      </c>
      <c r="EQ36" s="265">
        <f t="shared" si="212"/>
        <v>0</v>
      </c>
      <c r="ER36" s="264">
        <f t="shared" si="213"/>
        <v>3922317</v>
      </c>
      <c r="ES36" s="264">
        <f t="shared" si="214"/>
        <v>0</v>
      </c>
      <c r="ET36" s="265">
        <f t="shared" si="215"/>
        <v>0</v>
      </c>
      <c r="EU36" s="264">
        <f t="shared" si="216"/>
        <v>3922317</v>
      </c>
      <c r="EV36" s="264">
        <f>IF(AND(BM36="Yes",OR(BN36="No",AND(BN36="Yes",Inputs!$J$8=Inputs!$J$17+75))),EU36,0)</f>
        <v>0</v>
      </c>
      <c r="EW36" s="265">
        <f t="shared" si="217"/>
        <v>0</v>
      </c>
      <c r="EX36" s="264">
        <f t="shared" si="218"/>
        <v>3922317</v>
      </c>
      <c r="EY36" s="264">
        <f t="shared" si="219"/>
        <v>0</v>
      </c>
      <c r="EZ36" s="265">
        <f t="shared" si="220"/>
        <v>0</v>
      </c>
      <c r="FA36" s="264">
        <f t="shared" si="221"/>
        <v>3922317</v>
      </c>
      <c r="FB36" s="264">
        <f t="shared" si="222"/>
        <v>0</v>
      </c>
      <c r="FC36" s="265">
        <f t="shared" si="223"/>
        <v>0</v>
      </c>
      <c r="FD36" s="264">
        <f t="shared" si="224"/>
        <v>3922317</v>
      </c>
      <c r="FE36" s="264">
        <f t="shared" si="225"/>
        <v>0</v>
      </c>
      <c r="FF36" s="265">
        <f t="shared" si="226"/>
        <v>0</v>
      </c>
      <c r="FG36" s="264">
        <f t="shared" si="227"/>
        <v>3922317</v>
      </c>
      <c r="FH36" s="264">
        <f t="shared" si="228"/>
        <v>3922317</v>
      </c>
      <c r="FI36" s="264">
        <f t="shared" si="229"/>
        <v>0</v>
      </c>
      <c r="FJ36" s="264">
        <f t="shared" si="230"/>
        <v>3922317</v>
      </c>
      <c r="FK36" s="264">
        <f t="shared" si="231"/>
        <v>3922317</v>
      </c>
      <c r="FL36" s="264">
        <f t="shared" si="232"/>
        <v>0</v>
      </c>
      <c r="FM36" s="264">
        <f t="shared" si="233"/>
        <v>3922317</v>
      </c>
      <c r="FN36" s="264">
        <f t="shared" si="234"/>
        <v>3922317</v>
      </c>
      <c r="FO36" s="264">
        <f t="shared" si="235"/>
        <v>0</v>
      </c>
      <c r="FP36" s="264">
        <f t="shared" si="236"/>
        <v>3922317</v>
      </c>
      <c r="FQ36" s="264">
        <f t="shared" si="237"/>
        <v>0</v>
      </c>
      <c r="FR36" s="265">
        <f t="shared" si="238"/>
        <v>0</v>
      </c>
      <c r="FS36" s="264">
        <f t="shared" si="239"/>
        <v>3922317</v>
      </c>
      <c r="FT36" s="264">
        <f t="shared" si="240"/>
        <v>0</v>
      </c>
      <c r="FU36" s="265">
        <f t="shared" si="241"/>
        <v>0</v>
      </c>
      <c r="FV36" s="264">
        <f t="shared" si="242"/>
        <v>3922317</v>
      </c>
      <c r="FW36" s="264">
        <f t="shared" si="243"/>
        <v>0</v>
      </c>
      <c r="FX36" s="264">
        <f t="shared" si="244"/>
        <v>0</v>
      </c>
      <c r="FY36" s="264">
        <f t="shared" si="245"/>
        <v>0</v>
      </c>
      <c r="FZ36" s="264">
        <f t="shared" si="246"/>
        <v>0</v>
      </c>
      <c r="GA36" s="265">
        <f t="shared" si="296"/>
        <v>0</v>
      </c>
      <c r="GB36" s="264">
        <f t="shared" si="297"/>
        <v>3922317</v>
      </c>
      <c r="GC36" s="264">
        <f t="shared" si="247"/>
        <v>3922317</v>
      </c>
      <c r="GD36" s="266">
        <f t="shared" si="248"/>
        <v>2843679.8249999997</v>
      </c>
      <c r="GE36" s="138">
        <f t="shared" si="249"/>
        <v>0.72499999999999998</v>
      </c>
      <c r="GF36" s="267">
        <f t="shared" si="250"/>
        <v>31</v>
      </c>
      <c r="GG36" s="264">
        <f t="array" ref="GG36">IF(SUM(IF(IC$9:IC35=IC36,1,0))&gt;0,0,SUMIF($IC$10:$IC$406,IC36,$FJ$10:$FJ$406))</f>
        <v>0</v>
      </c>
      <c r="GH36" s="268">
        <f t="shared" si="251"/>
        <v>0</v>
      </c>
      <c r="GI36" s="137">
        <f t="shared" si="126"/>
        <v>27</v>
      </c>
      <c r="GJ36" s="269">
        <f t="shared" si="252"/>
        <v>0</v>
      </c>
      <c r="GK36" s="269">
        <f t="shared" si="253"/>
        <v>0</v>
      </c>
      <c r="GL36" s="163">
        <f t="shared" si="254"/>
        <v>0</v>
      </c>
      <c r="GM36" s="137">
        <f t="array" ref="GM36">IF(GJ36=0,0,LARGE(IF($GG$10:$GG$406=GJ36,$GF$10:$GF$406,0),COUNTIF($GJ$10:$GJ$406,GJ36)-COUNTIF(GJ$9:GJ35,GJ36)))</f>
        <v>0</v>
      </c>
      <c r="GN36" s="270">
        <f t="shared" si="255"/>
        <v>0</v>
      </c>
      <c r="GP36" s="137">
        <f>IF(C36="","",IF(ISERROR(MATCH(C36,C$10:C35,0)),MAX(GP$10:GP35)+1,INDEX(GP$10:GP35,MATCH(C36,C$10:C35,0))))</f>
        <v>22</v>
      </c>
      <c r="GQ36" s="264">
        <f>IF(COUNTIF($A$10:A36,A36)&lt;=1,SUMIF($A$10:$A$406,A36,$FH$10:$FH$406),0)</f>
        <v>0</v>
      </c>
      <c r="GR36" s="137">
        <f t="shared" si="130"/>
        <v>27</v>
      </c>
      <c r="GS36" s="269">
        <f t="shared" si="256"/>
        <v>9905100.2599999998</v>
      </c>
      <c r="GT36" s="269">
        <f t="shared" si="257"/>
        <v>50964284.172430128</v>
      </c>
      <c r="GU36" s="163">
        <f t="shared" si="258"/>
        <v>0</v>
      </c>
      <c r="GV36" s="137">
        <f t="array" ref="GV36">IF(GS36=0,0,LARGE(IF($GQ$10:$GQ$406=GS36,$GP$10:$GP$406,0),COUNTIF($GS$10:$GS$406,GS36)-COUNTIF(GS$9:GS35,GS36)))</f>
        <v>20</v>
      </c>
      <c r="GW36" s="270">
        <f t="shared" si="259"/>
        <v>0</v>
      </c>
      <c r="GX36" s="270"/>
      <c r="GY36" s="137">
        <f>IF(C36="","",IF(ISERROR(MATCH(C36,C$10:C35,0)),MAX(GP$10:GP35)+1,INDEX(GP$10:GP35,MATCH(C36,C$10:C35,0))))</f>
        <v>22</v>
      </c>
      <c r="GZ36" s="264">
        <f>IF(COUNTIF($A$10:A36,A36)&lt;=1,SUMIF($A$10:$A$406,A36,$FH$10:$FH$406),0)</f>
        <v>0</v>
      </c>
      <c r="HA36" s="137">
        <f t="shared" si="134"/>
        <v>27</v>
      </c>
      <c r="HB36" s="269">
        <f t="shared" si="260"/>
        <v>9905100.2599999998</v>
      </c>
      <c r="HC36" s="414" t="s">
        <v>622</v>
      </c>
      <c r="HD36" s="163">
        <f t="shared" si="261"/>
        <v>0</v>
      </c>
      <c r="HE36" s="137">
        <f t="array" ref="HE36">IF(HB36=0,0,LARGE(IF($GZ$10:$GZ$406=HB36,$GY$10:$GY$406,0),COUNTIF($HB$10:$HB$406,HB36)-COUNTIF(HB$9:HB35,HB36)))</f>
        <v>20</v>
      </c>
      <c r="HF36" s="270">
        <f t="shared" si="262"/>
        <v>0</v>
      </c>
      <c r="HG36"/>
      <c r="HH36" s="268">
        <f t="shared" si="263"/>
        <v>0</v>
      </c>
      <c r="HI36" s="271">
        <v>0</v>
      </c>
      <c r="HJ36" s="264">
        <f t="shared" si="264"/>
        <v>0</v>
      </c>
      <c r="HL36" s="137">
        <f t="shared" si="265"/>
        <v>27</v>
      </c>
      <c r="HM36" s="264">
        <f t="shared" si="300"/>
        <v>4424311.5399000002</v>
      </c>
      <c r="HO36" s="199">
        <f t="shared" si="301"/>
        <v>3922317</v>
      </c>
      <c r="HP36" s="199">
        <f t="shared" si="302"/>
        <v>3922317</v>
      </c>
      <c r="HQ36" s="199" t="str">
        <f t="shared" si="303"/>
        <v/>
      </c>
      <c r="HR36" s="199" t="str">
        <f t="shared" si="304"/>
        <v/>
      </c>
      <c r="HS36" s="199" t="str">
        <f t="shared" si="119"/>
        <v/>
      </c>
      <c r="HT36" s="199" t="str">
        <f t="shared" si="305"/>
        <v/>
      </c>
      <c r="HU36" s="199" t="str">
        <f t="shared" si="306"/>
        <v/>
      </c>
      <c r="HV36" s="200">
        <f t="shared" si="307"/>
        <v>0</v>
      </c>
      <c r="HW36" s="272">
        <f t="shared" si="308"/>
        <v>1</v>
      </c>
      <c r="HX36" s="200" t="str">
        <f t="shared" si="309"/>
        <v/>
      </c>
      <c r="HY36" s="200">
        <f t="shared" si="310"/>
        <v>0</v>
      </c>
      <c r="HZ36" s="200" t="str">
        <f t="shared" si="4"/>
        <v/>
      </c>
      <c r="IA36" s="200" t="str">
        <f t="shared" si="311"/>
        <v/>
      </c>
      <c r="IB36" s="200" t="str">
        <f t="shared" si="312"/>
        <v/>
      </c>
      <c r="IC36" s="273">
        <f>IF(C36="","",INDEX(Lookups!$E$2:$E$69,MATCH('Loan List'!BE36,Lookups!$F$2:$F$69,0)))</f>
        <v>31</v>
      </c>
      <c r="ID36" t="b">
        <f t="shared" si="313"/>
        <v>1</v>
      </c>
      <c r="IF36" s="346" t="str">
        <f t="shared" si="121"/>
        <v>No Initial Haircut</v>
      </c>
    </row>
    <row r="37" spans="1:240">
      <c r="A37" t="s">
        <v>670</v>
      </c>
      <c r="B37" s="242">
        <f t="shared" si="149"/>
        <v>28</v>
      </c>
      <c r="C37" s="242">
        <f>IF(COUNTIF($A$10:A36,A37)&gt;0,C36,C36+1)</f>
        <v>23</v>
      </c>
      <c r="D37" s="428" t="s">
        <v>670</v>
      </c>
      <c r="E37" s="428" t="s">
        <v>657</v>
      </c>
      <c r="F37" s="429"/>
      <c r="G37" s="430">
        <v>10718025.26</v>
      </c>
      <c r="H37" s="430">
        <v>10718025.26</v>
      </c>
      <c r="I37" s="244">
        <f>IF(B37="","",VLOOKUP(BF37,Inputs!$A$12:$J$15,10,FALSE))</f>
        <v>1</v>
      </c>
      <c r="J37" s="245">
        <f>IF(B37="","",G37*I37)</f>
        <v>10718025.26</v>
      </c>
      <c r="K37" s="245">
        <f>IF(B37="","",H37*I37)</f>
        <v>10718025.26</v>
      </c>
      <c r="L37" s="245">
        <f>IF(B37="","",IF(COUNTIF($CF37:$CY37,1)&gt;0,0,J37))</f>
        <v>10718025.26</v>
      </c>
      <c r="M37" s="245">
        <f>IF(B37="","",IF(COUNTIF($CF37:$CY37,1)&gt;0,0,K37))</f>
        <v>10718025.26</v>
      </c>
      <c r="N37" s="246" t="s">
        <v>246</v>
      </c>
      <c r="O37" s="246" t="s">
        <v>245</v>
      </c>
      <c r="P37" s="247">
        <f>IF(B37="","",IF(OR(O37="N/A",O37=""),0,YEARFRAC('Borrowing Base'!$J$4,'Loan List'!O37)*12))</f>
        <v>0</v>
      </c>
      <c r="Q37" s="246" t="s">
        <v>246</v>
      </c>
      <c r="R37" s="248">
        <v>0.99124999999999996</v>
      </c>
      <c r="S37" s="249" t="str">
        <f>IF(B37="","",IF(R37&lt;95%,"Yes","No"))</f>
        <v>No</v>
      </c>
      <c r="T37" s="248">
        <v>0.97700000009143484</v>
      </c>
      <c r="U37" s="250">
        <f>IF(B37="","",IF(OR(Y37="First Lien",Y37="Split First Lien",Y37="Tier 1 Split Lien",Y37="Tier 2 Split Lien"),50%,30%))</f>
        <v>0.5</v>
      </c>
      <c r="V37" s="250">
        <f t="shared" si="10"/>
        <v>0.72499999999999998</v>
      </c>
      <c r="W37" s="251">
        <f t="shared" si="11"/>
        <v>8574420.2080000006</v>
      </c>
      <c r="X37" s="246" t="s">
        <v>246</v>
      </c>
      <c r="Y37" s="252" t="s">
        <v>483</v>
      </c>
      <c r="Z37" s="252" t="s">
        <v>484</v>
      </c>
      <c r="AA37" s="253" t="s">
        <v>407</v>
      </c>
      <c r="AB37" s="253" t="s">
        <v>713</v>
      </c>
      <c r="AC37" s="254">
        <v>2.0513941064610961</v>
      </c>
      <c r="AD37" s="254">
        <v>1.3523225311613905</v>
      </c>
      <c r="AE37" s="254">
        <v>1.5349555901987997</v>
      </c>
      <c r="AF37" s="255">
        <v>0.53397733650462376</v>
      </c>
      <c r="AG37" s="256">
        <v>2.9586559855565735</v>
      </c>
      <c r="AH37" s="256">
        <v>2.9586559855565735</v>
      </c>
      <c r="AI37" s="256">
        <v>5.06202036621064</v>
      </c>
      <c r="AJ37" s="256">
        <v>7.2302045930654684</v>
      </c>
      <c r="AK37" s="257">
        <v>28019479.251625501</v>
      </c>
      <c r="AL37" s="257">
        <v>19388108.4823585</v>
      </c>
      <c r="AM37" s="258">
        <v>45808</v>
      </c>
      <c r="AN37" s="245" t="str">
        <f>IF(C37="","",(IF(AK37&gt;=50000000,"Tier 1",(IF(OR(AK37&gt;=20000000,AND(AK37&gt;5000000,AC37&gt;=1.25,AF37&lt;=0.65)),"Tier 2","Tier 3")))))</f>
        <v>Tier 2</v>
      </c>
      <c r="AO37" s="243">
        <v>47392</v>
      </c>
      <c r="AP37" s="259">
        <f>IF(C37="","",DAYS360(Inputs!$J$8,AO37)/360)</f>
        <v>4.1027777777777779</v>
      </c>
      <c r="AQ37" s="259">
        <f>IF(C37="","",AP37)</f>
        <v>4.1027777777777779</v>
      </c>
      <c r="AR37" s="246" t="s">
        <v>246</v>
      </c>
      <c r="AS37" s="248">
        <v>0</v>
      </c>
      <c r="AT37" s="246" t="s">
        <v>64</v>
      </c>
      <c r="AU37" s="248">
        <v>0.01</v>
      </c>
      <c r="AV37" s="248">
        <v>5.2499999999999998E-2</v>
      </c>
      <c r="AW37" s="248">
        <v>4.2956000000000001E-2</v>
      </c>
      <c r="AX37" s="260">
        <f>IF(C37="","",MAX(AU37,AW37))</f>
        <v>4.2956000000000001E-2</v>
      </c>
      <c r="AY37" s="248">
        <v>0</v>
      </c>
      <c r="AZ37" s="248">
        <v>0</v>
      </c>
      <c r="BA37" s="248">
        <v>0</v>
      </c>
      <c r="BB37" s="407">
        <f>IF(B37="","",IF(AR37="No",AV37-AZ37,""))</f>
        <v>5.2499999999999998E-2</v>
      </c>
      <c r="BC37" s="407" t="str">
        <f>IF(B37="","",IF(AR37="Yes",AS37-BA37,""))</f>
        <v/>
      </c>
      <c r="BD37" s="252" t="s">
        <v>249</v>
      </c>
      <c r="BE37" s="261" t="s">
        <v>455</v>
      </c>
      <c r="BF37" s="252" t="s">
        <v>7</v>
      </c>
      <c r="BG37" s="252" t="s">
        <v>460</v>
      </c>
      <c r="BH37" s="246" t="s">
        <v>246</v>
      </c>
      <c r="BI37" s="408" t="str">
        <f t="shared" si="17"/>
        <v>No</v>
      </c>
      <c r="BJ37" s="408" t="str">
        <f>IF(B37="","",IF(OR(AND(AZ37&gt;0,BB37&lt;2.5%),AND(BA37&gt;0,BC37&lt;6%)),"Yes","No"))</f>
        <v>No</v>
      </c>
      <c r="BK37" s="246" t="s">
        <v>246</v>
      </c>
      <c r="BL37" s="246" t="s">
        <v>246</v>
      </c>
      <c r="BM37" s="246" t="s">
        <v>246</v>
      </c>
      <c r="BN37" s="246" t="s">
        <v>246</v>
      </c>
      <c r="BO37" s="246" t="s">
        <v>246</v>
      </c>
      <c r="BP37" s="246" t="s">
        <v>246</v>
      </c>
      <c r="BQ37" s="246" t="s">
        <v>246</v>
      </c>
      <c r="BR37" s="246" t="s">
        <v>246</v>
      </c>
      <c r="BS37" s="246" t="s">
        <v>246</v>
      </c>
      <c r="BT37" s="246" t="s">
        <v>246</v>
      </c>
      <c r="BU37" s="246" t="s">
        <v>246</v>
      </c>
      <c r="BV37" s="246" t="s">
        <v>246</v>
      </c>
      <c r="BW37" s="246" t="s">
        <v>246</v>
      </c>
      <c r="BX37" s="246" t="s">
        <v>246</v>
      </c>
      <c r="BY37" s="246" t="s">
        <v>246</v>
      </c>
      <c r="BZ37" s="246" t="s">
        <v>246</v>
      </c>
      <c r="CA37" s="246" t="s">
        <v>246</v>
      </c>
      <c r="CB37" s="246" t="s">
        <v>64</v>
      </c>
      <c r="CC37" s="262">
        <f>IF(B37="","",IF(AT37="No",((BB37+AW37)-$AZ$4),((BB37+AX37)-$AZ$4))*IF(DE37&gt;0,0,M37))</f>
        <v>559841.04422073602</v>
      </c>
      <c r="CD37" s="262">
        <f>IF(B37="","",AY37*(L37-M37)*IF(DE37&gt;0,0,1))</f>
        <v>0</v>
      </c>
      <c r="CE37" s="263"/>
      <c r="CF37" s="263">
        <f t="shared" si="150"/>
        <v>0</v>
      </c>
      <c r="CG37" s="263">
        <f t="shared" si="151"/>
        <v>0</v>
      </c>
      <c r="CH37" s="263">
        <f t="shared" si="152"/>
        <v>0</v>
      </c>
      <c r="CI37" s="263">
        <f t="shared" si="153"/>
        <v>0</v>
      </c>
      <c r="CJ37" s="263">
        <f t="shared" si="154"/>
        <v>0</v>
      </c>
      <c r="CK37" s="263">
        <f t="shared" si="155"/>
        <v>0</v>
      </c>
      <c r="CL37" s="263">
        <f t="shared" si="156"/>
        <v>0</v>
      </c>
      <c r="CM37" s="263">
        <f t="shared" si="157"/>
        <v>0</v>
      </c>
      <c r="CN37" s="263">
        <f t="shared" si="158"/>
        <v>0</v>
      </c>
      <c r="CO37" s="263">
        <f t="shared" si="159"/>
        <v>0</v>
      </c>
      <c r="CP37" s="263">
        <f t="shared" si="160"/>
        <v>0</v>
      </c>
      <c r="CQ37" s="263">
        <f t="shared" si="161"/>
        <v>0</v>
      </c>
      <c r="CR37" s="263">
        <f t="shared" si="162"/>
        <v>0</v>
      </c>
      <c r="CS37" s="263">
        <f t="shared" si="163"/>
        <v>0</v>
      </c>
      <c r="CT37" s="263">
        <f t="shared" si="164"/>
        <v>0</v>
      </c>
      <c r="CU37" s="263">
        <f t="shared" si="165"/>
        <v>0</v>
      </c>
      <c r="CV37" s="263">
        <f t="shared" si="166"/>
        <v>0</v>
      </c>
      <c r="CW37" s="263">
        <f t="shared" si="167"/>
        <v>0</v>
      </c>
      <c r="CX37" s="263">
        <f t="shared" si="168"/>
        <v>0</v>
      </c>
      <c r="CY37" s="263">
        <f t="shared" si="169"/>
        <v>0</v>
      </c>
      <c r="CZ37" s="263">
        <f t="shared" si="170"/>
        <v>0</v>
      </c>
      <c r="DA37" s="263">
        <f t="shared" si="171"/>
        <v>0</v>
      </c>
      <c r="DB37" s="263">
        <f t="shared" si="172"/>
        <v>1</v>
      </c>
      <c r="DC37" s="263">
        <f t="shared" si="173"/>
        <v>0</v>
      </c>
      <c r="DD37" s="263">
        <f t="shared" si="174"/>
        <v>0</v>
      </c>
      <c r="DE37" s="263">
        <f t="shared" si="175"/>
        <v>0</v>
      </c>
      <c r="DF37" s="263">
        <f t="shared" si="176"/>
        <v>8574420.2080000006</v>
      </c>
      <c r="DG37" s="263">
        <f t="shared" si="177"/>
        <v>0</v>
      </c>
      <c r="DH37" s="263">
        <f t="shared" si="178"/>
        <v>8574420.2080000006</v>
      </c>
      <c r="DI37" s="263">
        <f t="shared" si="179"/>
        <v>10718025.26</v>
      </c>
      <c r="DJ37" s="263">
        <f t="shared" si="180"/>
        <v>0</v>
      </c>
      <c r="DK37" s="263">
        <f t="shared" si="181"/>
        <v>0</v>
      </c>
      <c r="DL37" s="263">
        <f t="shared" si="182"/>
        <v>0</v>
      </c>
      <c r="DM37" s="263">
        <f t="shared" si="183"/>
        <v>0</v>
      </c>
      <c r="DO37" s="264">
        <f t="shared" si="184"/>
        <v>0</v>
      </c>
      <c r="DP37" s="265">
        <f t="shared" si="185"/>
        <v>0</v>
      </c>
      <c r="DQ37" s="264">
        <f t="shared" si="186"/>
        <v>8574420.2080000006</v>
      </c>
      <c r="DR37" s="264">
        <f t="shared" si="187"/>
        <v>0</v>
      </c>
      <c r="DS37" s="265">
        <f t="shared" si="188"/>
        <v>0</v>
      </c>
      <c r="DT37" s="264">
        <f t="shared" si="189"/>
        <v>8574420.2080000006</v>
      </c>
      <c r="DU37" s="264">
        <f t="shared" si="190"/>
        <v>0</v>
      </c>
      <c r="DV37" s="265">
        <f t="shared" si="191"/>
        <v>0</v>
      </c>
      <c r="DW37" s="264">
        <f t="shared" si="192"/>
        <v>8574420.2080000006</v>
      </c>
      <c r="DX37" s="264">
        <f t="shared" si="193"/>
        <v>0</v>
      </c>
      <c r="DY37" s="265">
        <f t="shared" si="194"/>
        <v>0</v>
      </c>
      <c r="DZ37" s="264">
        <f t="shared" si="195"/>
        <v>8574420.2080000006</v>
      </c>
      <c r="EA37" s="264">
        <f t="shared" si="196"/>
        <v>0</v>
      </c>
      <c r="EB37" s="265">
        <f t="shared" si="197"/>
        <v>0</v>
      </c>
      <c r="EC37" s="264">
        <f t="shared" si="198"/>
        <v>8574420.2080000006</v>
      </c>
      <c r="ED37" s="264">
        <f t="shared" si="199"/>
        <v>0</v>
      </c>
      <c r="EE37" s="265">
        <f t="shared" si="200"/>
        <v>0</v>
      </c>
      <c r="EF37" s="264">
        <f t="shared" si="201"/>
        <v>8574420.2080000006</v>
      </c>
      <c r="EG37" s="264">
        <f t="shared" si="202"/>
        <v>0</v>
      </c>
      <c r="EH37" s="265">
        <f t="shared" si="203"/>
        <v>0</v>
      </c>
      <c r="EI37" s="264">
        <f t="shared" si="204"/>
        <v>8574420.2080000006</v>
      </c>
      <c r="EJ37" s="264">
        <f t="shared" si="205"/>
        <v>0</v>
      </c>
      <c r="EK37" s="265">
        <f t="shared" si="206"/>
        <v>0</v>
      </c>
      <c r="EL37" s="264">
        <f t="shared" si="207"/>
        <v>8574420.2080000006</v>
      </c>
      <c r="EM37" s="264">
        <f t="shared" si="208"/>
        <v>0</v>
      </c>
      <c r="EN37" s="265">
        <f t="shared" si="209"/>
        <v>0</v>
      </c>
      <c r="EO37" s="264">
        <f t="shared" si="210"/>
        <v>8574420.2080000006</v>
      </c>
      <c r="EP37" s="264">
        <f t="shared" si="211"/>
        <v>0</v>
      </c>
      <c r="EQ37" s="265">
        <f t="shared" si="212"/>
        <v>0</v>
      </c>
      <c r="ER37" s="264">
        <f t="shared" si="213"/>
        <v>8574420.2080000006</v>
      </c>
      <c r="ES37" s="264">
        <f t="shared" si="214"/>
        <v>0</v>
      </c>
      <c r="ET37" s="265">
        <f t="shared" si="215"/>
        <v>0</v>
      </c>
      <c r="EU37" s="264">
        <f t="shared" si="216"/>
        <v>8574420.2080000006</v>
      </c>
      <c r="EV37" s="264">
        <f>IF(AND(BM37="Yes",OR(BN37="No",AND(BN37="Yes",Inputs!$J$8=Inputs!$J$17+75))),EU37,0)</f>
        <v>0</v>
      </c>
      <c r="EW37" s="265">
        <f t="shared" si="217"/>
        <v>0</v>
      </c>
      <c r="EX37" s="264">
        <f t="shared" si="218"/>
        <v>8574420.2080000006</v>
      </c>
      <c r="EY37" s="264">
        <f t="shared" si="219"/>
        <v>0</v>
      </c>
      <c r="EZ37" s="265">
        <f t="shared" si="220"/>
        <v>0</v>
      </c>
      <c r="FA37" s="264">
        <f t="shared" si="221"/>
        <v>8574420.2080000006</v>
      </c>
      <c r="FB37" s="264">
        <f t="shared" si="222"/>
        <v>0</v>
      </c>
      <c r="FC37" s="265">
        <f t="shared" si="223"/>
        <v>0</v>
      </c>
      <c r="FD37" s="264">
        <f t="shared" si="224"/>
        <v>8574420.2080000006</v>
      </c>
      <c r="FE37" s="264">
        <f t="shared" si="225"/>
        <v>0</v>
      </c>
      <c r="FF37" s="265">
        <f t="shared" si="226"/>
        <v>0</v>
      </c>
      <c r="FG37" s="264">
        <f t="shared" si="227"/>
        <v>8574420.2080000006</v>
      </c>
      <c r="FH37" s="264">
        <f t="shared" si="228"/>
        <v>8574420.2080000006</v>
      </c>
      <c r="FI37" s="264">
        <f t="shared" si="229"/>
        <v>0</v>
      </c>
      <c r="FJ37" s="264">
        <f t="shared" si="230"/>
        <v>8574420.2080000006</v>
      </c>
      <c r="FK37" s="264">
        <f t="shared" si="231"/>
        <v>8574420.2080000006</v>
      </c>
      <c r="FL37" s="264">
        <f t="shared" si="232"/>
        <v>0</v>
      </c>
      <c r="FM37" s="264">
        <f t="shared" si="233"/>
        <v>8574420.2080000006</v>
      </c>
      <c r="FN37" s="264">
        <f t="shared" si="234"/>
        <v>8574420.2080000006</v>
      </c>
      <c r="FO37" s="264">
        <f t="shared" si="235"/>
        <v>0</v>
      </c>
      <c r="FP37" s="264">
        <f t="shared" si="236"/>
        <v>8574420.2080000006</v>
      </c>
      <c r="FQ37" s="264">
        <f t="shared" si="237"/>
        <v>0</v>
      </c>
      <c r="FR37" s="265">
        <f t="shared" si="238"/>
        <v>0</v>
      </c>
      <c r="FS37" s="264">
        <f t="shared" si="239"/>
        <v>8574420.2080000006</v>
      </c>
      <c r="FT37" s="264">
        <f t="shared" si="240"/>
        <v>0</v>
      </c>
      <c r="FU37" s="265">
        <f t="shared" si="241"/>
        <v>0</v>
      </c>
      <c r="FV37" s="264">
        <f t="shared" si="242"/>
        <v>8574420.2080000006</v>
      </c>
      <c r="FW37" s="264">
        <f t="shared" si="243"/>
        <v>0</v>
      </c>
      <c r="FX37" s="264">
        <f t="shared" si="244"/>
        <v>0</v>
      </c>
      <c r="FY37" s="264">
        <f t="shared" si="245"/>
        <v>0</v>
      </c>
      <c r="FZ37" s="264">
        <f t="shared" si="246"/>
        <v>0</v>
      </c>
      <c r="GA37" s="265">
        <f t="shared" si="296"/>
        <v>0</v>
      </c>
      <c r="GB37" s="264">
        <f t="shared" si="297"/>
        <v>8574420.2080000006</v>
      </c>
      <c r="GC37" s="264">
        <f t="shared" si="247"/>
        <v>8574420.2080000006</v>
      </c>
      <c r="GD37" s="266">
        <f t="shared" si="248"/>
        <v>6216454.6507999999</v>
      </c>
      <c r="GE37" s="138">
        <f t="shared" si="249"/>
        <v>0.57999999999999996</v>
      </c>
      <c r="GF37" s="267">
        <f t="shared" si="250"/>
        <v>55</v>
      </c>
      <c r="GG37" s="264">
        <f t="array" ref="GG37">IF(SUM(IF(IC$9:IC36=IC37,1,0))&gt;0,0,SUMIF($IC$10:$IC$406,IC37,$FJ$10:$FJ$406))</f>
        <v>0</v>
      </c>
      <c r="GH37" s="268">
        <f t="shared" si="251"/>
        <v>0</v>
      </c>
      <c r="GI37" s="137">
        <f t="shared" si="126"/>
        <v>28</v>
      </c>
      <c r="GJ37" s="269">
        <f t="shared" si="252"/>
        <v>0</v>
      </c>
      <c r="GK37" s="269">
        <f t="shared" si="253"/>
        <v>0</v>
      </c>
      <c r="GL37" s="163">
        <f t="shared" si="254"/>
        <v>0</v>
      </c>
      <c r="GM37" s="137">
        <f t="array" ref="GM37">IF(GJ37=0,0,LARGE(IF($GG$10:$GG$406=GJ37,$GF$10:$GF$406,0),COUNTIF($GJ$10:$GJ$406,GJ37)-COUNTIF(GJ$9:GJ36,GJ37)))</f>
        <v>0</v>
      </c>
      <c r="GN37" s="270">
        <f t="shared" si="255"/>
        <v>0</v>
      </c>
      <c r="GP37" s="137">
        <f>IF(C37="","",IF(ISERROR(MATCH(C37,C$10:C36,0)),MAX(GP$10:GP36)+1,INDEX(GP$10:GP36,MATCH(C37,C$10:C36,0))))</f>
        <v>23</v>
      </c>
      <c r="GQ37" s="264">
        <f>IF(COUNTIF($A$10:A37,A37)&lt;=1,SUMIF($A$10:$A$406,A37,$FH$10:$FH$406),0)</f>
        <v>8574420.2080000006</v>
      </c>
      <c r="GR37" s="137">
        <f t="shared" si="130"/>
        <v>28</v>
      </c>
      <c r="GS37" s="269">
        <f t="shared" si="256"/>
        <v>9840030.0030000005</v>
      </c>
      <c r="GT37" s="269">
        <f t="shared" si="257"/>
        <v>50964284.172430128</v>
      </c>
      <c r="GU37" s="163">
        <f t="shared" si="258"/>
        <v>0</v>
      </c>
      <c r="GV37" s="137">
        <f t="array" ref="GV37">IF(GS37=0,0,LARGE(IF($GQ$10:$GQ$406=GS37,$GP$10:$GP$406,0),COUNTIF($GS$10:$GS$406,GS37)-COUNTIF(GS$9:GS36,GS37)))</f>
        <v>26</v>
      </c>
      <c r="GW37" s="270">
        <f t="shared" si="259"/>
        <v>0</v>
      </c>
      <c r="GX37" s="270"/>
      <c r="GY37" s="137">
        <f>IF(C37="","",IF(ISERROR(MATCH(C37,C$10:C36,0)),MAX(GP$10:GP36)+1,INDEX(GP$10:GP36,MATCH(C37,C$10:C36,0))))</f>
        <v>23</v>
      </c>
      <c r="GZ37" s="264">
        <f>IF(COUNTIF($A$10:A37,A37)&lt;=1,SUMIF($A$10:$A$406,A37,$FH$10:$FH$406),0)</f>
        <v>8574420.2080000006</v>
      </c>
      <c r="HA37" s="137">
        <f t="shared" si="134"/>
        <v>28</v>
      </c>
      <c r="HB37" s="269">
        <f t="shared" si="260"/>
        <v>9840030.0030000005</v>
      </c>
      <c r="HC37" s="414" t="s">
        <v>622</v>
      </c>
      <c r="HD37" s="163">
        <f t="shared" si="261"/>
        <v>0</v>
      </c>
      <c r="HE37" s="137">
        <f t="array" ref="HE37">IF(HB37=0,0,LARGE(IF($GZ$10:$GZ$406=HB37,$GY$10:$GY$406,0),COUNTIF($HB$10:$HB$406,HB37)-COUNTIF(HB$9:HB36,HB37)))</f>
        <v>26</v>
      </c>
      <c r="HF37" s="270">
        <f t="shared" si="262"/>
        <v>0</v>
      </c>
      <c r="HG37"/>
      <c r="HH37" s="268">
        <f t="shared" si="263"/>
        <v>0</v>
      </c>
      <c r="HI37" s="271">
        <v>0</v>
      </c>
      <c r="HJ37" s="264">
        <f t="shared" si="264"/>
        <v>0</v>
      </c>
      <c r="HL37" s="137">
        <f t="shared" si="265"/>
        <v>28</v>
      </c>
      <c r="HM37" s="264">
        <f t="shared" si="300"/>
        <v>1984314</v>
      </c>
      <c r="HO37" s="199">
        <f t="shared" si="301"/>
        <v>8574420.2080000006</v>
      </c>
      <c r="HP37" s="199">
        <f t="shared" si="302"/>
        <v>10718025.26</v>
      </c>
      <c r="HQ37" s="199" t="str">
        <f t="shared" si="303"/>
        <v/>
      </c>
      <c r="HR37" s="199" t="str">
        <f t="shared" si="304"/>
        <v/>
      </c>
      <c r="HS37" s="199" t="str">
        <f t="shared" si="119"/>
        <v/>
      </c>
      <c r="HT37" s="199">
        <f t="shared" si="305"/>
        <v>8574420.2080000006</v>
      </c>
      <c r="HU37" s="199" t="str">
        <f t="shared" si="306"/>
        <v/>
      </c>
      <c r="HV37" s="200">
        <f t="shared" si="307"/>
        <v>0</v>
      </c>
      <c r="HW37" s="272" t="str">
        <f t="shared" si="308"/>
        <v/>
      </c>
      <c r="HX37" s="200">
        <f t="shared" si="309"/>
        <v>0</v>
      </c>
      <c r="HY37" s="200">
        <f t="shared" si="310"/>
        <v>8574420.2080000006</v>
      </c>
      <c r="HZ37" s="200">
        <f t="shared" si="4"/>
        <v>0</v>
      </c>
      <c r="IA37" s="200">
        <f t="shared" si="311"/>
        <v>0</v>
      </c>
      <c r="IB37" s="200">
        <f t="shared" si="312"/>
        <v>0</v>
      </c>
      <c r="IC37" s="273">
        <f>IF(C37="","",INDEX(Lookups!$E$2:$E$69,MATCH('Loan List'!BE37,Lookups!$F$2:$F$69,0)))</f>
        <v>55</v>
      </c>
      <c r="ID37" t="b">
        <f t="shared" si="313"/>
        <v>1</v>
      </c>
      <c r="IF37" s="346">
        <f>IF(B37="","",IF(AND(Y37="Second Lien",OR(DA37=1,DB37=1,DC37=1)),50%,IF(DA37=1,90%,IF(DB37=1,80%,IF(DC37=1,65%,"No Initial Haircut")))))</f>
        <v>0.8</v>
      </c>
    </row>
    <row r="38" spans="1:240">
      <c r="A38" t="s">
        <v>731</v>
      </c>
      <c r="B38" s="242">
        <f t="shared" si="149"/>
        <v>29</v>
      </c>
      <c r="C38" s="242">
        <f>IF(COUNTIF($A$10:A37,A38)&gt;0,C37,C37+1)</f>
        <v>24</v>
      </c>
      <c r="D38" s="431" t="s">
        <v>731</v>
      </c>
      <c r="E38" s="428" t="s">
        <v>811</v>
      </c>
      <c r="F38" s="429"/>
      <c r="G38" s="430">
        <v>2917293</v>
      </c>
      <c r="H38" s="430">
        <v>2917293</v>
      </c>
      <c r="I38" s="244">
        <f>IF(B38="","",VLOOKUP(BF38,Inputs!$A$12:$J$15,10,FALSE))</f>
        <v>1</v>
      </c>
      <c r="J38" s="245">
        <f>IF(B38="","",G38*I38)</f>
        <v>2917293</v>
      </c>
      <c r="K38" s="245">
        <f>IF(B38="","",H38*I38)</f>
        <v>2917293</v>
      </c>
      <c r="L38" s="245">
        <f>IF(B38="","",IF(COUNTIF($CF38:$CY38,1)&gt;0,0,J38))</f>
        <v>2917293</v>
      </c>
      <c r="M38" s="245">
        <f>IF(B38="","",IF(COUNTIF($CF38:$CY38,1)&gt;0,0,K38))</f>
        <v>2917293</v>
      </c>
      <c r="N38" s="246" t="s">
        <v>246</v>
      </c>
      <c r="O38" s="246" t="s">
        <v>245</v>
      </c>
      <c r="P38" s="247">
        <f>IF(B38="","",IF(OR(O38="N/A",O38=""),0,YEARFRAC('Borrowing Base'!$J$4,'Loan List'!O38)*12))</f>
        <v>0</v>
      </c>
      <c r="Q38" s="246" t="s">
        <v>246</v>
      </c>
      <c r="R38" s="248">
        <v>1</v>
      </c>
      <c r="S38" s="249" t="str">
        <f>IF(B38="","",IF(R38&lt;95%,"Yes","No"))</f>
        <v>No</v>
      </c>
      <c r="T38" s="248">
        <v>0.97700000009143484</v>
      </c>
      <c r="U38" s="250">
        <f>IF(B38="","",IF(OR(Y38="First Lien",Y38="Split First Lien",Y38="Tier 1 Split Lien",Y38="Tier 2 Split Lien"),50%,30%))</f>
        <v>0.5</v>
      </c>
      <c r="V38" s="250">
        <f>IF(B38="",0,IF(AND(Y38="First Lien",AN38="Tier 1"),IF(AND(X38="Yes",MIN(AH38,$AJ$5)&gt;4.5),(((4.5/MIN(AH38,$AJ$5))*72.5%)+(((MIN(AH38,$AJ$5)-4.5)/MIN(AH38,$AJ$5))*35%)),72.5%),IF(AND(Y38="First Lien",AN38="Tier 2"),IF(AND(X38="Yes",MIN(AH38,$AK$5)&gt;4.5),(((4.5/MIN(AH38,$AK$5))*72.5%)+(((MIN(AH38,$AK$5)-4.5)/MIN(AH38,$AK$5))*35%)),72.5%),IF(AND(X38="Yes",MIN(AH38,$AL$5)&gt;4),(((4/MIN(AH38,$AL$5))*72.5%)+(((MIN(AH38,$AL$5)-4)/MIN(AH38,$AL$5))*35%)),IF(OR(Y38="First Lien",Y38="Split First Lien"),72.5%,IF(Y38="Split Lien", 53%,35%))))))</f>
        <v>0.72499999999999998</v>
      </c>
      <c r="W38" s="251">
        <f t="shared" si="11"/>
        <v>2917293</v>
      </c>
      <c r="X38" s="246" t="s">
        <v>64</v>
      </c>
      <c r="Y38" s="252" t="s">
        <v>483</v>
      </c>
      <c r="Z38" s="252" t="s">
        <v>484</v>
      </c>
      <c r="AA38" s="253" t="s">
        <v>407</v>
      </c>
      <c r="AB38" s="253" t="s">
        <v>713</v>
      </c>
      <c r="AC38" s="254">
        <v>2.94</v>
      </c>
      <c r="AD38" s="254">
        <v>1.9667558229921149</v>
      </c>
      <c r="AE38" s="254">
        <v>2.2437475494157675</v>
      </c>
      <c r="AF38" s="255">
        <v>0.222</v>
      </c>
      <c r="AG38" s="256">
        <v>2.99</v>
      </c>
      <c r="AH38" s="256">
        <v>2.99</v>
      </c>
      <c r="AI38" s="256">
        <v>3.2692303062789918</v>
      </c>
      <c r="AJ38" s="256">
        <v>3.2692303062789918</v>
      </c>
      <c r="AK38" s="257">
        <v>22800000</v>
      </c>
      <c r="AL38" s="257">
        <v>20779729.918267902</v>
      </c>
      <c r="AM38" s="258">
        <v>45838</v>
      </c>
      <c r="AN38" s="245" t="str">
        <f>IF(C38="","",(IF(AK38&gt;=50000000,"Tier 1",(IF(OR(AK38&gt;=20000000,AND(AK38&gt;5000000,AC38&gt;=1.25,AF38&lt;=0.65)),"Tier 2","Tier 3")))))</f>
        <v>Tier 2</v>
      </c>
      <c r="AO38" s="243">
        <v>47392</v>
      </c>
      <c r="AP38" s="259">
        <f>IF(C38="","",DAYS360(Inputs!$J$8,AO38)/360)</f>
        <v>4.1027777777777779</v>
      </c>
      <c r="AQ38" s="259">
        <f>IF(C38="","",AP38)</f>
        <v>4.1027777777777779</v>
      </c>
      <c r="AR38" s="246" t="s">
        <v>246</v>
      </c>
      <c r="AS38" s="248">
        <v>0</v>
      </c>
      <c r="AT38" s="246" t="s">
        <v>64</v>
      </c>
      <c r="AU38" s="248">
        <v>0.01</v>
      </c>
      <c r="AV38" s="248">
        <v>5.2499999999999998E-2</v>
      </c>
      <c r="AW38" s="248">
        <v>4.2956000000000001E-2</v>
      </c>
      <c r="AX38" s="260">
        <f>IF(C38="","",MAX(AU38,AW38))</f>
        <v>4.2956000000000001E-2</v>
      </c>
      <c r="AY38" s="248">
        <v>0</v>
      </c>
      <c r="AZ38" s="248">
        <v>0</v>
      </c>
      <c r="BA38" s="248">
        <v>0</v>
      </c>
      <c r="BB38" s="407">
        <f>IF(B38="","",IF(AR38="No",AV38-AZ38,""))</f>
        <v>5.2499999999999998E-2</v>
      </c>
      <c r="BC38" s="407" t="str">
        <f>IF(B38="","",IF(AR38="Yes",AS38-BA38,""))</f>
        <v/>
      </c>
      <c r="BD38" s="252" t="s">
        <v>249</v>
      </c>
      <c r="BE38" s="261" t="s">
        <v>375</v>
      </c>
      <c r="BF38" s="252" t="s">
        <v>7</v>
      </c>
      <c r="BG38" s="252" t="s">
        <v>460</v>
      </c>
      <c r="BH38" s="246" t="s">
        <v>246</v>
      </c>
      <c r="BI38" s="408" t="str">
        <f>IF(B38="","",IF(OR(AND(AZ38&gt;0,BB38&gt;=2.5%,BB38&lt;4%),AND(BA38&gt;0,BC38&gt;=6%,BC38&lt;8%)),"Yes","No"))</f>
        <v>No</v>
      </c>
      <c r="BJ38" s="408" t="str">
        <f>IF(B38="","",IF(OR(AND(AZ38&gt;0,BB38&lt;2.5%),AND(BA38&gt;0,BC38&lt;6%)),"Yes","No"))</f>
        <v>No</v>
      </c>
      <c r="BK38" s="246" t="s">
        <v>246</v>
      </c>
      <c r="BL38" s="246" t="s">
        <v>246</v>
      </c>
      <c r="BM38" s="246" t="s">
        <v>64</v>
      </c>
      <c r="BN38" s="246" t="s">
        <v>64</v>
      </c>
      <c r="BO38" s="246" t="s">
        <v>246</v>
      </c>
      <c r="BP38" s="246" t="s">
        <v>246</v>
      </c>
      <c r="BQ38" s="246" t="s">
        <v>246</v>
      </c>
      <c r="BR38" s="246" t="s">
        <v>246</v>
      </c>
      <c r="BS38" s="246" t="s">
        <v>246</v>
      </c>
      <c r="BT38" s="246" t="s">
        <v>246</v>
      </c>
      <c r="BU38" s="246" t="s">
        <v>246</v>
      </c>
      <c r="BV38" s="246" t="s">
        <v>246</v>
      </c>
      <c r="BW38" s="246" t="s">
        <v>246</v>
      </c>
      <c r="BX38" s="246" t="s">
        <v>246</v>
      </c>
      <c r="BY38" s="246" t="s">
        <v>246</v>
      </c>
      <c r="BZ38" s="246" t="s">
        <v>246</v>
      </c>
      <c r="CA38" s="246" t="s">
        <v>246</v>
      </c>
      <c r="CB38" s="246" t="s">
        <v>64</v>
      </c>
      <c r="CC38" s="262">
        <f>IF(B38="","",IF(AT38="No",((BB38+AW38)-$AZ$4),((BB38+AX38)-$AZ$4))*IF(DE38&gt;0,0,M38))</f>
        <v>152380.71564479999</v>
      </c>
      <c r="CD38" s="262">
        <f>IF(B38="","",AY38*(L38-M38)*IF(DE38&gt;0,0,1))</f>
        <v>0</v>
      </c>
      <c r="CE38" s="263"/>
      <c r="CF38" s="263">
        <f t="shared" si="150"/>
        <v>0</v>
      </c>
      <c r="CG38" s="263">
        <f t="shared" si="151"/>
        <v>0</v>
      </c>
      <c r="CH38" s="263">
        <f t="shared" si="152"/>
        <v>0</v>
      </c>
      <c r="CI38" s="263">
        <f t="shared" si="153"/>
        <v>0</v>
      </c>
      <c r="CJ38" s="263">
        <f t="shared" si="154"/>
        <v>0</v>
      </c>
      <c r="CK38" s="263">
        <f t="shared" si="155"/>
        <v>0</v>
      </c>
      <c r="CL38" s="263">
        <f t="shared" si="156"/>
        <v>0</v>
      </c>
      <c r="CM38" s="263">
        <f t="shared" si="157"/>
        <v>0</v>
      </c>
      <c r="CN38" s="263">
        <f t="shared" si="158"/>
        <v>0</v>
      </c>
      <c r="CO38" s="263">
        <f t="shared" si="159"/>
        <v>0</v>
      </c>
      <c r="CP38" s="263">
        <f t="shared" si="160"/>
        <v>0</v>
      </c>
      <c r="CQ38" s="263">
        <f t="shared" si="161"/>
        <v>0</v>
      </c>
      <c r="CR38" s="263">
        <f t="shared" si="162"/>
        <v>0</v>
      </c>
      <c r="CS38" s="263">
        <f t="shared" si="163"/>
        <v>0</v>
      </c>
      <c r="CT38" s="263">
        <f t="shared" si="164"/>
        <v>0</v>
      </c>
      <c r="CU38" s="263">
        <f t="shared" si="165"/>
        <v>0</v>
      </c>
      <c r="CV38" s="263">
        <f t="shared" si="166"/>
        <v>0</v>
      </c>
      <c r="CW38" s="263">
        <f t="shared" si="167"/>
        <v>0</v>
      </c>
      <c r="CX38" s="263">
        <f t="shared" si="168"/>
        <v>0</v>
      </c>
      <c r="CY38" s="263">
        <f t="shared" si="169"/>
        <v>0</v>
      </c>
      <c r="CZ38" s="263">
        <f t="shared" si="170"/>
        <v>0</v>
      </c>
      <c r="DA38" s="263">
        <f t="shared" si="171"/>
        <v>0</v>
      </c>
      <c r="DB38" s="263">
        <f t="shared" si="172"/>
        <v>0</v>
      </c>
      <c r="DC38" s="263">
        <f t="shared" si="173"/>
        <v>0</v>
      </c>
      <c r="DD38" s="263">
        <f t="shared" si="174"/>
        <v>0</v>
      </c>
      <c r="DE38" s="263">
        <f t="shared" si="175"/>
        <v>0</v>
      </c>
      <c r="DF38" s="263">
        <f t="shared" si="176"/>
        <v>2917293</v>
      </c>
      <c r="DG38" s="263">
        <f t="shared" si="177"/>
        <v>0</v>
      </c>
      <c r="DH38" s="263">
        <f t="shared" si="178"/>
        <v>2917293</v>
      </c>
      <c r="DI38" s="263">
        <f t="shared" si="179"/>
        <v>2917293</v>
      </c>
      <c r="DJ38" s="263">
        <f t="shared" si="180"/>
        <v>0</v>
      </c>
      <c r="DK38" s="263">
        <f t="shared" si="181"/>
        <v>0</v>
      </c>
      <c r="DL38" s="263">
        <f t="shared" si="182"/>
        <v>0</v>
      </c>
      <c r="DM38" s="263">
        <f t="shared" si="183"/>
        <v>0</v>
      </c>
      <c r="DO38" s="264">
        <f t="shared" si="184"/>
        <v>0</v>
      </c>
      <c r="DP38" s="265">
        <f t="shared" si="185"/>
        <v>0</v>
      </c>
      <c r="DQ38" s="264">
        <f t="shared" si="186"/>
        <v>2917293</v>
      </c>
      <c r="DR38" s="264">
        <f t="shared" si="187"/>
        <v>0</v>
      </c>
      <c r="DS38" s="265">
        <f t="shared" si="188"/>
        <v>0</v>
      </c>
      <c r="DT38" s="264">
        <f t="shared" si="189"/>
        <v>2917293</v>
      </c>
      <c r="DU38" s="264">
        <f t="shared" si="190"/>
        <v>0</v>
      </c>
      <c r="DV38" s="265">
        <f t="shared" si="191"/>
        <v>0</v>
      </c>
      <c r="DW38" s="264">
        <f t="shared" si="192"/>
        <v>2917293</v>
      </c>
      <c r="DX38" s="264">
        <f t="shared" si="193"/>
        <v>0</v>
      </c>
      <c r="DY38" s="265">
        <f t="shared" si="194"/>
        <v>0</v>
      </c>
      <c r="DZ38" s="264">
        <f t="shared" si="195"/>
        <v>2917293</v>
      </c>
      <c r="EA38" s="264">
        <f t="shared" si="196"/>
        <v>0</v>
      </c>
      <c r="EB38" s="265">
        <f t="shared" si="197"/>
        <v>0</v>
      </c>
      <c r="EC38" s="264">
        <f t="shared" si="198"/>
        <v>2917293</v>
      </c>
      <c r="ED38" s="264">
        <f t="shared" si="199"/>
        <v>0</v>
      </c>
      <c r="EE38" s="265">
        <f t="shared" si="200"/>
        <v>0</v>
      </c>
      <c r="EF38" s="264">
        <f t="shared" si="201"/>
        <v>2917293</v>
      </c>
      <c r="EG38" s="264">
        <f t="shared" si="202"/>
        <v>0</v>
      </c>
      <c r="EH38" s="265">
        <f t="shared" si="203"/>
        <v>0</v>
      </c>
      <c r="EI38" s="264">
        <f t="shared" si="204"/>
        <v>2917293</v>
      </c>
      <c r="EJ38" s="264">
        <f t="shared" si="205"/>
        <v>0</v>
      </c>
      <c r="EK38" s="265">
        <f t="shared" si="206"/>
        <v>0</v>
      </c>
      <c r="EL38" s="264">
        <f t="shared" si="207"/>
        <v>2917293</v>
      </c>
      <c r="EM38" s="264">
        <f t="shared" si="208"/>
        <v>0</v>
      </c>
      <c r="EN38" s="265">
        <f t="shared" si="209"/>
        <v>0</v>
      </c>
      <c r="EO38" s="264">
        <f t="shared" si="210"/>
        <v>2917293</v>
      </c>
      <c r="EP38" s="264">
        <f t="shared" si="211"/>
        <v>0</v>
      </c>
      <c r="EQ38" s="265">
        <f t="shared" si="212"/>
        <v>0</v>
      </c>
      <c r="ER38" s="264">
        <f t="shared" si="213"/>
        <v>2917293</v>
      </c>
      <c r="ES38" s="264">
        <f t="shared" si="214"/>
        <v>0</v>
      </c>
      <c r="ET38" s="265">
        <f t="shared" si="215"/>
        <v>0</v>
      </c>
      <c r="EU38" s="264">
        <f t="shared" si="216"/>
        <v>2917293</v>
      </c>
      <c r="EV38" s="264">
        <f>IF(AND(BM38="Yes",OR(BN38="No",AND(BN38="Yes",Inputs!$J$8=Inputs!$J$17+75))),EU38,0)</f>
        <v>0</v>
      </c>
      <c r="EW38" s="265">
        <f t="shared" si="217"/>
        <v>0</v>
      </c>
      <c r="EX38" s="264">
        <f t="shared" si="218"/>
        <v>2917293</v>
      </c>
      <c r="EY38" s="264">
        <f t="shared" si="219"/>
        <v>0</v>
      </c>
      <c r="EZ38" s="265">
        <f t="shared" si="220"/>
        <v>0</v>
      </c>
      <c r="FA38" s="264">
        <f t="shared" si="221"/>
        <v>2917293</v>
      </c>
      <c r="FB38" s="264">
        <f t="shared" si="222"/>
        <v>0</v>
      </c>
      <c r="FC38" s="265">
        <f t="shared" si="223"/>
        <v>0</v>
      </c>
      <c r="FD38" s="264">
        <f t="shared" si="224"/>
        <v>2917293</v>
      </c>
      <c r="FE38" s="264">
        <f t="shared" si="225"/>
        <v>0</v>
      </c>
      <c r="FF38" s="265">
        <f t="shared" si="226"/>
        <v>0</v>
      </c>
      <c r="FG38" s="264">
        <f t="shared" si="227"/>
        <v>2917293</v>
      </c>
      <c r="FH38" s="264">
        <f t="shared" si="228"/>
        <v>2917293</v>
      </c>
      <c r="FI38" s="264">
        <f t="shared" si="229"/>
        <v>0</v>
      </c>
      <c r="FJ38" s="264">
        <f t="shared" si="230"/>
        <v>2917293</v>
      </c>
      <c r="FK38" s="264">
        <f t="shared" si="231"/>
        <v>2917293</v>
      </c>
      <c r="FL38" s="264">
        <f t="shared" si="232"/>
        <v>0</v>
      </c>
      <c r="FM38" s="264">
        <f t="shared" si="233"/>
        <v>2917293</v>
      </c>
      <c r="FN38" s="264">
        <f t="shared" si="234"/>
        <v>2917293</v>
      </c>
      <c r="FO38" s="264">
        <f t="shared" si="235"/>
        <v>0</v>
      </c>
      <c r="FP38" s="264">
        <f t="shared" si="236"/>
        <v>2917293</v>
      </c>
      <c r="FQ38" s="264">
        <f t="shared" si="237"/>
        <v>0</v>
      </c>
      <c r="FR38" s="265">
        <f t="shared" si="238"/>
        <v>0</v>
      </c>
      <c r="FS38" s="264">
        <f t="shared" si="239"/>
        <v>2917293</v>
      </c>
      <c r="FT38" s="264">
        <f t="shared" si="240"/>
        <v>0</v>
      </c>
      <c r="FU38" s="265">
        <f t="shared" si="241"/>
        <v>0</v>
      </c>
      <c r="FV38" s="264">
        <f t="shared" si="242"/>
        <v>2917293</v>
      </c>
      <c r="FW38" s="264">
        <f t="shared" si="243"/>
        <v>0</v>
      </c>
      <c r="FX38" s="264">
        <f t="shared" si="244"/>
        <v>0</v>
      </c>
      <c r="FY38" s="264">
        <f t="shared" si="245"/>
        <v>0</v>
      </c>
      <c r="FZ38" s="264">
        <f t="shared" si="246"/>
        <v>0</v>
      </c>
      <c r="GA38" s="265">
        <f t="shared" si="296"/>
        <v>0</v>
      </c>
      <c r="GB38" s="264">
        <f t="shared" si="297"/>
        <v>2917293</v>
      </c>
      <c r="GC38" s="264">
        <f t="shared" si="247"/>
        <v>2917293</v>
      </c>
      <c r="GD38" s="266">
        <f t="shared" si="248"/>
        <v>2115037.4249999998</v>
      </c>
      <c r="GE38" s="138">
        <f t="shared" si="249"/>
        <v>0.72499999999999998</v>
      </c>
      <c r="GF38" s="267">
        <f t="shared" si="250"/>
        <v>18</v>
      </c>
      <c r="GG38" s="264">
        <f t="array" ref="GG38">IF(SUM(IF(IC$9:IC37=IC38,1,0))&gt;0,0,SUMIF($IC$10:$IC$406,IC38,$FJ$10:$FJ$406))</f>
        <v>18831303.969999999</v>
      </c>
      <c r="GH38" s="268">
        <f t="shared" si="251"/>
        <v>18831303.969999999</v>
      </c>
      <c r="GI38" s="137">
        <f t="shared" si="126"/>
        <v>29</v>
      </c>
      <c r="GJ38" s="269">
        <f t="shared" si="252"/>
        <v>0</v>
      </c>
      <c r="GK38" s="269">
        <f t="shared" si="253"/>
        <v>0</v>
      </c>
      <c r="GL38" s="163">
        <f t="shared" si="254"/>
        <v>0</v>
      </c>
      <c r="GM38" s="137">
        <f t="array" ref="GM38">IF(GJ38=0,0,LARGE(IF($GG$10:$GG$406=GJ38,$GF$10:$GF$406,0),COUNTIF($GJ$10:$GJ$406,GJ38)-COUNTIF(GJ$9:GJ37,GJ38)))</f>
        <v>0</v>
      </c>
      <c r="GN38" s="270">
        <f t="shared" si="255"/>
        <v>0</v>
      </c>
      <c r="GP38" s="137">
        <f>IF(C38="","",IF(ISERROR(MATCH(C38,C$10:C37,0)),MAX(GP$10:GP37)+1,INDEX(GP$10:GP37,MATCH(C38,C$10:C37,0))))</f>
        <v>24</v>
      </c>
      <c r="GQ38" s="264">
        <f>IF(COUNTIF($A$10:A38,A38)&lt;=1,SUMIF($A$10:$A$406,A38,$FH$10:$FH$406),0)</f>
        <v>2917293</v>
      </c>
      <c r="GR38" s="137">
        <f t="shared" si="130"/>
        <v>29</v>
      </c>
      <c r="GS38" s="269">
        <f t="shared" si="256"/>
        <v>9290272.2300000004</v>
      </c>
      <c r="GT38" s="269">
        <f t="shared" si="257"/>
        <v>50964284.172430128</v>
      </c>
      <c r="GU38" s="163">
        <f t="shared" si="258"/>
        <v>0</v>
      </c>
      <c r="GV38" s="137">
        <f t="array" ref="GV38">IF(GS38=0,0,LARGE(IF($GQ$10:$GQ$406=GS38,$GP$10:$GP$406,0),COUNTIF($GS$10:$GS$406,GS38)-COUNTIF(GS$9:GS37,GS38)))</f>
        <v>34</v>
      </c>
      <c r="GW38" s="270">
        <f t="shared" si="259"/>
        <v>0</v>
      </c>
      <c r="GX38" s="270"/>
      <c r="GY38" s="137">
        <f>IF(C38="","",IF(ISERROR(MATCH(C38,C$10:C37,0)),MAX(GP$10:GP37)+1,INDEX(GP$10:GP37,MATCH(C38,C$10:C37,0))))</f>
        <v>24</v>
      </c>
      <c r="GZ38" s="264">
        <f>IF(COUNTIF($A$10:A38,A38)&lt;=1,SUMIF($A$10:$A$406,A38,$FH$10:$FH$406),0)</f>
        <v>2917293</v>
      </c>
      <c r="HA38" s="137">
        <f t="shared" si="134"/>
        <v>29</v>
      </c>
      <c r="HB38" s="269">
        <f t="shared" si="260"/>
        <v>9290272.2300000004</v>
      </c>
      <c r="HC38" s="414" t="s">
        <v>622</v>
      </c>
      <c r="HD38" s="163">
        <f t="shared" si="261"/>
        <v>0</v>
      </c>
      <c r="HE38" s="137">
        <f t="array" ref="HE38">IF(HB38=0,0,LARGE(IF($GZ$10:$GZ$406=HB38,$GY$10:$GY$406,0),COUNTIF($HB$10:$HB$406,HB38)-COUNTIF(HB$9:HB37,HB38)))</f>
        <v>34</v>
      </c>
      <c r="HF38" s="270">
        <f t="shared" si="262"/>
        <v>0</v>
      </c>
      <c r="HG38"/>
      <c r="HH38" s="268">
        <f t="shared" si="263"/>
        <v>0</v>
      </c>
      <c r="HI38" s="271">
        <v>0</v>
      </c>
      <c r="HJ38" s="264">
        <f t="shared" si="264"/>
        <v>0</v>
      </c>
      <c r="HL38" s="137">
        <f t="shared" si="265"/>
        <v>29</v>
      </c>
      <c r="HM38" s="264">
        <f t="shared" si="300"/>
        <v>3510691</v>
      </c>
      <c r="HO38" s="199">
        <f t="shared" si="301"/>
        <v>2917293</v>
      </c>
      <c r="HP38" s="199">
        <f t="shared" si="302"/>
        <v>2917293</v>
      </c>
      <c r="HQ38" s="199" t="str">
        <f t="shared" si="303"/>
        <v/>
      </c>
      <c r="HR38" s="199" t="str">
        <f t="shared" si="304"/>
        <v/>
      </c>
      <c r="HS38" s="199" t="str">
        <f t="shared" si="119"/>
        <v/>
      </c>
      <c r="HT38" s="199" t="str">
        <f t="shared" si="305"/>
        <v/>
      </c>
      <c r="HU38" s="199" t="str">
        <f t="shared" si="306"/>
        <v/>
      </c>
      <c r="HV38" s="200">
        <f t="shared" si="307"/>
        <v>0</v>
      </c>
      <c r="HW38" s="272">
        <f t="shared" si="308"/>
        <v>1</v>
      </c>
      <c r="HX38" s="200" t="str">
        <f t="shared" si="309"/>
        <v/>
      </c>
      <c r="HY38" s="200">
        <f t="shared" si="310"/>
        <v>0</v>
      </c>
      <c r="HZ38" s="200" t="str">
        <f t="shared" si="4"/>
        <v/>
      </c>
      <c r="IA38" s="200" t="str">
        <f t="shared" si="311"/>
        <v/>
      </c>
      <c r="IB38" s="200" t="str">
        <f t="shared" si="312"/>
        <v/>
      </c>
      <c r="IC38" s="273">
        <f>IF(C38="","",INDEX(Lookups!$E$2:$E$69,MATCH('Loan List'!BE38,Lookups!$F$2:$F$69,0)))</f>
        <v>18</v>
      </c>
      <c r="ID38" t="b">
        <f t="shared" si="313"/>
        <v>1</v>
      </c>
      <c r="IF38" s="346" t="str">
        <f>IF(B38="","",IF(AND(Y38="Second Lien",OR(DA38=1,DB38=1,DC38=1)),50%,IF(DA38=1,90%,IF(DB38=1,80%,IF(DC38=1,65%,"No Initial Haircut")))))</f>
        <v>No Initial Haircut</v>
      </c>
    </row>
    <row r="39" spans="1:240">
      <c r="A39" t="s">
        <v>595</v>
      </c>
      <c r="B39" s="242">
        <f t="shared" si="149"/>
        <v>30</v>
      </c>
      <c r="C39" s="242">
        <f>IF(COUNTIF($A$10:A38,A39)&gt;0,C38,C38+1)</f>
        <v>25</v>
      </c>
      <c r="D39" s="428" t="s">
        <v>595</v>
      </c>
      <c r="E39" s="428" t="s">
        <v>587</v>
      </c>
      <c r="F39" s="429"/>
      <c r="G39" s="430">
        <v>12080369.699999999</v>
      </c>
      <c r="H39" s="430">
        <v>12080369.699999999</v>
      </c>
      <c r="I39" s="244">
        <f>IF(B39="","",VLOOKUP(BF39,Inputs!$A$12:$J$15,10,FALSE))</f>
        <v>1</v>
      </c>
      <c r="J39" s="245">
        <f>IF(B39="","",G39*I39)</f>
        <v>12080369.699999999</v>
      </c>
      <c r="K39" s="245">
        <f>IF(B39="","",H39*I39)</f>
        <v>12080369.699999999</v>
      </c>
      <c r="L39" s="245">
        <f>IF(B39="","",IF(COUNTIF($CF39:$CY39,1)&gt;0,0,J39))</f>
        <v>12080369.699999999</v>
      </c>
      <c r="M39" s="245">
        <f>IF(B39="","",IF(COUNTIF($CF39:$CY39,1)&gt;0,0,K39))</f>
        <v>12080369.699999999</v>
      </c>
      <c r="N39" s="246" t="s">
        <v>246</v>
      </c>
      <c r="O39" s="246" t="s">
        <v>245</v>
      </c>
      <c r="P39" s="247">
        <f>IF(B39="","",IF(OR(O39="N/A",O39=""),0,YEARFRAC('Borrowing Base'!$J$4,'Loan List'!O39)*12))</f>
        <v>0</v>
      </c>
      <c r="Q39" s="246" t="s">
        <v>246</v>
      </c>
      <c r="R39" s="248">
        <v>0.98499999999999988</v>
      </c>
      <c r="S39" s="249" t="str">
        <f>IF(B39="","",IF(R39&lt;95%,"Yes","No"))</f>
        <v>No</v>
      </c>
      <c r="T39" s="248">
        <v>0.98999999975166331</v>
      </c>
      <c r="U39" s="250">
        <f>IF(B39="","",IF(OR(Y39="First Lien",Y39="Split First Lien",Y39="Tier 1 Split Lien",Y39="Tier 2 Split Lien"),50%,30%))</f>
        <v>0.5</v>
      </c>
      <c r="V39" s="250">
        <f t="shared" ref="V39" si="383">IF(B39="",0,IF(AND(Y39="First Lien",AN39="Tier 1"),IF(AND(X39="Yes",MIN(AH39,$AJ$5)&gt;4.5),(((4.5/MIN(AH39,$AJ$5))*72.5%)+(((MIN(AH39,$AJ$5)-4.5)/MIN(AH39,$AJ$5))*35%)),72.5%),IF(AND(Y39="First Lien",AN39="Tier 2"),IF(AND(X39="Yes",MIN(AH39,$AK$5)&gt;4.5),(((4.5/MIN(AH39,$AK$5))*72.5%)+(((MIN(AH39,$AK$5)-4.5)/MIN(AH39,$AK$5))*35%)),72.5%),IF(AND(X39="Yes",MIN(AH39,$AL$5)&gt;4),(((4/MIN(AH39,$AL$5))*72.5%)+(((MIN(AH39,$AL$5)-4)/MIN(AH39,$AL$5))*35%)),IF(OR(Y39="First Lien",Y39="Split First Lien"),72.5%,IF(Y39="Split Lien", 53%,35%))))))</f>
        <v>0.72499999999999998</v>
      </c>
      <c r="W39" s="251">
        <f t="shared" si="11"/>
        <v>10872332.73</v>
      </c>
      <c r="X39" s="246" t="s">
        <v>246</v>
      </c>
      <c r="Y39" s="252" t="s">
        <v>483</v>
      </c>
      <c r="Z39" s="252" t="s">
        <v>484</v>
      </c>
      <c r="AA39" s="253" t="s">
        <v>407</v>
      </c>
      <c r="AB39" s="253" t="s">
        <v>713</v>
      </c>
      <c r="AC39" s="254">
        <v>1.5550817420480625</v>
      </c>
      <c r="AD39" s="254">
        <v>1.7500845285892095</v>
      </c>
      <c r="AE39" s="254">
        <v>1.926589441810266</v>
      </c>
      <c r="AF39" s="255">
        <v>0.31176911340817465</v>
      </c>
      <c r="AG39" s="256">
        <v>4.1049663955743618</v>
      </c>
      <c r="AH39" s="256">
        <v>4.1049663955743618</v>
      </c>
      <c r="AI39" s="256">
        <v>4.8462082985944583</v>
      </c>
      <c r="AJ39" s="256">
        <v>4.8462082985944583</v>
      </c>
      <c r="AK39" s="257">
        <v>20199678.148253899</v>
      </c>
      <c r="AL39" s="257">
        <v>18516537.975890502</v>
      </c>
      <c r="AM39" s="258">
        <v>45808</v>
      </c>
      <c r="AN39" s="245" t="str">
        <f>IF(C39="","",(IF(AK39&gt;=50000000,"Tier 1",(IF(OR(AK39&gt;=20000000,AND(AK39&gt;5000000,AC39&gt;=1.25,AF39&lt;=0.65)),"Tier 2","Tier 3")))))</f>
        <v>Tier 2</v>
      </c>
      <c r="AO39" s="243">
        <v>47521</v>
      </c>
      <c r="AP39" s="259">
        <f>IF(C39="","",DAYS360(Inputs!$J$8,AO39)/360)</f>
        <v>4.4527777777777775</v>
      </c>
      <c r="AQ39" s="259">
        <f>IF(C39="","",AP39)</f>
        <v>4.4527777777777775</v>
      </c>
      <c r="AR39" s="246" t="s">
        <v>246</v>
      </c>
      <c r="AS39" s="248">
        <v>0</v>
      </c>
      <c r="AT39" s="246" t="s">
        <v>64</v>
      </c>
      <c r="AU39" s="248">
        <v>0.01</v>
      </c>
      <c r="AV39" s="248">
        <v>5.5E-2</v>
      </c>
      <c r="AW39" s="248">
        <v>4.3561999999999997E-2</v>
      </c>
      <c r="AX39" s="260">
        <f>IF(C39="","",MAX(AU39,AW39))</f>
        <v>4.3561999999999997E-2</v>
      </c>
      <c r="AY39" s="248">
        <v>0</v>
      </c>
      <c r="AZ39" s="248">
        <v>0</v>
      </c>
      <c r="BA39" s="248">
        <v>0</v>
      </c>
      <c r="BB39" s="407">
        <f>IF(B39="","",IF(AR39="No",AV39-AZ39,""))</f>
        <v>5.5E-2</v>
      </c>
      <c r="BC39" s="407" t="str">
        <f>IF(B39="","",IF(AR39="Yes",AS39-BA39,""))</f>
        <v/>
      </c>
      <c r="BD39" s="252" t="s">
        <v>249</v>
      </c>
      <c r="BE39" s="261" t="s">
        <v>437</v>
      </c>
      <c r="BF39" s="252" t="s">
        <v>7</v>
      </c>
      <c r="BG39" s="252" t="s">
        <v>460</v>
      </c>
      <c r="BH39" s="246" t="s">
        <v>246</v>
      </c>
      <c r="BI39" s="408" t="str">
        <f t="shared" ref="BI39" si="384">IF(B39="","",IF(OR(AND(AZ39&gt;0,BB39&gt;=2.5%,BB39&lt;4%),AND(BA39&gt;0,BC39&gt;=6%,BC39&lt;8%)),"Yes","No"))</f>
        <v>No</v>
      </c>
      <c r="BJ39" s="408" t="str">
        <f>IF(B39="","",IF(OR(AND(AZ39&gt;0,BB39&lt;2.5%),AND(BA39&gt;0,BC39&lt;6%)),"Yes","No"))</f>
        <v>No</v>
      </c>
      <c r="BK39" s="246" t="s">
        <v>246</v>
      </c>
      <c r="BL39" s="246" t="s">
        <v>246</v>
      </c>
      <c r="BM39" s="246" t="s">
        <v>246</v>
      </c>
      <c r="BN39" s="246" t="s">
        <v>246</v>
      </c>
      <c r="BO39" s="246" t="s">
        <v>246</v>
      </c>
      <c r="BP39" s="246" t="s">
        <v>246</v>
      </c>
      <c r="BQ39" s="246" t="s">
        <v>246</v>
      </c>
      <c r="BR39" s="246" t="s">
        <v>246</v>
      </c>
      <c r="BS39" s="246" t="s">
        <v>246</v>
      </c>
      <c r="BT39" s="246" t="s">
        <v>246</v>
      </c>
      <c r="BU39" s="246" t="s">
        <v>246</v>
      </c>
      <c r="BV39" s="246" t="s">
        <v>246</v>
      </c>
      <c r="BW39" s="246" t="s">
        <v>246</v>
      </c>
      <c r="BX39" s="246" t="s">
        <v>246</v>
      </c>
      <c r="BY39" s="246" t="s">
        <v>246</v>
      </c>
      <c r="BZ39" s="246" t="s">
        <v>246</v>
      </c>
      <c r="CA39" s="246" t="s">
        <v>246</v>
      </c>
      <c r="CB39" s="246" t="s">
        <v>64</v>
      </c>
      <c r="CC39" s="262">
        <f>IF(B39="","",IF(AT39="No",((BB39+AW39)-$AZ$4),((BB39+AX39)-$AZ$4))*IF(DE39&gt;0,0,M39))</f>
        <v>668522.82705011987</v>
      </c>
      <c r="CD39" s="262">
        <f>IF(B39="","",AY39*(L39-M39)*IF(DE39&gt;0,0,1))</f>
        <v>0</v>
      </c>
      <c r="CE39" s="263"/>
      <c r="CF39" s="263">
        <f t="shared" si="150"/>
        <v>0</v>
      </c>
      <c r="CG39" s="263">
        <f t="shared" si="151"/>
        <v>0</v>
      </c>
      <c r="CH39" s="263">
        <f t="shared" si="152"/>
        <v>0</v>
      </c>
      <c r="CI39" s="263">
        <f t="shared" si="153"/>
        <v>0</v>
      </c>
      <c r="CJ39" s="263">
        <f t="shared" si="154"/>
        <v>0</v>
      </c>
      <c r="CK39" s="263">
        <f t="shared" si="155"/>
        <v>0</v>
      </c>
      <c r="CL39" s="263">
        <f t="shared" si="156"/>
        <v>0</v>
      </c>
      <c r="CM39" s="263">
        <f t="shared" si="157"/>
        <v>0</v>
      </c>
      <c r="CN39" s="263">
        <f t="shared" si="158"/>
        <v>0</v>
      </c>
      <c r="CO39" s="263">
        <f t="shared" si="159"/>
        <v>0</v>
      </c>
      <c r="CP39" s="263">
        <f t="shared" si="160"/>
        <v>0</v>
      </c>
      <c r="CQ39" s="263">
        <f t="shared" si="161"/>
        <v>0</v>
      </c>
      <c r="CR39" s="263">
        <f t="shared" si="162"/>
        <v>0</v>
      </c>
      <c r="CS39" s="263">
        <f t="shared" si="163"/>
        <v>0</v>
      </c>
      <c r="CT39" s="263">
        <f t="shared" si="164"/>
        <v>0</v>
      </c>
      <c r="CU39" s="263">
        <f t="shared" si="165"/>
        <v>0</v>
      </c>
      <c r="CV39" s="263">
        <f t="shared" si="166"/>
        <v>0</v>
      </c>
      <c r="CW39" s="263">
        <f t="shared" si="167"/>
        <v>0</v>
      </c>
      <c r="CX39" s="263">
        <f t="shared" si="168"/>
        <v>0</v>
      </c>
      <c r="CY39" s="263">
        <f t="shared" si="169"/>
        <v>0</v>
      </c>
      <c r="CZ39" s="263">
        <f t="shared" si="170"/>
        <v>0</v>
      </c>
      <c r="DA39" s="263">
        <f t="shared" si="171"/>
        <v>1</v>
      </c>
      <c r="DB39" s="263">
        <f t="shared" si="172"/>
        <v>0</v>
      </c>
      <c r="DC39" s="263">
        <f t="shared" si="173"/>
        <v>0</v>
      </c>
      <c r="DD39" s="263">
        <f t="shared" si="174"/>
        <v>0</v>
      </c>
      <c r="DE39" s="263">
        <f t="shared" si="175"/>
        <v>0</v>
      </c>
      <c r="DF39" s="263">
        <f t="shared" si="176"/>
        <v>10872332.73</v>
      </c>
      <c r="DG39" s="263">
        <f t="shared" si="177"/>
        <v>0</v>
      </c>
      <c r="DH39" s="263">
        <f t="shared" si="178"/>
        <v>10872332.73</v>
      </c>
      <c r="DI39" s="263">
        <f t="shared" si="179"/>
        <v>12080369.699999999</v>
      </c>
      <c r="DJ39" s="263">
        <f t="shared" si="180"/>
        <v>0</v>
      </c>
      <c r="DK39" s="263">
        <f t="shared" si="181"/>
        <v>0</v>
      </c>
      <c r="DL39" s="263">
        <f t="shared" si="182"/>
        <v>0</v>
      </c>
      <c r="DM39" s="263">
        <f t="shared" si="183"/>
        <v>0</v>
      </c>
      <c r="DO39" s="264">
        <f t="shared" si="184"/>
        <v>0</v>
      </c>
      <c r="DP39" s="265">
        <f t="shared" si="185"/>
        <v>0</v>
      </c>
      <c r="DQ39" s="264">
        <f t="shared" si="186"/>
        <v>10872332.73</v>
      </c>
      <c r="DR39" s="264">
        <f t="shared" si="187"/>
        <v>0</v>
      </c>
      <c r="DS39" s="265">
        <f t="shared" si="188"/>
        <v>0</v>
      </c>
      <c r="DT39" s="264">
        <f t="shared" si="189"/>
        <v>10872332.73</v>
      </c>
      <c r="DU39" s="264">
        <f t="shared" si="190"/>
        <v>0</v>
      </c>
      <c r="DV39" s="265">
        <f t="shared" si="191"/>
        <v>0</v>
      </c>
      <c r="DW39" s="264">
        <f t="shared" si="192"/>
        <v>10872332.73</v>
      </c>
      <c r="DX39" s="264">
        <f t="shared" si="193"/>
        <v>0</v>
      </c>
      <c r="DY39" s="265">
        <f t="shared" si="194"/>
        <v>0</v>
      </c>
      <c r="DZ39" s="264">
        <f t="shared" si="195"/>
        <v>10872332.73</v>
      </c>
      <c r="EA39" s="264">
        <f t="shared" si="196"/>
        <v>0</v>
      </c>
      <c r="EB39" s="265">
        <f t="shared" si="197"/>
        <v>0</v>
      </c>
      <c r="EC39" s="264">
        <f t="shared" si="198"/>
        <v>10872332.73</v>
      </c>
      <c r="ED39" s="264">
        <f t="shared" si="199"/>
        <v>0</v>
      </c>
      <c r="EE39" s="265">
        <f t="shared" si="200"/>
        <v>0</v>
      </c>
      <c r="EF39" s="264">
        <f t="shared" si="201"/>
        <v>10872332.73</v>
      </c>
      <c r="EG39" s="264">
        <f t="shared" si="202"/>
        <v>0</v>
      </c>
      <c r="EH39" s="265">
        <f t="shared" si="203"/>
        <v>0</v>
      </c>
      <c r="EI39" s="264">
        <f t="shared" si="204"/>
        <v>10872332.73</v>
      </c>
      <c r="EJ39" s="264">
        <f t="shared" si="205"/>
        <v>0</v>
      </c>
      <c r="EK39" s="265">
        <f t="shared" si="206"/>
        <v>0</v>
      </c>
      <c r="EL39" s="264">
        <f t="shared" si="207"/>
        <v>10872332.73</v>
      </c>
      <c r="EM39" s="264">
        <f t="shared" si="208"/>
        <v>0</v>
      </c>
      <c r="EN39" s="265">
        <f t="shared" si="209"/>
        <v>0</v>
      </c>
      <c r="EO39" s="264">
        <f t="shared" si="210"/>
        <v>10872332.73</v>
      </c>
      <c r="EP39" s="264">
        <f t="shared" si="211"/>
        <v>0</v>
      </c>
      <c r="EQ39" s="265">
        <f t="shared" si="212"/>
        <v>0</v>
      </c>
      <c r="ER39" s="264">
        <f t="shared" si="213"/>
        <v>10872332.73</v>
      </c>
      <c r="ES39" s="264">
        <f t="shared" si="214"/>
        <v>0</v>
      </c>
      <c r="ET39" s="265">
        <f t="shared" si="215"/>
        <v>0</v>
      </c>
      <c r="EU39" s="264">
        <f t="shared" si="216"/>
        <v>10872332.73</v>
      </c>
      <c r="EV39" s="264">
        <f>IF(AND(BM39="Yes",OR(BN39="No",AND(BN39="Yes",Inputs!$J$8=Inputs!$J$17+75))),EU39,0)</f>
        <v>0</v>
      </c>
      <c r="EW39" s="265">
        <f t="shared" si="217"/>
        <v>0</v>
      </c>
      <c r="EX39" s="264">
        <f t="shared" si="218"/>
        <v>10872332.73</v>
      </c>
      <c r="EY39" s="264">
        <f t="shared" si="219"/>
        <v>0</v>
      </c>
      <c r="EZ39" s="265">
        <f t="shared" si="220"/>
        <v>0</v>
      </c>
      <c r="FA39" s="264">
        <f t="shared" si="221"/>
        <v>10872332.73</v>
      </c>
      <c r="FB39" s="264">
        <f t="shared" si="222"/>
        <v>0</v>
      </c>
      <c r="FC39" s="265">
        <f t="shared" si="223"/>
        <v>0</v>
      </c>
      <c r="FD39" s="264">
        <f t="shared" si="224"/>
        <v>10872332.73</v>
      </c>
      <c r="FE39" s="264">
        <f t="shared" si="225"/>
        <v>0</v>
      </c>
      <c r="FF39" s="265">
        <f t="shared" si="226"/>
        <v>0</v>
      </c>
      <c r="FG39" s="264">
        <f t="shared" si="227"/>
        <v>10872332.73</v>
      </c>
      <c r="FH39" s="264">
        <f t="shared" si="228"/>
        <v>10872332.73</v>
      </c>
      <c r="FI39" s="264">
        <f t="shared" si="229"/>
        <v>0</v>
      </c>
      <c r="FJ39" s="264">
        <f t="shared" si="230"/>
        <v>10872332.73</v>
      </c>
      <c r="FK39" s="264">
        <f t="shared" si="231"/>
        <v>10872332.73</v>
      </c>
      <c r="FL39" s="264">
        <f t="shared" si="232"/>
        <v>0</v>
      </c>
      <c r="FM39" s="264">
        <f t="shared" si="233"/>
        <v>10872332.73</v>
      </c>
      <c r="FN39" s="264">
        <f t="shared" si="234"/>
        <v>10872332.73</v>
      </c>
      <c r="FO39" s="264">
        <f t="shared" si="235"/>
        <v>0</v>
      </c>
      <c r="FP39" s="264">
        <f t="shared" si="236"/>
        <v>10872332.73</v>
      </c>
      <c r="FQ39" s="264">
        <f t="shared" si="237"/>
        <v>0</v>
      </c>
      <c r="FR39" s="265">
        <f t="shared" si="238"/>
        <v>0</v>
      </c>
      <c r="FS39" s="264">
        <f t="shared" si="239"/>
        <v>10872332.73</v>
      </c>
      <c r="FT39" s="264">
        <f t="shared" si="240"/>
        <v>0</v>
      </c>
      <c r="FU39" s="265">
        <f t="shared" si="241"/>
        <v>0</v>
      </c>
      <c r="FV39" s="264">
        <f t="shared" si="242"/>
        <v>10872332.73</v>
      </c>
      <c r="FW39" s="264">
        <f t="shared" si="243"/>
        <v>0</v>
      </c>
      <c r="FX39" s="264">
        <f t="shared" si="244"/>
        <v>0</v>
      </c>
      <c r="FY39" s="264">
        <f t="shared" si="245"/>
        <v>0</v>
      </c>
      <c r="FZ39" s="264">
        <f t="shared" si="246"/>
        <v>0</v>
      </c>
      <c r="GA39" s="265">
        <f t="shared" si="296"/>
        <v>0</v>
      </c>
      <c r="GB39" s="264">
        <f t="shared" si="297"/>
        <v>10872332.73</v>
      </c>
      <c r="GC39" s="264">
        <f t="shared" si="247"/>
        <v>10872332.73</v>
      </c>
      <c r="GD39" s="266">
        <f t="shared" si="248"/>
        <v>7882441.2292499999</v>
      </c>
      <c r="GE39" s="138">
        <f t="shared" si="249"/>
        <v>0.65250000000000008</v>
      </c>
      <c r="GF39" s="267">
        <f t="shared" si="250"/>
        <v>46</v>
      </c>
      <c r="GG39" s="264">
        <f t="array" ref="GG39">IF(SUM(IF(IC$9:IC38=IC39,1,0))&gt;0,0,SUMIF($IC$10:$IC$406,IC39,$FJ$10:$FJ$406))</f>
        <v>0</v>
      </c>
      <c r="GH39" s="268">
        <f t="shared" si="251"/>
        <v>0</v>
      </c>
      <c r="GI39" s="137">
        <f t="shared" si="126"/>
        <v>30</v>
      </c>
      <c r="GJ39" s="269">
        <f t="shared" si="252"/>
        <v>0</v>
      </c>
      <c r="GK39" s="269">
        <f t="shared" si="253"/>
        <v>0</v>
      </c>
      <c r="GL39" s="163">
        <f t="shared" si="254"/>
        <v>0</v>
      </c>
      <c r="GM39" s="137">
        <f t="array" ref="GM39">IF(GJ39=0,0,LARGE(IF($GG$10:$GG$406=GJ39,$GF$10:$GF$406,0),COUNTIF($GJ$10:$GJ$406,GJ39)-COUNTIF(GJ$9:GJ38,GJ39)))</f>
        <v>0</v>
      </c>
      <c r="GN39" s="270">
        <f t="shared" si="255"/>
        <v>0</v>
      </c>
      <c r="GP39" s="137">
        <f>IF(C39="","",IF(ISERROR(MATCH(C39,C$10:C38,0)),MAX(GP$10:GP38)+1,INDEX(GP$10:GP38,MATCH(C39,C$10:C38,0))))</f>
        <v>25</v>
      </c>
      <c r="GQ39" s="264">
        <f>IF(COUNTIF($A$10:A39,A39)&lt;=1,SUMIF($A$10:$A$406,A39,$FH$10:$FH$406),0)</f>
        <v>11316885.93</v>
      </c>
      <c r="GR39" s="137">
        <f t="shared" si="130"/>
        <v>30</v>
      </c>
      <c r="GS39" s="269">
        <f t="shared" si="256"/>
        <v>9177000</v>
      </c>
      <c r="GT39" s="269">
        <f t="shared" si="257"/>
        <v>50964284.172430128</v>
      </c>
      <c r="GU39" s="163">
        <f t="shared" si="258"/>
        <v>0</v>
      </c>
      <c r="GV39" s="137">
        <f t="array" ref="GV39">IF(GS39=0,0,LARGE(IF($GQ$10:$GQ$406=GS39,$GP$10:$GP$406,0),COUNTIF($GS$10:$GS$406,GS39)-COUNTIF(GS$9:GS38,GS39)))</f>
        <v>54</v>
      </c>
      <c r="GW39" s="270">
        <f t="shared" si="259"/>
        <v>0</v>
      </c>
      <c r="GX39" s="270"/>
      <c r="GY39" s="137">
        <f>IF(C39="","",IF(ISERROR(MATCH(C39,C$10:C38,0)),MAX(GP$10:GP38)+1,INDEX(GP$10:GP38,MATCH(C39,C$10:C38,0))))</f>
        <v>25</v>
      </c>
      <c r="GZ39" s="264">
        <f>IF(COUNTIF($A$10:A39,A39)&lt;=1,SUMIF($A$10:$A$406,A39,$FH$10:$FH$406),0)</f>
        <v>11316885.93</v>
      </c>
      <c r="HA39" s="137">
        <f t="shared" si="134"/>
        <v>30</v>
      </c>
      <c r="HB39" s="269">
        <f t="shared" si="260"/>
        <v>9177000</v>
      </c>
      <c r="HC39" s="414" t="s">
        <v>622</v>
      </c>
      <c r="HD39" s="163">
        <f t="shared" si="261"/>
        <v>0</v>
      </c>
      <c r="HE39" s="137">
        <f t="array" ref="HE39">IF(HB39=0,0,LARGE(IF($GZ$10:$GZ$406=HB39,$GY$10:$GY$406,0),COUNTIF($HB$10:$HB$406,HB39)-COUNTIF(HB$9:HB38,HB39)))</f>
        <v>54</v>
      </c>
      <c r="HF39" s="270">
        <f t="shared" si="262"/>
        <v>0</v>
      </c>
      <c r="HG39"/>
      <c r="HH39" s="268">
        <f t="shared" si="263"/>
        <v>0</v>
      </c>
      <c r="HI39" s="271">
        <v>0</v>
      </c>
      <c r="HJ39" s="264">
        <f t="shared" si="264"/>
        <v>0</v>
      </c>
      <c r="HL39" s="137">
        <f t="shared" si="265"/>
        <v>30</v>
      </c>
      <c r="HM39" s="264">
        <f t="shared" si="300"/>
        <v>0</v>
      </c>
      <c r="HO39" s="199">
        <f t="shared" si="301"/>
        <v>10872332.73</v>
      </c>
      <c r="HP39" s="199">
        <f t="shared" si="302"/>
        <v>12080369.699999999</v>
      </c>
      <c r="HQ39" s="199" t="str">
        <f t="shared" si="303"/>
        <v/>
      </c>
      <c r="HR39" s="199" t="str">
        <f t="shared" si="304"/>
        <v/>
      </c>
      <c r="HS39" s="199" t="str">
        <f t="shared" si="119"/>
        <v/>
      </c>
      <c r="HT39" s="199">
        <f t="shared" si="305"/>
        <v>10872332.73</v>
      </c>
      <c r="HU39" s="199" t="str">
        <f t="shared" si="306"/>
        <v/>
      </c>
      <c r="HV39" s="200">
        <f t="shared" si="307"/>
        <v>0</v>
      </c>
      <c r="HW39" s="272" t="str">
        <f t="shared" si="308"/>
        <v/>
      </c>
      <c r="HX39" s="200">
        <f t="shared" si="309"/>
        <v>0</v>
      </c>
      <c r="HY39" s="200">
        <f t="shared" si="310"/>
        <v>10872332.73</v>
      </c>
      <c r="HZ39" s="200">
        <f t="shared" si="4"/>
        <v>0</v>
      </c>
      <c r="IA39" s="200">
        <f t="shared" si="311"/>
        <v>0</v>
      </c>
      <c r="IB39" s="200">
        <f t="shared" si="312"/>
        <v>0</v>
      </c>
      <c r="IC39" s="273">
        <f>IF(C39="","",INDEX(Lookups!$E$2:$E$69,MATCH('Loan List'!BE39,Lookups!$F$2:$F$69,0)))</f>
        <v>46</v>
      </c>
      <c r="ID39" t="b">
        <f t="shared" si="313"/>
        <v>1</v>
      </c>
      <c r="IF39" s="346">
        <f>IF(B39="","",IF(AND(Y39="Second Lien",OR(DA39=1,DB39=1,DC39=1)),50%,IF(DA39=1,90%,IF(DB39=1,80%,IF(DC39=1,65%,"No Initial Haircut")))))</f>
        <v>0.9</v>
      </c>
    </row>
    <row r="40" spans="1:240">
      <c r="A40" t="s">
        <v>595</v>
      </c>
      <c r="B40" s="242">
        <f t="shared" si="149"/>
        <v>31</v>
      </c>
      <c r="C40" s="242">
        <f>IF(COUNTIF($A$10:A39,A40)&gt;0,C39,C39+1)</f>
        <v>25</v>
      </c>
      <c r="D40" s="431" t="s">
        <v>732</v>
      </c>
      <c r="E40" s="428" t="s">
        <v>587</v>
      </c>
      <c r="F40" s="429"/>
      <c r="G40" s="430">
        <v>493948</v>
      </c>
      <c r="H40" s="430">
        <v>493948</v>
      </c>
      <c r="I40" s="244">
        <f>IF(B40="","",VLOOKUP(BF40,Inputs!$A$12:$J$15,10,FALSE))</f>
        <v>1</v>
      </c>
      <c r="J40" s="245">
        <f>IF(B40="","",G40*I40)</f>
        <v>493948</v>
      </c>
      <c r="K40" s="245">
        <f>IF(B40="","",H40*I40)</f>
        <v>493948</v>
      </c>
      <c r="L40" s="245">
        <f>IF(B40="","",IF(COUNTIF($CF40:$CY40,1)&gt;0,0,J40))</f>
        <v>493948</v>
      </c>
      <c r="M40" s="245">
        <f>IF(B40="","",IF(COUNTIF($CF40:$CY40,1)&gt;0,0,K40))</f>
        <v>493948</v>
      </c>
      <c r="N40" s="246" t="s">
        <v>246</v>
      </c>
      <c r="O40" s="246" t="s">
        <v>245</v>
      </c>
      <c r="P40" s="247">
        <f>IF(B40="","",IF(OR(O40="N/A",O40=""),0,YEARFRAC('Borrowing Base'!$J$4,'Loan List'!O40)*12))</f>
        <v>0</v>
      </c>
      <c r="Q40" s="246" t="s">
        <v>246</v>
      </c>
      <c r="R40" s="248">
        <v>0.98499999999999988</v>
      </c>
      <c r="S40" s="249" t="str">
        <f>IF(B40="","",IF(R40&lt;95%,"Yes","No"))</f>
        <v>No</v>
      </c>
      <c r="T40" s="248">
        <v>0.98999999975166331</v>
      </c>
      <c r="U40" s="250">
        <f>IF(B40="","",IF(OR(Y40="First Lien",Y40="Split First Lien",Y40="Tier 1 Split Lien",Y40="Tier 2 Split Lien"),50%,30%))</f>
        <v>0.5</v>
      </c>
      <c r="V40" s="250">
        <f t="shared" si="10"/>
        <v>0.72499999999999998</v>
      </c>
      <c r="W40" s="251">
        <f t="shared" si="11"/>
        <v>444553.2</v>
      </c>
      <c r="X40" s="246" t="s">
        <v>246</v>
      </c>
      <c r="Y40" s="252" t="s">
        <v>483</v>
      </c>
      <c r="Z40" s="252" t="s">
        <v>484</v>
      </c>
      <c r="AA40" s="253" t="s">
        <v>407</v>
      </c>
      <c r="AB40" s="253" t="s">
        <v>713</v>
      </c>
      <c r="AC40" s="254">
        <v>1.5550817420480625</v>
      </c>
      <c r="AD40" s="254">
        <v>1.7500845285892095</v>
      </c>
      <c r="AE40" s="254">
        <v>1.926589441810266</v>
      </c>
      <c r="AF40" s="255">
        <v>0.31176911340817465</v>
      </c>
      <c r="AG40" s="256">
        <v>4.8462082985944583</v>
      </c>
      <c r="AH40" s="256">
        <v>4.8462082985944583</v>
      </c>
      <c r="AI40" s="256">
        <v>4.8462082985944583</v>
      </c>
      <c r="AJ40" s="256">
        <v>4.8462082985944583</v>
      </c>
      <c r="AK40" s="257">
        <v>18516537.975890502</v>
      </c>
      <c r="AL40" s="257">
        <v>18516537.975890502</v>
      </c>
      <c r="AM40" s="258">
        <v>45808</v>
      </c>
      <c r="AN40" s="245" t="str">
        <f>IF(C40="","",(IF(AK40&gt;=50000000,"Tier 1",(IF(OR(AK40&gt;=20000000,AND(AK40&gt;5000000,AC40&gt;=1.25,AF40&lt;=0.65)),"Tier 2","Tier 3")))))</f>
        <v>Tier 2</v>
      </c>
      <c r="AO40" s="243">
        <v>47521</v>
      </c>
      <c r="AP40" s="259">
        <f>IF(C40="","",DAYS360(Inputs!$J$8,AO40)/360)</f>
        <v>4.4527777777777775</v>
      </c>
      <c r="AQ40" s="259">
        <f>IF(C40="","",AP40)</f>
        <v>4.4527777777777775</v>
      </c>
      <c r="AR40" s="246" t="s">
        <v>246</v>
      </c>
      <c r="AS40" s="248">
        <v>0</v>
      </c>
      <c r="AT40" s="246" t="s">
        <v>64</v>
      </c>
      <c r="AU40" s="248">
        <v>0.01</v>
      </c>
      <c r="AV40" s="248">
        <v>5.5E-2</v>
      </c>
      <c r="AW40" s="248">
        <v>4.3561999999999997E-2</v>
      </c>
      <c r="AX40" s="260">
        <f>IF(C40="","",MAX(AU40,AW40))</f>
        <v>4.3561999999999997E-2</v>
      </c>
      <c r="AY40" s="248">
        <v>0</v>
      </c>
      <c r="AZ40" s="248">
        <v>0</v>
      </c>
      <c r="BA40" s="248">
        <v>0</v>
      </c>
      <c r="BB40" s="407">
        <f>IF(B40="","",IF(AR40="No",AV40-AZ40,""))</f>
        <v>5.5E-2</v>
      </c>
      <c r="BC40" s="407" t="str">
        <f>IF(B40="","",IF(AR40="Yes",AS40-BA40,""))</f>
        <v/>
      </c>
      <c r="BD40" s="252" t="s">
        <v>249</v>
      </c>
      <c r="BE40" s="261" t="s">
        <v>437</v>
      </c>
      <c r="BF40" s="252" t="s">
        <v>7</v>
      </c>
      <c r="BG40" s="252" t="s">
        <v>460</v>
      </c>
      <c r="BH40" s="246" t="s">
        <v>246</v>
      </c>
      <c r="BI40" s="408" t="str">
        <f t="shared" si="17"/>
        <v>No</v>
      </c>
      <c r="BJ40" s="408" t="str">
        <f>IF(B40="","",IF(OR(AND(AZ40&gt;0,BB40&lt;2.5%),AND(BA40&gt;0,BC40&lt;6%)),"Yes","No"))</f>
        <v>No</v>
      </c>
      <c r="BK40" s="246" t="s">
        <v>246</v>
      </c>
      <c r="BL40" s="246" t="s">
        <v>246</v>
      </c>
      <c r="BM40" s="246" t="s">
        <v>64</v>
      </c>
      <c r="BN40" s="246" t="s">
        <v>64</v>
      </c>
      <c r="BO40" s="246" t="s">
        <v>246</v>
      </c>
      <c r="BP40" s="246" t="s">
        <v>246</v>
      </c>
      <c r="BQ40" s="246" t="s">
        <v>246</v>
      </c>
      <c r="BR40" s="246" t="s">
        <v>246</v>
      </c>
      <c r="BS40" s="246" t="s">
        <v>246</v>
      </c>
      <c r="BT40" s="246" t="s">
        <v>246</v>
      </c>
      <c r="BU40" s="246" t="s">
        <v>246</v>
      </c>
      <c r="BV40" s="246" t="s">
        <v>246</v>
      </c>
      <c r="BW40" s="246" t="s">
        <v>246</v>
      </c>
      <c r="BX40" s="246" t="s">
        <v>246</v>
      </c>
      <c r="BY40" s="246" t="s">
        <v>246</v>
      </c>
      <c r="BZ40" s="246" t="s">
        <v>246</v>
      </c>
      <c r="CA40" s="246" t="s">
        <v>246</v>
      </c>
      <c r="CB40" s="246" t="s">
        <v>64</v>
      </c>
      <c r="CC40" s="262">
        <f>IF(B40="","",IF(AT40="No",((BB40+AW40)-$AZ$4),((BB40+AX40)-$AZ$4))*IF(DE40&gt;0,0,M40))</f>
        <v>27334.884740799997</v>
      </c>
      <c r="CD40" s="262">
        <f>IF(B40="","",AY40*(L40-M40)*IF(DE40&gt;0,0,1))</f>
        <v>0</v>
      </c>
      <c r="CE40" s="263"/>
      <c r="CF40" s="263">
        <f t="shared" si="150"/>
        <v>0</v>
      </c>
      <c r="CG40" s="263">
        <f t="shared" si="151"/>
        <v>0</v>
      </c>
      <c r="CH40" s="263">
        <f t="shared" si="152"/>
        <v>0</v>
      </c>
      <c r="CI40" s="263">
        <f t="shared" si="153"/>
        <v>0</v>
      </c>
      <c r="CJ40" s="263">
        <f t="shared" si="154"/>
        <v>0</v>
      </c>
      <c r="CK40" s="263">
        <f t="shared" si="155"/>
        <v>0</v>
      </c>
      <c r="CL40" s="263">
        <f t="shared" si="156"/>
        <v>0</v>
      </c>
      <c r="CM40" s="263">
        <f t="shared" si="157"/>
        <v>0</v>
      </c>
      <c r="CN40" s="263">
        <f t="shared" si="158"/>
        <v>0</v>
      </c>
      <c r="CO40" s="263">
        <f t="shared" si="159"/>
        <v>0</v>
      </c>
      <c r="CP40" s="263">
        <f t="shared" si="160"/>
        <v>0</v>
      </c>
      <c r="CQ40" s="263">
        <f t="shared" si="161"/>
        <v>0</v>
      </c>
      <c r="CR40" s="263">
        <f t="shared" si="162"/>
        <v>0</v>
      </c>
      <c r="CS40" s="263">
        <f t="shared" si="163"/>
        <v>0</v>
      </c>
      <c r="CT40" s="263">
        <f t="shared" si="164"/>
        <v>0</v>
      </c>
      <c r="CU40" s="263">
        <f t="shared" si="165"/>
        <v>0</v>
      </c>
      <c r="CV40" s="263">
        <f t="shared" si="166"/>
        <v>0</v>
      </c>
      <c r="CW40" s="263">
        <f t="shared" si="167"/>
        <v>0</v>
      </c>
      <c r="CX40" s="263">
        <f t="shared" si="168"/>
        <v>0</v>
      </c>
      <c r="CY40" s="263">
        <f t="shared" si="169"/>
        <v>0</v>
      </c>
      <c r="CZ40" s="263">
        <f t="shared" si="170"/>
        <v>0</v>
      </c>
      <c r="DA40" s="263">
        <f t="shared" si="171"/>
        <v>1</v>
      </c>
      <c r="DB40" s="263">
        <f t="shared" si="172"/>
        <v>0</v>
      </c>
      <c r="DC40" s="263">
        <f t="shared" si="173"/>
        <v>0</v>
      </c>
      <c r="DD40" s="263">
        <f t="shared" si="174"/>
        <v>0</v>
      </c>
      <c r="DE40" s="263">
        <f t="shared" si="175"/>
        <v>0</v>
      </c>
      <c r="DF40" s="263">
        <f t="shared" si="176"/>
        <v>444553.2</v>
      </c>
      <c r="DG40" s="263">
        <f t="shared" si="177"/>
        <v>0</v>
      </c>
      <c r="DH40" s="263">
        <f t="shared" si="178"/>
        <v>444553.2</v>
      </c>
      <c r="DI40" s="263">
        <f t="shared" si="179"/>
        <v>493948</v>
      </c>
      <c r="DJ40" s="263">
        <f t="shared" si="180"/>
        <v>0</v>
      </c>
      <c r="DK40" s="263">
        <f t="shared" si="181"/>
        <v>0</v>
      </c>
      <c r="DL40" s="263">
        <f t="shared" si="182"/>
        <v>0</v>
      </c>
      <c r="DM40" s="263">
        <f t="shared" si="183"/>
        <v>0</v>
      </c>
      <c r="DO40" s="264">
        <f t="shared" si="184"/>
        <v>0</v>
      </c>
      <c r="DP40" s="265">
        <f t="shared" si="185"/>
        <v>0</v>
      </c>
      <c r="DQ40" s="264">
        <f t="shared" si="186"/>
        <v>444553.2</v>
      </c>
      <c r="DR40" s="264">
        <f t="shared" si="187"/>
        <v>0</v>
      </c>
      <c r="DS40" s="265">
        <f t="shared" si="188"/>
        <v>0</v>
      </c>
      <c r="DT40" s="264">
        <f t="shared" si="189"/>
        <v>444553.2</v>
      </c>
      <c r="DU40" s="264">
        <f t="shared" si="190"/>
        <v>0</v>
      </c>
      <c r="DV40" s="265">
        <f t="shared" si="191"/>
        <v>0</v>
      </c>
      <c r="DW40" s="264">
        <f t="shared" si="192"/>
        <v>444553.2</v>
      </c>
      <c r="DX40" s="264">
        <f t="shared" si="193"/>
        <v>0</v>
      </c>
      <c r="DY40" s="265">
        <f t="shared" si="194"/>
        <v>0</v>
      </c>
      <c r="DZ40" s="264">
        <f t="shared" si="195"/>
        <v>444553.2</v>
      </c>
      <c r="EA40" s="264">
        <f t="shared" si="196"/>
        <v>0</v>
      </c>
      <c r="EB40" s="265">
        <f t="shared" si="197"/>
        <v>0</v>
      </c>
      <c r="EC40" s="264">
        <f t="shared" si="198"/>
        <v>444553.2</v>
      </c>
      <c r="ED40" s="264">
        <f t="shared" si="199"/>
        <v>0</v>
      </c>
      <c r="EE40" s="265">
        <f t="shared" si="200"/>
        <v>0</v>
      </c>
      <c r="EF40" s="264">
        <f t="shared" si="201"/>
        <v>444553.2</v>
      </c>
      <c r="EG40" s="264">
        <f t="shared" si="202"/>
        <v>0</v>
      </c>
      <c r="EH40" s="265">
        <f t="shared" si="203"/>
        <v>0</v>
      </c>
      <c r="EI40" s="264">
        <f t="shared" si="204"/>
        <v>444553.2</v>
      </c>
      <c r="EJ40" s="264">
        <f t="shared" si="205"/>
        <v>0</v>
      </c>
      <c r="EK40" s="265">
        <f t="shared" si="206"/>
        <v>0</v>
      </c>
      <c r="EL40" s="264">
        <f t="shared" si="207"/>
        <v>444553.2</v>
      </c>
      <c r="EM40" s="264">
        <f t="shared" si="208"/>
        <v>0</v>
      </c>
      <c r="EN40" s="265">
        <f t="shared" si="209"/>
        <v>0</v>
      </c>
      <c r="EO40" s="264">
        <f t="shared" si="210"/>
        <v>444553.2</v>
      </c>
      <c r="EP40" s="264">
        <f t="shared" si="211"/>
        <v>0</v>
      </c>
      <c r="EQ40" s="265">
        <f t="shared" si="212"/>
        <v>0</v>
      </c>
      <c r="ER40" s="264">
        <f t="shared" si="213"/>
        <v>444553.2</v>
      </c>
      <c r="ES40" s="264">
        <f t="shared" si="214"/>
        <v>0</v>
      </c>
      <c r="ET40" s="265">
        <f t="shared" si="215"/>
        <v>0</v>
      </c>
      <c r="EU40" s="264">
        <f t="shared" si="216"/>
        <v>444553.2</v>
      </c>
      <c r="EV40" s="264">
        <f>IF(AND(BM40="Yes",OR(BN40="No",AND(BN40="Yes",Inputs!$J$8=Inputs!$J$17+75))),EU40,0)</f>
        <v>0</v>
      </c>
      <c r="EW40" s="265">
        <f t="shared" si="217"/>
        <v>0</v>
      </c>
      <c r="EX40" s="264">
        <f t="shared" si="218"/>
        <v>444553.2</v>
      </c>
      <c r="EY40" s="264">
        <f t="shared" si="219"/>
        <v>0</v>
      </c>
      <c r="EZ40" s="265">
        <f t="shared" si="220"/>
        <v>0</v>
      </c>
      <c r="FA40" s="264">
        <f t="shared" si="221"/>
        <v>444553.2</v>
      </c>
      <c r="FB40" s="264">
        <f t="shared" si="222"/>
        <v>0</v>
      </c>
      <c r="FC40" s="265">
        <f t="shared" si="223"/>
        <v>0</v>
      </c>
      <c r="FD40" s="264">
        <f t="shared" si="224"/>
        <v>444553.2</v>
      </c>
      <c r="FE40" s="264">
        <f t="shared" si="225"/>
        <v>0</v>
      </c>
      <c r="FF40" s="265">
        <f t="shared" si="226"/>
        <v>0</v>
      </c>
      <c r="FG40" s="264">
        <f t="shared" si="227"/>
        <v>444553.2</v>
      </c>
      <c r="FH40" s="264">
        <f t="shared" si="228"/>
        <v>444553.2</v>
      </c>
      <c r="FI40" s="264">
        <f t="shared" si="229"/>
        <v>0</v>
      </c>
      <c r="FJ40" s="264">
        <f t="shared" si="230"/>
        <v>444553.2</v>
      </c>
      <c r="FK40" s="264">
        <f t="shared" si="231"/>
        <v>444553.2</v>
      </c>
      <c r="FL40" s="264">
        <f t="shared" si="232"/>
        <v>0</v>
      </c>
      <c r="FM40" s="264">
        <f t="shared" si="233"/>
        <v>444553.2</v>
      </c>
      <c r="FN40" s="264">
        <f t="shared" si="234"/>
        <v>444553.2</v>
      </c>
      <c r="FO40" s="264">
        <f t="shared" si="235"/>
        <v>0</v>
      </c>
      <c r="FP40" s="264">
        <f t="shared" si="236"/>
        <v>444553.2</v>
      </c>
      <c r="FQ40" s="264">
        <f t="shared" si="237"/>
        <v>0</v>
      </c>
      <c r="FR40" s="265">
        <f t="shared" si="238"/>
        <v>0</v>
      </c>
      <c r="FS40" s="264">
        <f t="shared" si="239"/>
        <v>444553.2</v>
      </c>
      <c r="FT40" s="264">
        <f t="shared" si="240"/>
        <v>0</v>
      </c>
      <c r="FU40" s="265">
        <f t="shared" si="241"/>
        <v>0</v>
      </c>
      <c r="FV40" s="264">
        <f t="shared" si="242"/>
        <v>444553.2</v>
      </c>
      <c r="FW40" s="264">
        <f t="shared" si="243"/>
        <v>0</v>
      </c>
      <c r="FX40" s="264">
        <f t="shared" si="244"/>
        <v>0</v>
      </c>
      <c r="FY40" s="264">
        <f t="shared" si="245"/>
        <v>0</v>
      </c>
      <c r="FZ40" s="264">
        <f t="shared" si="246"/>
        <v>0</v>
      </c>
      <c r="GA40" s="265">
        <f t="shared" si="296"/>
        <v>0</v>
      </c>
      <c r="GB40" s="264">
        <f t="shared" si="297"/>
        <v>444553.2</v>
      </c>
      <c r="GC40" s="264">
        <f t="shared" si="247"/>
        <v>444553.2</v>
      </c>
      <c r="GD40" s="266">
        <f t="shared" si="248"/>
        <v>322301.07</v>
      </c>
      <c r="GE40" s="138">
        <f t="shared" si="249"/>
        <v>0.65249999999999997</v>
      </c>
      <c r="GF40" s="267">
        <f t="shared" si="250"/>
        <v>46</v>
      </c>
      <c r="GG40" s="264">
        <f t="array" ref="GG40">IF(SUM(IF(IC$9:IC39=IC40,1,0))&gt;0,0,SUMIF($IC$10:$IC$406,IC40,$FJ$10:$FJ$406))</f>
        <v>0</v>
      </c>
      <c r="GH40" s="268">
        <f t="shared" si="251"/>
        <v>0</v>
      </c>
      <c r="GI40" s="137">
        <f t="shared" si="126"/>
        <v>31</v>
      </c>
      <c r="GJ40" s="269">
        <f t="shared" si="252"/>
        <v>0</v>
      </c>
      <c r="GK40" s="269">
        <f t="shared" si="253"/>
        <v>0</v>
      </c>
      <c r="GL40" s="163">
        <f t="shared" si="254"/>
        <v>0</v>
      </c>
      <c r="GM40" s="137">
        <f t="array" ref="GM40">IF(GJ40=0,0,LARGE(IF($GG$10:$GG$406=GJ40,$GF$10:$GF$406,0),COUNTIF($GJ$10:$GJ$406,GJ40)-COUNTIF(GJ$9:GJ39,GJ40)))</f>
        <v>0</v>
      </c>
      <c r="GN40" s="270">
        <f t="shared" si="255"/>
        <v>0</v>
      </c>
      <c r="GP40" s="137">
        <f>IF(C40="","",IF(ISERROR(MATCH(C40,C$10:C39,0)),MAX(GP$10:GP39)+1,INDEX(GP$10:GP39,MATCH(C40,C$10:C39,0))))</f>
        <v>25</v>
      </c>
      <c r="GQ40" s="264">
        <f>IF(COUNTIF($A$10:A40,A40)&lt;=1,SUMIF($A$10:$A$406,A40,$FH$10:$FH$406),0)</f>
        <v>0</v>
      </c>
      <c r="GR40" s="137">
        <f t="shared" si="130"/>
        <v>31</v>
      </c>
      <c r="GS40" s="269">
        <f t="shared" si="256"/>
        <v>9164597.4299999997</v>
      </c>
      <c r="GT40" s="269">
        <f t="shared" si="257"/>
        <v>50964284.172430128</v>
      </c>
      <c r="GU40" s="163">
        <f t="shared" si="258"/>
        <v>0</v>
      </c>
      <c r="GV40" s="137">
        <f t="array" ref="GV40">IF(GS40=0,0,LARGE(IF($GQ$10:$GQ$406=GS40,$GP$10:$GP$406,0),COUNTIF($GS$10:$GS$406,GS40)-COUNTIF(GS$9:GS39,GS40)))</f>
        <v>84</v>
      </c>
      <c r="GW40" s="270">
        <f t="shared" si="259"/>
        <v>0</v>
      </c>
      <c r="GX40" s="270"/>
      <c r="GY40" s="137">
        <f>IF(C40="","",IF(ISERROR(MATCH(C40,C$10:C39,0)),MAX(GP$10:GP39)+1,INDEX(GP$10:GP39,MATCH(C40,C$10:C39,0))))</f>
        <v>25</v>
      </c>
      <c r="GZ40" s="264">
        <f>IF(COUNTIF($A$10:A40,A40)&lt;=1,SUMIF($A$10:$A$406,A40,$FH$10:$FH$406),0)</f>
        <v>0</v>
      </c>
      <c r="HA40" s="137">
        <f t="shared" si="134"/>
        <v>31</v>
      </c>
      <c r="HB40" s="269">
        <f t="shared" si="260"/>
        <v>9164597.4299999997</v>
      </c>
      <c r="HC40" s="414" t="s">
        <v>622</v>
      </c>
      <c r="HD40" s="163">
        <f t="shared" si="261"/>
        <v>0</v>
      </c>
      <c r="HE40" s="137">
        <f t="array" ref="HE40">IF(HB40=0,0,LARGE(IF($GZ$10:$GZ$406=HB40,$GY$10:$GY$406,0),COUNTIF($HB$10:$HB$406,HB40)-COUNTIF(HB$9:HB39,HB40)))</f>
        <v>84</v>
      </c>
      <c r="HF40" s="270">
        <f t="shared" si="262"/>
        <v>0</v>
      </c>
      <c r="HG40"/>
      <c r="HH40" s="268">
        <f t="shared" si="263"/>
        <v>0</v>
      </c>
      <c r="HI40" s="271">
        <v>0</v>
      </c>
      <c r="HJ40" s="264">
        <f t="shared" si="264"/>
        <v>0</v>
      </c>
      <c r="HL40" s="137">
        <f t="shared" si="265"/>
        <v>31</v>
      </c>
      <c r="HM40" s="264">
        <f t="shared" si="300"/>
        <v>25000000</v>
      </c>
      <c r="HO40" s="199">
        <f t="shared" si="301"/>
        <v>444553.2</v>
      </c>
      <c r="HP40" s="199">
        <f t="shared" si="302"/>
        <v>493948</v>
      </c>
      <c r="HQ40" s="199" t="str">
        <f t="shared" si="303"/>
        <v/>
      </c>
      <c r="HR40" s="199" t="str">
        <f t="shared" si="304"/>
        <v/>
      </c>
      <c r="HS40" s="199" t="str">
        <f t="shared" si="119"/>
        <v/>
      </c>
      <c r="HT40" s="199">
        <f t="shared" si="305"/>
        <v>444553.2</v>
      </c>
      <c r="HU40" s="199" t="str">
        <f t="shared" si="306"/>
        <v/>
      </c>
      <c r="HV40" s="200">
        <f t="shared" si="307"/>
        <v>0</v>
      </c>
      <c r="HW40" s="272" t="str">
        <f t="shared" si="308"/>
        <v/>
      </c>
      <c r="HX40" s="200">
        <f t="shared" si="309"/>
        <v>0</v>
      </c>
      <c r="HY40" s="200">
        <f t="shared" si="310"/>
        <v>444553.2</v>
      </c>
      <c r="HZ40" s="200">
        <f t="shared" si="4"/>
        <v>0</v>
      </c>
      <c r="IA40" s="200">
        <f t="shared" si="311"/>
        <v>0</v>
      </c>
      <c r="IB40" s="200">
        <f t="shared" si="312"/>
        <v>0</v>
      </c>
      <c r="IC40" s="273">
        <f>IF(C40="","",INDEX(Lookups!$E$2:$E$69,MATCH('Loan List'!BE40,Lookups!$F$2:$F$69,0)))</f>
        <v>46</v>
      </c>
      <c r="ID40" t="b">
        <f t="shared" si="313"/>
        <v>1</v>
      </c>
      <c r="IF40" s="346">
        <f>IF(B40="","",IF(AND(Y40="Second Lien",OR(DA40=1,DB40=1,DC40=1)),50%,IF(DA40=1,90%,IF(DB40=1,80%,IF(DC40=1,65%,"No Initial Haircut")))))</f>
        <v>0.9</v>
      </c>
    </row>
    <row r="41" spans="1:240">
      <c r="A41" t="s">
        <v>698</v>
      </c>
      <c r="B41" s="242">
        <f t="shared" si="149"/>
        <v>32</v>
      </c>
      <c r="C41" s="242">
        <f>IF(COUNTIF($A$10:A40,A41)&gt;0,C40,C40+1)</f>
        <v>26</v>
      </c>
      <c r="D41" s="428" t="s">
        <v>698</v>
      </c>
      <c r="E41" s="428" t="s">
        <v>699</v>
      </c>
      <c r="F41" s="429"/>
      <c r="G41" s="430">
        <v>10933366.67</v>
      </c>
      <c r="H41" s="430">
        <v>10933366.67</v>
      </c>
      <c r="I41" s="244">
        <f>IF(B41="","",VLOOKUP(BF41,Inputs!$A$12:$J$15,10,FALSE))</f>
        <v>1</v>
      </c>
      <c r="J41" s="245">
        <f t="shared" si="5"/>
        <v>10933366.67</v>
      </c>
      <c r="K41" s="245">
        <f t="shared" si="6"/>
        <v>10933366.67</v>
      </c>
      <c r="L41" s="245">
        <f t="shared" si="7"/>
        <v>10933366.67</v>
      </c>
      <c r="M41" s="245">
        <f t="shared" si="8"/>
        <v>10933366.67</v>
      </c>
      <c r="N41" s="246" t="s">
        <v>246</v>
      </c>
      <c r="O41" s="246" t="s">
        <v>245</v>
      </c>
      <c r="P41" s="247">
        <f>IF(B41="","",IF(OR(O41="N/A",O41=""),0,YEARFRAC('Borrowing Base'!$J$4,'Loan List'!O41)*12))</f>
        <v>0</v>
      </c>
      <c r="Q41" s="246" t="s">
        <v>246</v>
      </c>
      <c r="R41" s="248">
        <v>0.99499999999999988</v>
      </c>
      <c r="S41" s="249" t="str">
        <f t="shared" si="1"/>
        <v>No</v>
      </c>
      <c r="T41" s="248">
        <v>0.99500000030640157</v>
      </c>
      <c r="U41" s="250">
        <f t="shared" si="9"/>
        <v>0.5</v>
      </c>
      <c r="V41" s="250">
        <f t="shared" si="10"/>
        <v>0.72499999999999998</v>
      </c>
      <c r="W41" s="251">
        <f t="shared" si="11"/>
        <v>9840030.0030000005</v>
      </c>
      <c r="X41" s="246" t="s">
        <v>246</v>
      </c>
      <c r="Y41" s="252" t="s">
        <v>483</v>
      </c>
      <c r="Z41" s="252" t="s">
        <v>484</v>
      </c>
      <c r="AA41" s="253" t="s">
        <v>407</v>
      </c>
      <c r="AB41" s="253" t="s">
        <v>713</v>
      </c>
      <c r="AC41" s="254">
        <v>1.7725326968220465</v>
      </c>
      <c r="AD41" s="254">
        <v>1.7725326968220465</v>
      </c>
      <c r="AE41" s="254">
        <v>2.1119208631519051</v>
      </c>
      <c r="AF41" s="255">
        <v>0.43034178949891672</v>
      </c>
      <c r="AG41" s="256">
        <v>4.9299999999999988</v>
      </c>
      <c r="AH41" s="256">
        <v>4.9299999999999988</v>
      </c>
      <c r="AI41" s="256">
        <v>4.9299999999999988</v>
      </c>
      <c r="AJ41" s="256">
        <v>4.9299999999999988</v>
      </c>
      <c r="AK41" s="257">
        <v>38600000</v>
      </c>
      <c r="AL41" s="257">
        <v>38600000</v>
      </c>
      <c r="AM41" s="258">
        <v>45657</v>
      </c>
      <c r="AN41" s="245" t="str">
        <f t="shared" si="12"/>
        <v>Tier 2</v>
      </c>
      <c r="AO41" s="243">
        <v>48347</v>
      </c>
      <c r="AP41" s="259">
        <f>IF(C41="","",DAYS360(Inputs!$J$8,AO41)/360)</f>
        <v>6.7194444444444441</v>
      </c>
      <c r="AQ41" s="259">
        <f t="shared" si="13"/>
        <v>6.7194444444444441</v>
      </c>
      <c r="AR41" s="246" t="s">
        <v>246</v>
      </c>
      <c r="AS41" s="248">
        <v>0</v>
      </c>
      <c r="AT41" s="246" t="s">
        <v>64</v>
      </c>
      <c r="AU41" s="248">
        <v>0.01</v>
      </c>
      <c r="AV41" s="248">
        <v>4.7500000000000001E-2</v>
      </c>
      <c r="AW41" s="248">
        <v>4.2956099999999997E-2</v>
      </c>
      <c r="AX41" s="260">
        <f t="shared" si="14"/>
        <v>4.2956099999999997E-2</v>
      </c>
      <c r="AY41" s="248">
        <v>0</v>
      </c>
      <c r="AZ41" s="248">
        <v>0</v>
      </c>
      <c r="BA41" s="248">
        <v>0</v>
      </c>
      <c r="BB41" s="407">
        <f t="shared" si="15"/>
        <v>4.7500000000000001E-2</v>
      </c>
      <c r="BC41" s="407" t="str">
        <f t="shared" si="16"/>
        <v/>
      </c>
      <c r="BD41" s="252" t="s">
        <v>249</v>
      </c>
      <c r="BE41" s="261" t="s">
        <v>380</v>
      </c>
      <c r="BF41" s="252" t="s">
        <v>7</v>
      </c>
      <c r="BG41" s="252" t="s">
        <v>460</v>
      </c>
      <c r="BH41" s="246" t="s">
        <v>246</v>
      </c>
      <c r="BI41" s="408" t="str">
        <f t="shared" si="17"/>
        <v>No</v>
      </c>
      <c r="BJ41" s="408" t="str">
        <f t="shared" si="18"/>
        <v>No</v>
      </c>
      <c r="BK41" s="246" t="s">
        <v>246</v>
      </c>
      <c r="BL41" s="246" t="s">
        <v>246</v>
      </c>
      <c r="BM41" s="246" t="s">
        <v>246</v>
      </c>
      <c r="BN41" s="246" t="s">
        <v>246</v>
      </c>
      <c r="BO41" s="246" t="s">
        <v>246</v>
      </c>
      <c r="BP41" s="246" t="s">
        <v>246</v>
      </c>
      <c r="BQ41" s="246" t="s">
        <v>246</v>
      </c>
      <c r="BR41" s="246" t="s">
        <v>246</v>
      </c>
      <c r="BS41" s="246" t="s">
        <v>246</v>
      </c>
      <c r="BT41" s="246" t="s">
        <v>246</v>
      </c>
      <c r="BU41" s="246" t="s">
        <v>246</v>
      </c>
      <c r="BV41" s="246" t="s">
        <v>246</v>
      </c>
      <c r="BW41" s="246" t="s">
        <v>246</v>
      </c>
      <c r="BX41" s="246" t="s">
        <v>246</v>
      </c>
      <c r="BY41" s="246" t="s">
        <v>246</v>
      </c>
      <c r="BZ41" s="246" t="s">
        <v>246</v>
      </c>
      <c r="CA41" s="246" t="s">
        <v>246</v>
      </c>
      <c r="CB41" s="246" t="s">
        <v>64</v>
      </c>
      <c r="CC41" s="262">
        <f t="shared" si="19"/>
        <v>516423.36128077895</v>
      </c>
      <c r="CD41" s="262">
        <f t="shared" si="20"/>
        <v>0</v>
      </c>
      <c r="CE41" s="263"/>
      <c r="CF41" s="263">
        <f t="shared" si="150"/>
        <v>0</v>
      </c>
      <c r="CG41" s="263">
        <f t="shared" si="151"/>
        <v>0</v>
      </c>
      <c r="CH41" s="263">
        <f t="shared" si="152"/>
        <v>0</v>
      </c>
      <c r="CI41" s="263">
        <f t="shared" si="153"/>
        <v>0</v>
      </c>
      <c r="CJ41" s="263">
        <f t="shared" si="154"/>
        <v>0</v>
      </c>
      <c r="CK41" s="263">
        <f t="shared" si="155"/>
        <v>0</v>
      </c>
      <c r="CL41" s="263">
        <f t="shared" si="156"/>
        <v>0</v>
      </c>
      <c r="CM41" s="263">
        <f t="shared" si="157"/>
        <v>0</v>
      </c>
      <c r="CN41" s="263">
        <f t="shared" si="158"/>
        <v>0</v>
      </c>
      <c r="CO41" s="263">
        <f t="shared" si="159"/>
        <v>0</v>
      </c>
      <c r="CP41" s="263">
        <f t="shared" si="160"/>
        <v>0</v>
      </c>
      <c r="CQ41" s="263">
        <f t="shared" si="161"/>
        <v>0</v>
      </c>
      <c r="CR41" s="263">
        <f t="shared" si="162"/>
        <v>0</v>
      </c>
      <c r="CS41" s="263">
        <f t="shared" si="163"/>
        <v>0</v>
      </c>
      <c r="CT41" s="263">
        <f t="shared" si="164"/>
        <v>0</v>
      </c>
      <c r="CU41" s="263">
        <f t="shared" si="165"/>
        <v>0</v>
      </c>
      <c r="CV41" s="263">
        <f t="shared" si="166"/>
        <v>0</v>
      </c>
      <c r="CW41" s="263">
        <f t="shared" si="167"/>
        <v>0</v>
      </c>
      <c r="CX41" s="263">
        <f t="shared" si="168"/>
        <v>0</v>
      </c>
      <c r="CY41" s="263">
        <f t="shared" si="169"/>
        <v>0</v>
      </c>
      <c r="CZ41" s="263">
        <f t="shared" si="170"/>
        <v>0</v>
      </c>
      <c r="DA41" s="263">
        <f t="shared" si="171"/>
        <v>1</v>
      </c>
      <c r="DB41" s="263">
        <f t="shared" si="172"/>
        <v>0</v>
      </c>
      <c r="DC41" s="263">
        <f t="shared" si="173"/>
        <v>0</v>
      </c>
      <c r="DD41" s="263">
        <f t="shared" si="174"/>
        <v>0</v>
      </c>
      <c r="DE41" s="263">
        <f t="shared" si="175"/>
        <v>0</v>
      </c>
      <c r="DF41" s="263">
        <f t="shared" si="176"/>
        <v>9840030.0030000005</v>
      </c>
      <c r="DG41" s="263">
        <f t="shared" si="177"/>
        <v>0</v>
      </c>
      <c r="DH41" s="263">
        <f t="shared" si="178"/>
        <v>9840030.0030000005</v>
      </c>
      <c r="DI41" s="263">
        <f t="shared" si="179"/>
        <v>10933366.67</v>
      </c>
      <c r="DJ41" s="263">
        <f t="shared" si="180"/>
        <v>0</v>
      </c>
      <c r="DK41" s="263">
        <f t="shared" si="181"/>
        <v>0</v>
      </c>
      <c r="DL41" s="263">
        <f t="shared" si="182"/>
        <v>0</v>
      </c>
      <c r="DM41" s="263">
        <f t="shared" si="183"/>
        <v>0</v>
      </c>
      <c r="DO41" s="264">
        <f t="shared" si="184"/>
        <v>0</v>
      </c>
      <c r="DP41" s="265">
        <f t="shared" si="185"/>
        <v>0</v>
      </c>
      <c r="DQ41" s="264">
        <f t="shared" si="186"/>
        <v>9840030.0030000005</v>
      </c>
      <c r="DR41" s="264">
        <f t="shared" si="187"/>
        <v>0</v>
      </c>
      <c r="DS41" s="265">
        <f t="shared" si="188"/>
        <v>0</v>
      </c>
      <c r="DT41" s="264">
        <f t="shared" si="189"/>
        <v>9840030.0030000005</v>
      </c>
      <c r="DU41" s="264">
        <f t="shared" si="190"/>
        <v>0</v>
      </c>
      <c r="DV41" s="265">
        <f t="shared" si="191"/>
        <v>0</v>
      </c>
      <c r="DW41" s="264">
        <f t="shared" si="192"/>
        <v>9840030.0030000005</v>
      </c>
      <c r="DX41" s="264">
        <f t="shared" si="193"/>
        <v>0</v>
      </c>
      <c r="DY41" s="265">
        <f t="shared" si="194"/>
        <v>0</v>
      </c>
      <c r="DZ41" s="264">
        <f t="shared" si="195"/>
        <v>9840030.0030000005</v>
      </c>
      <c r="EA41" s="264">
        <f t="shared" si="196"/>
        <v>0</v>
      </c>
      <c r="EB41" s="265">
        <f t="shared" si="197"/>
        <v>0</v>
      </c>
      <c r="EC41" s="264">
        <f t="shared" si="198"/>
        <v>9840030.0030000005</v>
      </c>
      <c r="ED41" s="264">
        <f t="shared" si="199"/>
        <v>0</v>
      </c>
      <c r="EE41" s="265">
        <f t="shared" si="200"/>
        <v>0</v>
      </c>
      <c r="EF41" s="264">
        <f t="shared" si="201"/>
        <v>9840030.0030000005</v>
      </c>
      <c r="EG41" s="264">
        <f t="shared" si="202"/>
        <v>0</v>
      </c>
      <c r="EH41" s="265">
        <f t="shared" si="203"/>
        <v>0</v>
      </c>
      <c r="EI41" s="264">
        <f t="shared" si="204"/>
        <v>9840030.0030000005</v>
      </c>
      <c r="EJ41" s="264">
        <f t="shared" si="205"/>
        <v>0</v>
      </c>
      <c r="EK41" s="265">
        <f t="shared" si="206"/>
        <v>0</v>
      </c>
      <c r="EL41" s="264">
        <f t="shared" si="207"/>
        <v>9840030.0030000005</v>
      </c>
      <c r="EM41" s="264">
        <f t="shared" si="208"/>
        <v>0</v>
      </c>
      <c r="EN41" s="265">
        <f t="shared" si="209"/>
        <v>0</v>
      </c>
      <c r="EO41" s="264">
        <f t="shared" si="210"/>
        <v>9840030.0030000005</v>
      </c>
      <c r="EP41" s="264">
        <f t="shared" si="211"/>
        <v>0</v>
      </c>
      <c r="EQ41" s="265">
        <f t="shared" si="212"/>
        <v>0</v>
      </c>
      <c r="ER41" s="264">
        <f t="shared" si="213"/>
        <v>9840030.0030000005</v>
      </c>
      <c r="ES41" s="264">
        <f t="shared" si="214"/>
        <v>0</v>
      </c>
      <c r="ET41" s="265">
        <f t="shared" si="215"/>
        <v>0</v>
      </c>
      <c r="EU41" s="264">
        <f t="shared" si="216"/>
        <v>9840030.0030000005</v>
      </c>
      <c r="EV41" s="264">
        <f>IF(AND(BM41="Yes",OR(BN41="No",AND(BN41="Yes",Inputs!$J$8=Inputs!$J$17+75))),EU41,0)</f>
        <v>0</v>
      </c>
      <c r="EW41" s="265">
        <f t="shared" si="217"/>
        <v>0</v>
      </c>
      <c r="EX41" s="264">
        <f t="shared" si="218"/>
        <v>9840030.0030000005</v>
      </c>
      <c r="EY41" s="264">
        <f t="shared" si="219"/>
        <v>0</v>
      </c>
      <c r="EZ41" s="265">
        <f t="shared" si="220"/>
        <v>0</v>
      </c>
      <c r="FA41" s="264">
        <f t="shared" si="221"/>
        <v>9840030.0030000005</v>
      </c>
      <c r="FB41" s="264">
        <f t="shared" si="222"/>
        <v>0</v>
      </c>
      <c r="FC41" s="265">
        <f t="shared" si="223"/>
        <v>0</v>
      </c>
      <c r="FD41" s="264">
        <f t="shared" si="224"/>
        <v>9840030.0030000005</v>
      </c>
      <c r="FE41" s="264">
        <f t="shared" si="225"/>
        <v>0</v>
      </c>
      <c r="FF41" s="265">
        <f t="shared" si="226"/>
        <v>0</v>
      </c>
      <c r="FG41" s="264">
        <f t="shared" si="227"/>
        <v>9840030.0030000005</v>
      </c>
      <c r="FH41" s="264">
        <f t="shared" si="228"/>
        <v>9840030.0030000005</v>
      </c>
      <c r="FI41" s="264">
        <f t="shared" si="229"/>
        <v>0</v>
      </c>
      <c r="FJ41" s="264">
        <f t="shared" si="230"/>
        <v>9840030.0030000005</v>
      </c>
      <c r="FK41" s="264">
        <f t="shared" si="231"/>
        <v>9840030.0030000005</v>
      </c>
      <c r="FL41" s="264">
        <f t="shared" si="232"/>
        <v>0</v>
      </c>
      <c r="FM41" s="264">
        <f t="shared" si="233"/>
        <v>9840030.0030000005</v>
      </c>
      <c r="FN41" s="264">
        <f t="shared" si="234"/>
        <v>9840030.0030000005</v>
      </c>
      <c r="FO41" s="264">
        <f t="shared" si="235"/>
        <v>0</v>
      </c>
      <c r="FP41" s="264">
        <f t="shared" si="236"/>
        <v>9840030.0030000005</v>
      </c>
      <c r="FQ41" s="264">
        <f t="shared" si="237"/>
        <v>0</v>
      </c>
      <c r="FR41" s="265">
        <f t="shared" si="238"/>
        <v>0</v>
      </c>
      <c r="FS41" s="264">
        <f t="shared" si="239"/>
        <v>9840030.0030000005</v>
      </c>
      <c r="FT41" s="264">
        <f t="shared" si="240"/>
        <v>0</v>
      </c>
      <c r="FU41" s="265">
        <f t="shared" si="241"/>
        <v>0</v>
      </c>
      <c r="FV41" s="264">
        <f t="shared" si="242"/>
        <v>9840030.0030000005</v>
      </c>
      <c r="FW41" s="264">
        <f t="shared" si="243"/>
        <v>0</v>
      </c>
      <c r="FX41" s="264">
        <f t="shared" si="244"/>
        <v>0</v>
      </c>
      <c r="FY41" s="264">
        <f t="shared" si="245"/>
        <v>0</v>
      </c>
      <c r="FZ41" s="264">
        <f t="shared" si="246"/>
        <v>0</v>
      </c>
      <c r="GA41" s="265">
        <f t="shared" si="296"/>
        <v>0</v>
      </c>
      <c r="GB41" s="264">
        <f t="shared" si="297"/>
        <v>9840030.0030000005</v>
      </c>
      <c r="GC41" s="264">
        <f t="shared" si="247"/>
        <v>9840030.0030000005</v>
      </c>
      <c r="GD41" s="266">
        <f t="shared" si="248"/>
        <v>7134021.7521750005</v>
      </c>
      <c r="GE41" s="138">
        <f t="shared" si="249"/>
        <v>0.65250000000000008</v>
      </c>
      <c r="GF41" s="267">
        <f t="shared" si="250"/>
        <v>20</v>
      </c>
      <c r="GG41" s="264">
        <f t="array" ref="GG41">IF(SUM(IF(IC$9:IC40=IC41,1,0))&gt;0,0,SUMIF($IC$10:$IC$406,IC41,$FJ$10:$FJ$406))</f>
        <v>0</v>
      </c>
      <c r="GH41" s="268">
        <f t="shared" si="251"/>
        <v>0</v>
      </c>
      <c r="GI41" s="137">
        <f t="shared" si="126"/>
        <v>32</v>
      </c>
      <c r="GJ41" s="269">
        <f t="shared" si="252"/>
        <v>0</v>
      </c>
      <c r="GK41" s="269">
        <f t="shared" si="253"/>
        <v>0</v>
      </c>
      <c r="GL41" s="163">
        <f t="shared" si="254"/>
        <v>0</v>
      </c>
      <c r="GM41" s="137">
        <f t="array" ref="GM41">IF(GJ41=0,0,LARGE(IF($GG$10:$GG$406=GJ41,$GF$10:$GF$406,0),COUNTIF($GJ$10:$GJ$406,GJ41)-COUNTIF(GJ$9:GJ40,GJ41)))</f>
        <v>0</v>
      </c>
      <c r="GN41" s="270">
        <f t="shared" si="255"/>
        <v>0</v>
      </c>
      <c r="GP41" s="137">
        <f>IF(C41="","",IF(ISERROR(MATCH(C41,C$10:C40,0)),MAX(GP$10:GP40)+1,INDEX(GP$10:GP40,MATCH(C41,C$10:C40,0))))</f>
        <v>26</v>
      </c>
      <c r="GQ41" s="264">
        <f>IF(COUNTIF($A$10:A41,A41)&lt;=1,SUMIF($A$10:$A$406,A41,$FH$10:$FH$406),0)</f>
        <v>9840030.0030000005</v>
      </c>
      <c r="GR41" s="137">
        <f t="shared" si="130"/>
        <v>32</v>
      </c>
      <c r="GS41" s="269">
        <f t="shared" si="256"/>
        <v>8574420.2080000006</v>
      </c>
      <c r="GT41" s="269">
        <f t="shared" si="257"/>
        <v>50964284.172430128</v>
      </c>
      <c r="GU41" s="163">
        <f t="shared" si="258"/>
        <v>0</v>
      </c>
      <c r="GV41" s="137">
        <f t="array" ref="GV41">IF(GS41=0,0,LARGE(IF($GQ$10:$GQ$406=GS41,$GP$10:$GP$406,0),COUNTIF($GS$10:$GS$406,GS41)-COUNTIF(GS$9:GS40,GS41)))</f>
        <v>23</v>
      </c>
      <c r="GW41" s="270">
        <f t="shared" si="259"/>
        <v>0</v>
      </c>
      <c r="GX41" s="270"/>
      <c r="GY41" s="137">
        <f>IF(C41="","",IF(ISERROR(MATCH(C41,C$10:C40,0)),MAX(GP$10:GP40)+1,INDEX(GP$10:GP40,MATCH(C41,C$10:C40,0))))</f>
        <v>26</v>
      </c>
      <c r="GZ41" s="264">
        <f>IF(COUNTIF($A$10:A41,A41)&lt;=1,SUMIF($A$10:$A$406,A41,$FH$10:$FH$406),0)</f>
        <v>9840030.0030000005</v>
      </c>
      <c r="HA41" s="137">
        <f t="shared" si="134"/>
        <v>32</v>
      </c>
      <c r="HB41" s="269">
        <f t="shared" si="260"/>
        <v>8574420.2080000006</v>
      </c>
      <c r="HC41" s="414" t="s">
        <v>622</v>
      </c>
      <c r="HD41" s="163">
        <f t="shared" si="261"/>
        <v>0</v>
      </c>
      <c r="HE41" s="137">
        <f t="array" ref="HE41">IF(HB41=0,0,LARGE(IF($GZ$10:$GZ$406=HB41,$GY$10:$GY$406,0),COUNTIF($HB$10:$HB$406,HB41)-COUNTIF(HB$9:HB40,HB41)))</f>
        <v>23</v>
      </c>
      <c r="HF41" s="270">
        <f t="shared" si="262"/>
        <v>0</v>
      </c>
      <c r="HG41"/>
      <c r="HH41" s="268">
        <f t="shared" si="263"/>
        <v>0</v>
      </c>
      <c r="HI41" s="271">
        <v>0</v>
      </c>
      <c r="HJ41" s="264">
        <f t="shared" si="264"/>
        <v>0</v>
      </c>
      <c r="HL41" s="137">
        <f t="shared" si="265"/>
        <v>32</v>
      </c>
      <c r="HM41" s="264">
        <f t="shared" si="300"/>
        <v>20000000</v>
      </c>
      <c r="HO41" s="199">
        <f t="shared" si="301"/>
        <v>9840030.0030000005</v>
      </c>
      <c r="HP41" s="199">
        <f t="shared" si="302"/>
        <v>10933366.67</v>
      </c>
      <c r="HQ41" s="199" t="str">
        <f t="shared" si="303"/>
        <v/>
      </c>
      <c r="HR41" s="199" t="str">
        <f t="shared" si="304"/>
        <v/>
      </c>
      <c r="HS41" s="199" t="str">
        <f t="shared" si="119"/>
        <v/>
      </c>
      <c r="HT41" s="199">
        <f t="shared" si="305"/>
        <v>9840030.0030000005</v>
      </c>
      <c r="HU41" s="199" t="str">
        <f t="shared" si="306"/>
        <v/>
      </c>
      <c r="HV41" s="200">
        <f t="shared" si="307"/>
        <v>0</v>
      </c>
      <c r="HW41" s="272" t="str">
        <f t="shared" si="308"/>
        <v/>
      </c>
      <c r="HX41" s="200">
        <f t="shared" si="309"/>
        <v>0</v>
      </c>
      <c r="HY41" s="200">
        <f t="shared" si="310"/>
        <v>9840030.0030000005</v>
      </c>
      <c r="HZ41" s="200">
        <f t="shared" si="4"/>
        <v>0</v>
      </c>
      <c r="IA41" s="200">
        <f t="shared" si="311"/>
        <v>0</v>
      </c>
      <c r="IB41" s="200">
        <f t="shared" si="312"/>
        <v>0</v>
      </c>
      <c r="IC41" s="273">
        <f>IF(C41="","",INDEX(Lookups!$E$2:$E$69,MATCH('Loan List'!BE41,Lookups!$F$2:$F$69,0)))</f>
        <v>20</v>
      </c>
      <c r="ID41" t="b">
        <f t="shared" si="313"/>
        <v>1</v>
      </c>
      <c r="IF41" s="346">
        <f t="shared" si="121"/>
        <v>0.9</v>
      </c>
    </row>
    <row r="42" spans="1:240">
      <c r="A42" t="s">
        <v>733</v>
      </c>
      <c r="B42" s="242">
        <f t="shared" si="149"/>
        <v>33</v>
      </c>
      <c r="C42" s="242">
        <f>IF(COUNTIF($A$10:A41,A42)&gt;0,C41,C41+1)</f>
        <v>27</v>
      </c>
      <c r="D42" s="431" t="s">
        <v>733</v>
      </c>
      <c r="E42" s="428" t="s">
        <v>812</v>
      </c>
      <c r="F42" s="429"/>
      <c r="G42" s="430">
        <v>4821087</v>
      </c>
      <c r="H42" s="430">
        <v>4821087</v>
      </c>
      <c r="I42" s="244">
        <f>IF(B42="","",VLOOKUP(BF42,Inputs!$A$12:$J$15,10,FALSE))</f>
        <v>1</v>
      </c>
      <c r="J42" s="245">
        <f>IF(B42="","",G42*I42)</f>
        <v>4821087</v>
      </c>
      <c r="K42" s="245">
        <f>IF(B42="","",H42*I42)</f>
        <v>4821087</v>
      </c>
      <c r="L42" s="245">
        <f>IF(B42="","",IF(COUNTIF($CF42:$CY42,1)&gt;0,0,J42))</f>
        <v>4821087</v>
      </c>
      <c r="M42" s="245">
        <f>IF(B42="","",IF(COUNTIF($CF42:$CY42,1)&gt;0,0,K42))</f>
        <v>4821087</v>
      </c>
      <c r="N42" s="246" t="s">
        <v>246</v>
      </c>
      <c r="O42" s="246" t="s">
        <v>245</v>
      </c>
      <c r="P42" s="247">
        <f>IF(B42="","",IF(OR(O42="N/A",O42=""),0,YEARFRAC('Borrowing Base'!$J$4,'Loan List'!O42)*12))</f>
        <v>0</v>
      </c>
      <c r="Q42" s="246" t="s">
        <v>246</v>
      </c>
      <c r="R42" s="248">
        <v>0.91769999999999996</v>
      </c>
      <c r="S42" s="249" t="str">
        <f>IF(B42="","",IF(R42&lt;95%,"Yes","No"))</f>
        <v>Yes</v>
      </c>
      <c r="T42" s="248">
        <v>0.91769999999999996</v>
      </c>
      <c r="U42" s="250">
        <f>IF(B42="","",IF(OR(Y42="First Lien",Y42="Split First Lien",Y42="Tier 1 Split Lien",Y42="Tier 2 Split Lien"),50%,30%))</f>
        <v>0.5</v>
      </c>
      <c r="V42" s="250">
        <f t="shared" si="10"/>
        <v>0.72499999999999998</v>
      </c>
      <c r="W42" s="251">
        <f t="shared" si="11"/>
        <v>4424311.5399000002</v>
      </c>
      <c r="X42" s="246" t="s">
        <v>64</v>
      </c>
      <c r="Y42" s="252" t="s">
        <v>483</v>
      </c>
      <c r="Z42" s="252" t="s">
        <v>484</v>
      </c>
      <c r="AA42" s="253" t="s">
        <v>371</v>
      </c>
      <c r="AB42" s="253" t="s">
        <v>717</v>
      </c>
      <c r="AC42" s="254">
        <v>4.3925845147219196</v>
      </c>
      <c r="AD42" s="254">
        <v>2.0808079464174303</v>
      </c>
      <c r="AE42" s="254">
        <v>2.2771161406465819</v>
      </c>
      <c r="AF42" s="255">
        <v>0.43498596819457436</v>
      </c>
      <c r="AG42" s="256">
        <v>4.1862652869238008</v>
      </c>
      <c r="AH42" s="256">
        <v>4.1862652869238008</v>
      </c>
      <c r="AI42" s="256">
        <v>4.907718126283882</v>
      </c>
      <c r="AJ42" s="256">
        <v>4.9778363811258437</v>
      </c>
      <c r="AK42" s="257">
        <v>106300000</v>
      </c>
      <c r="AL42" s="257">
        <v>167830760</v>
      </c>
      <c r="AM42" s="258">
        <v>45747</v>
      </c>
      <c r="AN42" s="245" t="str">
        <f>IF(C42="","",(IF(AK42&gt;=50000000,"Tier 1",(IF(OR(AK42&gt;=20000000,AND(AK42&gt;5000000,AC42&gt;=1.25,AF42&lt;=0.65)),"Tier 2","Tier 3")))))</f>
        <v>Tier 1</v>
      </c>
      <c r="AO42" s="243">
        <v>47087</v>
      </c>
      <c r="AP42" s="259">
        <f>IF(C42="","",DAYS360(Inputs!$J$8,AO42)/360)</f>
        <v>3.2666666666666666</v>
      </c>
      <c r="AQ42" s="259">
        <f>IF(C42="","",AP42)</f>
        <v>3.2666666666666666</v>
      </c>
      <c r="AR42" s="246" t="s">
        <v>246</v>
      </c>
      <c r="AS42" s="248">
        <v>0</v>
      </c>
      <c r="AT42" s="246" t="s">
        <v>64</v>
      </c>
      <c r="AU42" s="248">
        <v>0.01</v>
      </c>
      <c r="AV42" s="248">
        <v>4.7500000000000001E-2</v>
      </c>
      <c r="AW42" s="248">
        <v>4.2956099999999997E-2</v>
      </c>
      <c r="AX42" s="260">
        <f>IF(C42="","",MAX(AU42,AW42))</f>
        <v>4.2956099999999997E-2</v>
      </c>
      <c r="AY42" s="248">
        <v>0</v>
      </c>
      <c r="AZ42" s="248">
        <v>0</v>
      </c>
      <c r="BA42" s="248">
        <v>0</v>
      </c>
      <c r="BB42" s="407">
        <f>IF(B42="","",IF(AR42="No",AV42-AZ42,""))</f>
        <v>4.7500000000000001E-2</v>
      </c>
      <c r="BC42" s="407" t="str">
        <f>IF(B42="","",IF(AR42="Yes",AS42-BA42,""))</f>
        <v/>
      </c>
      <c r="BD42" s="252" t="s">
        <v>249</v>
      </c>
      <c r="BE42" s="261" t="s">
        <v>408</v>
      </c>
      <c r="BF42" s="252" t="s">
        <v>7</v>
      </c>
      <c r="BG42" s="252" t="s">
        <v>460</v>
      </c>
      <c r="BH42" s="246" t="s">
        <v>246</v>
      </c>
      <c r="BI42" s="408" t="str">
        <f t="shared" si="17"/>
        <v>No</v>
      </c>
      <c r="BJ42" s="408" t="str">
        <f>IF(B42="","",IF(OR(AND(AZ42&gt;0,BB42&lt;2.5%),AND(BA42&gt;0,BC42&lt;6%)),"Yes","No"))</f>
        <v>No</v>
      </c>
      <c r="BK42" s="246" t="s">
        <v>246</v>
      </c>
      <c r="BL42" s="246" t="s">
        <v>246</v>
      </c>
      <c r="BM42" s="246" t="s">
        <v>64</v>
      </c>
      <c r="BN42" s="246" t="s">
        <v>64</v>
      </c>
      <c r="BO42" s="246" t="s">
        <v>246</v>
      </c>
      <c r="BP42" s="246" t="s">
        <v>246</v>
      </c>
      <c r="BQ42" s="246" t="s">
        <v>246</v>
      </c>
      <c r="BR42" s="246" t="s">
        <v>246</v>
      </c>
      <c r="BS42" s="246" t="s">
        <v>246</v>
      </c>
      <c r="BT42" s="246" t="s">
        <v>246</v>
      </c>
      <c r="BU42" s="246" t="s">
        <v>246</v>
      </c>
      <c r="BV42" s="246" t="s">
        <v>246</v>
      </c>
      <c r="BW42" s="246" t="s">
        <v>246</v>
      </c>
      <c r="BX42" s="246" t="s">
        <v>246</v>
      </c>
      <c r="BY42" s="246" t="s">
        <v>246</v>
      </c>
      <c r="BZ42" s="246" t="s">
        <v>246</v>
      </c>
      <c r="CA42" s="246" t="s">
        <v>246</v>
      </c>
      <c r="CB42" s="246" t="s">
        <v>64</v>
      </c>
      <c r="CC42" s="262">
        <f>IF(B42="","",IF(AT42="No",((BB42+AW42)-$AZ$4),((BB42+AX42)-$AZ$4))*IF(DE42&gt;0,0,M42))</f>
        <v>227717.77703189998</v>
      </c>
      <c r="CD42" s="262">
        <f>IF(B42="","",AY42*(L42-M42)*IF(DE42&gt;0,0,1))</f>
        <v>0</v>
      </c>
      <c r="CE42" s="263"/>
      <c r="CF42" s="263">
        <f t="shared" si="150"/>
        <v>0</v>
      </c>
      <c r="CG42" s="263">
        <f t="shared" si="151"/>
        <v>0</v>
      </c>
      <c r="CH42" s="263">
        <f t="shared" si="152"/>
        <v>0</v>
      </c>
      <c r="CI42" s="263">
        <f t="shared" si="153"/>
        <v>0</v>
      </c>
      <c r="CJ42" s="263">
        <f t="shared" si="154"/>
        <v>0</v>
      </c>
      <c r="CK42" s="263">
        <f t="shared" si="155"/>
        <v>0</v>
      </c>
      <c r="CL42" s="263">
        <f t="shared" si="156"/>
        <v>0</v>
      </c>
      <c r="CM42" s="263">
        <f t="shared" si="157"/>
        <v>0</v>
      </c>
      <c r="CN42" s="263">
        <f t="shared" si="158"/>
        <v>0</v>
      </c>
      <c r="CO42" s="263">
        <f t="shared" si="159"/>
        <v>0</v>
      </c>
      <c r="CP42" s="263">
        <f t="shared" si="160"/>
        <v>0</v>
      </c>
      <c r="CQ42" s="263">
        <f t="shared" si="161"/>
        <v>0</v>
      </c>
      <c r="CR42" s="263">
        <f t="shared" si="162"/>
        <v>0</v>
      </c>
      <c r="CS42" s="263">
        <f t="shared" si="163"/>
        <v>0</v>
      </c>
      <c r="CT42" s="263">
        <f t="shared" si="164"/>
        <v>0</v>
      </c>
      <c r="CU42" s="263">
        <f t="shared" si="165"/>
        <v>0</v>
      </c>
      <c r="CV42" s="263">
        <f t="shared" si="166"/>
        <v>0</v>
      </c>
      <c r="CW42" s="263">
        <f t="shared" si="167"/>
        <v>0</v>
      </c>
      <c r="CX42" s="263">
        <f t="shared" si="168"/>
        <v>0</v>
      </c>
      <c r="CY42" s="263">
        <f t="shared" si="169"/>
        <v>0</v>
      </c>
      <c r="CZ42" s="263">
        <f t="shared" si="170"/>
        <v>0</v>
      </c>
      <c r="DA42" s="263">
        <f t="shared" si="171"/>
        <v>0</v>
      </c>
      <c r="DB42" s="263">
        <f t="shared" si="172"/>
        <v>0</v>
      </c>
      <c r="DC42" s="263">
        <f t="shared" si="173"/>
        <v>0</v>
      </c>
      <c r="DD42" s="263">
        <f t="shared" si="174"/>
        <v>0</v>
      </c>
      <c r="DE42" s="263">
        <f t="shared" si="175"/>
        <v>0</v>
      </c>
      <c r="DF42" s="263">
        <f t="shared" si="176"/>
        <v>4424311.5399000002</v>
      </c>
      <c r="DG42" s="263">
        <f t="shared" si="177"/>
        <v>0</v>
      </c>
      <c r="DH42" s="263">
        <f t="shared" si="178"/>
        <v>4424311.5399000002</v>
      </c>
      <c r="DI42" s="263">
        <f t="shared" si="179"/>
        <v>4821087</v>
      </c>
      <c r="DJ42" s="263">
        <f t="shared" si="180"/>
        <v>0</v>
      </c>
      <c r="DK42" s="263">
        <f t="shared" si="181"/>
        <v>0</v>
      </c>
      <c r="DL42" s="263">
        <f t="shared" si="182"/>
        <v>0</v>
      </c>
      <c r="DM42" s="263">
        <f t="shared" si="183"/>
        <v>0</v>
      </c>
      <c r="DO42" s="264">
        <f t="shared" si="184"/>
        <v>0</v>
      </c>
      <c r="DP42" s="265">
        <f t="shared" si="185"/>
        <v>0</v>
      </c>
      <c r="DQ42" s="264">
        <f t="shared" si="186"/>
        <v>4424311.5399000002</v>
      </c>
      <c r="DR42" s="264">
        <f t="shared" si="187"/>
        <v>0</v>
      </c>
      <c r="DS42" s="265">
        <f t="shared" si="188"/>
        <v>0</v>
      </c>
      <c r="DT42" s="264">
        <f t="shared" si="189"/>
        <v>4424311.5399000002</v>
      </c>
      <c r="DU42" s="264">
        <f t="shared" si="190"/>
        <v>0</v>
      </c>
      <c r="DV42" s="265">
        <f t="shared" si="191"/>
        <v>0</v>
      </c>
      <c r="DW42" s="264">
        <f t="shared" si="192"/>
        <v>4424311.5399000002</v>
      </c>
      <c r="DX42" s="264">
        <f t="shared" si="193"/>
        <v>0</v>
      </c>
      <c r="DY42" s="265">
        <f t="shared" si="194"/>
        <v>0</v>
      </c>
      <c r="DZ42" s="264">
        <f t="shared" si="195"/>
        <v>4424311.5399000002</v>
      </c>
      <c r="EA42" s="264">
        <f t="shared" si="196"/>
        <v>0</v>
      </c>
      <c r="EB42" s="265">
        <f t="shared" si="197"/>
        <v>0</v>
      </c>
      <c r="EC42" s="264">
        <f t="shared" si="198"/>
        <v>4424311.5399000002</v>
      </c>
      <c r="ED42" s="264">
        <f t="shared" si="199"/>
        <v>0</v>
      </c>
      <c r="EE42" s="265">
        <f t="shared" si="200"/>
        <v>0</v>
      </c>
      <c r="EF42" s="264">
        <f t="shared" si="201"/>
        <v>4424311.5399000002</v>
      </c>
      <c r="EG42" s="264">
        <f t="shared" si="202"/>
        <v>4424311.5399000002</v>
      </c>
      <c r="EH42" s="265">
        <f t="shared" si="203"/>
        <v>0</v>
      </c>
      <c r="EI42" s="264">
        <f t="shared" si="204"/>
        <v>4424311.5399000002</v>
      </c>
      <c r="EJ42" s="264">
        <f t="shared" si="205"/>
        <v>0</v>
      </c>
      <c r="EK42" s="265">
        <f t="shared" si="206"/>
        <v>0</v>
      </c>
      <c r="EL42" s="264">
        <f t="shared" si="207"/>
        <v>4424311.5399000002</v>
      </c>
      <c r="EM42" s="264">
        <f t="shared" si="208"/>
        <v>0</v>
      </c>
      <c r="EN42" s="265">
        <f t="shared" si="209"/>
        <v>0</v>
      </c>
      <c r="EO42" s="264">
        <f t="shared" si="210"/>
        <v>4424311.5399000002</v>
      </c>
      <c r="EP42" s="264">
        <f t="shared" si="211"/>
        <v>0</v>
      </c>
      <c r="EQ42" s="265">
        <f t="shared" si="212"/>
        <v>0</v>
      </c>
      <c r="ER42" s="264">
        <f t="shared" si="213"/>
        <v>4424311.5399000002</v>
      </c>
      <c r="ES42" s="264">
        <f t="shared" si="214"/>
        <v>0</v>
      </c>
      <c r="ET42" s="265">
        <f t="shared" si="215"/>
        <v>0</v>
      </c>
      <c r="EU42" s="264">
        <f t="shared" si="216"/>
        <v>4424311.5399000002</v>
      </c>
      <c r="EV42" s="264">
        <f>IF(AND(BM42="Yes",OR(BN42="No",AND(BN42="Yes",Inputs!$J$8=Inputs!$J$17+75))),EU42,0)</f>
        <v>0</v>
      </c>
      <c r="EW42" s="265">
        <f t="shared" si="217"/>
        <v>0</v>
      </c>
      <c r="EX42" s="264">
        <f t="shared" si="218"/>
        <v>4424311.5399000002</v>
      </c>
      <c r="EY42" s="264">
        <f t="shared" si="219"/>
        <v>0</v>
      </c>
      <c r="EZ42" s="265">
        <f t="shared" si="220"/>
        <v>0</v>
      </c>
      <c r="FA42" s="264">
        <f t="shared" si="221"/>
        <v>4424311.5399000002</v>
      </c>
      <c r="FB42" s="264">
        <f t="shared" si="222"/>
        <v>0</v>
      </c>
      <c r="FC42" s="265">
        <f t="shared" si="223"/>
        <v>0</v>
      </c>
      <c r="FD42" s="264">
        <f t="shared" si="224"/>
        <v>4424311.5399000002</v>
      </c>
      <c r="FE42" s="264">
        <f t="shared" si="225"/>
        <v>0</v>
      </c>
      <c r="FF42" s="265">
        <f t="shared" si="226"/>
        <v>0</v>
      </c>
      <c r="FG42" s="264">
        <f t="shared" si="227"/>
        <v>4424311.5399000002</v>
      </c>
      <c r="FH42" s="264">
        <f t="shared" si="228"/>
        <v>4424311.5399000002</v>
      </c>
      <c r="FI42" s="264">
        <f t="shared" si="229"/>
        <v>0</v>
      </c>
      <c r="FJ42" s="264">
        <f t="shared" si="230"/>
        <v>4424311.5399000002</v>
      </c>
      <c r="FK42" s="264">
        <f t="shared" si="231"/>
        <v>4424311.5399000002</v>
      </c>
      <c r="FL42" s="264">
        <f t="shared" si="232"/>
        <v>0</v>
      </c>
      <c r="FM42" s="264">
        <f t="shared" si="233"/>
        <v>4424311.5399000002</v>
      </c>
      <c r="FN42" s="264">
        <f t="shared" si="234"/>
        <v>4424311.5399000002</v>
      </c>
      <c r="FO42" s="264">
        <f t="shared" si="235"/>
        <v>0</v>
      </c>
      <c r="FP42" s="264">
        <f t="shared" si="236"/>
        <v>4424311.5399000002</v>
      </c>
      <c r="FQ42" s="264">
        <f t="shared" si="237"/>
        <v>0</v>
      </c>
      <c r="FR42" s="265">
        <f t="shared" si="238"/>
        <v>0</v>
      </c>
      <c r="FS42" s="264">
        <f t="shared" si="239"/>
        <v>4424311.5399000002</v>
      </c>
      <c r="FT42" s="264">
        <f t="shared" si="240"/>
        <v>0</v>
      </c>
      <c r="FU42" s="265">
        <f t="shared" si="241"/>
        <v>0</v>
      </c>
      <c r="FV42" s="264">
        <f t="shared" si="242"/>
        <v>4424311.5399000002</v>
      </c>
      <c r="FW42" s="264">
        <f t="shared" si="243"/>
        <v>0</v>
      </c>
      <c r="FX42" s="264">
        <f t="shared" si="244"/>
        <v>0</v>
      </c>
      <c r="FY42" s="264">
        <f t="shared" si="245"/>
        <v>0</v>
      </c>
      <c r="FZ42" s="264">
        <f t="shared" si="246"/>
        <v>0</v>
      </c>
      <c r="GA42" s="265">
        <f t="shared" si="296"/>
        <v>0</v>
      </c>
      <c r="GB42" s="264">
        <f t="shared" si="297"/>
        <v>4424311.5399000002</v>
      </c>
      <c r="GC42" s="264">
        <f t="shared" si="247"/>
        <v>4424311.5399000002</v>
      </c>
      <c r="GD42" s="266">
        <f t="shared" si="248"/>
        <v>3207625.8664275003</v>
      </c>
      <c r="GE42" s="138">
        <f t="shared" si="249"/>
        <v>0.6653325000000001</v>
      </c>
      <c r="GF42" s="267">
        <f t="shared" si="250"/>
        <v>31</v>
      </c>
      <c r="GG42" s="264">
        <f t="array" ref="GG42">IF(SUM(IF(IC$9:IC41=IC42,1,0))&gt;0,0,SUMIF($IC$10:$IC$406,IC42,$FJ$10:$FJ$406))</f>
        <v>0</v>
      </c>
      <c r="GH42" s="268">
        <f t="shared" si="251"/>
        <v>0</v>
      </c>
      <c r="GI42" s="137">
        <f t="shared" si="126"/>
        <v>33</v>
      </c>
      <c r="GJ42" s="269">
        <f t="shared" si="252"/>
        <v>0</v>
      </c>
      <c r="GK42" s="269">
        <f t="shared" si="253"/>
        <v>0</v>
      </c>
      <c r="GL42" s="163">
        <f t="shared" si="254"/>
        <v>0</v>
      </c>
      <c r="GM42" s="137">
        <f t="array" ref="GM42">IF(GJ42=0,0,LARGE(IF($GG$10:$GG$406=GJ42,$GF$10:$GF$406,0),COUNTIF($GJ$10:$GJ$406,GJ42)-COUNTIF(GJ$9:GJ41,GJ42)))</f>
        <v>0</v>
      </c>
      <c r="GN42" s="270">
        <f t="shared" si="255"/>
        <v>0</v>
      </c>
      <c r="GP42" s="137">
        <f>IF(C42="","",IF(ISERROR(MATCH(C42,C$10:C41,0)),MAX(GP$10:GP41)+1,INDEX(GP$10:GP41,MATCH(C42,C$10:C41,0))))</f>
        <v>27</v>
      </c>
      <c r="GQ42" s="264">
        <f>IF(COUNTIF($A$10:A42,A42)&lt;=1,SUMIF($A$10:$A$406,A42,$FH$10:$FH$406),0)</f>
        <v>4424311.5399000002</v>
      </c>
      <c r="GR42" s="137">
        <f t="shared" si="130"/>
        <v>33</v>
      </c>
      <c r="GS42" s="269">
        <f t="shared" si="256"/>
        <v>8152927.54</v>
      </c>
      <c r="GT42" s="269">
        <f t="shared" si="257"/>
        <v>50964284.172430128</v>
      </c>
      <c r="GU42" s="163">
        <f t="shared" si="258"/>
        <v>0</v>
      </c>
      <c r="GV42" s="137">
        <f t="array" ref="GV42">IF(GS42=0,0,LARGE(IF($GQ$10:$GQ$406=GS42,$GP$10:$GP$406,0),COUNTIF($GS$10:$GS$406,GS42)-COUNTIF(GS$9:GS41,GS42)))</f>
        <v>52</v>
      </c>
      <c r="GW42" s="270">
        <f t="shared" si="259"/>
        <v>0</v>
      </c>
      <c r="GX42" s="270"/>
      <c r="GY42" s="137">
        <f>IF(C42="","",IF(ISERROR(MATCH(C42,C$10:C41,0)),MAX(GP$10:GP41)+1,INDEX(GP$10:GP41,MATCH(C42,C$10:C41,0))))</f>
        <v>27</v>
      </c>
      <c r="GZ42" s="264">
        <f>IF(COUNTIF($A$10:A42,A42)&lt;=1,SUMIF($A$10:$A$406,A42,$FH$10:$FH$406),0)</f>
        <v>4424311.5399000002</v>
      </c>
      <c r="HA42" s="137">
        <f t="shared" si="134"/>
        <v>33</v>
      </c>
      <c r="HB42" s="269">
        <f t="shared" si="260"/>
        <v>8152927.54</v>
      </c>
      <c r="HC42" s="414" t="s">
        <v>622</v>
      </c>
      <c r="HD42" s="163">
        <f t="shared" si="261"/>
        <v>0</v>
      </c>
      <c r="HE42" s="137">
        <f t="array" ref="HE42">IF(HB42=0,0,LARGE(IF($GZ$10:$GZ$406=HB42,$GY$10:$GY$406,0),COUNTIF($HB$10:$HB$406,HB42)-COUNTIF(HB$9:HB41,HB42)))</f>
        <v>52</v>
      </c>
      <c r="HF42" s="270">
        <f t="shared" si="262"/>
        <v>0</v>
      </c>
      <c r="HG42"/>
      <c r="HH42" s="268">
        <f t="shared" si="263"/>
        <v>0</v>
      </c>
      <c r="HI42" s="271">
        <v>0</v>
      </c>
      <c r="HJ42" s="264">
        <f t="shared" si="264"/>
        <v>0</v>
      </c>
      <c r="HL42" s="137">
        <f t="shared" si="265"/>
        <v>33</v>
      </c>
      <c r="HM42" s="264">
        <f t="shared" si="300"/>
        <v>7126342</v>
      </c>
      <c r="HO42" s="199">
        <f t="shared" si="301"/>
        <v>4424311.5399000002</v>
      </c>
      <c r="HP42" s="199">
        <f t="shared" si="302"/>
        <v>4821087</v>
      </c>
      <c r="HQ42" s="199" t="str">
        <f t="shared" si="303"/>
        <v/>
      </c>
      <c r="HR42" s="199">
        <f t="shared" si="304"/>
        <v>4424311.5399000002</v>
      </c>
      <c r="HS42" s="199" t="str">
        <f t="shared" si="119"/>
        <v/>
      </c>
      <c r="HT42" s="199" t="str">
        <f t="shared" si="305"/>
        <v/>
      </c>
      <c r="HU42" s="199" t="str">
        <f t="shared" si="306"/>
        <v/>
      </c>
      <c r="HV42" s="200">
        <f t="shared" si="307"/>
        <v>0</v>
      </c>
      <c r="HW42" s="272" t="str">
        <f t="shared" si="308"/>
        <v/>
      </c>
      <c r="HX42" s="200">
        <f t="shared" si="309"/>
        <v>0</v>
      </c>
      <c r="HY42" s="200">
        <f t="shared" si="310"/>
        <v>0</v>
      </c>
      <c r="HZ42" s="200">
        <f t="shared" si="4"/>
        <v>0</v>
      </c>
      <c r="IA42" s="200">
        <f t="shared" si="311"/>
        <v>4424311.5399000002</v>
      </c>
      <c r="IB42" s="200">
        <f t="shared" si="312"/>
        <v>0</v>
      </c>
      <c r="IC42" s="273">
        <f>IF(C42="","",INDEX(Lookups!$E$2:$E$69,MATCH('Loan List'!BE42,Lookups!$F$2:$F$69,0)))</f>
        <v>31</v>
      </c>
      <c r="ID42" t="b">
        <f t="shared" si="313"/>
        <v>1</v>
      </c>
      <c r="IF42" s="346" t="str">
        <f>IF(B42="","",IF(AND(Y42="Second Lien",OR(DA42=1,DB42=1,DC42=1)),50%,IF(DA42=1,90%,IF(DB42=1,80%,IF(DC42=1,65%,"No Initial Haircut")))))</f>
        <v>No Initial Haircut</v>
      </c>
    </row>
    <row r="43" spans="1:240">
      <c r="A43" t="s">
        <v>734</v>
      </c>
      <c r="B43" s="242">
        <f t="shared" si="149"/>
        <v>34</v>
      </c>
      <c r="C43" s="242">
        <f>IF(COUNTIF($A$10:A42,A43)&gt;0,C42,C42+1)</f>
        <v>28</v>
      </c>
      <c r="D43" s="431" t="s">
        <v>734</v>
      </c>
      <c r="E43" s="428" t="s">
        <v>813</v>
      </c>
      <c r="F43" s="429"/>
      <c r="G43" s="430">
        <v>1984314</v>
      </c>
      <c r="H43" s="430">
        <v>1984314</v>
      </c>
      <c r="I43" s="244">
        <f>IF(B43="","",VLOOKUP(BF43,Inputs!$A$12:$J$15,10,FALSE))</f>
        <v>1</v>
      </c>
      <c r="J43" s="245">
        <f>IF(B43="","",G43*I43)</f>
        <v>1984314</v>
      </c>
      <c r="K43" s="245">
        <f>IF(B43="","",H43*I43)</f>
        <v>1984314</v>
      </c>
      <c r="L43" s="245">
        <f>IF(B43="","",IF(COUNTIF($CF43:$CY43,1)&gt;0,0,J43))</f>
        <v>1984314</v>
      </c>
      <c r="M43" s="245">
        <f>IF(B43="","",IF(COUNTIF($CF43:$CY43,1)&gt;0,0,K43))</f>
        <v>1984314</v>
      </c>
      <c r="N43" s="246" t="s">
        <v>246</v>
      </c>
      <c r="O43" s="246" t="s">
        <v>245</v>
      </c>
      <c r="P43" s="247">
        <f>IF(B43="","",IF(OR(O43="N/A",O43=""),0,YEARFRAC('Borrowing Base'!$J$4,'Loan List'!O43)*12))</f>
        <v>0</v>
      </c>
      <c r="Q43" s="246" t="s">
        <v>246</v>
      </c>
      <c r="R43" s="248">
        <v>1</v>
      </c>
      <c r="S43" s="249" t="str">
        <f>IF(B43="","",IF(R43&lt;95%,"Yes","No"))</f>
        <v>No</v>
      </c>
      <c r="T43" s="248">
        <v>1</v>
      </c>
      <c r="U43" s="250">
        <f>IF(B43="","",IF(OR(Y43="First Lien",Y43="Split First Lien",Y43="Tier 1 Split Lien",Y43="Tier 2 Split Lien"),50%,30%))</f>
        <v>0.5</v>
      </c>
      <c r="V43" s="250">
        <f t="shared" si="10"/>
        <v>0.69043137608069161</v>
      </c>
      <c r="W43" s="251">
        <f t="shared" si="11"/>
        <v>1984314</v>
      </c>
      <c r="X43" s="246" t="s">
        <v>64</v>
      </c>
      <c r="Y43" s="252" t="s">
        <v>483</v>
      </c>
      <c r="Z43" s="252" t="s">
        <v>484</v>
      </c>
      <c r="AA43" s="253" t="s">
        <v>407</v>
      </c>
      <c r="AB43" s="253" t="s">
        <v>713</v>
      </c>
      <c r="AC43" s="254">
        <v>1.6580574810693587</v>
      </c>
      <c r="AD43" s="254">
        <v>1.4049261473710135</v>
      </c>
      <c r="AE43" s="254">
        <v>1.9322093431682472</v>
      </c>
      <c r="AF43" s="255">
        <v>0.41100957922772585</v>
      </c>
      <c r="AG43" s="256">
        <v>4.9569461529304384</v>
      </c>
      <c r="AH43" s="256">
        <v>4.9569461529304384</v>
      </c>
      <c r="AI43" s="256">
        <v>3.8689839403543176</v>
      </c>
      <c r="AJ43" s="256">
        <v>5.0242009878690599</v>
      </c>
      <c r="AK43" s="257">
        <v>12600500</v>
      </c>
      <c r="AL43" s="257">
        <v>16014306.609999998</v>
      </c>
      <c r="AM43" s="258">
        <v>45838</v>
      </c>
      <c r="AN43" s="245" t="str">
        <f>IF(C43="","",(IF(AK43&gt;=50000000,"Tier 1",(IF(OR(AK43&gt;=20000000,AND(AK43&gt;5000000,AC43&gt;=1.25,AF43&lt;=0.65)),"Tier 2","Tier 3")))))</f>
        <v>Tier 2</v>
      </c>
      <c r="AO43" s="243">
        <v>46060</v>
      </c>
      <c r="AP43" s="259">
        <f>IF(C43="","",DAYS360(Inputs!$J$8,AO43)/360)</f>
        <v>0.45277777777777778</v>
      </c>
      <c r="AQ43" s="259">
        <f>IF(C43="","",AP43)</f>
        <v>0.45277777777777778</v>
      </c>
      <c r="AR43" s="246" t="s">
        <v>246</v>
      </c>
      <c r="AS43" s="248">
        <v>0</v>
      </c>
      <c r="AT43" s="246" t="s">
        <v>64</v>
      </c>
      <c r="AU43" s="248">
        <v>0.01</v>
      </c>
      <c r="AV43" s="248">
        <v>4.7500000000000001E-2</v>
      </c>
      <c r="AW43" s="248">
        <v>4.2956099999999997E-2</v>
      </c>
      <c r="AX43" s="260">
        <f>IF(C43="","",MAX(AU43,AW43))</f>
        <v>4.2956099999999997E-2</v>
      </c>
      <c r="AY43" s="248">
        <v>0</v>
      </c>
      <c r="AZ43" s="248">
        <v>0</v>
      </c>
      <c r="BA43" s="248">
        <v>0</v>
      </c>
      <c r="BB43" s="407">
        <f>IF(B43="","",IF(AR43="No",AV43-AZ43,""))</f>
        <v>4.7500000000000001E-2</v>
      </c>
      <c r="BC43" s="407" t="str">
        <f>IF(B43="","",IF(AR43="Yes",AS43-BA43,""))</f>
        <v/>
      </c>
      <c r="BD43" s="252" t="s">
        <v>249</v>
      </c>
      <c r="BE43" s="261" t="s">
        <v>455</v>
      </c>
      <c r="BF43" s="252" t="s">
        <v>7</v>
      </c>
      <c r="BG43" s="252" t="s">
        <v>460</v>
      </c>
      <c r="BH43" s="246" t="s">
        <v>246</v>
      </c>
      <c r="BI43" s="408" t="str">
        <f t="shared" si="17"/>
        <v>No</v>
      </c>
      <c r="BJ43" s="408" t="str">
        <f>IF(B43="","",IF(OR(AND(AZ43&gt;0,BB43&lt;2.5%),AND(BA43&gt;0,BC43&lt;6%)),"Yes","No"))</f>
        <v>No</v>
      </c>
      <c r="BK43" s="246" t="s">
        <v>246</v>
      </c>
      <c r="BL43" s="246" t="s">
        <v>246</v>
      </c>
      <c r="BM43" s="246" t="s">
        <v>64</v>
      </c>
      <c r="BN43" s="246" t="s">
        <v>64</v>
      </c>
      <c r="BO43" s="246" t="s">
        <v>246</v>
      </c>
      <c r="BP43" s="246" t="s">
        <v>246</v>
      </c>
      <c r="BQ43" s="246" t="s">
        <v>246</v>
      </c>
      <c r="BR43" s="246" t="s">
        <v>246</v>
      </c>
      <c r="BS43" s="246" t="s">
        <v>246</v>
      </c>
      <c r="BT43" s="246" t="s">
        <v>246</v>
      </c>
      <c r="BU43" s="246" t="s">
        <v>246</v>
      </c>
      <c r="BV43" s="246" t="s">
        <v>246</v>
      </c>
      <c r="BW43" s="246" t="s">
        <v>246</v>
      </c>
      <c r="BX43" s="246" t="s">
        <v>246</v>
      </c>
      <c r="BY43" s="246" t="s">
        <v>246</v>
      </c>
      <c r="BZ43" s="246" t="s">
        <v>246</v>
      </c>
      <c r="CA43" s="246" t="s">
        <v>246</v>
      </c>
      <c r="CB43" s="246" t="s">
        <v>64</v>
      </c>
      <c r="CC43" s="262">
        <f>IF(B43="","",IF(AT43="No",((BB43+AW43)-$AZ$4),((BB43+AX43)-$AZ$4))*IF(DE43&gt;0,0,M43))</f>
        <v>93726.4921818</v>
      </c>
      <c r="CD43" s="262">
        <f>IF(B43="","",AY43*(L43-M43)*IF(DE43&gt;0,0,1))</f>
        <v>0</v>
      </c>
      <c r="CE43" s="263"/>
      <c r="CF43" s="263">
        <f t="shared" si="150"/>
        <v>0</v>
      </c>
      <c r="CG43" s="263">
        <f t="shared" si="151"/>
        <v>0</v>
      </c>
      <c r="CH43" s="263">
        <f t="shared" si="152"/>
        <v>0</v>
      </c>
      <c r="CI43" s="263">
        <f t="shared" si="153"/>
        <v>0</v>
      </c>
      <c r="CJ43" s="263">
        <f t="shared" si="154"/>
        <v>0</v>
      </c>
      <c r="CK43" s="263">
        <f t="shared" si="155"/>
        <v>0</v>
      </c>
      <c r="CL43" s="263">
        <f t="shared" si="156"/>
        <v>0</v>
      </c>
      <c r="CM43" s="263">
        <f t="shared" si="157"/>
        <v>0</v>
      </c>
      <c r="CN43" s="263">
        <f t="shared" si="158"/>
        <v>0</v>
      </c>
      <c r="CO43" s="263">
        <f t="shared" si="159"/>
        <v>0</v>
      </c>
      <c r="CP43" s="263">
        <f t="shared" si="160"/>
        <v>0</v>
      </c>
      <c r="CQ43" s="263">
        <f t="shared" si="161"/>
        <v>0</v>
      </c>
      <c r="CR43" s="263">
        <f t="shared" si="162"/>
        <v>0</v>
      </c>
      <c r="CS43" s="263">
        <f t="shared" si="163"/>
        <v>0</v>
      </c>
      <c r="CT43" s="263">
        <f t="shared" si="164"/>
        <v>0</v>
      </c>
      <c r="CU43" s="263">
        <f t="shared" si="165"/>
        <v>0</v>
      </c>
      <c r="CV43" s="263">
        <f t="shared" si="166"/>
        <v>0</v>
      </c>
      <c r="CW43" s="263">
        <f t="shared" si="167"/>
        <v>0</v>
      </c>
      <c r="CX43" s="263">
        <f t="shared" si="168"/>
        <v>0</v>
      </c>
      <c r="CY43" s="263">
        <f t="shared" si="169"/>
        <v>0</v>
      </c>
      <c r="CZ43" s="263">
        <f t="shared" si="170"/>
        <v>0</v>
      </c>
      <c r="DA43" s="263">
        <f t="shared" si="171"/>
        <v>0</v>
      </c>
      <c r="DB43" s="263">
        <f t="shared" si="172"/>
        <v>0</v>
      </c>
      <c r="DC43" s="263">
        <f t="shared" si="173"/>
        <v>0</v>
      </c>
      <c r="DD43" s="263">
        <f t="shared" si="174"/>
        <v>0</v>
      </c>
      <c r="DE43" s="263">
        <f t="shared" si="175"/>
        <v>0</v>
      </c>
      <c r="DF43" s="263">
        <f t="shared" si="176"/>
        <v>1984314</v>
      </c>
      <c r="DG43" s="263">
        <f t="shared" si="177"/>
        <v>0</v>
      </c>
      <c r="DH43" s="263">
        <f t="shared" si="178"/>
        <v>1984314</v>
      </c>
      <c r="DI43" s="263">
        <f t="shared" si="179"/>
        <v>1984314</v>
      </c>
      <c r="DJ43" s="263">
        <f t="shared" si="180"/>
        <v>0</v>
      </c>
      <c r="DK43" s="263">
        <f t="shared" si="181"/>
        <v>0</v>
      </c>
      <c r="DL43" s="263">
        <f t="shared" si="182"/>
        <v>0</v>
      </c>
      <c r="DM43" s="263">
        <f t="shared" si="183"/>
        <v>0</v>
      </c>
      <c r="DO43" s="264">
        <f t="shared" si="184"/>
        <v>0</v>
      </c>
      <c r="DP43" s="265">
        <f t="shared" si="185"/>
        <v>0</v>
      </c>
      <c r="DQ43" s="264">
        <f t="shared" si="186"/>
        <v>1984314</v>
      </c>
      <c r="DR43" s="264">
        <f t="shared" si="187"/>
        <v>0</v>
      </c>
      <c r="DS43" s="265">
        <f t="shared" si="188"/>
        <v>0</v>
      </c>
      <c r="DT43" s="264">
        <f t="shared" si="189"/>
        <v>1984314</v>
      </c>
      <c r="DU43" s="264">
        <f t="shared" si="190"/>
        <v>0</v>
      </c>
      <c r="DV43" s="265">
        <f t="shared" si="191"/>
        <v>0</v>
      </c>
      <c r="DW43" s="264">
        <f t="shared" si="192"/>
        <v>1984314</v>
      </c>
      <c r="DX43" s="264">
        <f t="shared" si="193"/>
        <v>0</v>
      </c>
      <c r="DY43" s="265">
        <f t="shared" si="194"/>
        <v>0</v>
      </c>
      <c r="DZ43" s="264">
        <f t="shared" si="195"/>
        <v>1984314</v>
      </c>
      <c r="EA43" s="264">
        <f t="shared" si="196"/>
        <v>0</v>
      </c>
      <c r="EB43" s="265">
        <f t="shared" si="197"/>
        <v>0</v>
      </c>
      <c r="EC43" s="264">
        <f t="shared" si="198"/>
        <v>1984314</v>
      </c>
      <c r="ED43" s="264">
        <f t="shared" si="199"/>
        <v>0</v>
      </c>
      <c r="EE43" s="265">
        <f t="shared" si="200"/>
        <v>0</v>
      </c>
      <c r="EF43" s="264">
        <f t="shared" si="201"/>
        <v>1984314</v>
      </c>
      <c r="EG43" s="264">
        <f t="shared" si="202"/>
        <v>0</v>
      </c>
      <c r="EH43" s="265">
        <f t="shared" si="203"/>
        <v>0</v>
      </c>
      <c r="EI43" s="264">
        <f t="shared" si="204"/>
        <v>1984314</v>
      </c>
      <c r="EJ43" s="264">
        <f t="shared" si="205"/>
        <v>0</v>
      </c>
      <c r="EK43" s="265">
        <f t="shared" si="206"/>
        <v>0</v>
      </c>
      <c r="EL43" s="264">
        <f t="shared" si="207"/>
        <v>1984314</v>
      </c>
      <c r="EM43" s="264">
        <f t="shared" si="208"/>
        <v>0</v>
      </c>
      <c r="EN43" s="265">
        <f t="shared" si="209"/>
        <v>0</v>
      </c>
      <c r="EO43" s="264">
        <f t="shared" si="210"/>
        <v>1984314</v>
      </c>
      <c r="EP43" s="264">
        <f t="shared" si="211"/>
        <v>0</v>
      </c>
      <c r="EQ43" s="265">
        <f t="shared" si="212"/>
        <v>0</v>
      </c>
      <c r="ER43" s="264">
        <f t="shared" si="213"/>
        <v>1984314</v>
      </c>
      <c r="ES43" s="264">
        <f t="shared" si="214"/>
        <v>0</v>
      </c>
      <c r="ET43" s="265">
        <f t="shared" si="215"/>
        <v>0</v>
      </c>
      <c r="EU43" s="264">
        <f t="shared" si="216"/>
        <v>1984314</v>
      </c>
      <c r="EV43" s="264">
        <f>IF(AND(BM43="Yes",OR(BN43="No",AND(BN43="Yes",Inputs!$J$8=Inputs!$J$17+75))),EU43,0)</f>
        <v>0</v>
      </c>
      <c r="EW43" s="265">
        <f t="shared" si="217"/>
        <v>0</v>
      </c>
      <c r="EX43" s="264">
        <f t="shared" si="218"/>
        <v>1984314</v>
      </c>
      <c r="EY43" s="264">
        <f t="shared" si="219"/>
        <v>0</v>
      </c>
      <c r="EZ43" s="265">
        <f t="shared" si="220"/>
        <v>0</v>
      </c>
      <c r="FA43" s="264">
        <f t="shared" si="221"/>
        <v>1984314</v>
      </c>
      <c r="FB43" s="264">
        <f t="shared" si="222"/>
        <v>0</v>
      </c>
      <c r="FC43" s="265">
        <f t="shared" si="223"/>
        <v>0</v>
      </c>
      <c r="FD43" s="264">
        <f t="shared" si="224"/>
        <v>1984314</v>
      </c>
      <c r="FE43" s="264">
        <f t="shared" si="225"/>
        <v>0</v>
      </c>
      <c r="FF43" s="265">
        <f t="shared" si="226"/>
        <v>0</v>
      </c>
      <c r="FG43" s="264">
        <f t="shared" si="227"/>
        <v>1984314</v>
      </c>
      <c r="FH43" s="264">
        <f t="shared" si="228"/>
        <v>1984314</v>
      </c>
      <c r="FI43" s="264">
        <f t="shared" si="229"/>
        <v>0</v>
      </c>
      <c r="FJ43" s="264">
        <f t="shared" si="230"/>
        <v>1984314</v>
      </c>
      <c r="FK43" s="264">
        <f t="shared" si="231"/>
        <v>1984314</v>
      </c>
      <c r="FL43" s="264">
        <f t="shared" si="232"/>
        <v>0</v>
      </c>
      <c r="FM43" s="264">
        <f t="shared" si="233"/>
        <v>1984314</v>
      </c>
      <c r="FN43" s="264">
        <f t="shared" si="234"/>
        <v>1984314</v>
      </c>
      <c r="FO43" s="264">
        <f t="shared" si="235"/>
        <v>0</v>
      </c>
      <c r="FP43" s="264">
        <f t="shared" si="236"/>
        <v>1984314</v>
      </c>
      <c r="FQ43" s="264">
        <f t="shared" si="237"/>
        <v>0</v>
      </c>
      <c r="FR43" s="265">
        <f t="shared" si="238"/>
        <v>0</v>
      </c>
      <c r="FS43" s="264">
        <f t="shared" si="239"/>
        <v>1984314</v>
      </c>
      <c r="FT43" s="264">
        <f t="shared" si="240"/>
        <v>0</v>
      </c>
      <c r="FU43" s="265">
        <f t="shared" si="241"/>
        <v>0</v>
      </c>
      <c r="FV43" s="264">
        <f t="shared" si="242"/>
        <v>1984314</v>
      </c>
      <c r="FW43" s="264">
        <f t="shared" si="243"/>
        <v>0</v>
      </c>
      <c r="FX43" s="264">
        <f t="shared" si="244"/>
        <v>0</v>
      </c>
      <c r="FY43" s="264">
        <f t="shared" si="245"/>
        <v>0</v>
      </c>
      <c r="FZ43" s="264">
        <f t="shared" si="246"/>
        <v>0</v>
      </c>
      <c r="GA43" s="265">
        <f t="shared" si="296"/>
        <v>0</v>
      </c>
      <c r="GB43" s="264">
        <f t="shared" si="297"/>
        <v>1984314</v>
      </c>
      <c r="GC43" s="264">
        <f t="shared" si="247"/>
        <v>1984314</v>
      </c>
      <c r="GD43" s="266">
        <f t="shared" si="248"/>
        <v>1370032.6455961815</v>
      </c>
      <c r="GE43" s="138">
        <f t="shared" si="249"/>
        <v>0.69043137608069161</v>
      </c>
      <c r="GF43" s="267">
        <f t="shared" si="250"/>
        <v>55</v>
      </c>
      <c r="GG43" s="264">
        <f t="array" ref="GG43">IF(SUM(IF(IC$9:IC42=IC43,1,0))&gt;0,0,SUMIF($IC$10:$IC$406,IC43,$FJ$10:$FJ$406))</f>
        <v>0</v>
      </c>
      <c r="GH43" s="268">
        <f t="shared" si="251"/>
        <v>0</v>
      </c>
      <c r="GI43" s="137">
        <f t="shared" si="126"/>
        <v>34</v>
      </c>
      <c r="GJ43" s="269">
        <f t="shared" si="252"/>
        <v>0</v>
      </c>
      <c r="GK43" s="269">
        <f t="shared" si="253"/>
        <v>0</v>
      </c>
      <c r="GL43" s="163">
        <f t="shared" si="254"/>
        <v>0</v>
      </c>
      <c r="GM43" s="137">
        <f t="array" ref="GM43">IF(GJ43=0,0,LARGE(IF($GG$10:$GG$406=GJ43,$GF$10:$GF$406,0),COUNTIF($GJ$10:$GJ$406,GJ43)-COUNTIF(GJ$9:GJ42,GJ43)))</f>
        <v>0</v>
      </c>
      <c r="GN43" s="270">
        <f t="shared" si="255"/>
        <v>0</v>
      </c>
      <c r="GP43" s="137">
        <f>IF(C43="","",IF(ISERROR(MATCH(C43,C$10:C42,0)),MAX(GP$10:GP42)+1,INDEX(GP$10:GP42,MATCH(C43,C$10:C42,0))))</f>
        <v>28</v>
      </c>
      <c r="GQ43" s="264">
        <f>IF(COUNTIF($A$10:A43,A43)&lt;=1,SUMIF($A$10:$A$406,A43,$FH$10:$FH$406),0)</f>
        <v>1984314</v>
      </c>
      <c r="GR43" s="137">
        <f t="shared" si="130"/>
        <v>34</v>
      </c>
      <c r="GS43" s="269">
        <f t="shared" si="256"/>
        <v>8000000</v>
      </c>
      <c r="GT43" s="269">
        <f t="shared" si="257"/>
        <v>50964284.172430128</v>
      </c>
      <c r="GU43" s="163">
        <f t="shared" si="258"/>
        <v>0</v>
      </c>
      <c r="GV43" s="137">
        <f t="array" ref="GV43">IF(GS43=0,0,LARGE(IF($GQ$10:$GQ$406=GS43,$GP$10:$GP$406,0),COUNTIF($GS$10:$GS$406,GS43)-COUNTIF(GS$9:GS42,GS43)))</f>
        <v>92</v>
      </c>
      <c r="GW43" s="270">
        <f t="shared" si="259"/>
        <v>0</v>
      </c>
      <c r="GX43" s="270"/>
      <c r="GY43" s="137">
        <f>IF(C43="","",IF(ISERROR(MATCH(C43,C$10:C42,0)),MAX(GP$10:GP42)+1,INDEX(GP$10:GP42,MATCH(C43,C$10:C42,0))))</f>
        <v>28</v>
      </c>
      <c r="GZ43" s="264">
        <f>IF(COUNTIF($A$10:A43,A43)&lt;=1,SUMIF($A$10:$A$406,A43,$FH$10:$FH$406),0)</f>
        <v>1984314</v>
      </c>
      <c r="HA43" s="137">
        <f t="shared" si="134"/>
        <v>34</v>
      </c>
      <c r="HB43" s="269">
        <f t="shared" si="260"/>
        <v>8000000</v>
      </c>
      <c r="HC43" s="414" t="s">
        <v>622</v>
      </c>
      <c r="HD43" s="163">
        <f t="shared" si="261"/>
        <v>0</v>
      </c>
      <c r="HE43" s="137">
        <f t="array" ref="HE43">IF(HB43=0,0,LARGE(IF($GZ$10:$GZ$406=HB43,$GY$10:$GY$406,0),COUNTIF($HB$10:$HB$406,HB43)-COUNTIF(HB$9:HB42,HB43)))</f>
        <v>92</v>
      </c>
      <c r="HF43" s="270">
        <f t="shared" si="262"/>
        <v>0</v>
      </c>
      <c r="HG43"/>
      <c r="HH43" s="268">
        <f t="shared" si="263"/>
        <v>0</v>
      </c>
      <c r="HI43" s="271">
        <v>0</v>
      </c>
      <c r="HJ43" s="264">
        <f t="shared" si="264"/>
        <v>0</v>
      </c>
      <c r="HL43" s="137">
        <f t="shared" si="265"/>
        <v>34</v>
      </c>
      <c r="HM43" s="264">
        <f t="shared" si="300"/>
        <v>9290272.2300000004</v>
      </c>
      <c r="HO43" s="199">
        <f t="shared" si="301"/>
        <v>1984314</v>
      </c>
      <c r="HP43" s="199">
        <f t="shared" si="302"/>
        <v>1984314</v>
      </c>
      <c r="HQ43" s="199" t="str">
        <f t="shared" si="303"/>
        <v/>
      </c>
      <c r="HR43" s="199" t="str">
        <f t="shared" si="304"/>
        <v/>
      </c>
      <c r="HS43" s="199" t="str">
        <f t="shared" si="119"/>
        <v/>
      </c>
      <c r="HT43" s="199" t="str">
        <f t="shared" si="305"/>
        <v/>
      </c>
      <c r="HU43" s="199" t="str">
        <f t="shared" si="306"/>
        <v/>
      </c>
      <c r="HV43" s="200">
        <f t="shared" si="307"/>
        <v>0</v>
      </c>
      <c r="HW43" s="272">
        <f t="shared" si="308"/>
        <v>1</v>
      </c>
      <c r="HX43" s="200" t="str">
        <f t="shared" si="309"/>
        <v/>
      </c>
      <c r="HY43" s="200">
        <f t="shared" si="310"/>
        <v>0</v>
      </c>
      <c r="HZ43" s="200" t="str">
        <f t="shared" si="4"/>
        <v/>
      </c>
      <c r="IA43" s="200" t="str">
        <f t="shared" si="311"/>
        <v/>
      </c>
      <c r="IB43" s="200" t="str">
        <f t="shared" si="312"/>
        <v/>
      </c>
      <c r="IC43" s="273">
        <f>IF(C43="","",INDEX(Lookups!$E$2:$E$69,MATCH('Loan List'!BE43,Lookups!$F$2:$F$69,0)))</f>
        <v>55</v>
      </c>
      <c r="ID43" t="b">
        <f t="shared" si="313"/>
        <v>1</v>
      </c>
      <c r="IF43" s="346" t="str">
        <f>IF(B43="","",IF(AND(Y43="Second Lien",OR(DA43=1,DB43=1,DC43=1)),50%,IF(DA43=1,90%,IF(DB43=1,80%,IF(DC43=1,65%,"No Initial Haircut")))))</f>
        <v>No Initial Haircut</v>
      </c>
    </row>
    <row r="44" spans="1:240">
      <c r="A44" t="s">
        <v>735</v>
      </c>
      <c r="B44" s="242">
        <f t="shared" si="149"/>
        <v>35</v>
      </c>
      <c r="C44" s="242">
        <f>IF(COUNTIF($A$10:A43,A44)&gt;0,C43,C43+1)</f>
        <v>29</v>
      </c>
      <c r="D44" s="431" t="s">
        <v>735</v>
      </c>
      <c r="E44" s="428" t="s">
        <v>814</v>
      </c>
      <c r="F44" s="429"/>
      <c r="G44" s="430">
        <v>3510691</v>
      </c>
      <c r="H44" s="430">
        <v>3510691</v>
      </c>
      <c r="I44" s="244">
        <f>IF(B44="","",VLOOKUP(BF44,Inputs!$A$12:$J$15,10,FALSE))</f>
        <v>1</v>
      </c>
      <c r="J44" s="245">
        <f t="shared" si="5"/>
        <v>3510691</v>
      </c>
      <c r="K44" s="245">
        <f t="shared" si="6"/>
        <v>3510691</v>
      </c>
      <c r="L44" s="245">
        <f t="shared" si="7"/>
        <v>3510691</v>
      </c>
      <c r="M44" s="245">
        <f t="shared" si="8"/>
        <v>3510691</v>
      </c>
      <c r="N44" s="246" t="s">
        <v>246</v>
      </c>
      <c r="O44" s="246" t="s">
        <v>245</v>
      </c>
      <c r="P44" s="247">
        <f>IF(B44="","",IF(OR(O44="N/A",O44=""),0,YEARFRAC('Borrowing Base'!$J$4,'Loan List'!O44)*12))</f>
        <v>0</v>
      </c>
      <c r="Q44" s="246" t="s">
        <v>246</v>
      </c>
      <c r="R44" s="248">
        <v>1</v>
      </c>
      <c r="S44" s="249" t="str">
        <f t="shared" si="1"/>
        <v>No</v>
      </c>
      <c r="T44" s="248">
        <v>1</v>
      </c>
      <c r="U44" s="250">
        <f t="shared" si="9"/>
        <v>0.5</v>
      </c>
      <c r="V44" s="250">
        <f t="shared" si="10"/>
        <v>0.66307310665640362</v>
      </c>
      <c r="W44" s="251">
        <f t="shared" si="11"/>
        <v>3510691</v>
      </c>
      <c r="X44" s="246" t="s">
        <v>64</v>
      </c>
      <c r="Y44" s="252" t="s">
        <v>483</v>
      </c>
      <c r="Z44" s="252" t="s">
        <v>484</v>
      </c>
      <c r="AA44" s="253" t="s">
        <v>407</v>
      </c>
      <c r="AB44" s="253" t="s">
        <v>713</v>
      </c>
      <c r="AC44" s="254">
        <v>2.83</v>
      </c>
      <c r="AD44" s="254">
        <v>1.6572943695322357</v>
      </c>
      <c r="AE44" s="254">
        <v>1.8652931162425246</v>
      </c>
      <c r="AF44" s="255">
        <v>0.28599999999999998</v>
      </c>
      <c r="AG44" s="256">
        <v>5.3901148457699479</v>
      </c>
      <c r="AH44" s="256">
        <v>5.3901148457699479</v>
      </c>
      <c r="AI44" s="256">
        <v>4.3555883178882331</v>
      </c>
      <c r="AJ44" s="256">
        <v>4.3555883178882331</v>
      </c>
      <c r="AK44" s="257">
        <v>33262000</v>
      </c>
      <c r="AL44" s="257">
        <v>42732000</v>
      </c>
      <c r="AM44" s="258">
        <v>45747</v>
      </c>
      <c r="AN44" s="245" t="str">
        <f t="shared" si="12"/>
        <v>Tier 2</v>
      </c>
      <c r="AO44" s="243">
        <v>46582</v>
      </c>
      <c r="AP44" s="259">
        <f>IF(C44="","",DAYS360(Inputs!$J$8,AO44)/360)</f>
        <v>1.8888888888888888</v>
      </c>
      <c r="AQ44" s="259">
        <f t="shared" si="13"/>
        <v>1.8888888888888888</v>
      </c>
      <c r="AR44" s="246" t="s">
        <v>246</v>
      </c>
      <c r="AS44" s="248">
        <v>0</v>
      </c>
      <c r="AT44" s="246" t="s">
        <v>64</v>
      </c>
      <c r="AU44" s="248">
        <v>0.01</v>
      </c>
      <c r="AV44" s="248">
        <v>4.7500000000000001E-2</v>
      </c>
      <c r="AW44" s="248">
        <v>4.2956099999999997E-2</v>
      </c>
      <c r="AX44" s="260">
        <f t="shared" si="14"/>
        <v>4.2956099999999997E-2</v>
      </c>
      <c r="AY44" s="248">
        <v>0</v>
      </c>
      <c r="AZ44" s="248">
        <v>0</v>
      </c>
      <c r="BA44" s="248">
        <v>0</v>
      </c>
      <c r="BB44" s="407">
        <f t="shared" si="15"/>
        <v>4.7500000000000001E-2</v>
      </c>
      <c r="BC44" s="407" t="str">
        <f t="shared" si="16"/>
        <v/>
      </c>
      <c r="BD44" s="252" t="s">
        <v>249</v>
      </c>
      <c r="BE44" s="261" t="s">
        <v>437</v>
      </c>
      <c r="BF44" s="252" t="s">
        <v>7</v>
      </c>
      <c r="BG44" s="252" t="s">
        <v>460</v>
      </c>
      <c r="BH44" s="246" t="s">
        <v>246</v>
      </c>
      <c r="BI44" s="408" t="str">
        <f t="shared" si="17"/>
        <v>No</v>
      </c>
      <c r="BJ44" s="408" t="str">
        <f t="shared" si="18"/>
        <v>No</v>
      </c>
      <c r="BK44" s="246" t="s">
        <v>246</v>
      </c>
      <c r="BL44" s="246" t="s">
        <v>246</v>
      </c>
      <c r="BM44" s="246" t="s">
        <v>64</v>
      </c>
      <c r="BN44" s="246" t="s">
        <v>64</v>
      </c>
      <c r="BO44" s="246" t="s">
        <v>246</v>
      </c>
      <c r="BP44" s="246" t="s">
        <v>246</v>
      </c>
      <c r="BQ44" s="246" t="s">
        <v>246</v>
      </c>
      <c r="BR44" s="246" t="s">
        <v>246</v>
      </c>
      <c r="BS44" s="246" t="s">
        <v>246</v>
      </c>
      <c r="BT44" s="246" t="s">
        <v>246</v>
      </c>
      <c r="BU44" s="246" t="s">
        <v>246</v>
      </c>
      <c r="BV44" s="246" t="s">
        <v>246</v>
      </c>
      <c r="BW44" s="246" t="s">
        <v>246</v>
      </c>
      <c r="BX44" s="246" t="s">
        <v>246</v>
      </c>
      <c r="BY44" s="246" t="s">
        <v>246</v>
      </c>
      <c r="BZ44" s="246" t="s">
        <v>246</v>
      </c>
      <c r="CA44" s="246" t="s">
        <v>246</v>
      </c>
      <c r="CB44" s="246" t="s">
        <v>64</v>
      </c>
      <c r="CC44" s="262">
        <f t="shared" si="19"/>
        <v>165822.9254867</v>
      </c>
      <c r="CD44" s="262">
        <f t="shared" si="20"/>
        <v>0</v>
      </c>
      <c r="CE44" s="263"/>
      <c r="CF44" s="263">
        <f t="shared" si="150"/>
        <v>0</v>
      </c>
      <c r="CG44" s="263">
        <f t="shared" si="151"/>
        <v>0</v>
      </c>
      <c r="CH44" s="263">
        <f t="shared" si="152"/>
        <v>0</v>
      </c>
      <c r="CI44" s="263">
        <f t="shared" si="153"/>
        <v>0</v>
      </c>
      <c r="CJ44" s="263">
        <f t="shared" si="154"/>
        <v>0</v>
      </c>
      <c r="CK44" s="263">
        <f t="shared" si="155"/>
        <v>0</v>
      </c>
      <c r="CL44" s="263">
        <f t="shared" si="156"/>
        <v>0</v>
      </c>
      <c r="CM44" s="263">
        <f t="shared" si="157"/>
        <v>0</v>
      </c>
      <c r="CN44" s="263">
        <f t="shared" si="158"/>
        <v>0</v>
      </c>
      <c r="CO44" s="263">
        <f t="shared" si="159"/>
        <v>0</v>
      </c>
      <c r="CP44" s="263">
        <f t="shared" si="160"/>
        <v>0</v>
      </c>
      <c r="CQ44" s="263">
        <f t="shared" si="161"/>
        <v>0</v>
      </c>
      <c r="CR44" s="263">
        <f t="shared" si="162"/>
        <v>0</v>
      </c>
      <c r="CS44" s="263">
        <f t="shared" si="163"/>
        <v>0</v>
      </c>
      <c r="CT44" s="263">
        <f t="shared" si="164"/>
        <v>0</v>
      </c>
      <c r="CU44" s="263">
        <f t="shared" si="165"/>
        <v>0</v>
      </c>
      <c r="CV44" s="263">
        <f t="shared" si="166"/>
        <v>0</v>
      </c>
      <c r="CW44" s="263">
        <f t="shared" si="167"/>
        <v>0</v>
      </c>
      <c r="CX44" s="263">
        <f t="shared" si="168"/>
        <v>0</v>
      </c>
      <c r="CY44" s="263">
        <f t="shared" si="169"/>
        <v>0</v>
      </c>
      <c r="CZ44" s="263">
        <f t="shared" si="170"/>
        <v>0</v>
      </c>
      <c r="DA44" s="263">
        <f t="shared" si="171"/>
        <v>0</v>
      </c>
      <c r="DB44" s="263">
        <f t="shared" si="172"/>
        <v>0</v>
      </c>
      <c r="DC44" s="263">
        <f t="shared" si="173"/>
        <v>0</v>
      </c>
      <c r="DD44" s="263">
        <f t="shared" si="174"/>
        <v>0</v>
      </c>
      <c r="DE44" s="263">
        <f t="shared" si="175"/>
        <v>0</v>
      </c>
      <c r="DF44" s="263">
        <f t="shared" si="176"/>
        <v>3510691</v>
      </c>
      <c r="DG44" s="263">
        <f t="shared" si="177"/>
        <v>0</v>
      </c>
      <c r="DH44" s="263">
        <f t="shared" si="178"/>
        <v>3510691</v>
      </c>
      <c r="DI44" s="263">
        <f t="shared" si="179"/>
        <v>3510691</v>
      </c>
      <c r="DJ44" s="263">
        <f t="shared" si="180"/>
        <v>0</v>
      </c>
      <c r="DK44" s="263">
        <f t="shared" si="181"/>
        <v>0</v>
      </c>
      <c r="DL44" s="263">
        <f t="shared" si="182"/>
        <v>0</v>
      </c>
      <c r="DM44" s="263">
        <f t="shared" si="183"/>
        <v>0</v>
      </c>
      <c r="DO44" s="264">
        <f t="shared" si="184"/>
        <v>0</v>
      </c>
      <c r="DP44" s="265">
        <f t="shared" si="185"/>
        <v>0</v>
      </c>
      <c r="DQ44" s="264">
        <f t="shared" si="186"/>
        <v>3510691</v>
      </c>
      <c r="DR44" s="264">
        <f t="shared" si="187"/>
        <v>0</v>
      </c>
      <c r="DS44" s="265">
        <f t="shared" si="188"/>
        <v>0</v>
      </c>
      <c r="DT44" s="264">
        <f t="shared" si="189"/>
        <v>3510691</v>
      </c>
      <c r="DU44" s="264">
        <f t="shared" si="190"/>
        <v>0</v>
      </c>
      <c r="DV44" s="265">
        <f t="shared" si="191"/>
        <v>0</v>
      </c>
      <c r="DW44" s="264">
        <f t="shared" si="192"/>
        <v>3510691</v>
      </c>
      <c r="DX44" s="264">
        <f t="shared" si="193"/>
        <v>0</v>
      </c>
      <c r="DY44" s="265">
        <f t="shared" si="194"/>
        <v>0</v>
      </c>
      <c r="DZ44" s="264">
        <f t="shared" si="195"/>
        <v>3510691</v>
      </c>
      <c r="EA44" s="264">
        <f t="shared" si="196"/>
        <v>0</v>
      </c>
      <c r="EB44" s="265">
        <f t="shared" si="197"/>
        <v>0</v>
      </c>
      <c r="EC44" s="264">
        <f t="shared" si="198"/>
        <v>3510691</v>
      </c>
      <c r="ED44" s="264">
        <f t="shared" si="199"/>
        <v>0</v>
      </c>
      <c r="EE44" s="265">
        <f t="shared" si="200"/>
        <v>0</v>
      </c>
      <c r="EF44" s="264">
        <f t="shared" si="201"/>
        <v>3510691</v>
      </c>
      <c r="EG44" s="264">
        <f t="shared" si="202"/>
        <v>0</v>
      </c>
      <c r="EH44" s="265">
        <f t="shared" si="203"/>
        <v>0</v>
      </c>
      <c r="EI44" s="264">
        <f t="shared" si="204"/>
        <v>3510691</v>
      </c>
      <c r="EJ44" s="264">
        <f t="shared" si="205"/>
        <v>0</v>
      </c>
      <c r="EK44" s="265">
        <f t="shared" si="206"/>
        <v>0</v>
      </c>
      <c r="EL44" s="264">
        <f t="shared" si="207"/>
        <v>3510691</v>
      </c>
      <c r="EM44" s="264">
        <f t="shared" si="208"/>
        <v>0</v>
      </c>
      <c r="EN44" s="265">
        <f t="shared" si="209"/>
        <v>0</v>
      </c>
      <c r="EO44" s="264">
        <f t="shared" si="210"/>
        <v>3510691</v>
      </c>
      <c r="EP44" s="264">
        <f t="shared" si="211"/>
        <v>0</v>
      </c>
      <c r="EQ44" s="265">
        <f t="shared" si="212"/>
        <v>0</v>
      </c>
      <c r="ER44" s="264">
        <f t="shared" si="213"/>
        <v>3510691</v>
      </c>
      <c r="ES44" s="264">
        <f t="shared" si="214"/>
        <v>0</v>
      </c>
      <c r="ET44" s="265">
        <f t="shared" si="215"/>
        <v>0</v>
      </c>
      <c r="EU44" s="264">
        <f t="shared" si="216"/>
        <v>3510691</v>
      </c>
      <c r="EV44" s="264">
        <f>IF(AND(BM44="Yes",OR(BN44="No",AND(BN44="Yes",Inputs!$J$8=Inputs!$J$17+75))),EU44,0)</f>
        <v>0</v>
      </c>
      <c r="EW44" s="265">
        <f t="shared" si="217"/>
        <v>0</v>
      </c>
      <c r="EX44" s="264">
        <f t="shared" si="218"/>
        <v>3510691</v>
      </c>
      <c r="EY44" s="264">
        <f t="shared" si="219"/>
        <v>0</v>
      </c>
      <c r="EZ44" s="265">
        <f t="shared" si="220"/>
        <v>0</v>
      </c>
      <c r="FA44" s="264">
        <f t="shared" si="221"/>
        <v>3510691</v>
      </c>
      <c r="FB44" s="264">
        <f t="shared" si="222"/>
        <v>0</v>
      </c>
      <c r="FC44" s="265">
        <f t="shared" si="223"/>
        <v>0</v>
      </c>
      <c r="FD44" s="264">
        <f t="shared" si="224"/>
        <v>3510691</v>
      </c>
      <c r="FE44" s="264">
        <f t="shared" si="225"/>
        <v>0</v>
      </c>
      <c r="FF44" s="265">
        <f t="shared" si="226"/>
        <v>0</v>
      </c>
      <c r="FG44" s="264">
        <f t="shared" si="227"/>
        <v>3510691</v>
      </c>
      <c r="FH44" s="264">
        <f t="shared" si="228"/>
        <v>3510691</v>
      </c>
      <c r="FI44" s="264">
        <f t="shared" si="229"/>
        <v>0</v>
      </c>
      <c r="FJ44" s="264">
        <f t="shared" si="230"/>
        <v>3510691</v>
      </c>
      <c r="FK44" s="264">
        <f t="shared" si="231"/>
        <v>3510691</v>
      </c>
      <c r="FL44" s="264">
        <f t="shared" si="232"/>
        <v>0</v>
      </c>
      <c r="FM44" s="264">
        <f t="shared" si="233"/>
        <v>3510691</v>
      </c>
      <c r="FN44" s="264">
        <f t="shared" si="234"/>
        <v>3510691</v>
      </c>
      <c r="FO44" s="264">
        <f t="shared" si="235"/>
        <v>0</v>
      </c>
      <c r="FP44" s="264">
        <f t="shared" si="236"/>
        <v>3510691</v>
      </c>
      <c r="FQ44" s="264">
        <f t="shared" si="237"/>
        <v>0</v>
      </c>
      <c r="FR44" s="265">
        <f t="shared" si="238"/>
        <v>0</v>
      </c>
      <c r="FS44" s="264">
        <f t="shared" si="239"/>
        <v>3510691</v>
      </c>
      <c r="FT44" s="264">
        <f t="shared" si="240"/>
        <v>0</v>
      </c>
      <c r="FU44" s="265">
        <f t="shared" si="241"/>
        <v>0</v>
      </c>
      <c r="FV44" s="264">
        <f t="shared" si="242"/>
        <v>3510691</v>
      </c>
      <c r="FW44" s="264">
        <f t="shared" si="243"/>
        <v>0</v>
      </c>
      <c r="FX44" s="264">
        <f t="shared" si="244"/>
        <v>0</v>
      </c>
      <c r="FY44" s="264">
        <f t="shared" si="245"/>
        <v>0</v>
      </c>
      <c r="FZ44" s="264">
        <f t="shared" si="246"/>
        <v>0</v>
      </c>
      <c r="GA44" s="265">
        <f t="shared" si="296"/>
        <v>0</v>
      </c>
      <c r="GB44" s="264">
        <f t="shared" si="297"/>
        <v>3510691</v>
      </c>
      <c r="GC44" s="264">
        <f t="shared" si="247"/>
        <v>3510691</v>
      </c>
      <c r="GD44" s="266">
        <f t="shared" si="248"/>
        <v>2327844.7878806763</v>
      </c>
      <c r="GE44" s="138">
        <f t="shared" si="249"/>
        <v>0.66307310665640362</v>
      </c>
      <c r="GF44" s="267">
        <f t="shared" si="250"/>
        <v>46</v>
      </c>
      <c r="GG44" s="264">
        <f t="array" ref="GG44">IF(SUM(IF(IC$9:IC43=IC44,1,0))&gt;0,0,SUMIF($IC$10:$IC$406,IC44,$FJ$10:$FJ$406))</f>
        <v>0</v>
      </c>
      <c r="GH44" s="268">
        <f t="shared" si="251"/>
        <v>0</v>
      </c>
      <c r="GI44" s="137">
        <f t="shared" si="126"/>
        <v>35</v>
      </c>
      <c r="GJ44" s="269">
        <f t="shared" si="252"/>
        <v>0</v>
      </c>
      <c r="GK44" s="269">
        <f t="shared" si="253"/>
        <v>0</v>
      </c>
      <c r="GL44" s="163">
        <f t="shared" si="254"/>
        <v>0</v>
      </c>
      <c r="GM44" s="137">
        <f t="array" ref="GM44">IF(GJ44=0,0,LARGE(IF($GG$10:$GG$406=GJ44,$GF$10:$GF$406,0),COUNTIF($GJ$10:$GJ$406,GJ44)-COUNTIF(GJ$9:GJ43,GJ44)))</f>
        <v>0</v>
      </c>
      <c r="GN44" s="270">
        <f t="shared" si="255"/>
        <v>0</v>
      </c>
      <c r="GP44" s="137">
        <f>IF(C44="","",IF(ISERROR(MATCH(C44,C$10:C43,0)),MAX(GP$10:GP43)+1,INDEX(GP$10:GP43,MATCH(C44,C$10:C43,0))))</f>
        <v>29</v>
      </c>
      <c r="GQ44" s="264">
        <f>IF(COUNTIF($A$10:A44,A44)&lt;=1,SUMIF($A$10:$A$406,A44,$FH$10:$FH$406),0)</f>
        <v>3510691</v>
      </c>
      <c r="GR44" s="137">
        <f t="shared" si="130"/>
        <v>35</v>
      </c>
      <c r="GS44" s="269">
        <f t="shared" si="256"/>
        <v>7594713.0600500004</v>
      </c>
      <c r="GT44" s="269">
        <f t="shared" si="257"/>
        <v>50964284.172430128</v>
      </c>
      <c r="GU44" s="163">
        <f t="shared" si="258"/>
        <v>0</v>
      </c>
      <c r="GV44" s="137">
        <f t="array" ref="GV44">IF(GS44=0,0,LARGE(IF($GQ$10:$GQ$406=GS44,$GP$10:$GP$406,0),COUNTIF($GS$10:$GS$406,GS44)-COUNTIF(GS$9:GS43,GS44)))</f>
        <v>66</v>
      </c>
      <c r="GW44" s="270">
        <f t="shared" si="259"/>
        <v>0</v>
      </c>
      <c r="GX44" s="270"/>
      <c r="GY44" s="137">
        <f>IF(C44="","",IF(ISERROR(MATCH(C44,C$10:C43,0)),MAX(GP$10:GP43)+1,INDEX(GP$10:GP43,MATCH(C44,C$10:C43,0))))</f>
        <v>29</v>
      </c>
      <c r="GZ44" s="264">
        <f>IF(COUNTIF($A$10:A44,A44)&lt;=1,SUMIF($A$10:$A$406,A44,$FH$10:$FH$406),0)</f>
        <v>3510691</v>
      </c>
      <c r="HA44" s="137">
        <f t="shared" si="134"/>
        <v>35</v>
      </c>
      <c r="HB44" s="269">
        <f t="shared" si="260"/>
        <v>7594713.0600500004</v>
      </c>
      <c r="HC44" s="414" t="s">
        <v>622</v>
      </c>
      <c r="HD44" s="163">
        <f t="shared" si="261"/>
        <v>0</v>
      </c>
      <c r="HE44" s="137">
        <f t="array" ref="HE44">IF(HB44=0,0,LARGE(IF($GZ$10:$GZ$406=HB44,$GY$10:$GY$406,0),COUNTIF($HB$10:$HB$406,HB44)-COUNTIF(HB$9:HB43,HB44)))</f>
        <v>66</v>
      </c>
      <c r="HF44" s="270">
        <f t="shared" si="262"/>
        <v>0</v>
      </c>
      <c r="HG44"/>
      <c r="HH44" s="268">
        <f t="shared" si="263"/>
        <v>0</v>
      </c>
      <c r="HI44" s="271">
        <v>0</v>
      </c>
      <c r="HJ44" s="264">
        <f t="shared" si="264"/>
        <v>0</v>
      </c>
      <c r="HL44" s="137">
        <f t="shared" si="265"/>
        <v>35</v>
      </c>
      <c r="HM44" s="264">
        <f t="shared" si="300"/>
        <v>2761876.5</v>
      </c>
      <c r="HO44" s="199">
        <f t="shared" si="301"/>
        <v>3510691</v>
      </c>
      <c r="HP44" s="199">
        <f t="shared" si="302"/>
        <v>3510691</v>
      </c>
      <c r="HQ44" s="199" t="str">
        <f t="shared" si="303"/>
        <v/>
      </c>
      <c r="HR44" s="199" t="str">
        <f t="shared" si="304"/>
        <v/>
      </c>
      <c r="HS44" s="199" t="str">
        <f t="shared" si="119"/>
        <v/>
      </c>
      <c r="HT44" s="199" t="str">
        <f t="shared" si="305"/>
        <v/>
      </c>
      <c r="HU44" s="199" t="str">
        <f t="shared" si="306"/>
        <v/>
      </c>
      <c r="HV44" s="200">
        <f t="shared" si="307"/>
        <v>0</v>
      </c>
      <c r="HW44" s="272">
        <f t="shared" si="308"/>
        <v>1</v>
      </c>
      <c r="HX44" s="200" t="str">
        <f t="shared" si="309"/>
        <v/>
      </c>
      <c r="HY44" s="200">
        <f t="shared" si="310"/>
        <v>0</v>
      </c>
      <c r="HZ44" s="200" t="str">
        <f t="shared" si="4"/>
        <v/>
      </c>
      <c r="IA44" s="200" t="str">
        <f t="shared" si="311"/>
        <v/>
      </c>
      <c r="IB44" s="200" t="str">
        <f t="shared" si="312"/>
        <v/>
      </c>
      <c r="IC44" s="273">
        <f>IF(C44="","",INDEX(Lookups!$E$2:$E$69,MATCH('Loan List'!BE44,Lookups!$F$2:$F$69,0)))</f>
        <v>46</v>
      </c>
      <c r="ID44" t="b">
        <f t="shared" si="313"/>
        <v>1</v>
      </c>
      <c r="IF44" s="346" t="str">
        <f t="shared" si="121"/>
        <v>No Initial Haircut</v>
      </c>
    </row>
    <row r="45" spans="1:240">
      <c r="A45" t="s">
        <v>736</v>
      </c>
      <c r="B45" s="242">
        <f t="shared" si="149"/>
        <v>36</v>
      </c>
      <c r="C45" s="242">
        <f>IF(COUNTIF($A$10:A44,A45)&gt;0,C44,C44+1)</f>
        <v>30</v>
      </c>
      <c r="D45" s="431" t="s">
        <v>736</v>
      </c>
      <c r="E45" s="428" t="s">
        <v>815</v>
      </c>
      <c r="F45" s="429"/>
      <c r="G45" s="430">
        <v>2256888</v>
      </c>
      <c r="H45" s="430">
        <v>2256888</v>
      </c>
      <c r="I45" s="244">
        <f>IF(B45="","",VLOOKUP(BF45,Inputs!$A$12:$J$15,10,FALSE))</f>
        <v>1</v>
      </c>
      <c r="J45" s="245">
        <f t="shared" si="5"/>
        <v>2256888</v>
      </c>
      <c r="K45" s="245">
        <f t="shared" si="6"/>
        <v>2256888</v>
      </c>
      <c r="L45" s="245">
        <f t="shared" si="7"/>
        <v>0</v>
      </c>
      <c r="M45" s="245">
        <f t="shared" si="8"/>
        <v>0</v>
      </c>
      <c r="N45" s="246" t="s">
        <v>246</v>
      </c>
      <c r="O45" s="246" t="s">
        <v>245</v>
      </c>
      <c r="P45" s="247">
        <f>IF(B45="","",IF(OR(O45="N/A",O45=""),0,YEARFRAC('Borrowing Base'!$J$4,'Loan List'!O45)*12))</f>
        <v>0</v>
      </c>
      <c r="Q45" s="246" t="s">
        <v>246</v>
      </c>
      <c r="R45" s="248">
        <v>0.84919999999999995</v>
      </c>
      <c r="S45" s="249" t="str">
        <f t="shared" si="1"/>
        <v>Yes</v>
      </c>
      <c r="T45" s="248">
        <v>0.84920000000000007</v>
      </c>
      <c r="U45" s="250">
        <f t="shared" si="9"/>
        <v>0.5</v>
      </c>
      <c r="V45" s="250">
        <f t="shared" si="10"/>
        <v>0.72499999999999998</v>
      </c>
      <c r="W45" s="251">
        <f>IF($C45="","",MIN($HP45:$HT45))</f>
        <v>0</v>
      </c>
      <c r="X45" s="246" t="s">
        <v>246</v>
      </c>
      <c r="Y45" s="252" t="s">
        <v>483</v>
      </c>
      <c r="Z45" s="252" t="s">
        <v>484</v>
      </c>
      <c r="AA45" s="253" t="s">
        <v>407</v>
      </c>
      <c r="AB45" s="253" t="s">
        <v>407</v>
      </c>
      <c r="AC45" s="254">
        <v>1.1299999999999999</v>
      </c>
      <c r="AD45" s="254">
        <v>1.1299999999999999</v>
      </c>
      <c r="AE45" s="254">
        <v>1.48</v>
      </c>
      <c r="AF45" s="255">
        <v>0.51300000000000001</v>
      </c>
      <c r="AG45" s="256">
        <v>7.42</v>
      </c>
      <c r="AH45" s="256">
        <v>7.42</v>
      </c>
      <c r="AI45" s="256">
        <v>7.42</v>
      </c>
      <c r="AJ45" s="256">
        <v>7.42</v>
      </c>
      <c r="AK45" s="257">
        <v>91200000</v>
      </c>
      <c r="AL45" s="257">
        <v>91200000</v>
      </c>
      <c r="AM45" s="258">
        <v>45747</v>
      </c>
      <c r="AN45" s="245" t="str">
        <f t="shared" si="12"/>
        <v>Tier 1</v>
      </c>
      <c r="AO45" s="243">
        <v>46969</v>
      </c>
      <c r="AP45" s="259">
        <f>IF(C45="","",DAYS360(Inputs!$J$8,AO45)/360)</f>
        <v>2.9444444444444446</v>
      </c>
      <c r="AQ45" s="259">
        <f t="shared" si="13"/>
        <v>2.9444444444444446</v>
      </c>
      <c r="AR45" s="246" t="s">
        <v>246</v>
      </c>
      <c r="AS45" s="248">
        <v>0</v>
      </c>
      <c r="AT45" s="246" t="s">
        <v>64</v>
      </c>
      <c r="AU45" s="248">
        <v>0.01</v>
      </c>
      <c r="AV45" s="248">
        <v>4.7500000000000001E-2</v>
      </c>
      <c r="AW45" s="248">
        <v>4.2956099999999997E-2</v>
      </c>
      <c r="AX45" s="260">
        <f t="shared" si="14"/>
        <v>4.2956099999999997E-2</v>
      </c>
      <c r="AY45" s="248">
        <v>0</v>
      </c>
      <c r="AZ45" s="248">
        <v>0</v>
      </c>
      <c r="BA45" s="248">
        <v>0</v>
      </c>
      <c r="BB45" s="407">
        <f t="shared" si="15"/>
        <v>4.7500000000000001E-2</v>
      </c>
      <c r="BC45" s="407" t="str">
        <f t="shared" si="16"/>
        <v/>
      </c>
      <c r="BD45" s="252" t="s">
        <v>249</v>
      </c>
      <c r="BE45" s="261" t="s">
        <v>357</v>
      </c>
      <c r="BF45" s="252" t="s">
        <v>7</v>
      </c>
      <c r="BG45" s="252" t="s">
        <v>460</v>
      </c>
      <c r="BH45" s="246" t="s">
        <v>246</v>
      </c>
      <c r="BI45" s="408" t="str">
        <f t="shared" si="17"/>
        <v>No</v>
      </c>
      <c r="BJ45" s="408" t="str">
        <f t="shared" si="18"/>
        <v>No</v>
      </c>
      <c r="BK45" s="246" t="s">
        <v>246</v>
      </c>
      <c r="BL45" s="246" t="s">
        <v>246</v>
      </c>
      <c r="BM45" s="246" t="s">
        <v>64</v>
      </c>
      <c r="BN45" s="246" t="s">
        <v>64</v>
      </c>
      <c r="BO45" s="246" t="s">
        <v>246</v>
      </c>
      <c r="BP45" s="246" t="s">
        <v>246</v>
      </c>
      <c r="BQ45" s="246" t="s">
        <v>246</v>
      </c>
      <c r="BR45" s="246" t="s">
        <v>246</v>
      </c>
      <c r="BS45" s="246" t="s">
        <v>246</v>
      </c>
      <c r="BT45" s="246" t="s">
        <v>246</v>
      </c>
      <c r="BU45" s="246" t="s">
        <v>246</v>
      </c>
      <c r="BV45" s="246" t="s">
        <v>64</v>
      </c>
      <c r="BW45" s="246" t="s">
        <v>246</v>
      </c>
      <c r="BX45" s="246" t="s">
        <v>246</v>
      </c>
      <c r="BY45" s="246" t="s">
        <v>246</v>
      </c>
      <c r="BZ45" s="246" t="s">
        <v>246</v>
      </c>
      <c r="CA45" s="246" t="s">
        <v>246</v>
      </c>
      <c r="CB45" s="246" t="s">
        <v>64</v>
      </c>
      <c r="CC45" s="262">
        <f t="shared" si="19"/>
        <v>0</v>
      </c>
      <c r="CD45" s="262">
        <f t="shared" si="20"/>
        <v>0</v>
      </c>
      <c r="CE45" s="263"/>
      <c r="CF45" s="263">
        <f t="shared" si="150"/>
        <v>1</v>
      </c>
      <c r="CG45" s="263">
        <f t="shared" si="151"/>
        <v>0</v>
      </c>
      <c r="CH45" s="263">
        <f t="shared" si="152"/>
        <v>0</v>
      </c>
      <c r="CI45" s="263">
        <f t="shared" si="153"/>
        <v>0</v>
      </c>
      <c r="CJ45" s="263">
        <f t="shared" si="154"/>
        <v>0</v>
      </c>
      <c r="CK45" s="263">
        <f t="shared" si="155"/>
        <v>0</v>
      </c>
      <c r="CL45" s="263">
        <f t="shared" si="156"/>
        <v>0</v>
      </c>
      <c r="CM45" s="263">
        <f t="shared" si="157"/>
        <v>0</v>
      </c>
      <c r="CN45" s="263">
        <f t="shared" si="158"/>
        <v>0</v>
      </c>
      <c r="CO45" s="263">
        <f t="shared" si="159"/>
        <v>0</v>
      </c>
      <c r="CP45" s="263">
        <f t="shared" si="160"/>
        <v>0</v>
      </c>
      <c r="CQ45" s="263">
        <f t="shared" si="161"/>
        <v>1</v>
      </c>
      <c r="CR45" s="263">
        <f t="shared" si="162"/>
        <v>0</v>
      </c>
      <c r="CS45" s="263">
        <f t="shared" si="163"/>
        <v>0</v>
      </c>
      <c r="CT45" s="263">
        <f t="shared" si="164"/>
        <v>0</v>
      </c>
      <c r="CU45" s="263">
        <f t="shared" si="165"/>
        <v>0</v>
      </c>
      <c r="CV45" s="263">
        <f t="shared" si="166"/>
        <v>0</v>
      </c>
      <c r="CW45" s="263">
        <f t="shared" si="167"/>
        <v>0</v>
      </c>
      <c r="CX45" s="263">
        <f>IF(CB45="No",1,0)</f>
        <v>0</v>
      </c>
      <c r="CY45" s="263">
        <f t="shared" si="169"/>
        <v>0</v>
      </c>
      <c r="CZ45" s="263">
        <f t="shared" si="170"/>
        <v>0</v>
      </c>
      <c r="DA45" s="263">
        <f t="shared" si="171"/>
        <v>0</v>
      </c>
      <c r="DB45" s="263">
        <f t="shared" si="172"/>
        <v>0</v>
      </c>
      <c r="DC45" s="263">
        <f t="shared" si="173"/>
        <v>0</v>
      </c>
      <c r="DD45" s="263">
        <f t="shared" si="174"/>
        <v>1</v>
      </c>
      <c r="DE45" s="263">
        <f>IF((SUM(CF45:CY45)=0),0,W45)</f>
        <v>0</v>
      </c>
      <c r="DF45" s="263">
        <f>IF(OR(B45="",DE45&gt;0),0,W45)</f>
        <v>0</v>
      </c>
      <c r="DG45" s="263">
        <f t="shared" si="177"/>
        <v>0</v>
      </c>
      <c r="DH45" s="263">
        <f>DF45+IF(DE45&gt;0,0,DG45)</f>
        <v>0</v>
      </c>
      <c r="DI45" s="263">
        <f>IF(B45="","",M45+DG45)</f>
        <v>0</v>
      </c>
      <c r="DJ45" s="263">
        <f t="shared" si="180"/>
        <v>0</v>
      </c>
      <c r="DK45" s="263">
        <f t="shared" si="181"/>
        <v>0</v>
      </c>
      <c r="DL45" s="263">
        <f t="shared" si="182"/>
        <v>0</v>
      </c>
      <c r="DM45" s="263">
        <f t="shared" si="183"/>
        <v>0</v>
      </c>
      <c r="DO45" s="264">
        <f t="shared" si="184"/>
        <v>0</v>
      </c>
      <c r="DP45" s="265">
        <f t="shared" si="185"/>
        <v>0</v>
      </c>
      <c r="DQ45" s="264">
        <f t="shared" si="186"/>
        <v>0</v>
      </c>
      <c r="DR45" s="264">
        <f t="shared" si="187"/>
        <v>0</v>
      </c>
      <c r="DS45" s="265">
        <f t="shared" si="188"/>
        <v>0</v>
      </c>
      <c r="DT45" s="264">
        <f t="shared" si="189"/>
        <v>0</v>
      </c>
      <c r="DU45" s="264">
        <f t="shared" si="190"/>
        <v>0</v>
      </c>
      <c r="DV45" s="265">
        <f t="shared" si="191"/>
        <v>0</v>
      </c>
      <c r="DW45" s="264">
        <f t="shared" si="192"/>
        <v>0</v>
      </c>
      <c r="DX45" s="264">
        <f t="shared" si="193"/>
        <v>0</v>
      </c>
      <c r="DY45" s="265">
        <f t="shared" si="194"/>
        <v>0</v>
      </c>
      <c r="DZ45" s="264">
        <f t="shared" si="195"/>
        <v>0</v>
      </c>
      <c r="EA45" s="264">
        <f t="shared" si="196"/>
        <v>0</v>
      </c>
      <c r="EB45" s="265">
        <f t="shared" si="197"/>
        <v>0</v>
      </c>
      <c r="EC45" s="264">
        <f t="shared" si="198"/>
        <v>0</v>
      </c>
      <c r="ED45" s="264">
        <f t="shared" si="199"/>
        <v>0</v>
      </c>
      <c r="EE45" s="265">
        <f t="shared" si="200"/>
        <v>0</v>
      </c>
      <c r="EF45" s="264">
        <f t="shared" si="201"/>
        <v>0</v>
      </c>
      <c r="EG45" s="264">
        <f t="shared" si="202"/>
        <v>0</v>
      </c>
      <c r="EH45" s="265">
        <f t="shared" si="203"/>
        <v>0</v>
      </c>
      <c r="EI45" s="264">
        <f t="shared" si="204"/>
        <v>0</v>
      </c>
      <c r="EJ45" s="264">
        <f t="shared" si="205"/>
        <v>0</v>
      </c>
      <c r="EK45" s="265">
        <f t="shared" si="206"/>
        <v>0</v>
      </c>
      <c r="EL45" s="264">
        <f t="shared" si="207"/>
        <v>0</v>
      </c>
      <c r="EM45" s="264">
        <f t="shared" si="208"/>
        <v>0</v>
      </c>
      <c r="EN45" s="265">
        <f t="shared" si="209"/>
        <v>0</v>
      </c>
      <c r="EO45" s="264">
        <f t="shared" si="210"/>
        <v>0</v>
      </c>
      <c r="EP45" s="264">
        <f t="shared" si="211"/>
        <v>0</v>
      </c>
      <c r="EQ45" s="265">
        <f t="shared" si="212"/>
        <v>0</v>
      </c>
      <c r="ER45" s="264">
        <f t="shared" si="213"/>
        <v>0</v>
      </c>
      <c r="ES45" s="264">
        <f t="shared" si="214"/>
        <v>0</v>
      </c>
      <c r="ET45" s="265">
        <f t="shared" si="215"/>
        <v>0</v>
      </c>
      <c r="EU45" s="264">
        <f t="shared" si="216"/>
        <v>0</v>
      </c>
      <c r="EV45" s="264">
        <f>IF(AND(BM45="Yes",OR(BN45="No",AND(BN45="Yes",Inputs!$J$8=Inputs!$J$17+75))),EU45,0)</f>
        <v>0</v>
      </c>
      <c r="EW45" s="265">
        <f t="shared" si="217"/>
        <v>0</v>
      </c>
      <c r="EX45" s="264">
        <f t="shared" si="218"/>
        <v>0</v>
      </c>
      <c r="EY45" s="264">
        <f t="shared" si="219"/>
        <v>0</v>
      </c>
      <c r="EZ45" s="265">
        <f t="shared" si="220"/>
        <v>0</v>
      </c>
      <c r="FA45" s="264">
        <f t="shared" si="221"/>
        <v>0</v>
      </c>
      <c r="FB45" s="264">
        <f t="shared" si="222"/>
        <v>0</v>
      </c>
      <c r="FC45" s="265">
        <f t="shared" si="223"/>
        <v>0</v>
      </c>
      <c r="FD45" s="264">
        <f t="shared" si="224"/>
        <v>0</v>
      </c>
      <c r="FE45" s="264">
        <f t="shared" si="225"/>
        <v>0</v>
      </c>
      <c r="FF45" s="265">
        <f t="shared" si="226"/>
        <v>0</v>
      </c>
      <c r="FG45" s="264">
        <f t="shared" si="227"/>
        <v>0</v>
      </c>
      <c r="FH45" s="264">
        <f t="shared" si="228"/>
        <v>0</v>
      </c>
      <c r="FI45" s="264">
        <f t="shared" si="229"/>
        <v>0</v>
      </c>
      <c r="FJ45" s="264">
        <f t="shared" si="230"/>
        <v>0</v>
      </c>
      <c r="FK45" s="264">
        <f t="shared" si="231"/>
        <v>0</v>
      </c>
      <c r="FL45" s="264">
        <f t="shared" si="232"/>
        <v>0</v>
      </c>
      <c r="FM45" s="264">
        <f t="shared" si="233"/>
        <v>0</v>
      </c>
      <c r="FN45" s="264">
        <f t="shared" si="234"/>
        <v>0</v>
      </c>
      <c r="FO45" s="264">
        <f t="shared" si="235"/>
        <v>0</v>
      </c>
      <c r="FP45" s="264">
        <f t="shared" si="236"/>
        <v>0</v>
      </c>
      <c r="FQ45" s="264">
        <f t="shared" si="237"/>
        <v>0</v>
      </c>
      <c r="FR45" s="265">
        <f t="shared" si="238"/>
        <v>0</v>
      </c>
      <c r="FS45" s="264">
        <f t="shared" si="239"/>
        <v>0</v>
      </c>
      <c r="FT45" s="264">
        <f t="shared" si="240"/>
        <v>0</v>
      </c>
      <c r="FU45" s="265">
        <f t="shared" si="241"/>
        <v>0</v>
      </c>
      <c r="FV45" s="264">
        <f t="shared" si="242"/>
        <v>0</v>
      </c>
      <c r="FW45" s="264">
        <f t="shared" si="243"/>
        <v>0</v>
      </c>
      <c r="FX45" s="264">
        <f t="shared" si="244"/>
        <v>0</v>
      </c>
      <c r="FY45" s="264">
        <f t="shared" si="245"/>
        <v>0</v>
      </c>
      <c r="FZ45" s="264">
        <f t="shared" si="246"/>
        <v>0</v>
      </c>
      <c r="GA45" s="265">
        <f t="shared" si="296"/>
        <v>0</v>
      </c>
      <c r="GB45" s="264">
        <f t="shared" si="297"/>
        <v>0</v>
      </c>
      <c r="GC45" s="264">
        <f t="shared" si="247"/>
        <v>0</v>
      </c>
      <c r="GD45" s="266">
        <f t="shared" si="248"/>
        <v>0</v>
      </c>
      <c r="GE45" s="138">
        <f t="shared" si="249"/>
        <v>0</v>
      </c>
      <c r="GF45" s="267">
        <f t="shared" si="250"/>
        <v>12</v>
      </c>
      <c r="GG45" s="264">
        <f t="array" ref="GG45">IF(SUM(IF(IC$9:IC44=IC45,1,0))&gt;0,0,SUMIF($IC$10:$IC$406,IC45,$FJ$10:$FJ$406))</f>
        <v>0</v>
      </c>
      <c r="GH45" s="268">
        <f t="shared" si="251"/>
        <v>0</v>
      </c>
      <c r="GI45" s="137">
        <f t="shared" si="126"/>
        <v>36</v>
      </c>
      <c r="GJ45" s="269">
        <f t="shared" si="252"/>
        <v>0</v>
      </c>
      <c r="GK45" s="269">
        <f t="shared" si="253"/>
        <v>0</v>
      </c>
      <c r="GL45" s="163">
        <f t="shared" si="254"/>
        <v>0</v>
      </c>
      <c r="GM45" s="137">
        <f t="array" ref="GM45">IF(GJ45=0,0,LARGE(IF($GG$10:$GG$406=GJ45,$GF$10:$GF$406,0),COUNTIF($GJ$10:$GJ$406,GJ45)-COUNTIF(GJ$9:GJ44,GJ45)))</f>
        <v>0</v>
      </c>
      <c r="GN45" s="270">
        <f t="shared" si="255"/>
        <v>0</v>
      </c>
      <c r="GP45" s="137">
        <f>IF(C45="","",IF(ISERROR(MATCH(C45,C$10:C44,0)),MAX(GP$10:GP44)+1,INDEX(GP$10:GP44,MATCH(C45,C$10:C44,0))))</f>
        <v>30</v>
      </c>
      <c r="GQ45" s="264">
        <f>IF(COUNTIF($A$10:A45,A45)&lt;=1,SUMIF($A$10:$A$406,A45,$FH$10:$FH$406),0)</f>
        <v>0</v>
      </c>
      <c r="GR45" s="137">
        <f t="shared" si="130"/>
        <v>36</v>
      </c>
      <c r="GS45" s="269">
        <f t="shared" si="256"/>
        <v>7500000</v>
      </c>
      <c r="GT45" s="269">
        <f t="shared" si="257"/>
        <v>50964284.172430128</v>
      </c>
      <c r="GU45" s="163">
        <f t="shared" si="258"/>
        <v>0</v>
      </c>
      <c r="GV45" s="137">
        <f t="array" ref="GV45">IF(GS45=0,0,LARGE(IF($GQ$10:$GQ$406=GS45,$GP$10:$GP$406,0),COUNTIF($GS$10:$GS$406,GS45)-COUNTIF(GS$9:GS44,GS45)))</f>
        <v>46</v>
      </c>
      <c r="GW45" s="270">
        <f t="shared" si="259"/>
        <v>0</v>
      </c>
      <c r="GX45" s="270"/>
      <c r="GY45" s="137">
        <f>IF(C45="","",IF(ISERROR(MATCH(C45,C$10:C44,0)),MAX(GP$10:GP44)+1,INDEX(GP$10:GP44,MATCH(C45,C$10:C44,0))))</f>
        <v>30</v>
      </c>
      <c r="GZ45" s="264">
        <f>IF(COUNTIF($A$10:A45,A45)&lt;=1,SUMIF($A$10:$A$406,A45,$FH$10:$FH$406),0)</f>
        <v>0</v>
      </c>
      <c r="HA45" s="137">
        <f t="shared" si="134"/>
        <v>36</v>
      </c>
      <c r="HB45" s="269">
        <f t="shared" si="260"/>
        <v>7500000</v>
      </c>
      <c r="HC45" s="414" t="s">
        <v>622</v>
      </c>
      <c r="HD45" s="163">
        <f t="shared" si="261"/>
        <v>0</v>
      </c>
      <c r="HE45" s="137">
        <f t="array" ref="HE45">IF(HB45=0,0,LARGE(IF($GZ$10:$GZ$406=HB45,$GY$10:$GY$406,0),COUNTIF($HB$10:$HB$406,HB45)-COUNTIF(HB$9:HB44,HB45)))</f>
        <v>46</v>
      </c>
      <c r="HF45" s="270">
        <f t="shared" si="262"/>
        <v>0</v>
      </c>
      <c r="HG45"/>
      <c r="HH45" s="268">
        <f t="shared" si="263"/>
        <v>0</v>
      </c>
      <c r="HI45" s="271">
        <v>0</v>
      </c>
      <c r="HJ45" s="264">
        <f t="shared" si="264"/>
        <v>0</v>
      </c>
      <c r="HL45" s="137">
        <f t="shared" si="265"/>
        <v>36</v>
      </c>
      <c r="HM45" s="264">
        <f t="shared" si="300"/>
        <v>2283660.7400000002</v>
      </c>
      <c r="HO45" s="199">
        <f t="shared" si="301"/>
        <v>0</v>
      </c>
      <c r="HP45" s="199">
        <f t="shared" si="302"/>
        <v>0</v>
      </c>
      <c r="HQ45" s="199" t="str">
        <f t="shared" si="303"/>
        <v/>
      </c>
      <c r="HR45" s="199">
        <f t="shared" si="304"/>
        <v>0</v>
      </c>
      <c r="HS45" s="199" t="str">
        <f t="shared" si="119"/>
        <v/>
      </c>
      <c r="HT45" s="199">
        <f t="shared" si="305"/>
        <v>0</v>
      </c>
      <c r="HU45" s="199" t="str">
        <f>IF(DE45&gt;0,DE45,"")</f>
        <v/>
      </c>
      <c r="HV45" s="200">
        <f>IF(B45="",0,$L45-$M45)</f>
        <v>0</v>
      </c>
      <c r="HW45" s="272">
        <f>IF(OR(SUM(HQ45:HU45)&gt;0,P45&gt;=6),"",IF($B45="","",1))</f>
        <v>1</v>
      </c>
      <c r="HX45" s="200" t="str">
        <f>IF(AND($HU45&lt;&gt;0,OR(HU45&lt;=MIN(HQ45:HT45),SUM(HQ45:HT45)=0)),$HU45,0)</f>
        <v/>
      </c>
      <c r="HY45" s="200">
        <f t="shared" si="310"/>
        <v>0</v>
      </c>
      <c r="HZ45" s="200" t="str">
        <f t="shared" si="4"/>
        <v/>
      </c>
      <c r="IA45" s="200">
        <f t="shared" si="311"/>
        <v>0</v>
      </c>
      <c r="IB45" s="200" t="str">
        <f t="shared" si="312"/>
        <v/>
      </c>
      <c r="IC45" s="273">
        <f>IF(C45="","",INDEX(Lookups!$E$2:$E$69,MATCH('Loan List'!BE45,Lookups!$F$2:$F$69,0)))</f>
        <v>12</v>
      </c>
      <c r="ID45" t="b">
        <f t="shared" si="313"/>
        <v>1</v>
      </c>
      <c r="IF45" s="346" t="str">
        <f t="shared" si="121"/>
        <v>No Initial Haircut</v>
      </c>
    </row>
    <row r="46" spans="1:240">
      <c r="A46" t="s">
        <v>707</v>
      </c>
      <c r="B46" s="242">
        <f t="shared" si="149"/>
        <v>37</v>
      </c>
      <c r="C46" s="242">
        <f>IF(COUNTIF($A$10:A45,A46)&gt;0,C45,C45+1)</f>
        <v>31</v>
      </c>
      <c r="D46" s="428" t="s">
        <v>707</v>
      </c>
      <c r="E46" s="428" t="s">
        <v>702</v>
      </c>
      <c r="F46" s="429"/>
      <c r="G46" s="430">
        <v>25000000</v>
      </c>
      <c r="H46" s="430">
        <v>25000000</v>
      </c>
      <c r="I46" s="244">
        <f>IF(B46="","",VLOOKUP(BF46,Inputs!$A$12:$J$15,10,FALSE))</f>
        <v>1</v>
      </c>
      <c r="J46" s="245">
        <f t="shared" si="5"/>
        <v>25000000</v>
      </c>
      <c r="K46" s="245">
        <f t="shared" si="6"/>
        <v>25000000</v>
      </c>
      <c r="L46" s="245">
        <f t="shared" si="7"/>
        <v>25000000</v>
      </c>
      <c r="M46" s="245">
        <f t="shared" si="8"/>
        <v>25000000</v>
      </c>
      <c r="N46" s="246" t="s">
        <v>246</v>
      </c>
      <c r="O46" s="246" t="s">
        <v>245</v>
      </c>
      <c r="P46" s="247">
        <f>IF(B46="","",IF(OR(O46="N/A",O46=""),0,YEARFRAC('Borrowing Base'!$J$4,'Loan List'!O46)*12))</f>
        <v>0</v>
      </c>
      <c r="Q46" s="246" t="s">
        <v>246</v>
      </c>
      <c r="R46" s="248">
        <v>0.99250000000000005</v>
      </c>
      <c r="S46" s="249" t="str">
        <f t="shared" si="1"/>
        <v>No</v>
      </c>
      <c r="T46" s="248">
        <v>0.99250000000000005</v>
      </c>
      <c r="U46" s="250">
        <f t="shared" si="9"/>
        <v>0.5</v>
      </c>
      <c r="V46" s="250">
        <f t="shared" si="10"/>
        <v>0.72499999999999998</v>
      </c>
      <c r="W46" s="251">
        <f t="shared" si="11"/>
        <v>25000000</v>
      </c>
      <c r="X46" s="246" t="s">
        <v>246</v>
      </c>
      <c r="Y46" s="252" t="s">
        <v>483</v>
      </c>
      <c r="Z46" s="252" t="s">
        <v>484</v>
      </c>
      <c r="AA46" s="253" t="s">
        <v>407</v>
      </c>
      <c r="AB46" s="253" t="s">
        <v>713</v>
      </c>
      <c r="AC46" s="254">
        <v>1.9337700102192519</v>
      </c>
      <c r="AD46" s="254">
        <v>1.71819000686692</v>
      </c>
      <c r="AE46" s="254">
        <v>2.7158239849236931</v>
      </c>
      <c r="AF46" s="255">
        <v>0.39597315436241609</v>
      </c>
      <c r="AG46" s="256">
        <v>3.4705882352941178</v>
      </c>
      <c r="AH46" s="256">
        <v>3.4705882352941178</v>
      </c>
      <c r="AI46" s="256">
        <v>3.6152053104256923</v>
      </c>
      <c r="AJ46" s="256">
        <v>3.6152053104256923</v>
      </c>
      <c r="AK46" s="257">
        <v>17000000</v>
      </c>
      <c r="AL46" s="257">
        <v>15733822.871958062</v>
      </c>
      <c r="AM46" s="258">
        <v>45808</v>
      </c>
      <c r="AN46" s="245" t="str">
        <f t="shared" si="12"/>
        <v>Tier 2</v>
      </c>
      <c r="AO46" s="243">
        <v>48030</v>
      </c>
      <c r="AP46" s="259">
        <f>IF(C46="","",DAYS360(Inputs!$J$8,AO46)/360)</f>
        <v>5.8527777777777779</v>
      </c>
      <c r="AQ46" s="259">
        <f t="shared" si="13"/>
        <v>5.8527777777777779</v>
      </c>
      <c r="AR46" s="246" t="s">
        <v>246</v>
      </c>
      <c r="AS46" s="248">
        <v>0</v>
      </c>
      <c r="AT46" s="246" t="s">
        <v>64</v>
      </c>
      <c r="AU46" s="248">
        <v>0.01</v>
      </c>
      <c r="AV46" s="248">
        <v>5.5E-2</v>
      </c>
      <c r="AW46" s="248">
        <v>4.0405999999999991E-2</v>
      </c>
      <c r="AX46" s="260">
        <f t="shared" si="14"/>
        <v>4.0405999999999991E-2</v>
      </c>
      <c r="AY46" s="248">
        <v>0</v>
      </c>
      <c r="AZ46" s="248">
        <v>0</v>
      </c>
      <c r="BA46" s="248">
        <v>0</v>
      </c>
      <c r="BB46" s="407">
        <f t="shared" si="15"/>
        <v>5.5E-2</v>
      </c>
      <c r="BC46" s="407" t="str">
        <f t="shared" si="16"/>
        <v/>
      </c>
      <c r="BD46" s="252" t="s">
        <v>249</v>
      </c>
      <c r="BE46" s="261" t="s">
        <v>357</v>
      </c>
      <c r="BF46" s="252" t="s">
        <v>7</v>
      </c>
      <c r="BG46" s="252" t="s">
        <v>460</v>
      </c>
      <c r="BH46" s="246" t="s">
        <v>246</v>
      </c>
      <c r="BI46" s="408" t="str">
        <f t="shared" si="17"/>
        <v>No</v>
      </c>
      <c r="BJ46" s="408" t="str">
        <f t="shared" si="18"/>
        <v>No</v>
      </c>
      <c r="BK46" s="246" t="s">
        <v>246</v>
      </c>
      <c r="BL46" s="246" t="s">
        <v>246</v>
      </c>
      <c r="BM46" s="246" t="s">
        <v>246</v>
      </c>
      <c r="BN46" s="246" t="s">
        <v>246</v>
      </c>
      <c r="BO46" s="246" t="s">
        <v>246</v>
      </c>
      <c r="BP46" s="246" t="s">
        <v>246</v>
      </c>
      <c r="BQ46" s="246" t="s">
        <v>246</v>
      </c>
      <c r="BR46" s="246" t="s">
        <v>246</v>
      </c>
      <c r="BS46" s="246" t="s">
        <v>246</v>
      </c>
      <c r="BT46" s="246" t="s">
        <v>246</v>
      </c>
      <c r="BU46" s="246" t="s">
        <v>246</v>
      </c>
      <c r="BV46" s="246" t="s">
        <v>246</v>
      </c>
      <c r="BW46" s="246" t="s">
        <v>246</v>
      </c>
      <c r="BX46" s="246" t="s">
        <v>246</v>
      </c>
      <c r="BY46" s="246" t="s">
        <v>246</v>
      </c>
      <c r="BZ46" s="246" t="s">
        <v>246</v>
      </c>
      <c r="CA46" s="246" t="s">
        <v>246</v>
      </c>
      <c r="CB46" s="246" t="s">
        <v>64</v>
      </c>
      <c r="CC46" s="262">
        <f t="shared" si="19"/>
        <v>1304589.9999999998</v>
      </c>
      <c r="CD46" s="262">
        <f t="shared" si="20"/>
        <v>0</v>
      </c>
      <c r="CE46" s="263"/>
      <c r="CF46" s="263">
        <f t="shared" si="150"/>
        <v>0</v>
      </c>
      <c r="CG46" s="263">
        <f t="shared" si="151"/>
        <v>0</v>
      </c>
      <c r="CH46" s="263">
        <f t="shared" si="152"/>
        <v>0</v>
      </c>
      <c r="CI46" s="263">
        <f t="shared" si="153"/>
        <v>0</v>
      </c>
      <c r="CJ46" s="263">
        <f t="shared" si="154"/>
        <v>0</v>
      </c>
      <c r="CK46" s="263">
        <f t="shared" si="155"/>
        <v>0</v>
      </c>
      <c r="CL46" s="263">
        <f t="shared" si="156"/>
        <v>0</v>
      </c>
      <c r="CM46" s="263">
        <f t="shared" si="157"/>
        <v>0</v>
      </c>
      <c r="CN46" s="263">
        <f t="shared" si="158"/>
        <v>0</v>
      </c>
      <c r="CO46" s="263">
        <f t="shared" si="159"/>
        <v>0</v>
      </c>
      <c r="CP46" s="263">
        <f t="shared" si="160"/>
        <v>0</v>
      </c>
      <c r="CQ46" s="263">
        <f t="shared" si="161"/>
        <v>0</v>
      </c>
      <c r="CR46" s="263">
        <f t="shared" si="162"/>
        <v>0</v>
      </c>
      <c r="CS46" s="263">
        <f t="shared" si="163"/>
        <v>0</v>
      </c>
      <c r="CT46" s="263">
        <f t="shared" si="164"/>
        <v>0</v>
      </c>
      <c r="CU46" s="263">
        <f t="shared" si="165"/>
        <v>0</v>
      </c>
      <c r="CV46" s="263">
        <f t="shared" si="166"/>
        <v>0</v>
      </c>
      <c r="CW46" s="263">
        <f t="shared" si="167"/>
        <v>0</v>
      </c>
      <c r="CX46" s="263">
        <f t="shared" si="168"/>
        <v>0</v>
      </c>
      <c r="CY46" s="263">
        <f t="shared" si="169"/>
        <v>0</v>
      </c>
      <c r="CZ46" s="263">
        <f t="shared" si="170"/>
        <v>0</v>
      </c>
      <c r="DA46" s="263">
        <f t="shared" si="171"/>
        <v>0</v>
      </c>
      <c r="DB46" s="263">
        <f t="shared" si="172"/>
        <v>0</v>
      </c>
      <c r="DC46" s="263">
        <f t="shared" si="173"/>
        <v>0</v>
      </c>
      <c r="DD46" s="263">
        <f t="shared" si="174"/>
        <v>0</v>
      </c>
      <c r="DE46" s="263">
        <f t="shared" si="175"/>
        <v>0</v>
      </c>
      <c r="DF46" s="263">
        <f t="shared" si="176"/>
        <v>25000000</v>
      </c>
      <c r="DG46" s="263">
        <f t="shared" si="177"/>
        <v>0</v>
      </c>
      <c r="DH46" s="263">
        <f t="shared" si="178"/>
        <v>25000000</v>
      </c>
      <c r="DI46" s="263">
        <f t="shared" si="179"/>
        <v>25000000</v>
      </c>
      <c r="DJ46" s="263">
        <f t="shared" si="180"/>
        <v>0</v>
      </c>
      <c r="DK46" s="263">
        <f t="shared" si="181"/>
        <v>0</v>
      </c>
      <c r="DL46" s="263">
        <f t="shared" si="182"/>
        <v>0</v>
      </c>
      <c r="DM46" s="263">
        <f t="shared" si="183"/>
        <v>0</v>
      </c>
      <c r="DO46" s="264">
        <f t="shared" si="184"/>
        <v>0</v>
      </c>
      <c r="DP46" s="265">
        <f t="shared" si="185"/>
        <v>0</v>
      </c>
      <c r="DQ46" s="264">
        <f t="shared" si="186"/>
        <v>25000000</v>
      </c>
      <c r="DR46" s="264">
        <f t="shared" si="187"/>
        <v>0</v>
      </c>
      <c r="DS46" s="265">
        <f t="shared" si="188"/>
        <v>0</v>
      </c>
      <c r="DT46" s="264">
        <f t="shared" si="189"/>
        <v>25000000</v>
      </c>
      <c r="DU46" s="264">
        <f t="shared" si="190"/>
        <v>0</v>
      </c>
      <c r="DV46" s="265">
        <f t="shared" si="191"/>
        <v>0</v>
      </c>
      <c r="DW46" s="264">
        <f t="shared" si="192"/>
        <v>25000000</v>
      </c>
      <c r="DX46" s="264">
        <f t="shared" si="193"/>
        <v>0</v>
      </c>
      <c r="DY46" s="265">
        <f t="shared" si="194"/>
        <v>0</v>
      </c>
      <c r="DZ46" s="264">
        <f t="shared" si="195"/>
        <v>25000000</v>
      </c>
      <c r="EA46" s="264">
        <f t="shared" si="196"/>
        <v>0</v>
      </c>
      <c r="EB46" s="265">
        <f t="shared" si="197"/>
        <v>0</v>
      </c>
      <c r="EC46" s="264">
        <f t="shared" si="198"/>
        <v>25000000</v>
      </c>
      <c r="ED46" s="264">
        <f t="shared" si="199"/>
        <v>0</v>
      </c>
      <c r="EE46" s="265">
        <f t="shared" si="200"/>
        <v>0</v>
      </c>
      <c r="EF46" s="264">
        <f t="shared" si="201"/>
        <v>25000000</v>
      </c>
      <c r="EG46" s="264">
        <f t="shared" si="202"/>
        <v>0</v>
      </c>
      <c r="EH46" s="265">
        <f t="shared" si="203"/>
        <v>0</v>
      </c>
      <c r="EI46" s="264">
        <f t="shared" si="204"/>
        <v>25000000</v>
      </c>
      <c r="EJ46" s="264">
        <f t="shared" si="205"/>
        <v>0</v>
      </c>
      <c r="EK46" s="265">
        <f t="shared" si="206"/>
        <v>0</v>
      </c>
      <c r="EL46" s="264">
        <f t="shared" si="207"/>
        <v>25000000</v>
      </c>
      <c r="EM46" s="264">
        <f t="shared" si="208"/>
        <v>0</v>
      </c>
      <c r="EN46" s="265">
        <f t="shared" si="209"/>
        <v>0</v>
      </c>
      <c r="EO46" s="264">
        <f t="shared" si="210"/>
        <v>25000000</v>
      </c>
      <c r="EP46" s="264">
        <f t="shared" si="211"/>
        <v>0</v>
      </c>
      <c r="EQ46" s="265">
        <f t="shared" si="212"/>
        <v>0</v>
      </c>
      <c r="ER46" s="264">
        <f t="shared" si="213"/>
        <v>25000000</v>
      </c>
      <c r="ES46" s="264">
        <f t="shared" si="214"/>
        <v>0</v>
      </c>
      <c r="ET46" s="265">
        <f t="shared" si="215"/>
        <v>0</v>
      </c>
      <c r="EU46" s="264">
        <f t="shared" si="216"/>
        <v>25000000</v>
      </c>
      <c r="EV46" s="264">
        <f>IF(AND(BM46="Yes",OR(BN46="No",AND(BN46="Yes",Inputs!$J$8=Inputs!$J$17+75))),EU46,0)</f>
        <v>0</v>
      </c>
      <c r="EW46" s="265">
        <f t="shared" si="217"/>
        <v>0</v>
      </c>
      <c r="EX46" s="264">
        <f t="shared" si="218"/>
        <v>25000000</v>
      </c>
      <c r="EY46" s="264">
        <f t="shared" si="219"/>
        <v>0</v>
      </c>
      <c r="EZ46" s="265">
        <f t="shared" si="220"/>
        <v>0</v>
      </c>
      <c r="FA46" s="264">
        <f t="shared" si="221"/>
        <v>25000000</v>
      </c>
      <c r="FB46" s="264">
        <f t="shared" si="222"/>
        <v>0</v>
      </c>
      <c r="FC46" s="265">
        <f t="shared" si="223"/>
        <v>0</v>
      </c>
      <c r="FD46" s="264">
        <f t="shared" si="224"/>
        <v>25000000</v>
      </c>
      <c r="FE46" s="264">
        <f t="shared" si="225"/>
        <v>0</v>
      </c>
      <c r="FF46" s="265">
        <f t="shared" si="226"/>
        <v>0</v>
      </c>
      <c r="FG46" s="264">
        <f t="shared" si="227"/>
        <v>25000000</v>
      </c>
      <c r="FH46" s="264">
        <f t="shared" si="228"/>
        <v>25000000</v>
      </c>
      <c r="FI46" s="264">
        <f t="shared" si="229"/>
        <v>0</v>
      </c>
      <c r="FJ46" s="264">
        <f t="shared" si="230"/>
        <v>25000000</v>
      </c>
      <c r="FK46" s="264">
        <f t="shared" si="231"/>
        <v>25000000</v>
      </c>
      <c r="FL46" s="264">
        <f t="shared" si="232"/>
        <v>0</v>
      </c>
      <c r="FM46" s="264">
        <f t="shared" si="233"/>
        <v>25000000</v>
      </c>
      <c r="FN46" s="264">
        <f t="shared" si="234"/>
        <v>25000000</v>
      </c>
      <c r="FO46" s="264">
        <f t="shared" si="235"/>
        <v>0</v>
      </c>
      <c r="FP46" s="264">
        <f t="shared" si="236"/>
        <v>25000000</v>
      </c>
      <c r="FQ46" s="264">
        <f t="shared" si="237"/>
        <v>0</v>
      </c>
      <c r="FR46" s="265">
        <f t="shared" si="238"/>
        <v>0</v>
      </c>
      <c r="FS46" s="264">
        <f t="shared" si="239"/>
        <v>25000000</v>
      </c>
      <c r="FT46" s="264">
        <f t="shared" si="240"/>
        <v>0</v>
      </c>
      <c r="FU46" s="265">
        <f t="shared" si="241"/>
        <v>0</v>
      </c>
      <c r="FV46" s="264">
        <f t="shared" si="242"/>
        <v>25000000</v>
      </c>
      <c r="FW46" s="264">
        <f t="shared" si="243"/>
        <v>0</v>
      </c>
      <c r="FX46" s="264">
        <f t="shared" si="244"/>
        <v>0</v>
      </c>
      <c r="FY46" s="264">
        <f t="shared" si="245"/>
        <v>0</v>
      </c>
      <c r="FZ46" s="264">
        <f t="shared" si="246"/>
        <v>0</v>
      </c>
      <c r="GA46" s="265">
        <f t="shared" si="296"/>
        <v>0</v>
      </c>
      <c r="GB46" s="264">
        <f t="shared" si="297"/>
        <v>25000000</v>
      </c>
      <c r="GC46" s="264">
        <f t="shared" si="247"/>
        <v>25000000</v>
      </c>
      <c r="GD46" s="266">
        <f t="shared" si="248"/>
        <v>18125000</v>
      </c>
      <c r="GE46" s="138">
        <f t="shared" si="249"/>
        <v>0.72499999999999998</v>
      </c>
      <c r="GF46" s="267">
        <f t="shared" si="250"/>
        <v>12</v>
      </c>
      <c r="GG46" s="264">
        <f t="array" ref="GG46">IF(SUM(IF(IC$9:IC45=IC46,1,0))&gt;0,0,SUMIF($IC$10:$IC$406,IC46,$FJ$10:$FJ$406))</f>
        <v>0</v>
      </c>
      <c r="GH46" s="268">
        <f t="shared" si="251"/>
        <v>0</v>
      </c>
      <c r="GI46" s="137">
        <f t="shared" si="126"/>
        <v>37</v>
      </c>
      <c r="GJ46" s="269">
        <f t="shared" si="252"/>
        <v>0</v>
      </c>
      <c r="GK46" s="269">
        <f t="shared" si="253"/>
        <v>0</v>
      </c>
      <c r="GL46" s="163">
        <f t="shared" si="254"/>
        <v>0</v>
      </c>
      <c r="GM46" s="137">
        <f t="array" ref="GM46">IF(GJ46=0,0,LARGE(IF($GG$10:$GG$406=GJ46,$GF$10:$GF$406,0),COUNTIF($GJ$10:$GJ$406,GJ46)-COUNTIF(GJ$9:GJ45,GJ46)))</f>
        <v>0</v>
      </c>
      <c r="GN46" s="270">
        <f t="shared" si="255"/>
        <v>0</v>
      </c>
      <c r="GP46" s="137">
        <f>IF(C46="","",IF(ISERROR(MATCH(C46,C$10:C45,0)),MAX(GP$10:GP45)+1,INDEX(GP$10:GP45,MATCH(C46,C$10:C45,0))))</f>
        <v>31</v>
      </c>
      <c r="GQ46" s="264">
        <f>IF(COUNTIF($A$10:A46,A46)&lt;=1,SUMIF($A$10:$A$406,A46,$FH$10:$FH$406),0)</f>
        <v>25000000</v>
      </c>
      <c r="GR46" s="137">
        <f t="shared" si="130"/>
        <v>37</v>
      </c>
      <c r="GS46" s="269">
        <f t="shared" si="256"/>
        <v>7126342</v>
      </c>
      <c r="GT46" s="269">
        <f t="shared" si="257"/>
        <v>50964284.172430128</v>
      </c>
      <c r="GU46" s="163">
        <f t="shared" si="258"/>
        <v>0</v>
      </c>
      <c r="GV46" s="137">
        <f t="array" ref="GV46">IF(GS46=0,0,LARGE(IF($GQ$10:$GQ$406=GS46,$GP$10:$GP$406,0),COUNTIF($GS$10:$GS$406,GS46)-COUNTIF(GS$9:GS45,GS46)))</f>
        <v>33</v>
      </c>
      <c r="GW46" s="270">
        <f t="shared" si="259"/>
        <v>0</v>
      </c>
      <c r="GX46" s="270"/>
      <c r="GY46" s="137">
        <f>IF(C46="","",IF(ISERROR(MATCH(C46,C$10:C45,0)),MAX(GP$10:GP45)+1,INDEX(GP$10:GP45,MATCH(C46,C$10:C45,0))))</f>
        <v>31</v>
      </c>
      <c r="GZ46" s="264">
        <f>IF(COUNTIF($A$10:A46,A46)&lt;=1,SUMIF($A$10:$A$406,A46,$FH$10:$FH$406),0)</f>
        <v>25000000</v>
      </c>
      <c r="HA46" s="137">
        <f t="shared" si="134"/>
        <v>37</v>
      </c>
      <c r="HB46" s="269">
        <f t="shared" si="260"/>
        <v>7126342</v>
      </c>
      <c r="HC46" s="414" t="s">
        <v>622</v>
      </c>
      <c r="HD46" s="163">
        <f t="shared" si="261"/>
        <v>0</v>
      </c>
      <c r="HE46" s="137">
        <f t="array" ref="HE46">IF(HB46=0,0,LARGE(IF($GZ$10:$GZ$406=HB46,$GY$10:$GY$406,0),COUNTIF($HB$10:$HB$406,HB46)-COUNTIF(HB$9:HB45,HB46)))</f>
        <v>33</v>
      </c>
      <c r="HF46" s="270">
        <f t="shared" si="262"/>
        <v>0</v>
      </c>
      <c r="HG46"/>
      <c r="HH46" s="268">
        <f t="shared" si="263"/>
        <v>0</v>
      </c>
      <c r="HI46" s="271">
        <v>0</v>
      </c>
      <c r="HJ46" s="264">
        <f t="shared" si="264"/>
        <v>0</v>
      </c>
      <c r="HL46" s="137">
        <f t="shared" si="265"/>
        <v>37</v>
      </c>
      <c r="HM46" s="264">
        <f t="shared" si="300"/>
        <v>2530362</v>
      </c>
      <c r="HO46" s="199">
        <f t="shared" si="301"/>
        <v>25000000</v>
      </c>
      <c r="HP46" s="199">
        <f t="shared" si="302"/>
        <v>25000000</v>
      </c>
      <c r="HQ46" s="199" t="str">
        <f t="shared" si="303"/>
        <v/>
      </c>
      <c r="HR46" s="199" t="str">
        <f t="shared" si="304"/>
        <v/>
      </c>
      <c r="HS46" s="199" t="str">
        <f t="shared" si="119"/>
        <v/>
      </c>
      <c r="HT46" s="199" t="str">
        <f t="shared" si="305"/>
        <v/>
      </c>
      <c r="HU46" s="199" t="str">
        <f t="shared" si="306"/>
        <v/>
      </c>
      <c r="HV46" s="200">
        <f t="shared" si="307"/>
        <v>0</v>
      </c>
      <c r="HW46" s="272">
        <f t="shared" si="308"/>
        <v>1</v>
      </c>
      <c r="HX46" s="200" t="str">
        <f t="shared" si="309"/>
        <v/>
      </c>
      <c r="HY46" s="200">
        <f t="shared" si="310"/>
        <v>0</v>
      </c>
      <c r="HZ46" s="200" t="str">
        <f t="shared" si="4"/>
        <v/>
      </c>
      <c r="IA46" s="200" t="str">
        <f t="shared" si="311"/>
        <v/>
      </c>
      <c r="IB46" s="200" t="str">
        <f t="shared" si="312"/>
        <v/>
      </c>
      <c r="IC46" s="273">
        <f>IF(C46="","",INDEX(Lookups!$E$2:$E$69,MATCH('Loan List'!BE46,Lookups!$F$2:$F$69,0)))</f>
        <v>12</v>
      </c>
      <c r="ID46" t="b">
        <f t="shared" si="313"/>
        <v>1</v>
      </c>
      <c r="IF46" s="346" t="str">
        <f t="shared" si="121"/>
        <v>No Initial Haircut</v>
      </c>
    </row>
    <row r="47" spans="1:240">
      <c r="A47" t="s">
        <v>708</v>
      </c>
      <c r="B47" s="242">
        <f t="shared" si="149"/>
        <v>38</v>
      </c>
      <c r="C47" s="242">
        <f>IF(COUNTIF($A$10:A46,A47)&gt;0,C46,C46+1)</f>
        <v>32</v>
      </c>
      <c r="D47" s="428" t="s">
        <v>708</v>
      </c>
      <c r="E47" s="428" t="s">
        <v>710</v>
      </c>
      <c r="F47" s="429"/>
      <c r="G47" s="430">
        <v>20000000</v>
      </c>
      <c r="H47" s="430">
        <v>20000000</v>
      </c>
      <c r="I47" s="244">
        <f>IF(B47="","",VLOOKUP(BF47,Inputs!$A$12:$J$15,10,FALSE))</f>
        <v>1</v>
      </c>
      <c r="J47" s="245">
        <f t="shared" si="5"/>
        <v>20000000</v>
      </c>
      <c r="K47" s="245">
        <f t="shared" si="6"/>
        <v>20000000</v>
      </c>
      <c r="L47" s="245">
        <f t="shared" si="7"/>
        <v>20000000</v>
      </c>
      <c r="M47" s="245">
        <f t="shared" si="8"/>
        <v>20000000</v>
      </c>
      <c r="N47" s="246" t="s">
        <v>246</v>
      </c>
      <c r="O47" s="246" t="s">
        <v>245</v>
      </c>
      <c r="P47" s="247">
        <f>IF(B47="","",IF(OR(O47="N/A",O47=""),0,YEARFRAC('Borrowing Base'!$J$4,'Loan List'!O47)*12))</f>
        <v>0</v>
      </c>
      <c r="Q47" s="246" t="s">
        <v>246</v>
      </c>
      <c r="R47" s="248">
        <v>0.995</v>
      </c>
      <c r="S47" s="249" t="str">
        <f t="shared" si="1"/>
        <v>No</v>
      </c>
      <c r="T47" s="248">
        <v>0.995</v>
      </c>
      <c r="U47" s="250">
        <f t="shared" si="9"/>
        <v>0.5</v>
      </c>
      <c r="V47" s="250">
        <f t="shared" si="10"/>
        <v>0.72499999999999998</v>
      </c>
      <c r="W47" s="251">
        <f t="shared" si="11"/>
        <v>20000000</v>
      </c>
      <c r="X47" s="246" t="s">
        <v>246</v>
      </c>
      <c r="Y47" s="252" t="s">
        <v>483</v>
      </c>
      <c r="Z47" s="252" t="s">
        <v>540</v>
      </c>
      <c r="AA47" s="253" t="s">
        <v>407</v>
      </c>
      <c r="AB47" s="253" t="s">
        <v>713</v>
      </c>
      <c r="AC47" s="254">
        <v>1.8338661813623574</v>
      </c>
      <c r="AD47" s="254">
        <v>1.8338661813623574</v>
      </c>
      <c r="AE47" s="254">
        <v>2.68</v>
      </c>
      <c r="AF47" s="255">
        <v>0.32481287953678889</v>
      </c>
      <c r="AG47" s="256">
        <v>4.1303762233994794</v>
      </c>
      <c r="AH47" s="256">
        <v>4.1303762233994794</v>
      </c>
      <c r="AI47" s="256">
        <v>4.1303762233994794</v>
      </c>
      <c r="AJ47" s="256">
        <v>4.1303762233994794</v>
      </c>
      <c r="AK47" s="257">
        <v>33411000</v>
      </c>
      <c r="AL47" s="257">
        <v>33411000</v>
      </c>
      <c r="AM47" s="258">
        <v>45838</v>
      </c>
      <c r="AN47" s="245" t="str">
        <f t="shared" si="12"/>
        <v>Tier 2</v>
      </c>
      <c r="AO47" s="243">
        <v>48060</v>
      </c>
      <c r="AP47" s="259">
        <f>IF(C47="","",DAYS360(Inputs!$J$8,AO47)/360)</f>
        <v>5.9361111111111109</v>
      </c>
      <c r="AQ47" s="259">
        <f t="shared" si="13"/>
        <v>5.9361111111111109</v>
      </c>
      <c r="AR47" s="246" t="s">
        <v>246</v>
      </c>
      <c r="AS47" s="248">
        <v>0</v>
      </c>
      <c r="AT47" s="246" t="s">
        <v>64</v>
      </c>
      <c r="AU47" s="248">
        <v>0.01</v>
      </c>
      <c r="AV47" s="248">
        <v>5.5E-2</v>
      </c>
      <c r="AW47" s="248">
        <v>3.3079000000000004E-2</v>
      </c>
      <c r="AX47" s="260">
        <f t="shared" si="14"/>
        <v>3.3079000000000004E-2</v>
      </c>
      <c r="AY47" s="248">
        <v>0</v>
      </c>
      <c r="AZ47" s="248">
        <v>0</v>
      </c>
      <c r="BA47" s="248">
        <v>0</v>
      </c>
      <c r="BB47" s="407">
        <f t="shared" si="15"/>
        <v>5.5E-2</v>
      </c>
      <c r="BC47" s="407" t="str">
        <f t="shared" si="16"/>
        <v/>
      </c>
      <c r="BD47" s="252" t="s">
        <v>249</v>
      </c>
      <c r="BE47" s="261" t="s">
        <v>455</v>
      </c>
      <c r="BF47" s="252" t="s">
        <v>7</v>
      </c>
      <c r="BG47" s="252" t="s">
        <v>460</v>
      </c>
      <c r="BH47" s="246" t="s">
        <v>246</v>
      </c>
      <c r="BI47" s="408" t="str">
        <f t="shared" si="17"/>
        <v>No</v>
      </c>
      <c r="BJ47" s="408" t="str">
        <f t="shared" si="18"/>
        <v>No</v>
      </c>
      <c r="BK47" s="246" t="s">
        <v>246</v>
      </c>
      <c r="BL47" s="246" t="s">
        <v>246</v>
      </c>
      <c r="BM47" s="246" t="s">
        <v>246</v>
      </c>
      <c r="BN47" s="246" t="s">
        <v>246</v>
      </c>
      <c r="BO47" s="246" t="s">
        <v>246</v>
      </c>
      <c r="BP47" s="246" t="s">
        <v>246</v>
      </c>
      <c r="BQ47" s="246" t="s">
        <v>246</v>
      </c>
      <c r="BR47" s="246" t="s">
        <v>246</v>
      </c>
      <c r="BS47" s="246" t="s">
        <v>246</v>
      </c>
      <c r="BT47" s="246" t="s">
        <v>246</v>
      </c>
      <c r="BU47" s="246" t="s">
        <v>246</v>
      </c>
      <c r="BV47" s="246" t="s">
        <v>246</v>
      </c>
      <c r="BW47" s="246" t="s">
        <v>246</v>
      </c>
      <c r="BX47" s="246" t="s">
        <v>246</v>
      </c>
      <c r="BY47" s="246" t="s">
        <v>246</v>
      </c>
      <c r="BZ47" s="246" t="s">
        <v>246</v>
      </c>
      <c r="CA47" s="246" t="s">
        <v>246</v>
      </c>
      <c r="CB47" s="246" t="s">
        <v>64</v>
      </c>
      <c r="CC47" s="262">
        <f t="shared" si="19"/>
        <v>897132.00000000012</v>
      </c>
      <c r="CD47" s="262">
        <f t="shared" si="20"/>
        <v>0</v>
      </c>
      <c r="CE47" s="263"/>
      <c r="CF47" s="263">
        <f t="shared" si="150"/>
        <v>0</v>
      </c>
      <c r="CG47" s="263">
        <f t="shared" si="151"/>
        <v>0</v>
      </c>
      <c r="CH47" s="263">
        <f t="shared" si="152"/>
        <v>0</v>
      </c>
      <c r="CI47" s="263">
        <f t="shared" si="153"/>
        <v>0</v>
      </c>
      <c r="CJ47" s="263">
        <f t="shared" si="154"/>
        <v>0</v>
      </c>
      <c r="CK47" s="263">
        <f t="shared" si="155"/>
        <v>0</v>
      </c>
      <c r="CL47" s="263">
        <f t="shared" si="156"/>
        <v>0</v>
      </c>
      <c r="CM47" s="263">
        <f t="shared" si="157"/>
        <v>0</v>
      </c>
      <c r="CN47" s="263">
        <f t="shared" si="158"/>
        <v>0</v>
      </c>
      <c r="CO47" s="263">
        <f t="shared" si="159"/>
        <v>0</v>
      </c>
      <c r="CP47" s="263">
        <f t="shared" si="160"/>
        <v>0</v>
      </c>
      <c r="CQ47" s="263">
        <f t="shared" si="161"/>
        <v>0</v>
      </c>
      <c r="CR47" s="263">
        <f t="shared" si="162"/>
        <v>0</v>
      </c>
      <c r="CS47" s="263">
        <f t="shared" si="163"/>
        <v>0</v>
      </c>
      <c r="CT47" s="263">
        <f t="shared" si="164"/>
        <v>0</v>
      </c>
      <c r="CU47" s="263">
        <f t="shared" si="165"/>
        <v>0</v>
      </c>
      <c r="CV47" s="263">
        <f t="shared" si="166"/>
        <v>0</v>
      </c>
      <c r="CW47" s="263">
        <f t="shared" si="167"/>
        <v>0</v>
      </c>
      <c r="CX47" s="263">
        <f t="shared" si="168"/>
        <v>0</v>
      </c>
      <c r="CY47" s="263">
        <f t="shared" si="169"/>
        <v>0</v>
      </c>
      <c r="CZ47" s="263">
        <f t="shared" si="170"/>
        <v>0</v>
      </c>
      <c r="DA47" s="263">
        <f t="shared" si="171"/>
        <v>0</v>
      </c>
      <c r="DB47" s="263">
        <f t="shared" si="172"/>
        <v>0</v>
      </c>
      <c r="DC47" s="263">
        <f t="shared" si="173"/>
        <v>0</v>
      </c>
      <c r="DD47" s="263">
        <f t="shared" si="174"/>
        <v>0</v>
      </c>
      <c r="DE47" s="263">
        <f t="shared" si="175"/>
        <v>0</v>
      </c>
      <c r="DF47" s="263">
        <f t="shared" si="176"/>
        <v>20000000</v>
      </c>
      <c r="DG47" s="263">
        <f t="shared" si="177"/>
        <v>0</v>
      </c>
      <c r="DH47" s="263">
        <f t="shared" si="178"/>
        <v>20000000</v>
      </c>
      <c r="DI47" s="263">
        <f t="shared" si="179"/>
        <v>20000000</v>
      </c>
      <c r="DJ47" s="263">
        <f t="shared" si="180"/>
        <v>0</v>
      </c>
      <c r="DK47" s="263">
        <f t="shared" si="181"/>
        <v>0</v>
      </c>
      <c r="DL47" s="263">
        <f t="shared" si="182"/>
        <v>0</v>
      </c>
      <c r="DM47" s="263">
        <f t="shared" si="183"/>
        <v>0</v>
      </c>
      <c r="DO47" s="264">
        <f t="shared" si="184"/>
        <v>0</v>
      </c>
      <c r="DP47" s="265">
        <f t="shared" si="185"/>
        <v>0</v>
      </c>
      <c r="DQ47" s="264">
        <f t="shared" si="186"/>
        <v>20000000</v>
      </c>
      <c r="DR47" s="264">
        <f t="shared" si="187"/>
        <v>0</v>
      </c>
      <c r="DS47" s="265">
        <f t="shared" si="188"/>
        <v>0</v>
      </c>
      <c r="DT47" s="264">
        <f t="shared" si="189"/>
        <v>20000000</v>
      </c>
      <c r="DU47" s="264">
        <f t="shared" si="190"/>
        <v>0</v>
      </c>
      <c r="DV47" s="265">
        <f t="shared" si="191"/>
        <v>0</v>
      </c>
      <c r="DW47" s="264">
        <f t="shared" si="192"/>
        <v>20000000</v>
      </c>
      <c r="DX47" s="264">
        <f t="shared" si="193"/>
        <v>0</v>
      </c>
      <c r="DY47" s="265">
        <f t="shared" si="194"/>
        <v>0</v>
      </c>
      <c r="DZ47" s="264">
        <f t="shared" si="195"/>
        <v>20000000</v>
      </c>
      <c r="EA47" s="264">
        <f t="shared" si="196"/>
        <v>0</v>
      </c>
      <c r="EB47" s="265">
        <f t="shared" si="197"/>
        <v>0</v>
      </c>
      <c r="EC47" s="264">
        <f t="shared" si="198"/>
        <v>20000000</v>
      </c>
      <c r="ED47" s="264">
        <f t="shared" si="199"/>
        <v>0</v>
      </c>
      <c r="EE47" s="265">
        <f t="shared" si="200"/>
        <v>0</v>
      </c>
      <c r="EF47" s="264">
        <f t="shared" si="201"/>
        <v>20000000</v>
      </c>
      <c r="EG47" s="264">
        <f t="shared" si="202"/>
        <v>0</v>
      </c>
      <c r="EH47" s="265">
        <f t="shared" si="203"/>
        <v>0</v>
      </c>
      <c r="EI47" s="264">
        <f t="shared" si="204"/>
        <v>20000000</v>
      </c>
      <c r="EJ47" s="264">
        <f t="shared" si="205"/>
        <v>0</v>
      </c>
      <c r="EK47" s="265">
        <f t="shared" si="206"/>
        <v>0</v>
      </c>
      <c r="EL47" s="264">
        <f t="shared" si="207"/>
        <v>20000000</v>
      </c>
      <c r="EM47" s="264">
        <f t="shared" si="208"/>
        <v>0</v>
      </c>
      <c r="EN47" s="265">
        <f t="shared" si="209"/>
        <v>0</v>
      </c>
      <c r="EO47" s="264">
        <f t="shared" si="210"/>
        <v>20000000</v>
      </c>
      <c r="EP47" s="264">
        <f t="shared" si="211"/>
        <v>0</v>
      </c>
      <c r="EQ47" s="265">
        <f t="shared" si="212"/>
        <v>0</v>
      </c>
      <c r="ER47" s="264">
        <f t="shared" si="213"/>
        <v>20000000</v>
      </c>
      <c r="ES47" s="264">
        <f t="shared" si="214"/>
        <v>0</v>
      </c>
      <c r="ET47" s="265">
        <f t="shared" si="215"/>
        <v>0</v>
      </c>
      <c r="EU47" s="264">
        <f t="shared" si="216"/>
        <v>20000000</v>
      </c>
      <c r="EV47" s="264">
        <f>IF(AND(BM47="Yes",OR(BN47="No",AND(BN47="Yes",Inputs!$J$8=Inputs!$J$17+75))),EU47,0)</f>
        <v>0</v>
      </c>
      <c r="EW47" s="265">
        <f t="shared" si="217"/>
        <v>0</v>
      </c>
      <c r="EX47" s="264">
        <f t="shared" si="218"/>
        <v>20000000</v>
      </c>
      <c r="EY47" s="264">
        <f t="shared" si="219"/>
        <v>0</v>
      </c>
      <c r="EZ47" s="265">
        <f t="shared" si="220"/>
        <v>0</v>
      </c>
      <c r="FA47" s="264">
        <f t="shared" si="221"/>
        <v>20000000</v>
      </c>
      <c r="FB47" s="264">
        <f t="shared" si="222"/>
        <v>0</v>
      </c>
      <c r="FC47" s="265">
        <f t="shared" si="223"/>
        <v>0</v>
      </c>
      <c r="FD47" s="264">
        <f t="shared" si="224"/>
        <v>20000000</v>
      </c>
      <c r="FE47" s="264">
        <f t="shared" si="225"/>
        <v>0</v>
      </c>
      <c r="FF47" s="265">
        <f t="shared" si="226"/>
        <v>0</v>
      </c>
      <c r="FG47" s="264">
        <f t="shared" si="227"/>
        <v>20000000</v>
      </c>
      <c r="FH47" s="264">
        <f t="shared" si="228"/>
        <v>20000000</v>
      </c>
      <c r="FI47" s="264">
        <f t="shared" si="229"/>
        <v>0</v>
      </c>
      <c r="FJ47" s="264">
        <f t="shared" si="230"/>
        <v>20000000</v>
      </c>
      <c r="FK47" s="264">
        <f t="shared" si="231"/>
        <v>20000000</v>
      </c>
      <c r="FL47" s="264">
        <f t="shared" si="232"/>
        <v>0</v>
      </c>
      <c r="FM47" s="264">
        <f t="shared" si="233"/>
        <v>20000000</v>
      </c>
      <c r="FN47" s="264">
        <f t="shared" si="234"/>
        <v>20000000</v>
      </c>
      <c r="FO47" s="264">
        <f t="shared" si="235"/>
        <v>0</v>
      </c>
      <c r="FP47" s="264">
        <f t="shared" si="236"/>
        <v>20000000</v>
      </c>
      <c r="FQ47" s="264">
        <f t="shared" si="237"/>
        <v>0</v>
      </c>
      <c r="FR47" s="265">
        <f t="shared" si="238"/>
        <v>0</v>
      </c>
      <c r="FS47" s="264">
        <f t="shared" si="239"/>
        <v>20000000</v>
      </c>
      <c r="FT47" s="264">
        <f t="shared" si="240"/>
        <v>0</v>
      </c>
      <c r="FU47" s="265">
        <f t="shared" si="241"/>
        <v>0</v>
      </c>
      <c r="FV47" s="264">
        <f t="shared" si="242"/>
        <v>20000000</v>
      </c>
      <c r="FW47" s="264">
        <f t="shared" si="243"/>
        <v>0</v>
      </c>
      <c r="FX47" s="264">
        <f t="shared" si="244"/>
        <v>0</v>
      </c>
      <c r="FY47" s="264">
        <f t="shared" si="245"/>
        <v>0</v>
      </c>
      <c r="FZ47" s="264">
        <f t="shared" si="246"/>
        <v>0</v>
      </c>
      <c r="GA47" s="265">
        <f t="shared" si="296"/>
        <v>0</v>
      </c>
      <c r="GB47" s="264">
        <f t="shared" si="297"/>
        <v>20000000</v>
      </c>
      <c r="GC47" s="264">
        <f t="shared" si="247"/>
        <v>20000000</v>
      </c>
      <c r="GD47" s="266">
        <f t="shared" si="248"/>
        <v>14500000</v>
      </c>
      <c r="GE47" s="138">
        <f t="shared" si="249"/>
        <v>0.72499999999999998</v>
      </c>
      <c r="GF47" s="267">
        <f t="shared" si="250"/>
        <v>55</v>
      </c>
      <c r="GG47" s="264">
        <f t="array" ref="GG47">IF(SUM(IF(IC$9:IC46=IC47,1,0))&gt;0,0,SUMIF($IC$10:$IC$406,IC47,$FJ$10:$FJ$406))</f>
        <v>0</v>
      </c>
      <c r="GH47" s="268">
        <f t="shared" si="251"/>
        <v>0</v>
      </c>
      <c r="GI47" s="137">
        <f t="shared" si="126"/>
        <v>38</v>
      </c>
      <c r="GJ47" s="269">
        <f t="shared" si="252"/>
        <v>0</v>
      </c>
      <c r="GK47" s="269">
        <f t="shared" si="253"/>
        <v>0</v>
      </c>
      <c r="GL47" s="163">
        <f t="shared" si="254"/>
        <v>0</v>
      </c>
      <c r="GM47" s="137">
        <f t="array" ref="GM47">IF(GJ47=0,0,LARGE(IF($GG$10:$GG$406=GJ47,$GF$10:$GF$406,0),COUNTIF($GJ$10:$GJ$406,GJ47)-COUNTIF(GJ$9:GJ46,GJ47)))</f>
        <v>0</v>
      </c>
      <c r="GN47" s="270">
        <f t="shared" si="255"/>
        <v>0</v>
      </c>
      <c r="GP47" s="137">
        <f>IF(C47="","",IF(ISERROR(MATCH(C47,C$10:C46,0)),MAX(GP$10:GP46)+1,INDEX(GP$10:GP46,MATCH(C47,C$10:C46,0))))</f>
        <v>32</v>
      </c>
      <c r="GQ47" s="264">
        <f>IF(COUNTIF($A$10:A47,A47)&lt;=1,SUMIF($A$10:$A$406,A47,$FH$10:$FH$406),0)</f>
        <v>20000000</v>
      </c>
      <c r="GR47" s="137">
        <f t="shared" si="130"/>
        <v>38</v>
      </c>
      <c r="GS47" s="269">
        <f t="shared" si="256"/>
        <v>7082250</v>
      </c>
      <c r="GT47" s="269">
        <f t="shared" si="257"/>
        <v>50964284.172430128</v>
      </c>
      <c r="GU47" s="163">
        <f t="shared" si="258"/>
        <v>0</v>
      </c>
      <c r="GV47" s="137">
        <f t="array" ref="GV47">IF(GS47=0,0,LARGE(IF($GQ$10:$GQ$406=GS47,$GP$10:$GP$406,0),COUNTIF($GS$10:$GS$406,GS47)-COUNTIF(GS$9:GS46,GS47)))</f>
        <v>88</v>
      </c>
      <c r="GW47" s="270">
        <f t="shared" si="259"/>
        <v>0</v>
      </c>
      <c r="GX47" s="270"/>
      <c r="GY47" s="137">
        <f>IF(C47="","",IF(ISERROR(MATCH(C47,C$10:C46,0)),MAX(GP$10:GP46)+1,INDEX(GP$10:GP46,MATCH(C47,C$10:C46,0))))</f>
        <v>32</v>
      </c>
      <c r="GZ47" s="264">
        <f>IF(COUNTIF($A$10:A47,A47)&lt;=1,SUMIF($A$10:$A$406,A47,$FH$10:$FH$406),0)</f>
        <v>20000000</v>
      </c>
      <c r="HA47" s="137">
        <f t="shared" si="134"/>
        <v>38</v>
      </c>
      <c r="HB47" s="269">
        <f t="shared" si="260"/>
        <v>7082250</v>
      </c>
      <c r="HC47" s="414" t="s">
        <v>622</v>
      </c>
      <c r="HD47" s="163">
        <f t="shared" si="261"/>
        <v>0</v>
      </c>
      <c r="HE47" s="137">
        <f t="array" ref="HE47">IF(HB47=0,0,LARGE(IF($GZ$10:$GZ$406=HB47,$GY$10:$GY$406,0),COUNTIF($HB$10:$HB$406,HB47)-COUNTIF(HB$9:HB46,HB47)))</f>
        <v>88</v>
      </c>
      <c r="HF47" s="270">
        <f t="shared" si="262"/>
        <v>0</v>
      </c>
      <c r="HG47"/>
      <c r="HH47" s="268">
        <f t="shared" si="263"/>
        <v>0</v>
      </c>
      <c r="HI47" s="271">
        <v>0</v>
      </c>
      <c r="HJ47" s="264">
        <f t="shared" si="264"/>
        <v>0</v>
      </c>
      <c r="HL47" s="137">
        <f t="shared" si="265"/>
        <v>38</v>
      </c>
      <c r="HM47" s="264">
        <f t="shared" si="300"/>
        <v>3478536.8499499992</v>
      </c>
      <c r="HO47" s="199">
        <f t="shared" si="301"/>
        <v>20000000</v>
      </c>
      <c r="HP47" s="199">
        <f t="shared" si="302"/>
        <v>20000000</v>
      </c>
      <c r="HQ47" s="199" t="str">
        <f t="shared" si="303"/>
        <v/>
      </c>
      <c r="HR47" s="199" t="str">
        <f t="shared" si="304"/>
        <v/>
      </c>
      <c r="HS47" s="199" t="str">
        <f t="shared" si="119"/>
        <v/>
      </c>
      <c r="HT47" s="199" t="str">
        <f t="shared" si="305"/>
        <v/>
      </c>
      <c r="HU47" s="199" t="str">
        <f t="shared" si="306"/>
        <v/>
      </c>
      <c r="HV47" s="200">
        <f t="shared" si="307"/>
        <v>0</v>
      </c>
      <c r="HW47" s="272">
        <f t="shared" si="308"/>
        <v>1</v>
      </c>
      <c r="HX47" s="200" t="str">
        <f t="shared" si="309"/>
        <v/>
      </c>
      <c r="HY47" s="200">
        <f t="shared" si="310"/>
        <v>0</v>
      </c>
      <c r="HZ47" s="200" t="str">
        <f t="shared" si="4"/>
        <v/>
      </c>
      <c r="IA47" s="200" t="str">
        <f t="shared" si="311"/>
        <v/>
      </c>
      <c r="IB47" s="200" t="str">
        <f t="shared" si="312"/>
        <v/>
      </c>
      <c r="IC47" s="273">
        <f>IF(C47="","",INDEX(Lookups!$E$2:$E$69,MATCH('Loan List'!BE47,Lookups!$F$2:$F$69,0)))</f>
        <v>55</v>
      </c>
      <c r="ID47" t="b">
        <f t="shared" si="313"/>
        <v>1</v>
      </c>
      <c r="IF47" s="346" t="str">
        <f t="shared" si="121"/>
        <v>No Initial Haircut</v>
      </c>
    </row>
    <row r="48" spans="1:240">
      <c r="A48" t="s">
        <v>737</v>
      </c>
      <c r="B48" s="242">
        <f t="shared" si="149"/>
        <v>39</v>
      </c>
      <c r="C48" s="242">
        <f>IF(COUNTIF($A$10:A47,A48)&gt;0,C47,C47+1)</f>
        <v>33</v>
      </c>
      <c r="D48" s="431" t="s">
        <v>737</v>
      </c>
      <c r="E48" s="428" t="s">
        <v>816</v>
      </c>
      <c r="F48" s="429"/>
      <c r="G48" s="430">
        <v>7126342</v>
      </c>
      <c r="H48" s="430">
        <v>7126342</v>
      </c>
      <c r="I48" s="244">
        <f>IF(B48="","",VLOOKUP(BF48,Inputs!$A$12:$J$15,10,FALSE))</f>
        <v>1</v>
      </c>
      <c r="J48" s="245">
        <f t="shared" si="5"/>
        <v>7126342</v>
      </c>
      <c r="K48" s="245">
        <f t="shared" si="6"/>
        <v>7126342</v>
      </c>
      <c r="L48" s="245">
        <f t="shared" si="7"/>
        <v>7126342</v>
      </c>
      <c r="M48" s="245">
        <f t="shared" si="8"/>
        <v>7126342</v>
      </c>
      <c r="N48" s="246" t="s">
        <v>246</v>
      </c>
      <c r="O48" s="246" t="s">
        <v>245</v>
      </c>
      <c r="P48" s="247">
        <f>IF(B48="","",IF(OR(O48="N/A",O48=""),0,YEARFRAC('Borrowing Base'!$J$4,'Loan List'!O48)*12))</f>
        <v>0</v>
      </c>
      <c r="Q48" s="246" t="s">
        <v>246</v>
      </c>
      <c r="R48" s="248">
        <v>0.98630000000000007</v>
      </c>
      <c r="S48" s="249" t="str">
        <f t="shared" si="1"/>
        <v>No</v>
      </c>
      <c r="T48" s="248">
        <v>0.98629999999999995</v>
      </c>
      <c r="U48" s="250">
        <f t="shared" si="9"/>
        <v>0.5</v>
      </c>
      <c r="V48" s="250">
        <f t="shared" si="10"/>
        <v>0.72499999999999998</v>
      </c>
      <c r="W48" s="251">
        <f t="shared" si="11"/>
        <v>7126342</v>
      </c>
      <c r="X48" s="246" t="s">
        <v>246</v>
      </c>
      <c r="Y48" s="252" t="s">
        <v>483</v>
      </c>
      <c r="Z48" s="252" t="s">
        <v>484</v>
      </c>
      <c r="AA48" s="253" t="s">
        <v>368</v>
      </c>
      <c r="AB48" s="253" t="s">
        <v>717</v>
      </c>
      <c r="AC48" s="254">
        <v>1.9830000000000001</v>
      </c>
      <c r="AD48" s="254">
        <v>1.2001882763629854</v>
      </c>
      <c r="AE48" s="254">
        <v>1.5082582041514605</v>
      </c>
      <c r="AF48" s="255">
        <v>0.50849999999999995</v>
      </c>
      <c r="AG48" s="256">
        <v>4.43</v>
      </c>
      <c r="AH48" s="256">
        <v>6.25</v>
      </c>
      <c r="AI48" s="256">
        <v>4.0326293889039517</v>
      </c>
      <c r="AJ48" s="256">
        <v>5.7737846509920443</v>
      </c>
      <c r="AK48" s="257">
        <v>76752349.014574707</v>
      </c>
      <c r="AL48" s="257">
        <v>86149698</v>
      </c>
      <c r="AM48" s="258">
        <v>45838</v>
      </c>
      <c r="AN48" s="245" t="str">
        <f t="shared" si="12"/>
        <v>Tier 1</v>
      </c>
      <c r="AO48" s="243">
        <v>47108</v>
      </c>
      <c r="AP48" s="259">
        <f>IF(C48="","",DAYS360(Inputs!$J$8,AO48)/360)</f>
        <v>3.3250000000000002</v>
      </c>
      <c r="AQ48" s="259">
        <f t="shared" si="13"/>
        <v>3.3250000000000002</v>
      </c>
      <c r="AR48" s="246" t="s">
        <v>246</v>
      </c>
      <c r="AS48" s="248">
        <v>0</v>
      </c>
      <c r="AT48" s="246" t="s">
        <v>64</v>
      </c>
      <c r="AU48" s="248">
        <v>0.01</v>
      </c>
      <c r="AV48" s="248">
        <v>5.5E-2</v>
      </c>
      <c r="AW48" s="248">
        <v>4.2956000000000001E-2</v>
      </c>
      <c r="AX48" s="260">
        <f t="shared" si="14"/>
        <v>4.2956000000000001E-2</v>
      </c>
      <c r="AY48" s="248">
        <v>0</v>
      </c>
      <c r="AZ48" s="248">
        <v>0</v>
      </c>
      <c r="BA48" s="248">
        <v>0</v>
      </c>
      <c r="BB48" s="407">
        <f t="shared" si="15"/>
        <v>5.5E-2</v>
      </c>
      <c r="BC48" s="407" t="str">
        <f t="shared" si="16"/>
        <v/>
      </c>
      <c r="BD48" s="252" t="s">
        <v>249</v>
      </c>
      <c r="BE48" s="261" t="s">
        <v>357</v>
      </c>
      <c r="BF48" s="252" t="s">
        <v>7</v>
      </c>
      <c r="BG48" s="252" t="s">
        <v>460</v>
      </c>
      <c r="BH48" s="246" t="s">
        <v>246</v>
      </c>
      <c r="BI48" s="408" t="str">
        <f t="shared" si="17"/>
        <v>No</v>
      </c>
      <c r="BJ48" s="408" t="str">
        <f t="shared" si="18"/>
        <v>No</v>
      </c>
      <c r="BK48" s="246" t="s">
        <v>246</v>
      </c>
      <c r="BL48" s="246" t="s">
        <v>246</v>
      </c>
      <c r="BM48" s="246" t="s">
        <v>64</v>
      </c>
      <c r="BN48" s="246" t="s">
        <v>64</v>
      </c>
      <c r="BO48" s="246" t="s">
        <v>246</v>
      </c>
      <c r="BP48" s="246" t="s">
        <v>246</v>
      </c>
      <c r="BQ48" s="246" t="s">
        <v>246</v>
      </c>
      <c r="BR48" s="246" t="s">
        <v>246</v>
      </c>
      <c r="BS48" s="246" t="s">
        <v>246</v>
      </c>
      <c r="BT48" s="246" t="s">
        <v>246</v>
      </c>
      <c r="BU48" s="246" t="s">
        <v>246</v>
      </c>
      <c r="BV48" s="246" t="s">
        <v>246</v>
      </c>
      <c r="BW48" s="246" t="s">
        <v>246</v>
      </c>
      <c r="BX48" s="246" t="s">
        <v>246</v>
      </c>
      <c r="BY48" s="246" t="s">
        <v>246</v>
      </c>
      <c r="BZ48" s="246" t="s">
        <v>246</v>
      </c>
      <c r="CA48" s="246" t="s">
        <v>246</v>
      </c>
      <c r="CB48" s="246" t="s">
        <v>64</v>
      </c>
      <c r="CC48" s="262">
        <f t="shared" si="19"/>
        <v>390050.35249120003</v>
      </c>
      <c r="CD48" s="262">
        <f t="shared" si="20"/>
        <v>0</v>
      </c>
      <c r="CE48" s="263"/>
      <c r="CF48" s="263">
        <f t="shared" si="150"/>
        <v>0</v>
      </c>
      <c r="CG48" s="263">
        <f t="shared" si="151"/>
        <v>0</v>
      </c>
      <c r="CH48" s="263">
        <f t="shared" si="152"/>
        <v>0</v>
      </c>
      <c r="CI48" s="263">
        <f t="shared" si="153"/>
        <v>0</v>
      </c>
      <c r="CJ48" s="263">
        <f t="shared" si="154"/>
        <v>0</v>
      </c>
      <c r="CK48" s="263">
        <f t="shared" si="155"/>
        <v>0</v>
      </c>
      <c r="CL48" s="263">
        <f t="shared" si="156"/>
        <v>0</v>
      </c>
      <c r="CM48" s="263">
        <f t="shared" si="157"/>
        <v>0</v>
      </c>
      <c r="CN48" s="263">
        <f t="shared" si="158"/>
        <v>0</v>
      </c>
      <c r="CO48" s="263">
        <f t="shared" si="159"/>
        <v>0</v>
      </c>
      <c r="CP48" s="263">
        <f t="shared" si="160"/>
        <v>0</v>
      </c>
      <c r="CQ48" s="263">
        <f t="shared" si="161"/>
        <v>0</v>
      </c>
      <c r="CR48" s="263">
        <f t="shared" si="162"/>
        <v>0</v>
      </c>
      <c r="CS48" s="263">
        <f t="shared" si="163"/>
        <v>0</v>
      </c>
      <c r="CT48" s="263">
        <f t="shared" si="164"/>
        <v>0</v>
      </c>
      <c r="CU48" s="263">
        <f t="shared" si="165"/>
        <v>0</v>
      </c>
      <c r="CV48" s="263">
        <f t="shared" si="166"/>
        <v>0</v>
      </c>
      <c r="CW48" s="263">
        <f t="shared" si="167"/>
        <v>0</v>
      </c>
      <c r="CX48" s="263">
        <f t="shared" si="168"/>
        <v>0</v>
      </c>
      <c r="CY48" s="263">
        <f t="shared" si="169"/>
        <v>0</v>
      </c>
      <c r="CZ48" s="263">
        <f t="shared" si="170"/>
        <v>0</v>
      </c>
      <c r="DA48" s="263">
        <f t="shared" si="171"/>
        <v>0</v>
      </c>
      <c r="DB48" s="263">
        <f t="shared" si="172"/>
        <v>0</v>
      </c>
      <c r="DC48" s="263">
        <f t="shared" si="173"/>
        <v>0</v>
      </c>
      <c r="DD48" s="263">
        <f t="shared" si="174"/>
        <v>0</v>
      </c>
      <c r="DE48" s="263">
        <f t="shared" si="175"/>
        <v>0</v>
      </c>
      <c r="DF48" s="263">
        <f t="shared" si="176"/>
        <v>7126342</v>
      </c>
      <c r="DG48" s="263">
        <f t="shared" si="177"/>
        <v>0</v>
      </c>
      <c r="DH48" s="263">
        <f t="shared" si="178"/>
        <v>7126342</v>
      </c>
      <c r="DI48" s="263">
        <f t="shared" si="179"/>
        <v>7126342</v>
      </c>
      <c r="DJ48" s="263">
        <f t="shared" si="180"/>
        <v>0</v>
      </c>
      <c r="DK48" s="263">
        <f t="shared" si="181"/>
        <v>0</v>
      </c>
      <c r="DL48" s="263">
        <f t="shared" si="182"/>
        <v>0</v>
      </c>
      <c r="DM48" s="263">
        <f t="shared" si="183"/>
        <v>0</v>
      </c>
      <c r="DO48" s="264">
        <f t="shared" si="184"/>
        <v>0</v>
      </c>
      <c r="DP48" s="265">
        <f t="shared" si="185"/>
        <v>0</v>
      </c>
      <c r="DQ48" s="264">
        <f t="shared" si="186"/>
        <v>7126342</v>
      </c>
      <c r="DR48" s="264">
        <f t="shared" si="187"/>
        <v>0</v>
      </c>
      <c r="DS48" s="265">
        <f t="shared" si="188"/>
        <v>0</v>
      </c>
      <c r="DT48" s="264">
        <f t="shared" si="189"/>
        <v>7126342</v>
      </c>
      <c r="DU48" s="264">
        <f t="shared" si="190"/>
        <v>0</v>
      </c>
      <c r="DV48" s="265">
        <f t="shared" si="191"/>
        <v>0</v>
      </c>
      <c r="DW48" s="264">
        <f t="shared" si="192"/>
        <v>7126342</v>
      </c>
      <c r="DX48" s="264">
        <f t="shared" si="193"/>
        <v>0</v>
      </c>
      <c r="DY48" s="265">
        <f t="shared" si="194"/>
        <v>0</v>
      </c>
      <c r="DZ48" s="264">
        <f t="shared" si="195"/>
        <v>7126342</v>
      </c>
      <c r="EA48" s="264">
        <f t="shared" si="196"/>
        <v>0</v>
      </c>
      <c r="EB48" s="265">
        <f t="shared" si="197"/>
        <v>0</v>
      </c>
      <c r="EC48" s="264">
        <f t="shared" si="198"/>
        <v>7126342</v>
      </c>
      <c r="ED48" s="264">
        <f t="shared" si="199"/>
        <v>0</v>
      </c>
      <c r="EE48" s="265">
        <f t="shared" si="200"/>
        <v>0</v>
      </c>
      <c r="EF48" s="264">
        <f t="shared" si="201"/>
        <v>7126342</v>
      </c>
      <c r="EG48" s="264">
        <f t="shared" si="202"/>
        <v>0</v>
      </c>
      <c r="EH48" s="265">
        <f t="shared" si="203"/>
        <v>0</v>
      </c>
      <c r="EI48" s="264">
        <f t="shared" si="204"/>
        <v>7126342</v>
      </c>
      <c r="EJ48" s="264">
        <f t="shared" si="205"/>
        <v>0</v>
      </c>
      <c r="EK48" s="265">
        <f t="shared" si="206"/>
        <v>0</v>
      </c>
      <c r="EL48" s="264">
        <f t="shared" si="207"/>
        <v>7126342</v>
      </c>
      <c r="EM48" s="264">
        <f t="shared" si="208"/>
        <v>0</v>
      </c>
      <c r="EN48" s="265">
        <f t="shared" si="209"/>
        <v>0</v>
      </c>
      <c r="EO48" s="264">
        <f t="shared" si="210"/>
        <v>7126342</v>
      </c>
      <c r="EP48" s="264">
        <f t="shared" si="211"/>
        <v>0</v>
      </c>
      <c r="EQ48" s="265">
        <f t="shared" si="212"/>
        <v>0</v>
      </c>
      <c r="ER48" s="264">
        <f t="shared" si="213"/>
        <v>7126342</v>
      </c>
      <c r="ES48" s="264">
        <f t="shared" si="214"/>
        <v>0</v>
      </c>
      <c r="ET48" s="265">
        <f t="shared" si="215"/>
        <v>0</v>
      </c>
      <c r="EU48" s="264">
        <f t="shared" si="216"/>
        <v>7126342</v>
      </c>
      <c r="EV48" s="264">
        <f>IF(AND(BM48="Yes",OR(BN48="No",AND(BN48="Yes",Inputs!$J$8=Inputs!$J$17+75))),EU48,0)</f>
        <v>0</v>
      </c>
      <c r="EW48" s="265">
        <f t="shared" si="217"/>
        <v>0</v>
      </c>
      <c r="EX48" s="264">
        <f t="shared" si="218"/>
        <v>7126342</v>
      </c>
      <c r="EY48" s="264">
        <f t="shared" si="219"/>
        <v>0</v>
      </c>
      <c r="EZ48" s="265">
        <f t="shared" si="220"/>
        <v>0</v>
      </c>
      <c r="FA48" s="264">
        <f t="shared" si="221"/>
        <v>7126342</v>
      </c>
      <c r="FB48" s="264">
        <f t="shared" si="222"/>
        <v>0</v>
      </c>
      <c r="FC48" s="265">
        <f t="shared" si="223"/>
        <v>0</v>
      </c>
      <c r="FD48" s="264">
        <f t="shared" si="224"/>
        <v>7126342</v>
      </c>
      <c r="FE48" s="264">
        <f t="shared" si="225"/>
        <v>0</v>
      </c>
      <c r="FF48" s="265">
        <f t="shared" si="226"/>
        <v>0</v>
      </c>
      <c r="FG48" s="264">
        <f t="shared" si="227"/>
        <v>7126342</v>
      </c>
      <c r="FH48" s="264">
        <f t="shared" si="228"/>
        <v>7126342</v>
      </c>
      <c r="FI48" s="264">
        <f t="shared" si="229"/>
        <v>0</v>
      </c>
      <c r="FJ48" s="264">
        <f t="shared" si="230"/>
        <v>7126342</v>
      </c>
      <c r="FK48" s="264">
        <f t="shared" si="231"/>
        <v>7126342</v>
      </c>
      <c r="FL48" s="264">
        <f t="shared" si="232"/>
        <v>0</v>
      </c>
      <c r="FM48" s="264">
        <f t="shared" si="233"/>
        <v>7126342</v>
      </c>
      <c r="FN48" s="264">
        <f t="shared" si="234"/>
        <v>7126342</v>
      </c>
      <c r="FO48" s="264">
        <f t="shared" si="235"/>
        <v>0</v>
      </c>
      <c r="FP48" s="264">
        <f t="shared" si="236"/>
        <v>7126342</v>
      </c>
      <c r="FQ48" s="264">
        <f t="shared" si="237"/>
        <v>0</v>
      </c>
      <c r="FR48" s="265">
        <f t="shared" si="238"/>
        <v>0</v>
      </c>
      <c r="FS48" s="264">
        <f t="shared" si="239"/>
        <v>7126342</v>
      </c>
      <c r="FT48" s="264">
        <f t="shared" si="240"/>
        <v>0</v>
      </c>
      <c r="FU48" s="265">
        <f t="shared" si="241"/>
        <v>0</v>
      </c>
      <c r="FV48" s="264">
        <f t="shared" si="242"/>
        <v>7126342</v>
      </c>
      <c r="FW48" s="264">
        <f t="shared" si="243"/>
        <v>0</v>
      </c>
      <c r="FX48" s="264">
        <f t="shared" si="244"/>
        <v>0</v>
      </c>
      <c r="FY48" s="264">
        <f t="shared" si="245"/>
        <v>0</v>
      </c>
      <c r="FZ48" s="264">
        <f t="shared" si="246"/>
        <v>0</v>
      </c>
      <c r="GA48" s="265">
        <f t="shared" si="296"/>
        <v>0</v>
      </c>
      <c r="GB48" s="264">
        <f t="shared" si="297"/>
        <v>7126342</v>
      </c>
      <c r="GC48" s="264">
        <f t="shared" si="247"/>
        <v>7126342</v>
      </c>
      <c r="GD48" s="266">
        <f t="shared" si="248"/>
        <v>5166597.95</v>
      </c>
      <c r="GE48" s="138">
        <f t="shared" si="249"/>
        <v>0.72499999999999998</v>
      </c>
      <c r="GF48" s="267">
        <f t="shared" si="250"/>
        <v>12</v>
      </c>
      <c r="GG48" s="264">
        <f t="array" ref="GG48">IF(SUM(IF(IC$9:IC47=IC48,1,0))&gt;0,0,SUMIF($IC$10:$IC$406,IC48,$FJ$10:$FJ$406))</f>
        <v>0</v>
      </c>
      <c r="GH48" s="268">
        <f t="shared" si="251"/>
        <v>0</v>
      </c>
      <c r="GI48" s="137">
        <f t="shared" si="126"/>
        <v>39</v>
      </c>
      <c r="GJ48" s="269">
        <f t="shared" si="252"/>
        <v>0</v>
      </c>
      <c r="GK48" s="269">
        <f t="shared" si="253"/>
        <v>0</v>
      </c>
      <c r="GL48" s="163">
        <f t="shared" si="254"/>
        <v>0</v>
      </c>
      <c r="GM48" s="137">
        <f t="array" ref="GM48">IF(GJ48=0,0,LARGE(IF($GG$10:$GG$406=GJ48,$GF$10:$GF$406,0),COUNTIF($GJ$10:$GJ$406,GJ48)-COUNTIF(GJ$9:GJ47,GJ48)))</f>
        <v>0</v>
      </c>
      <c r="GN48" s="270">
        <f t="shared" si="255"/>
        <v>0</v>
      </c>
      <c r="GP48" s="137">
        <f>IF(C48="","",IF(ISERROR(MATCH(C48,C$10:C47,0)),MAX(GP$10:GP47)+1,INDEX(GP$10:GP47,MATCH(C48,C$10:C47,0))))</f>
        <v>33</v>
      </c>
      <c r="GQ48" s="264">
        <f>IF(COUNTIF($A$10:A48,A48)&lt;=1,SUMIF($A$10:$A$406,A48,$FH$10:$FH$406),0)</f>
        <v>7126342</v>
      </c>
      <c r="GR48" s="137">
        <f t="shared" si="130"/>
        <v>39</v>
      </c>
      <c r="GS48" s="269">
        <f t="shared" si="256"/>
        <v>6886239.5199999996</v>
      </c>
      <c r="GT48" s="269">
        <f t="shared" si="257"/>
        <v>50964284.172430128</v>
      </c>
      <c r="GU48" s="163">
        <f t="shared" si="258"/>
        <v>0</v>
      </c>
      <c r="GV48" s="137">
        <f t="array" ref="GV48">IF(GS48=0,0,LARGE(IF($GQ$10:$GQ$406=GS48,$GP$10:$GP$406,0),COUNTIF($GS$10:$GS$406,GS48)-COUNTIF(GS$9:GS47,GS48)))</f>
        <v>94</v>
      </c>
      <c r="GW48" s="270">
        <f t="shared" si="259"/>
        <v>0</v>
      </c>
      <c r="GX48" s="270"/>
      <c r="GY48" s="137">
        <f>IF(C48="","",IF(ISERROR(MATCH(C48,C$10:C47,0)),MAX(GP$10:GP47)+1,INDEX(GP$10:GP47,MATCH(C48,C$10:C47,0))))</f>
        <v>33</v>
      </c>
      <c r="GZ48" s="264">
        <f>IF(COUNTIF($A$10:A48,A48)&lt;=1,SUMIF($A$10:$A$406,A48,$FH$10:$FH$406),0)</f>
        <v>7126342</v>
      </c>
      <c r="HA48" s="137">
        <f t="shared" si="134"/>
        <v>39</v>
      </c>
      <c r="HB48" s="269">
        <f t="shared" si="260"/>
        <v>6886239.5199999996</v>
      </c>
      <c r="HC48" s="414" t="s">
        <v>622</v>
      </c>
      <c r="HD48" s="163">
        <f t="shared" si="261"/>
        <v>0</v>
      </c>
      <c r="HE48" s="137">
        <f t="array" ref="HE48">IF(HB48=0,0,LARGE(IF($GZ$10:$GZ$406=HB48,$GY$10:$GY$406,0),COUNTIF($HB$10:$HB$406,HB48)-COUNTIF(HB$9:HB47,HB48)))</f>
        <v>94</v>
      </c>
      <c r="HF48" s="270">
        <f t="shared" si="262"/>
        <v>0</v>
      </c>
      <c r="HG48"/>
      <c r="HH48" s="268">
        <f t="shared" si="263"/>
        <v>0</v>
      </c>
      <c r="HI48" s="271">
        <v>0</v>
      </c>
      <c r="HJ48" s="264">
        <f t="shared" si="264"/>
        <v>0</v>
      </c>
      <c r="HL48" s="137">
        <f t="shared" si="265"/>
        <v>39</v>
      </c>
      <c r="HM48" s="264">
        <f t="shared" si="300"/>
        <v>5706825.2599999998</v>
      </c>
      <c r="HO48" s="199">
        <f t="shared" si="301"/>
        <v>7126342</v>
      </c>
      <c r="HP48" s="199">
        <f t="shared" si="302"/>
        <v>7126342</v>
      </c>
      <c r="HQ48" s="199" t="str">
        <f t="shared" si="303"/>
        <v/>
      </c>
      <c r="HR48" s="199" t="str">
        <f t="shared" si="304"/>
        <v/>
      </c>
      <c r="HS48" s="199" t="str">
        <f t="shared" si="119"/>
        <v/>
      </c>
      <c r="HT48" s="199" t="str">
        <f t="shared" si="305"/>
        <v/>
      </c>
      <c r="HU48" s="199" t="str">
        <f t="shared" si="306"/>
        <v/>
      </c>
      <c r="HV48" s="200">
        <f t="shared" si="307"/>
        <v>0</v>
      </c>
      <c r="HW48" s="272">
        <f t="shared" si="308"/>
        <v>1</v>
      </c>
      <c r="HX48" s="200" t="str">
        <f t="shared" si="309"/>
        <v/>
      </c>
      <c r="HY48" s="200">
        <f t="shared" si="310"/>
        <v>0</v>
      </c>
      <c r="HZ48" s="200" t="str">
        <f t="shared" si="4"/>
        <v/>
      </c>
      <c r="IA48" s="200" t="str">
        <f t="shared" si="311"/>
        <v/>
      </c>
      <c r="IB48" s="200" t="str">
        <f t="shared" si="312"/>
        <v/>
      </c>
      <c r="IC48" s="273">
        <f>IF(C48="","",INDEX(Lookups!$E$2:$E$69,MATCH('Loan List'!BE48,Lookups!$F$2:$F$69,0)))</f>
        <v>12</v>
      </c>
      <c r="ID48" t="b">
        <f t="shared" si="313"/>
        <v>1</v>
      </c>
      <c r="IF48" s="346" t="str">
        <f t="shared" si="121"/>
        <v>No Initial Haircut</v>
      </c>
    </row>
    <row r="49" spans="1:240">
      <c r="A49" t="s">
        <v>614</v>
      </c>
      <c r="B49" s="242">
        <f t="shared" si="149"/>
        <v>40</v>
      </c>
      <c r="C49" s="242">
        <f>IF(COUNTIF($A$10:A48,A49)&gt;0,C48,C48+1)</f>
        <v>34</v>
      </c>
      <c r="D49" s="428" t="s">
        <v>614</v>
      </c>
      <c r="E49" s="428" t="s">
        <v>524</v>
      </c>
      <c r="F49" s="429"/>
      <c r="G49" s="430">
        <v>4477772.2300000004</v>
      </c>
      <c r="H49" s="430">
        <v>4477772.2300000004</v>
      </c>
      <c r="I49" s="244">
        <f>IF(B49="","",VLOOKUP(BF49,Inputs!$A$12:$J$15,10,FALSE))</f>
        <v>1</v>
      </c>
      <c r="J49" s="245">
        <f t="shared" si="5"/>
        <v>4477772.2300000004</v>
      </c>
      <c r="K49" s="245">
        <f t="shared" si="6"/>
        <v>4477772.2300000004</v>
      </c>
      <c r="L49" s="245">
        <f t="shared" si="7"/>
        <v>4477772.2300000004</v>
      </c>
      <c r="M49" s="245">
        <f t="shared" si="8"/>
        <v>4477772.2300000004</v>
      </c>
      <c r="N49" s="246" t="s">
        <v>246</v>
      </c>
      <c r="O49" s="246" t="s">
        <v>245</v>
      </c>
      <c r="P49" s="247">
        <f>IF(B49="","",IF(OR(O49="N/A",O49=""),0,YEARFRAC('Borrowing Base'!$J$4,'Loan List'!O49)*12))</f>
        <v>0</v>
      </c>
      <c r="Q49" s="246" t="s">
        <v>246</v>
      </c>
      <c r="R49" s="248">
        <v>0.99</v>
      </c>
      <c r="S49" s="249" t="str">
        <f t="shared" si="1"/>
        <v>No</v>
      </c>
      <c r="T49" s="248">
        <v>1</v>
      </c>
      <c r="U49" s="250">
        <f t="shared" si="9"/>
        <v>0.5</v>
      </c>
      <c r="V49" s="250">
        <f t="shared" si="10"/>
        <v>0.72499999999999998</v>
      </c>
      <c r="W49" s="251">
        <f t="shared" si="11"/>
        <v>4477772.2300000004</v>
      </c>
      <c r="X49" s="246" t="s">
        <v>64</v>
      </c>
      <c r="Y49" s="252" t="s">
        <v>483</v>
      </c>
      <c r="Z49" s="252" t="s">
        <v>484</v>
      </c>
      <c r="AA49" s="253" t="s">
        <v>407</v>
      </c>
      <c r="AB49" s="253" t="s">
        <v>713</v>
      </c>
      <c r="AC49" s="254">
        <v>0</v>
      </c>
      <c r="AD49" s="254">
        <v>4.3653823775767595</v>
      </c>
      <c r="AE49" s="254">
        <v>5.5996691263324969</v>
      </c>
      <c r="AF49" s="255">
        <v>0.17065390749601275</v>
      </c>
      <c r="AG49" s="256">
        <v>4.3600000000000003</v>
      </c>
      <c r="AH49" s="256">
        <v>4.3600000000000003</v>
      </c>
      <c r="AI49" s="256">
        <v>0.96947992180918519</v>
      </c>
      <c r="AJ49" s="256">
        <v>0.96947992180918519</v>
      </c>
      <c r="AK49" s="257">
        <v>24522040.5034298</v>
      </c>
      <c r="AL49" s="257">
        <v>98990608.171552062</v>
      </c>
      <c r="AM49" s="258">
        <v>45838</v>
      </c>
      <c r="AN49" s="245" t="str">
        <f t="shared" si="12"/>
        <v>Tier 2</v>
      </c>
      <c r="AO49" s="243">
        <v>46630</v>
      </c>
      <c r="AP49" s="259">
        <f>IF(C49="","",DAYS360(Inputs!$J$8,AO49)/360)</f>
        <v>2.0194444444444444</v>
      </c>
      <c r="AQ49" s="259">
        <f t="shared" si="13"/>
        <v>2.0194444444444444</v>
      </c>
      <c r="AR49" s="246" t="s">
        <v>246</v>
      </c>
      <c r="AS49" s="248">
        <v>0</v>
      </c>
      <c r="AT49" s="246" t="s">
        <v>64</v>
      </c>
      <c r="AU49" s="248">
        <v>0.01</v>
      </c>
      <c r="AV49" s="248">
        <v>5.3499999999999999E-2</v>
      </c>
      <c r="AW49" s="248">
        <v>4.2956000000000001E-2</v>
      </c>
      <c r="AX49" s="260">
        <f t="shared" si="14"/>
        <v>4.2956000000000001E-2</v>
      </c>
      <c r="AY49" s="248">
        <v>0</v>
      </c>
      <c r="AZ49" s="248">
        <v>0</v>
      </c>
      <c r="BA49" s="248">
        <v>0</v>
      </c>
      <c r="BB49" s="407">
        <f t="shared" si="15"/>
        <v>5.3499999999999999E-2</v>
      </c>
      <c r="BC49" s="407" t="str">
        <f t="shared" si="16"/>
        <v/>
      </c>
      <c r="BD49" s="252" t="s">
        <v>247</v>
      </c>
      <c r="BE49" s="261" t="s">
        <v>429</v>
      </c>
      <c r="BF49" s="252" t="s">
        <v>7</v>
      </c>
      <c r="BG49" s="252" t="s">
        <v>460</v>
      </c>
      <c r="BH49" s="246" t="s">
        <v>246</v>
      </c>
      <c r="BI49" s="408" t="str">
        <f t="shared" si="17"/>
        <v>No</v>
      </c>
      <c r="BJ49" s="408" t="str">
        <f t="shared" si="18"/>
        <v>No</v>
      </c>
      <c r="BK49" s="246" t="s">
        <v>246</v>
      </c>
      <c r="BL49" s="246" t="s">
        <v>246</v>
      </c>
      <c r="BM49" s="246" t="s">
        <v>246</v>
      </c>
      <c r="BN49" s="246" t="s">
        <v>246</v>
      </c>
      <c r="BO49" s="246" t="s">
        <v>246</v>
      </c>
      <c r="BP49" s="246" t="s">
        <v>246</v>
      </c>
      <c r="BQ49" s="246" t="s">
        <v>246</v>
      </c>
      <c r="BR49" s="246" t="s">
        <v>246</v>
      </c>
      <c r="BS49" s="246" t="s">
        <v>246</v>
      </c>
      <c r="BT49" s="246" t="s">
        <v>246</v>
      </c>
      <c r="BU49" s="246" t="s">
        <v>246</v>
      </c>
      <c r="BV49" s="246" t="s">
        <v>246</v>
      </c>
      <c r="BW49" s="246" t="s">
        <v>246</v>
      </c>
      <c r="BX49" s="246" t="s">
        <v>246</v>
      </c>
      <c r="BY49" s="246" t="s">
        <v>246</v>
      </c>
      <c r="BZ49" s="246" t="s">
        <v>246</v>
      </c>
      <c r="CA49" s="246" t="s">
        <v>246</v>
      </c>
      <c r="CB49" s="246" t="s">
        <v>64</v>
      </c>
      <c r="CC49" s="262">
        <f t="shared" si="19"/>
        <v>238367.93578292802</v>
      </c>
      <c r="CD49" s="262">
        <f t="shared" si="20"/>
        <v>0</v>
      </c>
      <c r="CE49" s="263"/>
      <c r="CF49" s="263">
        <f t="shared" si="150"/>
        <v>0</v>
      </c>
      <c r="CG49" s="263">
        <f t="shared" si="151"/>
        <v>0</v>
      </c>
      <c r="CH49" s="263">
        <f t="shared" si="152"/>
        <v>0</v>
      </c>
      <c r="CI49" s="263">
        <f t="shared" si="153"/>
        <v>0</v>
      </c>
      <c r="CJ49" s="263">
        <f t="shared" si="154"/>
        <v>0</v>
      </c>
      <c r="CK49" s="263">
        <f t="shared" si="155"/>
        <v>0</v>
      </c>
      <c r="CL49" s="263">
        <f t="shared" si="156"/>
        <v>0</v>
      </c>
      <c r="CM49" s="263">
        <f t="shared" si="157"/>
        <v>0</v>
      </c>
      <c r="CN49" s="263">
        <f t="shared" si="158"/>
        <v>0</v>
      </c>
      <c r="CO49" s="263">
        <f t="shared" si="159"/>
        <v>0</v>
      </c>
      <c r="CP49" s="263">
        <f t="shared" si="160"/>
        <v>0</v>
      </c>
      <c r="CQ49" s="263">
        <f t="shared" si="161"/>
        <v>0</v>
      </c>
      <c r="CR49" s="263">
        <f t="shared" si="162"/>
        <v>0</v>
      </c>
      <c r="CS49" s="263">
        <f t="shared" si="163"/>
        <v>0</v>
      </c>
      <c r="CT49" s="263">
        <f t="shared" si="164"/>
        <v>0</v>
      </c>
      <c r="CU49" s="263">
        <f t="shared" si="165"/>
        <v>0</v>
      </c>
      <c r="CV49" s="263">
        <f t="shared" si="166"/>
        <v>0</v>
      </c>
      <c r="CW49" s="263">
        <f t="shared" si="167"/>
        <v>0</v>
      </c>
      <c r="CX49" s="263">
        <f t="shared" si="168"/>
        <v>0</v>
      </c>
      <c r="CY49" s="263">
        <f t="shared" si="169"/>
        <v>0</v>
      </c>
      <c r="CZ49" s="263">
        <f t="shared" si="170"/>
        <v>0</v>
      </c>
      <c r="DA49" s="263">
        <f t="shared" si="171"/>
        <v>0</v>
      </c>
      <c r="DB49" s="263">
        <f t="shared" si="172"/>
        <v>0</v>
      </c>
      <c r="DC49" s="263">
        <f t="shared" si="173"/>
        <v>0</v>
      </c>
      <c r="DD49" s="263">
        <f t="shared" si="174"/>
        <v>0</v>
      </c>
      <c r="DE49" s="263">
        <f t="shared" si="175"/>
        <v>0</v>
      </c>
      <c r="DF49" s="263">
        <f t="shared" si="176"/>
        <v>4477772.2300000004</v>
      </c>
      <c r="DG49" s="263">
        <f t="shared" si="177"/>
        <v>0</v>
      </c>
      <c r="DH49" s="263">
        <f t="shared" si="178"/>
        <v>4477772.2300000004</v>
      </c>
      <c r="DI49" s="263">
        <f t="shared" si="179"/>
        <v>4477772.2300000004</v>
      </c>
      <c r="DJ49" s="263">
        <f t="shared" si="180"/>
        <v>0</v>
      </c>
      <c r="DK49" s="263">
        <f t="shared" si="181"/>
        <v>0</v>
      </c>
      <c r="DL49" s="263">
        <f t="shared" si="182"/>
        <v>0</v>
      </c>
      <c r="DM49" s="263">
        <f t="shared" si="183"/>
        <v>0</v>
      </c>
      <c r="DO49" s="264">
        <f t="shared" si="184"/>
        <v>0</v>
      </c>
      <c r="DP49" s="265">
        <f t="shared" si="185"/>
        <v>0</v>
      </c>
      <c r="DQ49" s="264">
        <f t="shared" si="186"/>
        <v>4477772.2300000004</v>
      </c>
      <c r="DR49" s="264">
        <f t="shared" si="187"/>
        <v>0</v>
      </c>
      <c r="DS49" s="265">
        <f t="shared" si="188"/>
        <v>0</v>
      </c>
      <c r="DT49" s="264">
        <f t="shared" si="189"/>
        <v>4477772.2300000004</v>
      </c>
      <c r="DU49" s="264">
        <f t="shared" si="190"/>
        <v>0</v>
      </c>
      <c r="DV49" s="265">
        <f t="shared" si="191"/>
        <v>0</v>
      </c>
      <c r="DW49" s="264">
        <f t="shared" si="192"/>
        <v>4477772.2300000004</v>
      </c>
      <c r="DX49" s="264">
        <f t="shared" si="193"/>
        <v>0</v>
      </c>
      <c r="DY49" s="265">
        <f t="shared" si="194"/>
        <v>0</v>
      </c>
      <c r="DZ49" s="264">
        <f t="shared" si="195"/>
        <v>4477772.2300000004</v>
      </c>
      <c r="EA49" s="264">
        <f t="shared" si="196"/>
        <v>0</v>
      </c>
      <c r="EB49" s="265">
        <f t="shared" si="197"/>
        <v>0</v>
      </c>
      <c r="EC49" s="264">
        <f t="shared" si="198"/>
        <v>4477772.2300000004</v>
      </c>
      <c r="ED49" s="264">
        <f t="shared" si="199"/>
        <v>0</v>
      </c>
      <c r="EE49" s="265">
        <f t="shared" si="200"/>
        <v>0</v>
      </c>
      <c r="EF49" s="264">
        <f t="shared" si="201"/>
        <v>4477772.2300000004</v>
      </c>
      <c r="EG49" s="264">
        <f t="shared" si="202"/>
        <v>0</v>
      </c>
      <c r="EH49" s="265">
        <f t="shared" si="203"/>
        <v>0</v>
      </c>
      <c r="EI49" s="264">
        <f t="shared" si="204"/>
        <v>4477772.2300000004</v>
      </c>
      <c r="EJ49" s="264">
        <f t="shared" si="205"/>
        <v>0</v>
      </c>
      <c r="EK49" s="265">
        <f t="shared" si="206"/>
        <v>0</v>
      </c>
      <c r="EL49" s="264">
        <f t="shared" si="207"/>
        <v>4477772.2300000004</v>
      </c>
      <c r="EM49" s="264">
        <f t="shared" si="208"/>
        <v>0</v>
      </c>
      <c r="EN49" s="265">
        <f t="shared" si="209"/>
        <v>0</v>
      </c>
      <c r="EO49" s="264">
        <f t="shared" si="210"/>
        <v>4477772.2300000004</v>
      </c>
      <c r="EP49" s="264">
        <f t="shared" si="211"/>
        <v>0</v>
      </c>
      <c r="EQ49" s="265">
        <f t="shared" si="212"/>
        <v>0</v>
      </c>
      <c r="ER49" s="264">
        <f t="shared" si="213"/>
        <v>4477772.2300000004</v>
      </c>
      <c r="ES49" s="264">
        <f t="shared" si="214"/>
        <v>0</v>
      </c>
      <c r="ET49" s="265">
        <f t="shared" si="215"/>
        <v>0</v>
      </c>
      <c r="EU49" s="264">
        <f t="shared" si="216"/>
        <v>4477772.2300000004</v>
      </c>
      <c r="EV49" s="264">
        <f>IF(AND(BM49="Yes",OR(BN49="No",AND(BN49="Yes",Inputs!$J$8=Inputs!$J$17+75))),EU49,0)</f>
        <v>0</v>
      </c>
      <c r="EW49" s="265">
        <f t="shared" si="217"/>
        <v>0</v>
      </c>
      <c r="EX49" s="264">
        <f t="shared" si="218"/>
        <v>4477772.2300000004</v>
      </c>
      <c r="EY49" s="264">
        <f t="shared" si="219"/>
        <v>0</v>
      </c>
      <c r="EZ49" s="265">
        <f t="shared" si="220"/>
        <v>0</v>
      </c>
      <c r="FA49" s="264">
        <f t="shared" si="221"/>
        <v>4477772.2300000004</v>
      </c>
      <c r="FB49" s="264">
        <f t="shared" si="222"/>
        <v>0</v>
      </c>
      <c r="FC49" s="265">
        <f t="shared" si="223"/>
        <v>0</v>
      </c>
      <c r="FD49" s="264">
        <f t="shared" si="224"/>
        <v>4477772.2300000004</v>
      </c>
      <c r="FE49" s="264">
        <f t="shared" si="225"/>
        <v>0</v>
      </c>
      <c r="FF49" s="265">
        <f t="shared" si="226"/>
        <v>0</v>
      </c>
      <c r="FG49" s="264">
        <f t="shared" si="227"/>
        <v>4477772.2300000004</v>
      </c>
      <c r="FH49" s="264">
        <f t="shared" si="228"/>
        <v>4477772.2300000004</v>
      </c>
      <c r="FI49" s="264">
        <f t="shared" si="229"/>
        <v>0</v>
      </c>
      <c r="FJ49" s="264">
        <f t="shared" si="230"/>
        <v>4477772.2300000004</v>
      </c>
      <c r="FK49" s="264">
        <f t="shared" si="231"/>
        <v>4477772.2300000004</v>
      </c>
      <c r="FL49" s="264">
        <f t="shared" si="232"/>
        <v>0</v>
      </c>
      <c r="FM49" s="264">
        <f t="shared" si="233"/>
        <v>4477772.2300000004</v>
      </c>
      <c r="FN49" s="264">
        <f t="shared" si="234"/>
        <v>4477772.2300000004</v>
      </c>
      <c r="FO49" s="264">
        <f t="shared" si="235"/>
        <v>0</v>
      </c>
      <c r="FP49" s="264">
        <f t="shared" si="236"/>
        <v>4477772.2300000004</v>
      </c>
      <c r="FQ49" s="264">
        <f t="shared" si="237"/>
        <v>0</v>
      </c>
      <c r="FR49" s="265">
        <f t="shared" si="238"/>
        <v>0</v>
      </c>
      <c r="FS49" s="264">
        <f t="shared" si="239"/>
        <v>4477772.2300000004</v>
      </c>
      <c r="FT49" s="264">
        <f t="shared" si="240"/>
        <v>0</v>
      </c>
      <c r="FU49" s="265">
        <f t="shared" si="241"/>
        <v>0</v>
      </c>
      <c r="FV49" s="264">
        <f t="shared" si="242"/>
        <v>4477772.2300000004</v>
      </c>
      <c r="FW49" s="264">
        <f t="shared" si="243"/>
        <v>0</v>
      </c>
      <c r="FX49" s="264">
        <f t="shared" si="244"/>
        <v>0</v>
      </c>
      <c r="FY49" s="264">
        <f t="shared" si="245"/>
        <v>0</v>
      </c>
      <c r="FZ49" s="264">
        <f t="shared" si="246"/>
        <v>0</v>
      </c>
      <c r="GA49" s="265">
        <f t="shared" si="296"/>
        <v>0</v>
      </c>
      <c r="GB49" s="264">
        <f t="shared" si="297"/>
        <v>4477772.2300000004</v>
      </c>
      <c r="GC49" s="264">
        <f t="shared" si="247"/>
        <v>4477772.2300000004</v>
      </c>
      <c r="GD49" s="266">
        <f t="shared" si="248"/>
        <v>3246384.86675</v>
      </c>
      <c r="GE49" s="138">
        <f t="shared" si="249"/>
        <v>0.72499999999999998</v>
      </c>
      <c r="GF49" s="267">
        <f t="shared" si="250"/>
        <v>42</v>
      </c>
      <c r="GG49" s="264">
        <f t="array" ref="GG49">IF(SUM(IF(IC$9:IC48=IC49,1,0))&gt;0,0,SUMIF($IC$10:$IC$406,IC49,$FJ$10:$FJ$406))</f>
        <v>56100012.079999998</v>
      </c>
      <c r="GH49" s="268">
        <f t="shared" si="251"/>
        <v>56100012.079999998</v>
      </c>
      <c r="GI49" s="137">
        <f t="shared" si="126"/>
        <v>40</v>
      </c>
      <c r="GJ49" s="269">
        <f t="shared" si="252"/>
        <v>0</v>
      </c>
      <c r="GK49" s="269">
        <f t="shared" si="253"/>
        <v>0</v>
      </c>
      <c r="GL49" s="163">
        <f t="shared" si="254"/>
        <v>0</v>
      </c>
      <c r="GM49" s="137">
        <f t="array" ref="GM49">IF(GJ49=0,0,LARGE(IF($GG$10:$GG$406=GJ49,$GF$10:$GF$406,0),COUNTIF($GJ$10:$GJ$406,GJ49)-COUNTIF(GJ$9:GJ48,GJ49)))</f>
        <v>0</v>
      </c>
      <c r="GN49" s="270">
        <f t="shared" si="255"/>
        <v>0</v>
      </c>
      <c r="GP49" s="137">
        <f>IF(C49="","",IF(ISERROR(MATCH(C49,C$10:C48,0)),MAX(GP$10:GP48)+1,INDEX(GP$10:GP48,MATCH(C49,C$10:C48,0))))</f>
        <v>34</v>
      </c>
      <c r="GQ49" s="264">
        <f>IF(COUNTIF($A$10:A49,A49)&lt;=1,SUMIF($A$10:$A$406,A49,$FH$10:$FH$406),0)</f>
        <v>9290272.2300000004</v>
      </c>
      <c r="GR49" s="137">
        <f t="shared" si="130"/>
        <v>40</v>
      </c>
      <c r="GS49" s="269">
        <f t="shared" si="256"/>
        <v>6864468.25</v>
      </c>
      <c r="GT49" s="269">
        <f t="shared" si="257"/>
        <v>50964284.172430128</v>
      </c>
      <c r="GU49" s="163">
        <f t="shared" si="258"/>
        <v>0</v>
      </c>
      <c r="GV49" s="137">
        <f t="array" ref="GV49">IF(GS49=0,0,LARGE(IF($GQ$10:$GQ$406=GS49,$GP$10:$GP$406,0),COUNTIF($GS$10:$GS$406,GS49)-COUNTIF(GS$9:GS48,GS49)))</f>
        <v>115</v>
      </c>
      <c r="GW49" s="270">
        <f t="shared" si="259"/>
        <v>0</v>
      </c>
      <c r="GX49" s="270"/>
      <c r="GY49" s="137">
        <f>IF(C49="","",IF(ISERROR(MATCH(C49,C$10:C48,0)),MAX(GP$10:GP48)+1,INDEX(GP$10:GP48,MATCH(C49,C$10:C48,0))))</f>
        <v>34</v>
      </c>
      <c r="GZ49" s="264">
        <f>IF(COUNTIF($A$10:A49,A49)&lt;=1,SUMIF($A$10:$A$406,A49,$FH$10:$FH$406),0)</f>
        <v>9290272.2300000004</v>
      </c>
      <c r="HA49" s="137">
        <f t="shared" si="134"/>
        <v>40</v>
      </c>
      <c r="HB49" s="269">
        <f t="shared" si="260"/>
        <v>6864468.25</v>
      </c>
      <c r="HC49" s="414" t="s">
        <v>622</v>
      </c>
      <c r="HD49" s="163">
        <f t="shared" si="261"/>
        <v>0</v>
      </c>
      <c r="HE49" s="137">
        <f t="array" ref="HE49">IF(HB49=0,0,LARGE(IF($GZ$10:$GZ$406=HB49,$GY$10:$GY$406,0),COUNTIF($HB$10:$HB$406,HB49)-COUNTIF(HB$9:HB48,HB49)))</f>
        <v>115</v>
      </c>
      <c r="HF49" s="270">
        <f t="shared" si="262"/>
        <v>0</v>
      </c>
      <c r="HG49" s="270"/>
      <c r="HH49" s="268">
        <f t="shared" si="263"/>
        <v>0</v>
      </c>
      <c r="HI49" s="271">
        <v>0</v>
      </c>
      <c r="HJ49" s="264">
        <f t="shared" si="264"/>
        <v>0</v>
      </c>
      <c r="HL49" s="137">
        <f t="shared" si="265"/>
        <v>40</v>
      </c>
      <c r="HM49" s="264">
        <f t="shared" si="300"/>
        <v>6153116.4100000001</v>
      </c>
      <c r="HN49"/>
      <c r="HO49" s="199">
        <f t="shared" si="301"/>
        <v>4477772.2300000004</v>
      </c>
      <c r="HP49" s="199">
        <f t="shared" si="302"/>
        <v>4477772.2300000004</v>
      </c>
      <c r="HQ49" s="199" t="str">
        <f t="shared" si="303"/>
        <v/>
      </c>
      <c r="HR49" s="199" t="str">
        <f t="shared" si="304"/>
        <v/>
      </c>
      <c r="HS49" s="199" t="str">
        <f t="shared" si="119"/>
        <v/>
      </c>
      <c r="HT49" s="199" t="str">
        <f t="shared" si="305"/>
        <v/>
      </c>
      <c r="HU49" s="199" t="str">
        <f t="shared" si="306"/>
        <v/>
      </c>
      <c r="HV49" s="200">
        <f t="shared" si="307"/>
        <v>0</v>
      </c>
      <c r="HW49" s="272">
        <f t="shared" si="308"/>
        <v>1</v>
      </c>
      <c r="HX49" s="200" t="str">
        <f t="shared" si="309"/>
        <v/>
      </c>
      <c r="HY49" s="200">
        <f t="shared" si="310"/>
        <v>0</v>
      </c>
      <c r="HZ49" s="200" t="str">
        <f t="shared" si="4"/>
        <v/>
      </c>
      <c r="IA49" s="200" t="str">
        <f t="shared" si="311"/>
        <v/>
      </c>
      <c r="IB49" s="200" t="str">
        <f t="shared" si="312"/>
        <v/>
      </c>
      <c r="IC49" s="273">
        <f>IF(C49="","",INDEX(Lookups!$E$2:$E$69,MATCH('Loan List'!BE49,Lookups!$F$2:$F$69,0)))</f>
        <v>42</v>
      </c>
      <c r="ID49" t="b">
        <f t="shared" si="313"/>
        <v>1</v>
      </c>
      <c r="IF49" s="346" t="str">
        <f t="shared" si="121"/>
        <v>No Initial Haircut</v>
      </c>
    </row>
    <row r="50" spans="1:240">
      <c r="A50" t="s">
        <v>614</v>
      </c>
      <c r="B50" s="242">
        <f t="shared" si="149"/>
        <v>41</v>
      </c>
      <c r="C50" s="242">
        <f>IF(COUNTIF($A$10:A49,A50)&gt;0,C49,C49+1)</f>
        <v>34</v>
      </c>
      <c r="D50" s="431" t="s">
        <v>738</v>
      </c>
      <c r="E50" s="428" t="s">
        <v>524</v>
      </c>
      <c r="F50" s="429"/>
      <c r="G50" s="430">
        <v>4812500</v>
      </c>
      <c r="H50" s="430">
        <v>4812500</v>
      </c>
      <c r="I50" s="244">
        <f>IF(B50="","",VLOOKUP(BF50,Inputs!$A$12:$J$15,10,FALSE))</f>
        <v>1</v>
      </c>
      <c r="J50" s="245">
        <f t="shared" si="5"/>
        <v>4812500</v>
      </c>
      <c r="K50" s="245">
        <f t="shared" si="6"/>
        <v>4812500</v>
      </c>
      <c r="L50" s="245">
        <f t="shared" si="7"/>
        <v>4812500</v>
      </c>
      <c r="M50" s="245">
        <f t="shared" si="8"/>
        <v>4812500</v>
      </c>
      <c r="N50" s="246" t="s">
        <v>246</v>
      </c>
      <c r="O50" s="246" t="s">
        <v>245</v>
      </c>
      <c r="P50" s="247">
        <f>IF(B50="","",IF(OR(O50="N/A",O50=""),0,YEARFRAC('Borrowing Base'!$J$4,'Loan List'!O50)*12))</f>
        <v>0</v>
      </c>
      <c r="Q50" s="246" t="s">
        <v>246</v>
      </c>
      <c r="R50" s="248">
        <v>0.99</v>
      </c>
      <c r="S50" s="249" t="str">
        <f t="shared" si="1"/>
        <v>No</v>
      </c>
      <c r="T50" s="248">
        <v>1</v>
      </c>
      <c r="U50" s="250">
        <f t="shared" si="9"/>
        <v>0.5</v>
      </c>
      <c r="V50" s="250">
        <f t="shared" si="10"/>
        <v>0.72499999999999998</v>
      </c>
      <c r="W50" s="251">
        <f t="shared" si="11"/>
        <v>4812500</v>
      </c>
      <c r="X50" s="246" t="s">
        <v>64</v>
      </c>
      <c r="Y50" s="252" t="s">
        <v>483</v>
      </c>
      <c r="Z50" s="252" t="s">
        <v>484</v>
      </c>
      <c r="AA50" s="253" t="s">
        <v>407</v>
      </c>
      <c r="AB50" s="253" t="s">
        <v>713</v>
      </c>
      <c r="AC50" s="254">
        <v>0</v>
      </c>
      <c r="AD50" s="254">
        <v>4.3653823775767595</v>
      </c>
      <c r="AE50" s="254">
        <v>5.5996691263324969</v>
      </c>
      <c r="AF50" s="255">
        <v>0.17065390749601275</v>
      </c>
      <c r="AG50" s="256">
        <v>0.96947992180918519</v>
      </c>
      <c r="AH50" s="256">
        <v>0.96947992180918519</v>
      </c>
      <c r="AI50" s="256">
        <v>0.96947992180918519</v>
      </c>
      <c r="AJ50" s="256">
        <v>0.96947992180918519</v>
      </c>
      <c r="AK50" s="257">
        <v>98990608.171552062</v>
      </c>
      <c r="AL50" s="257">
        <v>98990608.171552062</v>
      </c>
      <c r="AM50" s="258">
        <v>45838</v>
      </c>
      <c r="AN50" s="245" t="str">
        <f t="shared" si="12"/>
        <v>Tier 1</v>
      </c>
      <c r="AO50" s="243">
        <v>46630</v>
      </c>
      <c r="AP50" s="259">
        <f>IF(C50="","",DAYS360(Inputs!$J$8,AO50)/360)</f>
        <v>2.0194444444444444</v>
      </c>
      <c r="AQ50" s="259">
        <f t="shared" si="13"/>
        <v>2.0194444444444444</v>
      </c>
      <c r="AR50" s="246" t="s">
        <v>246</v>
      </c>
      <c r="AS50" s="248">
        <v>0</v>
      </c>
      <c r="AT50" s="246" t="s">
        <v>64</v>
      </c>
      <c r="AU50" s="248">
        <v>0.01</v>
      </c>
      <c r="AV50" s="248">
        <v>5.3499999999999999E-2</v>
      </c>
      <c r="AW50" s="248">
        <v>4.2956000000000001E-2</v>
      </c>
      <c r="AX50" s="260">
        <f t="shared" si="14"/>
        <v>4.2956000000000001E-2</v>
      </c>
      <c r="AY50" s="248">
        <v>0</v>
      </c>
      <c r="AZ50" s="248">
        <v>0</v>
      </c>
      <c r="BA50" s="248">
        <v>0</v>
      </c>
      <c r="BB50" s="407">
        <f t="shared" si="15"/>
        <v>5.3499999999999999E-2</v>
      </c>
      <c r="BC50" s="407" t="str">
        <f t="shared" si="16"/>
        <v/>
      </c>
      <c r="BD50" s="252" t="s">
        <v>247</v>
      </c>
      <c r="BE50" s="261" t="s">
        <v>429</v>
      </c>
      <c r="BF50" s="252" t="s">
        <v>7</v>
      </c>
      <c r="BG50" s="252" t="s">
        <v>460</v>
      </c>
      <c r="BH50" s="246" t="s">
        <v>246</v>
      </c>
      <c r="BI50" s="408" t="str">
        <f t="shared" si="17"/>
        <v>No</v>
      </c>
      <c r="BJ50" s="408" t="str">
        <f t="shared" si="18"/>
        <v>No</v>
      </c>
      <c r="BK50" s="246" t="s">
        <v>246</v>
      </c>
      <c r="BL50" s="246" t="s">
        <v>246</v>
      </c>
      <c r="BM50" s="246" t="s">
        <v>64</v>
      </c>
      <c r="BN50" s="246" t="s">
        <v>64</v>
      </c>
      <c r="BO50" s="246" t="s">
        <v>246</v>
      </c>
      <c r="BP50" s="246" t="s">
        <v>246</v>
      </c>
      <c r="BQ50" s="246" t="s">
        <v>246</v>
      </c>
      <c r="BR50" s="246" t="s">
        <v>246</v>
      </c>
      <c r="BS50" s="246" t="s">
        <v>246</v>
      </c>
      <c r="BT50" s="246" t="s">
        <v>246</v>
      </c>
      <c r="BU50" s="246" t="s">
        <v>246</v>
      </c>
      <c r="BV50" s="246" t="s">
        <v>246</v>
      </c>
      <c r="BW50" s="246" t="s">
        <v>246</v>
      </c>
      <c r="BX50" s="246" t="s">
        <v>246</v>
      </c>
      <c r="BY50" s="246" t="s">
        <v>246</v>
      </c>
      <c r="BZ50" s="246" t="s">
        <v>246</v>
      </c>
      <c r="CA50" s="246" t="s">
        <v>246</v>
      </c>
      <c r="CB50" s="246" t="s">
        <v>64</v>
      </c>
      <c r="CC50" s="262">
        <f t="shared" si="19"/>
        <v>256186.69999999998</v>
      </c>
      <c r="CD50" s="262">
        <f t="shared" si="20"/>
        <v>0</v>
      </c>
      <c r="CE50" s="263"/>
      <c r="CF50" s="263">
        <f t="shared" si="150"/>
        <v>0</v>
      </c>
      <c r="CG50" s="263">
        <f t="shared" si="151"/>
        <v>0</v>
      </c>
      <c r="CH50" s="263">
        <f t="shared" si="152"/>
        <v>0</v>
      </c>
      <c r="CI50" s="263">
        <f t="shared" si="153"/>
        <v>0</v>
      </c>
      <c r="CJ50" s="263">
        <f t="shared" si="154"/>
        <v>0</v>
      </c>
      <c r="CK50" s="263">
        <f t="shared" si="155"/>
        <v>0</v>
      </c>
      <c r="CL50" s="263">
        <f t="shared" si="156"/>
        <v>0</v>
      </c>
      <c r="CM50" s="263">
        <f t="shared" si="157"/>
        <v>0</v>
      </c>
      <c r="CN50" s="263">
        <f t="shared" si="158"/>
        <v>0</v>
      </c>
      <c r="CO50" s="263">
        <f t="shared" si="159"/>
        <v>0</v>
      </c>
      <c r="CP50" s="263">
        <f t="shared" si="160"/>
        <v>0</v>
      </c>
      <c r="CQ50" s="263">
        <f t="shared" si="161"/>
        <v>0</v>
      </c>
      <c r="CR50" s="263">
        <f t="shared" si="162"/>
        <v>0</v>
      </c>
      <c r="CS50" s="263">
        <f t="shared" si="163"/>
        <v>0</v>
      </c>
      <c r="CT50" s="263">
        <f t="shared" si="164"/>
        <v>0</v>
      </c>
      <c r="CU50" s="263">
        <f t="shared" si="165"/>
        <v>0</v>
      </c>
      <c r="CV50" s="263">
        <f t="shared" si="166"/>
        <v>0</v>
      </c>
      <c r="CW50" s="263">
        <f t="shared" si="167"/>
        <v>0</v>
      </c>
      <c r="CX50" s="263">
        <f t="shared" si="168"/>
        <v>0</v>
      </c>
      <c r="CY50" s="263">
        <f t="shared" si="169"/>
        <v>0</v>
      </c>
      <c r="CZ50" s="263">
        <f t="shared" si="170"/>
        <v>0</v>
      </c>
      <c r="DA50" s="263">
        <f t="shared" si="171"/>
        <v>0</v>
      </c>
      <c r="DB50" s="263">
        <f t="shared" si="172"/>
        <v>0</v>
      </c>
      <c r="DC50" s="263">
        <f t="shared" si="173"/>
        <v>0</v>
      </c>
      <c r="DD50" s="263">
        <f t="shared" si="174"/>
        <v>0</v>
      </c>
      <c r="DE50" s="263">
        <f t="shared" si="175"/>
        <v>0</v>
      </c>
      <c r="DF50" s="263">
        <f t="shared" si="176"/>
        <v>4812500</v>
      </c>
      <c r="DG50" s="263">
        <f t="shared" si="177"/>
        <v>0</v>
      </c>
      <c r="DH50" s="263">
        <f t="shared" si="178"/>
        <v>4812500</v>
      </c>
      <c r="DI50" s="263">
        <f t="shared" si="179"/>
        <v>4812500</v>
      </c>
      <c r="DJ50" s="263">
        <f t="shared" si="180"/>
        <v>0</v>
      </c>
      <c r="DK50" s="263">
        <f t="shared" si="181"/>
        <v>0</v>
      </c>
      <c r="DL50" s="263">
        <f t="shared" si="182"/>
        <v>0</v>
      </c>
      <c r="DM50" s="263">
        <f t="shared" si="183"/>
        <v>0</v>
      </c>
      <c r="DO50" s="264">
        <f t="shared" si="184"/>
        <v>0</v>
      </c>
      <c r="DP50" s="265">
        <f t="shared" si="185"/>
        <v>0</v>
      </c>
      <c r="DQ50" s="264">
        <f t="shared" si="186"/>
        <v>4812500</v>
      </c>
      <c r="DR50" s="264">
        <f t="shared" si="187"/>
        <v>0</v>
      </c>
      <c r="DS50" s="265">
        <f t="shared" si="188"/>
        <v>0</v>
      </c>
      <c r="DT50" s="264">
        <f t="shared" si="189"/>
        <v>4812500</v>
      </c>
      <c r="DU50" s="264">
        <f t="shared" si="190"/>
        <v>0</v>
      </c>
      <c r="DV50" s="265">
        <f t="shared" si="191"/>
        <v>0</v>
      </c>
      <c r="DW50" s="264">
        <f t="shared" si="192"/>
        <v>4812500</v>
      </c>
      <c r="DX50" s="264">
        <f t="shared" si="193"/>
        <v>0</v>
      </c>
      <c r="DY50" s="265">
        <f t="shared" si="194"/>
        <v>0</v>
      </c>
      <c r="DZ50" s="264">
        <f t="shared" si="195"/>
        <v>4812500</v>
      </c>
      <c r="EA50" s="264">
        <f t="shared" si="196"/>
        <v>0</v>
      </c>
      <c r="EB50" s="265">
        <f t="shared" si="197"/>
        <v>0</v>
      </c>
      <c r="EC50" s="264">
        <f t="shared" si="198"/>
        <v>4812500</v>
      </c>
      <c r="ED50" s="264">
        <f t="shared" si="199"/>
        <v>0</v>
      </c>
      <c r="EE50" s="265">
        <f t="shared" si="200"/>
        <v>0</v>
      </c>
      <c r="EF50" s="264">
        <f t="shared" si="201"/>
        <v>4812500</v>
      </c>
      <c r="EG50" s="264">
        <f t="shared" si="202"/>
        <v>0</v>
      </c>
      <c r="EH50" s="265">
        <f t="shared" si="203"/>
        <v>0</v>
      </c>
      <c r="EI50" s="264">
        <f t="shared" si="204"/>
        <v>4812500</v>
      </c>
      <c r="EJ50" s="264">
        <f t="shared" si="205"/>
        <v>0</v>
      </c>
      <c r="EK50" s="265">
        <f t="shared" si="206"/>
        <v>0</v>
      </c>
      <c r="EL50" s="264">
        <f t="shared" si="207"/>
        <v>4812500</v>
      </c>
      <c r="EM50" s="264">
        <f t="shared" si="208"/>
        <v>0</v>
      </c>
      <c r="EN50" s="265">
        <f t="shared" si="209"/>
        <v>0</v>
      </c>
      <c r="EO50" s="264">
        <f t="shared" si="210"/>
        <v>4812500</v>
      </c>
      <c r="EP50" s="264">
        <f t="shared" si="211"/>
        <v>0</v>
      </c>
      <c r="EQ50" s="265">
        <f t="shared" si="212"/>
        <v>0</v>
      </c>
      <c r="ER50" s="264">
        <f t="shared" si="213"/>
        <v>4812500</v>
      </c>
      <c r="ES50" s="264">
        <f t="shared" si="214"/>
        <v>0</v>
      </c>
      <c r="ET50" s="265">
        <f t="shared" si="215"/>
        <v>0</v>
      </c>
      <c r="EU50" s="264">
        <f t="shared" si="216"/>
        <v>4812500</v>
      </c>
      <c r="EV50" s="264">
        <f>IF(AND(BM50="Yes",OR(BN50="No",AND(BN50="Yes",Inputs!$J$8=Inputs!$J$17+75))),EU50,0)</f>
        <v>0</v>
      </c>
      <c r="EW50" s="265">
        <f t="shared" si="217"/>
        <v>0</v>
      </c>
      <c r="EX50" s="264">
        <f t="shared" si="218"/>
        <v>4812500</v>
      </c>
      <c r="EY50" s="264">
        <f t="shared" si="219"/>
        <v>0</v>
      </c>
      <c r="EZ50" s="265">
        <f t="shared" si="220"/>
        <v>0</v>
      </c>
      <c r="FA50" s="264">
        <f t="shared" si="221"/>
        <v>4812500</v>
      </c>
      <c r="FB50" s="264">
        <f t="shared" si="222"/>
        <v>0</v>
      </c>
      <c r="FC50" s="265">
        <f t="shared" si="223"/>
        <v>0</v>
      </c>
      <c r="FD50" s="264">
        <f t="shared" si="224"/>
        <v>4812500</v>
      </c>
      <c r="FE50" s="264">
        <f t="shared" si="225"/>
        <v>0</v>
      </c>
      <c r="FF50" s="265">
        <f t="shared" si="226"/>
        <v>0</v>
      </c>
      <c r="FG50" s="264">
        <f t="shared" si="227"/>
        <v>4812500</v>
      </c>
      <c r="FH50" s="264">
        <f t="shared" si="228"/>
        <v>4812500</v>
      </c>
      <c r="FI50" s="264">
        <f t="shared" si="229"/>
        <v>0</v>
      </c>
      <c r="FJ50" s="264">
        <f t="shared" si="230"/>
        <v>4812500</v>
      </c>
      <c r="FK50" s="264">
        <f t="shared" si="231"/>
        <v>4812500</v>
      </c>
      <c r="FL50" s="264">
        <f t="shared" si="232"/>
        <v>0</v>
      </c>
      <c r="FM50" s="264">
        <f t="shared" si="233"/>
        <v>4812500</v>
      </c>
      <c r="FN50" s="264">
        <f t="shared" si="234"/>
        <v>4812500</v>
      </c>
      <c r="FO50" s="264">
        <f t="shared" si="235"/>
        <v>0</v>
      </c>
      <c r="FP50" s="264">
        <f t="shared" si="236"/>
        <v>4812500</v>
      </c>
      <c r="FQ50" s="264">
        <f t="shared" si="237"/>
        <v>0</v>
      </c>
      <c r="FR50" s="265">
        <f t="shared" si="238"/>
        <v>0</v>
      </c>
      <c r="FS50" s="264">
        <f t="shared" si="239"/>
        <v>4812500</v>
      </c>
      <c r="FT50" s="264">
        <f t="shared" si="240"/>
        <v>0</v>
      </c>
      <c r="FU50" s="265">
        <f t="shared" si="241"/>
        <v>0</v>
      </c>
      <c r="FV50" s="264">
        <f t="shared" si="242"/>
        <v>4812500</v>
      </c>
      <c r="FW50" s="264">
        <f t="shared" si="243"/>
        <v>0</v>
      </c>
      <c r="FX50" s="264">
        <f t="shared" si="244"/>
        <v>0</v>
      </c>
      <c r="FY50" s="264">
        <f t="shared" si="245"/>
        <v>0</v>
      </c>
      <c r="FZ50" s="264">
        <f t="shared" si="246"/>
        <v>0</v>
      </c>
      <c r="GA50" s="265">
        <f t="shared" si="296"/>
        <v>0</v>
      </c>
      <c r="GB50" s="264">
        <f t="shared" si="297"/>
        <v>4812500</v>
      </c>
      <c r="GC50" s="264">
        <f t="shared" si="247"/>
        <v>4812500</v>
      </c>
      <c r="GD50" s="266">
        <f t="shared" si="248"/>
        <v>3489062.5</v>
      </c>
      <c r="GE50" s="138">
        <f t="shared" si="249"/>
        <v>0.72499999999999998</v>
      </c>
      <c r="GF50" s="267">
        <f t="shared" si="250"/>
        <v>42</v>
      </c>
      <c r="GG50" s="264">
        <f t="array" ref="GG50">IF(SUM(IF(IC$9:IC49=IC50,1,0))&gt;0,0,SUMIF($IC$10:$IC$406,IC50,$FJ$10:$FJ$406))</f>
        <v>0</v>
      </c>
      <c r="GH50" s="268">
        <f t="shared" si="251"/>
        <v>0</v>
      </c>
      <c r="GI50" s="137">
        <f t="shared" si="126"/>
        <v>41</v>
      </c>
      <c r="GJ50" s="269">
        <f t="shared" si="252"/>
        <v>0</v>
      </c>
      <c r="GK50" s="269">
        <f t="shared" si="253"/>
        <v>0</v>
      </c>
      <c r="GL50" s="163">
        <f t="shared" si="254"/>
        <v>0</v>
      </c>
      <c r="GM50" s="137">
        <f t="array" ref="GM50">IF(GJ50=0,0,LARGE(IF($GG$10:$GG$406=GJ50,$GF$10:$GF$406,0),COUNTIF($GJ$10:$GJ$406,GJ50)-COUNTIF(GJ$9:GJ49,GJ50)))</f>
        <v>0</v>
      </c>
      <c r="GN50" s="270">
        <f t="shared" si="255"/>
        <v>0</v>
      </c>
      <c r="GP50" s="137">
        <f>IF(C50="","",IF(ISERROR(MATCH(C50,C$10:C49,0)),MAX(GP$10:GP49)+1,INDEX(GP$10:GP49,MATCH(C50,C$10:C49,0))))</f>
        <v>34</v>
      </c>
      <c r="GQ50" s="264">
        <f>IF(COUNTIF($A$10:A50,A50)&lt;=1,SUMIF($A$10:$A$406,A50,$FH$10:$FH$406),0)</f>
        <v>0</v>
      </c>
      <c r="GR50" s="137">
        <f t="shared" si="130"/>
        <v>41</v>
      </c>
      <c r="GS50" s="269">
        <f t="shared" si="256"/>
        <v>6569983.6100000003</v>
      </c>
      <c r="GT50" s="269">
        <f t="shared" si="257"/>
        <v>50964284.172430128</v>
      </c>
      <c r="GU50" s="163">
        <f t="shared" si="258"/>
        <v>0</v>
      </c>
      <c r="GV50" s="137">
        <f t="array" ref="GV50">IF(GS50=0,0,LARGE(IF($GQ$10:$GQ$406=GS50,$GP$10:$GP$406,0),COUNTIF($GS$10:$GS$406,GS50)-COUNTIF(GS$9:GS49,GS50)))</f>
        <v>117</v>
      </c>
      <c r="GW50" s="270">
        <f t="shared" si="259"/>
        <v>0</v>
      </c>
      <c r="GX50" s="270"/>
      <c r="GY50" s="137">
        <f>IF(C50="","",IF(ISERROR(MATCH(C50,C$10:C49,0)),MAX(GP$10:GP49)+1,INDEX(GP$10:GP49,MATCH(C50,C$10:C49,0))))</f>
        <v>34</v>
      </c>
      <c r="GZ50" s="264">
        <f>IF(COUNTIF($A$10:A50,A50)&lt;=1,SUMIF($A$10:$A$406,A50,$FH$10:$FH$406),0)</f>
        <v>0</v>
      </c>
      <c r="HA50" s="137">
        <f t="shared" si="134"/>
        <v>41</v>
      </c>
      <c r="HB50" s="269">
        <f t="shared" si="260"/>
        <v>6569983.6100000003</v>
      </c>
      <c r="HC50" s="414" t="s">
        <v>622</v>
      </c>
      <c r="HD50" s="163">
        <f t="shared" si="261"/>
        <v>0</v>
      </c>
      <c r="HE50" s="137">
        <f t="array" ref="HE50">IF(HB50=0,0,LARGE(IF($GZ$10:$GZ$406=HB50,$GY$10:$GY$406,0),COUNTIF($HB$10:$HB$406,HB50)-COUNTIF(HB$9:HB49,HB50)))</f>
        <v>117</v>
      </c>
      <c r="HF50" s="270">
        <f t="shared" si="262"/>
        <v>0</v>
      </c>
      <c r="HG50" s="270"/>
      <c r="HH50" s="268">
        <f t="shared" si="263"/>
        <v>0</v>
      </c>
      <c r="HI50" s="271">
        <v>0</v>
      </c>
      <c r="HJ50" s="264">
        <f t="shared" si="264"/>
        <v>0</v>
      </c>
      <c r="HL50" s="137">
        <f t="shared" si="265"/>
        <v>41</v>
      </c>
      <c r="HM50" s="264">
        <f t="shared" si="300"/>
        <v>1984831</v>
      </c>
      <c r="HN50"/>
      <c r="HO50" s="199">
        <f t="shared" si="301"/>
        <v>4812500</v>
      </c>
      <c r="HP50" s="199">
        <f t="shared" si="302"/>
        <v>4812500</v>
      </c>
      <c r="HQ50" s="199" t="str">
        <f t="shared" si="303"/>
        <v/>
      </c>
      <c r="HR50" s="199" t="str">
        <f t="shared" si="304"/>
        <v/>
      </c>
      <c r="HS50" s="199" t="str">
        <f t="shared" si="119"/>
        <v/>
      </c>
      <c r="HT50" s="199" t="str">
        <f t="shared" si="305"/>
        <v/>
      </c>
      <c r="HU50" s="199" t="str">
        <f t="shared" si="306"/>
        <v/>
      </c>
      <c r="HV50" s="200">
        <f t="shared" si="307"/>
        <v>0</v>
      </c>
      <c r="HW50" s="272">
        <f t="shared" si="308"/>
        <v>1</v>
      </c>
      <c r="HX50" s="200" t="str">
        <f t="shared" si="309"/>
        <v/>
      </c>
      <c r="HY50" s="200">
        <f t="shared" si="310"/>
        <v>0</v>
      </c>
      <c r="HZ50" s="200" t="str">
        <f t="shared" si="4"/>
        <v/>
      </c>
      <c r="IA50" s="200" t="str">
        <f t="shared" si="311"/>
        <v/>
      </c>
      <c r="IB50" s="200" t="str">
        <f t="shared" si="312"/>
        <v/>
      </c>
      <c r="IC50" s="273">
        <f>IF(C50="","",INDEX(Lookups!$E$2:$E$69,MATCH('Loan List'!BE50,Lookups!$F$2:$F$69,0)))</f>
        <v>42</v>
      </c>
      <c r="ID50" t="b">
        <f t="shared" si="313"/>
        <v>1</v>
      </c>
      <c r="IF50" s="346" t="str">
        <f t="shared" si="121"/>
        <v>No Initial Haircut</v>
      </c>
    </row>
    <row r="51" spans="1:240">
      <c r="A51" t="s">
        <v>508</v>
      </c>
      <c r="B51" s="242">
        <f t="shared" si="149"/>
        <v>42</v>
      </c>
      <c r="C51" s="242">
        <f>IF(COUNTIF($A$10:A50,A51)&gt;0,C50,C50+1)</f>
        <v>35</v>
      </c>
      <c r="D51" s="428" t="s">
        <v>508</v>
      </c>
      <c r="E51" s="428" t="s">
        <v>507</v>
      </c>
      <c r="F51" s="429"/>
      <c r="G51" s="430">
        <v>1049681.5</v>
      </c>
      <c r="H51" s="430">
        <v>1049681.5</v>
      </c>
      <c r="I51" s="244">
        <f>IF(B51="","",VLOOKUP(BF51,Inputs!$A$12:$J$15,10,FALSE))</f>
        <v>1</v>
      </c>
      <c r="J51" s="245">
        <f t="shared" si="5"/>
        <v>1049681.5</v>
      </c>
      <c r="K51" s="245">
        <f t="shared" si="6"/>
        <v>1049681.5</v>
      </c>
      <c r="L51" s="245">
        <f t="shared" si="7"/>
        <v>1049681.5</v>
      </c>
      <c r="M51" s="245">
        <f t="shared" si="8"/>
        <v>1049681.5</v>
      </c>
      <c r="N51" s="246" t="s">
        <v>246</v>
      </c>
      <c r="O51" s="246" t="s">
        <v>245</v>
      </c>
      <c r="P51" s="247">
        <f>IF(B51="","",IF(OR(O51="N/A",O51=""),0,YEARFRAC('Borrowing Base'!$J$4,'Loan List'!O51)*12))</f>
        <v>0</v>
      </c>
      <c r="Q51" s="246" t="s">
        <v>246</v>
      </c>
      <c r="R51" s="248">
        <v>0.99</v>
      </c>
      <c r="S51" s="249" t="str">
        <f t="shared" si="1"/>
        <v>No</v>
      </c>
      <c r="T51" s="248">
        <v>0.99300000047633508</v>
      </c>
      <c r="U51" s="250">
        <f t="shared" si="9"/>
        <v>0.5</v>
      </c>
      <c r="V51" s="250">
        <f t="shared" si="10"/>
        <v>0.72499999999999998</v>
      </c>
      <c r="W51" s="251">
        <f t="shared" si="11"/>
        <v>1049681.5</v>
      </c>
      <c r="X51" s="246" t="s">
        <v>64</v>
      </c>
      <c r="Y51" s="252" t="s">
        <v>483</v>
      </c>
      <c r="Z51" s="252" t="s">
        <v>484</v>
      </c>
      <c r="AA51" s="253" t="s">
        <v>407</v>
      </c>
      <c r="AB51" s="253" t="s">
        <v>713</v>
      </c>
      <c r="AC51" s="254">
        <v>2.8950303030303033</v>
      </c>
      <c r="AD51" s="254">
        <v>1.4320736521712925</v>
      </c>
      <c r="AE51" s="254">
        <v>1.6674801732053917</v>
      </c>
      <c r="AF51" s="255">
        <v>0.46025104602510458</v>
      </c>
      <c r="AG51" s="256">
        <v>3.8113981594411799</v>
      </c>
      <c r="AH51" s="256">
        <v>3.8113981594411799</v>
      </c>
      <c r="AI51" s="256">
        <v>4.9941481006203094</v>
      </c>
      <c r="AJ51" s="256">
        <v>4.9941481006203094</v>
      </c>
      <c r="AK51" s="257">
        <v>72152000</v>
      </c>
      <c r="AL51" s="257">
        <v>111794130</v>
      </c>
      <c r="AM51" s="258">
        <v>45838</v>
      </c>
      <c r="AN51" s="245" t="str">
        <f t="shared" si="12"/>
        <v>Tier 1</v>
      </c>
      <c r="AO51" s="243">
        <v>45964</v>
      </c>
      <c r="AP51" s="259">
        <f>IF(C51="","",DAYS360(Inputs!$J$8,AO51)/360)</f>
        <v>0.19166666666666668</v>
      </c>
      <c r="AQ51" s="259">
        <f t="shared" si="13"/>
        <v>0.19166666666666668</v>
      </c>
      <c r="AR51" s="246" t="s">
        <v>246</v>
      </c>
      <c r="AS51" s="248">
        <v>0</v>
      </c>
      <c r="AT51" s="246" t="s">
        <v>64</v>
      </c>
      <c r="AU51" s="248">
        <v>0.01</v>
      </c>
      <c r="AV51" s="248">
        <v>5.2499999999999998E-2</v>
      </c>
      <c r="AW51" s="248">
        <v>4.3327000000000011E-2</v>
      </c>
      <c r="AX51" s="260">
        <f t="shared" si="14"/>
        <v>4.3327000000000011E-2</v>
      </c>
      <c r="AY51" s="248">
        <v>0</v>
      </c>
      <c r="AZ51" s="248">
        <v>0</v>
      </c>
      <c r="BA51" s="248">
        <v>0</v>
      </c>
      <c r="BB51" s="407">
        <f t="shared" si="15"/>
        <v>5.2499999999999998E-2</v>
      </c>
      <c r="BC51" s="407" t="str">
        <f t="shared" si="16"/>
        <v/>
      </c>
      <c r="BD51" s="252" t="s">
        <v>247</v>
      </c>
      <c r="BE51" s="261" t="s">
        <v>451</v>
      </c>
      <c r="BF51" s="252" t="s">
        <v>7</v>
      </c>
      <c r="BG51" s="252" t="s">
        <v>460</v>
      </c>
      <c r="BH51" s="246" t="s">
        <v>246</v>
      </c>
      <c r="BI51" s="408" t="str">
        <f t="shared" si="17"/>
        <v>No</v>
      </c>
      <c r="BJ51" s="408" t="str">
        <f t="shared" si="18"/>
        <v>No</v>
      </c>
      <c r="BK51" s="246" t="s">
        <v>246</v>
      </c>
      <c r="BL51" s="246" t="s">
        <v>246</v>
      </c>
      <c r="BM51" s="246" t="s">
        <v>246</v>
      </c>
      <c r="BN51" s="246" t="s">
        <v>246</v>
      </c>
      <c r="BO51" s="246" t="s">
        <v>246</v>
      </c>
      <c r="BP51" s="246" t="s">
        <v>246</v>
      </c>
      <c r="BQ51" s="246" t="s">
        <v>246</v>
      </c>
      <c r="BR51" s="246" t="s">
        <v>246</v>
      </c>
      <c r="BS51" s="246" t="s">
        <v>246</v>
      </c>
      <c r="BT51" s="246" t="s">
        <v>246</v>
      </c>
      <c r="BU51" s="246" t="s">
        <v>246</v>
      </c>
      <c r="BV51" s="246" t="s">
        <v>246</v>
      </c>
      <c r="BW51" s="246" t="s">
        <v>246</v>
      </c>
      <c r="BX51" s="246" t="s">
        <v>246</v>
      </c>
      <c r="BY51" s="246" t="s">
        <v>246</v>
      </c>
      <c r="BZ51" s="246" t="s">
        <v>246</v>
      </c>
      <c r="CA51" s="246" t="s">
        <v>246</v>
      </c>
      <c r="CB51" s="246" t="s">
        <v>64</v>
      </c>
      <c r="CC51" s="262">
        <f t="shared" si="19"/>
        <v>55218.075434900005</v>
      </c>
      <c r="CD51" s="262">
        <f t="shared" si="20"/>
        <v>0</v>
      </c>
      <c r="CE51" s="263"/>
      <c r="CF51" s="263">
        <f t="shared" si="150"/>
        <v>0</v>
      </c>
      <c r="CG51" s="263">
        <f t="shared" si="151"/>
        <v>0</v>
      </c>
      <c r="CH51" s="263">
        <f t="shared" si="152"/>
        <v>0</v>
      </c>
      <c r="CI51" s="263">
        <f t="shared" si="153"/>
        <v>0</v>
      </c>
      <c r="CJ51" s="263">
        <f t="shared" si="154"/>
        <v>0</v>
      </c>
      <c r="CK51" s="263">
        <f t="shared" si="155"/>
        <v>0</v>
      </c>
      <c r="CL51" s="263">
        <f t="shared" si="156"/>
        <v>0</v>
      </c>
      <c r="CM51" s="263">
        <f t="shared" si="157"/>
        <v>0</v>
      </c>
      <c r="CN51" s="263">
        <f t="shared" si="158"/>
        <v>0</v>
      </c>
      <c r="CO51" s="263">
        <f t="shared" si="159"/>
        <v>0</v>
      </c>
      <c r="CP51" s="263">
        <f t="shared" si="160"/>
        <v>0</v>
      </c>
      <c r="CQ51" s="263">
        <f t="shared" si="161"/>
        <v>0</v>
      </c>
      <c r="CR51" s="263">
        <f t="shared" si="162"/>
        <v>0</v>
      </c>
      <c r="CS51" s="263">
        <f t="shared" si="163"/>
        <v>0</v>
      </c>
      <c r="CT51" s="263">
        <f t="shared" si="164"/>
        <v>0</v>
      </c>
      <c r="CU51" s="263">
        <f t="shared" si="165"/>
        <v>0</v>
      </c>
      <c r="CV51" s="263">
        <f t="shared" si="166"/>
        <v>0</v>
      </c>
      <c r="CW51" s="263">
        <f t="shared" si="167"/>
        <v>0</v>
      </c>
      <c r="CX51" s="263">
        <f t="shared" si="168"/>
        <v>0</v>
      </c>
      <c r="CY51" s="263">
        <f t="shared" si="169"/>
        <v>0</v>
      </c>
      <c r="CZ51" s="263">
        <f t="shared" si="170"/>
        <v>0</v>
      </c>
      <c r="DA51" s="263">
        <f t="shared" si="171"/>
        <v>0</v>
      </c>
      <c r="DB51" s="263">
        <f t="shared" si="172"/>
        <v>0</v>
      </c>
      <c r="DC51" s="263">
        <f t="shared" si="173"/>
        <v>0</v>
      </c>
      <c r="DD51" s="263">
        <f t="shared" si="174"/>
        <v>0</v>
      </c>
      <c r="DE51" s="263">
        <f t="shared" si="175"/>
        <v>0</v>
      </c>
      <c r="DF51" s="263">
        <f t="shared" si="176"/>
        <v>1049681.5</v>
      </c>
      <c r="DG51" s="263">
        <f t="shared" si="177"/>
        <v>0</v>
      </c>
      <c r="DH51" s="263">
        <f t="shared" si="178"/>
        <v>1049681.5</v>
      </c>
      <c r="DI51" s="263">
        <f t="shared" si="179"/>
        <v>1049681.5</v>
      </c>
      <c r="DJ51" s="263">
        <f t="shared" si="180"/>
        <v>0</v>
      </c>
      <c r="DK51" s="263">
        <f t="shared" si="181"/>
        <v>0</v>
      </c>
      <c r="DL51" s="263">
        <f t="shared" si="182"/>
        <v>0</v>
      </c>
      <c r="DM51" s="263">
        <f t="shared" si="183"/>
        <v>0</v>
      </c>
      <c r="DO51" s="264">
        <f t="shared" si="184"/>
        <v>0</v>
      </c>
      <c r="DP51" s="265">
        <f t="shared" si="185"/>
        <v>0</v>
      </c>
      <c r="DQ51" s="264">
        <f t="shared" si="186"/>
        <v>1049681.5</v>
      </c>
      <c r="DR51" s="264">
        <f t="shared" si="187"/>
        <v>0</v>
      </c>
      <c r="DS51" s="265">
        <f t="shared" si="188"/>
        <v>0</v>
      </c>
      <c r="DT51" s="264">
        <f t="shared" si="189"/>
        <v>1049681.5</v>
      </c>
      <c r="DU51" s="264">
        <f t="shared" si="190"/>
        <v>0</v>
      </c>
      <c r="DV51" s="265">
        <f t="shared" si="191"/>
        <v>0</v>
      </c>
      <c r="DW51" s="264">
        <f t="shared" si="192"/>
        <v>1049681.5</v>
      </c>
      <c r="DX51" s="264">
        <f t="shared" si="193"/>
        <v>0</v>
      </c>
      <c r="DY51" s="265">
        <f t="shared" si="194"/>
        <v>0</v>
      </c>
      <c r="DZ51" s="264">
        <f t="shared" si="195"/>
        <v>1049681.5</v>
      </c>
      <c r="EA51" s="264">
        <f t="shared" si="196"/>
        <v>0</v>
      </c>
      <c r="EB51" s="265">
        <f t="shared" si="197"/>
        <v>0</v>
      </c>
      <c r="EC51" s="264">
        <f t="shared" si="198"/>
        <v>1049681.5</v>
      </c>
      <c r="ED51" s="264">
        <f t="shared" si="199"/>
        <v>0</v>
      </c>
      <c r="EE51" s="265">
        <f t="shared" si="200"/>
        <v>0</v>
      </c>
      <c r="EF51" s="264">
        <f t="shared" si="201"/>
        <v>1049681.5</v>
      </c>
      <c r="EG51" s="264">
        <f t="shared" si="202"/>
        <v>0</v>
      </c>
      <c r="EH51" s="265">
        <f t="shared" si="203"/>
        <v>0</v>
      </c>
      <c r="EI51" s="264">
        <f t="shared" si="204"/>
        <v>1049681.5</v>
      </c>
      <c r="EJ51" s="264">
        <f t="shared" si="205"/>
        <v>0</v>
      </c>
      <c r="EK51" s="265">
        <f t="shared" si="206"/>
        <v>0</v>
      </c>
      <c r="EL51" s="264">
        <f t="shared" si="207"/>
        <v>1049681.5</v>
      </c>
      <c r="EM51" s="264">
        <f t="shared" si="208"/>
        <v>0</v>
      </c>
      <c r="EN51" s="265">
        <f t="shared" si="209"/>
        <v>0</v>
      </c>
      <c r="EO51" s="264">
        <f t="shared" si="210"/>
        <v>1049681.5</v>
      </c>
      <c r="EP51" s="264">
        <f t="shared" si="211"/>
        <v>0</v>
      </c>
      <c r="EQ51" s="265">
        <f t="shared" si="212"/>
        <v>0</v>
      </c>
      <c r="ER51" s="264">
        <f t="shared" si="213"/>
        <v>1049681.5</v>
      </c>
      <c r="ES51" s="264">
        <f t="shared" si="214"/>
        <v>0</v>
      </c>
      <c r="ET51" s="265">
        <f t="shared" si="215"/>
        <v>0</v>
      </c>
      <c r="EU51" s="264">
        <f t="shared" si="216"/>
        <v>1049681.5</v>
      </c>
      <c r="EV51" s="264">
        <f>IF(AND(BM51="Yes",OR(BN51="No",AND(BN51="Yes",Inputs!$J$8=Inputs!$J$17+75))),EU51,0)</f>
        <v>0</v>
      </c>
      <c r="EW51" s="265">
        <f t="shared" si="217"/>
        <v>0</v>
      </c>
      <c r="EX51" s="264">
        <f t="shared" si="218"/>
        <v>1049681.5</v>
      </c>
      <c r="EY51" s="264">
        <f t="shared" si="219"/>
        <v>0</v>
      </c>
      <c r="EZ51" s="265">
        <f t="shared" si="220"/>
        <v>0</v>
      </c>
      <c r="FA51" s="264">
        <f t="shared" si="221"/>
        <v>1049681.5</v>
      </c>
      <c r="FB51" s="264">
        <f t="shared" si="222"/>
        <v>0</v>
      </c>
      <c r="FC51" s="265">
        <f t="shared" si="223"/>
        <v>0</v>
      </c>
      <c r="FD51" s="264">
        <f t="shared" si="224"/>
        <v>1049681.5</v>
      </c>
      <c r="FE51" s="264">
        <f t="shared" si="225"/>
        <v>0</v>
      </c>
      <c r="FF51" s="265">
        <f t="shared" si="226"/>
        <v>0</v>
      </c>
      <c r="FG51" s="264">
        <f t="shared" si="227"/>
        <v>1049681.5</v>
      </c>
      <c r="FH51" s="264">
        <f t="shared" si="228"/>
        <v>1049681.5</v>
      </c>
      <c r="FI51" s="264">
        <f t="shared" si="229"/>
        <v>0</v>
      </c>
      <c r="FJ51" s="264">
        <f t="shared" si="230"/>
        <v>1049681.5</v>
      </c>
      <c r="FK51" s="264">
        <f t="shared" si="231"/>
        <v>1049681.5</v>
      </c>
      <c r="FL51" s="264">
        <f t="shared" si="232"/>
        <v>0</v>
      </c>
      <c r="FM51" s="264">
        <f t="shared" si="233"/>
        <v>1049681.5</v>
      </c>
      <c r="FN51" s="264">
        <f t="shared" si="234"/>
        <v>1049681.5</v>
      </c>
      <c r="FO51" s="264">
        <f t="shared" si="235"/>
        <v>0</v>
      </c>
      <c r="FP51" s="264">
        <f t="shared" si="236"/>
        <v>1049681.5</v>
      </c>
      <c r="FQ51" s="264">
        <f t="shared" si="237"/>
        <v>0</v>
      </c>
      <c r="FR51" s="265">
        <f t="shared" si="238"/>
        <v>0</v>
      </c>
      <c r="FS51" s="264">
        <f t="shared" si="239"/>
        <v>1049681.5</v>
      </c>
      <c r="FT51" s="264">
        <f t="shared" si="240"/>
        <v>0</v>
      </c>
      <c r="FU51" s="265">
        <f t="shared" si="241"/>
        <v>0</v>
      </c>
      <c r="FV51" s="264">
        <f t="shared" si="242"/>
        <v>1049681.5</v>
      </c>
      <c r="FW51" s="264">
        <f t="shared" si="243"/>
        <v>0</v>
      </c>
      <c r="FX51" s="264">
        <f t="shared" si="244"/>
        <v>0</v>
      </c>
      <c r="FY51" s="264">
        <f t="shared" si="245"/>
        <v>0</v>
      </c>
      <c r="FZ51" s="264">
        <f t="shared" si="246"/>
        <v>0</v>
      </c>
      <c r="GA51" s="265">
        <f t="shared" si="296"/>
        <v>0</v>
      </c>
      <c r="GB51" s="264">
        <f t="shared" si="297"/>
        <v>1049681.5</v>
      </c>
      <c r="GC51" s="264">
        <f t="shared" si="247"/>
        <v>1049681.5</v>
      </c>
      <c r="GD51" s="266">
        <f t="shared" si="248"/>
        <v>761019.08750000002</v>
      </c>
      <c r="GE51" s="138">
        <f t="shared" si="249"/>
        <v>0.72499999999999998</v>
      </c>
      <c r="GF51" s="267">
        <f t="shared" si="250"/>
        <v>53</v>
      </c>
      <c r="GG51" s="264">
        <f t="array" ref="GG51">IF(SUM(IF(IC$9:IC50=IC51,1,0))&gt;0,0,SUMIF($IC$10:$IC$406,IC51,$FJ$10:$FJ$406))</f>
        <v>48659572.185049996</v>
      </c>
      <c r="GH51" s="268">
        <f t="shared" si="251"/>
        <v>48659572.185049996</v>
      </c>
      <c r="GI51" s="137">
        <f t="shared" si="126"/>
        <v>42</v>
      </c>
      <c r="GJ51" s="269">
        <f t="shared" si="252"/>
        <v>0</v>
      </c>
      <c r="GK51" s="269">
        <f t="shared" si="253"/>
        <v>0</v>
      </c>
      <c r="GL51" s="163">
        <f t="shared" si="254"/>
        <v>0</v>
      </c>
      <c r="GM51" s="137">
        <f t="array" ref="GM51">IF(GJ51=0,0,LARGE(IF($GG$10:$GG$406=GJ51,$GF$10:$GF$406,0),COUNTIF($GJ$10:$GJ$406,GJ51)-COUNTIF(GJ$9:GJ50,GJ51)))</f>
        <v>0</v>
      </c>
      <c r="GN51" s="270">
        <f t="shared" si="255"/>
        <v>0</v>
      </c>
      <c r="GP51" s="137">
        <f>IF(C51="","",IF(ISERROR(MATCH(C51,C$10:C50,0)),MAX(GP$10:GP50)+1,INDEX(GP$10:GP50,MATCH(C51,C$10:C50,0))))</f>
        <v>35</v>
      </c>
      <c r="GQ51" s="264">
        <f>IF(COUNTIF($A$10:A51,A51)&lt;=1,SUMIF($A$10:$A$406,A51,$FH$10:$FH$406),0)</f>
        <v>2761876.5</v>
      </c>
      <c r="GR51" s="137">
        <f t="shared" si="130"/>
        <v>42</v>
      </c>
      <c r="GS51" s="269">
        <f t="shared" si="256"/>
        <v>6153116.4100000001</v>
      </c>
      <c r="GT51" s="269">
        <f t="shared" si="257"/>
        <v>50964284.172430128</v>
      </c>
      <c r="GU51" s="163">
        <f t="shared" si="258"/>
        <v>0</v>
      </c>
      <c r="GV51" s="137">
        <f t="array" ref="GV51">IF(GS51=0,0,LARGE(IF($GQ$10:$GQ$406=GS51,$GP$10:$GP$406,0),COUNTIF($GS$10:$GS$406,GS51)-COUNTIF(GS$9:GS50,GS51)))</f>
        <v>40</v>
      </c>
      <c r="GW51" s="270">
        <f t="shared" si="259"/>
        <v>0</v>
      </c>
      <c r="GX51" s="270"/>
      <c r="GY51" s="137">
        <f>IF(C51="","",IF(ISERROR(MATCH(C51,C$10:C50,0)),MAX(GP$10:GP50)+1,INDEX(GP$10:GP50,MATCH(C51,C$10:C50,0))))</f>
        <v>35</v>
      </c>
      <c r="GZ51" s="264">
        <f>IF(COUNTIF($A$10:A51,A51)&lt;=1,SUMIF($A$10:$A$406,A51,$FH$10:$FH$406),0)</f>
        <v>2761876.5</v>
      </c>
      <c r="HA51" s="137">
        <f t="shared" si="134"/>
        <v>42</v>
      </c>
      <c r="HB51" s="269">
        <f t="shared" si="260"/>
        <v>6153116.4100000001</v>
      </c>
      <c r="HC51" s="414" t="s">
        <v>622</v>
      </c>
      <c r="HD51" s="163">
        <f t="shared" si="261"/>
        <v>0</v>
      </c>
      <c r="HE51" s="137">
        <f t="array" ref="HE51">IF(HB51=0,0,LARGE(IF($GZ$10:$GZ$406=HB51,$GY$10:$GY$406,0),COUNTIF($HB$10:$HB$406,HB51)-COUNTIF(HB$9:HB50,HB51)))</f>
        <v>40</v>
      </c>
      <c r="HF51" s="270">
        <f t="shared" si="262"/>
        <v>0</v>
      </c>
      <c r="HG51" s="270"/>
      <c r="HH51" s="268">
        <f t="shared" si="263"/>
        <v>0</v>
      </c>
      <c r="HI51" s="271">
        <v>0</v>
      </c>
      <c r="HJ51" s="264">
        <f t="shared" si="264"/>
        <v>0</v>
      </c>
      <c r="HL51" s="137">
        <f t="shared" si="265"/>
        <v>42</v>
      </c>
      <c r="HM51" s="264">
        <f t="shared" si="300"/>
        <v>980000</v>
      </c>
      <c r="HN51"/>
      <c r="HO51" s="199">
        <f t="shared" si="301"/>
        <v>1049681.5</v>
      </c>
      <c r="HP51" s="199">
        <f t="shared" si="302"/>
        <v>1049681.5</v>
      </c>
      <c r="HQ51" s="199" t="str">
        <f t="shared" si="303"/>
        <v/>
      </c>
      <c r="HR51" s="199" t="str">
        <f t="shared" si="304"/>
        <v/>
      </c>
      <c r="HS51" s="199" t="str">
        <f t="shared" si="119"/>
        <v/>
      </c>
      <c r="HT51" s="199" t="str">
        <f t="shared" si="305"/>
        <v/>
      </c>
      <c r="HU51" s="199" t="str">
        <f t="shared" si="306"/>
        <v/>
      </c>
      <c r="HV51" s="200">
        <f t="shared" si="307"/>
        <v>0</v>
      </c>
      <c r="HW51" s="272">
        <f t="shared" si="308"/>
        <v>1</v>
      </c>
      <c r="HX51" s="200" t="str">
        <f t="shared" si="309"/>
        <v/>
      </c>
      <c r="HY51" s="200">
        <f t="shared" si="310"/>
        <v>0</v>
      </c>
      <c r="HZ51" s="200" t="str">
        <f t="shared" si="4"/>
        <v/>
      </c>
      <c r="IA51" s="200" t="str">
        <f t="shared" si="311"/>
        <v/>
      </c>
      <c r="IB51" s="200" t="str">
        <f t="shared" si="312"/>
        <v/>
      </c>
      <c r="IC51" s="273">
        <f>IF(C51="","",INDEX(Lookups!$E$2:$E$69,MATCH('Loan List'!BE51,Lookups!$F$2:$F$69,0)))</f>
        <v>53</v>
      </c>
      <c r="ID51" t="b">
        <f t="shared" si="313"/>
        <v>1</v>
      </c>
      <c r="IF51" s="346" t="str">
        <f t="shared" si="121"/>
        <v>No Initial Haircut</v>
      </c>
    </row>
    <row r="52" spans="1:240">
      <c r="A52" t="s">
        <v>508</v>
      </c>
      <c r="B52" s="242">
        <f t="shared" si="149"/>
        <v>43</v>
      </c>
      <c r="C52" s="242">
        <f>IF(COUNTIF($A$10:A51,A52)&gt;0,C51,C51+1)</f>
        <v>35</v>
      </c>
      <c r="D52" s="431" t="s">
        <v>739</v>
      </c>
      <c r="E52" s="428" t="s">
        <v>507</v>
      </c>
      <c r="F52" s="429"/>
      <c r="G52" s="430">
        <v>1712195</v>
      </c>
      <c r="H52" s="430">
        <v>1712195</v>
      </c>
      <c r="I52" s="244">
        <f>IF(B52="","",VLOOKUP(BF52,Inputs!$A$12:$J$15,10,FALSE))</f>
        <v>1</v>
      </c>
      <c r="J52" s="245">
        <f t="shared" si="5"/>
        <v>1712195</v>
      </c>
      <c r="K52" s="245">
        <f t="shared" si="6"/>
        <v>1712195</v>
      </c>
      <c r="L52" s="245">
        <f t="shared" si="7"/>
        <v>1712195</v>
      </c>
      <c r="M52" s="245">
        <f t="shared" si="8"/>
        <v>1712195</v>
      </c>
      <c r="N52" s="246" t="s">
        <v>246</v>
      </c>
      <c r="O52" s="246" t="s">
        <v>245</v>
      </c>
      <c r="P52" s="247">
        <f>IF(B52="","",IF(OR(O52="N/A",O52=""),0,YEARFRAC('Borrowing Base'!$J$4,'Loan List'!O52)*12))</f>
        <v>0</v>
      </c>
      <c r="Q52" s="246" t="s">
        <v>246</v>
      </c>
      <c r="R52" s="248">
        <v>0.99</v>
      </c>
      <c r="S52" s="249" t="str">
        <f t="shared" si="1"/>
        <v>No</v>
      </c>
      <c r="T52" s="248">
        <v>0.99300000047633508</v>
      </c>
      <c r="U52" s="250">
        <f t="shared" si="9"/>
        <v>0.5</v>
      </c>
      <c r="V52" s="250">
        <f t="shared" si="10"/>
        <v>0.68789546605363983</v>
      </c>
      <c r="W52" s="251">
        <f t="shared" si="11"/>
        <v>1712195</v>
      </c>
      <c r="X52" s="246" t="s">
        <v>64</v>
      </c>
      <c r="Y52" s="252" t="s">
        <v>483</v>
      </c>
      <c r="Z52" s="252" t="s">
        <v>484</v>
      </c>
      <c r="AA52" s="253" t="s">
        <v>407</v>
      </c>
      <c r="AB52" s="253" t="s">
        <v>713</v>
      </c>
      <c r="AC52" s="254">
        <v>2.8950303030303033</v>
      </c>
      <c r="AD52" s="254">
        <v>1.4320736521712925</v>
      </c>
      <c r="AE52" s="254">
        <v>1.6674801732053917</v>
      </c>
      <c r="AF52" s="255">
        <v>0.46025104602510458</v>
      </c>
      <c r="AG52" s="256">
        <v>4.9941481006203094</v>
      </c>
      <c r="AH52" s="256">
        <v>4.9941481006203094</v>
      </c>
      <c r="AI52" s="256">
        <v>4.9941481006203094</v>
      </c>
      <c r="AJ52" s="256">
        <v>4.9941481006203094</v>
      </c>
      <c r="AK52" s="257">
        <v>111794130</v>
      </c>
      <c r="AL52" s="257">
        <v>111794130</v>
      </c>
      <c r="AM52" s="258">
        <v>45838</v>
      </c>
      <c r="AN52" s="245" t="str">
        <f>IF(C52="","",(IF(AK52&gt;=50000000,"Tier 1",(IF(OR(AK52&gt;=20000000,AND(AK52&gt;5000000,AC52&gt;=1.25,AF52&lt;=0.65)),"Tier 2","Tier 3")))))</f>
        <v>Tier 1</v>
      </c>
      <c r="AO52" s="243">
        <v>45964</v>
      </c>
      <c r="AP52" s="259">
        <f>IF(C52="","",DAYS360(Inputs!$J$8,AO52)/360)</f>
        <v>0.19166666666666668</v>
      </c>
      <c r="AQ52" s="259">
        <f t="shared" si="13"/>
        <v>0.19166666666666668</v>
      </c>
      <c r="AR52" s="246" t="s">
        <v>246</v>
      </c>
      <c r="AS52" s="248">
        <v>0</v>
      </c>
      <c r="AT52" s="246" t="s">
        <v>64</v>
      </c>
      <c r="AU52" s="248">
        <v>0.01</v>
      </c>
      <c r="AV52" s="248">
        <v>5.2499999999999998E-2</v>
      </c>
      <c r="AW52" s="248">
        <v>4.3327000000000011E-2</v>
      </c>
      <c r="AX52" s="260">
        <f t="shared" si="14"/>
        <v>4.3327000000000011E-2</v>
      </c>
      <c r="AY52" s="248">
        <v>0</v>
      </c>
      <c r="AZ52" s="248">
        <v>0</v>
      </c>
      <c r="BA52" s="248">
        <v>0</v>
      </c>
      <c r="BB52" s="407">
        <f t="shared" si="15"/>
        <v>5.2499999999999998E-2</v>
      </c>
      <c r="BC52" s="407" t="str">
        <f t="shared" si="16"/>
        <v/>
      </c>
      <c r="BD52" s="252" t="s">
        <v>247</v>
      </c>
      <c r="BE52" s="261" t="s">
        <v>451</v>
      </c>
      <c r="BF52" s="252" t="s">
        <v>7</v>
      </c>
      <c r="BG52" s="252" t="s">
        <v>460</v>
      </c>
      <c r="BH52" s="246" t="s">
        <v>246</v>
      </c>
      <c r="BI52" s="408" t="str">
        <f t="shared" si="17"/>
        <v>No</v>
      </c>
      <c r="BJ52" s="408" t="str">
        <f t="shared" si="18"/>
        <v>No</v>
      </c>
      <c r="BK52" s="246" t="s">
        <v>246</v>
      </c>
      <c r="BL52" s="246" t="s">
        <v>246</v>
      </c>
      <c r="BM52" s="246" t="s">
        <v>64</v>
      </c>
      <c r="BN52" s="246" t="s">
        <v>64</v>
      </c>
      <c r="BO52" s="246" t="s">
        <v>246</v>
      </c>
      <c r="BP52" s="246" t="s">
        <v>246</v>
      </c>
      <c r="BQ52" s="246" t="s">
        <v>246</v>
      </c>
      <c r="BR52" s="246" t="s">
        <v>246</v>
      </c>
      <c r="BS52" s="246" t="s">
        <v>246</v>
      </c>
      <c r="BT52" s="246" t="s">
        <v>246</v>
      </c>
      <c r="BU52" s="246" t="s">
        <v>246</v>
      </c>
      <c r="BV52" s="246" t="s">
        <v>246</v>
      </c>
      <c r="BW52" s="246" t="s">
        <v>246</v>
      </c>
      <c r="BX52" s="246" t="s">
        <v>246</v>
      </c>
      <c r="BY52" s="246" t="s">
        <v>246</v>
      </c>
      <c r="BZ52" s="246" t="s">
        <v>246</v>
      </c>
      <c r="CA52" s="246" t="s">
        <v>246</v>
      </c>
      <c r="CB52" s="246" t="s">
        <v>64</v>
      </c>
      <c r="CC52" s="262">
        <f t="shared" si="19"/>
        <v>90069.33309700001</v>
      </c>
      <c r="CD52" s="262">
        <f t="shared" si="20"/>
        <v>0</v>
      </c>
      <c r="CE52" s="263"/>
      <c r="CF52" s="263">
        <f t="shared" si="150"/>
        <v>0</v>
      </c>
      <c r="CG52" s="263">
        <f t="shared" si="151"/>
        <v>0</v>
      </c>
      <c r="CH52" s="263">
        <f t="shared" si="152"/>
        <v>0</v>
      </c>
      <c r="CI52" s="263">
        <f t="shared" si="153"/>
        <v>0</v>
      </c>
      <c r="CJ52" s="263">
        <f t="shared" si="154"/>
        <v>0</v>
      </c>
      <c r="CK52" s="263">
        <f t="shared" si="155"/>
        <v>0</v>
      </c>
      <c r="CL52" s="263">
        <f t="shared" si="156"/>
        <v>0</v>
      </c>
      <c r="CM52" s="263">
        <f t="shared" si="157"/>
        <v>0</v>
      </c>
      <c r="CN52" s="263">
        <f t="shared" si="158"/>
        <v>0</v>
      </c>
      <c r="CO52" s="263">
        <f t="shared" si="159"/>
        <v>0</v>
      </c>
      <c r="CP52" s="263">
        <f t="shared" si="160"/>
        <v>0</v>
      </c>
      <c r="CQ52" s="263">
        <f t="shared" si="161"/>
        <v>0</v>
      </c>
      <c r="CR52" s="263">
        <f t="shared" si="162"/>
        <v>0</v>
      </c>
      <c r="CS52" s="263">
        <f t="shared" si="163"/>
        <v>0</v>
      </c>
      <c r="CT52" s="263">
        <f t="shared" si="164"/>
        <v>0</v>
      </c>
      <c r="CU52" s="263">
        <f t="shared" si="165"/>
        <v>0</v>
      </c>
      <c r="CV52" s="263">
        <f t="shared" si="166"/>
        <v>0</v>
      </c>
      <c r="CW52" s="263">
        <f t="shared" si="167"/>
        <v>0</v>
      </c>
      <c r="CX52" s="263">
        <f t="shared" si="168"/>
        <v>0</v>
      </c>
      <c r="CY52" s="263">
        <f t="shared" si="169"/>
        <v>0</v>
      </c>
      <c r="CZ52" s="263">
        <f t="shared" si="170"/>
        <v>0</v>
      </c>
      <c r="DA52" s="263">
        <f t="shared" si="171"/>
        <v>0</v>
      </c>
      <c r="DB52" s="263">
        <f t="shared" si="172"/>
        <v>0</v>
      </c>
      <c r="DC52" s="263">
        <f t="shared" si="173"/>
        <v>0</v>
      </c>
      <c r="DD52" s="263">
        <f t="shared" si="174"/>
        <v>0</v>
      </c>
      <c r="DE52" s="263">
        <f t="shared" si="175"/>
        <v>0</v>
      </c>
      <c r="DF52" s="263">
        <f t="shared" si="176"/>
        <v>1712195</v>
      </c>
      <c r="DG52" s="263">
        <f t="shared" si="177"/>
        <v>0</v>
      </c>
      <c r="DH52" s="263">
        <f t="shared" si="178"/>
        <v>1712195</v>
      </c>
      <c r="DI52" s="263">
        <f t="shared" si="179"/>
        <v>1712195</v>
      </c>
      <c r="DJ52" s="263">
        <f t="shared" si="180"/>
        <v>0</v>
      </c>
      <c r="DK52" s="263">
        <f t="shared" si="181"/>
        <v>0</v>
      </c>
      <c r="DL52" s="263">
        <f t="shared" si="182"/>
        <v>0</v>
      </c>
      <c r="DM52" s="263">
        <f t="shared" si="183"/>
        <v>0</v>
      </c>
      <c r="DO52" s="264">
        <f t="shared" si="184"/>
        <v>0</v>
      </c>
      <c r="DP52" s="265">
        <f t="shared" si="185"/>
        <v>0</v>
      </c>
      <c r="DQ52" s="264">
        <f t="shared" si="186"/>
        <v>1712195</v>
      </c>
      <c r="DR52" s="264">
        <f t="shared" si="187"/>
        <v>0</v>
      </c>
      <c r="DS52" s="265">
        <f t="shared" si="188"/>
        <v>0</v>
      </c>
      <c r="DT52" s="264">
        <f t="shared" si="189"/>
        <v>1712195</v>
      </c>
      <c r="DU52" s="264">
        <f t="shared" si="190"/>
        <v>0</v>
      </c>
      <c r="DV52" s="265">
        <f t="shared" si="191"/>
        <v>0</v>
      </c>
      <c r="DW52" s="264">
        <f t="shared" si="192"/>
        <v>1712195</v>
      </c>
      <c r="DX52" s="264">
        <f t="shared" si="193"/>
        <v>0</v>
      </c>
      <c r="DY52" s="265">
        <f t="shared" si="194"/>
        <v>0</v>
      </c>
      <c r="DZ52" s="264">
        <f t="shared" si="195"/>
        <v>1712195</v>
      </c>
      <c r="EA52" s="264">
        <f t="shared" si="196"/>
        <v>0</v>
      </c>
      <c r="EB52" s="265">
        <f t="shared" si="197"/>
        <v>0</v>
      </c>
      <c r="EC52" s="264">
        <f t="shared" si="198"/>
        <v>1712195</v>
      </c>
      <c r="ED52" s="264">
        <f t="shared" si="199"/>
        <v>0</v>
      </c>
      <c r="EE52" s="265">
        <f t="shared" si="200"/>
        <v>0</v>
      </c>
      <c r="EF52" s="264">
        <f t="shared" si="201"/>
        <v>1712195</v>
      </c>
      <c r="EG52" s="264">
        <f t="shared" si="202"/>
        <v>0</v>
      </c>
      <c r="EH52" s="265">
        <f t="shared" si="203"/>
        <v>0</v>
      </c>
      <c r="EI52" s="264">
        <f t="shared" si="204"/>
        <v>1712195</v>
      </c>
      <c r="EJ52" s="264">
        <f t="shared" si="205"/>
        <v>0</v>
      </c>
      <c r="EK52" s="265">
        <f t="shared" si="206"/>
        <v>0</v>
      </c>
      <c r="EL52" s="264">
        <f t="shared" si="207"/>
        <v>1712195</v>
      </c>
      <c r="EM52" s="264">
        <f t="shared" si="208"/>
        <v>0</v>
      </c>
      <c r="EN52" s="265">
        <f t="shared" si="209"/>
        <v>0</v>
      </c>
      <c r="EO52" s="264">
        <f t="shared" si="210"/>
        <v>1712195</v>
      </c>
      <c r="EP52" s="264">
        <f t="shared" si="211"/>
        <v>0</v>
      </c>
      <c r="EQ52" s="265">
        <f t="shared" si="212"/>
        <v>0</v>
      </c>
      <c r="ER52" s="264">
        <f t="shared" si="213"/>
        <v>1712195</v>
      </c>
      <c r="ES52" s="264">
        <f t="shared" si="214"/>
        <v>0</v>
      </c>
      <c r="ET52" s="265">
        <f t="shared" si="215"/>
        <v>0</v>
      </c>
      <c r="EU52" s="264">
        <f t="shared" si="216"/>
        <v>1712195</v>
      </c>
      <c r="EV52" s="264">
        <f>IF(AND(BM52="Yes",OR(BN52="No",AND(BN52="Yes",Inputs!$J$8=Inputs!$J$17+75))),EU52,0)</f>
        <v>0</v>
      </c>
      <c r="EW52" s="265">
        <f t="shared" si="217"/>
        <v>0</v>
      </c>
      <c r="EX52" s="264">
        <f t="shared" si="218"/>
        <v>1712195</v>
      </c>
      <c r="EY52" s="264">
        <f t="shared" si="219"/>
        <v>0</v>
      </c>
      <c r="EZ52" s="265">
        <f t="shared" si="220"/>
        <v>0</v>
      </c>
      <c r="FA52" s="264">
        <f t="shared" si="221"/>
        <v>1712195</v>
      </c>
      <c r="FB52" s="264">
        <f t="shared" si="222"/>
        <v>0</v>
      </c>
      <c r="FC52" s="265">
        <f t="shared" si="223"/>
        <v>0</v>
      </c>
      <c r="FD52" s="264">
        <f t="shared" si="224"/>
        <v>1712195</v>
      </c>
      <c r="FE52" s="264">
        <f t="shared" si="225"/>
        <v>0</v>
      </c>
      <c r="FF52" s="265">
        <f t="shared" si="226"/>
        <v>0</v>
      </c>
      <c r="FG52" s="264">
        <f t="shared" si="227"/>
        <v>1712195</v>
      </c>
      <c r="FH52" s="264">
        <f t="shared" si="228"/>
        <v>1712195</v>
      </c>
      <c r="FI52" s="264">
        <f t="shared" si="229"/>
        <v>0</v>
      </c>
      <c r="FJ52" s="264">
        <f t="shared" si="230"/>
        <v>1712195</v>
      </c>
      <c r="FK52" s="264">
        <f t="shared" si="231"/>
        <v>1712195</v>
      </c>
      <c r="FL52" s="264">
        <f t="shared" si="232"/>
        <v>0</v>
      </c>
      <c r="FM52" s="264">
        <f t="shared" si="233"/>
        <v>1712195</v>
      </c>
      <c r="FN52" s="264">
        <f t="shared" si="234"/>
        <v>1712195</v>
      </c>
      <c r="FO52" s="264">
        <f t="shared" si="235"/>
        <v>0</v>
      </c>
      <c r="FP52" s="264">
        <f t="shared" si="236"/>
        <v>1712195</v>
      </c>
      <c r="FQ52" s="264">
        <f t="shared" si="237"/>
        <v>0</v>
      </c>
      <c r="FR52" s="265">
        <f t="shared" si="238"/>
        <v>0</v>
      </c>
      <c r="FS52" s="264">
        <f t="shared" si="239"/>
        <v>1712195</v>
      </c>
      <c r="FT52" s="264">
        <f t="shared" si="240"/>
        <v>0</v>
      </c>
      <c r="FU52" s="265">
        <f t="shared" si="241"/>
        <v>0</v>
      </c>
      <c r="FV52" s="264">
        <f t="shared" si="242"/>
        <v>1712195</v>
      </c>
      <c r="FW52" s="264">
        <f t="shared" si="243"/>
        <v>0</v>
      </c>
      <c r="FX52" s="264">
        <f t="shared" si="244"/>
        <v>0</v>
      </c>
      <c r="FY52" s="264">
        <f t="shared" si="245"/>
        <v>0</v>
      </c>
      <c r="FZ52" s="264">
        <f t="shared" si="246"/>
        <v>0</v>
      </c>
      <c r="GA52" s="265">
        <f t="shared" si="296"/>
        <v>0</v>
      </c>
      <c r="GB52" s="264">
        <f t="shared" si="297"/>
        <v>1712195</v>
      </c>
      <c r="GC52" s="264">
        <f t="shared" si="247"/>
        <v>1712195</v>
      </c>
      <c r="GD52" s="266">
        <f t="shared" si="248"/>
        <v>1177811.1774997117</v>
      </c>
      <c r="GE52" s="138">
        <f t="shared" si="249"/>
        <v>0.68789546605363971</v>
      </c>
      <c r="GF52" s="267">
        <f t="shared" si="250"/>
        <v>53</v>
      </c>
      <c r="GG52" s="264">
        <f t="array" ref="GG52">IF(SUM(IF(IC$9:IC51=IC52,1,0))&gt;0,0,SUMIF($IC$10:$IC$406,IC52,$FJ$10:$FJ$406))</f>
        <v>0</v>
      </c>
      <c r="GH52" s="268">
        <f t="shared" si="251"/>
        <v>0</v>
      </c>
      <c r="GI52" s="137">
        <f t="shared" si="126"/>
        <v>43</v>
      </c>
      <c r="GJ52" s="269">
        <f t="shared" si="252"/>
        <v>0</v>
      </c>
      <c r="GK52" s="269">
        <f t="shared" si="253"/>
        <v>0</v>
      </c>
      <c r="GL52" s="163">
        <f t="shared" si="254"/>
        <v>0</v>
      </c>
      <c r="GM52" s="137">
        <f t="array" ref="GM52">IF(GJ52=0,0,LARGE(IF($GG$10:$GG$406=GJ52,$GF$10:$GF$406,0),COUNTIF($GJ$10:$GJ$406,GJ52)-COUNTIF(GJ$9:GJ51,GJ52)))</f>
        <v>0</v>
      </c>
      <c r="GN52" s="270">
        <f t="shared" si="255"/>
        <v>0</v>
      </c>
      <c r="GP52" s="137">
        <f>IF(C52="","",IF(ISERROR(MATCH(C52,C$10:C51,0)),MAX(GP$10:GP51)+1,INDEX(GP$10:GP51,MATCH(C52,C$10:C51,0))))</f>
        <v>35</v>
      </c>
      <c r="GQ52" s="264">
        <f>IF(COUNTIF($A$10:A52,A52)&lt;=1,SUMIF($A$10:$A$406,A52,$FH$10:$FH$406),0)</f>
        <v>0</v>
      </c>
      <c r="GR52" s="137">
        <f t="shared" si="130"/>
        <v>43</v>
      </c>
      <c r="GS52" s="269">
        <f t="shared" si="256"/>
        <v>6009486.5</v>
      </c>
      <c r="GT52" s="269">
        <f t="shared" si="257"/>
        <v>50964284.172430128</v>
      </c>
      <c r="GU52" s="163">
        <f t="shared" si="258"/>
        <v>0</v>
      </c>
      <c r="GV52" s="137">
        <f t="array" ref="GV52">IF(GS52=0,0,LARGE(IF($GQ$10:$GQ$406=GS52,$GP$10:$GP$406,0),COUNTIF($GS$10:$GS$406,GS52)-COUNTIF(GS$9:GS51,GS52)))</f>
        <v>2</v>
      </c>
      <c r="GW52" s="270">
        <f t="shared" si="259"/>
        <v>0</v>
      </c>
      <c r="GX52" s="270"/>
      <c r="GY52" s="137">
        <f>IF(C52="","",IF(ISERROR(MATCH(C52,C$10:C51,0)),MAX(GP$10:GP51)+1,INDEX(GP$10:GP51,MATCH(C52,C$10:C51,0))))</f>
        <v>35</v>
      </c>
      <c r="GZ52" s="264">
        <f>IF(COUNTIF($A$10:A52,A52)&lt;=1,SUMIF($A$10:$A$406,A52,$FH$10:$FH$406),0)</f>
        <v>0</v>
      </c>
      <c r="HA52" s="137">
        <f t="shared" si="134"/>
        <v>43</v>
      </c>
      <c r="HB52" s="269">
        <f t="shared" si="260"/>
        <v>6009486.5</v>
      </c>
      <c r="HC52" s="414" t="s">
        <v>622</v>
      </c>
      <c r="HD52" s="163">
        <f t="shared" si="261"/>
        <v>0</v>
      </c>
      <c r="HE52" s="137">
        <f t="array" ref="HE52">IF(HB52=0,0,LARGE(IF($GZ$10:$GZ$406=HB52,$GY$10:$GY$406,0),COUNTIF($HB$10:$HB$406,HB52)-COUNTIF(HB$9:HB51,HB52)))</f>
        <v>2</v>
      </c>
      <c r="HF52" s="270">
        <f t="shared" si="262"/>
        <v>0</v>
      </c>
      <c r="HG52"/>
      <c r="HH52" s="268">
        <f t="shared" si="263"/>
        <v>0</v>
      </c>
      <c r="HI52" s="271">
        <v>0</v>
      </c>
      <c r="HJ52" s="264">
        <f t="shared" si="264"/>
        <v>0</v>
      </c>
      <c r="HL52" s="137">
        <f t="shared" si="265"/>
        <v>43</v>
      </c>
      <c r="HM52" s="264">
        <f t="shared" si="300"/>
        <v>3371550</v>
      </c>
      <c r="HO52" s="199">
        <f t="shared" si="301"/>
        <v>1712195</v>
      </c>
      <c r="HP52" s="199">
        <f t="shared" si="302"/>
        <v>1712195</v>
      </c>
      <c r="HQ52" s="199" t="str">
        <f t="shared" si="303"/>
        <v/>
      </c>
      <c r="HR52" s="199" t="str">
        <f t="shared" si="304"/>
        <v/>
      </c>
      <c r="HS52" s="199" t="str">
        <f t="shared" si="119"/>
        <v/>
      </c>
      <c r="HT52" s="199" t="str">
        <f t="shared" si="305"/>
        <v/>
      </c>
      <c r="HU52" s="199" t="str">
        <f t="shared" si="306"/>
        <v/>
      </c>
      <c r="HV52" s="200">
        <f t="shared" si="307"/>
        <v>0</v>
      </c>
      <c r="HW52" s="272">
        <f t="shared" si="308"/>
        <v>1</v>
      </c>
      <c r="HX52" s="200" t="str">
        <f t="shared" si="309"/>
        <v/>
      </c>
      <c r="HY52" s="200">
        <f t="shared" si="310"/>
        <v>0</v>
      </c>
      <c r="HZ52" s="200" t="str">
        <f t="shared" si="4"/>
        <v/>
      </c>
      <c r="IA52" s="200" t="str">
        <f t="shared" si="311"/>
        <v/>
      </c>
      <c r="IB52" s="200" t="str">
        <f t="shared" si="312"/>
        <v/>
      </c>
      <c r="IC52" s="273">
        <f>IF(C52="","",INDEX(Lookups!$E$2:$E$69,MATCH('Loan List'!BE52,Lookups!$F$2:$F$69,0)))</f>
        <v>53</v>
      </c>
      <c r="ID52" t="b">
        <f t="shared" si="313"/>
        <v>1</v>
      </c>
      <c r="IF52" s="346" t="str">
        <f t="shared" si="121"/>
        <v>No Initial Haircut</v>
      </c>
    </row>
    <row r="53" spans="1:240">
      <c r="A53" t="s">
        <v>660</v>
      </c>
      <c r="B53" s="242">
        <f t="shared" si="149"/>
        <v>44</v>
      </c>
      <c r="C53" s="242">
        <f>IF(COUNTIF($A$10:A52,A53)&gt;0,C52,C52+1)</f>
        <v>36</v>
      </c>
      <c r="D53" s="428" t="s">
        <v>660</v>
      </c>
      <c r="E53" s="428" t="s">
        <v>658</v>
      </c>
      <c r="F53" s="429"/>
      <c r="G53" s="430">
        <v>2283660.7400000002</v>
      </c>
      <c r="H53" s="430">
        <v>2283660.7400000002</v>
      </c>
      <c r="I53" s="244">
        <f>IF(B53="","",VLOOKUP(BF53,Inputs!$A$12:$J$15,10,FALSE))</f>
        <v>1</v>
      </c>
      <c r="J53" s="245">
        <f t="shared" si="5"/>
        <v>2283660.7400000002</v>
      </c>
      <c r="K53" s="245">
        <f t="shared" si="6"/>
        <v>2283660.7400000002</v>
      </c>
      <c r="L53" s="245">
        <f t="shared" si="7"/>
        <v>2283660.7400000002</v>
      </c>
      <c r="M53" s="245">
        <f t="shared" si="8"/>
        <v>2283660.7400000002</v>
      </c>
      <c r="N53" s="246" t="s">
        <v>246</v>
      </c>
      <c r="O53" s="246" t="s">
        <v>245</v>
      </c>
      <c r="P53" s="247">
        <f>IF(B53="","",IF(OR(O53="N/A",O53=""),0,YEARFRAC('Borrowing Base'!$J$4,'Loan List'!O53)*12))</f>
        <v>0</v>
      </c>
      <c r="Q53" s="246" t="s">
        <v>246</v>
      </c>
      <c r="R53" s="248">
        <v>0.9900000000000001</v>
      </c>
      <c r="S53" s="249" t="str">
        <f t="shared" si="1"/>
        <v>No</v>
      </c>
      <c r="T53" s="248">
        <v>1</v>
      </c>
      <c r="U53" s="250">
        <f t="shared" si="9"/>
        <v>0.5</v>
      </c>
      <c r="V53" s="250">
        <f t="shared" si="10"/>
        <v>0.72499999999999998</v>
      </c>
      <c r="W53" s="251">
        <f t="shared" si="11"/>
        <v>2283660.7400000002</v>
      </c>
      <c r="X53" s="246" t="s">
        <v>246</v>
      </c>
      <c r="Y53" s="252" t="s">
        <v>483</v>
      </c>
      <c r="Z53" s="252" t="s">
        <v>484</v>
      </c>
      <c r="AA53" s="253" t="s">
        <v>407</v>
      </c>
      <c r="AB53" s="253" t="s">
        <v>713</v>
      </c>
      <c r="AC53" s="254">
        <v>1.3981699903827933</v>
      </c>
      <c r="AD53" s="254">
        <v>1.6704699832720487</v>
      </c>
      <c r="AE53" s="254">
        <v>2.6419353824645597</v>
      </c>
      <c r="AF53" s="255">
        <v>0.29743975903614456</v>
      </c>
      <c r="AG53" s="256">
        <v>3.4878042322603671</v>
      </c>
      <c r="AH53" s="256">
        <v>3.4878042322603671</v>
      </c>
      <c r="AI53" s="256">
        <v>2.4772635388393436</v>
      </c>
      <c r="AJ53" s="256">
        <v>2.4772635388393436</v>
      </c>
      <c r="AK53" s="257">
        <v>22650353.844201252</v>
      </c>
      <c r="AL53" s="257">
        <v>23211000</v>
      </c>
      <c r="AM53" s="258">
        <v>45808</v>
      </c>
      <c r="AN53" s="245" t="str">
        <f t="shared" si="12"/>
        <v>Tier 2</v>
      </c>
      <c r="AO53" s="243">
        <v>47756</v>
      </c>
      <c r="AP53" s="259">
        <f>IF(C53="","",DAYS360(Inputs!$J$8,AO53)/360)</f>
        <v>5.0999999999999996</v>
      </c>
      <c r="AQ53" s="259">
        <f t="shared" si="13"/>
        <v>5.0999999999999996</v>
      </c>
      <c r="AR53" s="246" t="s">
        <v>246</v>
      </c>
      <c r="AS53" s="248">
        <v>0</v>
      </c>
      <c r="AT53" s="246" t="s">
        <v>64</v>
      </c>
      <c r="AU53" s="248">
        <v>0.01</v>
      </c>
      <c r="AV53" s="248">
        <v>4.7500000000000001E-2</v>
      </c>
      <c r="AW53" s="248">
        <v>4.2956000000000008E-2</v>
      </c>
      <c r="AX53" s="260">
        <f t="shared" si="14"/>
        <v>4.2956000000000008E-2</v>
      </c>
      <c r="AY53" s="248">
        <v>0</v>
      </c>
      <c r="AZ53" s="248">
        <v>0</v>
      </c>
      <c r="BA53" s="248">
        <v>0</v>
      </c>
      <c r="BB53" s="407">
        <f t="shared" si="15"/>
        <v>4.7500000000000001E-2</v>
      </c>
      <c r="BC53" s="407" t="str">
        <f t="shared" si="16"/>
        <v/>
      </c>
      <c r="BD53" s="252" t="s">
        <v>247</v>
      </c>
      <c r="BE53" s="261" t="s">
        <v>455</v>
      </c>
      <c r="BF53" s="252" t="s">
        <v>7</v>
      </c>
      <c r="BG53" s="252" t="s">
        <v>460</v>
      </c>
      <c r="BH53" s="246" t="s">
        <v>246</v>
      </c>
      <c r="BI53" s="408" t="str">
        <f t="shared" si="17"/>
        <v>No</v>
      </c>
      <c r="BJ53" s="408" t="str">
        <f t="shared" si="18"/>
        <v>No</v>
      </c>
      <c r="BK53" s="246" t="s">
        <v>246</v>
      </c>
      <c r="BL53" s="246" t="s">
        <v>246</v>
      </c>
      <c r="BM53" s="246" t="s">
        <v>246</v>
      </c>
      <c r="BN53" s="246" t="s">
        <v>246</v>
      </c>
      <c r="BO53" s="246" t="s">
        <v>246</v>
      </c>
      <c r="BP53" s="246" t="s">
        <v>246</v>
      </c>
      <c r="BQ53" s="246" t="s">
        <v>246</v>
      </c>
      <c r="BR53" s="246" t="s">
        <v>246</v>
      </c>
      <c r="BS53" s="246" t="s">
        <v>246</v>
      </c>
      <c r="BT53" s="246" t="s">
        <v>246</v>
      </c>
      <c r="BU53" s="246" t="s">
        <v>246</v>
      </c>
      <c r="BV53" s="246" t="s">
        <v>246</v>
      </c>
      <c r="BW53" s="246" t="s">
        <v>246</v>
      </c>
      <c r="BX53" s="246" t="s">
        <v>246</v>
      </c>
      <c r="BY53" s="246" t="s">
        <v>246</v>
      </c>
      <c r="BZ53" s="246" t="s">
        <v>246</v>
      </c>
      <c r="CA53" s="246" t="s">
        <v>246</v>
      </c>
      <c r="CB53" s="246" t="s">
        <v>64</v>
      </c>
      <c r="CC53" s="262">
        <f t="shared" si="19"/>
        <v>107865.51792886402</v>
      </c>
      <c r="CD53" s="262">
        <f t="shared" si="20"/>
        <v>0</v>
      </c>
      <c r="CE53" s="263"/>
      <c r="CF53" s="263">
        <f t="shared" si="150"/>
        <v>0</v>
      </c>
      <c r="CG53" s="263">
        <f t="shared" si="151"/>
        <v>0</v>
      </c>
      <c r="CH53" s="263">
        <f t="shared" si="152"/>
        <v>0</v>
      </c>
      <c r="CI53" s="263">
        <f t="shared" si="153"/>
        <v>0</v>
      </c>
      <c r="CJ53" s="263">
        <f t="shared" si="154"/>
        <v>0</v>
      </c>
      <c r="CK53" s="263">
        <f t="shared" si="155"/>
        <v>0</v>
      </c>
      <c r="CL53" s="263">
        <f t="shared" si="156"/>
        <v>0</v>
      </c>
      <c r="CM53" s="263">
        <f t="shared" si="157"/>
        <v>0</v>
      </c>
      <c r="CN53" s="263">
        <f t="shared" si="158"/>
        <v>0</v>
      </c>
      <c r="CO53" s="263">
        <f t="shared" si="159"/>
        <v>0</v>
      </c>
      <c r="CP53" s="263">
        <f t="shared" si="160"/>
        <v>0</v>
      </c>
      <c r="CQ53" s="263">
        <f t="shared" si="161"/>
        <v>0</v>
      </c>
      <c r="CR53" s="263">
        <f t="shared" si="162"/>
        <v>0</v>
      </c>
      <c r="CS53" s="263">
        <f t="shared" si="163"/>
        <v>0</v>
      </c>
      <c r="CT53" s="263">
        <f t="shared" si="164"/>
        <v>0</v>
      </c>
      <c r="CU53" s="263">
        <f t="shared" si="165"/>
        <v>0</v>
      </c>
      <c r="CV53" s="263">
        <f t="shared" si="166"/>
        <v>0</v>
      </c>
      <c r="CW53" s="263">
        <f t="shared" si="167"/>
        <v>0</v>
      </c>
      <c r="CX53" s="263">
        <f t="shared" si="168"/>
        <v>0</v>
      </c>
      <c r="CY53" s="263">
        <f t="shared" si="169"/>
        <v>0</v>
      </c>
      <c r="CZ53" s="263">
        <f t="shared" si="170"/>
        <v>0</v>
      </c>
      <c r="DA53" s="263">
        <f t="shared" si="171"/>
        <v>0</v>
      </c>
      <c r="DB53" s="263">
        <f t="shared" si="172"/>
        <v>0</v>
      </c>
      <c r="DC53" s="263">
        <f t="shared" si="173"/>
        <v>0</v>
      </c>
      <c r="DD53" s="263">
        <f t="shared" si="174"/>
        <v>0</v>
      </c>
      <c r="DE53" s="263">
        <f t="shared" si="175"/>
        <v>0</v>
      </c>
      <c r="DF53" s="263">
        <f t="shared" si="176"/>
        <v>2283660.7400000002</v>
      </c>
      <c r="DG53" s="263">
        <f t="shared" si="177"/>
        <v>0</v>
      </c>
      <c r="DH53" s="263">
        <f t="shared" si="178"/>
        <v>2283660.7400000002</v>
      </c>
      <c r="DI53" s="263">
        <f t="shared" si="179"/>
        <v>2283660.7400000002</v>
      </c>
      <c r="DJ53" s="263">
        <f t="shared" si="180"/>
        <v>0</v>
      </c>
      <c r="DK53" s="263">
        <f t="shared" si="181"/>
        <v>0</v>
      </c>
      <c r="DL53" s="263">
        <f t="shared" si="182"/>
        <v>0</v>
      </c>
      <c r="DM53" s="263">
        <f t="shared" si="183"/>
        <v>0</v>
      </c>
      <c r="DO53" s="264">
        <f t="shared" si="184"/>
        <v>0</v>
      </c>
      <c r="DP53" s="265">
        <f t="shared" si="185"/>
        <v>0</v>
      </c>
      <c r="DQ53" s="264">
        <f t="shared" si="186"/>
        <v>2283660.7400000002</v>
      </c>
      <c r="DR53" s="264">
        <f t="shared" si="187"/>
        <v>0</v>
      </c>
      <c r="DS53" s="265">
        <f t="shared" si="188"/>
        <v>0</v>
      </c>
      <c r="DT53" s="264">
        <f t="shared" si="189"/>
        <v>2283660.7400000002</v>
      </c>
      <c r="DU53" s="264">
        <f t="shared" si="190"/>
        <v>0</v>
      </c>
      <c r="DV53" s="265">
        <f t="shared" si="191"/>
        <v>0</v>
      </c>
      <c r="DW53" s="264">
        <f t="shared" si="192"/>
        <v>2283660.7400000002</v>
      </c>
      <c r="DX53" s="264">
        <f t="shared" si="193"/>
        <v>0</v>
      </c>
      <c r="DY53" s="265">
        <f t="shared" si="194"/>
        <v>0</v>
      </c>
      <c r="DZ53" s="264">
        <f t="shared" si="195"/>
        <v>2283660.7400000002</v>
      </c>
      <c r="EA53" s="264">
        <f t="shared" si="196"/>
        <v>0</v>
      </c>
      <c r="EB53" s="265">
        <f t="shared" si="197"/>
        <v>0</v>
      </c>
      <c r="EC53" s="264">
        <f t="shared" si="198"/>
        <v>2283660.7400000002</v>
      </c>
      <c r="ED53" s="264">
        <f t="shared" si="199"/>
        <v>0</v>
      </c>
      <c r="EE53" s="265">
        <f t="shared" si="200"/>
        <v>0</v>
      </c>
      <c r="EF53" s="264">
        <f t="shared" si="201"/>
        <v>2283660.7400000002</v>
      </c>
      <c r="EG53" s="264">
        <f t="shared" si="202"/>
        <v>0</v>
      </c>
      <c r="EH53" s="265">
        <f t="shared" si="203"/>
        <v>0</v>
      </c>
      <c r="EI53" s="264">
        <f t="shared" si="204"/>
        <v>2283660.7400000002</v>
      </c>
      <c r="EJ53" s="264">
        <f t="shared" si="205"/>
        <v>0</v>
      </c>
      <c r="EK53" s="265">
        <f t="shared" si="206"/>
        <v>0</v>
      </c>
      <c r="EL53" s="264">
        <f t="shared" si="207"/>
        <v>2283660.7400000002</v>
      </c>
      <c r="EM53" s="264">
        <f t="shared" si="208"/>
        <v>0</v>
      </c>
      <c r="EN53" s="265">
        <f t="shared" si="209"/>
        <v>0</v>
      </c>
      <c r="EO53" s="264">
        <f t="shared" si="210"/>
        <v>2283660.7400000002</v>
      </c>
      <c r="EP53" s="264">
        <f t="shared" si="211"/>
        <v>0</v>
      </c>
      <c r="EQ53" s="265">
        <f t="shared" si="212"/>
        <v>0</v>
      </c>
      <c r="ER53" s="264">
        <f t="shared" si="213"/>
        <v>2283660.7400000002</v>
      </c>
      <c r="ES53" s="264">
        <f t="shared" si="214"/>
        <v>0</v>
      </c>
      <c r="ET53" s="265">
        <f t="shared" si="215"/>
        <v>0</v>
      </c>
      <c r="EU53" s="264">
        <f t="shared" si="216"/>
        <v>2283660.7400000002</v>
      </c>
      <c r="EV53" s="264">
        <f>IF(AND(BM53="Yes",OR(BN53="No",AND(BN53="Yes",Inputs!$J$8=Inputs!$J$17+75))),EU53,0)</f>
        <v>0</v>
      </c>
      <c r="EW53" s="265">
        <f t="shared" si="217"/>
        <v>0</v>
      </c>
      <c r="EX53" s="264">
        <f t="shared" si="218"/>
        <v>2283660.7400000002</v>
      </c>
      <c r="EY53" s="264">
        <f t="shared" si="219"/>
        <v>0</v>
      </c>
      <c r="EZ53" s="265">
        <f t="shared" si="220"/>
        <v>0</v>
      </c>
      <c r="FA53" s="264">
        <f t="shared" si="221"/>
        <v>2283660.7400000002</v>
      </c>
      <c r="FB53" s="264">
        <f t="shared" si="222"/>
        <v>0</v>
      </c>
      <c r="FC53" s="265">
        <f t="shared" si="223"/>
        <v>0</v>
      </c>
      <c r="FD53" s="264">
        <f t="shared" si="224"/>
        <v>2283660.7400000002</v>
      </c>
      <c r="FE53" s="264">
        <f t="shared" si="225"/>
        <v>0</v>
      </c>
      <c r="FF53" s="265">
        <f t="shared" si="226"/>
        <v>0</v>
      </c>
      <c r="FG53" s="264">
        <f t="shared" si="227"/>
        <v>2283660.7400000002</v>
      </c>
      <c r="FH53" s="264">
        <f t="shared" si="228"/>
        <v>2283660.7400000002</v>
      </c>
      <c r="FI53" s="264">
        <f t="shared" si="229"/>
        <v>0</v>
      </c>
      <c r="FJ53" s="264">
        <f t="shared" si="230"/>
        <v>2283660.7400000002</v>
      </c>
      <c r="FK53" s="264">
        <f t="shared" si="231"/>
        <v>2283660.7400000002</v>
      </c>
      <c r="FL53" s="264">
        <f t="shared" si="232"/>
        <v>0</v>
      </c>
      <c r="FM53" s="264">
        <f t="shared" si="233"/>
        <v>2283660.7400000002</v>
      </c>
      <c r="FN53" s="264">
        <f t="shared" si="234"/>
        <v>2283660.7400000002</v>
      </c>
      <c r="FO53" s="264">
        <f t="shared" si="235"/>
        <v>0</v>
      </c>
      <c r="FP53" s="264">
        <f t="shared" si="236"/>
        <v>2283660.7400000002</v>
      </c>
      <c r="FQ53" s="264">
        <f t="shared" si="237"/>
        <v>0</v>
      </c>
      <c r="FR53" s="265">
        <f t="shared" si="238"/>
        <v>0</v>
      </c>
      <c r="FS53" s="264">
        <f t="shared" si="239"/>
        <v>2283660.7400000002</v>
      </c>
      <c r="FT53" s="264">
        <f t="shared" si="240"/>
        <v>0</v>
      </c>
      <c r="FU53" s="265">
        <f t="shared" si="241"/>
        <v>0</v>
      </c>
      <c r="FV53" s="264">
        <f t="shared" si="242"/>
        <v>2283660.7400000002</v>
      </c>
      <c r="FW53" s="264">
        <f t="shared" si="243"/>
        <v>0</v>
      </c>
      <c r="FX53" s="264">
        <f t="shared" si="244"/>
        <v>0</v>
      </c>
      <c r="FY53" s="264">
        <f t="shared" si="245"/>
        <v>0</v>
      </c>
      <c r="FZ53" s="264">
        <f t="shared" si="246"/>
        <v>0</v>
      </c>
      <c r="GA53" s="265">
        <f t="shared" si="296"/>
        <v>0</v>
      </c>
      <c r="GB53" s="264">
        <f t="shared" si="297"/>
        <v>2283660.7400000002</v>
      </c>
      <c r="GC53" s="264">
        <f t="shared" si="247"/>
        <v>2283660.7400000002</v>
      </c>
      <c r="GD53" s="266">
        <f t="shared" si="248"/>
        <v>1655654.0365000002</v>
      </c>
      <c r="GE53" s="138">
        <f t="shared" si="249"/>
        <v>0.72499999999999998</v>
      </c>
      <c r="GF53" s="267">
        <f t="shared" si="250"/>
        <v>55</v>
      </c>
      <c r="GG53" s="264">
        <f t="array" ref="GG53">IF(SUM(IF(IC$9:IC52=IC53,1,0))&gt;0,0,SUMIF($IC$10:$IC$406,IC53,$FJ$10:$FJ$406))</f>
        <v>0</v>
      </c>
      <c r="GH53" s="268">
        <f t="shared" si="251"/>
        <v>0</v>
      </c>
      <c r="GI53" s="137">
        <f t="shared" si="126"/>
        <v>44</v>
      </c>
      <c r="GJ53" s="269">
        <f t="shared" si="252"/>
        <v>0</v>
      </c>
      <c r="GK53" s="269">
        <f t="shared" si="253"/>
        <v>0</v>
      </c>
      <c r="GL53" s="163">
        <f t="shared" si="254"/>
        <v>0</v>
      </c>
      <c r="GM53" s="137">
        <f t="array" ref="GM53">IF(GJ53=0,0,LARGE(IF($GG$10:$GG$406=GJ53,$GF$10:$GF$406,0),COUNTIF($GJ$10:$GJ$406,GJ53)-COUNTIF(GJ$9:GJ52,GJ53)))</f>
        <v>0</v>
      </c>
      <c r="GN53" s="270">
        <f t="shared" si="255"/>
        <v>0</v>
      </c>
      <c r="GP53" s="137">
        <f>IF(C53="","",IF(ISERROR(MATCH(C53,C$10:C52,0)),MAX(GP$10:GP52)+1,INDEX(GP$10:GP52,MATCH(C53,C$10:C52,0))))</f>
        <v>36</v>
      </c>
      <c r="GQ53" s="264">
        <f>IF(COUNTIF($A$10:A53,A53)&lt;=1,SUMIF($A$10:$A$406,A53,$FH$10:$FH$406),0)</f>
        <v>2283660.7400000002</v>
      </c>
      <c r="GR53" s="137">
        <f t="shared" si="130"/>
        <v>44</v>
      </c>
      <c r="GS53" s="269">
        <f t="shared" si="256"/>
        <v>5906420.6899999995</v>
      </c>
      <c r="GT53" s="269">
        <f t="shared" si="257"/>
        <v>50964284.172430128</v>
      </c>
      <c r="GU53" s="163">
        <f t="shared" si="258"/>
        <v>0</v>
      </c>
      <c r="GV53" s="137">
        <f t="array" ref="GV53">IF(GS53=0,0,LARGE(IF($GQ$10:$GQ$406=GS53,$GP$10:$GP$406,0),COUNTIF($GS$10:$GS$406,GS53)-COUNTIF(GS$9:GS52,GS53)))</f>
        <v>22</v>
      </c>
      <c r="GW53" s="270">
        <f t="shared" si="259"/>
        <v>0</v>
      </c>
      <c r="GX53" s="270"/>
      <c r="GY53" s="137">
        <f>IF(C53="","",IF(ISERROR(MATCH(C53,C$10:C52,0)),MAX(GP$10:GP52)+1,INDEX(GP$10:GP52,MATCH(C53,C$10:C52,0))))</f>
        <v>36</v>
      </c>
      <c r="GZ53" s="264">
        <f>IF(COUNTIF($A$10:A53,A53)&lt;=1,SUMIF($A$10:$A$406,A53,$FH$10:$FH$406),0)</f>
        <v>2283660.7400000002</v>
      </c>
      <c r="HA53" s="137">
        <f t="shared" si="134"/>
        <v>44</v>
      </c>
      <c r="HB53" s="269">
        <f t="shared" si="260"/>
        <v>5906420.6899999995</v>
      </c>
      <c r="HC53" s="414" t="s">
        <v>622</v>
      </c>
      <c r="HD53" s="163">
        <f t="shared" si="261"/>
        <v>0</v>
      </c>
      <c r="HE53" s="137">
        <f t="array" ref="HE53">IF(HB53=0,0,LARGE(IF($GZ$10:$GZ$406=HB53,$GY$10:$GY$406,0),COUNTIF($HB$10:$HB$406,HB53)-COUNTIF(HB$9:HB52,HB53)))</f>
        <v>22</v>
      </c>
      <c r="HF53" s="270">
        <f t="shared" si="262"/>
        <v>0</v>
      </c>
      <c r="HG53" s="270"/>
      <c r="HH53" s="268">
        <f t="shared" si="263"/>
        <v>0</v>
      </c>
      <c r="HI53" s="271">
        <v>0</v>
      </c>
      <c r="HJ53" s="264">
        <f t="shared" si="264"/>
        <v>0</v>
      </c>
      <c r="HL53" s="137">
        <f t="shared" si="265"/>
        <v>44</v>
      </c>
      <c r="HM53" s="264">
        <f t="shared" si="300"/>
        <v>25111100</v>
      </c>
      <c r="HN53"/>
      <c r="HO53" s="199">
        <f t="shared" si="301"/>
        <v>2283660.7400000002</v>
      </c>
      <c r="HP53" s="199">
        <f t="shared" si="302"/>
        <v>2283660.7400000002</v>
      </c>
      <c r="HQ53" s="199" t="str">
        <f t="shared" si="303"/>
        <v/>
      </c>
      <c r="HR53" s="199" t="str">
        <f t="shared" si="304"/>
        <v/>
      </c>
      <c r="HS53" s="199" t="str">
        <f t="shared" si="119"/>
        <v/>
      </c>
      <c r="HT53" s="199" t="str">
        <f t="shared" si="305"/>
        <v/>
      </c>
      <c r="HU53" s="199" t="str">
        <f t="shared" si="306"/>
        <v/>
      </c>
      <c r="HV53" s="200">
        <f t="shared" si="307"/>
        <v>0</v>
      </c>
      <c r="HW53" s="272">
        <f t="shared" si="308"/>
        <v>1</v>
      </c>
      <c r="HX53" s="200" t="str">
        <f t="shared" si="309"/>
        <v/>
      </c>
      <c r="HY53" s="200">
        <f t="shared" si="310"/>
        <v>0</v>
      </c>
      <c r="HZ53" s="200" t="str">
        <f t="shared" si="4"/>
        <v/>
      </c>
      <c r="IA53" s="200" t="str">
        <f t="shared" si="311"/>
        <v/>
      </c>
      <c r="IB53" s="200" t="str">
        <f t="shared" si="312"/>
        <v/>
      </c>
      <c r="IC53" s="273">
        <f>IF(C53="","",INDEX(Lookups!$E$2:$E$69,MATCH('Loan List'!BE53,Lookups!$F$2:$F$69,0)))</f>
        <v>55</v>
      </c>
      <c r="ID53" t="b">
        <f t="shared" si="313"/>
        <v>1</v>
      </c>
      <c r="IF53" s="346" t="str">
        <f t="shared" si="121"/>
        <v>No Initial Haircut</v>
      </c>
    </row>
    <row r="54" spans="1:240">
      <c r="A54" t="s">
        <v>740</v>
      </c>
      <c r="B54" s="242">
        <f t="shared" si="149"/>
        <v>45</v>
      </c>
      <c r="C54" s="242">
        <f>IF(COUNTIF($A$10:A53,A54)&gt;0,C53,C53+1)</f>
        <v>37</v>
      </c>
      <c r="D54" s="431" t="s">
        <v>740</v>
      </c>
      <c r="E54" s="428" t="s">
        <v>817</v>
      </c>
      <c r="F54" s="429"/>
      <c r="G54" s="430">
        <v>2530362</v>
      </c>
      <c r="H54" s="430">
        <v>2530362</v>
      </c>
      <c r="I54" s="244">
        <f>IF(B54="","",VLOOKUP(BF54,Inputs!$A$12:$J$15,10,FALSE))</f>
        <v>1</v>
      </c>
      <c r="J54" s="245">
        <f t="shared" si="5"/>
        <v>2530362</v>
      </c>
      <c r="K54" s="245">
        <f t="shared" si="6"/>
        <v>2530362</v>
      </c>
      <c r="L54" s="245">
        <f t="shared" si="7"/>
        <v>2530362</v>
      </c>
      <c r="M54" s="245">
        <f t="shared" si="8"/>
        <v>2530362</v>
      </c>
      <c r="N54" s="246" t="s">
        <v>246</v>
      </c>
      <c r="O54" s="246" t="s">
        <v>245</v>
      </c>
      <c r="P54" s="247">
        <f>IF(B54="","",IF(OR(O54="N/A",O54=""),0,YEARFRAC('Borrowing Base'!$J$4,'Loan List'!O54)*12))</f>
        <v>0</v>
      </c>
      <c r="Q54" s="246" t="s">
        <v>246</v>
      </c>
      <c r="R54" s="248">
        <v>0.99250000000000005</v>
      </c>
      <c r="S54" s="249" t="str">
        <f t="shared" si="1"/>
        <v>No</v>
      </c>
      <c r="T54" s="248">
        <v>0.99250000000000005</v>
      </c>
      <c r="U54" s="250">
        <f t="shared" si="9"/>
        <v>0.5</v>
      </c>
      <c r="V54" s="250">
        <f t="shared" si="10"/>
        <v>0.67154117257152601</v>
      </c>
      <c r="W54" s="251">
        <f t="shared" si="11"/>
        <v>2530362</v>
      </c>
      <c r="X54" s="246" t="s">
        <v>64</v>
      </c>
      <c r="Y54" s="252" t="s">
        <v>483</v>
      </c>
      <c r="Z54" s="252" t="s">
        <v>484</v>
      </c>
      <c r="AA54" s="253" t="s">
        <v>407</v>
      </c>
      <c r="AB54" s="253" t="s">
        <v>713</v>
      </c>
      <c r="AC54" s="254">
        <v>1.9938782438885927</v>
      </c>
      <c r="AD54" s="254">
        <v>1.2613181957631536</v>
      </c>
      <c r="AE54" s="254">
        <v>1.894045978678657</v>
      </c>
      <c r="AF54" s="255">
        <v>0.39006550007838242</v>
      </c>
      <c r="AG54" s="256">
        <v>5.2481614920547059</v>
      </c>
      <c r="AH54" s="256">
        <v>5.2481614920547059</v>
      </c>
      <c r="AI54" s="256">
        <v>5.1535317020644129</v>
      </c>
      <c r="AJ54" s="256">
        <v>5.1535317020644129</v>
      </c>
      <c r="AK54" s="257">
        <v>11852854.703342199</v>
      </c>
      <c r="AL54" s="257">
        <v>26939192</v>
      </c>
      <c r="AM54" s="258">
        <v>45838</v>
      </c>
      <c r="AN54" s="245" t="str">
        <f t="shared" si="12"/>
        <v>Tier 2</v>
      </c>
      <c r="AO54" s="243">
        <v>46615</v>
      </c>
      <c r="AP54" s="259">
        <f>IF(C54="","",DAYS360(Inputs!$J$8,AO54)/360)</f>
        <v>1.9777777777777779</v>
      </c>
      <c r="AQ54" s="259">
        <f t="shared" si="13"/>
        <v>1.9777777777777779</v>
      </c>
      <c r="AR54" s="246" t="s">
        <v>246</v>
      </c>
      <c r="AS54" s="248">
        <v>0</v>
      </c>
      <c r="AT54" s="246" t="s">
        <v>64</v>
      </c>
      <c r="AU54" s="248">
        <v>0.01</v>
      </c>
      <c r="AV54" s="248">
        <v>4.7500000000000001E-2</v>
      </c>
      <c r="AW54" s="248">
        <v>4.2956000000000008E-2</v>
      </c>
      <c r="AX54" s="260">
        <f t="shared" si="14"/>
        <v>4.2956000000000008E-2</v>
      </c>
      <c r="AY54" s="248">
        <v>0</v>
      </c>
      <c r="AZ54" s="248">
        <v>0</v>
      </c>
      <c r="BA54" s="248">
        <v>0</v>
      </c>
      <c r="BB54" s="407">
        <f t="shared" si="15"/>
        <v>4.7500000000000001E-2</v>
      </c>
      <c r="BC54" s="407" t="str">
        <f t="shared" si="16"/>
        <v/>
      </c>
      <c r="BD54" s="252" t="s">
        <v>247</v>
      </c>
      <c r="BE54" s="261" t="s">
        <v>357</v>
      </c>
      <c r="BF54" s="252" t="s">
        <v>7</v>
      </c>
      <c r="BG54" s="252" t="s">
        <v>460</v>
      </c>
      <c r="BH54" s="246" t="s">
        <v>246</v>
      </c>
      <c r="BI54" s="408" t="str">
        <f t="shared" si="17"/>
        <v>No</v>
      </c>
      <c r="BJ54" s="408" t="str">
        <f t="shared" si="18"/>
        <v>No</v>
      </c>
      <c r="BK54" s="246" t="s">
        <v>246</v>
      </c>
      <c r="BL54" s="246" t="s">
        <v>246</v>
      </c>
      <c r="BM54" s="246" t="s">
        <v>64</v>
      </c>
      <c r="BN54" s="246" t="s">
        <v>64</v>
      </c>
      <c r="BO54" s="246" t="s">
        <v>246</v>
      </c>
      <c r="BP54" s="246" t="s">
        <v>246</v>
      </c>
      <c r="BQ54" s="246" t="s">
        <v>246</v>
      </c>
      <c r="BR54" s="246" t="s">
        <v>246</v>
      </c>
      <c r="BS54" s="246" t="s">
        <v>246</v>
      </c>
      <c r="BT54" s="246" t="s">
        <v>246</v>
      </c>
      <c r="BU54" s="246" t="s">
        <v>246</v>
      </c>
      <c r="BV54" s="246" t="s">
        <v>246</v>
      </c>
      <c r="BW54" s="246" t="s">
        <v>246</v>
      </c>
      <c r="BX54" s="246" t="s">
        <v>246</v>
      </c>
      <c r="BY54" s="246" t="s">
        <v>246</v>
      </c>
      <c r="BZ54" s="246" t="s">
        <v>246</v>
      </c>
      <c r="CA54" s="246" t="s">
        <v>246</v>
      </c>
      <c r="CB54" s="246" t="s">
        <v>64</v>
      </c>
      <c r="CC54" s="262">
        <f t="shared" si="19"/>
        <v>119518.10656320002</v>
      </c>
      <c r="CD54" s="262">
        <f t="shared" si="20"/>
        <v>0</v>
      </c>
      <c r="CE54" s="263"/>
      <c r="CF54" s="263">
        <f t="shared" si="150"/>
        <v>0</v>
      </c>
      <c r="CG54" s="263">
        <f t="shared" si="151"/>
        <v>0</v>
      </c>
      <c r="CH54" s="263">
        <f t="shared" si="152"/>
        <v>0</v>
      </c>
      <c r="CI54" s="263">
        <f t="shared" si="153"/>
        <v>0</v>
      </c>
      <c r="CJ54" s="263">
        <f t="shared" si="154"/>
        <v>0</v>
      </c>
      <c r="CK54" s="263">
        <f t="shared" si="155"/>
        <v>0</v>
      </c>
      <c r="CL54" s="263">
        <f t="shared" si="156"/>
        <v>0</v>
      </c>
      <c r="CM54" s="263">
        <f t="shared" si="157"/>
        <v>0</v>
      </c>
      <c r="CN54" s="263">
        <f t="shared" si="158"/>
        <v>0</v>
      </c>
      <c r="CO54" s="263">
        <f t="shared" si="159"/>
        <v>0</v>
      </c>
      <c r="CP54" s="263">
        <f t="shared" si="160"/>
        <v>0</v>
      </c>
      <c r="CQ54" s="263">
        <f t="shared" si="161"/>
        <v>0</v>
      </c>
      <c r="CR54" s="263">
        <f t="shared" si="162"/>
        <v>0</v>
      </c>
      <c r="CS54" s="263">
        <f t="shared" si="163"/>
        <v>0</v>
      </c>
      <c r="CT54" s="263">
        <f t="shared" si="164"/>
        <v>0</v>
      </c>
      <c r="CU54" s="263">
        <f t="shared" si="165"/>
        <v>0</v>
      </c>
      <c r="CV54" s="263">
        <f t="shared" si="166"/>
        <v>0</v>
      </c>
      <c r="CW54" s="263">
        <f t="shared" si="167"/>
        <v>0</v>
      </c>
      <c r="CX54" s="263">
        <f t="shared" si="168"/>
        <v>0</v>
      </c>
      <c r="CY54" s="263">
        <f t="shared" si="169"/>
        <v>0</v>
      </c>
      <c r="CZ54" s="263">
        <f t="shared" si="170"/>
        <v>0</v>
      </c>
      <c r="DA54" s="263">
        <f t="shared" si="171"/>
        <v>0</v>
      </c>
      <c r="DB54" s="263">
        <f t="shared" si="172"/>
        <v>0</v>
      </c>
      <c r="DC54" s="263">
        <f t="shared" si="173"/>
        <v>0</v>
      </c>
      <c r="DD54" s="263">
        <f t="shared" si="174"/>
        <v>0</v>
      </c>
      <c r="DE54" s="263">
        <f t="shared" si="175"/>
        <v>0</v>
      </c>
      <c r="DF54" s="263">
        <f t="shared" si="176"/>
        <v>2530362</v>
      </c>
      <c r="DG54" s="263">
        <f t="shared" si="177"/>
        <v>0</v>
      </c>
      <c r="DH54" s="263">
        <f t="shared" si="178"/>
        <v>2530362</v>
      </c>
      <c r="DI54" s="263">
        <f t="shared" si="179"/>
        <v>2530362</v>
      </c>
      <c r="DJ54" s="263">
        <f t="shared" si="180"/>
        <v>0</v>
      </c>
      <c r="DK54" s="263">
        <f t="shared" si="181"/>
        <v>0</v>
      </c>
      <c r="DL54" s="263">
        <f t="shared" si="182"/>
        <v>0</v>
      </c>
      <c r="DM54" s="263">
        <f t="shared" si="183"/>
        <v>0</v>
      </c>
      <c r="DO54" s="264">
        <f t="shared" si="184"/>
        <v>0</v>
      </c>
      <c r="DP54" s="265">
        <f t="shared" si="185"/>
        <v>0</v>
      </c>
      <c r="DQ54" s="264">
        <f t="shared" si="186"/>
        <v>2530362</v>
      </c>
      <c r="DR54" s="264">
        <f t="shared" si="187"/>
        <v>0</v>
      </c>
      <c r="DS54" s="265">
        <f t="shared" si="188"/>
        <v>0</v>
      </c>
      <c r="DT54" s="264">
        <f t="shared" si="189"/>
        <v>2530362</v>
      </c>
      <c r="DU54" s="264">
        <f t="shared" si="190"/>
        <v>0</v>
      </c>
      <c r="DV54" s="265">
        <f t="shared" si="191"/>
        <v>0</v>
      </c>
      <c r="DW54" s="264">
        <f t="shared" si="192"/>
        <v>2530362</v>
      </c>
      <c r="DX54" s="264">
        <f t="shared" si="193"/>
        <v>0</v>
      </c>
      <c r="DY54" s="265">
        <f t="shared" si="194"/>
        <v>0</v>
      </c>
      <c r="DZ54" s="264">
        <f t="shared" si="195"/>
        <v>2530362</v>
      </c>
      <c r="EA54" s="264">
        <f t="shared" si="196"/>
        <v>0</v>
      </c>
      <c r="EB54" s="265">
        <f t="shared" si="197"/>
        <v>0</v>
      </c>
      <c r="EC54" s="264">
        <f t="shared" si="198"/>
        <v>2530362</v>
      </c>
      <c r="ED54" s="264">
        <f t="shared" si="199"/>
        <v>0</v>
      </c>
      <c r="EE54" s="265">
        <f t="shared" si="200"/>
        <v>0</v>
      </c>
      <c r="EF54" s="264">
        <f t="shared" si="201"/>
        <v>2530362</v>
      </c>
      <c r="EG54" s="264">
        <f t="shared" si="202"/>
        <v>0</v>
      </c>
      <c r="EH54" s="265">
        <f t="shared" si="203"/>
        <v>0</v>
      </c>
      <c r="EI54" s="264">
        <f t="shared" si="204"/>
        <v>2530362</v>
      </c>
      <c r="EJ54" s="264">
        <f t="shared" si="205"/>
        <v>0</v>
      </c>
      <c r="EK54" s="265">
        <f t="shared" si="206"/>
        <v>0</v>
      </c>
      <c r="EL54" s="264">
        <f t="shared" si="207"/>
        <v>2530362</v>
      </c>
      <c r="EM54" s="264">
        <f t="shared" si="208"/>
        <v>0</v>
      </c>
      <c r="EN54" s="265">
        <f t="shared" si="209"/>
        <v>0</v>
      </c>
      <c r="EO54" s="264">
        <f t="shared" si="210"/>
        <v>2530362</v>
      </c>
      <c r="EP54" s="264">
        <f t="shared" si="211"/>
        <v>0</v>
      </c>
      <c r="EQ54" s="265">
        <f t="shared" si="212"/>
        <v>0</v>
      </c>
      <c r="ER54" s="264">
        <f t="shared" si="213"/>
        <v>2530362</v>
      </c>
      <c r="ES54" s="264">
        <f t="shared" si="214"/>
        <v>0</v>
      </c>
      <c r="ET54" s="265">
        <f t="shared" si="215"/>
        <v>0</v>
      </c>
      <c r="EU54" s="264">
        <f t="shared" si="216"/>
        <v>2530362</v>
      </c>
      <c r="EV54" s="264">
        <f>IF(AND(BM54="Yes",OR(BN54="No",AND(BN54="Yes",Inputs!$J$8=Inputs!$J$17+75))),EU54,0)</f>
        <v>0</v>
      </c>
      <c r="EW54" s="265">
        <f t="shared" si="217"/>
        <v>0</v>
      </c>
      <c r="EX54" s="264">
        <f t="shared" si="218"/>
        <v>2530362</v>
      </c>
      <c r="EY54" s="264">
        <f t="shared" si="219"/>
        <v>0</v>
      </c>
      <c r="EZ54" s="265">
        <f t="shared" si="220"/>
        <v>0</v>
      </c>
      <c r="FA54" s="264">
        <f t="shared" si="221"/>
        <v>2530362</v>
      </c>
      <c r="FB54" s="264">
        <f t="shared" si="222"/>
        <v>0</v>
      </c>
      <c r="FC54" s="265">
        <f t="shared" si="223"/>
        <v>0</v>
      </c>
      <c r="FD54" s="264">
        <f t="shared" si="224"/>
        <v>2530362</v>
      </c>
      <c r="FE54" s="264">
        <f t="shared" si="225"/>
        <v>0</v>
      </c>
      <c r="FF54" s="265">
        <f t="shared" si="226"/>
        <v>0</v>
      </c>
      <c r="FG54" s="264">
        <f t="shared" si="227"/>
        <v>2530362</v>
      </c>
      <c r="FH54" s="264">
        <f t="shared" si="228"/>
        <v>2530362</v>
      </c>
      <c r="FI54" s="264">
        <f t="shared" si="229"/>
        <v>0</v>
      </c>
      <c r="FJ54" s="264">
        <f t="shared" si="230"/>
        <v>2530362</v>
      </c>
      <c r="FK54" s="264">
        <f t="shared" si="231"/>
        <v>2530362</v>
      </c>
      <c r="FL54" s="264">
        <f t="shared" si="232"/>
        <v>0</v>
      </c>
      <c r="FM54" s="264">
        <f t="shared" si="233"/>
        <v>2530362</v>
      </c>
      <c r="FN54" s="264">
        <f t="shared" si="234"/>
        <v>2530362</v>
      </c>
      <c r="FO54" s="264">
        <f t="shared" si="235"/>
        <v>0</v>
      </c>
      <c r="FP54" s="264">
        <f t="shared" si="236"/>
        <v>2530362</v>
      </c>
      <c r="FQ54" s="264">
        <f t="shared" si="237"/>
        <v>0</v>
      </c>
      <c r="FR54" s="265">
        <f t="shared" si="238"/>
        <v>0</v>
      </c>
      <c r="FS54" s="264">
        <f t="shared" si="239"/>
        <v>2530362</v>
      </c>
      <c r="FT54" s="264">
        <f t="shared" si="240"/>
        <v>0</v>
      </c>
      <c r="FU54" s="265">
        <f t="shared" si="241"/>
        <v>0</v>
      </c>
      <c r="FV54" s="264">
        <f t="shared" si="242"/>
        <v>2530362</v>
      </c>
      <c r="FW54" s="264">
        <f t="shared" si="243"/>
        <v>0</v>
      </c>
      <c r="FX54" s="264">
        <f t="shared" si="244"/>
        <v>0</v>
      </c>
      <c r="FY54" s="264">
        <f t="shared" si="245"/>
        <v>0</v>
      </c>
      <c r="FZ54" s="264">
        <f t="shared" si="246"/>
        <v>0</v>
      </c>
      <c r="GA54" s="265">
        <f t="shared" si="296"/>
        <v>0</v>
      </c>
      <c r="GB54" s="264">
        <f t="shared" si="297"/>
        <v>2530362</v>
      </c>
      <c r="GC54" s="264">
        <f t="shared" si="247"/>
        <v>2530362</v>
      </c>
      <c r="GD54" s="266">
        <f t="shared" si="248"/>
        <v>1699242.2645104318</v>
      </c>
      <c r="GE54" s="138">
        <f t="shared" si="249"/>
        <v>0.67154117257152601</v>
      </c>
      <c r="GF54" s="267">
        <f t="shared" si="250"/>
        <v>12</v>
      </c>
      <c r="GG54" s="264">
        <f t="array" ref="GG54">IF(SUM(IF(IC$9:IC53=IC54,1,0))&gt;0,0,SUMIF($IC$10:$IC$406,IC54,$FJ$10:$FJ$406))</f>
        <v>0</v>
      </c>
      <c r="GH54" s="268">
        <f t="shared" si="251"/>
        <v>0</v>
      </c>
      <c r="GI54" s="137">
        <f t="shared" si="126"/>
        <v>45</v>
      </c>
      <c r="GJ54" s="269">
        <f t="shared" si="252"/>
        <v>0</v>
      </c>
      <c r="GK54" s="269">
        <f t="shared" si="253"/>
        <v>0</v>
      </c>
      <c r="GL54" s="163">
        <f t="shared" si="254"/>
        <v>0</v>
      </c>
      <c r="GM54" s="137">
        <f t="array" ref="GM54">IF(GJ54=0,0,LARGE(IF($GG$10:$GG$406=GJ54,$GF$10:$GF$406,0),COUNTIF($GJ$10:$GJ$406,GJ54)-COUNTIF(GJ$9:GJ53,GJ54)))</f>
        <v>0</v>
      </c>
      <c r="GN54" s="270">
        <f t="shared" si="255"/>
        <v>0</v>
      </c>
      <c r="GP54" s="137">
        <f>IF(C54="","",IF(ISERROR(MATCH(C54,C$10:C53,0)),MAX(GP$10:GP53)+1,INDEX(GP$10:GP53,MATCH(C54,C$10:C53,0))))</f>
        <v>37</v>
      </c>
      <c r="GQ54" s="264">
        <f>IF(COUNTIF($A$10:A54,A54)&lt;=1,SUMIF($A$10:$A$406,A54,$FH$10:$FH$406),0)</f>
        <v>2530362</v>
      </c>
      <c r="GR54" s="137">
        <f t="shared" si="130"/>
        <v>45</v>
      </c>
      <c r="GS54" s="269">
        <f t="shared" si="256"/>
        <v>5882906.3300000001</v>
      </c>
      <c r="GT54" s="269">
        <f t="shared" si="257"/>
        <v>50964284.172430128</v>
      </c>
      <c r="GU54" s="163">
        <f t="shared" si="258"/>
        <v>0</v>
      </c>
      <c r="GV54" s="137">
        <f t="array" ref="GV54">IF(GS54=0,0,LARGE(IF($GQ$10:$GQ$406=GS54,$GP$10:$GP$406,0),COUNTIF($GS$10:$GS$406,GS54)-COUNTIF(GS$9:GS53,GS54)))</f>
        <v>18</v>
      </c>
      <c r="GW54" s="270">
        <f t="shared" si="259"/>
        <v>0</v>
      </c>
      <c r="GX54" s="270"/>
      <c r="GY54" s="137">
        <f>IF(C54="","",IF(ISERROR(MATCH(C54,C$10:C53,0)),MAX(GP$10:GP53)+1,INDEX(GP$10:GP53,MATCH(C54,C$10:C53,0))))</f>
        <v>37</v>
      </c>
      <c r="GZ54" s="264">
        <f>IF(COUNTIF($A$10:A54,A54)&lt;=1,SUMIF($A$10:$A$406,A54,$FH$10:$FH$406),0)</f>
        <v>2530362</v>
      </c>
      <c r="HA54" s="137">
        <f t="shared" si="134"/>
        <v>45</v>
      </c>
      <c r="HB54" s="269">
        <f t="shared" si="260"/>
        <v>5882906.3300000001</v>
      </c>
      <c r="HC54" s="414" t="s">
        <v>622</v>
      </c>
      <c r="HD54" s="163">
        <f t="shared" si="261"/>
        <v>0</v>
      </c>
      <c r="HE54" s="137">
        <f t="array" ref="HE54">IF(HB54=0,0,LARGE(IF($GZ$10:$GZ$406=HB54,$GY$10:$GY$406,0),COUNTIF($HB$10:$HB$406,HB54)-COUNTIF(HB$9:HB53,HB54)))</f>
        <v>18</v>
      </c>
      <c r="HF54" s="270">
        <f t="shared" si="262"/>
        <v>0</v>
      </c>
      <c r="HG54" s="270"/>
      <c r="HH54" s="268">
        <f t="shared" si="263"/>
        <v>0</v>
      </c>
      <c r="HI54" s="271">
        <v>0</v>
      </c>
      <c r="HJ54" s="264">
        <f t="shared" si="264"/>
        <v>0</v>
      </c>
      <c r="HL54" s="137">
        <f t="shared" si="265"/>
        <v>45</v>
      </c>
      <c r="HM54" s="264">
        <f t="shared" si="300"/>
        <v>2400004</v>
      </c>
      <c r="HN54"/>
      <c r="HO54" s="199">
        <f t="shared" si="301"/>
        <v>2530362</v>
      </c>
      <c r="HP54" s="199">
        <f t="shared" si="302"/>
        <v>2530362</v>
      </c>
      <c r="HQ54" s="199" t="str">
        <f t="shared" si="303"/>
        <v/>
      </c>
      <c r="HR54" s="199" t="str">
        <f t="shared" si="304"/>
        <v/>
      </c>
      <c r="HS54" s="199" t="str">
        <f t="shared" si="119"/>
        <v/>
      </c>
      <c r="HT54" s="199" t="str">
        <f t="shared" si="305"/>
        <v/>
      </c>
      <c r="HU54" s="199" t="str">
        <f t="shared" si="306"/>
        <v/>
      </c>
      <c r="HV54" s="200">
        <f t="shared" si="307"/>
        <v>0</v>
      </c>
      <c r="HW54" s="272">
        <f t="shared" si="308"/>
        <v>1</v>
      </c>
      <c r="HX54" s="200" t="str">
        <f t="shared" si="309"/>
        <v/>
      </c>
      <c r="HY54" s="200">
        <f t="shared" si="310"/>
        <v>0</v>
      </c>
      <c r="HZ54" s="200" t="str">
        <f t="shared" si="4"/>
        <v/>
      </c>
      <c r="IA54" s="200" t="str">
        <f t="shared" si="311"/>
        <v/>
      </c>
      <c r="IB54" s="200" t="str">
        <f t="shared" si="312"/>
        <v/>
      </c>
      <c r="IC54" s="273">
        <f>IF(C54="","",INDEX(Lookups!$E$2:$E$69,MATCH('Loan List'!BE54,Lookups!$F$2:$F$69,0)))</f>
        <v>12</v>
      </c>
      <c r="ID54" t="b">
        <f t="shared" si="313"/>
        <v>1</v>
      </c>
      <c r="IF54" s="346" t="str">
        <f t="shared" si="121"/>
        <v>No Initial Haircut</v>
      </c>
    </row>
    <row r="55" spans="1:240">
      <c r="A55" t="s">
        <v>250</v>
      </c>
      <c r="B55" s="242">
        <f t="shared" si="149"/>
        <v>46</v>
      </c>
      <c r="C55" s="242">
        <f>IF(COUNTIF($A$10:A54,A55)&gt;0,C54,C54+1)</f>
        <v>38</v>
      </c>
      <c r="D55" s="428" t="s">
        <v>250</v>
      </c>
      <c r="E55" s="428" t="s">
        <v>474</v>
      </c>
      <c r="F55" s="429"/>
      <c r="G55" s="430">
        <v>6957073.6998999985</v>
      </c>
      <c r="H55" s="430">
        <v>6957073.6998999985</v>
      </c>
      <c r="I55" s="244">
        <f>IF(B55="","",VLOOKUP(BF55,Inputs!$A$12:$J$15,10,FALSE))</f>
        <v>1</v>
      </c>
      <c r="J55" s="245">
        <f t="shared" si="5"/>
        <v>6957073.6998999985</v>
      </c>
      <c r="K55" s="245">
        <f t="shared" si="6"/>
        <v>6957073.6998999985</v>
      </c>
      <c r="L55" s="245">
        <f t="shared" si="7"/>
        <v>6957073.6998999985</v>
      </c>
      <c r="M55" s="245">
        <f t="shared" si="8"/>
        <v>6957073.6998999985</v>
      </c>
      <c r="N55" s="246" t="s">
        <v>246</v>
      </c>
      <c r="O55" s="246" t="s">
        <v>245</v>
      </c>
      <c r="P55" s="247">
        <f>IF(B55="","",IF(OR(O55="N/A",O55=""),0,YEARFRAC('Borrowing Base'!$J$4,'Loan List'!O55)*12))</f>
        <v>0</v>
      </c>
      <c r="Q55" s="246" t="s">
        <v>246</v>
      </c>
      <c r="R55" s="248">
        <v>0.99500000000000011</v>
      </c>
      <c r="S55" s="249" t="str">
        <f t="shared" si="1"/>
        <v>No</v>
      </c>
      <c r="T55" s="248">
        <v>0.80000000360431389</v>
      </c>
      <c r="U55" s="250">
        <f t="shared" si="9"/>
        <v>0.5</v>
      </c>
      <c r="V55" s="250">
        <f t="shared" si="10"/>
        <v>0.66018954608001568</v>
      </c>
      <c r="W55" s="251">
        <f t="shared" si="11"/>
        <v>3478536.8499499992</v>
      </c>
      <c r="X55" s="246" t="s">
        <v>64</v>
      </c>
      <c r="Y55" s="252" t="s">
        <v>483</v>
      </c>
      <c r="Z55" s="252" t="s">
        <v>484</v>
      </c>
      <c r="AA55" s="253" t="s">
        <v>407</v>
      </c>
      <c r="AB55" s="253" t="s">
        <v>713</v>
      </c>
      <c r="AC55" s="254">
        <v>2.37</v>
      </c>
      <c r="AD55" s="254">
        <v>0.66706393822440602</v>
      </c>
      <c r="AE55" s="254">
        <v>0.71778785419436553</v>
      </c>
      <c r="AF55" s="255">
        <v>0.43030973451327431</v>
      </c>
      <c r="AG55" s="256">
        <v>5.4402220233582481</v>
      </c>
      <c r="AH55" s="256">
        <v>5.4402220233582481</v>
      </c>
      <c r="AI55" s="256">
        <v>9.6150532693822264</v>
      </c>
      <c r="AJ55" s="256">
        <v>9.6150532693822264</v>
      </c>
      <c r="AK55" s="257">
        <v>14300000</v>
      </c>
      <c r="AL55" s="257">
        <v>13215095.999999998</v>
      </c>
      <c r="AM55" s="258">
        <v>45808</v>
      </c>
      <c r="AN55" s="245" t="str">
        <f t="shared" si="12"/>
        <v>Tier 2</v>
      </c>
      <c r="AO55" s="243">
        <v>46295</v>
      </c>
      <c r="AP55" s="259">
        <f>IF(C55="","",DAYS360(Inputs!$J$8,AO55)/360)</f>
        <v>1.1000000000000001</v>
      </c>
      <c r="AQ55" s="259">
        <f t="shared" si="13"/>
        <v>1.1000000000000001</v>
      </c>
      <c r="AR55" s="246" t="s">
        <v>246</v>
      </c>
      <c r="AS55" s="248">
        <v>0</v>
      </c>
      <c r="AT55" s="246" t="s">
        <v>64</v>
      </c>
      <c r="AU55" s="248">
        <v>0.01</v>
      </c>
      <c r="AV55" s="248">
        <v>9.7616100000000011E-2</v>
      </c>
      <c r="AW55" s="248">
        <v>4.2955899999999991E-2</v>
      </c>
      <c r="AX55" s="260">
        <f t="shared" si="14"/>
        <v>4.2955899999999991E-2</v>
      </c>
      <c r="AY55" s="248">
        <v>0</v>
      </c>
      <c r="AZ55" s="248">
        <v>1.4999999999999999E-2</v>
      </c>
      <c r="BA55" s="248">
        <v>0</v>
      </c>
      <c r="BB55" s="407">
        <f t="shared" si="15"/>
        <v>8.2616100000000012E-2</v>
      </c>
      <c r="BC55" s="407" t="str">
        <f t="shared" si="16"/>
        <v/>
      </c>
      <c r="BD55" s="252" t="s">
        <v>247</v>
      </c>
      <c r="BE55" s="261" t="s">
        <v>437</v>
      </c>
      <c r="BF55" s="252" t="s">
        <v>7</v>
      </c>
      <c r="BG55" s="252" t="s">
        <v>460</v>
      </c>
      <c r="BH55" s="246" t="s">
        <v>246</v>
      </c>
      <c r="BI55" s="408" t="str">
        <f t="shared" si="17"/>
        <v>No</v>
      </c>
      <c r="BJ55" s="408" t="str">
        <f t="shared" si="18"/>
        <v>No</v>
      </c>
      <c r="BK55" s="246" t="s">
        <v>246</v>
      </c>
      <c r="BL55" s="246" t="s">
        <v>246</v>
      </c>
      <c r="BM55" s="246" t="s">
        <v>246</v>
      </c>
      <c r="BN55" s="246" t="s">
        <v>246</v>
      </c>
      <c r="BO55" s="246" t="s">
        <v>246</v>
      </c>
      <c r="BP55" s="246" t="s">
        <v>246</v>
      </c>
      <c r="BQ55" s="246" t="s">
        <v>246</v>
      </c>
      <c r="BR55" s="246" t="s">
        <v>246</v>
      </c>
      <c r="BS55" s="246" t="s">
        <v>246</v>
      </c>
      <c r="BT55" s="246" t="s">
        <v>246</v>
      </c>
      <c r="BU55" s="246" t="s">
        <v>246</v>
      </c>
      <c r="BV55" s="246" t="s">
        <v>246</v>
      </c>
      <c r="BW55" s="246" t="s">
        <v>246</v>
      </c>
      <c r="BX55" s="246" t="s">
        <v>246</v>
      </c>
      <c r="BY55" s="246" t="s">
        <v>246</v>
      </c>
      <c r="BZ55" s="246" t="s">
        <v>246</v>
      </c>
      <c r="CA55" s="246" t="s">
        <v>246</v>
      </c>
      <c r="CB55" s="246" t="s">
        <v>64</v>
      </c>
      <c r="CC55" s="262">
        <f t="shared" si="19"/>
        <v>572912.23635728506</v>
      </c>
      <c r="CD55" s="262">
        <f t="shared" si="20"/>
        <v>0</v>
      </c>
      <c r="CE55" s="263"/>
      <c r="CF55" s="263">
        <f t="shared" si="150"/>
        <v>0</v>
      </c>
      <c r="CG55" s="263">
        <f t="shared" si="151"/>
        <v>0</v>
      </c>
      <c r="CH55" s="263">
        <f t="shared" si="152"/>
        <v>0</v>
      </c>
      <c r="CI55" s="263">
        <f t="shared" si="153"/>
        <v>0</v>
      </c>
      <c r="CJ55" s="263">
        <f t="shared" si="154"/>
        <v>0</v>
      </c>
      <c r="CK55" s="263">
        <f t="shared" si="155"/>
        <v>0</v>
      </c>
      <c r="CL55" s="263">
        <f t="shared" si="156"/>
        <v>0</v>
      </c>
      <c r="CM55" s="263">
        <f t="shared" si="157"/>
        <v>0</v>
      </c>
      <c r="CN55" s="263">
        <f t="shared" si="158"/>
        <v>0</v>
      </c>
      <c r="CO55" s="263">
        <f t="shared" si="159"/>
        <v>0</v>
      </c>
      <c r="CP55" s="263">
        <f t="shared" si="160"/>
        <v>0</v>
      </c>
      <c r="CQ55" s="263">
        <f t="shared" si="161"/>
        <v>0</v>
      </c>
      <c r="CR55" s="263">
        <f t="shared" si="162"/>
        <v>0</v>
      </c>
      <c r="CS55" s="263">
        <f t="shared" si="163"/>
        <v>0</v>
      </c>
      <c r="CT55" s="263">
        <f t="shared" si="164"/>
        <v>0</v>
      </c>
      <c r="CU55" s="263">
        <f t="shared" si="165"/>
        <v>0</v>
      </c>
      <c r="CV55" s="263">
        <f t="shared" si="166"/>
        <v>0</v>
      </c>
      <c r="CW55" s="263">
        <f t="shared" si="167"/>
        <v>0</v>
      </c>
      <c r="CX55" s="263">
        <f t="shared" si="168"/>
        <v>0</v>
      </c>
      <c r="CY55" s="263">
        <f t="shared" si="169"/>
        <v>0</v>
      </c>
      <c r="CZ55" s="263">
        <f t="shared" si="170"/>
        <v>0</v>
      </c>
      <c r="DA55" s="263">
        <f t="shared" si="171"/>
        <v>0</v>
      </c>
      <c r="DB55" s="263">
        <f t="shared" si="172"/>
        <v>0</v>
      </c>
      <c r="DC55" s="263">
        <f t="shared" si="173"/>
        <v>0</v>
      </c>
      <c r="DD55" s="263">
        <f t="shared" si="174"/>
        <v>1</v>
      </c>
      <c r="DE55" s="263">
        <f t="shared" si="175"/>
        <v>0</v>
      </c>
      <c r="DF55" s="263">
        <f t="shared" si="176"/>
        <v>3478536.8499499992</v>
      </c>
      <c r="DG55" s="263">
        <f t="shared" si="177"/>
        <v>0</v>
      </c>
      <c r="DH55" s="263">
        <f t="shared" si="178"/>
        <v>3478536.8499499992</v>
      </c>
      <c r="DI55" s="263">
        <f t="shared" si="179"/>
        <v>6957073.6998999985</v>
      </c>
      <c r="DJ55" s="263">
        <f t="shared" si="180"/>
        <v>0</v>
      </c>
      <c r="DK55" s="263">
        <f t="shared" si="181"/>
        <v>0</v>
      </c>
      <c r="DL55" s="263">
        <f t="shared" si="182"/>
        <v>0</v>
      </c>
      <c r="DM55" s="263">
        <f t="shared" si="183"/>
        <v>0</v>
      </c>
      <c r="DO55" s="264">
        <f t="shared" si="184"/>
        <v>0</v>
      </c>
      <c r="DP55" s="265">
        <f t="shared" si="185"/>
        <v>0</v>
      </c>
      <c r="DQ55" s="264">
        <f t="shared" si="186"/>
        <v>3478536.8499499992</v>
      </c>
      <c r="DR55" s="264">
        <f t="shared" si="187"/>
        <v>0</v>
      </c>
      <c r="DS55" s="265">
        <f t="shared" si="188"/>
        <v>0</v>
      </c>
      <c r="DT55" s="264">
        <f t="shared" si="189"/>
        <v>3478536.8499499992</v>
      </c>
      <c r="DU55" s="264">
        <f t="shared" si="190"/>
        <v>0</v>
      </c>
      <c r="DV55" s="265">
        <f t="shared" si="191"/>
        <v>0</v>
      </c>
      <c r="DW55" s="264">
        <f t="shared" si="192"/>
        <v>3478536.8499499992</v>
      </c>
      <c r="DX55" s="264">
        <f t="shared" si="193"/>
        <v>0</v>
      </c>
      <c r="DY55" s="265">
        <f t="shared" si="194"/>
        <v>0</v>
      </c>
      <c r="DZ55" s="264">
        <f t="shared" si="195"/>
        <v>3478536.8499499992</v>
      </c>
      <c r="EA55" s="264">
        <f t="shared" si="196"/>
        <v>0</v>
      </c>
      <c r="EB55" s="265">
        <f t="shared" si="197"/>
        <v>0</v>
      </c>
      <c r="EC55" s="264">
        <f t="shared" si="198"/>
        <v>3478536.8499499992</v>
      </c>
      <c r="ED55" s="264">
        <f t="shared" si="199"/>
        <v>0</v>
      </c>
      <c r="EE55" s="265">
        <f t="shared" si="200"/>
        <v>0</v>
      </c>
      <c r="EF55" s="264">
        <f t="shared" si="201"/>
        <v>3478536.8499499992</v>
      </c>
      <c r="EG55" s="264">
        <f t="shared" si="202"/>
        <v>0</v>
      </c>
      <c r="EH55" s="265">
        <f t="shared" si="203"/>
        <v>0</v>
      </c>
      <c r="EI55" s="264">
        <f t="shared" si="204"/>
        <v>3478536.8499499992</v>
      </c>
      <c r="EJ55" s="264">
        <f t="shared" si="205"/>
        <v>0</v>
      </c>
      <c r="EK55" s="265">
        <f t="shared" si="206"/>
        <v>0</v>
      </c>
      <c r="EL55" s="264">
        <f t="shared" si="207"/>
        <v>3478536.8499499992</v>
      </c>
      <c r="EM55" s="264">
        <f t="shared" si="208"/>
        <v>0</v>
      </c>
      <c r="EN55" s="265">
        <f t="shared" si="209"/>
        <v>0</v>
      </c>
      <c r="EO55" s="264">
        <f t="shared" si="210"/>
        <v>3478536.8499499992</v>
      </c>
      <c r="EP55" s="264">
        <f t="shared" si="211"/>
        <v>0</v>
      </c>
      <c r="EQ55" s="265">
        <f t="shared" si="212"/>
        <v>0</v>
      </c>
      <c r="ER55" s="264">
        <f t="shared" si="213"/>
        <v>3478536.8499499992</v>
      </c>
      <c r="ES55" s="264">
        <f t="shared" si="214"/>
        <v>0</v>
      </c>
      <c r="ET55" s="265">
        <f t="shared" si="215"/>
        <v>0</v>
      </c>
      <c r="EU55" s="264">
        <f t="shared" si="216"/>
        <v>3478536.8499499992</v>
      </c>
      <c r="EV55" s="264">
        <f>IF(AND(BM55="Yes",OR(BN55="No",AND(BN55="Yes",Inputs!$J$8=Inputs!$J$17+75))),EU55,0)</f>
        <v>0</v>
      </c>
      <c r="EW55" s="265">
        <f t="shared" si="217"/>
        <v>0</v>
      </c>
      <c r="EX55" s="264">
        <f t="shared" si="218"/>
        <v>3478536.8499499992</v>
      </c>
      <c r="EY55" s="264">
        <f t="shared" si="219"/>
        <v>0</v>
      </c>
      <c r="EZ55" s="265">
        <f t="shared" si="220"/>
        <v>0</v>
      </c>
      <c r="FA55" s="264">
        <f t="shared" si="221"/>
        <v>3478536.8499499992</v>
      </c>
      <c r="FB55" s="264">
        <f t="shared" si="222"/>
        <v>0</v>
      </c>
      <c r="FC55" s="265">
        <f t="shared" si="223"/>
        <v>0</v>
      </c>
      <c r="FD55" s="264">
        <f t="shared" si="224"/>
        <v>3478536.8499499992</v>
      </c>
      <c r="FE55" s="264">
        <f t="shared" si="225"/>
        <v>0</v>
      </c>
      <c r="FF55" s="265">
        <f t="shared" si="226"/>
        <v>0</v>
      </c>
      <c r="FG55" s="264">
        <f t="shared" si="227"/>
        <v>3478536.8499499992</v>
      </c>
      <c r="FH55" s="264">
        <f t="shared" si="228"/>
        <v>3478536.8499499992</v>
      </c>
      <c r="FI55" s="264">
        <f t="shared" si="229"/>
        <v>0</v>
      </c>
      <c r="FJ55" s="264">
        <f t="shared" si="230"/>
        <v>3478536.8499499992</v>
      </c>
      <c r="FK55" s="264">
        <f t="shared" si="231"/>
        <v>3478536.8499499992</v>
      </c>
      <c r="FL55" s="264">
        <f t="shared" si="232"/>
        <v>0</v>
      </c>
      <c r="FM55" s="264">
        <f t="shared" si="233"/>
        <v>3478536.8499499992</v>
      </c>
      <c r="FN55" s="264">
        <f t="shared" si="234"/>
        <v>3478536.8499499992</v>
      </c>
      <c r="FO55" s="264">
        <f t="shared" si="235"/>
        <v>0</v>
      </c>
      <c r="FP55" s="264">
        <f t="shared" si="236"/>
        <v>3478536.8499499992</v>
      </c>
      <c r="FQ55" s="264">
        <f t="shared" si="237"/>
        <v>0</v>
      </c>
      <c r="FR55" s="265">
        <f t="shared" si="238"/>
        <v>0</v>
      </c>
      <c r="FS55" s="264">
        <f t="shared" si="239"/>
        <v>3478536.8499499992</v>
      </c>
      <c r="FT55" s="264">
        <f t="shared" si="240"/>
        <v>0</v>
      </c>
      <c r="FU55" s="265">
        <f t="shared" si="241"/>
        <v>0</v>
      </c>
      <c r="FV55" s="264">
        <f t="shared" si="242"/>
        <v>3478536.8499499992</v>
      </c>
      <c r="FW55" s="264">
        <f t="shared" si="243"/>
        <v>0</v>
      </c>
      <c r="FX55" s="264">
        <f t="shared" si="244"/>
        <v>0</v>
      </c>
      <c r="FY55" s="264">
        <f t="shared" si="245"/>
        <v>0</v>
      </c>
      <c r="FZ55" s="264">
        <f t="shared" si="246"/>
        <v>0</v>
      </c>
      <c r="GA55" s="265">
        <f t="shared" si="296"/>
        <v>0</v>
      </c>
      <c r="GB55" s="264">
        <f t="shared" si="297"/>
        <v>3478536.8499499992</v>
      </c>
      <c r="GC55" s="264">
        <f t="shared" si="247"/>
        <v>3478536.8499499992</v>
      </c>
      <c r="GD55" s="266">
        <f t="shared" si="248"/>
        <v>2296493.6639910978</v>
      </c>
      <c r="GE55" s="138">
        <f t="shared" si="249"/>
        <v>0.33009477304000789</v>
      </c>
      <c r="GF55" s="267">
        <f t="shared" si="250"/>
        <v>46</v>
      </c>
      <c r="GG55" s="264">
        <f t="array" ref="GG55">IF(SUM(IF(IC$9:IC54=IC55,1,0))&gt;0,0,SUMIF($IC$10:$IC$406,IC55,$FJ$10:$FJ$406))</f>
        <v>0</v>
      </c>
      <c r="GH55" s="268">
        <f t="shared" si="251"/>
        <v>0</v>
      </c>
      <c r="GI55" s="137">
        <f t="shared" si="126"/>
        <v>46</v>
      </c>
      <c r="GJ55" s="269">
        <f t="shared" si="252"/>
        <v>0</v>
      </c>
      <c r="GK55" s="269">
        <f t="shared" si="253"/>
        <v>0</v>
      </c>
      <c r="GL55" s="163">
        <f t="shared" si="254"/>
        <v>0</v>
      </c>
      <c r="GM55" s="137">
        <f t="array" ref="GM55">IF(GJ55=0,0,LARGE(IF($GG$10:$GG$406=GJ55,$GF$10:$GF$406,0),COUNTIF($GJ$10:$GJ$406,GJ55)-COUNTIF(GJ$9:GJ54,GJ55)))</f>
        <v>0</v>
      </c>
      <c r="GN55" s="270">
        <f t="shared" si="255"/>
        <v>0</v>
      </c>
      <c r="GP55" s="137">
        <f>IF(C55="","",IF(ISERROR(MATCH(C55,C$10:C54,0)),MAX(GP$10:GP54)+1,INDEX(GP$10:GP54,MATCH(C55,C$10:C54,0))))</f>
        <v>38</v>
      </c>
      <c r="GQ55" s="264">
        <f>IF(COUNTIF($A$10:A55,A55)&lt;=1,SUMIF($A$10:$A$406,A55,$FH$10:$FH$406),0)</f>
        <v>3478536.8499499992</v>
      </c>
      <c r="GR55" s="137">
        <f t="shared" si="130"/>
        <v>46</v>
      </c>
      <c r="GS55" s="269">
        <f t="shared" si="256"/>
        <v>5706825.2599999998</v>
      </c>
      <c r="GT55" s="269">
        <f t="shared" si="257"/>
        <v>50964284.172430128</v>
      </c>
      <c r="GU55" s="163">
        <f t="shared" si="258"/>
        <v>0</v>
      </c>
      <c r="GV55" s="137">
        <f t="array" ref="GV55">IF(GS55=0,0,LARGE(IF($GQ$10:$GQ$406=GS55,$GP$10:$GP$406,0),COUNTIF($GS$10:$GS$406,GS55)-COUNTIF(GS$9:GS54,GS55)))</f>
        <v>39</v>
      </c>
      <c r="GW55" s="270">
        <f t="shared" si="259"/>
        <v>0</v>
      </c>
      <c r="GX55" s="270"/>
      <c r="GY55" s="137">
        <f>IF(C55="","",IF(ISERROR(MATCH(C55,C$10:C54,0)),MAX(GP$10:GP54)+1,INDEX(GP$10:GP54,MATCH(C55,C$10:C54,0))))</f>
        <v>38</v>
      </c>
      <c r="GZ55" s="264">
        <f>IF(COUNTIF($A$10:A55,A55)&lt;=1,SUMIF($A$10:$A$406,A55,$FH$10:$FH$406),0)</f>
        <v>3478536.8499499992</v>
      </c>
      <c r="HA55" s="137">
        <f t="shared" si="134"/>
        <v>46</v>
      </c>
      <c r="HB55" s="269">
        <f t="shared" si="260"/>
        <v>5706825.2599999998</v>
      </c>
      <c r="HC55" s="414" t="s">
        <v>622</v>
      </c>
      <c r="HD55" s="163">
        <f t="shared" si="261"/>
        <v>0</v>
      </c>
      <c r="HE55" s="137">
        <f t="array" ref="HE55">IF(HB55=0,0,LARGE(IF($GZ$10:$GZ$406=HB55,$GY$10:$GY$406,0),COUNTIF($HB$10:$HB$406,HB55)-COUNTIF(HB$9:HB54,HB55)))</f>
        <v>39</v>
      </c>
      <c r="HF55" s="270">
        <f t="shared" si="262"/>
        <v>0</v>
      </c>
      <c r="HG55" s="270"/>
      <c r="HH55" s="268">
        <f t="shared" si="263"/>
        <v>0</v>
      </c>
      <c r="HI55" s="271">
        <v>0</v>
      </c>
      <c r="HJ55" s="264">
        <f t="shared" si="264"/>
        <v>0</v>
      </c>
      <c r="HL55" s="137">
        <f t="shared" si="265"/>
        <v>46</v>
      </c>
      <c r="HM55" s="264">
        <f t="shared" si="300"/>
        <v>7500000</v>
      </c>
      <c r="HN55"/>
      <c r="HO55" s="199">
        <f t="shared" si="301"/>
        <v>3478536.8499499992</v>
      </c>
      <c r="HP55" s="199">
        <f t="shared" si="302"/>
        <v>6957073.6998999985</v>
      </c>
      <c r="HQ55" s="199" t="str">
        <f t="shared" si="303"/>
        <v/>
      </c>
      <c r="HR55" s="199" t="str">
        <f t="shared" si="304"/>
        <v/>
      </c>
      <c r="HS55" s="199" t="str">
        <f t="shared" si="119"/>
        <v/>
      </c>
      <c r="HT55" s="199">
        <f t="shared" si="305"/>
        <v>3478536.8499499992</v>
      </c>
      <c r="HU55" s="199" t="str">
        <f t="shared" si="306"/>
        <v/>
      </c>
      <c r="HV55" s="200">
        <f t="shared" si="307"/>
        <v>0</v>
      </c>
      <c r="HW55" s="272" t="str">
        <f t="shared" si="308"/>
        <v/>
      </c>
      <c r="HX55" s="200">
        <f t="shared" si="309"/>
        <v>0</v>
      </c>
      <c r="HY55" s="200">
        <f t="shared" si="310"/>
        <v>3478536.8499499992</v>
      </c>
      <c r="HZ55" s="200">
        <f t="shared" si="4"/>
        <v>0</v>
      </c>
      <c r="IA55" s="200">
        <f t="shared" si="311"/>
        <v>0</v>
      </c>
      <c r="IB55" s="200">
        <f t="shared" si="312"/>
        <v>0</v>
      </c>
      <c r="IC55" s="273">
        <f>IF(C55="","",INDEX(Lookups!$E$2:$E$69,MATCH('Loan List'!BE55,Lookups!$F$2:$F$69,0)))</f>
        <v>46</v>
      </c>
      <c r="ID55" t="b">
        <f t="shared" si="313"/>
        <v>1</v>
      </c>
      <c r="IF55" s="346" t="str">
        <f t="shared" si="121"/>
        <v>No Initial Haircut</v>
      </c>
    </row>
    <row r="56" spans="1:240">
      <c r="A56" t="s">
        <v>671</v>
      </c>
      <c r="B56" s="242">
        <f t="shared" si="149"/>
        <v>47</v>
      </c>
      <c r="C56" s="242">
        <f>IF(COUNTIF($A$10:A55,A56)&gt;0,C55,C55+1)</f>
        <v>39</v>
      </c>
      <c r="D56" s="428" t="s">
        <v>671</v>
      </c>
      <c r="E56" s="428" t="s">
        <v>664</v>
      </c>
      <c r="F56" s="429"/>
      <c r="G56" s="430">
        <v>5706825.2599999998</v>
      </c>
      <c r="H56" s="430">
        <v>5706825.2599999998</v>
      </c>
      <c r="I56" s="244">
        <f>IF(B56="","",VLOOKUP(BF56,Inputs!$A$12:$J$15,10,FALSE))</f>
        <v>1</v>
      </c>
      <c r="J56" s="245">
        <f>IF(B56="","",G56*I56)</f>
        <v>5706825.2599999998</v>
      </c>
      <c r="K56" s="245">
        <f>IF(B56="","",H56*I56)</f>
        <v>5706825.2599999998</v>
      </c>
      <c r="L56" s="245">
        <f>IF(B56="","",IF(COUNTIF($CF56:$CY56,1)&gt;0,0,J56))</f>
        <v>5706825.2599999998</v>
      </c>
      <c r="M56" s="245">
        <f>IF(B56="","",IF(COUNTIF($CF56:$CY56,1)&gt;0,0,K56))</f>
        <v>5706825.2599999998</v>
      </c>
      <c r="N56" s="246" t="s">
        <v>246</v>
      </c>
      <c r="O56" s="246" t="s">
        <v>245</v>
      </c>
      <c r="P56" s="247">
        <f>IF(B56="","",IF(OR(O56="N/A",O56=""),0,YEARFRAC('Borrowing Base'!$J$4,'Loan List'!O56)*12))</f>
        <v>0</v>
      </c>
      <c r="Q56" s="246" t="s">
        <v>246</v>
      </c>
      <c r="R56" s="248">
        <v>0.99250000000000005</v>
      </c>
      <c r="S56" s="249" t="str">
        <f>IF(B56="","",IF(R56&lt;95%,"Yes","No"))</f>
        <v>No</v>
      </c>
      <c r="T56" s="248">
        <v>1</v>
      </c>
      <c r="U56" s="250">
        <f>IF(B56="","",IF(OR(Y56="First Lien",Y56="Split First Lien",Y56="Tier 1 Split Lien",Y56="Tier 2 Split Lien"),50%,30%))</f>
        <v>0.5</v>
      </c>
      <c r="V56" s="250">
        <f t="shared" si="10"/>
        <v>0.72499999999999998</v>
      </c>
      <c r="W56" s="251">
        <f t="shared" si="11"/>
        <v>5706825.2599999998</v>
      </c>
      <c r="X56" s="246" t="s">
        <v>246</v>
      </c>
      <c r="Y56" s="252" t="s">
        <v>483</v>
      </c>
      <c r="Z56" s="252" t="s">
        <v>484</v>
      </c>
      <c r="AA56" s="253" t="s">
        <v>407</v>
      </c>
      <c r="AB56" s="253" t="s">
        <v>713</v>
      </c>
      <c r="AC56" s="254">
        <v>1.4567441492492992</v>
      </c>
      <c r="AD56" s="254">
        <v>1.574915626875556</v>
      </c>
      <c r="AE56" s="254">
        <v>1.797106400440462</v>
      </c>
      <c r="AF56" s="255">
        <v>0.7142857142857143</v>
      </c>
      <c r="AG56" s="256">
        <v>4.5944019700346077</v>
      </c>
      <c r="AH56" s="256">
        <v>4.5944019700346077</v>
      </c>
      <c r="AI56" s="256">
        <v>3.8652061310301948</v>
      </c>
      <c r="AJ56" s="256">
        <v>3.8652061310301948</v>
      </c>
      <c r="AK56" s="257">
        <v>35390895.498587638</v>
      </c>
      <c r="AL56" s="257">
        <v>34855789.733545661</v>
      </c>
      <c r="AM56" s="258">
        <v>45838</v>
      </c>
      <c r="AN56" s="245" t="str">
        <f>IF(C56="","",(IF(AK56&gt;=50000000,"Tier 1",(IF(OR(AK56&gt;=20000000,AND(AK56&gt;5000000,AC56&gt;=1.25,AF56&lt;=0.65)),"Tier 2","Tier 3")))))</f>
        <v>Tier 2</v>
      </c>
      <c r="AO56" s="243">
        <v>46678</v>
      </c>
      <c r="AP56" s="259">
        <f>IF(C56="","",DAYS360(Inputs!$J$8,AO56)/360)</f>
        <v>2.15</v>
      </c>
      <c r="AQ56" s="259">
        <f>IF(C56="","",AP56)</f>
        <v>2.15</v>
      </c>
      <c r="AR56" s="246" t="s">
        <v>246</v>
      </c>
      <c r="AS56" s="248">
        <v>0</v>
      </c>
      <c r="AT56" s="246" t="s">
        <v>64</v>
      </c>
      <c r="AU56" s="248">
        <v>0.01</v>
      </c>
      <c r="AV56" s="248">
        <v>5.5E-2</v>
      </c>
      <c r="AW56" s="248">
        <v>4.2956000000000001E-2</v>
      </c>
      <c r="AX56" s="260">
        <f>IF(C56="","",MAX(AU56,AW56))</f>
        <v>4.2956000000000001E-2</v>
      </c>
      <c r="AY56" s="248">
        <v>0</v>
      </c>
      <c r="AZ56" s="248">
        <v>0</v>
      </c>
      <c r="BA56" s="248">
        <v>0</v>
      </c>
      <c r="BB56" s="407">
        <f>IF(B56="","",IF(AR56="No",AV56-AZ56,""))</f>
        <v>5.5E-2</v>
      </c>
      <c r="BC56" s="407" t="str">
        <f>IF(B56="","",IF(AR56="Yes",AS56-BA56,""))</f>
        <v/>
      </c>
      <c r="BD56" s="252" t="s">
        <v>247</v>
      </c>
      <c r="BE56" s="261" t="s">
        <v>408</v>
      </c>
      <c r="BF56" s="252" t="s">
        <v>7</v>
      </c>
      <c r="BG56" s="252" t="s">
        <v>460</v>
      </c>
      <c r="BH56" s="246" t="s">
        <v>246</v>
      </c>
      <c r="BI56" s="408" t="str">
        <f t="shared" si="17"/>
        <v>No</v>
      </c>
      <c r="BJ56" s="408" t="str">
        <f>IF(B56="","",IF(OR(AND(AZ56&gt;0,BB56&lt;2.5%),AND(BA56&gt;0,BC56&lt;6%)),"Yes","No"))</f>
        <v>No</v>
      </c>
      <c r="BK56" s="246" t="s">
        <v>246</v>
      </c>
      <c r="BL56" s="246" t="s">
        <v>246</v>
      </c>
      <c r="BM56" s="246" t="s">
        <v>246</v>
      </c>
      <c r="BN56" s="246" t="s">
        <v>246</v>
      </c>
      <c r="BO56" s="246" t="s">
        <v>246</v>
      </c>
      <c r="BP56" s="246" t="s">
        <v>246</v>
      </c>
      <c r="BQ56" s="246" t="s">
        <v>246</v>
      </c>
      <c r="BR56" s="246" t="s">
        <v>246</v>
      </c>
      <c r="BS56" s="246" t="s">
        <v>246</v>
      </c>
      <c r="BT56" s="246" t="s">
        <v>246</v>
      </c>
      <c r="BU56" s="246" t="s">
        <v>246</v>
      </c>
      <c r="BV56" s="246" t="s">
        <v>246</v>
      </c>
      <c r="BW56" s="246" t="s">
        <v>246</v>
      </c>
      <c r="BX56" s="246" t="s">
        <v>246</v>
      </c>
      <c r="BY56" s="246" t="s">
        <v>246</v>
      </c>
      <c r="BZ56" s="246" t="s">
        <v>246</v>
      </c>
      <c r="CA56" s="246" t="s">
        <v>246</v>
      </c>
      <c r="CB56" s="246" t="s">
        <v>64</v>
      </c>
      <c r="CC56" s="262">
        <f>IF(B56="","",IF(AT56="No",((BB56+AW56)-$AZ$4),((BB56+AX56)-$AZ$4))*IF(DE56&gt;0,0,M56))</f>
        <v>312355.09105073597</v>
      </c>
      <c r="CD56" s="262">
        <f>IF(B56="","",AY56*(L56-M56)*IF(DE56&gt;0,0,1))</f>
        <v>0</v>
      </c>
      <c r="CE56" s="263"/>
      <c r="CF56" s="263">
        <f t="shared" si="150"/>
        <v>0</v>
      </c>
      <c r="CG56" s="263">
        <f t="shared" si="151"/>
        <v>0</v>
      </c>
      <c r="CH56" s="263">
        <f t="shared" si="152"/>
        <v>0</v>
      </c>
      <c r="CI56" s="263">
        <f t="shared" si="153"/>
        <v>0</v>
      </c>
      <c r="CJ56" s="263">
        <f t="shared" si="154"/>
        <v>0</v>
      </c>
      <c r="CK56" s="263">
        <f t="shared" si="155"/>
        <v>0</v>
      </c>
      <c r="CL56" s="263">
        <f t="shared" si="156"/>
        <v>0</v>
      </c>
      <c r="CM56" s="263">
        <f t="shared" si="157"/>
        <v>0</v>
      </c>
      <c r="CN56" s="263">
        <f t="shared" si="158"/>
        <v>0</v>
      </c>
      <c r="CO56" s="263">
        <f t="shared" si="159"/>
        <v>0</v>
      </c>
      <c r="CP56" s="263">
        <f t="shared" si="160"/>
        <v>0</v>
      </c>
      <c r="CQ56" s="263">
        <f t="shared" si="161"/>
        <v>0</v>
      </c>
      <c r="CR56" s="263">
        <f t="shared" si="162"/>
        <v>0</v>
      </c>
      <c r="CS56" s="263">
        <f t="shared" si="163"/>
        <v>0</v>
      </c>
      <c r="CT56" s="263">
        <f t="shared" si="164"/>
        <v>0</v>
      </c>
      <c r="CU56" s="263">
        <f t="shared" si="165"/>
        <v>0</v>
      </c>
      <c r="CV56" s="263">
        <f t="shared" si="166"/>
        <v>0</v>
      </c>
      <c r="CW56" s="263">
        <f t="shared" si="167"/>
        <v>0</v>
      </c>
      <c r="CX56" s="263">
        <f t="shared" si="168"/>
        <v>0</v>
      </c>
      <c r="CY56" s="263">
        <f t="shared" si="169"/>
        <v>0</v>
      </c>
      <c r="CZ56" s="263">
        <f t="shared" si="170"/>
        <v>0</v>
      </c>
      <c r="DA56" s="263">
        <f t="shared" si="171"/>
        <v>0</v>
      </c>
      <c r="DB56" s="263">
        <f t="shared" si="172"/>
        <v>0</v>
      </c>
      <c r="DC56" s="263">
        <f t="shared" si="173"/>
        <v>0</v>
      </c>
      <c r="DD56" s="263">
        <f t="shared" si="174"/>
        <v>0</v>
      </c>
      <c r="DE56" s="263">
        <f t="shared" si="175"/>
        <v>0</v>
      </c>
      <c r="DF56" s="263">
        <f t="shared" si="176"/>
        <v>5706825.2599999998</v>
      </c>
      <c r="DG56" s="263">
        <f t="shared" si="177"/>
        <v>0</v>
      </c>
      <c r="DH56" s="263">
        <f t="shared" si="178"/>
        <v>5706825.2599999998</v>
      </c>
      <c r="DI56" s="263">
        <f t="shared" si="179"/>
        <v>5706825.2599999998</v>
      </c>
      <c r="DJ56" s="263">
        <f t="shared" si="180"/>
        <v>0</v>
      </c>
      <c r="DK56" s="263">
        <f t="shared" si="181"/>
        <v>0</v>
      </c>
      <c r="DL56" s="263">
        <f t="shared" si="182"/>
        <v>0</v>
      </c>
      <c r="DM56" s="263">
        <f t="shared" si="183"/>
        <v>0</v>
      </c>
      <c r="DO56" s="264">
        <f t="shared" si="184"/>
        <v>0</v>
      </c>
      <c r="DP56" s="265">
        <f t="shared" si="185"/>
        <v>0</v>
      </c>
      <c r="DQ56" s="264">
        <f t="shared" si="186"/>
        <v>5706825.2599999998</v>
      </c>
      <c r="DR56" s="264">
        <f t="shared" si="187"/>
        <v>0</v>
      </c>
      <c r="DS56" s="265">
        <f t="shared" si="188"/>
        <v>0</v>
      </c>
      <c r="DT56" s="264">
        <f t="shared" si="189"/>
        <v>5706825.2599999998</v>
      </c>
      <c r="DU56" s="264">
        <f t="shared" si="190"/>
        <v>0</v>
      </c>
      <c r="DV56" s="265">
        <f t="shared" si="191"/>
        <v>0</v>
      </c>
      <c r="DW56" s="264">
        <f t="shared" si="192"/>
        <v>5706825.2599999998</v>
      </c>
      <c r="DX56" s="264">
        <f t="shared" si="193"/>
        <v>0</v>
      </c>
      <c r="DY56" s="265">
        <f t="shared" si="194"/>
        <v>0</v>
      </c>
      <c r="DZ56" s="264">
        <f t="shared" si="195"/>
        <v>5706825.2599999998</v>
      </c>
      <c r="EA56" s="264">
        <f t="shared" si="196"/>
        <v>0</v>
      </c>
      <c r="EB56" s="265">
        <f t="shared" si="197"/>
        <v>0</v>
      </c>
      <c r="EC56" s="264">
        <f t="shared" si="198"/>
        <v>5706825.2599999998</v>
      </c>
      <c r="ED56" s="264">
        <f t="shared" si="199"/>
        <v>0</v>
      </c>
      <c r="EE56" s="265">
        <f t="shared" si="200"/>
        <v>0</v>
      </c>
      <c r="EF56" s="264">
        <f t="shared" si="201"/>
        <v>5706825.2599999998</v>
      </c>
      <c r="EG56" s="264">
        <f t="shared" si="202"/>
        <v>0</v>
      </c>
      <c r="EH56" s="265">
        <f t="shared" si="203"/>
        <v>0</v>
      </c>
      <c r="EI56" s="264">
        <f t="shared" si="204"/>
        <v>5706825.2599999998</v>
      </c>
      <c r="EJ56" s="264">
        <f t="shared" si="205"/>
        <v>0</v>
      </c>
      <c r="EK56" s="265">
        <f t="shared" si="206"/>
        <v>0</v>
      </c>
      <c r="EL56" s="264">
        <f t="shared" si="207"/>
        <v>5706825.2599999998</v>
      </c>
      <c r="EM56" s="264">
        <f t="shared" si="208"/>
        <v>0</v>
      </c>
      <c r="EN56" s="265">
        <f t="shared" si="209"/>
        <v>0</v>
      </c>
      <c r="EO56" s="264">
        <f t="shared" si="210"/>
        <v>5706825.2599999998</v>
      </c>
      <c r="EP56" s="264">
        <f t="shared" si="211"/>
        <v>0</v>
      </c>
      <c r="EQ56" s="265">
        <f t="shared" si="212"/>
        <v>0</v>
      </c>
      <c r="ER56" s="264">
        <f t="shared" si="213"/>
        <v>5706825.2599999998</v>
      </c>
      <c r="ES56" s="264">
        <f t="shared" si="214"/>
        <v>0</v>
      </c>
      <c r="ET56" s="265">
        <f t="shared" si="215"/>
        <v>0</v>
      </c>
      <c r="EU56" s="264">
        <f t="shared" si="216"/>
        <v>5706825.2599999998</v>
      </c>
      <c r="EV56" s="264">
        <f>IF(AND(BM56="Yes",OR(BN56="No",AND(BN56="Yes",Inputs!$J$8=Inputs!$J$17+75))),EU56,0)</f>
        <v>0</v>
      </c>
      <c r="EW56" s="265">
        <f t="shared" si="217"/>
        <v>0</v>
      </c>
      <c r="EX56" s="264">
        <f t="shared" si="218"/>
        <v>5706825.2599999998</v>
      </c>
      <c r="EY56" s="264">
        <f t="shared" si="219"/>
        <v>0</v>
      </c>
      <c r="EZ56" s="265">
        <f t="shared" si="220"/>
        <v>0</v>
      </c>
      <c r="FA56" s="264">
        <f t="shared" si="221"/>
        <v>5706825.2599999998</v>
      </c>
      <c r="FB56" s="264">
        <f t="shared" si="222"/>
        <v>0</v>
      </c>
      <c r="FC56" s="265">
        <f t="shared" si="223"/>
        <v>0</v>
      </c>
      <c r="FD56" s="264">
        <f t="shared" si="224"/>
        <v>5706825.2599999998</v>
      </c>
      <c r="FE56" s="264">
        <f t="shared" si="225"/>
        <v>0</v>
      </c>
      <c r="FF56" s="265">
        <f t="shared" si="226"/>
        <v>0</v>
      </c>
      <c r="FG56" s="264">
        <f t="shared" si="227"/>
        <v>5706825.2599999998</v>
      </c>
      <c r="FH56" s="264">
        <f t="shared" si="228"/>
        <v>5706825.2599999998</v>
      </c>
      <c r="FI56" s="264">
        <f t="shared" si="229"/>
        <v>0</v>
      </c>
      <c r="FJ56" s="264">
        <f t="shared" si="230"/>
        <v>5706825.2599999998</v>
      </c>
      <c r="FK56" s="264">
        <f t="shared" si="231"/>
        <v>5706825.2599999998</v>
      </c>
      <c r="FL56" s="264">
        <f t="shared" si="232"/>
        <v>0</v>
      </c>
      <c r="FM56" s="264">
        <f t="shared" si="233"/>
        <v>5706825.2599999998</v>
      </c>
      <c r="FN56" s="264">
        <f t="shared" si="234"/>
        <v>5706825.2599999998</v>
      </c>
      <c r="FO56" s="264">
        <f t="shared" si="235"/>
        <v>0</v>
      </c>
      <c r="FP56" s="264">
        <f t="shared" si="236"/>
        <v>5706825.2599999998</v>
      </c>
      <c r="FQ56" s="264">
        <f t="shared" si="237"/>
        <v>0</v>
      </c>
      <c r="FR56" s="265">
        <f t="shared" si="238"/>
        <v>0</v>
      </c>
      <c r="FS56" s="264">
        <f t="shared" si="239"/>
        <v>5706825.2599999998</v>
      </c>
      <c r="FT56" s="264">
        <f t="shared" si="240"/>
        <v>0</v>
      </c>
      <c r="FU56" s="265">
        <f t="shared" si="241"/>
        <v>0</v>
      </c>
      <c r="FV56" s="264">
        <f t="shared" si="242"/>
        <v>5706825.2599999998</v>
      </c>
      <c r="FW56" s="264">
        <f t="shared" si="243"/>
        <v>0</v>
      </c>
      <c r="FX56" s="264">
        <f t="shared" si="244"/>
        <v>0</v>
      </c>
      <c r="FY56" s="264">
        <f t="shared" si="245"/>
        <v>0</v>
      </c>
      <c r="FZ56" s="264">
        <f t="shared" si="246"/>
        <v>0</v>
      </c>
      <c r="GA56" s="265">
        <f t="shared" si="296"/>
        <v>0</v>
      </c>
      <c r="GB56" s="264">
        <f t="shared" si="297"/>
        <v>5706825.2599999998</v>
      </c>
      <c r="GC56" s="264">
        <f t="shared" si="247"/>
        <v>5706825.2599999998</v>
      </c>
      <c r="GD56" s="266">
        <f t="shared" si="248"/>
        <v>4137448.3134999997</v>
      </c>
      <c r="GE56" s="138">
        <f t="shared" si="249"/>
        <v>0.72499999999999998</v>
      </c>
      <c r="GF56" s="267">
        <f t="shared" si="250"/>
        <v>31</v>
      </c>
      <c r="GG56" s="264">
        <f t="array" ref="GG56">IF(SUM(IF(IC$9:IC55=IC56,1,0))&gt;0,0,SUMIF($IC$10:$IC$406,IC56,$FJ$10:$FJ$406))</f>
        <v>0</v>
      </c>
      <c r="GH56" s="268">
        <f t="shared" si="251"/>
        <v>0</v>
      </c>
      <c r="GI56" s="137">
        <f t="shared" si="126"/>
        <v>47</v>
      </c>
      <c r="GJ56" s="269">
        <f t="shared" si="252"/>
        <v>0</v>
      </c>
      <c r="GK56" s="269">
        <f t="shared" si="253"/>
        <v>0</v>
      </c>
      <c r="GL56" s="163">
        <f t="shared" si="254"/>
        <v>0</v>
      </c>
      <c r="GM56" s="137">
        <f t="array" ref="GM56">IF(GJ56=0,0,LARGE(IF($GG$10:$GG$406=GJ56,$GF$10:$GF$406,0),COUNTIF($GJ$10:$GJ$406,GJ56)-COUNTIF(GJ$9:GJ55,GJ56)))</f>
        <v>0</v>
      </c>
      <c r="GN56" s="270">
        <f t="shared" si="255"/>
        <v>0</v>
      </c>
      <c r="GP56" s="137">
        <f>IF(C56="","",IF(ISERROR(MATCH(C56,C$10:C55,0)),MAX(GP$10:GP55)+1,INDEX(GP$10:GP55,MATCH(C56,C$10:C55,0))))</f>
        <v>39</v>
      </c>
      <c r="GQ56" s="264">
        <f>IF(COUNTIF($A$10:A56,A56)&lt;=1,SUMIF($A$10:$A$406,A56,$FH$10:$FH$406),0)</f>
        <v>5706825.2599999998</v>
      </c>
      <c r="GR56" s="137">
        <f t="shared" si="130"/>
        <v>47</v>
      </c>
      <c r="GS56" s="269">
        <f t="shared" si="256"/>
        <v>5580611</v>
      </c>
      <c r="GT56" s="269">
        <f t="shared" si="257"/>
        <v>50964284.172430128</v>
      </c>
      <c r="GU56" s="163">
        <f t="shared" si="258"/>
        <v>0</v>
      </c>
      <c r="GV56" s="137">
        <f t="array" ref="GV56">IF(GS56=0,0,LARGE(IF($GQ$10:$GQ$406=GS56,$GP$10:$GP$406,0),COUNTIF($GS$10:$GS$406,GS56)-COUNTIF(GS$9:GS55,GS56)))</f>
        <v>109</v>
      </c>
      <c r="GW56" s="270">
        <f t="shared" si="259"/>
        <v>0</v>
      </c>
      <c r="GX56" s="270"/>
      <c r="GY56" s="137">
        <f>IF(C56="","",IF(ISERROR(MATCH(C56,C$10:C55,0)),MAX(GP$10:GP55)+1,INDEX(GP$10:GP55,MATCH(C56,C$10:C55,0))))</f>
        <v>39</v>
      </c>
      <c r="GZ56" s="264">
        <f>IF(COUNTIF($A$10:A56,A56)&lt;=1,SUMIF($A$10:$A$406,A56,$FH$10:$FH$406),0)</f>
        <v>5706825.2599999998</v>
      </c>
      <c r="HA56" s="137">
        <f t="shared" si="134"/>
        <v>47</v>
      </c>
      <c r="HB56" s="269">
        <f t="shared" si="260"/>
        <v>5580611</v>
      </c>
      <c r="HC56" s="414" t="s">
        <v>622</v>
      </c>
      <c r="HD56" s="163">
        <f t="shared" si="261"/>
        <v>0</v>
      </c>
      <c r="HE56" s="137">
        <f t="array" ref="HE56">IF(HB56=0,0,LARGE(IF($GZ$10:$GZ$406=HB56,$GY$10:$GY$406,0),COUNTIF($HB$10:$HB$406,HB56)-COUNTIF(HB$9:HB55,HB56)))</f>
        <v>109</v>
      </c>
      <c r="HF56" s="270">
        <f t="shared" si="262"/>
        <v>0</v>
      </c>
      <c r="HG56" s="270"/>
      <c r="HH56" s="268">
        <f t="shared" si="263"/>
        <v>0</v>
      </c>
      <c r="HI56" s="271">
        <v>0</v>
      </c>
      <c r="HJ56" s="264">
        <f t="shared" si="264"/>
        <v>0</v>
      </c>
      <c r="HL56" s="137">
        <f t="shared" si="265"/>
        <v>47</v>
      </c>
      <c r="HM56" s="264">
        <f t="shared" si="300"/>
        <v>539171.005</v>
      </c>
      <c r="HN56"/>
      <c r="HO56" s="199">
        <f t="shared" si="301"/>
        <v>5706825.2599999998</v>
      </c>
      <c r="HP56" s="199">
        <f t="shared" si="302"/>
        <v>5706825.2599999998</v>
      </c>
      <c r="HQ56" s="199" t="str">
        <f t="shared" si="303"/>
        <v/>
      </c>
      <c r="HR56" s="199" t="str">
        <f t="shared" si="304"/>
        <v/>
      </c>
      <c r="HS56" s="199" t="str">
        <f t="shared" si="119"/>
        <v/>
      </c>
      <c r="HT56" s="199" t="str">
        <f t="shared" si="305"/>
        <v/>
      </c>
      <c r="HU56" s="199" t="str">
        <f t="shared" si="306"/>
        <v/>
      </c>
      <c r="HV56" s="200">
        <f t="shared" si="307"/>
        <v>0</v>
      </c>
      <c r="HW56" s="272">
        <f t="shared" si="308"/>
        <v>1</v>
      </c>
      <c r="HX56" s="200" t="str">
        <f t="shared" si="309"/>
        <v/>
      </c>
      <c r="HY56" s="200">
        <f t="shared" si="310"/>
        <v>0</v>
      </c>
      <c r="HZ56" s="200" t="str">
        <f t="shared" si="4"/>
        <v/>
      </c>
      <c r="IA56" s="200" t="str">
        <f t="shared" si="311"/>
        <v/>
      </c>
      <c r="IB56" s="200" t="str">
        <f t="shared" si="312"/>
        <v/>
      </c>
      <c r="IC56" s="273">
        <f>IF(C56="","",INDEX(Lookups!$E$2:$E$69,MATCH('Loan List'!BE56,Lookups!$F$2:$F$69,0)))</f>
        <v>31</v>
      </c>
      <c r="ID56" t="b">
        <f t="shared" si="313"/>
        <v>1</v>
      </c>
      <c r="IF56" s="346" t="str">
        <f>IF(B56="","",IF(AND(Y56="Second Lien",OR(DA56=1,DB56=1,DC56=1)),50%,IF(DA56=1,90%,IF(DB56=1,80%,IF(DC56=1,65%,"No Initial Haircut")))))</f>
        <v>No Initial Haircut</v>
      </c>
    </row>
    <row r="57" spans="1:240">
      <c r="A57" t="s">
        <v>623</v>
      </c>
      <c r="B57" s="242">
        <f t="shared" si="149"/>
        <v>48</v>
      </c>
      <c r="C57" s="242">
        <f>IF(COUNTIF($A$10:A56,A57)&gt;0,C56,C56+1)</f>
        <v>40</v>
      </c>
      <c r="D57" s="428" t="s">
        <v>623</v>
      </c>
      <c r="E57" s="428" t="s">
        <v>619</v>
      </c>
      <c r="F57" s="429"/>
      <c r="G57" s="430">
        <v>2179407.41</v>
      </c>
      <c r="H57" s="430">
        <v>2179407.41</v>
      </c>
      <c r="I57" s="244">
        <f>IF(B57="","",VLOOKUP(BF57,Inputs!$A$12:$J$15,10,FALSE))</f>
        <v>1</v>
      </c>
      <c r="J57" s="245">
        <f t="shared" si="5"/>
        <v>2179407.41</v>
      </c>
      <c r="K57" s="245">
        <f t="shared" si="6"/>
        <v>2179407.41</v>
      </c>
      <c r="L57" s="245">
        <f t="shared" si="7"/>
        <v>2179407.41</v>
      </c>
      <c r="M57" s="245">
        <f t="shared" si="8"/>
        <v>2179407.41</v>
      </c>
      <c r="N57" s="246" t="s">
        <v>246</v>
      </c>
      <c r="O57" s="246" t="s">
        <v>245</v>
      </c>
      <c r="P57" s="247">
        <f>IF(B57="","",IF(OR(O57="N/A",O57=""),0,YEARFRAC('Borrowing Base'!$J$4,'Loan List'!O57)*12))</f>
        <v>0</v>
      </c>
      <c r="Q57" s="246" t="s">
        <v>246</v>
      </c>
      <c r="R57" s="248">
        <v>0.98499999999999999</v>
      </c>
      <c r="S57" s="249" t="str">
        <f t="shared" si="1"/>
        <v>No</v>
      </c>
      <c r="T57" s="248">
        <v>1</v>
      </c>
      <c r="U57" s="250">
        <f t="shared" si="9"/>
        <v>0.5</v>
      </c>
      <c r="V57" s="250">
        <f t="shared" si="10"/>
        <v>0.72499999999999998</v>
      </c>
      <c r="W57" s="251">
        <f t="shared" si="11"/>
        <v>2179407.41</v>
      </c>
      <c r="X57" s="246" t="s">
        <v>246</v>
      </c>
      <c r="Y57" s="252" t="s">
        <v>483</v>
      </c>
      <c r="Z57" s="252" t="s">
        <v>484</v>
      </c>
      <c r="AA57" s="253" t="s">
        <v>407</v>
      </c>
      <c r="AB57" s="253" t="s">
        <v>713</v>
      </c>
      <c r="AC57" s="254">
        <v>2.1443448575755388</v>
      </c>
      <c r="AD57" s="254">
        <v>2.2039700086250842</v>
      </c>
      <c r="AE57" s="254">
        <v>2.4671374699336108</v>
      </c>
      <c r="AF57" s="255">
        <v>0.53068349012799276</v>
      </c>
      <c r="AG57" s="256">
        <v>3.4980615322132702</v>
      </c>
      <c r="AH57" s="256">
        <v>3.4980615322132702</v>
      </c>
      <c r="AI57" s="256">
        <v>3.6613601204575734</v>
      </c>
      <c r="AJ57" s="256">
        <v>3.6613601204575734</v>
      </c>
      <c r="AK57" s="257">
        <v>15029396.000000002</v>
      </c>
      <c r="AL57" s="257">
        <v>12451853</v>
      </c>
      <c r="AM57" s="258">
        <v>45838</v>
      </c>
      <c r="AN57" s="245" t="str">
        <f t="shared" si="12"/>
        <v>Tier 2</v>
      </c>
      <c r="AO57" s="243">
        <v>47613</v>
      </c>
      <c r="AP57" s="259">
        <f>IF(C57="","",DAYS360(Inputs!$J$8,AO57)/360)</f>
        <v>4.7111111111111112</v>
      </c>
      <c r="AQ57" s="259">
        <f t="shared" si="13"/>
        <v>4.7111111111111112</v>
      </c>
      <c r="AR57" s="246" t="s">
        <v>246</v>
      </c>
      <c r="AS57" s="248">
        <v>0</v>
      </c>
      <c r="AT57" s="246" t="s">
        <v>64</v>
      </c>
      <c r="AU57" s="248">
        <v>0.01</v>
      </c>
      <c r="AV57" s="248">
        <v>5.7500000000000002E-2</v>
      </c>
      <c r="AW57" s="248">
        <v>4.3561999999999997E-2</v>
      </c>
      <c r="AX57" s="260">
        <f t="shared" si="14"/>
        <v>4.3561999999999997E-2</v>
      </c>
      <c r="AY57" s="248">
        <v>0</v>
      </c>
      <c r="AZ57" s="248">
        <v>0</v>
      </c>
      <c r="BA57" s="248">
        <v>0</v>
      </c>
      <c r="BB57" s="407">
        <f t="shared" si="15"/>
        <v>5.7500000000000002E-2</v>
      </c>
      <c r="BC57" s="407" t="str">
        <f t="shared" si="16"/>
        <v/>
      </c>
      <c r="BD57" s="252" t="s">
        <v>247</v>
      </c>
      <c r="BE57" s="261" t="s">
        <v>408</v>
      </c>
      <c r="BF57" s="252" t="s">
        <v>7</v>
      </c>
      <c r="BG57" s="252" t="s">
        <v>460</v>
      </c>
      <c r="BH57" s="246" t="s">
        <v>246</v>
      </c>
      <c r="BI57" s="408" t="str">
        <f t="shared" si="17"/>
        <v>No</v>
      </c>
      <c r="BJ57" s="408" t="str">
        <f t="shared" si="18"/>
        <v>No</v>
      </c>
      <c r="BK57" s="246" t="s">
        <v>246</v>
      </c>
      <c r="BL57" s="246" t="s">
        <v>246</v>
      </c>
      <c r="BM57" s="246" t="s">
        <v>246</v>
      </c>
      <c r="BN57" s="246" t="s">
        <v>246</v>
      </c>
      <c r="BO57" s="246" t="s">
        <v>246</v>
      </c>
      <c r="BP57" s="246" t="s">
        <v>246</v>
      </c>
      <c r="BQ57" s="246" t="s">
        <v>246</v>
      </c>
      <c r="BR57" s="246" t="s">
        <v>246</v>
      </c>
      <c r="BS57" s="246" t="s">
        <v>246</v>
      </c>
      <c r="BT57" s="246" t="s">
        <v>246</v>
      </c>
      <c r="BU57" s="246" t="s">
        <v>246</v>
      </c>
      <c r="BV57" s="246" t="s">
        <v>246</v>
      </c>
      <c r="BW57" s="246" t="s">
        <v>246</v>
      </c>
      <c r="BX57" s="246" t="s">
        <v>246</v>
      </c>
      <c r="BY57" s="246" t="s">
        <v>246</v>
      </c>
      <c r="BZ57" s="246" t="s">
        <v>246</v>
      </c>
      <c r="CA57" s="246" t="s">
        <v>246</v>
      </c>
      <c r="CB57" s="246" t="s">
        <v>64</v>
      </c>
      <c r="CC57" s="262">
        <f t="shared" si="19"/>
        <v>126056.052831436</v>
      </c>
      <c r="CD57" s="262">
        <f t="shared" si="20"/>
        <v>0</v>
      </c>
      <c r="CE57" s="263"/>
      <c r="CF57" s="263">
        <f t="shared" si="150"/>
        <v>0</v>
      </c>
      <c r="CG57" s="263">
        <f t="shared" si="151"/>
        <v>0</v>
      </c>
      <c r="CH57" s="263">
        <f t="shared" si="152"/>
        <v>0</v>
      </c>
      <c r="CI57" s="263">
        <f t="shared" si="153"/>
        <v>0</v>
      </c>
      <c r="CJ57" s="263">
        <f t="shared" si="154"/>
        <v>0</v>
      </c>
      <c r="CK57" s="263">
        <f t="shared" si="155"/>
        <v>0</v>
      </c>
      <c r="CL57" s="263">
        <f t="shared" si="156"/>
        <v>0</v>
      </c>
      <c r="CM57" s="263">
        <f t="shared" si="157"/>
        <v>0</v>
      </c>
      <c r="CN57" s="263">
        <f t="shared" si="158"/>
        <v>0</v>
      </c>
      <c r="CO57" s="263">
        <f t="shared" si="159"/>
        <v>0</v>
      </c>
      <c r="CP57" s="263">
        <f t="shared" si="160"/>
        <v>0</v>
      </c>
      <c r="CQ57" s="263">
        <f t="shared" si="161"/>
        <v>0</v>
      </c>
      <c r="CR57" s="263">
        <f t="shared" si="162"/>
        <v>0</v>
      </c>
      <c r="CS57" s="263">
        <f t="shared" si="163"/>
        <v>0</v>
      </c>
      <c r="CT57" s="263">
        <f t="shared" si="164"/>
        <v>0</v>
      </c>
      <c r="CU57" s="263">
        <f t="shared" si="165"/>
        <v>0</v>
      </c>
      <c r="CV57" s="263">
        <f t="shared" si="166"/>
        <v>0</v>
      </c>
      <c r="CW57" s="263">
        <f t="shared" si="167"/>
        <v>0</v>
      </c>
      <c r="CX57" s="263">
        <f t="shared" si="168"/>
        <v>0</v>
      </c>
      <c r="CY57" s="263">
        <f t="shared" si="169"/>
        <v>0</v>
      </c>
      <c r="CZ57" s="263">
        <f t="shared" si="170"/>
        <v>0</v>
      </c>
      <c r="DA57" s="263">
        <f t="shared" si="171"/>
        <v>0</v>
      </c>
      <c r="DB57" s="263">
        <f t="shared" si="172"/>
        <v>0</v>
      </c>
      <c r="DC57" s="263">
        <f t="shared" si="173"/>
        <v>0</v>
      </c>
      <c r="DD57" s="263">
        <f t="shared" si="174"/>
        <v>0</v>
      </c>
      <c r="DE57" s="263">
        <f t="shared" si="175"/>
        <v>0</v>
      </c>
      <c r="DF57" s="263">
        <f t="shared" si="176"/>
        <v>2179407.41</v>
      </c>
      <c r="DG57" s="263">
        <f t="shared" si="177"/>
        <v>0</v>
      </c>
      <c r="DH57" s="263">
        <f t="shared" si="178"/>
        <v>2179407.41</v>
      </c>
      <c r="DI57" s="263">
        <f t="shared" si="179"/>
        <v>2179407.41</v>
      </c>
      <c r="DJ57" s="263">
        <f t="shared" si="180"/>
        <v>0</v>
      </c>
      <c r="DK57" s="263">
        <f t="shared" si="181"/>
        <v>0</v>
      </c>
      <c r="DL57" s="263">
        <f t="shared" si="182"/>
        <v>0</v>
      </c>
      <c r="DM57" s="263">
        <f t="shared" si="183"/>
        <v>0</v>
      </c>
      <c r="DO57" s="264">
        <f t="shared" si="184"/>
        <v>0</v>
      </c>
      <c r="DP57" s="265">
        <f t="shared" si="185"/>
        <v>0</v>
      </c>
      <c r="DQ57" s="264">
        <f t="shared" si="186"/>
        <v>2179407.41</v>
      </c>
      <c r="DR57" s="264">
        <f t="shared" si="187"/>
        <v>0</v>
      </c>
      <c r="DS57" s="265">
        <f t="shared" si="188"/>
        <v>0</v>
      </c>
      <c r="DT57" s="264">
        <f t="shared" si="189"/>
        <v>2179407.41</v>
      </c>
      <c r="DU57" s="264">
        <f t="shared" si="190"/>
        <v>0</v>
      </c>
      <c r="DV57" s="265">
        <f t="shared" si="191"/>
        <v>0</v>
      </c>
      <c r="DW57" s="264">
        <f t="shared" si="192"/>
        <v>2179407.41</v>
      </c>
      <c r="DX57" s="264">
        <f t="shared" si="193"/>
        <v>0</v>
      </c>
      <c r="DY57" s="265">
        <f t="shared" si="194"/>
        <v>0</v>
      </c>
      <c r="DZ57" s="264">
        <f t="shared" si="195"/>
        <v>2179407.41</v>
      </c>
      <c r="EA57" s="264">
        <f t="shared" si="196"/>
        <v>0</v>
      </c>
      <c r="EB57" s="265">
        <f t="shared" si="197"/>
        <v>0</v>
      </c>
      <c r="EC57" s="264">
        <f t="shared" si="198"/>
        <v>2179407.41</v>
      </c>
      <c r="ED57" s="264">
        <f t="shared" si="199"/>
        <v>0</v>
      </c>
      <c r="EE57" s="265">
        <f t="shared" si="200"/>
        <v>0</v>
      </c>
      <c r="EF57" s="264">
        <f t="shared" si="201"/>
        <v>2179407.41</v>
      </c>
      <c r="EG57" s="264">
        <f t="shared" si="202"/>
        <v>0</v>
      </c>
      <c r="EH57" s="265">
        <f t="shared" si="203"/>
        <v>0</v>
      </c>
      <c r="EI57" s="264">
        <f t="shared" si="204"/>
        <v>2179407.41</v>
      </c>
      <c r="EJ57" s="264">
        <f t="shared" si="205"/>
        <v>0</v>
      </c>
      <c r="EK57" s="265">
        <f t="shared" si="206"/>
        <v>0</v>
      </c>
      <c r="EL57" s="264">
        <f t="shared" si="207"/>
        <v>2179407.41</v>
      </c>
      <c r="EM57" s="264">
        <f t="shared" si="208"/>
        <v>0</v>
      </c>
      <c r="EN57" s="265">
        <f t="shared" si="209"/>
        <v>0</v>
      </c>
      <c r="EO57" s="264">
        <f t="shared" si="210"/>
        <v>2179407.41</v>
      </c>
      <c r="EP57" s="264">
        <f t="shared" si="211"/>
        <v>0</v>
      </c>
      <c r="EQ57" s="265">
        <f t="shared" si="212"/>
        <v>0</v>
      </c>
      <c r="ER57" s="264">
        <f t="shared" si="213"/>
        <v>2179407.41</v>
      </c>
      <c r="ES57" s="264">
        <f t="shared" si="214"/>
        <v>0</v>
      </c>
      <c r="ET57" s="265">
        <f t="shared" si="215"/>
        <v>0</v>
      </c>
      <c r="EU57" s="264">
        <f t="shared" si="216"/>
        <v>2179407.41</v>
      </c>
      <c r="EV57" s="264">
        <f>IF(AND(BM57="Yes",OR(BN57="No",AND(BN57="Yes",Inputs!$J$8=Inputs!$J$17+75))),EU57,0)</f>
        <v>0</v>
      </c>
      <c r="EW57" s="265">
        <f t="shared" si="217"/>
        <v>0</v>
      </c>
      <c r="EX57" s="264">
        <f t="shared" si="218"/>
        <v>2179407.41</v>
      </c>
      <c r="EY57" s="264">
        <f t="shared" si="219"/>
        <v>0</v>
      </c>
      <c r="EZ57" s="265">
        <f t="shared" si="220"/>
        <v>0</v>
      </c>
      <c r="FA57" s="264">
        <f t="shared" si="221"/>
        <v>2179407.41</v>
      </c>
      <c r="FB57" s="264">
        <f t="shared" si="222"/>
        <v>0</v>
      </c>
      <c r="FC57" s="265">
        <f t="shared" si="223"/>
        <v>0</v>
      </c>
      <c r="FD57" s="264">
        <f t="shared" si="224"/>
        <v>2179407.41</v>
      </c>
      <c r="FE57" s="264">
        <f t="shared" si="225"/>
        <v>0</v>
      </c>
      <c r="FF57" s="265">
        <f t="shared" si="226"/>
        <v>0</v>
      </c>
      <c r="FG57" s="264">
        <f t="shared" si="227"/>
        <v>2179407.41</v>
      </c>
      <c r="FH57" s="264">
        <f t="shared" si="228"/>
        <v>2179407.41</v>
      </c>
      <c r="FI57" s="264">
        <f t="shared" si="229"/>
        <v>0</v>
      </c>
      <c r="FJ57" s="264">
        <f t="shared" si="230"/>
        <v>2179407.41</v>
      </c>
      <c r="FK57" s="264">
        <f t="shared" si="231"/>
        <v>2179407.41</v>
      </c>
      <c r="FL57" s="264">
        <f t="shared" si="232"/>
        <v>0</v>
      </c>
      <c r="FM57" s="264">
        <f t="shared" si="233"/>
        <v>2179407.41</v>
      </c>
      <c r="FN57" s="264">
        <f t="shared" si="234"/>
        <v>2179407.41</v>
      </c>
      <c r="FO57" s="264">
        <f t="shared" si="235"/>
        <v>0</v>
      </c>
      <c r="FP57" s="264">
        <f t="shared" si="236"/>
        <v>2179407.41</v>
      </c>
      <c r="FQ57" s="264">
        <f t="shared" si="237"/>
        <v>0</v>
      </c>
      <c r="FR57" s="265">
        <f t="shared" si="238"/>
        <v>0</v>
      </c>
      <c r="FS57" s="264">
        <f t="shared" si="239"/>
        <v>2179407.41</v>
      </c>
      <c r="FT57" s="264">
        <f t="shared" si="240"/>
        <v>2179407.41</v>
      </c>
      <c r="FU57" s="265">
        <f t="shared" si="241"/>
        <v>0</v>
      </c>
      <c r="FV57" s="264">
        <f t="shared" si="242"/>
        <v>2179407.41</v>
      </c>
      <c r="FW57" s="264">
        <f t="shared" si="243"/>
        <v>0</v>
      </c>
      <c r="FX57" s="264">
        <f t="shared" si="244"/>
        <v>0</v>
      </c>
      <c r="FY57" s="264">
        <f t="shared" si="245"/>
        <v>0</v>
      </c>
      <c r="FZ57" s="264">
        <f t="shared" si="246"/>
        <v>0</v>
      </c>
      <c r="GA57" s="265">
        <f t="shared" si="296"/>
        <v>0</v>
      </c>
      <c r="GB57" s="264">
        <f t="shared" si="297"/>
        <v>2179407.41</v>
      </c>
      <c r="GC57" s="264">
        <f t="shared" si="247"/>
        <v>2179407.41</v>
      </c>
      <c r="GD57" s="266">
        <f t="shared" si="248"/>
        <v>1580070.37225</v>
      </c>
      <c r="GE57" s="138">
        <f t="shared" si="249"/>
        <v>0.72499999999999998</v>
      </c>
      <c r="GF57" s="267">
        <f t="shared" si="250"/>
        <v>31</v>
      </c>
      <c r="GG57" s="264">
        <f t="array" ref="GG57">IF(SUM(IF(IC$9:IC56=IC57,1,0))&gt;0,0,SUMIF($IC$10:$IC$406,IC57,$FJ$10:$FJ$406))</f>
        <v>0</v>
      </c>
      <c r="GH57" s="268">
        <f t="shared" si="251"/>
        <v>0</v>
      </c>
      <c r="GI57" s="137">
        <f t="shared" si="126"/>
        <v>48</v>
      </c>
      <c r="GJ57" s="269">
        <f t="shared" si="252"/>
        <v>0</v>
      </c>
      <c r="GK57" s="269">
        <f t="shared" si="253"/>
        <v>0</v>
      </c>
      <c r="GL57" s="163">
        <f t="shared" si="254"/>
        <v>0</v>
      </c>
      <c r="GM57" s="137">
        <f t="array" ref="GM57">IF(GJ57=0,0,LARGE(IF($GG$10:$GG$406=GJ57,$GF$10:$GF$406,0),COUNTIF($GJ$10:$GJ$406,GJ57)-COUNTIF(GJ$9:GJ56,GJ57)))</f>
        <v>0</v>
      </c>
      <c r="GN57" s="270">
        <f t="shared" si="255"/>
        <v>0</v>
      </c>
      <c r="GP57" s="137">
        <f>IF(C57="","",IF(ISERROR(MATCH(C57,C$10:C56,0)),MAX(GP$10:GP56)+1,INDEX(GP$10:GP56,MATCH(C57,C$10:C56,0))))</f>
        <v>40</v>
      </c>
      <c r="GQ57" s="264">
        <f>IF(COUNTIF($A$10:A57,A57)&lt;=1,SUMIF($A$10:$A$406,A57,$FH$10:$FH$406),0)</f>
        <v>6153116.4100000001</v>
      </c>
      <c r="GR57" s="137">
        <f t="shared" si="130"/>
        <v>48</v>
      </c>
      <c r="GS57" s="269">
        <f t="shared" si="256"/>
        <v>5271860.1900000004</v>
      </c>
      <c r="GT57" s="269">
        <f t="shared" si="257"/>
        <v>50964284.172430128</v>
      </c>
      <c r="GU57" s="163">
        <f t="shared" si="258"/>
        <v>0</v>
      </c>
      <c r="GV57" s="137">
        <f t="array" ref="GV57">IF(GS57=0,0,LARGE(IF($GQ$10:$GQ$406=GS57,$GP$10:$GP$406,0),COUNTIF($GS$10:$GS$406,GS57)-COUNTIF(GS$9:GS56,GS57)))</f>
        <v>3</v>
      </c>
      <c r="GW57" s="270">
        <f t="shared" si="259"/>
        <v>0</v>
      </c>
      <c r="GX57" s="270"/>
      <c r="GY57" s="137">
        <f>IF(C57="","",IF(ISERROR(MATCH(C57,C$10:C56,0)),MAX(GP$10:GP56)+1,INDEX(GP$10:GP56,MATCH(C57,C$10:C56,0))))</f>
        <v>40</v>
      </c>
      <c r="GZ57" s="264">
        <f>IF(COUNTIF($A$10:A57,A57)&lt;=1,SUMIF($A$10:$A$406,A57,$FH$10:$FH$406),0)</f>
        <v>6153116.4100000001</v>
      </c>
      <c r="HA57" s="137">
        <f t="shared" si="134"/>
        <v>48</v>
      </c>
      <c r="HB57" s="269">
        <f t="shared" si="260"/>
        <v>5271860.1900000004</v>
      </c>
      <c r="HC57" s="414" t="s">
        <v>622</v>
      </c>
      <c r="HD57" s="163">
        <f t="shared" si="261"/>
        <v>0</v>
      </c>
      <c r="HE57" s="137">
        <f t="array" ref="HE57">IF(HB57=0,0,LARGE(IF($GZ$10:$GZ$406=HB57,$GY$10:$GY$406,0),COUNTIF($HB$10:$HB$406,HB57)-COUNTIF(HB$9:HB56,HB57)))</f>
        <v>3</v>
      </c>
      <c r="HF57" s="270">
        <f t="shared" si="262"/>
        <v>0</v>
      </c>
      <c r="HG57" s="270"/>
      <c r="HH57" s="268">
        <f t="shared" si="263"/>
        <v>0</v>
      </c>
      <c r="HI57" s="271">
        <v>0</v>
      </c>
      <c r="HJ57" s="264">
        <f t="shared" si="264"/>
        <v>0</v>
      </c>
      <c r="HL57" s="137">
        <f t="shared" si="265"/>
        <v>48</v>
      </c>
      <c r="HM57" s="264">
        <f t="shared" si="300"/>
        <v>12428247.09</v>
      </c>
      <c r="HN57"/>
      <c r="HO57" s="199">
        <f t="shared" si="301"/>
        <v>2179407.41</v>
      </c>
      <c r="HP57" s="199">
        <f t="shared" si="302"/>
        <v>2179407.41</v>
      </c>
      <c r="HQ57" s="199" t="str">
        <f t="shared" si="303"/>
        <v/>
      </c>
      <c r="HR57" s="199" t="str">
        <f t="shared" si="304"/>
        <v/>
      </c>
      <c r="HS57" s="199" t="str">
        <f t="shared" si="119"/>
        <v/>
      </c>
      <c r="HT57" s="199" t="str">
        <f t="shared" si="305"/>
        <v/>
      </c>
      <c r="HU57" s="199" t="str">
        <f t="shared" si="306"/>
        <v/>
      </c>
      <c r="HV57" s="200">
        <f t="shared" si="307"/>
        <v>0</v>
      </c>
      <c r="HW57" s="272">
        <f t="shared" si="308"/>
        <v>1</v>
      </c>
      <c r="HX57" s="200" t="str">
        <f t="shared" si="309"/>
        <v/>
      </c>
      <c r="HY57" s="200">
        <f t="shared" si="310"/>
        <v>0</v>
      </c>
      <c r="HZ57" s="200" t="str">
        <f t="shared" si="4"/>
        <v/>
      </c>
      <c r="IA57" s="200" t="str">
        <f t="shared" si="311"/>
        <v/>
      </c>
      <c r="IB57" s="200" t="str">
        <f t="shared" si="312"/>
        <v/>
      </c>
      <c r="IC57" s="273">
        <f>IF(C57="","",INDEX(Lookups!$E$2:$E$69,MATCH('Loan List'!BE57,Lookups!$F$2:$F$69,0)))</f>
        <v>31</v>
      </c>
      <c r="ID57" t="b">
        <f t="shared" si="313"/>
        <v>1</v>
      </c>
      <c r="IF57" s="346" t="str">
        <f t="shared" si="121"/>
        <v>No Initial Haircut</v>
      </c>
    </row>
    <row r="58" spans="1:240">
      <c r="A58" t="s">
        <v>623</v>
      </c>
      <c r="B58" s="242">
        <f t="shared" si="149"/>
        <v>49</v>
      </c>
      <c r="C58" s="242">
        <f>IF(COUNTIF($A$10:A57,A58)&gt;0,C57,C57+1)</f>
        <v>40</v>
      </c>
      <c r="D58" s="431" t="s">
        <v>741</v>
      </c>
      <c r="E58" s="428" t="s">
        <v>619</v>
      </c>
      <c r="F58" s="429"/>
      <c r="G58" s="430">
        <v>3973709</v>
      </c>
      <c r="H58" s="430">
        <v>3973709</v>
      </c>
      <c r="I58" s="244">
        <f>IF(B58="","",VLOOKUP(BF58,Inputs!$A$12:$J$15,10,FALSE))</f>
        <v>1</v>
      </c>
      <c r="J58" s="245">
        <f>IF(B58="","",G58*I58)</f>
        <v>3973709</v>
      </c>
      <c r="K58" s="245">
        <f>IF(B58="","",H58*I58)</f>
        <v>3973709</v>
      </c>
      <c r="L58" s="245">
        <f>IF(B58="","",IF(COUNTIF($CF58:$CY58,1)&gt;0,0,J58))</f>
        <v>3973709</v>
      </c>
      <c r="M58" s="245">
        <f>IF(B58="","",IF(COUNTIF($CF58:$CY58,1)&gt;0,0,K58))</f>
        <v>3973709</v>
      </c>
      <c r="N58" s="246" t="s">
        <v>246</v>
      </c>
      <c r="O58" s="246" t="s">
        <v>245</v>
      </c>
      <c r="P58" s="247">
        <f>IF(B58="","",IF(OR(O58="N/A",O58=""),0,YEARFRAC('Borrowing Base'!$J$4,'Loan List'!O58)*12))</f>
        <v>0</v>
      </c>
      <c r="Q58" s="246" t="s">
        <v>246</v>
      </c>
      <c r="R58" s="248">
        <v>0.98499999999999999</v>
      </c>
      <c r="S58" s="249" t="str">
        <f>IF(B58="","",IF(R58&lt;95%,"Yes","No"))</f>
        <v>No</v>
      </c>
      <c r="T58" s="248">
        <v>1</v>
      </c>
      <c r="U58" s="250">
        <f>IF(B58="","",IF(OR(Y58="First Lien",Y58="Split First Lien",Y58="Tier 1 Split Lien",Y58="Tier 2 Split Lien"),50%,30%))</f>
        <v>0.5</v>
      </c>
      <c r="V58" s="250">
        <f t="shared" si="10"/>
        <v>0.72499999999999998</v>
      </c>
      <c r="W58" s="251">
        <f t="shared" si="11"/>
        <v>3973709</v>
      </c>
      <c r="X58" s="246" t="s">
        <v>246</v>
      </c>
      <c r="Y58" s="252" t="s">
        <v>483</v>
      </c>
      <c r="Z58" s="252" t="s">
        <v>484</v>
      </c>
      <c r="AA58" s="253" t="s">
        <v>407</v>
      </c>
      <c r="AB58" s="253" t="s">
        <v>713</v>
      </c>
      <c r="AC58" s="254">
        <v>2.1443448575755388</v>
      </c>
      <c r="AD58" s="254">
        <v>2.2039700086250842</v>
      </c>
      <c r="AE58" s="254">
        <v>2.4671374699336108</v>
      </c>
      <c r="AF58" s="255">
        <v>0.53068349012799276</v>
      </c>
      <c r="AG58" s="256">
        <v>3.6613601204575734</v>
      </c>
      <c r="AH58" s="256">
        <v>3.6613601204575734</v>
      </c>
      <c r="AI58" s="256">
        <v>3.6613601204575734</v>
      </c>
      <c r="AJ58" s="256">
        <v>3.6613601204575734</v>
      </c>
      <c r="AK58" s="257">
        <v>12451853</v>
      </c>
      <c r="AL58" s="257">
        <v>12451853</v>
      </c>
      <c r="AM58" s="258">
        <v>45838</v>
      </c>
      <c r="AN58" s="245" t="str">
        <f>IF(C58="","",(IF(AK58&gt;=50000000,"Tier 1",(IF(OR(AK58&gt;=20000000,AND(AK58&gt;5000000,AC58&gt;=1.25,AF58&lt;=0.65)),"Tier 2","Tier 3")))))</f>
        <v>Tier 2</v>
      </c>
      <c r="AO58" s="243">
        <v>47613</v>
      </c>
      <c r="AP58" s="259">
        <f>IF(C58="","",DAYS360(Inputs!$J$8,AO58)/360)</f>
        <v>4.7111111111111112</v>
      </c>
      <c r="AQ58" s="259">
        <f>IF(C58="","",AP58)</f>
        <v>4.7111111111111112</v>
      </c>
      <c r="AR58" s="246" t="s">
        <v>246</v>
      </c>
      <c r="AS58" s="248">
        <v>0</v>
      </c>
      <c r="AT58" s="246" t="s">
        <v>64</v>
      </c>
      <c r="AU58" s="248">
        <v>0.01</v>
      </c>
      <c r="AV58" s="248">
        <v>5.7500000000000002E-2</v>
      </c>
      <c r="AW58" s="248">
        <v>4.3561999999999997E-2</v>
      </c>
      <c r="AX58" s="260">
        <f>IF(C58="","",MAX(AU58,AW58))</f>
        <v>4.3561999999999997E-2</v>
      </c>
      <c r="AY58" s="248">
        <v>0</v>
      </c>
      <c r="AZ58" s="248">
        <v>0</v>
      </c>
      <c r="BA58" s="248">
        <v>0</v>
      </c>
      <c r="BB58" s="407">
        <f>IF(B58="","",IF(AR58="No",AV58-AZ58,""))</f>
        <v>5.7500000000000002E-2</v>
      </c>
      <c r="BC58" s="407" t="str">
        <f>IF(B58="","",IF(AR58="Yes",AS58-BA58,""))</f>
        <v/>
      </c>
      <c r="BD58" s="252" t="s">
        <v>247</v>
      </c>
      <c r="BE58" s="261" t="s">
        <v>408</v>
      </c>
      <c r="BF58" s="252" t="s">
        <v>7</v>
      </c>
      <c r="BG58" s="252" t="s">
        <v>460</v>
      </c>
      <c r="BH58" s="246" t="s">
        <v>246</v>
      </c>
      <c r="BI58" s="408" t="str">
        <f t="shared" si="17"/>
        <v>No</v>
      </c>
      <c r="BJ58" s="408" t="str">
        <f>IF(B58="","",IF(OR(AND(AZ58&gt;0,BB58&lt;2.5%),AND(BA58&gt;0,BC58&lt;6%)),"Yes","No"))</f>
        <v>No</v>
      </c>
      <c r="BK58" s="246" t="s">
        <v>246</v>
      </c>
      <c r="BL58" s="246" t="s">
        <v>246</v>
      </c>
      <c r="BM58" s="246" t="s">
        <v>64</v>
      </c>
      <c r="BN58" s="246" t="s">
        <v>64</v>
      </c>
      <c r="BO58" s="246" t="s">
        <v>246</v>
      </c>
      <c r="BP58" s="246" t="s">
        <v>246</v>
      </c>
      <c r="BQ58" s="246" t="s">
        <v>246</v>
      </c>
      <c r="BR58" s="246" t="s">
        <v>246</v>
      </c>
      <c r="BS58" s="246" t="s">
        <v>246</v>
      </c>
      <c r="BT58" s="246" t="s">
        <v>246</v>
      </c>
      <c r="BU58" s="246" t="s">
        <v>246</v>
      </c>
      <c r="BV58" s="246" t="s">
        <v>246</v>
      </c>
      <c r="BW58" s="246" t="s">
        <v>246</v>
      </c>
      <c r="BX58" s="246" t="s">
        <v>246</v>
      </c>
      <c r="BY58" s="246" t="s">
        <v>246</v>
      </c>
      <c r="BZ58" s="246" t="s">
        <v>246</v>
      </c>
      <c r="CA58" s="246" t="s">
        <v>246</v>
      </c>
      <c r="CB58" s="246" t="s">
        <v>64</v>
      </c>
      <c r="CC58" s="262">
        <f>IF(B58="","",IF(AT58="No",((BB58+AW58)-$AZ$4),((BB58+AX58)-$AZ$4))*IF(DE58&gt;0,0,M58))</f>
        <v>229837.7390764</v>
      </c>
      <c r="CD58" s="262">
        <f>IF(B58="","",AY58*(L58-M58)*IF(DE58&gt;0,0,1))</f>
        <v>0</v>
      </c>
      <c r="CE58" s="263"/>
      <c r="CF58" s="263">
        <f t="shared" si="150"/>
        <v>0</v>
      </c>
      <c r="CG58" s="263">
        <f t="shared" si="151"/>
        <v>0</v>
      </c>
      <c r="CH58" s="263">
        <f t="shared" si="152"/>
        <v>0</v>
      </c>
      <c r="CI58" s="263">
        <f t="shared" si="153"/>
        <v>0</v>
      </c>
      <c r="CJ58" s="263">
        <f t="shared" si="154"/>
        <v>0</v>
      </c>
      <c r="CK58" s="263">
        <f t="shared" si="155"/>
        <v>0</v>
      </c>
      <c r="CL58" s="263">
        <f t="shared" si="156"/>
        <v>0</v>
      </c>
      <c r="CM58" s="263">
        <f t="shared" si="157"/>
        <v>0</v>
      </c>
      <c r="CN58" s="263">
        <f t="shared" si="158"/>
        <v>0</v>
      </c>
      <c r="CO58" s="263">
        <f t="shared" si="159"/>
        <v>0</v>
      </c>
      <c r="CP58" s="263">
        <f t="shared" si="160"/>
        <v>0</v>
      </c>
      <c r="CQ58" s="263">
        <f t="shared" si="161"/>
        <v>0</v>
      </c>
      <c r="CR58" s="263">
        <f t="shared" si="162"/>
        <v>0</v>
      </c>
      <c r="CS58" s="263">
        <f t="shared" si="163"/>
        <v>0</v>
      </c>
      <c r="CT58" s="263">
        <f t="shared" si="164"/>
        <v>0</v>
      </c>
      <c r="CU58" s="263">
        <f t="shared" si="165"/>
        <v>0</v>
      </c>
      <c r="CV58" s="263">
        <f t="shared" si="166"/>
        <v>0</v>
      </c>
      <c r="CW58" s="263">
        <f t="shared" si="167"/>
        <v>0</v>
      </c>
      <c r="CX58" s="263">
        <f t="shared" si="168"/>
        <v>0</v>
      </c>
      <c r="CY58" s="263">
        <f t="shared" si="169"/>
        <v>0</v>
      </c>
      <c r="CZ58" s="263">
        <f t="shared" si="170"/>
        <v>0</v>
      </c>
      <c r="DA58" s="263">
        <f t="shared" si="171"/>
        <v>0</v>
      </c>
      <c r="DB58" s="263">
        <f t="shared" si="172"/>
        <v>0</v>
      </c>
      <c r="DC58" s="263">
        <f t="shared" si="173"/>
        <v>0</v>
      </c>
      <c r="DD58" s="263">
        <f t="shared" si="174"/>
        <v>0</v>
      </c>
      <c r="DE58" s="263">
        <f t="shared" si="175"/>
        <v>0</v>
      </c>
      <c r="DF58" s="263">
        <f t="shared" si="176"/>
        <v>3973709</v>
      </c>
      <c r="DG58" s="263">
        <f t="shared" si="177"/>
        <v>0</v>
      </c>
      <c r="DH58" s="263">
        <f t="shared" si="178"/>
        <v>3973709</v>
      </c>
      <c r="DI58" s="263">
        <f t="shared" si="179"/>
        <v>3973709</v>
      </c>
      <c r="DJ58" s="263">
        <f t="shared" si="180"/>
        <v>0</v>
      </c>
      <c r="DK58" s="263">
        <f t="shared" si="181"/>
        <v>0</v>
      </c>
      <c r="DL58" s="263">
        <f t="shared" si="182"/>
        <v>0</v>
      </c>
      <c r="DM58" s="263">
        <f t="shared" si="183"/>
        <v>0</v>
      </c>
      <c r="DO58" s="264">
        <f t="shared" si="184"/>
        <v>0</v>
      </c>
      <c r="DP58" s="265">
        <f t="shared" si="185"/>
        <v>0</v>
      </c>
      <c r="DQ58" s="264">
        <f t="shared" si="186"/>
        <v>3973709</v>
      </c>
      <c r="DR58" s="264">
        <f t="shared" si="187"/>
        <v>0</v>
      </c>
      <c r="DS58" s="265">
        <f t="shared" si="188"/>
        <v>0</v>
      </c>
      <c r="DT58" s="264">
        <f t="shared" si="189"/>
        <v>3973709</v>
      </c>
      <c r="DU58" s="264">
        <f t="shared" si="190"/>
        <v>0</v>
      </c>
      <c r="DV58" s="265">
        <f t="shared" si="191"/>
        <v>0</v>
      </c>
      <c r="DW58" s="264">
        <f t="shared" si="192"/>
        <v>3973709</v>
      </c>
      <c r="DX58" s="264">
        <f t="shared" si="193"/>
        <v>0</v>
      </c>
      <c r="DY58" s="265">
        <f t="shared" si="194"/>
        <v>0</v>
      </c>
      <c r="DZ58" s="264">
        <f t="shared" si="195"/>
        <v>3973709</v>
      </c>
      <c r="EA58" s="264">
        <f t="shared" si="196"/>
        <v>0</v>
      </c>
      <c r="EB58" s="265">
        <f t="shared" si="197"/>
        <v>0</v>
      </c>
      <c r="EC58" s="264">
        <f t="shared" si="198"/>
        <v>3973709</v>
      </c>
      <c r="ED58" s="264">
        <f t="shared" si="199"/>
        <v>0</v>
      </c>
      <c r="EE58" s="265">
        <f t="shared" si="200"/>
        <v>0</v>
      </c>
      <c r="EF58" s="264">
        <f t="shared" si="201"/>
        <v>3973709</v>
      </c>
      <c r="EG58" s="264">
        <f t="shared" si="202"/>
        <v>0</v>
      </c>
      <c r="EH58" s="265">
        <f t="shared" si="203"/>
        <v>0</v>
      </c>
      <c r="EI58" s="264">
        <f t="shared" si="204"/>
        <v>3973709</v>
      </c>
      <c r="EJ58" s="264">
        <f t="shared" si="205"/>
        <v>0</v>
      </c>
      <c r="EK58" s="265">
        <f t="shared" si="206"/>
        <v>0</v>
      </c>
      <c r="EL58" s="264">
        <f t="shared" si="207"/>
        <v>3973709</v>
      </c>
      <c r="EM58" s="264">
        <f t="shared" si="208"/>
        <v>0</v>
      </c>
      <c r="EN58" s="265">
        <f t="shared" si="209"/>
        <v>0</v>
      </c>
      <c r="EO58" s="264">
        <f t="shared" si="210"/>
        <v>3973709</v>
      </c>
      <c r="EP58" s="264">
        <f t="shared" si="211"/>
        <v>0</v>
      </c>
      <c r="EQ58" s="265">
        <f t="shared" si="212"/>
        <v>0</v>
      </c>
      <c r="ER58" s="264">
        <f t="shared" si="213"/>
        <v>3973709</v>
      </c>
      <c r="ES58" s="264">
        <f t="shared" si="214"/>
        <v>0</v>
      </c>
      <c r="ET58" s="265">
        <f t="shared" si="215"/>
        <v>0</v>
      </c>
      <c r="EU58" s="264">
        <f t="shared" si="216"/>
        <v>3973709</v>
      </c>
      <c r="EV58" s="264">
        <f>IF(AND(BM58="Yes",OR(BN58="No",AND(BN58="Yes",Inputs!$J$8=Inputs!$J$17+75))),EU58,0)</f>
        <v>0</v>
      </c>
      <c r="EW58" s="265">
        <f t="shared" si="217"/>
        <v>0</v>
      </c>
      <c r="EX58" s="264">
        <f t="shared" si="218"/>
        <v>3973709</v>
      </c>
      <c r="EY58" s="264">
        <f t="shared" si="219"/>
        <v>0</v>
      </c>
      <c r="EZ58" s="265">
        <f t="shared" si="220"/>
        <v>0</v>
      </c>
      <c r="FA58" s="264">
        <f t="shared" si="221"/>
        <v>3973709</v>
      </c>
      <c r="FB58" s="264">
        <f t="shared" si="222"/>
        <v>0</v>
      </c>
      <c r="FC58" s="265">
        <f t="shared" si="223"/>
        <v>0</v>
      </c>
      <c r="FD58" s="264">
        <f t="shared" si="224"/>
        <v>3973709</v>
      </c>
      <c r="FE58" s="264">
        <f t="shared" si="225"/>
        <v>0</v>
      </c>
      <c r="FF58" s="265">
        <f t="shared" si="226"/>
        <v>0</v>
      </c>
      <c r="FG58" s="264">
        <f t="shared" si="227"/>
        <v>3973709</v>
      </c>
      <c r="FH58" s="264">
        <f t="shared" si="228"/>
        <v>3973709</v>
      </c>
      <c r="FI58" s="264">
        <f t="shared" si="229"/>
        <v>0</v>
      </c>
      <c r="FJ58" s="264">
        <f t="shared" si="230"/>
        <v>3973709</v>
      </c>
      <c r="FK58" s="264">
        <f t="shared" si="231"/>
        <v>3973709</v>
      </c>
      <c r="FL58" s="264">
        <f t="shared" si="232"/>
        <v>0</v>
      </c>
      <c r="FM58" s="264">
        <f t="shared" si="233"/>
        <v>3973709</v>
      </c>
      <c r="FN58" s="264">
        <f t="shared" si="234"/>
        <v>3973709</v>
      </c>
      <c r="FO58" s="264">
        <f t="shared" si="235"/>
        <v>0</v>
      </c>
      <c r="FP58" s="264">
        <f t="shared" si="236"/>
        <v>3973709</v>
      </c>
      <c r="FQ58" s="264">
        <f t="shared" si="237"/>
        <v>0</v>
      </c>
      <c r="FR58" s="265">
        <f t="shared" si="238"/>
        <v>0</v>
      </c>
      <c r="FS58" s="264">
        <f t="shared" si="239"/>
        <v>3973709</v>
      </c>
      <c r="FT58" s="264">
        <f t="shared" si="240"/>
        <v>3973709</v>
      </c>
      <c r="FU58" s="265">
        <f t="shared" si="241"/>
        <v>0</v>
      </c>
      <c r="FV58" s="264">
        <f t="shared" si="242"/>
        <v>3973709</v>
      </c>
      <c r="FW58" s="264">
        <f t="shared" si="243"/>
        <v>0</v>
      </c>
      <c r="FX58" s="264">
        <f t="shared" si="244"/>
        <v>0</v>
      </c>
      <c r="FY58" s="264">
        <f t="shared" si="245"/>
        <v>0</v>
      </c>
      <c r="FZ58" s="264">
        <f t="shared" si="246"/>
        <v>0</v>
      </c>
      <c r="GA58" s="265">
        <f t="shared" si="296"/>
        <v>0</v>
      </c>
      <c r="GB58" s="264">
        <f t="shared" si="297"/>
        <v>3973709</v>
      </c>
      <c r="GC58" s="264">
        <f t="shared" si="247"/>
        <v>3973709</v>
      </c>
      <c r="GD58" s="266">
        <f t="shared" si="248"/>
        <v>2880939.0249999999</v>
      </c>
      <c r="GE58" s="138">
        <f t="shared" si="249"/>
        <v>0.72499999999999998</v>
      </c>
      <c r="GF58" s="267">
        <f t="shared" si="250"/>
        <v>31</v>
      </c>
      <c r="GG58" s="264">
        <f t="array" ref="GG58">IF(SUM(IF(IC$9:IC57=IC58,1,0))&gt;0,0,SUMIF($IC$10:$IC$406,IC58,$FJ$10:$FJ$406))</f>
        <v>0</v>
      </c>
      <c r="GH58" s="268">
        <f t="shared" si="251"/>
        <v>0</v>
      </c>
      <c r="GI58" s="137">
        <f t="shared" si="126"/>
        <v>49</v>
      </c>
      <c r="GJ58" s="269">
        <f t="shared" si="252"/>
        <v>0</v>
      </c>
      <c r="GK58" s="269">
        <f t="shared" si="253"/>
        <v>0</v>
      </c>
      <c r="GL58" s="163">
        <f t="shared" si="254"/>
        <v>0</v>
      </c>
      <c r="GM58" s="137">
        <f t="array" ref="GM58">IF(GJ58=0,0,LARGE(IF($GG$10:$GG$406=GJ58,$GF$10:$GF$406,0),COUNTIF($GJ$10:$GJ$406,GJ58)-COUNTIF(GJ$9:GJ57,GJ58)))</f>
        <v>0</v>
      </c>
      <c r="GN58" s="270">
        <f t="shared" si="255"/>
        <v>0</v>
      </c>
      <c r="GP58" s="137">
        <f>IF(C58="","",IF(ISERROR(MATCH(C58,C$10:C57,0)),MAX(GP$10:GP57)+1,INDEX(GP$10:GP57,MATCH(C58,C$10:C57,0))))</f>
        <v>40</v>
      </c>
      <c r="GQ58" s="264">
        <f>IF(COUNTIF($A$10:A58,A58)&lt;=1,SUMIF($A$10:$A$406,A58,$FH$10:$FH$406),0)</f>
        <v>0</v>
      </c>
      <c r="GR58" s="137">
        <f t="shared" si="130"/>
        <v>49</v>
      </c>
      <c r="GS58" s="269">
        <f t="shared" si="256"/>
        <v>5145694</v>
      </c>
      <c r="GT58" s="269">
        <f t="shared" si="257"/>
        <v>50964284.172430128</v>
      </c>
      <c r="GU58" s="163">
        <f t="shared" si="258"/>
        <v>0</v>
      </c>
      <c r="GV58" s="137">
        <f t="array" ref="GV58">IF(GS58=0,0,LARGE(IF($GQ$10:$GQ$406=GS58,$GP$10:$GP$406,0),COUNTIF($GS$10:$GS$406,GS58)-COUNTIF(GS$9:GS57,GS58)))</f>
        <v>73</v>
      </c>
      <c r="GW58" s="270">
        <f t="shared" si="259"/>
        <v>0</v>
      </c>
      <c r="GX58" s="270"/>
      <c r="GY58" s="137">
        <f>IF(C58="","",IF(ISERROR(MATCH(C58,C$10:C57,0)),MAX(GP$10:GP57)+1,INDEX(GP$10:GP57,MATCH(C58,C$10:C57,0))))</f>
        <v>40</v>
      </c>
      <c r="GZ58" s="264">
        <f>IF(COUNTIF($A$10:A58,A58)&lt;=1,SUMIF($A$10:$A$406,A58,$FH$10:$FH$406),0)</f>
        <v>0</v>
      </c>
      <c r="HA58" s="137">
        <f t="shared" si="134"/>
        <v>49</v>
      </c>
      <c r="HB58" s="269">
        <f t="shared" si="260"/>
        <v>5145694</v>
      </c>
      <c r="HC58" s="414" t="s">
        <v>622</v>
      </c>
      <c r="HD58" s="163">
        <f t="shared" si="261"/>
        <v>0</v>
      </c>
      <c r="HE58" s="137">
        <f t="array" ref="HE58">IF(HB58=0,0,LARGE(IF($GZ$10:$GZ$406=HB58,$GY$10:$GY$406,0),COUNTIF($HB$10:$HB$406,HB58)-COUNTIF(HB$9:HB57,HB58)))</f>
        <v>73</v>
      </c>
      <c r="HF58" s="270">
        <f t="shared" si="262"/>
        <v>0</v>
      </c>
      <c r="HG58" s="270"/>
      <c r="HH58" s="268">
        <f t="shared" si="263"/>
        <v>0</v>
      </c>
      <c r="HI58" s="271">
        <v>0</v>
      </c>
      <c r="HJ58" s="264">
        <f t="shared" si="264"/>
        <v>0</v>
      </c>
      <c r="HL58" s="137">
        <f t="shared" si="265"/>
        <v>49</v>
      </c>
      <c r="HM58" s="264">
        <f t="shared" si="300"/>
        <v>4417611</v>
      </c>
      <c r="HN58"/>
      <c r="HO58" s="199">
        <f t="shared" si="301"/>
        <v>3973709</v>
      </c>
      <c r="HP58" s="199">
        <f t="shared" si="302"/>
        <v>3973709</v>
      </c>
      <c r="HQ58" s="199" t="str">
        <f t="shared" si="303"/>
        <v/>
      </c>
      <c r="HR58" s="199" t="str">
        <f t="shared" si="304"/>
        <v/>
      </c>
      <c r="HS58" s="199" t="str">
        <f t="shared" si="119"/>
        <v/>
      </c>
      <c r="HT58" s="199" t="str">
        <f t="shared" si="305"/>
        <v/>
      </c>
      <c r="HU58" s="199" t="str">
        <f t="shared" si="306"/>
        <v/>
      </c>
      <c r="HV58" s="200">
        <f t="shared" si="307"/>
        <v>0</v>
      </c>
      <c r="HW58" s="272">
        <f t="shared" si="308"/>
        <v>1</v>
      </c>
      <c r="HX58" s="200" t="str">
        <f t="shared" si="309"/>
        <v/>
      </c>
      <c r="HY58" s="200">
        <f t="shared" si="310"/>
        <v>0</v>
      </c>
      <c r="HZ58" s="200" t="str">
        <f t="shared" si="4"/>
        <v/>
      </c>
      <c r="IA58" s="200" t="str">
        <f t="shared" si="311"/>
        <v/>
      </c>
      <c r="IB58" s="200" t="str">
        <f t="shared" si="312"/>
        <v/>
      </c>
      <c r="IC58" s="273">
        <f>IF(C58="","",INDEX(Lookups!$E$2:$E$69,MATCH('Loan List'!BE58,Lookups!$F$2:$F$69,0)))</f>
        <v>31</v>
      </c>
      <c r="ID58" t="b">
        <f t="shared" si="313"/>
        <v>1</v>
      </c>
      <c r="IF58" s="346" t="str">
        <f>IF(B58="","",IF(AND(Y58="Second Lien",OR(DA58=1,DB58=1,DC58=1)),50%,IF(DA58=1,90%,IF(DB58=1,80%,IF(DC58=1,65%,"No Initial Haircut")))))</f>
        <v>No Initial Haircut</v>
      </c>
    </row>
    <row r="59" spans="1:240">
      <c r="A59" t="s">
        <v>742</v>
      </c>
      <c r="B59" s="242">
        <f t="shared" si="149"/>
        <v>50</v>
      </c>
      <c r="C59" s="242">
        <f>IF(COUNTIF($A$10:A58,A59)&gt;0,C58,C58+1)</f>
        <v>41</v>
      </c>
      <c r="D59" s="431" t="s">
        <v>742</v>
      </c>
      <c r="E59" s="428" t="s">
        <v>818</v>
      </c>
      <c r="F59" s="429"/>
      <c r="G59" s="430">
        <v>1984831</v>
      </c>
      <c r="H59" s="430">
        <v>1984831</v>
      </c>
      <c r="I59" s="244">
        <f>IF(B59="","",VLOOKUP(BF59,Inputs!$A$12:$J$15,10,FALSE))</f>
        <v>1</v>
      </c>
      <c r="J59" s="245">
        <f t="shared" si="5"/>
        <v>1984831</v>
      </c>
      <c r="K59" s="245">
        <f t="shared" si="6"/>
        <v>1984831</v>
      </c>
      <c r="L59" s="245">
        <f t="shared" si="7"/>
        <v>1984831</v>
      </c>
      <c r="M59" s="245">
        <f t="shared" si="8"/>
        <v>1984831</v>
      </c>
      <c r="N59" s="246" t="s">
        <v>246</v>
      </c>
      <c r="O59" s="246" t="s">
        <v>245</v>
      </c>
      <c r="P59" s="247">
        <f>IF(B59="","",IF(OR(O59="N/A",O59=""),0,YEARFRAC('Borrowing Base'!$J$4,'Loan List'!O59)*12))</f>
        <v>0</v>
      </c>
      <c r="Q59" s="246" t="s">
        <v>246</v>
      </c>
      <c r="R59" s="248">
        <v>1.0024999999999999</v>
      </c>
      <c r="S59" s="249" t="str">
        <f t="shared" si="1"/>
        <v>No</v>
      </c>
      <c r="T59" s="248">
        <v>1.0024999999999999</v>
      </c>
      <c r="U59" s="250">
        <f t="shared" si="9"/>
        <v>0.5</v>
      </c>
      <c r="V59" s="250">
        <f t="shared" si="10"/>
        <v>0.72499999999999998</v>
      </c>
      <c r="W59" s="251">
        <f t="shared" si="11"/>
        <v>1984831</v>
      </c>
      <c r="X59" s="246" t="s">
        <v>246</v>
      </c>
      <c r="Y59" s="252" t="s">
        <v>483</v>
      </c>
      <c r="Z59" s="252" t="s">
        <v>484</v>
      </c>
      <c r="AA59" s="253" t="s">
        <v>407</v>
      </c>
      <c r="AB59" s="253" t="s">
        <v>713</v>
      </c>
      <c r="AC59" s="254">
        <v>2.1080966958724798</v>
      </c>
      <c r="AD59" s="254">
        <v>2.523557149893048</v>
      </c>
      <c r="AE59" s="254">
        <v>2.9887341138750405</v>
      </c>
      <c r="AF59" s="255">
        <v>0.20799999999999999</v>
      </c>
      <c r="AG59" s="256">
        <v>3.630445668502754</v>
      </c>
      <c r="AH59" s="256">
        <v>3.630445668502754</v>
      </c>
      <c r="AI59" s="256">
        <v>2.3445560300838091</v>
      </c>
      <c r="AJ59" s="256">
        <v>2.3445560300838091</v>
      </c>
      <c r="AK59" s="257">
        <v>11982000.000000002</v>
      </c>
      <c r="AL59" s="257">
        <v>35835356</v>
      </c>
      <c r="AM59" s="258">
        <v>45838</v>
      </c>
      <c r="AN59" s="245" t="str">
        <f t="shared" si="12"/>
        <v>Tier 2</v>
      </c>
      <c r="AO59" s="243">
        <v>47109</v>
      </c>
      <c r="AP59" s="259">
        <f>IF(C59="","",DAYS360(Inputs!$J$8,AO59)/360)</f>
        <v>3.3277777777777779</v>
      </c>
      <c r="AQ59" s="259">
        <f t="shared" si="13"/>
        <v>3.3277777777777779</v>
      </c>
      <c r="AR59" s="246" t="s">
        <v>246</v>
      </c>
      <c r="AS59" s="248">
        <v>0</v>
      </c>
      <c r="AT59" s="246" t="s">
        <v>64</v>
      </c>
      <c r="AU59" s="248">
        <v>0.01</v>
      </c>
      <c r="AV59" s="248">
        <v>5.7500000000000002E-2</v>
      </c>
      <c r="AW59" s="248">
        <v>4.3561999999999997E-2</v>
      </c>
      <c r="AX59" s="260">
        <f t="shared" si="14"/>
        <v>4.3561999999999997E-2</v>
      </c>
      <c r="AY59" s="248">
        <v>0</v>
      </c>
      <c r="AZ59" s="248">
        <v>0</v>
      </c>
      <c r="BA59" s="248">
        <v>0</v>
      </c>
      <c r="BB59" s="407">
        <f t="shared" si="15"/>
        <v>5.7500000000000002E-2</v>
      </c>
      <c r="BC59" s="407" t="str">
        <f t="shared" si="16"/>
        <v/>
      </c>
      <c r="BD59" s="252" t="s">
        <v>247</v>
      </c>
      <c r="BE59" s="261" t="s">
        <v>391</v>
      </c>
      <c r="BF59" s="252" t="s">
        <v>7</v>
      </c>
      <c r="BG59" s="252" t="s">
        <v>460</v>
      </c>
      <c r="BH59" s="246" t="s">
        <v>246</v>
      </c>
      <c r="BI59" s="408" t="str">
        <f t="shared" si="17"/>
        <v>No</v>
      </c>
      <c r="BJ59" s="408" t="str">
        <f t="shared" si="18"/>
        <v>No</v>
      </c>
      <c r="BK59" s="246" t="s">
        <v>246</v>
      </c>
      <c r="BL59" s="246" t="s">
        <v>246</v>
      </c>
      <c r="BM59" s="246" t="s">
        <v>64</v>
      </c>
      <c r="BN59" s="246" t="s">
        <v>64</v>
      </c>
      <c r="BO59" s="246" t="s">
        <v>246</v>
      </c>
      <c r="BP59" s="246" t="s">
        <v>246</v>
      </c>
      <c r="BQ59" s="246" t="s">
        <v>246</v>
      </c>
      <c r="BR59" s="246" t="s">
        <v>246</v>
      </c>
      <c r="BS59" s="246" t="s">
        <v>246</v>
      </c>
      <c r="BT59" s="246" t="s">
        <v>246</v>
      </c>
      <c r="BU59" s="246" t="s">
        <v>246</v>
      </c>
      <c r="BV59" s="246" t="s">
        <v>246</v>
      </c>
      <c r="BW59" s="246" t="s">
        <v>246</v>
      </c>
      <c r="BX59" s="246" t="s">
        <v>246</v>
      </c>
      <c r="BY59" s="246" t="s">
        <v>246</v>
      </c>
      <c r="BZ59" s="246" t="s">
        <v>246</v>
      </c>
      <c r="CA59" s="246" t="s">
        <v>246</v>
      </c>
      <c r="CB59" s="246" t="s">
        <v>64</v>
      </c>
      <c r="CC59" s="262">
        <f t="shared" si="19"/>
        <v>114801.8311076</v>
      </c>
      <c r="CD59" s="262">
        <f t="shared" si="20"/>
        <v>0</v>
      </c>
      <c r="CE59" s="263"/>
      <c r="CF59" s="263">
        <f t="shared" si="150"/>
        <v>0</v>
      </c>
      <c r="CG59" s="263">
        <f t="shared" si="151"/>
        <v>0</v>
      </c>
      <c r="CH59" s="263">
        <f t="shared" si="152"/>
        <v>0</v>
      </c>
      <c r="CI59" s="263">
        <f t="shared" si="153"/>
        <v>0</v>
      </c>
      <c r="CJ59" s="263">
        <f t="shared" si="154"/>
        <v>0</v>
      </c>
      <c r="CK59" s="263">
        <f t="shared" si="155"/>
        <v>0</v>
      </c>
      <c r="CL59" s="263">
        <f t="shared" si="156"/>
        <v>0</v>
      </c>
      <c r="CM59" s="263">
        <f t="shared" si="157"/>
        <v>0</v>
      </c>
      <c r="CN59" s="263">
        <f t="shared" si="158"/>
        <v>0</v>
      </c>
      <c r="CO59" s="263">
        <f t="shared" si="159"/>
        <v>0</v>
      </c>
      <c r="CP59" s="263">
        <f t="shared" si="160"/>
        <v>0</v>
      </c>
      <c r="CQ59" s="263">
        <f t="shared" si="161"/>
        <v>0</v>
      </c>
      <c r="CR59" s="263">
        <f t="shared" si="162"/>
        <v>0</v>
      </c>
      <c r="CS59" s="263">
        <f t="shared" si="163"/>
        <v>0</v>
      </c>
      <c r="CT59" s="263">
        <f t="shared" si="164"/>
        <v>0</v>
      </c>
      <c r="CU59" s="263">
        <f t="shared" si="165"/>
        <v>0</v>
      </c>
      <c r="CV59" s="263">
        <f t="shared" si="166"/>
        <v>0</v>
      </c>
      <c r="CW59" s="263">
        <f t="shared" si="167"/>
        <v>0</v>
      </c>
      <c r="CX59" s="263">
        <f t="shared" si="168"/>
        <v>0</v>
      </c>
      <c r="CY59" s="263">
        <f t="shared" si="169"/>
        <v>0</v>
      </c>
      <c r="CZ59" s="263">
        <f t="shared" si="170"/>
        <v>0</v>
      </c>
      <c r="DA59" s="263">
        <f t="shared" si="171"/>
        <v>0</v>
      </c>
      <c r="DB59" s="263">
        <f t="shared" si="172"/>
        <v>0</v>
      </c>
      <c r="DC59" s="263">
        <f t="shared" si="173"/>
        <v>0</v>
      </c>
      <c r="DD59" s="263">
        <f t="shared" si="174"/>
        <v>0</v>
      </c>
      <c r="DE59" s="263">
        <f t="shared" si="175"/>
        <v>0</v>
      </c>
      <c r="DF59" s="263">
        <f t="shared" si="176"/>
        <v>1984831</v>
      </c>
      <c r="DG59" s="263">
        <f t="shared" si="177"/>
        <v>0</v>
      </c>
      <c r="DH59" s="263">
        <f t="shared" si="178"/>
        <v>1984831</v>
      </c>
      <c r="DI59" s="263">
        <f t="shared" si="179"/>
        <v>1984831</v>
      </c>
      <c r="DJ59" s="263">
        <f t="shared" si="180"/>
        <v>0</v>
      </c>
      <c r="DK59" s="263">
        <f t="shared" si="181"/>
        <v>0</v>
      </c>
      <c r="DL59" s="263">
        <f t="shared" si="182"/>
        <v>0</v>
      </c>
      <c r="DM59" s="263">
        <f t="shared" si="183"/>
        <v>0</v>
      </c>
      <c r="DO59" s="264">
        <f t="shared" si="184"/>
        <v>0</v>
      </c>
      <c r="DP59" s="265">
        <f t="shared" si="185"/>
        <v>0</v>
      </c>
      <c r="DQ59" s="264">
        <f t="shared" si="186"/>
        <v>1984831</v>
      </c>
      <c r="DR59" s="264">
        <f t="shared" si="187"/>
        <v>0</v>
      </c>
      <c r="DS59" s="265">
        <f t="shared" si="188"/>
        <v>0</v>
      </c>
      <c r="DT59" s="264">
        <f t="shared" si="189"/>
        <v>1984831</v>
      </c>
      <c r="DU59" s="264">
        <f t="shared" si="190"/>
        <v>0</v>
      </c>
      <c r="DV59" s="265">
        <f t="shared" si="191"/>
        <v>0</v>
      </c>
      <c r="DW59" s="264">
        <f t="shared" si="192"/>
        <v>1984831</v>
      </c>
      <c r="DX59" s="264">
        <f t="shared" si="193"/>
        <v>0</v>
      </c>
      <c r="DY59" s="265">
        <f t="shared" si="194"/>
        <v>0</v>
      </c>
      <c r="DZ59" s="264">
        <f t="shared" si="195"/>
        <v>1984831</v>
      </c>
      <c r="EA59" s="264">
        <f t="shared" si="196"/>
        <v>0</v>
      </c>
      <c r="EB59" s="265">
        <f t="shared" si="197"/>
        <v>0</v>
      </c>
      <c r="EC59" s="264">
        <f t="shared" si="198"/>
        <v>1984831</v>
      </c>
      <c r="ED59" s="264">
        <f t="shared" si="199"/>
        <v>0</v>
      </c>
      <c r="EE59" s="265">
        <f t="shared" si="200"/>
        <v>0</v>
      </c>
      <c r="EF59" s="264">
        <f t="shared" si="201"/>
        <v>1984831</v>
      </c>
      <c r="EG59" s="264">
        <f t="shared" si="202"/>
        <v>0</v>
      </c>
      <c r="EH59" s="265">
        <f t="shared" si="203"/>
        <v>0</v>
      </c>
      <c r="EI59" s="264">
        <f t="shared" si="204"/>
        <v>1984831</v>
      </c>
      <c r="EJ59" s="264">
        <f t="shared" si="205"/>
        <v>0</v>
      </c>
      <c r="EK59" s="265">
        <f t="shared" si="206"/>
        <v>0</v>
      </c>
      <c r="EL59" s="264">
        <f t="shared" si="207"/>
        <v>1984831</v>
      </c>
      <c r="EM59" s="264">
        <f t="shared" si="208"/>
        <v>0</v>
      </c>
      <c r="EN59" s="265">
        <f t="shared" si="209"/>
        <v>0</v>
      </c>
      <c r="EO59" s="264">
        <f t="shared" si="210"/>
        <v>1984831</v>
      </c>
      <c r="EP59" s="264">
        <f t="shared" si="211"/>
        <v>0</v>
      </c>
      <c r="EQ59" s="265">
        <f t="shared" si="212"/>
        <v>0</v>
      </c>
      <c r="ER59" s="264">
        <f t="shared" si="213"/>
        <v>1984831</v>
      </c>
      <c r="ES59" s="264">
        <f t="shared" si="214"/>
        <v>0</v>
      </c>
      <c r="ET59" s="265">
        <f t="shared" si="215"/>
        <v>0</v>
      </c>
      <c r="EU59" s="264">
        <f t="shared" si="216"/>
        <v>1984831</v>
      </c>
      <c r="EV59" s="264">
        <f>IF(AND(BM59="Yes",OR(BN59="No",AND(BN59="Yes",Inputs!$J$8=Inputs!$J$17+75))),EU59,0)</f>
        <v>0</v>
      </c>
      <c r="EW59" s="265">
        <f t="shared" si="217"/>
        <v>0</v>
      </c>
      <c r="EX59" s="264">
        <f t="shared" si="218"/>
        <v>1984831</v>
      </c>
      <c r="EY59" s="264">
        <f t="shared" si="219"/>
        <v>0</v>
      </c>
      <c r="EZ59" s="265">
        <f t="shared" si="220"/>
        <v>0</v>
      </c>
      <c r="FA59" s="264">
        <f t="shared" si="221"/>
        <v>1984831</v>
      </c>
      <c r="FB59" s="264">
        <f t="shared" si="222"/>
        <v>0</v>
      </c>
      <c r="FC59" s="265">
        <f t="shared" si="223"/>
        <v>0</v>
      </c>
      <c r="FD59" s="264">
        <f t="shared" si="224"/>
        <v>1984831</v>
      </c>
      <c r="FE59" s="264">
        <f t="shared" si="225"/>
        <v>0</v>
      </c>
      <c r="FF59" s="265">
        <f t="shared" si="226"/>
        <v>0</v>
      </c>
      <c r="FG59" s="264">
        <f t="shared" si="227"/>
        <v>1984831</v>
      </c>
      <c r="FH59" s="264">
        <f t="shared" si="228"/>
        <v>1984831</v>
      </c>
      <c r="FI59" s="264">
        <f t="shared" si="229"/>
        <v>0</v>
      </c>
      <c r="FJ59" s="264">
        <f t="shared" si="230"/>
        <v>1984831</v>
      </c>
      <c r="FK59" s="264">
        <f t="shared" si="231"/>
        <v>1984831</v>
      </c>
      <c r="FL59" s="264">
        <f t="shared" si="232"/>
        <v>0</v>
      </c>
      <c r="FM59" s="264">
        <f t="shared" si="233"/>
        <v>1984831</v>
      </c>
      <c r="FN59" s="264">
        <f t="shared" si="234"/>
        <v>1984831</v>
      </c>
      <c r="FO59" s="264">
        <f t="shared" si="235"/>
        <v>0</v>
      </c>
      <c r="FP59" s="264">
        <f t="shared" si="236"/>
        <v>1984831</v>
      </c>
      <c r="FQ59" s="264">
        <f t="shared" si="237"/>
        <v>0</v>
      </c>
      <c r="FR59" s="265">
        <f t="shared" si="238"/>
        <v>0</v>
      </c>
      <c r="FS59" s="264">
        <f t="shared" si="239"/>
        <v>1984831</v>
      </c>
      <c r="FT59" s="264">
        <f t="shared" si="240"/>
        <v>0</v>
      </c>
      <c r="FU59" s="265">
        <f t="shared" si="241"/>
        <v>0</v>
      </c>
      <c r="FV59" s="264">
        <f t="shared" si="242"/>
        <v>1984831</v>
      </c>
      <c r="FW59" s="264">
        <f t="shared" si="243"/>
        <v>0</v>
      </c>
      <c r="FX59" s="264">
        <f t="shared" si="244"/>
        <v>0</v>
      </c>
      <c r="FY59" s="264">
        <f t="shared" si="245"/>
        <v>0</v>
      </c>
      <c r="FZ59" s="264">
        <f t="shared" si="246"/>
        <v>0</v>
      </c>
      <c r="GA59" s="265">
        <f t="shared" si="296"/>
        <v>0</v>
      </c>
      <c r="GB59" s="264">
        <f t="shared" si="297"/>
        <v>1984831</v>
      </c>
      <c r="GC59" s="264">
        <f t="shared" si="247"/>
        <v>1984831</v>
      </c>
      <c r="GD59" s="266">
        <f t="shared" si="248"/>
        <v>1439002.4749999999</v>
      </c>
      <c r="GE59" s="138">
        <f t="shared" si="249"/>
        <v>0.72499999999999998</v>
      </c>
      <c r="GF59" s="267">
        <f t="shared" si="250"/>
        <v>24</v>
      </c>
      <c r="GG59" s="264">
        <f t="array" ref="GG59">IF(SUM(IF(IC$9:IC58=IC59,1,0))&gt;0,0,SUMIF($IC$10:$IC$406,IC59,$FJ$10:$FJ$406))</f>
        <v>3466081</v>
      </c>
      <c r="GH59" s="268">
        <f t="shared" si="251"/>
        <v>3466081</v>
      </c>
      <c r="GI59" s="137">
        <f t="shared" si="126"/>
        <v>50</v>
      </c>
      <c r="GJ59" s="269">
        <f t="shared" si="252"/>
        <v>0</v>
      </c>
      <c r="GK59" s="269">
        <f t="shared" si="253"/>
        <v>0</v>
      </c>
      <c r="GL59" s="163">
        <f t="shared" si="254"/>
        <v>0</v>
      </c>
      <c r="GM59" s="137">
        <f t="array" ref="GM59">IF(GJ59=0,0,LARGE(IF($GG$10:$GG$406=GJ59,$GF$10:$GF$406,0),COUNTIF($GJ$10:$GJ$406,GJ59)-COUNTIF(GJ$9:GJ58,GJ59)))</f>
        <v>0</v>
      </c>
      <c r="GN59" s="270">
        <f t="shared" si="255"/>
        <v>0</v>
      </c>
      <c r="GP59" s="137">
        <f>IF(C59="","",IF(ISERROR(MATCH(C59,C$10:C58,0)),MAX(GP$10:GP58)+1,INDEX(GP$10:GP58,MATCH(C59,C$10:C58,0))))</f>
        <v>41</v>
      </c>
      <c r="GQ59" s="264">
        <f>IF(COUNTIF($A$10:A59,A59)&lt;=1,SUMIF($A$10:$A$406,A59,$FH$10:$FH$406),0)</f>
        <v>1984831</v>
      </c>
      <c r="GR59" s="137">
        <f t="shared" si="130"/>
        <v>50</v>
      </c>
      <c r="GS59" s="269">
        <f t="shared" si="256"/>
        <v>5116017</v>
      </c>
      <c r="GT59" s="269">
        <f t="shared" si="257"/>
        <v>50964284.172430128</v>
      </c>
      <c r="GU59" s="163">
        <f t="shared" si="258"/>
        <v>0</v>
      </c>
      <c r="GV59" s="137">
        <f t="array" ref="GV59">IF(GS59=0,0,LARGE(IF($GQ$10:$GQ$406=GS59,$GP$10:$GP$406,0),COUNTIF($GS$10:$GS$406,GS59)-COUNTIF(GS$9:GS58,GS59)))</f>
        <v>55</v>
      </c>
      <c r="GW59" s="270">
        <f t="shared" si="259"/>
        <v>0</v>
      </c>
      <c r="GX59" s="270"/>
      <c r="GY59" s="137">
        <f>IF(C59="","",IF(ISERROR(MATCH(C59,C$10:C58,0)),MAX(GP$10:GP58)+1,INDEX(GP$10:GP58,MATCH(C59,C$10:C58,0))))</f>
        <v>41</v>
      </c>
      <c r="GZ59" s="264">
        <f>IF(COUNTIF($A$10:A59,A59)&lt;=1,SUMIF($A$10:$A$406,A59,$FH$10:$FH$406),0)</f>
        <v>1984831</v>
      </c>
      <c r="HA59" s="137">
        <f t="shared" si="134"/>
        <v>50</v>
      </c>
      <c r="HB59" s="269">
        <f t="shared" si="260"/>
        <v>5116017</v>
      </c>
      <c r="HC59" s="414" t="s">
        <v>622</v>
      </c>
      <c r="HD59" s="163">
        <f t="shared" si="261"/>
        <v>0</v>
      </c>
      <c r="HE59" s="137">
        <f t="array" ref="HE59">IF(HB59=0,0,LARGE(IF($GZ$10:$GZ$406=HB59,$GY$10:$GY$406,0),COUNTIF($HB$10:$HB$406,HB59)-COUNTIF(HB$9:HB58,HB59)))</f>
        <v>55</v>
      </c>
      <c r="HF59" s="270">
        <f t="shared" si="262"/>
        <v>0</v>
      </c>
      <c r="HG59" s="270"/>
      <c r="HH59" s="268">
        <f t="shared" si="263"/>
        <v>0</v>
      </c>
      <c r="HI59" s="271">
        <v>0</v>
      </c>
      <c r="HJ59" s="264">
        <f t="shared" si="264"/>
        <v>0</v>
      </c>
      <c r="HL59" s="137">
        <f t="shared" si="265"/>
        <v>50</v>
      </c>
      <c r="HM59" s="264">
        <f t="shared" si="300"/>
        <v>2095575.5</v>
      </c>
      <c r="HN59"/>
      <c r="HO59" s="199">
        <f t="shared" si="301"/>
        <v>1984831</v>
      </c>
      <c r="HP59" s="199">
        <f t="shared" si="302"/>
        <v>1984831</v>
      </c>
      <c r="HQ59" s="199" t="str">
        <f t="shared" si="303"/>
        <v/>
      </c>
      <c r="HR59" s="199" t="str">
        <f t="shared" si="304"/>
        <v/>
      </c>
      <c r="HS59" s="199" t="str">
        <f t="shared" si="119"/>
        <v/>
      </c>
      <c r="HT59" s="199" t="str">
        <f t="shared" si="305"/>
        <v/>
      </c>
      <c r="HU59" s="199" t="str">
        <f t="shared" si="306"/>
        <v/>
      </c>
      <c r="HV59" s="200">
        <f t="shared" si="307"/>
        <v>0</v>
      </c>
      <c r="HW59" s="272">
        <f t="shared" si="308"/>
        <v>1</v>
      </c>
      <c r="HX59" s="200" t="str">
        <f t="shared" si="309"/>
        <v/>
      </c>
      <c r="HY59" s="200">
        <f t="shared" si="310"/>
        <v>0</v>
      </c>
      <c r="HZ59" s="200" t="str">
        <f t="shared" si="4"/>
        <v/>
      </c>
      <c r="IA59" s="200" t="str">
        <f t="shared" si="311"/>
        <v/>
      </c>
      <c r="IB59" s="200" t="str">
        <f t="shared" si="312"/>
        <v/>
      </c>
      <c r="IC59" s="273">
        <f>IF(C59="","",INDEX(Lookups!$E$2:$E$69,MATCH('Loan List'!BE59,Lookups!$F$2:$F$69,0)))</f>
        <v>24</v>
      </c>
      <c r="ID59" t="b">
        <f t="shared" si="313"/>
        <v>1</v>
      </c>
      <c r="IF59" s="346" t="str">
        <f t="shared" si="121"/>
        <v>No Initial Haircut</v>
      </c>
    </row>
    <row r="60" spans="1:240">
      <c r="A60" t="s">
        <v>743</v>
      </c>
      <c r="B60" s="242">
        <f t="shared" si="149"/>
        <v>51</v>
      </c>
      <c r="C60" s="242">
        <f>IF(COUNTIF($A$10:A59,A60)&gt;0,C59,C59+1)</f>
        <v>42</v>
      </c>
      <c r="D60" s="431" t="s">
        <v>743</v>
      </c>
      <c r="E60" s="428" t="s">
        <v>819</v>
      </c>
      <c r="F60" s="429"/>
      <c r="G60" s="430">
        <v>980000</v>
      </c>
      <c r="H60" s="430">
        <v>980000</v>
      </c>
      <c r="I60" s="244">
        <f>IF(B60="","",VLOOKUP(BF60,Inputs!$A$12:$J$15,10,FALSE))</f>
        <v>1</v>
      </c>
      <c r="J60" s="245">
        <f>IF(B60="","",G60*I60)</f>
        <v>980000</v>
      </c>
      <c r="K60" s="245">
        <f>IF(B60="","",H60*I60)</f>
        <v>980000</v>
      </c>
      <c r="L60" s="245">
        <f>IF(B60="","",IF(COUNTIF($CF60:$CY60,1)&gt;0,0,J60))</f>
        <v>980000</v>
      </c>
      <c r="M60" s="245">
        <f>IF(B60="","",IF(COUNTIF($CF60:$CY60,1)&gt;0,0,K60))</f>
        <v>980000</v>
      </c>
      <c r="N60" s="246" t="s">
        <v>246</v>
      </c>
      <c r="O60" s="246" t="s">
        <v>245</v>
      </c>
      <c r="P60" s="247">
        <f>IF(B60="","",IF(OR(O60="N/A",O60=""),0,YEARFRAC('Borrowing Base'!$J$4,'Loan List'!O60)*12))</f>
        <v>0</v>
      </c>
      <c r="Q60" s="246" t="s">
        <v>246</v>
      </c>
      <c r="R60" s="248">
        <v>1</v>
      </c>
      <c r="S60" s="249" t="str">
        <f>IF(B60="","",IF(R60&lt;95%,"Yes","No"))</f>
        <v>No</v>
      </c>
      <c r="T60" s="248">
        <v>1</v>
      </c>
      <c r="U60" s="250">
        <f>IF(B60="","",IF(OR(Y60="First Lien",Y60="Split First Lien",Y60="Tier 1 Split Lien",Y60="Tier 2 Split Lien"),50%,30%))</f>
        <v>0.5</v>
      </c>
      <c r="V60" s="250">
        <f t="shared" si="10"/>
        <v>0.72499999999999998</v>
      </c>
      <c r="W60" s="251">
        <f t="shared" si="11"/>
        <v>980000</v>
      </c>
      <c r="X60" s="246" t="s">
        <v>246</v>
      </c>
      <c r="Y60" s="252" t="s">
        <v>483</v>
      </c>
      <c r="Z60" s="252" t="s">
        <v>484</v>
      </c>
      <c r="AA60" s="253" t="s">
        <v>407</v>
      </c>
      <c r="AB60" s="253" t="s">
        <v>407</v>
      </c>
      <c r="AC60" s="254">
        <v>1.76</v>
      </c>
      <c r="AD60" s="254">
        <v>1.76</v>
      </c>
      <c r="AE60" s="254">
        <v>2.2200000000000002</v>
      </c>
      <c r="AF60" s="255">
        <v>0.45500000000000002</v>
      </c>
      <c r="AG60" s="256">
        <v>3.86</v>
      </c>
      <c r="AH60" s="256">
        <v>4.2300000000000004</v>
      </c>
      <c r="AI60" s="256">
        <v>3.86</v>
      </c>
      <c r="AJ60" s="256">
        <v>4.2300000000000004</v>
      </c>
      <c r="AK60" s="257">
        <v>33264555</v>
      </c>
      <c r="AL60" s="257">
        <v>33264555</v>
      </c>
      <c r="AM60" s="258">
        <v>45838</v>
      </c>
      <c r="AN60" s="245" t="str">
        <f>IF(C60="","",(IF(AK60&gt;=50000000,"Tier 1",(IF(OR(AK60&gt;=20000000,AND(AK60&gt;5000000,AC60&gt;=1.25,AF60&lt;=0.65)),"Tier 2","Tier 3")))))</f>
        <v>Tier 2</v>
      </c>
      <c r="AO60" s="243">
        <v>47264</v>
      </c>
      <c r="AP60" s="259">
        <f>IF(C60="","",DAYS360(Inputs!$J$8,AO60)/360)</f>
        <v>3.7555555555555555</v>
      </c>
      <c r="AQ60" s="259">
        <f>IF(C60="","",AP60)</f>
        <v>3.7555555555555555</v>
      </c>
      <c r="AR60" s="246" t="s">
        <v>246</v>
      </c>
      <c r="AS60" s="248">
        <v>0</v>
      </c>
      <c r="AT60" s="246" t="s">
        <v>64</v>
      </c>
      <c r="AU60" s="248">
        <v>0.01</v>
      </c>
      <c r="AV60" s="248">
        <v>5.2499999999999998E-2</v>
      </c>
      <c r="AW60" s="248">
        <v>4.3561999999999997E-2</v>
      </c>
      <c r="AX60" s="260">
        <f>IF(C60="","",MAX(AU60,AW60))</f>
        <v>4.3561999999999997E-2</v>
      </c>
      <c r="AY60" s="248">
        <v>0</v>
      </c>
      <c r="AZ60" s="248">
        <v>0</v>
      </c>
      <c r="BA60" s="248">
        <v>0</v>
      </c>
      <c r="BB60" s="407">
        <f>IF(B60="","",IF(AR60="No",AV60-AZ60,""))</f>
        <v>5.2499999999999998E-2</v>
      </c>
      <c r="BC60" s="407" t="str">
        <f>IF(B60="","",IF(AR60="Yes",AS60-BA60,""))</f>
        <v/>
      </c>
      <c r="BD60" s="252" t="s">
        <v>247</v>
      </c>
      <c r="BE60" s="261" t="s">
        <v>333</v>
      </c>
      <c r="BF60" s="252" t="s">
        <v>7</v>
      </c>
      <c r="BG60" s="252" t="s">
        <v>460</v>
      </c>
      <c r="BH60" s="246" t="s">
        <v>246</v>
      </c>
      <c r="BI60" s="408" t="str">
        <f t="shared" si="17"/>
        <v>No</v>
      </c>
      <c r="BJ60" s="408" t="str">
        <f>IF(B60="","",IF(OR(AND(AZ60&gt;0,BB60&lt;2.5%),AND(BA60&gt;0,BC60&lt;6%)),"Yes","No"))</f>
        <v>No</v>
      </c>
      <c r="BK60" s="246" t="s">
        <v>246</v>
      </c>
      <c r="BL60" s="246" t="s">
        <v>246</v>
      </c>
      <c r="BM60" s="246" t="s">
        <v>64</v>
      </c>
      <c r="BN60" s="246" t="s">
        <v>64</v>
      </c>
      <c r="BO60" s="246" t="s">
        <v>246</v>
      </c>
      <c r="BP60" s="246" t="s">
        <v>246</v>
      </c>
      <c r="BQ60" s="246" t="s">
        <v>246</v>
      </c>
      <c r="BR60" s="246" t="s">
        <v>246</v>
      </c>
      <c r="BS60" s="246" t="s">
        <v>246</v>
      </c>
      <c r="BT60" s="246" t="s">
        <v>246</v>
      </c>
      <c r="BU60" s="246" t="s">
        <v>246</v>
      </c>
      <c r="BV60" s="246" t="s">
        <v>246</v>
      </c>
      <c r="BW60" s="246" t="s">
        <v>246</v>
      </c>
      <c r="BX60" s="246" t="s">
        <v>246</v>
      </c>
      <c r="BY60" s="246" t="s">
        <v>246</v>
      </c>
      <c r="BZ60" s="246" t="s">
        <v>246</v>
      </c>
      <c r="CA60" s="246" t="s">
        <v>246</v>
      </c>
      <c r="CB60" s="246" t="s">
        <v>64</v>
      </c>
      <c r="CC60" s="262">
        <f>IF(B60="","",IF(AT60="No",((BB60+AW60)-$AZ$4),((BB60+AX60)-$AZ$4))*IF(DE60&gt;0,0,M60))</f>
        <v>51782.807999999997</v>
      </c>
      <c r="CD60" s="262">
        <f>IF(B60="","",AY60*(L60-M60)*IF(DE60&gt;0,0,1))</f>
        <v>0</v>
      </c>
      <c r="CE60" s="263"/>
      <c r="CF60" s="263">
        <f t="shared" si="150"/>
        <v>0</v>
      </c>
      <c r="CG60" s="263">
        <f t="shared" si="151"/>
        <v>0</v>
      </c>
      <c r="CH60" s="263">
        <f t="shared" si="152"/>
        <v>0</v>
      </c>
      <c r="CI60" s="263">
        <f t="shared" si="153"/>
        <v>0</v>
      </c>
      <c r="CJ60" s="263">
        <f t="shared" si="154"/>
        <v>0</v>
      </c>
      <c r="CK60" s="263">
        <f t="shared" si="155"/>
        <v>0</v>
      </c>
      <c r="CL60" s="263">
        <f t="shared" si="156"/>
        <v>0</v>
      </c>
      <c r="CM60" s="263">
        <f t="shared" si="157"/>
        <v>0</v>
      </c>
      <c r="CN60" s="263">
        <f t="shared" si="158"/>
        <v>0</v>
      </c>
      <c r="CO60" s="263">
        <f t="shared" si="159"/>
        <v>0</v>
      </c>
      <c r="CP60" s="263">
        <f t="shared" si="160"/>
        <v>0</v>
      </c>
      <c r="CQ60" s="263">
        <f t="shared" si="161"/>
        <v>0</v>
      </c>
      <c r="CR60" s="263">
        <f t="shared" si="162"/>
        <v>0</v>
      </c>
      <c r="CS60" s="263">
        <f t="shared" si="163"/>
        <v>0</v>
      </c>
      <c r="CT60" s="263">
        <f t="shared" si="164"/>
        <v>0</v>
      </c>
      <c r="CU60" s="263">
        <f t="shared" si="165"/>
        <v>0</v>
      </c>
      <c r="CV60" s="263">
        <f t="shared" si="166"/>
        <v>0</v>
      </c>
      <c r="CW60" s="263">
        <f t="shared" si="167"/>
        <v>0</v>
      </c>
      <c r="CX60" s="263">
        <f t="shared" si="168"/>
        <v>0</v>
      </c>
      <c r="CY60" s="263">
        <f t="shared" si="169"/>
        <v>0</v>
      </c>
      <c r="CZ60" s="263">
        <f t="shared" si="170"/>
        <v>0</v>
      </c>
      <c r="DA60" s="263">
        <f t="shared" si="171"/>
        <v>0</v>
      </c>
      <c r="DB60" s="263">
        <f t="shared" si="172"/>
        <v>0</v>
      </c>
      <c r="DC60" s="263">
        <f t="shared" si="173"/>
        <v>0</v>
      </c>
      <c r="DD60" s="263">
        <f t="shared" si="174"/>
        <v>0</v>
      </c>
      <c r="DE60" s="263">
        <f t="shared" si="175"/>
        <v>0</v>
      </c>
      <c r="DF60" s="263">
        <f t="shared" si="176"/>
        <v>980000</v>
      </c>
      <c r="DG60" s="263">
        <f t="shared" si="177"/>
        <v>0</v>
      </c>
      <c r="DH60" s="263">
        <f t="shared" si="178"/>
        <v>980000</v>
      </c>
      <c r="DI60" s="263">
        <f t="shared" si="179"/>
        <v>980000</v>
      </c>
      <c r="DJ60" s="263">
        <f t="shared" si="180"/>
        <v>0</v>
      </c>
      <c r="DK60" s="263">
        <f t="shared" si="181"/>
        <v>0</v>
      </c>
      <c r="DL60" s="263">
        <f t="shared" si="182"/>
        <v>0</v>
      </c>
      <c r="DM60" s="263">
        <f t="shared" si="183"/>
        <v>0</v>
      </c>
      <c r="DO60" s="264">
        <f t="shared" si="184"/>
        <v>0</v>
      </c>
      <c r="DP60" s="265">
        <f t="shared" si="185"/>
        <v>0</v>
      </c>
      <c r="DQ60" s="264">
        <f t="shared" si="186"/>
        <v>980000</v>
      </c>
      <c r="DR60" s="264">
        <f t="shared" si="187"/>
        <v>0</v>
      </c>
      <c r="DS60" s="265">
        <f t="shared" si="188"/>
        <v>0</v>
      </c>
      <c r="DT60" s="264">
        <f t="shared" si="189"/>
        <v>980000</v>
      </c>
      <c r="DU60" s="264">
        <f t="shared" si="190"/>
        <v>0</v>
      </c>
      <c r="DV60" s="265">
        <f t="shared" si="191"/>
        <v>0</v>
      </c>
      <c r="DW60" s="264">
        <f t="shared" si="192"/>
        <v>980000</v>
      </c>
      <c r="DX60" s="264">
        <f t="shared" si="193"/>
        <v>0</v>
      </c>
      <c r="DY60" s="265">
        <f t="shared" si="194"/>
        <v>0</v>
      </c>
      <c r="DZ60" s="264">
        <f t="shared" si="195"/>
        <v>980000</v>
      </c>
      <c r="EA60" s="264">
        <f t="shared" si="196"/>
        <v>0</v>
      </c>
      <c r="EB60" s="265">
        <f t="shared" si="197"/>
        <v>0</v>
      </c>
      <c r="EC60" s="264">
        <f t="shared" si="198"/>
        <v>980000</v>
      </c>
      <c r="ED60" s="264">
        <f t="shared" si="199"/>
        <v>0</v>
      </c>
      <c r="EE60" s="265">
        <f t="shared" si="200"/>
        <v>0</v>
      </c>
      <c r="EF60" s="264">
        <f t="shared" si="201"/>
        <v>980000</v>
      </c>
      <c r="EG60" s="264">
        <f t="shared" si="202"/>
        <v>0</v>
      </c>
      <c r="EH60" s="265">
        <f t="shared" si="203"/>
        <v>0</v>
      </c>
      <c r="EI60" s="264">
        <f t="shared" si="204"/>
        <v>980000</v>
      </c>
      <c r="EJ60" s="264">
        <f t="shared" si="205"/>
        <v>0</v>
      </c>
      <c r="EK60" s="265">
        <f t="shared" si="206"/>
        <v>0</v>
      </c>
      <c r="EL60" s="264">
        <f t="shared" si="207"/>
        <v>980000</v>
      </c>
      <c r="EM60" s="264">
        <f t="shared" si="208"/>
        <v>0</v>
      </c>
      <c r="EN60" s="265">
        <f t="shared" si="209"/>
        <v>0</v>
      </c>
      <c r="EO60" s="264">
        <f t="shared" si="210"/>
        <v>980000</v>
      </c>
      <c r="EP60" s="264">
        <f t="shared" si="211"/>
        <v>0</v>
      </c>
      <c r="EQ60" s="265">
        <f t="shared" si="212"/>
        <v>0</v>
      </c>
      <c r="ER60" s="264">
        <f t="shared" si="213"/>
        <v>980000</v>
      </c>
      <c r="ES60" s="264">
        <f t="shared" si="214"/>
        <v>0</v>
      </c>
      <c r="ET60" s="265">
        <f t="shared" si="215"/>
        <v>0</v>
      </c>
      <c r="EU60" s="264">
        <f t="shared" si="216"/>
        <v>980000</v>
      </c>
      <c r="EV60" s="264">
        <f>IF(AND(BM60="Yes",OR(BN60="No",AND(BN60="Yes",Inputs!$J$8=Inputs!$J$17+75))),EU60,0)</f>
        <v>0</v>
      </c>
      <c r="EW60" s="265">
        <f t="shared" si="217"/>
        <v>0</v>
      </c>
      <c r="EX60" s="264">
        <f t="shared" si="218"/>
        <v>980000</v>
      </c>
      <c r="EY60" s="264">
        <f t="shared" si="219"/>
        <v>0</v>
      </c>
      <c r="EZ60" s="265">
        <f t="shared" si="220"/>
        <v>0</v>
      </c>
      <c r="FA60" s="264">
        <f t="shared" si="221"/>
        <v>980000</v>
      </c>
      <c r="FB60" s="264">
        <f t="shared" si="222"/>
        <v>0</v>
      </c>
      <c r="FC60" s="265">
        <f t="shared" si="223"/>
        <v>0</v>
      </c>
      <c r="FD60" s="264">
        <f t="shared" si="224"/>
        <v>980000</v>
      </c>
      <c r="FE60" s="264">
        <f t="shared" si="225"/>
        <v>0</v>
      </c>
      <c r="FF60" s="265">
        <f t="shared" si="226"/>
        <v>0</v>
      </c>
      <c r="FG60" s="264">
        <f t="shared" si="227"/>
        <v>980000</v>
      </c>
      <c r="FH60" s="264">
        <f t="shared" si="228"/>
        <v>980000</v>
      </c>
      <c r="FI60" s="264">
        <f t="shared" si="229"/>
        <v>0</v>
      </c>
      <c r="FJ60" s="264">
        <f t="shared" si="230"/>
        <v>980000</v>
      </c>
      <c r="FK60" s="264">
        <f t="shared" si="231"/>
        <v>980000</v>
      </c>
      <c r="FL60" s="264">
        <f t="shared" si="232"/>
        <v>0</v>
      </c>
      <c r="FM60" s="264">
        <f t="shared" si="233"/>
        <v>980000</v>
      </c>
      <c r="FN60" s="264">
        <f t="shared" si="234"/>
        <v>980000</v>
      </c>
      <c r="FO60" s="264">
        <f t="shared" si="235"/>
        <v>0</v>
      </c>
      <c r="FP60" s="264">
        <f t="shared" si="236"/>
        <v>980000</v>
      </c>
      <c r="FQ60" s="264">
        <f t="shared" si="237"/>
        <v>0</v>
      </c>
      <c r="FR60" s="265">
        <f t="shared" si="238"/>
        <v>0</v>
      </c>
      <c r="FS60" s="264">
        <f t="shared" si="239"/>
        <v>980000</v>
      </c>
      <c r="FT60" s="264">
        <f t="shared" si="240"/>
        <v>0</v>
      </c>
      <c r="FU60" s="265">
        <f t="shared" si="241"/>
        <v>0</v>
      </c>
      <c r="FV60" s="264">
        <f t="shared" si="242"/>
        <v>980000</v>
      </c>
      <c r="FW60" s="264">
        <f t="shared" si="243"/>
        <v>0</v>
      </c>
      <c r="FX60" s="264">
        <f t="shared" si="244"/>
        <v>0</v>
      </c>
      <c r="FY60" s="264">
        <f t="shared" si="245"/>
        <v>0</v>
      </c>
      <c r="FZ60" s="264">
        <f t="shared" si="246"/>
        <v>0</v>
      </c>
      <c r="GA60" s="265">
        <f t="shared" si="296"/>
        <v>0</v>
      </c>
      <c r="GB60" s="264">
        <f t="shared" si="297"/>
        <v>980000</v>
      </c>
      <c r="GC60" s="264">
        <f t="shared" si="247"/>
        <v>980000</v>
      </c>
      <c r="GD60" s="266">
        <f t="shared" si="248"/>
        <v>710500</v>
      </c>
      <c r="GE60" s="138">
        <f t="shared" si="249"/>
        <v>0.72499999999999998</v>
      </c>
      <c r="GF60" s="267">
        <f t="shared" si="250"/>
        <v>4</v>
      </c>
      <c r="GG60" s="264">
        <f t="array" ref="GG60">IF(SUM(IF(IC$9:IC59=IC60,1,0))&gt;0,0,SUMIF($IC$10:$IC$406,IC60,$FJ$10:$FJ$406))</f>
        <v>0</v>
      </c>
      <c r="GH60" s="268">
        <f t="shared" si="251"/>
        <v>0</v>
      </c>
      <c r="GI60" s="137">
        <f t="shared" si="126"/>
        <v>51</v>
      </c>
      <c r="GJ60" s="269">
        <f t="shared" si="252"/>
        <v>0</v>
      </c>
      <c r="GK60" s="269">
        <f t="shared" si="253"/>
        <v>0</v>
      </c>
      <c r="GL60" s="163">
        <f t="shared" si="254"/>
        <v>0</v>
      </c>
      <c r="GM60" s="137">
        <f t="array" ref="GM60">IF(GJ60=0,0,LARGE(IF($GG$10:$GG$406=GJ60,$GF$10:$GF$406,0),COUNTIF($GJ$10:$GJ$406,GJ60)-COUNTIF(GJ$9:GJ59,GJ60)))</f>
        <v>0</v>
      </c>
      <c r="GN60" s="270">
        <f t="shared" si="255"/>
        <v>0</v>
      </c>
      <c r="GP60" s="137">
        <f>IF(C60="","",IF(ISERROR(MATCH(C60,C$10:C59,0)),MAX(GP$10:GP59)+1,INDEX(GP$10:GP59,MATCH(C60,C$10:C59,0))))</f>
        <v>42</v>
      </c>
      <c r="GQ60" s="264">
        <f>IF(COUNTIF($A$10:A60,A60)&lt;=1,SUMIF($A$10:$A$406,A60,$FH$10:$FH$406),0)</f>
        <v>980000</v>
      </c>
      <c r="GR60" s="137">
        <f t="shared" si="130"/>
        <v>51</v>
      </c>
      <c r="GS60" s="269">
        <f t="shared" si="256"/>
        <v>5043516.63</v>
      </c>
      <c r="GT60" s="269">
        <f t="shared" si="257"/>
        <v>50964284.172430128</v>
      </c>
      <c r="GU60" s="163">
        <f t="shared" si="258"/>
        <v>0</v>
      </c>
      <c r="GV60" s="137">
        <f t="array" ref="GV60">IF(GS60=0,0,LARGE(IF($GQ$10:$GQ$406=GS60,$GP$10:$GP$406,0),COUNTIF($GS$10:$GS$406,GS60)-COUNTIF(GS$9:GS59,GS60)))</f>
        <v>64</v>
      </c>
      <c r="GW60" s="270">
        <f t="shared" si="259"/>
        <v>0</v>
      </c>
      <c r="GX60" s="270"/>
      <c r="GY60" s="137">
        <f>IF(C60="","",IF(ISERROR(MATCH(C60,C$10:C59,0)),MAX(GP$10:GP59)+1,INDEX(GP$10:GP59,MATCH(C60,C$10:C59,0))))</f>
        <v>42</v>
      </c>
      <c r="GZ60" s="264">
        <f>IF(COUNTIF($A$10:A60,A60)&lt;=1,SUMIF($A$10:$A$406,A60,$FH$10:$FH$406),0)</f>
        <v>980000</v>
      </c>
      <c r="HA60" s="137">
        <f t="shared" si="134"/>
        <v>51</v>
      </c>
      <c r="HB60" s="269">
        <f t="shared" si="260"/>
        <v>5043516.63</v>
      </c>
      <c r="HC60" s="414" t="s">
        <v>622</v>
      </c>
      <c r="HD60" s="163">
        <f t="shared" si="261"/>
        <v>0</v>
      </c>
      <c r="HE60" s="137">
        <f t="array" ref="HE60">IF(HB60=0,0,LARGE(IF($GZ$10:$GZ$406=HB60,$GY$10:$GY$406,0),COUNTIF($HB$10:$HB$406,HB60)-COUNTIF(HB$9:HB59,HB60)))</f>
        <v>64</v>
      </c>
      <c r="HF60" s="270">
        <f t="shared" si="262"/>
        <v>0</v>
      </c>
      <c r="HG60" s="270"/>
      <c r="HH60" s="268">
        <f t="shared" si="263"/>
        <v>0</v>
      </c>
      <c r="HI60" s="271">
        <v>0</v>
      </c>
      <c r="HJ60" s="264">
        <f t="shared" si="264"/>
        <v>0</v>
      </c>
      <c r="HL60" s="137">
        <f t="shared" si="265"/>
        <v>51</v>
      </c>
      <c r="HM60" s="264">
        <f t="shared" si="300"/>
        <v>29454620.510000002</v>
      </c>
      <c r="HN60"/>
      <c r="HO60" s="199">
        <f t="shared" si="301"/>
        <v>980000</v>
      </c>
      <c r="HP60" s="199">
        <f t="shared" si="302"/>
        <v>980000</v>
      </c>
      <c r="HQ60" s="199" t="str">
        <f t="shared" si="303"/>
        <v/>
      </c>
      <c r="HR60" s="199" t="str">
        <f t="shared" si="304"/>
        <v/>
      </c>
      <c r="HS60" s="199" t="str">
        <f t="shared" si="119"/>
        <v/>
      </c>
      <c r="HT60" s="199" t="str">
        <f t="shared" si="305"/>
        <v/>
      </c>
      <c r="HU60" s="199" t="str">
        <f t="shared" si="306"/>
        <v/>
      </c>
      <c r="HV60" s="200">
        <f t="shared" si="307"/>
        <v>0</v>
      </c>
      <c r="HW60" s="272">
        <f t="shared" si="308"/>
        <v>1</v>
      </c>
      <c r="HX60" s="200" t="str">
        <f t="shared" si="309"/>
        <v/>
      </c>
      <c r="HY60" s="200">
        <f t="shared" si="310"/>
        <v>0</v>
      </c>
      <c r="HZ60" s="200" t="str">
        <f t="shared" si="4"/>
        <v/>
      </c>
      <c r="IA60" s="200" t="str">
        <f t="shared" si="311"/>
        <v/>
      </c>
      <c r="IB60" s="200" t="str">
        <f t="shared" si="312"/>
        <v/>
      </c>
      <c r="IC60" s="273">
        <f>IF(C60="","",INDEX(Lookups!$E$2:$E$69,MATCH('Loan List'!BE60,Lookups!$F$2:$F$69,0)))</f>
        <v>4</v>
      </c>
      <c r="ID60" t="b">
        <f t="shared" si="313"/>
        <v>1</v>
      </c>
      <c r="IF60" s="346" t="str">
        <f>IF(B60="","",IF(AND(Y60="Second Lien",OR(DA60=1,DB60=1,DC60=1)),50%,IF(DA60=1,90%,IF(DB60=1,80%,IF(DC60=1,65%,"No Initial Haircut")))))</f>
        <v>No Initial Haircut</v>
      </c>
    </row>
    <row r="61" spans="1:240">
      <c r="A61" t="s">
        <v>688</v>
      </c>
      <c r="B61" s="242">
        <f t="shared" si="149"/>
        <v>52</v>
      </c>
      <c r="C61" s="242">
        <f>IF(COUNTIF($A$10:A60,A61)&gt;0,C60,C60+1)</f>
        <v>43</v>
      </c>
      <c r="D61" s="428" t="s">
        <v>688</v>
      </c>
      <c r="E61" s="428" t="s">
        <v>674</v>
      </c>
      <c r="F61" s="429"/>
      <c r="G61" s="430">
        <v>3371550</v>
      </c>
      <c r="H61" s="430">
        <v>3371550</v>
      </c>
      <c r="I61" s="244">
        <f>IF(B61="","",VLOOKUP(BF61,Inputs!$A$12:$J$15,10,FALSE))</f>
        <v>1</v>
      </c>
      <c r="J61" s="245">
        <f t="shared" si="5"/>
        <v>3371550</v>
      </c>
      <c r="K61" s="245">
        <f t="shared" si="6"/>
        <v>3371550</v>
      </c>
      <c r="L61" s="245">
        <f t="shared" si="7"/>
        <v>3371550</v>
      </c>
      <c r="M61" s="245">
        <f t="shared" si="8"/>
        <v>3371550</v>
      </c>
      <c r="N61" s="246" t="s">
        <v>246</v>
      </c>
      <c r="O61" s="246" t="s">
        <v>245</v>
      </c>
      <c r="P61" s="247">
        <f>IF(B61="","",IF(OR(O61="N/A",O61=""),0,YEARFRAC('Borrowing Base'!$J$4,'Loan List'!O61)*12))</f>
        <v>0</v>
      </c>
      <c r="Q61" s="246" t="s">
        <v>246</v>
      </c>
      <c r="R61" s="248">
        <v>0.990822532239645</v>
      </c>
      <c r="S61" s="249" t="str">
        <f t="shared" si="1"/>
        <v>No</v>
      </c>
      <c r="T61" s="248">
        <v>1</v>
      </c>
      <c r="U61" s="250">
        <f t="shared" si="9"/>
        <v>0.5</v>
      </c>
      <c r="V61" s="250">
        <f t="shared" si="10"/>
        <v>0.72499999999999998</v>
      </c>
      <c r="W61" s="251">
        <f t="shared" si="11"/>
        <v>3371550</v>
      </c>
      <c r="X61" s="246" t="s">
        <v>246</v>
      </c>
      <c r="Y61" s="252" t="s">
        <v>483</v>
      </c>
      <c r="Z61" s="252" t="s">
        <v>484</v>
      </c>
      <c r="AA61" s="253" t="s">
        <v>407</v>
      </c>
      <c r="AB61" s="253" t="s">
        <v>713</v>
      </c>
      <c r="AC61" s="254">
        <v>2.07609768480549</v>
      </c>
      <c r="AD61" s="254">
        <v>2.9236100173376638</v>
      </c>
      <c r="AE61" s="254">
        <v>3.9514180045803964</v>
      </c>
      <c r="AF61" s="255">
        <v>0.46972860125261001</v>
      </c>
      <c r="AG61" s="256">
        <v>2.6595744680851099</v>
      </c>
      <c r="AH61" s="256">
        <v>2.6595744680851099</v>
      </c>
      <c r="AI61" s="256">
        <v>2.0247914361216219</v>
      </c>
      <c r="AJ61" s="256">
        <v>2.0247914361216219</v>
      </c>
      <c r="AK61" s="257">
        <v>14100000</v>
      </c>
      <c r="AL61" s="257">
        <v>18435479</v>
      </c>
      <c r="AM61" s="258">
        <v>45838</v>
      </c>
      <c r="AN61" s="245" t="str">
        <f t="shared" si="12"/>
        <v>Tier 2</v>
      </c>
      <c r="AO61" s="243">
        <v>47469</v>
      </c>
      <c r="AP61" s="259">
        <f>IF(C61="","",DAYS360(Inputs!$J$8,AO61)/360)</f>
        <v>4.3138888888888891</v>
      </c>
      <c r="AQ61" s="259">
        <f t="shared" si="13"/>
        <v>4.3138888888888891</v>
      </c>
      <c r="AR61" s="246" t="s">
        <v>246</v>
      </c>
      <c r="AS61" s="248">
        <v>0</v>
      </c>
      <c r="AT61" s="246" t="s">
        <v>64</v>
      </c>
      <c r="AU61" s="248">
        <v>0.01</v>
      </c>
      <c r="AV61" s="248">
        <v>5.5E-2</v>
      </c>
      <c r="AW61" s="248">
        <v>4.3170000000000007E-2</v>
      </c>
      <c r="AX61" s="260">
        <f t="shared" si="14"/>
        <v>4.3170000000000007E-2</v>
      </c>
      <c r="AY61" s="248">
        <v>0</v>
      </c>
      <c r="AZ61" s="248">
        <v>0</v>
      </c>
      <c r="BA61" s="248">
        <v>0</v>
      </c>
      <c r="BB61" s="407">
        <f t="shared" si="15"/>
        <v>5.5E-2</v>
      </c>
      <c r="BC61" s="407" t="str">
        <f t="shared" si="16"/>
        <v/>
      </c>
      <c r="BD61" s="252" t="s">
        <v>247</v>
      </c>
      <c r="BE61" s="261" t="s">
        <v>412</v>
      </c>
      <c r="BF61" s="252" t="s">
        <v>7</v>
      </c>
      <c r="BG61" s="252" t="s">
        <v>460</v>
      </c>
      <c r="BH61" s="246" t="s">
        <v>246</v>
      </c>
      <c r="BI61" s="408" t="str">
        <f t="shared" si="17"/>
        <v>No</v>
      </c>
      <c r="BJ61" s="408" t="str">
        <f t="shared" si="18"/>
        <v>No</v>
      </c>
      <c r="BK61" s="246" t="s">
        <v>246</v>
      </c>
      <c r="BL61" s="246" t="s">
        <v>246</v>
      </c>
      <c r="BM61" s="246" t="s">
        <v>246</v>
      </c>
      <c r="BN61" s="246" t="s">
        <v>246</v>
      </c>
      <c r="BO61" s="246" t="s">
        <v>246</v>
      </c>
      <c r="BP61" s="246" t="s">
        <v>246</v>
      </c>
      <c r="BQ61" s="246" t="s">
        <v>246</v>
      </c>
      <c r="BR61" s="246" t="s">
        <v>246</v>
      </c>
      <c r="BS61" s="246" t="s">
        <v>246</v>
      </c>
      <c r="BT61" s="246" t="s">
        <v>246</v>
      </c>
      <c r="BU61" s="246" t="s">
        <v>246</v>
      </c>
      <c r="BV61" s="246" t="s">
        <v>246</v>
      </c>
      <c r="BW61" s="246" t="s">
        <v>246</v>
      </c>
      <c r="BX61" s="246" t="s">
        <v>246</v>
      </c>
      <c r="BY61" s="246" t="s">
        <v>246</v>
      </c>
      <c r="BZ61" s="246" t="s">
        <v>246</v>
      </c>
      <c r="CA61" s="246" t="s">
        <v>246</v>
      </c>
      <c r="CB61" s="246" t="s">
        <v>64</v>
      </c>
      <c r="CC61" s="262">
        <f t="shared" si="19"/>
        <v>185258.58078000002</v>
      </c>
      <c r="CD61" s="262">
        <f t="shared" si="20"/>
        <v>0</v>
      </c>
      <c r="CE61" s="263"/>
      <c r="CF61" s="263">
        <f t="shared" si="150"/>
        <v>0</v>
      </c>
      <c r="CG61" s="263">
        <f t="shared" si="151"/>
        <v>0</v>
      </c>
      <c r="CH61" s="263">
        <f t="shared" si="152"/>
        <v>0</v>
      </c>
      <c r="CI61" s="263">
        <f t="shared" si="153"/>
        <v>0</v>
      </c>
      <c r="CJ61" s="263">
        <f t="shared" si="154"/>
        <v>0</v>
      </c>
      <c r="CK61" s="263">
        <f t="shared" si="155"/>
        <v>0</v>
      </c>
      <c r="CL61" s="263">
        <f t="shared" si="156"/>
        <v>0</v>
      </c>
      <c r="CM61" s="263">
        <f t="shared" si="157"/>
        <v>0</v>
      </c>
      <c r="CN61" s="263">
        <f t="shared" si="158"/>
        <v>0</v>
      </c>
      <c r="CO61" s="263">
        <f t="shared" si="159"/>
        <v>0</v>
      </c>
      <c r="CP61" s="263">
        <f t="shared" si="160"/>
        <v>0</v>
      </c>
      <c r="CQ61" s="263">
        <f t="shared" si="161"/>
        <v>0</v>
      </c>
      <c r="CR61" s="263">
        <f t="shared" si="162"/>
        <v>0</v>
      </c>
      <c r="CS61" s="263">
        <f t="shared" si="163"/>
        <v>0</v>
      </c>
      <c r="CT61" s="263">
        <f t="shared" si="164"/>
        <v>0</v>
      </c>
      <c r="CU61" s="263">
        <f t="shared" si="165"/>
        <v>0</v>
      </c>
      <c r="CV61" s="263">
        <f t="shared" si="166"/>
        <v>0</v>
      </c>
      <c r="CW61" s="263">
        <f t="shared" si="167"/>
        <v>0</v>
      </c>
      <c r="CX61" s="263">
        <f t="shared" si="168"/>
        <v>0</v>
      </c>
      <c r="CY61" s="263">
        <f t="shared" si="169"/>
        <v>0</v>
      </c>
      <c r="CZ61" s="263">
        <f t="shared" si="170"/>
        <v>0</v>
      </c>
      <c r="DA61" s="263">
        <f t="shared" si="171"/>
        <v>0</v>
      </c>
      <c r="DB61" s="263">
        <f t="shared" si="172"/>
        <v>0</v>
      </c>
      <c r="DC61" s="263">
        <f t="shared" si="173"/>
        <v>0</v>
      </c>
      <c r="DD61" s="263">
        <f t="shared" si="174"/>
        <v>0</v>
      </c>
      <c r="DE61" s="263">
        <f t="shared" si="175"/>
        <v>0</v>
      </c>
      <c r="DF61" s="263">
        <f t="shared" si="176"/>
        <v>3371550</v>
      </c>
      <c r="DG61" s="263">
        <f t="shared" si="177"/>
        <v>0</v>
      </c>
      <c r="DH61" s="263">
        <f t="shared" si="178"/>
        <v>3371550</v>
      </c>
      <c r="DI61" s="263">
        <f t="shared" si="179"/>
        <v>3371550</v>
      </c>
      <c r="DJ61" s="263">
        <f t="shared" si="180"/>
        <v>0</v>
      </c>
      <c r="DK61" s="263">
        <f t="shared" si="181"/>
        <v>0</v>
      </c>
      <c r="DL61" s="263">
        <f t="shared" si="182"/>
        <v>0</v>
      </c>
      <c r="DM61" s="263">
        <f t="shared" si="183"/>
        <v>0</v>
      </c>
      <c r="DO61" s="264">
        <f t="shared" si="184"/>
        <v>0</v>
      </c>
      <c r="DP61" s="265">
        <f t="shared" si="185"/>
        <v>0</v>
      </c>
      <c r="DQ61" s="264">
        <f t="shared" si="186"/>
        <v>3371550</v>
      </c>
      <c r="DR61" s="264">
        <f t="shared" si="187"/>
        <v>0</v>
      </c>
      <c r="DS61" s="265">
        <f t="shared" si="188"/>
        <v>0</v>
      </c>
      <c r="DT61" s="264">
        <f t="shared" si="189"/>
        <v>3371550</v>
      </c>
      <c r="DU61" s="264">
        <f t="shared" si="190"/>
        <v>0</v>
      </c>
      <c r="DV61" s="265">
        <f t="shared" si="191"/>
        <v>0</v>
      </c>
      <c r="DW61" s="264">
        <f t="shared" si="192"/>
        <v>3371550</v>
      </c>
      <c r="DX61" s="264">
        <f t="shared" si="193"/>
        <v>0</v>
      </c>
      <c r="DY61" s="265">
        <f t="shared" si="194"/>
        <v>0</v>
      </c>
      <c r="DZ61" s="264">
        <f t="shared" si="195"/>
        <v>3371550</v>
      </c>
      <c r="EA61" s="264">
        <f t="shared" si="196"/>
        <v>0</v>
      </c>
      <c r="EB61" s="265">
        <f t="shared" si="197"/>
        <v>0</v>
      </c>
      <c r="EC61" s="264">
        <f t="shared" si="198"/>
        <v>3371550</v>
      </c>
      <c r="ED61" s="264">
        <f t="shared" si="199"/>
        <v>0</v>
      </c>
      <c r="EE61" s="265">
        <f t="shared" si="200"/>
        <v>0</v>
      </c>
      <c r="EF61" s="264">
        <f t="shared" si="201"/>
        <v>3371550</v>
      </c>
      <c r="EG61" s="264">
        <f t="shared" si="202"/>
        <v>0</v>
      </c>
      <c r="EH61" s="265">
        <f t="shared" si="203"/>
        <v>0</v>
      </c>
      <c r="EI61" s="264">
        <f t="shared" si="204"/>
        <v>3371550</v>
      </c>
      <c r="EJ61" s="264">
        <f t="shared" si="205"/>
        <v>0</v>
      </c>
      <c r="EK61" s="265">
        <f t="shared" si="206"/>
        <v>0</v>
      </c>
      <c r="EL61" s="264">
        <f t="shared" si="207"/>
        <v>3371550</v>
      </c>
      <c r="EM61" s="264">
        <f t="shared" si="208"/>
        <v>0</v>
      </c>
      <c r="EN61" s="265">
        <f t="shared" si="209"/>
        <v>0</v>
      </c>
      <c r="EO61" s="264">
        <f t="shared" si="210"/>
        <v>3371550</v>
      </c>
      <c r="EP61" s="264">
        <f t="shared" si="211"/>
        <v>0</v>
      </c>
      <c r="EQ61" s="265">
        <f t="shared" si="212"/>
        <v>0</v>
      </c>
      <c r="ER61" s="264">
        <f t="shared" si="213"/>
        <v>3371550</v>
      </c>
      <c r="ES61" s="264">
        <f t="shared" si="214"/>
        <v>0</v>
      </c>
      <c r="ET61" s="265">
        <f t="shared" si="215"/>
        <v>0</v>
      </c>
      <c r="EU61" s="264">
        <f t="shared" si="216"/>
        <v>3371550</v>
      </c>
      <c r="EV61" s="264">
        <f>IF(AND(BM61="Yes",OR(BN61="No",AND(BN61="Yes",Inputs!$J$8=Inputs!$J$17+75))),EU61,0)</f>
        <v>0</v>
      </c>
      <c r="EW61" s="265">
        <f t="shared" si="217"/>
        <v>0</v>
      </c>
      <c r="EX61" s="264">
        <f t="shared" si="218"/>
        <v>3371550</v>
      </c>
      <c r="EY61" s="264">
        <f t="shared" si="219"/>
        <v>0</v>
      </c>
      <c r="EZ61" s="265">
        <f t="shared" si="220"/>
        <v>0</v>
      </c>
      <c r="FA61" s="264">
        <f t="shared" si="221"/>
        <v>3371550</v>
      </c>
      <c r="FB61" s="264">
        <f t="shared" si="222"/>
        <v>0</v>
      </c>
      <c r="FC61" s="265">
        <f t="shared" si="223"/>
        <v>0</v>
      </c>
      <c r="FD61" s="264">
        <f t="shared" si="224"/>
        <v>3371550</v>
      </c>
      <c r="FE61" s="264">
        <f t="shared" si="225"/>
        <v>0</v>
      </c>
      <c r="FF61" s="265">
        <f t="shared" si="226"/>
        <v>0</v>
      </c>
      <c r="FG61" s="264">
        <f t="shared" si="227"/>
        <v>3371550</v>
      </c>
      <c r="FH61" s="264">
        <f t="shared" si="228"/>
        <v>3371550</v>
      </c>
      <c r="FI61" s="264">
        <f t="shared" si="229"/>
        <v>0</v>
      </c>
      <c r="FJ61" s="264">
        <f t="shared" si="230"/>
        <v>3371550</v>
      </c>
      <c r="FK61" s="264">
        <f t="shared" si="231"/>
        <v>3371550</v>
      </c>
      <c r="FL61" s="264">
        <f t="shared" si="232"/>
        <v>0</v>
      </c>
      <c r="FM61" s="264">
        <f t="shared" si="233"/>
        <v>3371550</v>
      </c>
      <c r="FN61" s="264">
        <f t="shared" si="234"/>
        <v>3371550</v>
      </c>
      <c r="FO61" s="264">
        <f t="shared" si="235"/>
        <v>0</v>
      </c>
      <c r="FP61" s="264">
        <f t="shared" si="236"/>
        <v>3371550</v>
      </c>
      <c r="FQ61" s="264">
        <f t="shared" si="237"/>
        <v>0</v>
      </c>
      <c r="FR61" s="265">
        <f t="shared" si="238"/>
        <v>0</v>
      </c>
      <c r="FS61" s="264">
        <f t="shared" si="239"/>
        <v>3371550</v>
      </c>
      <c r="FT61" s="264">
        <f t="shared" si="240"/>
        <v>0</v>
      </c>
      <c r="FU61" s="265">
        <f t="shared" si="241"/>
        <v>0</v>
      </c>
      <c r="FV61" s="264">
        <f t="shared" si="242"/>
        <v>3371550</v>
      </c>
      <c r="FW61" s="264">
        <f t="shared" si="243"/>
        <v>0</v>
      </c>
      <c r="FX61" s="264">
        <f t="shared" si="244"/>
        <v>0</v>
      </c>
      <c r="FY61" s="264">
        <f t="shared" si="245"/>
        <v>0</v>
      </c>
      <c r="FZ61" s="264">
        <f t="shared" si="246"/>
        <v>0</v>
      </c>
      <c r="GA61" s="265">
        <f t="shared" si="296"/>
        <v>0</v>
      </c>
      <c r="GB61" s="264">
        <f t="shared" si="297"/>
        <v>3371550</v>
      </c>
      <c r="GC61" s="264">
        <f t="shared" si="247"/>
        <v>3371550</v>
      </c>
      <c r="GD61" s="266">
        <f t="shared" si="248"/>
        <v>2444373.75</v>
      </c>
      <c r="GE61" s="138">
        <f t="shared" si="249"/>
        <v>0.72499999999999998</v>
      </c>
      <c r="GF61" s="267">
        <f t="shared" si="250"/>
        <v>33</v>
      </c>
      <c r="GG61" s="264">
        <f t="array" ref="GG61">IF(SUM(IF(IC$9:IC60=IC61,1,0))&gt;0,0,SUMIF($IC$10:$IC$406,IC61,$FJ$10:$FJ$406))</f>
        <v>3910721.0049999999</v>
      </c>
      <c r="GH61" s="268">
        <f t="shared" si="251"/>
        <v>3910721.0049999999</v>
      </c>
      <c r="GI61" s="137">
        <f t="shared" si="126"/>
        <v>52</v>
      </c>
      <c r="GJ61" s="269">
        <f t="shared" si="252"/>
        <v>0</v>
      </c>
      <c r="GK61" s="269">
        <f t="shared" si="253"/>
        <v>0</v>
      </c>
      <c r="GL61" s="163">
        <f t="shared" si="254"/>
        <v>0</v>
      </c>
      <c r="GM61" s="137">
        <f t="array" ref="GM61">IF(GJ61=0,0,LARGE(IF($GG$10:$GG$406=GJ61,$GF$10:$GF$406,0),COUNTIF($GJ$10:$GJ$406,GJ61)-COUNTIF(GJ$9:GJ60,GJ61)))</f>
        <v>0</v>
      </c>
      <c r="GN61" s="270">
        <f t="shared" si="255"/>
        <v>0</v>
      </c>
      <c r="GP61" s="137">
        <f>IF(C61="","",IF(ISERROR(MATCH(C61,C$10:C60,0)),MAX(GP$10:GP60)+1,INDEX(GP$10:GP60,MATCH(C61,C$10:C60,0))))</f>
        <v>43</v>
      </c>
      <c r="GQ61" s="264">
        <f>IF(COUNTIF($A$10:A61,A61)&lt;=1,SUMIF($A$10:$A$406,A61,$FH$10:$FH$406),0)</f>
        <v>3371550</v>
      </c>
      <c r="GR61" s="137">
        <f t="shared" si="130"/>
        <v>52</v>
      </c>
      <c r="GS61" s="269">
        <f t="shared" si="256"/>
        <v>5009979</v>
      </c>
      <c r="GT61" s="269">
        <f t="shared" si="257"/>
        <v>50964284.172430128</v>
      </c>
      <c r="GU61" s="163">
        <f t="shared" si="258"/>
        <v>0</v>
      </c>
      <c r="GV61" s="137">
        <f t="array" ref="GV61">IF(GS61=0,0,LARGE(IF($GQ$10:$GQ$406=GS61,$GP$10:$GP$406,0),COUNTIF($GS$10:$GS$406,GS61)-COUNTIF(GS$9:GS60,GS61)))</f>
        <v>72</v>
      </c>
      <c r="GW61" s="270">
        <f t="shared" si="259"/>
        <v>0</v>
      </c>
      <c r="GX61" s="270"/>
      <c r="GY61" s="137">
        <f>IF(C61="","",IF(ISERROR(MATCH(C61,C$10:C60,0)),MAX(GP$10:GP60)+1,INDEX(GP$10:GP60,MATCH(C61,C$10:C60,0))))</f>
        <v>43</v>
      </c>
      <c r="GZ61" s="264">
        <f>IF(COUNTIF($A$10:A61,A61)&lt;=1,SUMIF($A$10:$A$406,A61,$FH$10:$FH$406),0)</f>
        <v>3371550</v>
      </c>
      <c r="HA61" s="137">
        <f t="shared" si="134"/>
        <v>52</v>
      </c>
      <c r="HB61" s="269">
        <f t="shared" si="260"/>
        <v>5009979</v>
      </c>
      <c r="HC61" s="414" t="s">
        <v>622</v>
      </c>
      <c r="HD61" s="163">
        <f t="shared" si="261"/>
        <v>0</v>
      </c>
      <c r="HE61" s="137">
        <f t="array" ref="HE61">IF(HB61=0,0,LARGE(IF($GZ$10:$GZ$406=HB61,$GY$10:$GY$406,0),COUNTIF($HB$10:$HB$406,HB61)-COUNTIF(HB$9:HB60,HB61)))</f>
        <v>72</v>
      </c>
      <c r="HF61" s="270">
        <f t="shared" si="262"/>
        <v>0</v>
      </c>
      <c r="HG61" s="270"/>
      <c r="HH61" s="268">
        <f t="shared" si="263"/>
        <v>0</v>
      </c>
      <c r="HI61" s="271">
        <v>0</v>
      </c>
      <c r="HJ61" s="264">
        <f t="shared" si="264"/>
        <v>0</v>
      </c>
      <c r="HL61" s="137">
        <f t="shared" si="265"/>
        <v>52</v>
      </c>
      <c r="HM61" s="264">
        <f t="shared" si="300"/>
        <v>8152927.54</v>
      </c>
      <c r="HN61"/>
      <c r="HO61" s="199">
        <f t="shared" si="301"/>
        <v>3371550</v>
      </c>
      <c r="HP61" s="199">
        <f t="shared" si="302"/>
        <v>3371550</v>
      </c>
      <c r="HQ61" s="199" t="str">
        <f t="shared" si="303"/>
        <v/>
      </c>
      <c r="HR61" s="199" t="str">
        <f t="shared" si="304"/>
        <v/>
      </c>
      <c r="HS61" s="199" t="str">
        <f t="shared" si="119"/>
        <v/>
      </c>
      <c r="HT61" s="199" t="str">
        <f t="shared" si="305"/>
        <v/>
      </c>
      <c r="HU61" s="199" t="str">
        <f t="shared" si="306"/>
        <v/>
      </c>
      <c r="HV61" s="200">
        <f t="shared" si="307"/>
        <v>0</v>
      </c>
      <c r="HW61" s="272">
        <f t="shared" si="308"/>
        <v>1</v>
      </c>
      <c r="HX61" s="200" t="str">
        <f t="shared" si="309"/>
        <v/>
      </c>
      <c r="HY61" s="200">
        <f t="shared" si="310"/>
        <v>0</v>
      </c>
      <c r="HZ61" s="200" t="str">
        <f t="shared" si="4"/>
        <v/>
      </c>
      <c r="IA61" s="200" t="str">
        <f t="shared" si="311"/>
        <v/>
      </c>
      <c r="IB61" s="200" t="str">
        <f t="shared" si="312"/>
        <v/>
      </c>
      <c r="IC61" s="273">
        <f>IF(C61="","",INDEX(Lookups!$E$2:$E$69,MATCH('Loan List'!BE61,Lookups!$F$2:$F$69,0)))</f>
        <v>33</v>
      </c>
      <c r="ID61" t="b">
        <f t="shared" si="313"/>
        <v>1</v>
      </c>
      <c r="IF61" s="346" t="str">
        <f t="shared" si="121"/>
        <v>No Initial Haircut</v>
      </c>
    </row>
    <row r="62" spans="1:240">
      <c r="A62" t="s">
        <v>696</v>
      </c>
      <c r="B62" s="242">
        <f t="shared" si="149"/>
        <v>53</v>
      </c>
      <c r="C62" s="242">
        <f>IF(COUNTIF($A$10:A61,A62)&gt;0,C61,C61+1)</f>
        <v>44</v>
      </c>
      <c r="D62" s="428" t="s">
        <v>696</v>
      </c>
      <c r="E62" s="428" t="s">
        <v>694</v>
      </c>
      <c r="F62" s="429"/>
      <c r="G62" s="430">
        <v>25111100</v>
      </c>
      <c r="H62" s="430">
        <v>25111100</v>
      </c>
      <c r="I62" s="244">
        <f>IF(B62="","",VLOOKUP(BF62,Inputs!$A$12:$J$15,10,FALSE))</f>
        <v>1</v>
      </c>
      <c r="J62" s="245">
        <f t="shared" si="5"/>
        <v>25111100</v>
      </c>
      <c r="K62" s="245">
        <f t="shared" si="6"/>
        <v>25111100</v>
      </c>
      <c r="L62" s="245">
        <f t="shared" si="7"/>
        <v>25111100</v>
      </c>
      <c r="M62" s="245">
        <f t="shared" si="8"/>
        <v>25111100</v>
      </c>
      <c r="N62" s="246" t="s">
        <v>246</v>
      </c>
      <c r="O62" s="246" t="s">
        <v>245</v>
      </c>
      <c r="P62" s="247">
        <f>IF(B62="","",IF(OR(O62="N/A",O62=""),0,YEARFRAC('Borrowing Base'!$J$4,'Loan List'!O62)*12))</f>
        <v>0</v>
      </c>
      <c r="Q62" s="246" t="s">
        <v>246</v>
      </c>
      <c r="R62" s="248">
        <v>0.995</v>
      </c>
      <c r="S62" s="249" t="str">
        <f t="shared" si="1"/>
        <v>No</v>
      </c>
      <c r="T62" s="248">
        <v>0.99400000000000011</v>
      </c>
      <c r="U62" s="250">
        <f t="shared" si="9"/>
        <v>0.5</v>
      </c>
      <c r="V62" s="250">
        <f t="shared" si="10"/>
        <v>0.72499999999999998</v>
      </c>
      <c r="W62" s="251">
        <f t="shared" si="11"/>
        <v>25111100</v>
      </c>
      <c r="X62" s="246" t="s">
        <v>246</v>
      </c>
      <c r="Y62" s="252" t="s">
        <v>483</v>
      </c>
      <c r="Z62" s="252" t="s">
        <v>484</v>
      </c>
      <c r="AA62" s="253" t="s">
        <v>407</v>
      </c>
      <c r="AB62" s="253" t="s">
        <v>713</v>
      </c>
      <c r="AC62" s="254">
        <v>1.0727069351230425</v>
      </c>
      <c r="AD62" s="254">
        <v>1.480531496213195</v>
      </c>
      <c r="AE62" s="254">
        <v>2.6375519589770779</v>
      </c>
      <c r="AF62" s="255">
        <v>0.47396167198661271</v>
      </c>
      <c r="AG62" s="256">
        <v>3.9103232533889467</v>
      </c>
      <c r="AH62" s="256">
        <v>5.2659019812304484</v>
      </c>
      <c r="AI62" s="256">
        <v>3.5213442278648421</v>
      </c>
      <c r="AJ62" s="256">
        <v>4.76914300113138</v>
      </c>
      <c r="AK62" s="257">
        <v>95900000</v>
      </c>
      <c r="AL62" s="257">
        <v>104183465.14292589</v>
      </c>
      <c r="AM62" s="258">
        <v>45808</v>
      </c>
      <c r="AN62" s="245" t="str">
        <f t="shared" si="12"/>
        <v>Tier 1</v>
      </c>
      <c r="AO62" s="243">
        <v>47948</v>
      </c>
      <c r="AP62" s="259">
        <f>IF(C62="","",DAYS360(Inputs!$J$8,AO62)/360)</f>
        <v>5.6277777777777782</v>
      </c>
      <c r="AQ62" s="259">
        <f t="shared" si="13"/>
        <v>5.6277777777777782</v>
      </c>
      <c r="AR62" s="246" t="s">
        <v>246</v>
      </c>
      <c r="AS62" s="248">
        <v>0</v>
      </c>
      <c r="AT62" s="246" t="s">
        <v>64</v>
      </c>
      <c r="AU62" s="248">
        <v>0.01</v>
      </c>
      <c r="AV62" s="248">
        <v>6.25E-2</v>
      </c>
      <c r="AW62" s="248">
        <v>4.3285000000000004E-2</v>
      </c>
      <c r="AX62" s="260">
        <f t="shared" si="14"/>
        <v>4.3285000000000004E-2</v>
      </c>
      <c r="AY62" s="248">
        <v>0</v>
      </c>
      <c r="AZ62" s="248">
        <v>0</v>
      </c>
      <c r="BA62" s="248">
        <v>0</v>
      </c>
      <c r="BB62" s="407">
        <f t="shared" si="15"/>
        <v>6.25E-2</v>
      </c>
      <c r="BC62" s="407" t="str">
        <f t="shared" si="16"/>
        <v/>
      </c>
      <c r="BD62" s="252" t="s">
        <v>247</v>
      </c>
      <c r="BE62" s="261" t="s">
        <v>336</v>
      </c>
      <c r="BF62" s="252" t="s">
        <v>7</v>
      </c>
      <c r="BG62" s="252" t="s">
        <v>460</v>
      </c>
      <c r="BH62" s="246" t="s">
        <v>246</v>
      </c>
      <c r="BI62" s="408" t="str">
        <f t="shared" si="17"/>
        <v>No</v>
      </c>
      <c r="BJ62" s="408" t="str">
        <f t="shared" si="18"/>
        <v>No</v>
      </c>
      <c r="BK62" s="246" t="s">
        <v>246</v>
      </c>
      <c r="BL62" s="246" t="s">
        <v>246</v>
      </c>
      <c r="BM62" s="246" t="s">
        <v>246</v>
      </c>
      <c r="BN62" s="246" t="s">
        <v>246</v>
      </c>
      <c r="BO62" s="246" t="s">
        <v>246</v>
      </c>
      <c r="BP62" s="246" t="s">
        <v>246</v>
      </c>
      <c r="BQ62" s="246" t="s">
        <v>246</v>
      </c>
      <c r="BR62" s="246" t="s">
        <v>246</v>
      </c>
      <c r="BS62" s="246" t="s">
        <v>246</v>
      </c>
      <c r="BT62" s="246" t="s">
        <v>246</v>
      </c>
      <c r="BU62" s="246" t="s">
        <v>246</v>
      </c>
      <c r="BV62" s="246" t="s">
        <v>246</v>
      </c>
      <c r="BW62" s="246" t="s">
        <v>246</v>
      </c>
      <c r="BX62" s="246" t="s">
        <v>246</v>
      </c>
      <c r="BY62" s="246" t="s">
        <v>246</v>
      </c>
      <c r="BZ62" s="246" t="s">
        <v>246</v>
      </c>
      <c r="CA62" s="246" t="s">
        <v>246</v>
      </c>
      <c r="CB62" s="246" t="s">
        <v>64</v>
      </c>
      <c r="CC62" s="262">
        <f t="shared" si="19"/>
        <v>1571015.7048599999</v>
      </c>
      <c r="CD62" s="262">
        <f t="shared" si="20"/>
        <v>0</v>
      </c>
      <c r="CE62" s="263"/>
      <c r="CF62" s="263">
        <f t="shared" si="150"/>
        <v>0</v>
      </c>
      <c r="CG62" s="263">
        <f t="shared" si="151"/>
        <v>0</v>
      </c>
      <c r="CH62" s="263">
        <f t="shared" si="152"/>
        <v>0</v>
      </c>
      <c r="CI62" s="263">
        <f t="shared" si="153"/>
        <v>0</v>
      </c>
      <c r="CJ62" s="263">
        <f t="shared" si="154"/>
        <v>0</v>
      </c>
      <c r="CK62" s="263">
        <f t="shared" si="155"/>
        <v>0</v>
      </c>
      <c r="CL62" s="263">
        <f t="shared" si="156"/>
        <v>0</v>
      </c>
      <c r="CM62" s="263">
        <f t="shared" si="157"/>
        <v>0</v>
      </c>
      <c r="CN62" s="263">
        <f t="shared" si="158"/>
        <v>0</v>
      </c>
      <c r="CO62" s="263">
        <f t="shared" si="159"/>
        <v>0</v>
      </c>
      <c r="CP62" s="263">
        <f t="shared" si="160"/>
        <v>0</v>
      </c>
      <c r="CQ62" s="263">
        <f t="shared" si="161"/>
        <v>0</v>
      </c>
      <c r="CR62" s="263">
        <f t="shared" si="162"/>
        <v>0</v>
      </c>
      <c r="CS62" s="263">
        <f t="shared" si="163"/>
        <v>0</v>
      </c>
      <c r="CT62" s="263">
        <f t="shared" si="164"/>
        <v>0</v>
      </c>
      <c r="CU62" s="263">
        <f t="shared" si="165"/>
        <v>0</v>
      </c>
      <c r="CV62" s="263">
        <f t="shared" si="166"/>
        <v>0</v>
      </c>
      <c r="CW62" s="263">
        <f t="shared" si="167"/>
        <v>0</v>
      </c>
      <c r="CX62" s="263">
        <f t="shared" si="168"/>
        <v>0</v>
      </c>
      <c r="CY62" s="263">
        <f t="shared" si="169"/>
        <v>0</v>
      </c>
      <c r="CZ62" s="263">
        <f t="shared" si="170"/>
        <v>0</v>
      </c>
      <c r="DA62" s="263">
        <f t="shared" si="171"/>
        <v>0</v>
      </c>
      <c r="DB62" s="263">
        <f t="shared" si="172"/>
        <v>0</v>
      </c>
      <c r="DC62" s="263">
        <f t="shared" si="173"/>
        <v>0</v>
      </c>
      <c r="DD62" s="263">
        <f t="shared" si="174"/>
        <v>0</v>
      </c>
      <c r="DE62" s="263">
        <f t="shared" si="175"/>
        <v>0</v>
      </c>
      <c r="DF62" s="263">
        <f t="shared" si="176"/>
        <v>25111100</v>
      </c>
      <c r="DG62" s="263">
        <f t="shared" si="177"/>
        <v>0</v>
      </c>
      <c r="DH62" s="263">
        <f t="shared" si="178"/>
        <v>25111100</v>
      </c>
      <c r="DI62" s="263">
        <f t="shared" si="179"/>
        <v>25111100</v>
      </c>
      <c r="DJ62" s="263">
        <f t="shared" si="180"/>
        <v>0</v>
      </c>
      <c r="DK62" s="263">
        <f t="shared" si="181"/>
        <v>0</v>
      </c>
      <c r="DL62" s="263">
        <f t="shared" si="182"/>
        <v>0</v>
      </c>
      <c r="DM62" s="263">
        <f t="shared" si="183"/>
        <v>0</v>
      </c>
      <c r="DO62" s="264">
        <f t="shared" si="184"/>
        <v>0</v>
      </c>
      <c r="DP62" s="265">
        <f t="shared" si="185"/>
        <v>0</v>
      </c>
      <c r="DQ62" s="264">
        <f t="shared" si="186"/>
        <v>25111100</v>
      </c>
      <c r="DR62" s="264">
        <f t="shared" si="187"/>
        <v>0</v>
      </c>
      <c r="DS62" s="265">
        <f t="shared" si="188"/>
        <v>0</v>
      </c>
      <c r="DT62" s="264">
        <f t="shared" si="189"/>
        <v>25111100</v>
      </c>
      <c r="DU62" s="264">
        <f t="shared" si="190"/>
        <v>0</v>
      </c>
      <c r="DV62" s="265">
        <f t="shared" si="191"/>
        <v>0</v>
      </c>
      <c r="DW62" s="264">
        <f t="shared" si="192"/>
        <v>25111100</v>
      </c>
      <c r="DX62" s="264">
        <f t="shared" si="193"/>
        <v>0</v>
      </c>
      <c r="DY62" s="265">
        <f t="shared" si="194"/>
        <v>0</v>
      </c>
      <c r="DZ62" s="264">
        <f t="shared" si="195"/>
        <v>25111100</v>
      </c>
      <c r="EA62" s="264">
        <f t="shared" si="196"/>
        <v>0</v>
      </c>
      <c r="EB62" s="265">
        <f t="shared" si="197"/>
        <v>0</v>
      </c>
      <c r="EC62" s="264">
        <f t="shared" si="198"/>
        <v>25111100</v>
      </c>
      <c r="ED62" s="264">
        <f t="shared" si="199"/>
        <v>0</v>
      </c>
      <c r="EE62" s="265">
        <f t="shared" si="200"/>
        <v>0</v>
      </c>
      <c r="EF62" s="264">
        <f t="shared" si="201"/>
        <v>25111100</v>
      </c>
      <c r="EG62" s="264">
        <f t="shared" si="202"/>
        <v>0</v>
      </c>
      <c r="EH62" s="265">
        <f t="shared" si="203"/>
        <v>0</v>
      </c>
      <c r="EI62" s="264">
        <f t="shared" si="204"/>
        <v>25111100</v>
      </c>
      <c r="EJ62" s="264">
        <f t="shared" si="205"/>
        <v>0</v>
      </c>
      <c r="EK62" s="265">
        <f t="shared" si="206"/>
        <v>0</v>
      </c>
      <c r="EL62" s="264">
        <f t="shared" si="207"/>
        <v>25111100</v>
      </c>
      <c r="EM62" s="264">
        <f t="shared" si="208"/>
        <v>0</v>
      </c>
      <c r="EN62" s="265">
        <f t="shared" si="209"/>
        <v>0</v>
      </c>
      <c r="EO62" s="264">
        <f t="shared" si="210"/>
        <v>25111100</v>
      </c>
      <c r="EP62" s="264">
        <f t="shared" si="211"/>
        <v>0</v>
      </c>
      <c r="EQ62" s="265">
        <f t="shared" si="212"/>
        <v>0</v>
      </c>
      <c r="ER62" s="264">
        <f t="shared" si="213"/>
        <v>25111100</v>
      </c>
      <c r="ES62" s="264">
        <f t="shared" si="214"/>
        <v>0</v>
      </c>
      <c r="ET62" s="265">
        <f t="shared" si="215"/>
        <v>0</v>
      </c>
      <c r="EU62" s="264">
        <f t="shared" si="216"/>
        <v>25111100</v>
      </c>
      <c r="EV62" s="264">
        <f>IF(AND(BM62="Yes",OR(BN62="No",AND(BN62="Yes",Inputs!$J$8=Inputs!$J$17+75))),EU62,0)</f>
        <v>0</v>
      </c>
      <c r="EW62" s="265">
        <f t="shared" si="217"/>
        <v>0</v>
      </c>
      <c r="EX62" s="264">
        <f t="shared" si="218"/>
        <v>25111100</v>
      </c>
      <c r="EY62" s="264">
        <f t="shared" si="219"/>
        <v>0</v>
      </c>
      <c r="EZ62" s="265">
        <f t="shared" si="220"/>
        <v>0</v>
      </c>
      <c r="FA62" s="264">
        <f t="shared" si="221"/>
        <v>25111100</v>
      </c>
      <c r="FB62" s="264">
        <f t="shared" si="222"/>
        <v>0</v>
      </c>
      <c r="FC62" s="265">
        <f t="shared" si="223"/>
        <v>0</v>
      </c>
      <c r="FD62" s="264">
        <f t="shared" si="224"/>
        <v>25111100</v>
      </c>
      <c r="FE62" s="264">
        <f t="shared" si="225"/>
        <v>0</v>
      </c>
      <c r="FF62" s="265">
        <f t="shared" si="226"/>
        <v>0</v>
      </c>
      <c r="FG62" s="264">
        <f t="shared" si="227"/>
        <v>25111100</v>
      </c>
      <c r="FH62" s="264">
        <f t="shared" si="228"/>
        <v>25111100</v>
      </c>
      <c r="FI62" s="264">
        <f t="shared" si="229"/>
        <v>0</v>
      </c>
      <c r="FJ62" s="264">
        <f t="shared" si="230"/>
        <v>25111100</v>
      </c>
      <c r="FK62" s="264">
        <f t="shared" si="231"/>
        <v>25111100</v>
      </c>
      <c r="FL62" s="264">
        <f t="shared" si="232"/>
        <v>0</v>
      </c>
      <c r="FM62" s="264">
        <f t="shared" si="233"/>
        <v>25111100</v>
      </c>
      <c r="FN62" s="264">
        <f t="shared" si="234"/>
        <v>25111100</v>
      </c>
      <c r="FO62" s="264">
        <f t="shared" si="235"/>
        <v>0</v>
      </c>
      <c r="FP62" s="264">
        <f t="shared" si="236"/>
        <v>25111100</v>
      </c>
      <c r="FQ62" s="264">
        <f t="shared" si="237"/>
        <v>0</v>
      </c>
      <c r="FR62" s="265">
        <f t="shared" si="238"/>
        <v>0</v>
      </c>
      <c r="FS62" s="264">
        <f t="shared" si="239"/>
        <v>25111100</v>
      </c>
      <c r="FT62" s="264">
        <f t="shared" si="240"/>
        <v>0</v>
      </c>
      <c r="FU62" s="265">
        <f t="shared" si="241"/>
        <v>0</v>
      </c>
      <c r="FV62" s="264">
        <f t="shared" si="242"/>
        <v>25111100</v>
      </c>
      <c r="FW62" s="264">
        <f t="shared" si="243"/>
        <v>0</v>
      </c>
      <c r="FX62" s="264">
        <f t="shared" si="244"/>
        <v>0</v>
      </c>
      <c r="FY62" s="264">
        <f t="shared" si="245"/>
        <v>0</v>
      </c>
      <c r="FZ62" s="264">
        <f t="shared" si="246"/>
        <v>0</v>
      </c>
      <c r="GA62" s="265">
        <f t="shared" si="296"/>
        <v>0</v>
      </c>
      <c r="GB62" s="264">
        <f t="shared" si="297"/>
        <v>25111100</v>
      </c>
      <c r="GC62" s="264">
        <f t="shared" si="247"/>
        <v>25111100</v>
      </c>
      <c r="GD62" s="266">
        <f t="shared" si="248"/>
        <v>18205547.5</v>
      </c>
      <c r="GE62" s="138">
        <f t="shared" si="249"/>
        <v>0.72499999999999998</v>
      </c>
      <c r="GF62" s="267">
        <f t="shared" si="250"/>
        <v>5</v>
      </c>
      <c r="GG62" s="264">
        <f t="array" ref="GG62">IF(SUM(IF(IC$9:IC61=IC62,1,0))&gt;0,0,SUMIF($IC$10:$IC$406,IC62,$FJ$10:$FJ$406))</f>
        <v>25111100</v>
      </c>
      <c r="GH62" s="268">
        <f t="shared" si="251"/>
        <v>25111100</v>
      </c>
      <c r="GI62" s="137">
        <f t="shared" si="126"/>
        <v>53</v>
      </c>
      <c r="GJ62" s="269">
        <f t="shared" si="252"/>
        <v>0</v>
      </c>
      <c r="GK62" s="269">
        <f t="shared" si="253"/>
        <v>0</v>
      </c>
      <c r="GL62" s="163">
        <f t="shared" si="254"/>
        <v>0</v>
      </c>
      <c r="GM62" s="137">
        <f t="array" ref="GM62">IF(GJ62=0,0,LARGE(IF($GG$10:$GG$406=GJ62,$GF$10:$GF$406,0),COUNTIF($GJ$10:$GJ$406,GJ62)-COUNTIF(GJ$9:GJ61,GJ62)))</f>
        <v>0</v>
      </c>
      <c r="GN62" s="270">
        <f t="shared" si="255"/>
        <v>0</v>
      </c>
      <c r="GP62" s="137">
        <f>IF(C62="","",IF(ISERROR(MATCH(C62,C$10:C61,0)),MAX(GP$10:GP61)+1,INDEX(GP$10:GP61,MATCH(C62,C$10:C61,0))))</f>
        <v>44</v>
      </c>
      <c r="GQ62" s="264">
        <f>IF(COUNTIF($A$10:A62,A62)&lt;=1,SUMIF($A$10:$A$406,A62,$FH$10:$FH$406),0)</f>
        <v>25111100</v>
      </c>
      <c r="GR62" s="137">
        <f t="shared" si="130"/>
        <v>53</v>
      </c>
      <c r="GS62" s="269">
        <f t="shared" si="256"/>
        <v>4909661.1000000006</v>
      </c>
      <c r="GT62" s="269">
        <f t="shared" si="257"/>
        <v>50964284.172430128</v>
      </c>
      <c r="GU62" s="163">
        <f t="shared" si="258"/>
        <v>0</v>
      </c>
      <c r="GV62" s="137">
        <f t="array" ref="GV62">IF(GS62=0,0,LARGE(IF($GQ$10:$GQ$406=GS62,$GP$10:$GP$406,0),COUNTIF($GS$10:$GS$406,GS62)-COUNTIF(GS$9:GS61,GS62)))</f>
        <v>9</v>
      </c>
      <c r="GW62" s="270">
        <f t="shared" si="259"/>
        <v>0</v>
      </c>
      <c r="GX62" s="270"/>
      <c r="GY62" s="137">
        <f>IF(C62="","",IF(ISERROR(MATCH(C62,C$10:C61,0)),MAX(GP$10:GP61)+1,INDEX(GP$10:GP61,MATCH(C62,C$10:C61,0))))</f>
        <v>44</v>
      </c>
      <c r="GZ62" s="264">
        <f>IF(COUNTIF($A$10:A62,A62)&lt;=1,SUMIF($A$10:$A$406,A62,$FH$10:$FH$406),0)</f>
        <v>25111100</v>
      </c>
      <c r="HA62" s="137">
        <f t="shared" si="134"/>
        <v>53</v>
      </c>
      <c r="HB62" s="269">
        <f t="shared" si="260"/>
        <v>4909661.1000000006</v>
      </c>
      <c r="HC62" s="414" t="s">
        <v>622</v>
      </c>
      <c r="HD62" s="163">
        <f t="shared" si="261"/>
        <v>0</v>
      </c>
      <c r="HE62" s="137">
        <f t="array" ref="HE62">IF(HB62=0,0,LARGE(IF($GZ$10:$GZ$406=HB62,$GY$10:$GY$406,0),COUNTIF($HB$10:$HB$406,HB62)-COUNTIF(HB$9:HB61,HB62)))</f>
        <v>9</v>
      </c>
      <c r="HF62" s="270">
        <f t="shared" si="262"/>
        <v>0</v>
      </c>
      <c r="HG62" s="270"/>
      <c r="HH62" s="268">
        <f t="shared" si="263"/>
        <v>0</v>
      </c>
      <c r="HI62" s="271">
        <v>0</v>
      </c>
      <c r="HJ62" s="264">
        <f t="shared" si="264"/>
        <v>0</v>
      </c>
      <c r="HL62" s="137">
        <f t="shared" si="265"/>
        <v>53</v>
      </c>
      <c r="HM62" s="264">
        <f t="shared" si="300"/>
        <v>3356950</v>
      </c>
      <c r="HN62"/>
      <c r="HO62" s="199">
        <f t="shared" si="301"/>
        <v>25111100</v>
      </c>
      <c r="HP62" s="199">
        <f t="shared" si="302"/>
        <v>25111100</v>
      </c>
      <c r="HQ62" s="199" t="str">
        <f t="shared" si="303"/>
        <v/>
      </c>
      <c r="HR62" s="199" t="str">
        <f t="shared" si="304"/>
        <v/>
      </c>
      <c r="HS62" s="199" t="str">
        <f t="shared" si="119"/>
        <v/>
      </c>
      <c r="HT62" s="199" t="str">
        <f t="shared" si="305"/>
        <v/>
      </c>
      <c r="HU62" s="199" t="str">
        <f t="shared" si="306"/>
        <v/>
      </c>
      <c r="HV62" s="200">
        <f t="shared" si="307"/>
        <v>0</v>
      </c>
      <c r="HW62" s="272">
        <f t="shared" si="308"/>
        <v>1</v>
      </c>
      <c r="HX62" s="200" t="str">
        <f t="shared" si="309"/>
        <v/>
      </c>
      <c r="HY62" s="200">
        <f t="shared" si="310"/>
        <v>0</v>
      </c>
      <c r="HZ62" s="200" t="str">
        <f t="shared" si="4"/>
        <v/>
      </c>
      <c r="IA62" s="200" t="str">
        <f t="shared" si="311"/>
        <v/>
      </c>
      <c r="IB62" s="200" t="str">
        <f t="shared" si="312"/>
        <v/>
      </c>
      <c r="IC62" s="273">
        <f>IF(C62="","",INDEX(Lookups!$E$2:$E$69,MATCH('Loan List'!BE62,Lookups!$F$2:$F$69,0)))</f>
        <v>5</v>
      </c>
      <c r="ID62" t="b">
        <f t="shared" si="313"/>
        <v>1</v>
      </c>
      <c r="IF62" s="346" t="str">
        <f t="shared" si="121"/>
        <v>No Initial Haircut</v>
      </c>
    </row>
    <row r="63" spans="1:240" s="401" customFormat="1">
      <c r="A63" s="401" t="s">
        <v>744</v>
      </c>
      <c r="B63" s="242">
        <f t="shared" si="149"/>
        <v>54</v>
      </c>
      <c r="C63" s="242">
        <f>IF(COUNTIF($A$10:A62,A63)&gt;0,C62,C62+1)</f>
        <v>45</v>
      </c>
      <c r="D63" s="431" t="s">
        <v>744</v>
      </c>
      <c r="E63" s="428" t="s">
        <v>820</v>
      </c>
      <c r="F63" s="429"/>
      <c r="G63" s="430">
        <v>4800008</v>
      </c>
      <c r="H63" s="430">
        <v>4800008</v>
      </c>
      <c r="I63" s="244">
        <f>IF(B63="","",VLOOKUP(BF63,Inputs!$A$12:$J$15,10,FALSE))</f>
        <v>1</v>
      </c>
      <c r="J63" s="245">
        <f t="shared" si="5"/>
        <v>4800008</v>
      </c>
      <c r="K63" s="245">
        <f t="shared" si="6"/>
        <v>4800008</v>
      </c>
      <c r="L63" s="245">
        <f t="shared" si="7"/>
        <v>4800008</v>
      </c>
      <c r="M63" s="245">
        <f t="shared" si="8"/>
        <v>4800008</v>
      </c>
      <c r="N63" s="246" t="s">
        <v>246</v>
      </c>
      <c r="O63" s="246" t="s">
        <v>245</v>
      </c>
      <c r="P63" s="247">
        <f>IF(B63="","",IF(OR(O63="N/A",O63=""),0,YEARFRAC('Borrowing Base'!$J$4,'Loan List'!O63)*12))</f>
        <v>0</v>
      </c>
      <c r="Q63" s="246" t="s">
        <v>246</v>
      </c>
      <c r="R63" s="248">
        <v>1</v>
      </c>
      <c r="S63" s="249" t="str">
        <f t="shared" si="1"/>
        <v>No</v>
      </c>
      <c r="T63" s="248">
        <v>0.98</v>
      </c>
      <c r="U63" s="250">
        <f t="shared" si="9"/>
        <v>0.5</v>
      </c>
      <c r="V63" s="250">
        <f t="shared" si="10"/>
        <v>0.72499999999999998</v>
      </c>
      <c r="W63" s="251">
        <f t="shared" si="11"/>
        <v>2400004</v>
      </c>
      <c r="X63" s="246" t="s">
        <v>246</v>
      </c>
      <c r="Y63" s="252" t="s">
        <v>483</v>
      </c>
      <c r="Z63" s="252" t="s">
        <v>484</v>
      </c>
      <c r="AA63" s="253" t="s">
        <v>407</v>
      </c>
      <c r="AB63" s="253" t="s">
        <v>407</v>
      </c>
      <c r="AC63" s="254">
        <v>1.2</v>
      </c>
      <c r="AD63" s="254">
        <v>1.2</v>
      </c>
      <c r="AE63" s="254">
        <v>1.36</v>
      </c>
      <c r="AF63" s="255">
        <v>0.56599999999999995</v>
      </c>
      <c r="AG63" s="256">
        <v>6.28</v>
      </c>
      <c r="AH63" s="256">
        <v>6.34</v>
      </c>
      <c r="AI63" s="256">
        <v>6.28</v>
      </c>
      <c r="AJ63" s="256">
        <v>6.34</v>
      </c>
      <c r="AK63" s="257">
        <v>17504137</v>
      </c>
      <c r="AL63" s="257">
        <v>17504137</v>
      </c>
      <c r="AM63" s="258">
        <v>45838</v>
      </c>
      <c r="AN63" s="245" t="str">
        <f t="shared" si="12"/>
        <v>Tier 3</v>
      </c>
      <c r="AO63" s="243">
        <v>46462</v>
      </c>
      <c r="AP63" s="259">
        <f>IF(C63="","",DAYS360(Inputs!$J$8,AO63)/360)</f>
        <v>1.5611111111111111</v>
      </c>
      <c r="AQ63" s="259">
        <f t="shared" si="13"/>
        <v>1.5611111111111111</v>
      </c>
      <c r="AR63" s="246" t="s">
        <v>246</v>
      </c>
      <c r="AS63" s="248">
        <v>0</v>
      </c>
      <c r="AT63" s="246" t="s">
        <v>64</v>
      </c>
      <c r="AU63" s="248">
        <v>0.01</v>
      </c>
      <c r="AV63" s="248">
        <v>6.25E-2</v>
      </c>
      <c r="AW63" s="248">
        <v>4.2999999999999997E-2</v>
      </c>
      <c r="AX63" s="260">
        <f t="shared" si="14"/>
        <v>4.2999999999999997E-2</v>
      </c>
      <c r="AY63" s="248">
        <v>0</v>
      </c>
      <c r="AZ63" s="248">
        <v>0</v>
      </c>
      <c r="BA63" s="248">
        <v>0</v>
      </c>
      <c r="BB63" s="407">
        <f t="shared" si="15"/>
        <v>6.25E-2</v>
      </c>
      <c r="BC63" s="407" t="str">
        <f t="shared" si="16"/>
        <v/>
      </c>
      <c r="BD63" s="252" t="s">
        <v>247</v>
      </c>
      <c r="BE63" s="261" t="s">
        <v>462</v>
      </c>
      <c r="BF63" s="252" t="s">
        <v>7</v>
      </c>
      <c r="BG63" s="252" t="s">
        <v>460</v>
      </c>
      <c r="BH63" s="246" t="s">
        <v>246</v>
      </c>
      <c r="BI63" s="408" t="str">
        <f t="shared" si="17"/>
        <v>No</v>
      </c>
      <c r="BJ63" s="408" t="str">
        <f t="shared" si="18"/>
        <v>No</v>
      </c>
      <c r="BK63" s="246" t="s">
        <v>246</v>
      </c>
      <c r="BL63" s="246" t="s">
        <v>246</v>
      </c>
      <c r="BM63" s="246" t="s">
        <v>64</v>
      </c>
      <c r="BN63" s="246" t="s">
        <v>64</v>
      </c>
      <c r="BO63" s="246" t="s">
        <v>246</v>
      </c>
      <c r="BP63" s="246" t="s">
        <v>246</v>
      </c>
      <c r="BQ63" s="246" t="s">
        <v>246</v>
      </c>
      <c r="BR63" s="246" t="s">
        <v>246</v>
      </c>
      <c r="BS63" s="246" t="s">
        <v>246</v>
      </c>
      <c r="BT63" s="246" t="s">
        <v>246</v>
      </c>
      <c r="BU63" s="246" t="s">
        <v>246</v>
      </c>
      <c r="BV63" s="246" t="s">
        <v>246</v>
      </c>
      <c r="BW63" s="246" t="s">
        <v>246</v>
      </c>
      <c r="BX63" s="246" t="s">
        <v>246</v>
      </c>
      <c r="BY63" s="246" t="s">
        <v>246</v>
      </c>
      <c r="BZ63" s="246" t="s">
        <v>246</v>
      </c>
      <c r="CA63" s="246" t="s">
        <v>246</v>
      </c>
      <c r="CB63" s="246" t="s">
        <v>64</v>
      </c>
      <c r="CC63" s="262">
        <f t="shared" si="19"/>
        <v>298932.9782208</v>
      </c>
      <c r="CD63" s="262">
        <f t="shared" si="20"/>
        <v>0</v>
      </c>
      <c r="CE63" s="263"/>
      <c r="CF63" s="263">
        <f t="shared" si="150"/>
        <v>0</v>
      </c>
      <c r="CG63" s="263">
        <f t="shared" si="151"/>
        <v>0</v>
      </c>
      <c r="CH63" s="263">
        <f t="shared" si="152"/>
        <v>0</v>
      </c>
      <c r="CI63" s="263">
        <f t="shared" si="153"/>
        <v>0</v>
      </c>
      <c r="CJ63" s="263">
        <f t="shared" si="154"/>
        <v>0</v>
      </c>
      <c r="CK63" s="263">
        <f t="shared" si="155"/>
        <v>0</v>
      </c>
      <c r="CL63" s="263">
        <f t="shared" si="156"/>
        <v>0</v>
      </c>
      <c r="CM63" s="263">
        <f t="shared" si="157"/>
        <v>0</v>
      </c>
      <c r="CN63" s="263">
        <f t="shared" si="158"/>
        <v>0</v>
      </c>
      <c r="CO63" s="263">
        <f t="shared" si="159"/>
        <v>0</v>
      </c>
      <c r="CP63" s="263">
        <f t="shared" si="160"/>
        <v>0</v>
      </c>
      <c r="CQ63" s="263">
        <f t="shared" si="161"/>
        <v>0</v>
      </c>
      <c r="CR63" s="263">
        <f t="shared" si="162"/>
        <v>0</v>
      </c>
      <c r="CS63" s="263">
        <f t="shared" si="163"/>
        <v>0</v>
      </c>
      <c r="CT63" s="263">
        <f t="shared" si="164"/>
        <v>0</v>
      </c>
      <c r="CU63" s="263">
        <f t="shared" si="165"/>
        <v>0</v>
      </c>
      <c r="CV63" s="263">
        <f t="shared" si="166"/>
        <v>0</v>
      </c>
      <c r="CW63" s="263">
        <f t="shared" si="167"/>
        <v>0</v>
      </c>
      <c r="CX63" s="263">
        <f t="shared" si="168"/>
        <v>0</v>
      </c>
      <c r="CY63" s="263">
        <f t="shared" si="169"/>
        <v>0</v>
      </c>
      <c r="CZ63" s="263">
        <f t="shared" si="170"/>
        <v>0</v>
      </c>
      <c r="DA63" s="263">
        <f t="shared" si="171"/>
        <v>0</v>
      </c>
      <c r="DB63" s="263">
        <f t="shared" si="172"/>
        <v>0</v>
      </c>
      <c r="DC63" s="263">
        <f t="shared" si="173"/>
        <v>0</v>
      </c>
      <c r="DD63" s="263">
        <f t="shared" si="174"/>
        <v>1</v>
      </c>
      <c r="DE63" s="263">
        <f t="shared" si="175"/>
        <v>0</v>
      </c>
      <c r="DF63" s="263">
        <f t="shared" si="176"/>
        <v>2400004</v>
      </c>
      <c r="DG63" s="263">
        <f t="shared" si="177"/>
        <v>0</v>
      </c>
      <c r="DH63" s="263">
        <f t="shared" si="178"/>
        <v>2400004</v>
      </c>
      <c r="DI63" s="263">
        <f t="shared" si="179"/>
        <v>4800008</v>
      </c>
      <c r="DJ63" s="263">
        <f t="shared" si="180"/>
        <v>0</v>
      </c>
      <c r="DK63" s="263">
        <f t="shared" si="181"/>
        <v>0</v>
      </c>
      <c r="DL63" s="263">
        <f t="shared" si="182"/>
        <v>0</v>
      </c>
      <c r="DM63" s="263">
        <f t="shared" si="183"/>
        <v>0</v>
      </c>
      <c r="DN63" s="133"/>
      <c r="DO63" s="264">
        <f t="shared" si="184"/>
        <v>0</v>
      </c>
      <c r="DP63" s="265">
        <f t="shared" si="185"/>
        <v>0</v>
      </c>
      <c r="DQ63" s="264">
        <f t="shared" si="186"/>
        <v>2400004</v>
      </c>
      <c r="DR63" s="264">
        <f t="shared" si="187"/>
        <v>0</v>
      </c>
      <c r="DS63" s="265">
        <f t="shared" si="188"/>
        <v>0</v>
      </c>
      <c r="DT63" s="264">
        <f t="shared" si="189"/>
        <v>2400004</v>
      </c>
      <c r="DU63" s="264">
        <f t="shared" si="190"/>
        <v>0</v>
      </c>
      <c r="DV63" s="265">
        <f t="shared" si="191"/>
        <v>0</v>
      </c>
      <c r="DW63" s="264">
        <f t="shared" si="192"/>
        <v>2400004</v>
      </c>
      <c r="DX63" s="264">
        <f t="shared" si="193"/>
        <v>0</v>
      </c>
      <c r="DY63" s="265">
        <f t="shared" si="194"/>
        <v>0</v>
      </c>
      <c r="DZ63" s="264">
        <f t="shared" si="195"/>
        <v>2400004</v>
      </c>
      <c r="EA63" s="264">
        <f t="shared" si="196"/>
        <v>0</v>
      </c>
      <c r="EB63" s="265">
        <f t="shared" si="197"/>
        <v>0</v>
      </c>
      <c r="EC63" s="264">
        <f t="shared" si="198"/>
        <v>2400004</v>
      </c>
      <c r="ED63" s="264">
        <f t="shared" si="199"/>
        <v>0</v>
      </c>
      <c r="EE63" s="265">
        <f t="shared" si="200"/>
        <v>0</v>
      </c>
      <c r="EF63" s="264">
        <f t="shared" si="201"/>
        <v>2400004</v>
      </c>
      <c r="EG63" s="264">
        <f t="shared" si="202"/>
        <v>0</v>
      </c>
      <c r="EH63" s="265">
        <f t="shared" si="203"/>
        <v>0</v>
      </c>
      <c r="EI63" s="264">
        <f t="shared" si="204"/>
        <v>2400004</v>
      </c>
      <c r="EJ63" s="264">
        <f t="shared" si="205"/>
        <v>0</v>
      </c>
      <c r="EK63" s="265">
        <f t="shared" si="206"/>
        <v>0</v>
      </c>
      <c r="EL63" s="264">
        <f t="shared" si="207"/>
        <v>2400004</v>
      </c>
      <c r="EM63" s="264">
        <f t="shared" si="208"/>
        <v>0</v>
      </c>
      <c r="EN63" s="265">
        <f t="shared" si="209"/>
        <v>0</v>
      </c>
      <c r="EO63" s="264">
        <f t="shared" si="210"/>
        <v>2400004</v>
      </c>
      <c r="EP63" s="264">
        <f t="shared" si="211"/>
        <v>0</v>
      </c>
      <c r="EQ63" s="265">
        <f t="shared" si="212"/>
        <v>0</v>
      </c>
      <c r="ER63" s="264">
        <f t="shared" si="213"/>
        <v>2400004</v>
      </c>
      <c r="ES63" s="264">
        <f t="shared" si="214"/>
        <v>0</v>
      </c>
      <c r="ET63" s="265">
        <f t="shared" si="215"/>
        <v>0</v>
      </c>
      <c r="EU63" s="264">
        <f t="shared" si="216"/>
        <v>2400004</v>
      </c>
      <c r="EV63" s="264">
        <f>IF(AND(BM63="Yes",OR(BN63="No",AND(BN63="Yes",Inputs!$J$8=Inputs!$J$17+75))),EU63,0)</f>
        <v>0</v>
      </c>
      <c r="EW63" s="265">
        <f t="shared" si="217"/>
        <v>0</v>
      </c>
      <c r="EX63" s="264">
        <f t="shared" si="218"/>
        <v>2400004</v>
      </c>
      <c r="EY63" s="264">
        <f t="shared" si="219"/>
        <v>0</v>
      </c>
      <c r="EZ63" s="265">
        <f t="shared" si="220"/>
        <v>0</v>
      </c>
      <c r="FA63" s="264">
        <f t="shared" si="221"/>
        <v>2400004</v>
      </c>
      <c r="FB63" s="264">
        <f t="shared" si="222"/>
        <v>0</v>
      </c>
      <c r="FC63" s="265">
        <f t="shared" si="223"/>
        <v>0</v>
      </c>
      <c r="FD63" s="264">
        <f t="shared" si="224"/>
        <v>2400004</v>
      </c>
      <c r="FE63" s="264">
        <f t="shared" si="225"/>
        <v>0</v>
      </c>
      <c r="FF63" s="265">
        <f t="shared" si="226"/>
        <v>0</v>
      </c>
      <c r="FG63" s="264">
        <f t="shared" si="227"/>
        <v>2400004</v>
      </c>
      <c r="FH63" s="264">
        <f t="shared" si="228"/>
        <v>2400004</v>
      </c>
      <c r="FI63" s="264">
        <f t="shared" si="229"/>
        <v>0</v>
      </c>
      <c r="FJ63" s="264">
        <f t="shared" si="230"/>
        <v>2400004</v>
      </c>
      <c r="FK63" s="264">
        <f t="shared" si="231"/>
        <v>2400004</v>
      </c>
      <c r="FL63" s="264">
        <f t="shared" si="232"/>
        <v>0</v>
      </c>
      <c r="FM63" s="264">
        <f t="shared" si="233"/>
        <v>2400004</v>
      </c>
      <c r="FN63" s="264">
        <f t="shared" si="234"/>
        <v>2400004</v>
      </c>
      <c r="FO63" s="264">
        <f t="shared" si="235"/>
        <v>0</v>
      </c>
      <c r="FP63" s="264">
        <f t="shared" si="236"/>
        <v>2400004</v>
      </c>
      <c r="FQ63" s="264">
        <f t="shared" si="237"/>
        <v>0</v>
      </c>
      <c r="FR63" s="265">
        <f t="shared" si="238"/>
        <v>0</v>
      </c>
      <c r="FS63" s="264">
        <f t="shared" si="239"/>
        <v>2400004</v>
      </c>
      <c r="FT63" s="264">
        <f t="shared" si="240"/>
        <v>0</v>
      </c>
      <c r="FU63" s="265">
        <f t="shared" si="241"/>
        <v>0</v>
      </c>
      <c r="FV63" s="264">
        <f t="shared" si="242"/>
        <v>2400004</v>
      </c>
      <c r="FW63" s="264">
        <f t="shared" si="243"/>
        <v>0</v>
      </c>
      <c r="FX63" s="264">
        <f t="shared" si="244"/>
        <v>0</v>
      </c>
      <c r="FY63" s="264">
        <f t="shared" si="245"/>
        <v>0</v>
      </c>
      <c r="FZ63" s="264">
        <f t="shared" si="246"/>
        <v>0</v>
      </c>
      <c r="GA63" s="265">
        <f t="shared" si="296"/>
        <v>0</v>
      </c>
      <c r="GB63" s="264">
        <f t="shared" si="297"/>
        <v>2400004</v>
      </c>
      <c r="GC63" s="264">
        <f t="shared" si="247"/>
        <v>2400004</v>
      </c>
      <c r="GD63" s="266">
        <f t="shared" si="248"/>
        <v>1740002.9</v>
      </c>
      <c r="GE63" s="138">
        <f t="shared" si="249"/>
        <v>0.36249999999999999</v>
      </c>
      <c r="GF63" s="267">
        <f t="shared" si="250"/>
        <v>59</v>
      </c>
      <c r="GG63" s="264">
        <f t="array" ref="GG63">IF(SUM(IF(IC$9:IC62=IC63,1,0))&gt;0,0,SUMIF($IC$10:$IC$406,IC63,$FJ$10:$FJ$406))</f>
        <v>0</v>
      </c>
      <c r="GH63" s="268">
        <f t="shared" si="251"/>
        <v>0</v>
      </c>
      <c r="GI63" s="137">
        <f t="shared" si="126"/>
        <v>54</v>
      </c>
      <c r="GJ63" s="269">
        <f t="shared" si="252"/>
        <v>0</v>
      </c>
      <c r="GK63" s="269">
        <f t="shared" si="253"/>
        <v>0</v>
      </c>
      <c r="GL63" s="163">
        <f t="shared" si="254"/>
        <v>0</v>
      </c>
      <c r="GM63" s="137">
        <f t="array" ref="GM63">IF(GJ63=0,0,LARGE(IF($GG$10:$GG$406=GJ63,$GF$10:$GF$406,0),COUNTIF($GJ$10:$GJ$406,GJ63)-COUNTIF(GJ$9:GJ62,GJ63)))</f>
        <v>0</v>
      </c>
      <c r="GN63" s="270">
        <f t="shared" si="255"/>
        <v>0</v>
      </c>
      <c r="GP63" s="137">
        <f>IF(C63="","",IF(ISERROR(MATCH(C63,C$10:C62,0)),MAX(GP$10:GP62)+1,INDEX(GP$10:GP62,MATCH(C63,C$10:C62,0))))</f>
        <v>45</v>
      </c>
      <c r="GQ63" s="264">
        <f>IF(COUNTIF($A$10:A63,A63)&lt;=1,SUMIF($A$10:$A$406,A63,$FH$10:$FH$406),0)</f>
        <v>2400004</v>
      </c>
      <c r="GR63" s="137">
        <f t="shared" si="130"/>
        <v>54</v>
      </c>
      <c r="GS63" s="269">
        <f t="shared" si="256"/>
        <v>4827814</v>
      </c>
      <c r="GT63" s="269">
        <f t="shared" si="257"/>
        <v>50964284.172430128</v>
      </c>
      <c r="GU63" s="163">
        <f t="shared" si="258"/>
        <v>0</v>
      </c>
      <c r="GV63" s="137">
        <f t="array" ref="GV63">IF(GS63=0,0,LARGE(IF($GQ$10:$GQ$406=GS63,$GP$10:$GP$406,0),COUNTIF($GS$10:$GS$406,GS63)-COUNTIF(GS$9:GS62,GS63)))</f>
        <v>56</v>
      </c>
      <c r="GW63" s="270">
        <f t="shared" si="259"/>
        <v>0</v>
      </c>
      <c r="GX63" s="270"/>
      <c r="GY63" s="137">
        <f>IF(C63="","",IF(ISERROR(MATCH(C63,C$10:C62,0)),MAX(GP$10:GP62)+1,INDEX(GP$10:GP62,MATCH(C63,C$10:C62,0))))</f>
        <v>45</v>
      </c>
      <c r="GZ63" s="264">
        <f>IF(COUNTIF($A$10:A63,A63)&lt;=1,SUMIF($A$10:$A$406,A63,$FH$10:$FH$406),0)</f>
        <v>2400004</v>
      </c>
      <c r="HA63" s="137">
        <f t="shared" si="134"/>
        <v>54</v>
      </c>
      <c r="HB63" s="269">
        <f t="shared" si="260"/>
        <v>4827814</v>
      </c>
      <c r="HC63" s="414" t="s">
        <v>622</v>
      </c>
      <c r="HD63" s="163">
        <f t="shared" si="261"/>
        <v>0</v>
      </c>
      <c r="HE63" s="137">
        <f t="array" ref="HE63">IF(HB63=0,0,LARGE(IF($GZ$10:$GZ$406=HB63,$GY$10:$GY$406,0),COUNTIF($HB$10:$HB$406,HB63)-COUNTIF(HB$9:HB62,HB63)))</f>
        <v>56</v>
      </c>
      <c r="HF63" s="270">
        <f t="shared" si="262"/>
        <v>0</v>
      </c>
      <c r="HG63" s="270"/>
      <c r="HH63" s="268">
        <f t="shared" si="263"/>
        <v>0</v>
      </c>
      <c r="HI63" s="271">
        <v>0</v>
      </c>
      <c r="HJ63" s="264">
        <f t="shared" si="264"/>
        <v>0</v>
      </c>
      <c r="HK63" s="140"/>
      <c r="HL63" s="137">
        <f t="shared" si="265"/>
        <v>54</v>
      </c>
      <c r="HM63" s="264">
        <f t="shared" si="300"/>
        <v>9177000</v>
      </c>
      <c r="HO63" s="199">
        <f t="shared" si="301"/>
        <v>2400004</v>
      </c>
      <c r="HP63" s="199">
        <f t="shared" si="302"/>
        <v>4800008</v>
      </c>
      <c r="HQ63" s="199" t="str">
        <f t="shared" si="303"/>
        <v/>
      </c>
      <c r="HR63" s="199" t="str">
        <f t="shared" si="304"/>
        <v/>
      </c>
      <c r="HS63" s="199" t="str">
        <f t="shared" si="119"/>
        <v/>
      </c>
      <c r="HT63" s="199">
        <f t="shared" si="305"/>
        <v>2400004</v>
      </c>
      <c r="HU63" s="199" t="str">
        <f t="shared" si="306"/>
        <v/>
      </c>
      <c r="HV63" s="200">
        <f t="shared" si="307"/>
        <v>0</v>
      </c>
      <c r="HW63" s="272" t="str">
        <f t="shared" si="308"/>
        <v/>
      </c>
      <c r="HX63" s="200">
        <f t="shared" si="309"/>
        <v>0</v>
      </c>
      <c r="HY63" s="200">
        <f t="shared" si="310"/>
        <v>2400004</v>
      </c>
      <c r="HZ63" s="200">
        <f t="shared" si="4"/>
        <v>0</v>
      </c>
      <c r="IA63" s="200">
        <f t="shared" si="311"/>
        <v>0</v>
      </c>
      <c r="IB63" s="200">
        <f t="shared" si="312"/>
        <v>0</v>
      </c>
      <c r="IC63" s="273">
        <f>IF(C63="","",INDEX(Lookups!$E$2:$E$69,MATCH('Loan List'!BE63,Lookups!$F$2:$F$69,0)))</f>
        <v>59</v>
      </c>
      <c r="ID63" t="b">
        <f t="shared" si="313"/>
        <v>1</v>
      </c>
      <c r="IE63"/>
      <c r="IF63" s="346" t="str">
        <f t="shared" si="121"/>
        <v>No Initial Haircut</v>
      </c>
    </row>
    <row r="64" spans="1:240" ht="15" customHeight="1">
      <c r="A64" t="s">
        <v>706</v>
      </c>
      <c r="B64" s="242">
        <f t="shared" si="149"/>
        <v>55</v>
      </c>
      <c r="C64" s="242">
        <f>IF(COUNTIF($A$10:A63,A64)&gt;0,C63,C63+1)</f>
        <v>46</v>
      </c>
      <c r="D64" s="428" t="s">
        <v>706</v>
      </c>
      <c r="E64" s="428" t="s">
        <v>701</v>
      </c>
      <c r="F64" s="429"/>
      <c r="G64" s="430">
        <v>7500000</v>
      </c>
      <c r="H64" s="430">
        <v>7500000</v>
      </c>
      <c r="I64" s="244">
        <f>IF(B64="","",VLOOKUP(BF64,Inputs!$A$12:$J$15,10,FALSE))</f>
        <v>1</v>
      </c>
      <c r="J64" s="245">
        <f>IF(B64="","",G64*I64)</f>
        <v>7500000</v>
      </c>
      <c r="K64" s="245">
        <f>IF(B64="","",H64*I64)</f>
        <v>7500000</v>
      </c>
      <c r="L64" s="245">
        <f>IF(B64="","",IF(COUNTIF($CF64:$CY64,1)&gt;0,0,J64))</f>
        <v>7500000</v>
      </c>
      <c r="M64" s="245">
        <f>IF(B64="","",IF(COUNTIF($CF64:$CY64,1)&gt;0,0,K64))</f>
        <v>7500000</v>
      </c>
      <c r="N64" s="246" t="s">
        <v>246</v>
      </c>
      <c r="O64" s="246" t="s">
        <v>245</v>
      </c>
      <c r="P64" s="247">
        <f>IF(B64="","",IF(OR(O64="N/A",O64=""),0,YEARFRAC('Borrowing Base'!$J$4,'Loan List'!O64)*12))</f>
        <v>0</v>
      </c>
      <c r="Q64" s="246" t="s">
        <v>246</v>
      </c>
      <c r="R64" s="248">
        <v>0.99</v>
      </c>
      <c r="S64" s="249" t="str">
        <f>IF(B64="","",IF(R64&lt;95%,"Yes","No"))</f>
        <v>No</v>
      </c>
      <c r="T64" s="248">
        <v>0.99</v>
      </c>
      <c r="U64" s="250">
        <f>IF(B64="","",IF(OR(Y64="First Lien",Y64="Split First Lien",Y64="Tier 1 Split Lien",Y64="Tier 2 Split Lien"),50%,30%))</f>
        <v>0.5</v>
      </c>
      <c r="V64" s="250">
        <f t="shared" si="10"/>
        <v>0.72499999999999998</v>
      </c>
      <c r="W64" s="251">
        <f t="shared" si="11"/>
        <v>7500000</v>
      </c>
      <c r="X64" s="246" t="s">
        <v>246</v>
      </c>
      <c r="Y64" s="252" t="s">
        <v>483</v>
      </c>
      <c r="Z64" s="252" t="s">
        <v>484</v>
      </c>
      <c r="AA64" s="253" t="s">
        <v>407</v>
      </c>
      <c r="AB64" s="253" t="s">
        <v>713</v>
      </c>
      <c r="AC64" s="254">
        <v>3.02</v>
      </c>
      <c r="AD64" s="254">
        <v>3.0236847775471594</v>
      </c>
      <c r="AE64" s="254">
        <v>3.7793694920129792</v>
      </c>
      <c r="AF64" s="255">
        <v>0.23100000000000001</v>
      </c>
      <c r="AG64" s="256">
        <v>2.09</v>
      </c>
      <c r="AH64" s="256">
        <v>2.09</v>
      </c>
      <c r="AI64" s="256">
        <v>2.0852083996572839</v>
      </c>
      <c r="AJ64" s="256">
        <v>2.0852083996572839</v>
      </c>
      <c r="AK64" s="257">
        <v>5769000</v>
      </c>
      <c r="AL64" s="257">
        <v>11538415.059115624</v>
      </c>
      <c r="AM64" s="258">
        <v>45716</v>
      </c>
      <c r="AN64" s="245" t="str">
        <f>IF(C64="","",(IF(AK64&gt;=50000000,"Tier 1",(IF(OR(AK64&gt;=20000000,AND(AK64&gt;5000000,AC64&gt;=1.25,AF64&lt;=0.65)),"Tier 2","Tier 3")))))</f>
        <v>Tier 2</v>
      </c>
      <c r="AO64" s="243">
        <v>48012</v>
      </c>
      <c r="AP64" s="259">
        <f>IF(C64="","",DAYS360(Inputs!$J$8,AO64)/360)</f>
        <v>5.802777777777778</v>
      </c>
      <c r="AQ64" s="259">
        <f>IF(C64="","",AP64)</f>
        <v>5.802777777777778</v>
      </c>
      <c r="AR64" s="246" t="s">
        <v>246</v>
      </c>
      <c r="AS64" s="248">
        <v>0</v>
      </c>
      <c r="AT64" s="246" t="s">
        <v>64</v>
      </c>
      <c r="AU64" s="248">
        <v>0.01</v>
      </c>
      <c r="AV64" s="248">
        <v>5.7500000000000002E-2</v>
      </c>
      <c r="AW64" s="248">
        <v>4.3224999999999993E-2</v>
      </c>
      <c r="AX64" s="260">
        <f>IF(C64="","",MAX(AU64,AW64))</f>
        <v>4.3224999999999993E-2</v>
      </c>
      <c r="AY64" s="248">
        <v>0</v>
      </c>
      <c r="AZ64" s="248">
        <v>0</v>
      </c>
      <c r="BA64" s="248">
        <v>0</v>
      </c>
      <c r="BB64" s="407">
        <f>IF(B64="","",IF(AR64="No",AV64-AZ64,""))</f>
        <v>5.7500000000000002E-2</v>
      </c>
      <c r="BC64" s="407" t="str">
        <f>IF(B64="","",IF(AR64="Yes",AS64-BA64,""))</f>
        <v/>
      </c>
      <c r="BD64" s="252" t="s">
        <v>247</v>
      </c>
      <c r="BE64" s="261" t="s">
        <v>408</v>
      </c>
      <c r="BF64" s="252" t="s">
        <v>7</v>
      </c>
      <c r="BG64" s="252" t="s">
        <v>460</v>
      </c>
      <c r="BH64" s="246" t="s">
        <v>246</v>
      </c>
      <c r="BI64" s="408" t="str">
        <f t="shared" si="17"/>
        <v>No</v>
      </c>
      <c r="BJ64" s="408" t="str">
        <f>IF(B64="","",IF(OR(AND(AZ64&gt;0,BB64&lt;2.5%),AND(BA64&gt;0,BC64&lt;6%)),"Yes","No"))</f>
        <v>No</v>
      </c>
      <c r="BK64" s="246" t="s">
        <v>246</v>
      </c>
      <c r="BL64" s="246" t="s">
        <v>246</v>
      </c>
      <c r="BM64" s="246" t="s">
        <v>246</v>
      </c>
      <c r="BN64" s="246" t="s">
        <v>246</v>
      </c>
      <c r="BO64" s="246" t="s">
        <v>246</v>
      </c>
      <c r="BP64" s="246" t="s">
        <v>246</v>
      </c>
      <c r="BQ64" s="246" t="s">
        <v>246</v>
      </c>
      <c r="BR64" s="246" t="s">
        <v>246</v>
      </c>
      <c r="BS64" s="246" t="s">
        <v>246</v>
      </c>
      <c r="BT64" s="246" t="s">
        <v>246</v>
      </c>
      <c r="BU64" s="246" t="s">
        <v>246</v>
      </c>
      <c r="BV64" s="246" t="s">
        <v>246</v>
      </c>
      <c r="BW64" s="246" t="s">
        <v>246</v>
      </c>
      <c r="BX64" s="246" t="s">
        <v>246</v>
      </c>
      <c r="BY64" s="246" t="s">
        <v>246</v>
      </c>
      <c r="BZ64" s="246" t="s">
        <v>246</v>
      </c>
      <c r="CA64" s="246" t="s">
        <v>246</v>
      </c>
      <c r="CB64" s="246" t="s">
        <v>64</v>
      </c>
      <c r="CC64" s="262">
        <f>IF(B64="","",IF(AT64="No",((BB64+AW64)-$AZ$4),((BB64+AX64)-$AZ$4))*IF(DE64&gt;0,0,M64))</f>
        <v>431269.49999999994</v>
      </c>
      <c r="CD64" s="262">
        <f>IF(B64="","",AY64*(L64-M64)*IF(DE64&gt;0,0,1))</f>
        <v>0</v>
      </c>
      <c r="CE64" s="263"/>
      <c r="CF64" s="263">
        <f t="shared" si="150"/>
        <v>0</v>
      </c>
      <c r="CG64" s="263">
        <f t="shared" si="151"/>
        <v>0</v>
      </c>
      <c r="CH64" s="263">
        <f t="shared" si="152"/>
        <v>0</v>
      </c>
      <c r="CI64" s="263">
        <f t="shared" si="153"/>
        <v>0</v>
      </c>
      <c r="CJ64" s="263">
        <f t="shared" si="154"/>
        <v>0</v>
      </c>
      <c r="CK64" s="263">
        <f t="shared" si="155"/>
        <v>0</v>
      </c>
      <c r="CL64" s="263">
        <f t="shared" si="156"/>
        <v>0</v>
      </c>
      <c r="CM64" s="263">
        <f t="shared" si="157"/>
        <v>0</v>
      </c>
      <c r="CN64" s="263">
        <f t="shared" si="158"/>
        <v>0</v>
      </c>
      <c r="CO64" s="263">
        <f t="shared" si="159"/>
        <v>0</v>
      </c>
      <c r="CP64" s="263">
        <f t="shared" si="160"/>
        <v>0</v>
      </c>
      <c r="CQ64" s="263">
        <f t="shared" si="161"/>
        <v>0</v>
      </c>
      <c r="CR64" s="263">
        <f t="shared" si="162"/>
        <v>0</v>
      </c>
      <c r="CS64" s="263">
        <f t="shared" si="163"/>
        <v>0</v>
      </c>
      <c r="CT64" s="263">
        <f t="shared" si="164"/>
        <v>0</v>
      </c>
      <c r="CU64" s="263">
        <f t="shared" si="165"/>
        <v>0</v>
      </c>
      <c r="CV64" s="263">
        <f t="shared" si="166"/>
        <v>0</v>
      </c>
      <c r="CW64" s="263">
        <f t="shared" si="167"/>
        <v>0</v>
      </c>
      <c r="CX64" s="263">
        <f t="shared" si="168"/>
        <v>0</v>
      </c>
      <c r="CY64" s="263">
        <f t="shared" si="169"/>
        <v>0</v>
      </c>
      <c r="CZ64" s="263">
        <f t="shared" si="170"/>
        <v>0</v>
      </c>
      <c r="DA64" s="263">
        <f t="shared" si="171"/>
        <v>0</v>
      </c>
      <c r="DB64" s="263">
        <f t="shared" si="172"/>
        <v>0</v>
      </c>
      <c r="DC64" s="263">
        <f t="shared" si="173"/>
        <v>0</v>
      </c>
      <c r="DD64" s="263">
        <f t="shared" si="174"/>
        <v>0</v>
      </c>
      <c r="DE64" s="263">
        <f t="shared" si="175"/>
        <v>0</v>
      </c>
      <c r="DF64" s="263">
        <f t="shared" si="176"/>
        <v>7500000</v>
      </c>
      <c r="DG64" s="263">
        <f t="shared" si="177"/>
        <v>0</v>
      </c>
      <c r="DH64" s="263">
        <f t="shared" si="178"/>
        <v>7500000</v>
      </c>
      <c r="DI64" s="263">
        <f t="shared" si="179"/>
        <v>7500000</v>
      </c>
      <c r="DJ64" s="263">
        <f t="shared" si="180"/>
        <v>0</v>
      </c>
      <c r="DK64" s="263">
        <f t="shared" si="181"/>
        <v>0</v>
      </c>
      <c r="DL64" s="263">
        <f t="shared" si="182"/>
        <v>0</v>
      </c>
      <c r="DM64" s="263">
        <f t="shared" si="183"/>
        <v>0</v>
      </c>
      <c r="DO64" s="264">
        <f t="shared" si="184"/>
        <v>0</v>
      </c>
      <c r="DP64" s="265">
        <f t="shared" si="185"/>
        <v>0</v>
      </c>
      <c r="DQ64" s="264">
        <f t="shared" si="186"/>
        <v>7500000</v>
      </c>
      <c r="DR64" s="264">
        <f t="shared" si="187"/>
        <v>0</v>
      </c>
      <c r="DS64" s="265">
        <f t="shared" si="188"/>
        <v>0</v>
      </c>
      <c r="DT64" s="264">
        <f t="shared" si="189"/>
        <v>7500000</v>
      </c>
      <c r="DU64" s="264">
        <f t="shared" si="190"/>
        <v>0</v>
      </c>
      <c r="DV64" s="265">
        <f t="shared" si="191"/>
        <v>0</v>
      </c>
      <c r="DW64" s="264">
        <f t="shared" si="192"/>
        <v>7500000</v>
      </c>
      <c r="DX64" s="264">
        <f t="shared" si="193"/>
        <v>0</v>
      </c>
      <c r="DY64" s="265">
        <f t="shared" si="194"/>
        <v>0</v>
      </c>
      <c r="DZ64" s="264">
        <f t="shared" si="195"/>
        <v>7500000</v>
      </c>
      <c r="EA64" s="264">
        <f t="shared" si="196"/>
        <v>0</v>
      </c>
      <c r="EB64" s="265">
        <f t="shared" si="197"/>
        <v>0</v>
      </c>
      <c r="EC64" s="264">
        <f t="shared" si="198"/>
        <v>7500000</v>
      </c>
      <c r="ED64" s="264">
        <f t="shared" si="199"/>
        <v>0</v>
      </c>
      <c r="EE64" s="265">
        <f t="shared" si="200"/>
        <v>0</v>
      </c>
      <c r="EF64" s="264">
        <f t="shared" si="201"/>
        <v>7500000</v>
      </c>
      <c r="EG64" s="264">
        <f t="shared" si="202"/>
        <v>0</v>
      </c>
      <c r="EH64" s="265">
        <f t="shared" si="203"/>
        <v>0</v>
      </c>
      <c r="EI64" s="264">
        <f t="shared" si="204"/>
        <v>7500000</v>
      </c>
      <c r="EJ64" s="264">
        <f t="shared" si="205"/>
        <v>0</v>
      </c>
      <c r="EK64" s="265">
        <f t="shared" si="206"/>
        <v>0</v>
      </c>
      <c r="EL64" s="264">
        <f t="shared" si="207"/>
        <v>7500000</v>
      </c>
      <c r="EM64" s="264">
        <f t="shared" si="208"/>
        <v>0</v>
      </c>
      <c r="EN64" s="265">
        <f t="shared" si="209"/>
        <v>0</v>
      </c>
      <c r="EO64" s="264">
        <f t="shared" si="210"/>
        <v>7500000</v>
      </c>
      <c r="EP64" s="264">
        <f t="shared" si="211"/>
        <v>0</v>
      </c>
      <c r="EQ64" s="265">
        <f t="shared" si="212"/>
        <v>0</v>
      </c>
      <c r="ER64" s="264">
        <f t="shared" si="213"/>
        <v>7500000</v>
      </c>
      <c r="ES64" s="264">
        <f t="shared" si="214"/>
        <v>0</v>
      </c>
      <c r="ET64" s="265">
        <f t="shared" si="215"/>
        <v>0</v>
      </c>
      <c r="EU64" s="264">
        <f t="shared" si="216"/>
        <v>7500000</v>
      </c>
      <c r="EV64" s="264">
        <f>IF(AND(BM64="Yes",OR(BN64="No",AND(BN64="Yes",Inputs!$J$8=Inputs!$J$17+75))),EU64,0)</f>
        <v>0</v>
      </c>
      <c r="EW64" s="265">
        <f t="shared" si="217"/>
        <v>0</v>
      </c>
      <c r="EX64" s="264">
        <f t="shared" si="218"/>
        <v>7500000</v>
      </c>
      <c r="EY64" s="264">
        <f t="shared" si="219"/>
        <v>0</v>
      </c>
      <c r="EZ64" s="265">
        <f t="shared" si="220"/>
        <v>0</v>
      </c>
      <c r="FA64" s="264">
        <f t="shared" si="221"/>
        <v>7500000</v>
      </c>
      <c r="FB64" s="264">
        <f t="shared" si="222"/>
        <v>0</v>
      </c>
      <c r="FC64" s="265">
        <f t="shared" si="223"/>
        <v>0</v>
      </c>
      <c r="FD64" s="264">
        <f t="shared" si="224"/>
        <v>7500000</v>
      </c>
      <c r="FE64" s="264">
        <f t="shared" si="225"/>
        <v>0</v>
      </c>
      <c r="FF64" s="265">
        <f t="shared" si="226"/>
        <v>0</v>
      </c>
      <c r="FG64" s="264">
        <f t="shared" si="227"/>
        <v>7500000</v>
      </c>
      <c r="FH64" s="264">
        <f t="shared" si="228"/>
        <v>7500000</v>
      </c>
      <c r="FI64" s="264">
        <f t="shared" si="229"/>
        <v>0</v>
      </c>
      <c r="FJ64" s="264">
        <f t="shared" si="230"/>
        <v>7500000</v>
      </c>
      <c r="FK64" s="264">
        <f t="shared" si="231"/>
        <v>7500000</v>
      </c>
      <c r="FL64" s="264">
        <f t="shared" si="232"/>
        <v>0</v>
      </c>
      <c r="FM64" s="264">
        <f t="shared" si="233"/>
        <v>7500000</v>
      </c>
      <c r="FN64" s="264">
        <f t="shared" si="234"/>
        <v>7500000</v>
      </c>
      <c r="FO64" s="264">
        <f t="shared" si="235"/>
        <v>0</v>
      </c>
      <c r="FP64" s="264">
        <f t="shared" si="236"/>
        <v>7500000</v>
      </c>
      <c r="FQ64" s="264">
        <f t="shared" si="237"/>
        <v>0</v>
      </c>
      <c r="FR64" s="265">
        <f t="shared" si="238"/>
        <v>0</v>
      </c>
      <c r="FS64" s="264">
        <f t="shared" si="239"/>
        <v>7500000</v>
      </c>
      <c r="FT64" s="264">
        <f t="shared" si="240"/>
        <v>7500000</v>
      </c>
      <c r="FU64" s="265">
        <f t="shared" si="241"/>
        <v>0</v>
      </c>
      <c r="FV64" s="264">
        <f t="shared" si="242"/>
        <v>7500000</v>
      </c>
      <c r="FW64" s="264">
        <f t="shared" si="243"/>
        <v>0</v>
      </c>
      <c r="FX64" s="264">
        <f t="shared" si="244"/>
        <v>0</v>
      </c>
      <c r="FY64" s="264">
        <f t="shared" si="245"/>
        <v>0</v>
      </c>
      <c r="FZ64" s="264">
        <f t="shared" si="246"/>
        <v>0</v>
      </c>
      <c r="GA64" s="265">
        <f t="shared" si="296"/>
        <v>0</v>
      </c>
      <c r="GB64" s="264">
        <f t="shared" si="297"/>
        <v>7500000</v>
      </c>
      <c r="GC64" s="264">
        <f t="shared" si="247"/>
        <v>7500000</v>
      </c>
      <c r="GD64" s="266">
        <f t="shared" si="248"/>
        <v>5437500</v>
      </c>
      <c r="GE64" s="138">
        <f t="shared" si="249"/>
        <v>0.72499999999999998</v>
      </c>
      <c r="GF64" s="267">
        <f t="shared" si="250"/>
        <v>31</v>
      </c>
      <c r="GG64" s="264">
        <f t="array" ref="GG64">IF(SUM(IF(IC$9:IC63=IC64,1,0))&gt;0,0,SUMIF($IC$10:$IC$406,IC64,$FJ$10:$FJ$406))</f>
        <v>0</v>
      </c>
      <c r="GH64" s="268">
        <f t="shared" si="251"/>
        <v>0</v>
      </c>
      <c r="GI64" s="137">
        <f t="shared" si="126"/>
        <v>55</v>
      </c>
      <c r="GJ64" s="269">
        <f t="shared" si="252"/>
        <v>0</v>
      </c>
      <c r="GK64" s="269">
        <f t="shared" si="253"/>
        <v>0</v>
      </c>
      <c r="GL64" s="163">
        <f t="shared" si="254"/>
        <v>0</v>
      </c>
      <c r="GM64" s="137">
        <f t="array" ref="GM64">IF(GJ64=0,0,LARGE(IF($GG$10:$GG$406=GJ64,$GF$10:$GF$406,0),COUNTIF($GJ$10:$GJ$406,GJ64)-COUNTIF(GJ$9:GJ63,GJ64)))</f>
        <v>0</v>
      </c>
      <c r="GN64" s="270">
        <f t="shared" si="255"/>
        <v>0</v>
      </c>
      <c r="GP64" s="137">
        <f>IF(C64="","",IF(ISERROR(MATCH(C64,C$10:C63,0)),MAX(GP$10:GP63)+1,INDEX(GP$10:GP63,MATCH(C64,C$10:C63,0))))</f>
        <v>46</v>
      </c>
      <c r="GQ64" s="264">
        <f>IF(COUNTIF($A$10:A64,A64)&lt;=1,SUMIF($A$10:$A$406,A64,$FH$10:$FH$406),0)</f>
        <v>7500000</v>
      </c>
      <c r="GR64" s="137">
        <f t="shared" si="130"/>
        <v>55</v>
      </c>
      <c r="GS64" s="269">
        <f t="shared" si="256"/>
        <v>4825000</v>
      </c>
      <c r="GT64" s="269">
        <f t="shared" si="257"/>
        <v>50964284.172430128</v>
      </c>
      <c r="GU64" s="163">
        <f t="shared" si="258"/>
        <v>0</v>
      </c>
      <c r="GV64" s="137">
        <f t="array" ref="GV64">IF(GS64=0,0,LARGE(IF($GQ$10:$GQ$406=GS64,$GP$10:$GP$406,0),COUNTIF($GS$10:$GS$406,GS64)-COUNTIF(GS$9:GS63,GS64)))</f>
        <v>68</v>
      </c>
      <c r="GW64" s="270">
        <f t="shared" si="259"/>
        <v>0</v>
      </c>
      <c r="GX64" s="270"/>
      <c r="GY64" s="137">
        <f>IF(C64="","",IF(ISERROR(MATCH(C64,C$10:C63,0)),MAX(GP$10:GP63)+1,INDEX(GP$10:GP63,MATCH(C64,C$10:C63,0))))</f>
        <v>46</v>
      </c>
      <c r="GZ64" s="264">
        <f>IF(COUNTIF($A$10:A64,A64)&lt;=1,SUMIF($A$10:$A$406,A64,$FH$10:$FH$406),0)</f>
        <v>7500000</v>
      </c>
      <c r="HA64" s="137">
        <f t="shared" si="134"/>
        <v>55</v>
      </c>
      <c r="HB64" s="269">
        <f t="shared" si="260"/>
        <v>4825000</v>
      </c>
      <c r="HC64" s="414" t="s">
        <v>622</v>
      </c>
      <c r="HD64" s="163">
        <f t="shared" si="261"/>
        <v>0</v>
      </c>
      <c r="HE64" s="137">
        <f t="array" ref="HE64">IF(HB64=0,0,LARGE(IF($GZ$10:$GZ$406=HB64,$GY$10:$GY$406,0),COUNTIF($HB$10:$HB$406,HB64)-COUNTIF(HB$9:HB63,HB64)))</f>
        <v>68</v>
      </c>
      <c r="HF64" s="270">
        <f t="shared" si="262"/>
        <v>0</v>
      </c>
      <c r="HG64" s="270"/>
      <c r="HH64" s="268">
        <f t="shared" si="263"/>
        <v>0</v>
      </c>
      <c r="HI64" s="271">
        <v>0</v>
      </c>
      <c r="HJ64" s="264">
        <f t="shared" si="264"/>
        <v>0</v>
      </c>
      <c r="HL64" s="137">
        <f t="shared" si="265"/>
        <v>55</v>
      </c>
      <c r="HM64" s="264">
        <f t="shared" si="300"/>
        <v>5116017</v>
      </c>
      <c r="HN64"/>
      <c r="HO64" s="199">
        <f t="shared" si="301"/>
        <v>7500000</v>
      </c>
      <c r="HP64" s="199">
        <f t="shared" si="302"/>
        <v>7500000</v>
      </c>
      <c r="HQ64" s="199" t="str">
        <f t="shared" si="303"/>
        <v/>
      </c>
      <c r="HR64" s="199" t="str">
        <f t="shared" si="304"/>
        <v/>
      </c>
      <c r="HS64" s="199" t="str">
        <f t="shared" si="119"/>
        <v/>
      </c>
      <c r="HT64" s="199" t="str">
        <f t="shared" si="305"/>
        <v/>
      </c>
      <c r="HU64" s="199" t="str">
        <f t="shared" si="306"/>
        <v/>
      </c>
      <c r="HV64" s="200">
        <f t="shared" si="307"/>
        <v>0</v>
      </c>
      <c r="HW64" s="272">
        <f t="shared" si="308"/>
        <v>1</v>
      </c>
      <c r="HX64" s="200" t="str">
        <f t="shared" si="309"/>
        <v/>
      </c>
      <c r="HY64" s="200">
        <f t="shared" si="310"/>
        <v>0</v>
      </c>
      <c r="HZ64" s="200" t="str">
        <f t="shared" si="4"/>
        <v/>
      </c>
      <c r="IA64" s="200" t="str">
        <f t="shared" si="311"/>
        <v/>
      </c>
      <c r="IB64" s="200" t="str">
        <f t="shared" si="312"/>
        <v/>
      </c>
      <c r="IC64" s="273">
        <f>IF(C64="","",INDEX(Lookups!$E$2:$E$69,MATCH('Loan List'!BE64,Lookups!$F$2:$F$69,0)))</f>
        <v>31</v>
      </c>
      <c r="ID64" t="b">
        <f t="shared" si="313"/>
        <v>1</v>
      </c>
      <c r="IF64" s="346" t="str">
        <f>IF(B64="","",IF(AND(Y64="Second Lien",OR(DA64=1,DB64=1,DC64=1)),50%,IF(DA64=1,90%,IF(DB64=1,80%,IF(DC64=1,65%,"No Initial Haircut")))))</f>
        <v>No Initial Haircut</v>
      </c>
    </row>
    <row r="65" spans="1:240">
      <c r="A65" t="s">
        <v>604</v>
      </c>
      <c r="B65" s="242">
        <f t="shared" si="149"/>
        <v>56</v>
      </c>
      <c r="C65" s="242">
        <f>IF(COUNTIF($A$10:A64,A65)&gt;0,C64,C64+1)</f>
        <v>47</v>
      </c>
      <c r="D65" s="428" t="s">
        <v>604</v>
      </c>
      <c r="E65" s="428" t="s">
        <v>549</v>
      </c>
      <c r="F65" s="429"/>
      <c r="G65" s="430">
        <v>196059.00999999998</v>
      </c>
      <c r="H65" s="430">
        <v>196059.00999999998</v>
      </c>
      <c r="I65" s="244">
        <f>IF(B65="","",VLOOKUP(BF65,Inputs!$A$12:$J$15,10,FALSE))</f>
        <v>1</v>
      </c>
      <c r="J65" s="245">
        <f t="shared" si="5"/>
        <v>196059.00999999998</v>
      </c>
      <c r="K65" s="245">
        <f t="shared" si="6"/>
        <v>196059.00999999998</v>
      </c>
      <c r="L65" s="245">
        <f t="shared" si="7"/>
        <v>196059.00999999998</v>
      </c>
      <c r="M65" s="245">
        <f t="shared" si="8"/>
        <v>196059.00999999998</v>
      </c>
      <c r="N65" s="246" t="s">
        <v>246</v>
      </c>
      <c r="O65" s="246" t="s">
        <v>245</v>
      </c>
      <c r="P65" s="247">
        <f>IF(B65="","",IF(OR(O65="N/A",O65=""),0,YEARFRAC('Borrowing Base'!$J$4,'Loan List'!O65)*12))</f>
        <v>0</v>
      </c>
      <c r="Q65" s="246" t="s">
        <v>246</v>
      </c>
      <c r="R65" s="248">
        <v>1</v>
      </c>
      <c r="S65" s="249" t="str">
        <f t="shared" si="1"/>
        <v>No</v>
      </c>
      <c r="T65" s="248">
        <v>0.98000002132545749</v>
      </c>
      <c r="U65" s="250">
        <f t="shared" si="9"/>
        <v>0.5</v>
      </c>
      <c r="V65" s="250">
        <f t="shared" si="10"/>
        <v>0.72499999999999998</v>
      </c>
      <c r="W65" s="251">
        <f t="shared" si="11"/>
        <v>98029.50499999999</v>
      </c>
      <c r="X65" s="246" t="s">
        <v>246</v>
      </c>
      <c r="Y65" s="252" t="s">
        <v>483</v>
      </c>
      <c r="Z65" s="252" t="s">
        <v>484</v>
      </c>
      <c r="AA65" s="253" t="s">
        <v>407</v>
      </c>
      <c r="AB65" s="253" t="s">
        <v>713</v>
      </c>
      <c r="AC65" s="254">
        <v>1.6988514373703336</v>
      </c>
      <c r="AD65" s="254">
        <v>0.62587619187325794</v>
      </c>
      <c r="AE65" s="254">
        <v>1.265387243028383</v>
      </c>
      <c r="AF65" s="255">
        <v>0.36373761713520747</v>
      </c>
      <c r="AG65" s="256">
        <v>2.5839056989047706</v>
      </c>
      <c r="AH65" s="256">
        <v>2.5839056989047706</v>
      </c>
      <c r="AI65" s="256">
        <v>6.3467162208420937</v>
      </c>
      <c r="AJ65" s="256">
        <v>6.4151792263680365</v>
      </c>
      <c r="AK65" s="257">
        <v>21548000</v>
      </c>
      <c r="AL65" s="257">
        <v>20449000</v>
      </c>
      <c r="AM65" s="258">
        <v>45838</v>
      </c>
      <c r="AN65" s="245" t="str">
        <f t="shared" si="12"/>
        <v>Tier 2</v>
      </c>
      <c r="AO65" s="243">
        <v>46806</v>
      </c>
      <c r="AP65" s="259">
        <f>IF(C65="","",DAYS360(Inputs!$J$8,AO65)/360)</f>
        <v>2.4972222222222222</v>
      </c>
      <c r="AQ65" s="259">
        <f t="shared" si="13"/>
        <v>2.4972222222222222</v>
      </c>
      <c r="AR65" s="246" t="s">
        <v>246</v>
      </c>
      <c r="AS65" s="248">
        <v>0</v>
      </c>
      <c r="AT65" s="246" t="s">
        <v>64</v>
      </c>
      <c r="AU65" s="248">
        <v>0.01</v>
      </c>
      <c r="AV65" s="248">
        <v>7.1499999999999994E-2</v>
      </c>
      <c r="AW65" s="248">
        <v>6.3327000000000008E-2</v>
      </c>
      <c r="AX65" s="260">
        <f t="shared" si="14"/>
        <v>6.3327000000000008E-2</v>
      </c>
      <c r="AY65" s="248">
        <v>0</v>
      </c>
      <c r="AZ65" s="248">
        <v>0</v>
      </c>
      <c r="BA65" s="248">
        <v>0</v>
      </c>
      <c r="BB65" s="407">
        <f t="shared" si="15"/>
        <v>7.1499999999999994E-2</v>
      </c>
      <c r="BC65" s="407" t="str">
        <f t="shared" si="16"/>
        <v/>
      </c>
      <c r="BD65" s="252" t="s">
        <v>247</v>
      </c>
      <c r="BE65" s="261" t="s">
        <v>412</v>
      </c>
      <c r="BF65" s="252" t="s">
        <v>7</v>
      </c>
      <c r="BG65" s="252" t="s">
        <v>460</v>
      </c>
      <c r="BH65" s="246" t="s">
        <v>246</v>
      </c>
      <c r="BI65" s="408" t="str">
        <f t="shared" si="17"/>
        <v>No</v>
      </c>
      <c r="BJ65" s="408" t="str">
        <f t="shared" si="18"/>
        <v>No</v>
      </c>
      <c r="BK65" s="246" t="s">
        <v>246</v>
      </c>
      <c r="BL65" s="246" t="s">
        <v>246</v>
      </c>
      <c r="BM65" s="246" t="s">
        <v>246</v>
      </c>
      <c r="BN65" s="246" t="s">
        <v>246</v>
      </c>
      <c r="BO65" s="246" t="s">
        <v>246</v>
      </c>
      <c r="BP65" s="246" t="s">
        <v>246</v>
      </c>
      <c r="BQ65" s="246" t="s">
        <v>246</v>
      </c>
      <c r="BR65" s="246" t="s">
        <v>246</v>
      </c>
      <c r="BS65" s="246" t="s">
        <v>246</v>
      </c>
      <c r="BT65" s="246" t="s">
        <v>246</v>
      </c>
      <c r="BU65" s="246" t="s">
        <v>246</v>
      </c>
      <c r="BV65" s="246" t="s">
        <v>246</v>
      </c>
      <c r="BW65" s="246" t="s">
        <v>246</v>
      </c>
      <c r="BX65" s="246" t="s">
        <v>246</v>
      </c>
      <c r="BY65" s="246" t="s">
        <v>246</v>
      </c>
      <c r="BZ65" s="246" t="s">
        <v>246</v>
      </c>
      <c r="CA65" s="246" t="s">
        <v>246</v>
      </c>
      <c r="CB65" s="246" t="s">
        <v>64</v>
      </c>
      <c r="CC65" s="262">
        <f t="shared" si="19"/>
        <v>17959.907187445999</v>
      </c>
      <c r="CD65" s="262">
        <f t="shared" si="20"/>
        <v>0</v>
      </c>
      <c r="CE65" s="263"/>
      <c r="CF65" s="263">
        <f t="shared" si="150"/>
        <v>0</v>
      </c>
      <c r="CG65" s="263">
        <f t="shared" si="151"/>
        <v>0</v>
      </c>
      <c r="CH65" s="263">
        <f t="shared" si="152"/>
        <v>0</v>
      </c>
      <c r="CI65" s="263">
        <f t="shared" si="153"/>
        <v>0</v>
      </c>
      <c r="CJ65" s="263">
        <f t="shared" si="154"/>
        <v>0</v>
      </c>
      <c r="CK65" s="263">
        <f t="shared" si="155"/>
        <v>0</v>
      </c>
      <c r="CL65" s="263">
        <f t="shared" si="156"/>
        <v>0</v>
      </c>
      <c r="CM65" s="263">
        <f t="shared" si="157"/>
        <v>0</v>
      </c>
      <c r="CN65" s="263">
        <f t="shared" si="158"/>
        <v>0</v>
      </c>
      <c r="CO65" s="263">
        <f t="shared" si="159"/>
        <v>0</v>
      </c>
      <c r="CP65" s="263">
        <f t="shared" si="160"/>
        <v>0</v>
      </c>
      <c r="CQ65" s="263">
        <f t="shared" si="161"/>
        <v>0</v>
      </c>
      <c r="CR65" s="263">
        <f t="shared" si="162"/>
        <v>0</v>
      </c>
      <c r="CS65" s="263">
        <f t="shared" si="163"/>
        <v>0</v>
      </c>
      <c r="CT65" s="263">
        <f t="shared" si="164"/>
        <v>0</v>
      </c>
      <c r="CU65" s="263">
        <f t="shared" si="165"/>
        <v>0</v>
      </c>
      <c r="CV65" s="263">
        <f t="shared" si="166"/>
        <v>0</v>
      </c>
      <c r="CW65" s="263">
        <f t="shared" si="167"/>
        <v>0</v>
      </c>
      <c r="CX65" s="263">
        <f t="shared" si="168"/>
        <v>0</v>
      </c>
      <c r="CY65" s="263">
        <f t="shared" si="169"/>
        <v>0</v>
      </c>
      <c r="CZ65" s="263">
        <f t="shared" si="170"/>
        <v>0</v>
      </c>
      <c r="DA65" s="263">
        <f t="shared" si="171"/>
        <v>0</v>
      </c>
      <c r="DB65" s="263">
        <f t="shared" si="172"/>
        <v>0</v>
      </c>
      <c r="DC65" s="263">
        <f t="shared" si="173"/>
        <v>0</v>
      </c>
      <c r="DD65" s="263">
        <f t="shared" si="174"/>
        <v>1</v>
      </c>
      <c r="DE65" s="263">
        <f t="shared" si="175"/>
        <v>0</v>
      </c>
      <c r="DF65" s="263">
        <f t="shared" si="176"/>
        <v>98029.50499999999</v>
      </c>
      <c r="DG65" s="263">
        <f t="shared" si="177"/>
        <v>0</v>
      </c>
      <c r="DH65" s="263">
        <f t="shared" si="178"/>
        <v>98029.50499999999</v>
      </c>
      <c r="DI65" s="263">
        <f t="shared" si="179"/>
        <v>196059.00999999998</v>
      </c>
      <c r="DJ65" s="263">
        <f t="shared" si="180"/>
        <v>0</v>
      </c>
      <c r="DK65" s="263">
        <f t="shared" si="181"/>
        <v>0</v>
      </c>
      <c r="DL65" s="263">
        <f t="shared" si="182"/>
        <v>0</v>
      </c>
      <c r="DM65" s="263">
        <f t="shared" si="183"/>
        <v>0</v>
      </c>
      <c r="DO65" s="264">
        <f t="shared" si="184"/>
        <v>0</v>
      </c>
      <c r="DP65" s="265">
        <f t="shared" si="185"/>
        <v>0</v>
      </c>
      <c r="DQ65" s="264">
        <f t="shared" si="186"/>
        <v>98029.50499999999</v>
      </c>
      <c r="DR65" s="264">
        <f t="shared" si="187"/>
        <v>0</v>
      </c>
      <c r="DS65" s="265">
        <f t="shared" si="188"/>
        <v>0</v>
      </c>
      <c r="DT65" s="264">
        <f t="shared" si="189"/>
        <v>98029.50499999999</v>
      </c>
      <c r="DU65" s="264">
        <f t="shared" si="190"/>
        <v>0</v>
      </c>
      <c r="DV65" s="265">
        <f t="shared" si="191"/>
        <v>0</v>
      </c>
      <c r="DW65" s="264">
        <f t="shared" si="192"/>
        <v>98029.50499999999</v>
      </c>
      <c r="DX65" s="264">
        <f t="shared" si="193"/>
        <v>0</v>
      </c>
      <c r="DY65" s="265">
        <f t="shared" si="194"/>
        <v>0</v>
      </c>
      <c r="DZ65" s="264">
        <f t="shared" si="195"/>
        <v>98029.50499999999</v>
      </c>
      <c r="EA65" s="264">
        <f t="shared" si="196"/>
        <v>0</v>
      </c>
      <c r="EB65" s="265">
        <f t="shared" si="197"/>
        <v>0</v>
      </c>
      <c r="EC65" s="264">
        <f t="shared" si="198"/>
        <v>98029.50499999999</v>
      </c>
      <c r="ED65" s="264">
        <f t="shared" si="199"/>
        <v>0</v>
      </c>
      <c r="EE65" s="265">
        <f t="shared" si="200"/>
        <v>0</v>
      </c>
      <c r="EF65" s="264">
        <f t="shared" si="201"/>
        <v>98029.50499999999</v>
      </c>
      <c r="EG65" s="264">
        <f t="shared" si="202"/>
        <v>0</v>
      </c>
      <c r="EH65" s="265">
        <f t="shared" si="203"/>
        <v>0</v>
      </c>
      <c r="EI65" s="264">
        <f t="shared" si="204"/>
        <v>98029.50499999999</v>
      </c>
      <c r="EJ65" s="264">
        <f t="shared" si="205"/>
        <v>0</v>
      </c>
      <c r="EK65" s="265">
        <f t="shared" si="206"/>
        <v>0</v>
      </c>
      <c r="EL65" s="264">
        <f t="shared" si="207"/>
        <v>98029.50499999999</v>
      </c>
      <c r="EM65" s="264">
        <f t="shared" si="208"/>
        <v>0</v>
      </c>
      <c r="EN65" s="265">
        <f t="shared" si="209"/>
        <v>0</v>
      </c>
      <c r="EO65" s="264">
        <f t="shared" si="210"/>
        <v>98029.50499999999</v>
      </c>
      <c r="EP65" s="264">
        <f t="shared" si="211"/>
        <v>0</v>
      </c>
      <c r="EQ65" s="265">
        <f t="shared" si="212"/>
        <v>0</v>
      </c>
      <c r="ER65" s="264">
        <f t="shared" si="213"/>
        <v>98029.50499999999</v>
      </c>
      <c r="ES65" s="264">
        <f t="shared" si="214"/>
        <v>0</v>
      </c>
      <c r="ET65" s="265">
        <f t="shared" si="215"/>
        <v>0</v>
      </c>
      <c r="EU65" s="264">
        <f t="shared" si="216"/>
        <v>98029.50499999999</v>
      </c>
      <c r="EV65" s="264">
        <f>IF(AND(BM65="Yes",OR(BN65="No",AND(BN65="Yes",Inputs!$J$8=Inputs!$J$17+75))),EU65,0)</f>
        <v>0</v>
      </c>
      <c r="EW65" s="265">
        <f t="shared" si="217"/>
        <v>0</v>
      </c>
      <c r="EX65" s="264">
        <f t="shared" si="218"/>
        <v>98029.50499999999</v>
      </c>
      <c r="EY65" s="264">
        <f t="shared" si="219"/>
        <v>0</v>
      </c>
      <c r="EZ65" s="265">
        <f t="shared" si="220"/>
        <v>0</v>
      </c>
      <c r="FA65" s="264">
        <f t="shared" si="221"/>
        <v>98029.50499999999</v>
      </c>
      <c r="FB65" s="264">
        <f t="shared" si="222"/>
        <v>0</v>
      </c>
      <c r="FC65" s="265">
        <f t="shared" si="223"/>
        <v>0</v>
      </c>
      <c r="FD65" s="264">
        <f t="shared" si="224"/>
        <v>98029.50499999999</v>
      </c>
      <c r="FE65" s="264">
        <f t="shared" si="225"/>
        <v>0</v>
      </c>
      <c r="FF65" s="265">
        <f t="shared" si="226"/>
        <v>0</v>
      </c>
      <c r="FG65" s="264">
        <f t="shared" si="227"/>
        <v>98029.50499999999</v>
      </c>
      <c r="FH65" s="264">
        <f t="shared" si="228"/>
        <v>98029.50499999999</v>
      </c>
      <c r="FI65" s="264">
        <f t="shared" si="229"/>
        <v>0</v>
      </c>
      <c r="FJ65" s="264">
        <f t="shared" si="230"/>
        <v>98029.50499999999</v>
      </c>
      <c r="FK65" s="264">
        <f t="shared" si="231"/>
        <v>98029.50499999999</v>
      </c>
      <c r="FL65" s="264">
        <f t="shared" si="232"/>
        <v>0</v>
      </c>
      <c r="FM65" s="264">
        <f t="shared" si="233"/>
        <v>98029.50499999999</v>
      </c>
      <c r="FN65" s="264">
        <f t="shared" si="234"/>
        <v>98029.50499999999</v>
      </c>
      <c r="FO65" s="264">
        <f t="shared" si="235"/>
        <v>0</v>
      </c>
      <c r="FP65" s="264">
        <f t="shared" si="236"/>
        <v>98029.50499999999</v>
      </c>
      <c r="FQ65" s="264">
        <f t="shared" si="237"/>
        <v>0</v>
      </c>
      <c r="FR65" s="265">
        <f t="shared" si="238"/>
        <v>0</v>
      </c>
      <c r="FS65" s="264">
        <f t="shared" si="239"/>
        <v>98029.50499999999</v>
      </c>
      <c r="FT65" s="264">
        <f t="shared" si="240"/>
        <v>0</v>
      </c>
      <c r="FU65" s="265">
        <f t="shared" si="241"/>
        <v>0</v>
      </c>
      <c r="FV65" s="264">
        <f t="shared" si="242"/>
        <v>98029.50499999999</v>
      </c>
      <c r="FW65" s="264">
        <f t="shared" si="243"/>
        <v>0</v>
      </c>
      <c r="FX65" s="264">
        <f t="shared" si="244"/>
        <v>0</v>
      </c>
      <c r="FY65" s="264">
        <f t="shared" si="245"/>
        <v>0</v>
      </c>
      <c r="FZ65" s="264">
        <f t="shared" si="246"/>
        <v>0</v>
      </c>
      <c r="GA65" s="265">
        <f t="shared" si="296"/>
        <v>0</v>
      </c>
      <c r="GB65" s="264">
        <f t="shared" si="297"/>
        <v>98029.50499999999</v>
      </c>
      <c r="GC65" s="264">
        <f t="shared" si="247"/>
        <v>98029.50499999999</v>
      </c>
      <c r="GD65" s="266">
        <f t="shared" si="248"/>
        <v>71071.391124999995</v>
      </c>
      <c r="GE65" s="138">
        <f t="shared" si="249"/>
        <v>0.36249999999999999</v>
      </c>
      <c r="GF65" s="267">
        <f t="shared" si="250"/>
        <v>33</v>
      </c>
      <c r="GG65" s="264">
        <f t="array" ref="GG65">IF(SUM(IF(IC$9:IC64=IC65,1,0))&gt;0,0,SUMIF($IC$10:$IC$406,IC65,$FJ$10:$FJ$406))</f>
        <v>0</v>
      </c>
      <c r="GH65" s="268">
        <f t="shared" si="251"/>
        <v>0</v>
      </c>
      <c r="GI65" s="137">
        <f t="shared" si="126"/>
        <v>56</v>
      </c>
      <c r="GJ65" s="269">
        <f t="shared" si="252"/>
        <v>0</v>
      </c>
      <c r="GK65" s="269">
        <f t="shared" si="253"/>
        <v>0</v>
      </c>
      <c r="GL65" s="163">
        <f t="shared" si="254"/>
        <v>0</v>
      </c>
      <c r="GM65" s="137">
        <f t="array" ref="GM65">IF(GJ65=0,0,LARGE(IF($GG$10:$GG$406=GJ65,$GF$10:$GF$406,0),COUNTIF($GJ$10:$GJ$406,GJ65)-COUNTIF(GJ$9:GJ64,GJ65)))</f>
        <v>0</v>
      </c>
      <c r="GN65" s="270">
        <f t="shared" si="255"/>
        <v>0</v>
      </c>
      <c r="GP65" s="137">
        <f>IF(C65="","",IF(ISERROR(MATCH(C65,C$10:C64,0)),MAX(GP$10:GP64)+1,INDEX(GP$10:GP64,MATCH(C65,C$10:C64,0))))</f>
        <v>47</v>
      </c>
      <c r="GQ65" s="264">
        <f>IF(COUNTIF($A$10:A65,A65)&lt;=1,SUMIF($A$10:$A$406,A65,$FH$10:$FH$406),0)</f>
        <v>539171.005</v>
      </c>
      <c r="GR65" s="137">
        <f t="shared" si="130"/>
        <v>56</v>
      </c>
      <c r="GS65" s="269">
        <f t="shared" si="256"/>
        <v>4800000</v>
      </c>
      <c r="GT65" s="269">
        <f t="shared" si="257"/>
        <v>50964284.172430128</v>
      </c>
      <c r="GU65" s="163">
        <f t="shared" si="258"/>
        <v>0</v>
      </c>
      <c r="GV65" s="137">
        <f t="array" ref="GV65">IF(GS65=0,0,LARGE(IF($GQ$10:$GQ$406=GS65,$GP$10:$GP$406,0),COUNTIF($GS$10:$GS$406,GS65)-COUNTIF(GS$9:GS64,GS65)))</f>
        <v>8</v>
      </c>
      <c r="GW65" s="270">
        <f t="shared" si="259"/>
        <v>0</v>
      </c>
      <c r="GX65" s="270"/>
      <c r="GY65" s="137">
        <f>IF(C65="","",IF(ISERROR(MATCH(C65,C$10:C64,0)),MAX(GP$10:GP64)+1,INDEX(GP$10:GP64,MATCH(C65,C$10:C64,0))))</f>
        <v>47</v>
      </c>
      <c r="GZ65" s="264">
        <f>IF(COUNTIF($A$10:A65,A65)&lt;=1,SUMIF($A$10:$A$406,A65,$FH$10:$FH$406),0)</f>
        <v>539171.005</v>
      </c>
      <c r="HA65" s="137">
        <f t="shared" si="134"/>
        <v>56</v>
      </c>
      <c r="HB65" s="269">
        <f t="shared" si="260"/>
        <v>4800000</v>
      </c>
      <c r="HC65" s="414" t="s">
        <v>622</v>
      </c>
      <c r="HD65" s="163">
        <f t="shared" si="261"/>
        <v>0</v>
      </c>
      <c r="HE65" s="137">
        <f t="array" ref="HE65">IF(HB65=0,0,LARGE(IF($GZ$10:$GZ$406=HB65,$GY$10:$GY$406,0),COUNTIF($HB$10:$HB$406,HB65)-COUNTIF(HB$9:HB64,HB65)))</f>
        <v>8</v>
      </c>
      <c r="HF65" s="270">
        <f t="shared" si="262"/>
        <v>0</v>
      </c>
      <c r="HG65" s="270"/>
      <c r="HH65" s="268">
        <f t="shared" si="263"/>
        <v>0</v>
      </c>
      <c r="HI65" s="271">
        <v>0</v>
      </c>
      <c r="HJ65" s="264">
        <f t="shared" si="264"/>
        <v>0</v>
      </c>
      <c r="HL65" s="137">
        <f t="shared" si="265"/>
        <v>56</v>
      </c>
      <c r="HM65" s="264">
        <f t="shared" si="300"/>
        <v>4827814</v>
      </c>
      <c r="HN65"/>
      <c r="HO65" s="199">
        <f t="shared" si="301"/>
        <v>98029.50499999999</v>
      </c>
      <c r="HP65" s="199">
        <f t="shared" si="302"/>
        <v>196059.00999999998</v>
      </c>
      <c r="HQ65" s="199" t="str">
        <f t="shared" si="303"/>
        <v/>
      </c>
      <c r="HR65" s="199" t="str">
        <f t="shared" si="304"/>
        <v/>
      </c>
      <c r="HS65" s="199" t="str">
        <f t="shared" si="119"/>
        <v/>
      </c>
      <c r="HT65" s="199">
        <f t="shared" si="305"/>
        <v>98029.50499999999</v>
      </c>
      <c r="HU65" s="199" t="str">
        <f t="shared" si="306"/>
        <v/>
      </c>
      <c r="HV65" s="200">
        <f t="shared" si="307"/>
        <v>0</v>
      </c>
      <c r="HW65" s="272" t="str">
        <f t="shared" si="308"/>
        <v/>
      </c>
      <c r="HX65" s="200">
        <f t="shared" si="309"/>
        <v>0</v>
      </c>
      <c r="HY65" s="200">
        <f t="shared" si="310"/>
        <v>98029.50499999999</v>
      </c>
      <c r="HZ65" s="200">
        <f t="shared" si="4"/>
        <v>0</v>
      </c>
      <c r="IA65" s="200">
        <f t="shared" si="311"/>
        <v>0</v>
      </c>
      <c r="IB65" s="200">
        <f t="shared" si="312"/>
        <v>0</v>
      </c>
      <c r="IC65" s="273">
        <f>IF(C65="","",INDEX(Lookups!$E$2:$E$69,MATCH('Loan List'!BE65,Lookups!$F$2:$F$69,0)))</f>
        <v>33</v>
      </c>
      <c r="ID65" t="b">
        <f t="shared" si="313"/>
        <v>1</v>
      </c>
      <c r="IF65" s="346" t="str">
        <f t="shared" si="121"/>
        <v>No Initial Haircut</v>
      </c>
    </row>
    <row r="66" spans="1:240">
      <c r="A66" t="s">
        <v>604</v>
      </c>
      <c r="B66" s="242">
        <f t="shared" si="149"/>
        <v>57</v>
      </c>
      <c r="C66" s="242">
        <f>IF(COUNTIF($A$10:A65,A66)&gt;0,C65,C65+1)</f>
        <v>47</v>
      </c>
      <c r="D66" s="431" t="s">
        <v>745</v>
      </c>
      <c r="E66" s="428" t="s">
        <v>549</v>
      </c>
      <c r="F66" s="429"/>
      <c r="G66" s="430">
        <v>882283</v>
      </c>
      <c r="H66" s="430">
        <v>882283</v>
      </c>
      <c r="I66" s="244">
        <f>IF(B66="","",VLOOKUP(BF66,Inputs!$A$12:$J$15,10,FALSE))</f>
        <v>1</v>
      </c>
      <c r="J66" s="245">
        <f t="shared" si="5"/>
        <v>882283</v>
      </c>
      <c r="K66" s="245">
        <f t="shared" si="6"/>
        <v>882283</v>
      </c>
      <c r="L66" s="245">
        <f t="shared" si="7"/>
        <v>882283</v>
      </c>
      <c r="M66" s="245">
        <f t="shared" si="8"/>
        <v>882283</v>
      </c>
      <c r="N66" s="246" t="s">
        <v>246</v>
      </c>
      <c r="O66" s="246" t="s">
        <v>245</v>
      </c>
      <c r="P66" s="247">
        <f>IF(B66="","",IF(OR(O66="N/A",O66=""),0,YEARFRAC('Borrowing Base'!$J$4,'Loan List'!O66)*12))</f>
        <v>0</v>
      </c>
      <c r="Q66" s="246" t="s">
        <v>246</v>
      </c>
      <c r="R66" s="248">
        <v>1</v>
      </c>
      <c r="S66" s="249" t="str">
        <f t="shared" si="1"/>
        <v>No</v>
      </c>
      <c r="T66" s="248">
        <v>0.98000002132545749</v>
      </c>
      <c r="U66" s="250">
        <f t="shared" si="9"/>
        <v>0.5</v>
      </c>
      <c r="V66" s="250">
        <f t="shared" si="10"/>
        <v>0.72499999999999998</v>
      </c>
      <c r="W66" s="251">
        <f t="shared" si="11"/>
        <v>441141.5</v>
      </c>
      <c r="X66" s="246" t="s">
        <v>246</v>
      </c>
      <c r="Y66" s="252" t="s">
        <v>483</v>
      </c>
      <c r="Z66" s="252" t="s">
        <v>484</v>
      </c>
      <c r="AA66" s="253" t="s">
        <v>407</v>
      </c>
      <c r="AB66" s="253" t="s">
        <v>713</v>
      </c>
      <c r="AC66" s="254">
        <v>1.6988514373703336</v>
      </c>
      <c r="AD66" s="254">
        <v>0.62587619187325794</v>
      </c>
      <c r="AE66" s="254">
        <v>1.265387243028383</v>
      </c>
      <c r="AF66" s="255">
        <v>0.36373761713520747</v>
      </c>
      <c r="AG66" s="256">
        <v>6.3467162208420937</v>
      </c>
      <c r="AH66" s="256">
        <v>6.4151792263680365</v>
      </c>
      <c r="AI66" s="256">
        <v>6.3467162208420937</v>
      </c>
      <c r="AJ66" s="256">
        <v>6.4151792263680365</v>
      </c>
      <c r="AK66" s="257">
        <v>20449000</v>
      </c>
      <c r="AL66" s="257">
        <v>20449000</v>
      </c>
      <c r="AM66" s="258">
        <v>45838</v>
      </c>
      <c r="AN66" s="245" t="str">
        <f t="shared" si="12"/>
        <v>Tier 2</v>
      </c>
      <c r="AO66" s="243">
        <v>46806</v>
      </c>
      <c r="AP66" s="259">
        <f>IF(C66="","",DAYS360(Inputs!$J$8,AO66)/360)</f>
        <v>2.4972222222222222</v>
      </c>
      <c r="AQ66" s="259">
        <f t="shared" si="13"/>
        <v>2.4972222222222222</v>
      </c>
      <c r="AR66" s="246" t="s">
        <v>246</v>
      </c>
      <c r="AS66" s="248">
        <v>0</v>
      </c>
      <c r="AT66" s="246" t="s">
        <v>64</v>
      </c>
      <c r="AU66" s="248">
        <v>0.01</v>
      </c>
      <c r="AV66" s="248">
        <v>7.1499999999999994E-2</v>
      </c>
      <c r="AW66" s="248">
        <v>6.3327000000000008E-2</v>
      </c>
      <c r="AX66" s="260">
        <f t="shared" si="14"/>
        <v>6.3327000000000008E-2</v>
      </c>
      <c r="AY66" s="248">
        <v>0</v>
      </c>
      <c r="AZ66" s="248">
        <v>0</v>
      </c>
      <c r="BA66" s="248">
        <v>0</v>
      </c>
      <c r="BB66" s="407">
        <f t="shared" si="15"/>
        <v>7.1499999999999994E-2</v>
      </c>
      <c r="BC66" s="407" t="str">
        <f t="shared" si="16"/>
        <v/>
      </c>
      <c r="BD66" s="252" t="s">
        <v>247</v>
      </c>
      <c r="BE66" s="261" t="s">
        <v>412</v>
      </c>
      <c r="BF66" s="252" t="s">
        <v>7</v>
      </c>
      <c r="BG66" s="252" t="s">
        <v>460</v>
      </c>
      <c r="BH66" s="246" t="s">
        <v>246</v>
      </c>
      <c r="BI66" s="408" t="str">
        <f t="shared" si="17"/>
        <v>No</v>
      </c>
      <c r="BJ66" s="408" t="str">
        <f t="shared" si="18"/>
        <v>No</v>
      </c>
      <c r="BK66" s="246" t="s">
        <v>246</v>
      </c>
      <c r="BL66" s="246" t="s">
        <v>246</v>
      </c>
      <c r="BM66" s="246" t="s">
        <v>64</v>
      </c>
      <c r="BN66" s="246" t="s">
        <v>64</v>
      </c>
      <c r="BO66" s="246" t="s">
        <v>246</v>
      </c>
      <c r="BP66" s="246" t="s">
        <v>246</v>
      </c>
      <c r="BQ66" s="246" t="s">
        <v>246</v>
      </c>
      <c r="BR66" s="246" t="s">
        <v>246</v>
      </c>
      <c r="BS66" s="246" t="s">
        <v>246</v>
      </c>
      <c r="BT66" s="246" t="s">
        <v>246</v>
      </c>
      <c r="BU66" s="246" t="s">
        <v>246</v>
      </c>
      <c r="BV66" s="246" t="s">
        <v>246</v>
      </c>
      <c r="BW66" s="246" t="s">
        <v>246</v>
      </c>
      <c r="BX66" s="246" t="s">
        <v>246</v>
      </c>
      <c r="BY66" s="246" t="s">
        <v>246</v>
      </c>
      <c r="BZ66" s="246" t="s">
        <v>246</v>
      </c>
      <c r="CA66" s="246" t="s">
        <v>246</v>
      </c>
      <c r="CB66" s="246" t="s">
        <v>64</v>
      </c>
      <c r="CC66" s="262">
        <f t="shared" si="19"/>
        <v>80821.18130180001</v>
      </c>
      <c r="CD66" s="262">
        <f t="shared" si="20"/>
        <v>0</v>
      </c>
      <c r="CE66" s="263"/>
      <c r="CF66" s="263">
        <f t="shared" si="150"/>
        <v>0</v>
      </c>
      <c r="CG66" s="263">
        <f t="shared" si="151"/>
        <v>0</v>
      </c>
      <c r="CH66" s="263">
        <f t="shared" si="152"/>
        <v>0</v>
      </c>
      <c r="CI66" s="263">
        <f t="shared" si="153"/>
        <v>0</v>
      </c>
      <c r="CJ66" s="263">
        <f t="shared" si="154"/>
        <v>0</v>
      </c>
      <c r="CK66" s="263">
        <f t="shared" si="155"/>
        <v>0</v>
      </c>
      <c r="CL66" s="263">
        <f t="shared" si="156"/>
        <v>0</v>
      </c>
      <c r="CM66" s="263">
        <f t="shared" si="157"/>
        <v>0</v>
      </c>
      <c r="CN66" s="263">
        <f t="shared" si="158"/>
        <v>0</v>
      </c>
      <c r="CO66" s="263">
        <f t="shared" si="159"/>
        <v>0</v>
      </c>
      <c r="CP66" s="263">
        <f t="shared" si="160"/>
        <v>0</v>
      </c>
      <c r="CQ66" s="263">
        <f t="shared" si="161"/>
        <v>0</v>
      </c>
      <c r="CR66" s="263">
        <f t="shared" si="162"/>
        <v>0</v>
      </c>
      <c r="CS66" s="263">
        <f t="shared" si="163"/>
        <v>0</v>
      </c>
      <c r="CT66" s="263">
        <f t="shared" si="164"/>
        <v>0</v>
      </c>
      <c r="CU66" s="263">
        <f t="shared" si="165"/>
        <v>0</v>
      </c>
      <c r="CV66" s="263">
        <f t="shared" si="166"/>
        <v>0</v>
      </c>
      <c r="CW66" s="263">
        <f t="shared" si="167"/>
        <v>0</v>
      </c>
      <c r="CX66" s="263">
        <f t="shared" si="168"/>
        <v>0</v>
      </c>
      <c r="CY66" s="263">
        <f t="shared" si="169"/>
        <v>0</v>
      </c>
      <c r="CZ66" s="263">
        <f t="shared" si="170"/>
        <v>0</v>
      </c>
      <c r="DA66" s="263">
        <f t="shared" si="171"/>
        <v>0</v>
      </c>
      <c r="DB66" s="263">
        <f t="shared" si="172"/>
        <v>0</v>
      </c>
      <c r="DC66" s="263">
        <f t="shared" si="173"/>
        <v>0</v>
      </c>
      <c r="DD66" s="263">
        <f t="shared" si="174"/>
        <v>1</v>
      </c>
      <c r="DE66" s="263">
        <f t="shared" si="175"/>
        <v>0</v>
      </c>
      <c r="DF66" s="263">
        <f t="shared" si="176"/>
        <v>441141.5</v>
      </c>
      <c r="DG66" s="263">
        <f t="shared" si="177"/>
        <v>0</v>
      </c>
      <c r="DH66" s="263">
        <f t="shared" si="178"/>
        <v>441141.5</v>
      </c>
      <c r="DI66" s="263">
        <f t="shared" si="179"/>
        <v>882283</v>
      </c>
      <c r="DJ66" s="263">
        <f t="shared" si="180"/>
        <v>0</v>
      </c>
      <c r="DK66" s="263">
        <f t="shared" si="181"/>
        <v>0</v>
      </c>
      <c r="DL66" s="263">
        <f t="shared" si="182"/>
        <v>0</v>
      </c>
      <c r="DM66" s="263">
        <f t="shared" si="183"/>
        <v>0</v>
      </c>
      <c r="DO66" s="264">
        <f t="shared" si="184"/>
        <v>0</v>
      </c>
      <c r="DP66" s="265">
        <f t="shared" si="185"/>
        <v>0</v>
      </c>
      <c r="DQ66" s="264">
        <f t="shared" si="186"/>
        <v>441141.5</v>
      </c>
      <c r="DR66" s="264">
        <f t="shared" si="187"/>
        <v>0</v>
      </c>
      <c r="DS66" s="265">
        <f t="shared" si="188"/>
        <v>0</v>
      </c>
      <c r="DT66" s="264">
        <f t="shared" si="189"/>
        <v>441141.5</v>
      </c>
      <c r="DU66" s="264">
        <f t="shared" si="190"/>
        <v>0</v>
      </c>
      <c r="DV66" s="265">
        <f t="shared" si="191"/>
        <v>0</v>
      </c>
      <c r="DW66" s="264">
        <f t="shared" si="192"/>
        <v>441141.5</v>
      </c>
      <c r="DX66" s="264">
        <f t="shared" si="193"/>
        <v>0</v>
      </c>
      <c r="DY66" s="265">
        <f t="shared" si="194"/>
        <v>0</v>
      </c>
      <c r="DZ66" s="264">
        <f t="shared" si="195"/>
        <v>441141.5</v>
      </c>
      <c r="EA66" s="264">
        <f t="shared" si="196"/>
        <v>0</v>
      </c>
      <c r="EB66" s="265">
        <f t="shared" si="197"/>
        <v>0</v>
      </c>
      <c r="EC66" s="264">
        <f t="shared" si="198"/>
        <v>441141.5</v>
      </c>
      <c r="ED66" s="264">
        <f t="shared" si="199"/>
        <v>0</v>
      </c>
      <c r="EE66" s="265">
        <f t="shared" si="200"/>
        <v>0</v>
      </c>
      <c r="EF66" s="264">
        <f t="shared" si="201"/>
        <v>441141.5</v>
      </c>
      <c r="EG66" s="264">
        <f t="shared" si="202"/>
        <v>0</v>
      </c>
      <c r="EH66" s="265">
        <f t="shared" si="203"/>
        <v>0</v>
      </c>
      <c r="EI66" s="264">
        <f t="shared" si="204"/>
        <v>441141.5</v>
      </c>
      <c r="EJ66" s="264">
        <f t="shared" si="205"/>
        <v>0</v>
      </c>
      <c r="EK66" s="265">
        <f t="shared" si="206"/>
        <v>0</v>
      </c>
      <c r="EL66" s="264">
        <f t="shared" si="207"/>
        <v>441141.5</v>
      </c>
      <c r="EM66" s="264">
        <f t="shared" si="208"/>
        <v>0</v>
      </c>
      <c r="EN66" s="265">
        <f t="shared" si="209"/>
        <v>0</v>
      </c>
      <c r="EO66" s="264">
        <f t="shared" si="210"/>
        <v>441141.5</v>
      </c>
      <c r="EP66" s="264">
        <f t="shared" si="211"/>
        <v>0</v>
      </c>
      <c r="EQ66" s="265">
        <f t="shared" si="212"/>
        <v>0</v>
      </c>
      <c r="ER66" s="264">
        <f t="shared" si="213"/>
        <v>441141.5</v>
      </c>
      <c r="ES66" s="264">
        <f t="shared" si="214"/>
        <v>0</v>
      </c>
      <c r="ET66" s="265">
        <f t="shared" si="215"/>
        <v>0</v>
      </c>
      <c r="EU66" s="264">
        <f t="shared" si="216"/>
        <v>441141.5</v>
      </c>
      <c r="EV66" s="264">
        <f>IF(AND(BM66="Yes",OR(BN66="No",AND(BN66="Yes",Inputs!$J$8=Inputs!$J$17+75))),EU66,0)</f>
        <v>0</v>
      </c>
      <c r="EW66" s="265">
        <f t="shared" si="217"/>
        <v>0</v>
      </c>
      <c r="EX66" s="264">
        <f t="shared" si="218"/>
        <v>441141.5</v>
      </c>
      <c r="EY66" s="264">
        <f t="shared" si="219"/>
        <v>0</v>
      </c>
      <c r="EZ66" s="265">
        <f t="shared" si="220"/>
        <v>0</v>
      </c>
      <c r="FA66" s="264">
        <f t="shared" si="221"/>
        <v>441141.5</v>
      </c>
      <c r="FB66" s="264">
        <f t="shared" si="222"/>
        <v>0</v>
      </c>
      <c r="FC66" s="265">
        <f t="shared" si="223"/>
        <v>0</v>
      </c>
      <c r="FD66" s="264">
        <f t="shared" si="224"/>
        <v>441141.5</v>
      </c>
      <c r="FE66" s="264">
        <f t="shared" si="225"/>
        <v>0</v>
      </c>
      <c r="FF66" s="265">
        <f t="shared" si="226"/>
        <v>0</v>
      </c>
      <c r="FG66" s="264">
        <f t="shared" si="227"/>
        <v>441141.5</v>
      </c>
      <c r="FH66" s="264">
        <f t="shared" si="228"/>
        <v>441141.5</v>
      </c>
      <c r="FI66" s="264">
        <f t="shared" si="229"/>
        <v>0</v>
      </c>
      <c r="FJ66" s="264">
        <f t="shared" si="230"/>
        <v>441141.5</v>
      </c>
      <c r="FK66" s="264">
        <f t="shared" si="231"/>
        <v>441141.5</v>
      </c>
      <c r="FL66" s="264">
        <f t="shared" si="232"/>
        <v>0</v>
      </c>
      <c r="FM66" s="264">
        <f t="shared" si="233"/>
        <v>441141.5</v>
      </c>
      <c r="FN66" s="264">
        <f t="shared" si="234"/>
        <v>441141.5</v>
      </c>
      <c r="FO66" s="264">
        <f t="shared" si="235"/>
        <v>0</v>
      </c>
      <c r="FP66" s="264">
        <f t="shared" si="236"/>
        <v>441141.5</v>
      </c>
      <c r="FQ66" s="264">
        <f t="shared" si="237"/>
        <v>0</v>
      </c>
      <c r="FR66" s="265">
        <f t="shared" si="238"/>
        <v>0</v>
      </c>
      <c r="FS66" s="264">
        <f t="shared" si="239"/>
        <v>441141.5</v>
      </c>
      <c r="FT66" s="264">
        <f t="shared" si="240"/>
        <v>0</v>
      </c>
      <c r="FU66" s="265">
        <f t="shared" si="241"/>
        <v>0</v>
      </c>
      <c r="FV66" s="264">
        <f t="shared" si="242"/>
        <v>441141.5</v>
      </c>
      <c r="FW66" s="264">
        <f t="shared" si="243"/>
        <v>0</v>
      </c>
      <c r="FX66" s="264">
        <f t="shared" si="244"/>
        <v>0</v>
      </c>
      <c r="FY66" s="264">
        <f t="shared" si="245"/>
        <v>0</v>
      </c>
      <c r="FZ66" s="264">
        <f t="shared" si="246"/>
        <v>0</v>
      </c>
      <c r="GA66" s="265">
        <f t="shared" si="296"/>
        <v>0</v>
      </c>
      <c r="GB66" s="264">
        <f t="shared" si="297"/>
        <v>441141.5</v>
      </c>
      <c r="GC66" s="264">
        <f t="shared" si="247"/>
        <v>441141.5</v>
      </c>
      <c r="GD66" s="266">
        <f t="shared" si="248"/>
        <v>319827.58749999997</v>
      </c>
      <c r="GE66" s="138">
        <f t="shared" si="249"/>
        <v>0.36249999999999993</v>
      </c>
      <c r="GF66" s="267">
        <f t="shared" si="250"/>
        <v>33</v>
      </c>
      <c r="GG66" s="264">
        <f t="array" ref="GG66">IF(SUM(IF(IC$9:IC65=IC66,1,0))&gt;0,0,SUMIF($IC$10:$IC$406,IC66,$FJ$10:$FJ$406))</f>
        <v>0</v>
      </c>
      <c r="GH66" s="268">
        <f t="shared" si="251"/>
        <v>0</v>
      </c>
      <c r="GI66" s="137">
        <f t="shared" si="126"/>
        <v>57</v>
      </c>
      <c r="GJ66" s="269">
        <f t="shared" si="252"/>
        <v>0</v>
      </c>
      <c r="GK66" s="269">
        <f t="shared" si="253"/>
        <v>0</v>
      </c>
      <c r="GL66" s="163">
        <f t="shared" si="254"/>
        <v>0</v>
      </c>
      <c r="GM66" s="137">
        <f t="array" ref="GM66">IF(GJ66=0,0,LARGE(IF($GG$10:$GG$406=GJ66,$GF$10:$GF$406,0),COUNTIF($GJ$10:$GJ$406,GJ66)-COUNTIF(GJ$9:GJ65,GJ66)))</f>
        <v>0</v>
      </c>
      <c r="GN66" s="270">
        <f t="shared" si="255"/>
        <v>0</v>
      </c>
      <c r="GP66" s="137">
        <f>IF(C66="","",IF(ISERROR(MATCH(C66,C$10:C65,0)),MAX(GP$10:GP65)+1,INDEX(GP$10:GP65,MATCH(C66,C$10:C65,0))))</f>
        <v>47</v>
      </c>
      <c r="GQ66" s="264">
        <f>IF(COUNTIF($A$10:A66,A66)&lt;=1,SUMIF($A$10:$A$406,A66,$FH$10:$FH$406),0)</f>
        <v>0</v>
      </c>
      <c r="GR66" s="137">
        <f t="shared" si="130"/>
        <v>57</v>
      </c>
      <c r="GS66" s="269">
        <f t="shared" si="256"/>
        <v>4634449</v>
      </c>
      <c r="GT66" s="269">
        <f t="shared" si="257"/>
        <v>50964284.172430128</v>
      </c>
      <c r="GU66" s="163">
        <f t="shared" si="258"/>
        <v>0</v>
      </c>
      <c r="GV66" s="137">
        <f t="array" ref="GV66">IF(GS66=0,0,LARGE(IF($GQ$10:$GQ$406=GS66,$GP$10:$GP$406,0),COUNTIF($GS$10:$GS$406,GS66)-COUNTIF(GS$9:GS65,GS66)))</f>
        <v>89</v>
      </c>
      <c r="GW66" s="270">
        <f t="shared" si="259"/>
        <v>0</v>
      </c>
      <c r="GX66" s="270"/>
      <c r="GY66" s="137">
        <f>IF(C66="","",IF(ISERROR(MATCH(C66,C$10:C65,0)),MAX(GP$10:GP65)+1,INDEX(GP$10:GP65,MATCH(C66,C$10:C65,0))))</f>
        <v>47</v>
      </c>
      <c r="GZ66" s="264">
        <f>IF(COUNTIF($A$10:A66,A66)&lt;=1,SUMIF($A$10:$A$406,A66,$FH$10:$FH$406),0)</f>
        <v>0</v>
      </c>
      <c r="HA66" s="137">
        <f t="shared" si="134"/>
        <v>57</v>
      </c>
      <c r="HB66" s="269">
        <f t="shared" si="260"/>
        <v>4634449</v>
      </c>
      <c r="HC66" s="414" t="s">
        <v>622</v>
      </c>
      <c r="HD66" s="163">
        <f t="shared" si="261"/>
        <v>0</v>
      </c>
      <c r="HE66" s="137">
        <f t="array" ref="HE66">IF(HB66=0,0,LARGE(IF($GZ$10:$GZ$406=HB66,$GY$10:$GY$406,0),COUNTIF($HB$10:$HB$406,HB66)-COUNTIF(HB$9:HB65,HB66)))</f>
        <v>89</v>
      </c>
      <c r="HF66" s="270">
        <f t="shared" si="262"/>
        <v>0</v>
      </c>
      <c r="HG66"/>
      <c r="HH66" s="268">
        <f t="shared" si="263"/>
        <v>0</v>
      </c>
      <c r="HI66" s="271">
        <v>0</v>
      </c>
      <c r="HJ66" s="264">
        <f t="shared" si="264"/>
        <v>0</v>
      </c>
      <c r="HL66" s="137">
        <f t="shared" si="265"/>
        <v>57</v>
      </c>
      <c r="HM66" s="264">
        <f t="shared" si="300"/>
        <v>736580.70000000007</v>
      </c>
      <c r="HO66" s="199">
        <f t="shared" si="301"/>
        <v>441141.5</v>
      </c>
      <c r="HP66" s="199">
        <f t="shared" si="302"/>
        <v>882283</v>
      </c>
      <c r="HQ66" s="199" t="str">
        <f t="shared" si="303"/>
        <v/>
      </c>
      <c r="HR66" s="199" t="str">
        <f t="shared" si="304"/>
        <v/>
      </c>
      <c r="HS66" s="199" t="str">
        <f t="shared" si="119"/>
        <v/>
      </c>
      <c r="HT66" s="199">
        <f t="shared" si="305"/>
        <v>441141.5</v>
      </c>
      <c r="HU66" s="199" t="str">
        <f t="shared" si="306"/>
        <v/>
      </c>
      <c r="HV66" s="200">
        <f t="shared" si="307"/>
        <v>0</v>
      </c>
      <c r="HW66" s="272" t="str">
        <f t="shared" si="308"/>
        <v/>
      </c>
      <c r="HX66" s="200">
        <f t="shared" si="309"/>
        <v>0</v>
      </c>
      <c r="HY66" s="200">
        <f t="shared" si="310"/>
        <v>441141.5</v>
      </c>
      <c r="HZ66" s="200">
        <f t="shared" si="4"/>
        <v>0</v>
      </c>
      <c r="IA66" s="200">
        <f t="shared" si="311"/>
        <v>0</v>
      </c>
      <c r="IB66" s="200">
        <f t="shared" si="312"/>
        <v>0</v>
      </c>
      <c r="IC66" s="273">
        <f>IF(C66="","",INDEX(Lookups!$E$2:$E$69,MATCH('Loan List'!BE66,Lookups!$F$2:$F$69,0)))</f>
        <v>33</v>
      </c>
      <c r="ID66" t="b">
        <f t="shared" si="313"/>
        <v>1</v>
      </c>
      <c r="IF66" s="346" t="str">
        <f t="shared" si="121"/>
        <v>No Initial Haircut</v>
      </c>
    </row>
    <row r="67" spans="1:240">
      <c r="A67" t="s">
        <v>662</v>
      </c>
      <c r="B67" s="242">
        <f t="shared" si="149"/>
        <v>58</v>
      </c>
      <c r="C67" s="242">
        <f>IF(COUNTIF($A$10:A66,A67)&gt;0,C66,C66+1)</f>
        <v>48</v>
      </c>
      <c r="D67" s="428" t="s">
        <v>662</v>
      </c>
      <c r="E67" s="428" t="s">
        <v>656</v>
      </c>
      <c r="F67" s="429"/>
      <c r="G67" s="430">
        <v>12428247.09</v>
      </c>
      <c r="H67" s="430">
        <v>12428247.09</v>
      </c>
      <c r="I67" s="244">
        <f>IF(B67="","",VLOOKUP(BF67,Inputs!$A$12:$J$15,10,FALSE))</f>
        <v>1</v>
      </c>
      <c r="J67" s="245">
        <f>IF(B67="","",G67*I67)</f>
        <v>12428247.09</v>
      </c>
      <c r="K67" s="245">
        <f>IF(B67="","",H67*I67)</f>
        <v>12428247.09</v>
      </c>
      <c r="L67" s="245">
        <f>IF(B67="","",IF(COUNTIF($CF67:$CY67,1)&gt;0,0,J67))</f>
        <v>12428247.09</v>
      </c>
      <c r="M67" s="245">
        <f>IF(B67="","",IF(COUNTIF($CF67:$CY67,1)&gt;0,0,K67))</f>
        <v>12428247.09</v>
      </c>
      <c r="N67" s="246" t="s">
        <v>246</v>
      </c>
      <c r="O67" s="246" t="s">
        <v>245</v>
      </c>
      <c r="P67" s="247">
        <f>IF(B67="","",IF(OR(O67="N/A",O67=""),0,YEARFRAC('Borrowing Base'!$J$4,'Loan List'!O67)*12))</f>
        <v>0</v>
      </c>
      <c r="Q67" s="246" t="s">
        <v>246</v>
      </c>
      <c r="R67" s="248">
        <v>0.99019380000000001</v>
      </c>
      <c r="S67" s="249" t="str">
        <f>IF(B67="","",IF(R67&lt;95%,"Yes","No"))</f>
        <v>No</v>
      </c>
      <c r="T67" s="248">
        <v>1</v>
      </c>
      <c r="U67" s="250">
        <f>IF(B67="","",IF(OR(Y67="First Lien",Y67="Split First Lien",Y67="Tier 1 Split Lien",Y67="Tier 2 Split Lien"),50%,30%))</f>
        <v>0.5</v>
      </c>
      <c r="V67" s="250">
        <f t="shared" si="10"/>
        <v>0.72499999999999998</v>
      </c>
      <c r="W67" s="251">
        <f t="shared" si="11"/>
        <v>12428247.09</v>
      </c>
      <c r="X67" s="246" t="s">
        <v>246</v>
      </c>
      <c r="Y67" s="252" t="s">
        <v>483</v>
      </c>
      <c r="Z67" s="252" t="s">
        <v>484</v>
      </c>
      <c r="AA67" s="253" t="s">
        <v>407</v>
      </c>
      <c r="AB67" s="253" t="s">
        <v>713</v>
      </c>
      <c r="AC67" s="254">
        <v>1.89592629906933</v>
      </c>
      <c r="AD67" s="254">
        <v>2.0923474692381077</v>
      </c>
      <c r="AE67" s="254">
        <v>2.4346893053812129</v>
      </c>
      <c r="AF67" s="255">
        <v>0.13209702029486001</v>
      </c>
      <c r="AG67" s="256">
        <v>1.88433895083373</v>
      </c>
      <c r="AH67" s="256">
        <v>1.88433895083373</v>
      </c>
      <c r="AI67" s="256">
        <v>3.2980234158584669</v>
      </c>
      <c r="AJ67" s="256">
        <v>3.6141988695984679</v>
      </c>
      <c r="AK67" s="257">
        <v>12968210.729385</v>
      </c>
      <c r="AL67" s="257">
        <v>22614026.216847401</v>
      </c>
      <c r="AM67" s="258">
        <v>45838</v>
      </c>
      <c r="AN67" s="245" t="str">
        <f>IF(C67="","",(IF(AK67&gt;=50000000,"Tier 1",(IF(OR(AK67&gt;=20000000,AND(AK67&gt;5000000,AC67&gt;=1.25,AF67&lt;=0.65)),"Tier 2","Tier 3")))))</f>
        <v>Tier 2</v>
      </c>
      <c r="AO67" s="243">
        <v>47753</v>
      </c>
      <c r="AP67" s="259">
        <f>IF(C67="","",DAYS360(Inputs!$J$8,AO67)/360)</f>
        <v>5.0916666666666668</v>
      </c>
      <c r="AQ67" s="259">
        <f>IF(C67="","",AP67)</f>
        <v>5.0916666666666668</v>
      </c>
      <c r="AR67" s="246" t="s">
        <v>246</v>
      </c>
      <c r="AS67" s="248">
        <v>0</v>
      </c>
      <c r="AT67" s="246" t="s">
        <v>64</v>
      </c>
      <c r="AU67" s="248">
        <v>0.01</v>
      </c>
      <c r="AV67" s="248">
        <v>0.05</v>
      </c>
      <c r="AW67" s="248">
        <v>4.3019999999999989E-2</v>
      </c>
      <c r="AX67" s="260">
        <f>IF(C67="","",MAX(AU67,AW67))</f>
        <v>4.3019999999999989E-2</v>
      </c>
      <c r="AY67" s="248">
        <v>0</v>
      </c>
      <c r="AZ67" s="248">
        <v>0</v>
      </c>
      <c r="BA67" s="248">
        <v>0</v>
      </c>
      <c r="BB67" s="407">
        <f>IF(B67="","",IF(AR67="No",AV67-AZ67,""))</f>
        <v>0.05</v>
      </c>
      <c r="BC67" s="407" t="str">
        <f>IF(B67="","",IF(AR67="Yes",AS67-BA67,""))</f>
        <v/>
      </c>
      <c r="BD67" s="252" t="s">
        <v>247</v>
      </c>
      <c r="BE67" s="261" t="s">
        <v>378</v>
      </c>
      <c r="BF67" s="252" t="s">
        <v>7</v>
      </c>
      <c r="BG67" s="252" t="s">
        <v>460</v>
      </c>
      <c r="BH67" s="246" t="s">
        <v>246</v>
      </c>
      <c r="BI67" s="408" t="str">
        <f t="shared" si="17"/>
        <v>No</v>
      </c>
      <c r="BJ67" s="408" t="str">
        <f>IF(B67="","",IF(OR(AND(AZ67&gt;0,BB67&lt;2.5%),AND(BA67&gt;0,BC67&lt;6%)),"Yes","No"))</f>
        <v>No</v>
      </c>
      <c r="BK67" s="246" t="s">
        <v>246</v>
      </c>
      <c r="BL67" s="246" t="s">
        <v>246</v>
      </c>
      <c r="BM67" s="246" t="s">
        <v>246</v>
      </c>
      <c r="BN67" s="246" t="s">
        <v>246</v>
      </c>
      <c r="BO67" s="246" t="s">
        <v>246</v>
      </c>
      <c r="BP67" s="246" t="s">
        <v>246</v>
      </c>
      <c r="BQ67" s="246" t="s">
        <v>246</v>
      </c>
      <c r="BR67" s="246" t="s">
        <v>246</v>
      </c>
      <c r="BS67" s="246" t="s">
        <v>246</v>
      </c>
      <c r="BT67" s="246" t="s">
        <v>246</v>
      </c>
      <c r="BU67" s="246" t="s">
        <v>246</v>
      </c>
      <c r="BV67" s="246" t="s">
        <v>246</v>
      </c>
      <c r="BW67" s="246" t="s">
        <v>246</v>
      </c>
      <c r="BX67" s="246" t="s">
        <v>246</v>
      </c>
      <c r="BY67" s="246" t="s">
        <v>246</v>
      </c>
      <c r="BZ67" s="246" t="s">
        <v>246</v>
      </c>
      <c r="CA67" s="246" t="s">
        <v>246</v>
      </c>
      <c r="CB67" s="246" t="s">
        <v>64</v>
      </c>
      <c r="CC67" s="262">
        <f>IF(B67="","",IF(AT67="No",((BB67+AW67)-$AZ$4),((BB67+AX67)-$AZ$4))*IF(DE67&gt;0,0,M67))</f>
        <v>618896.8772889839</v>
      </c>
      <c r="CD67" s="262">
        <f>IF(B67="","",AY67*(L67-M67)*IF(DE67&gt;0,0,1))</f>
        <v>0</v>
      </c>
      <c r="CE67" s="263"/>
      <c r="CF67" s="263">
        <f t="shared" si="150"/>
        <v>0</v>
      </c>
      <c r="CG67" s="263">
        <f t="shared" si="151"/>
        <v>0</v>
      </c>
      <c r="CH67" s="263">
        <f t="shared" si="152"/>
        <v>0</v>
      </c>
      <c r="CI67" s="263">
        <f t="shared" si="153"/>
        <v>0</v>
      </c>
      <c r="CJ67" s="263">
        <f t="shared" si="154"/>
        <v>0</v>
      </c>
      <c r="CK67" s="263">
        <f t="shared" si="155"/>
        <v>0</v>
      </c>
      <c r="CL67" s="263">
        <f t="shared" si="156"/>
        <v>0</v>
      </c>
      <c r="CM67" s="263">
        <f t="shared" si="157"/>
        <v>0</v>
      </c>
      <c r="CN67" s="263">
        <f t="shared" si="158"/>
        <v>0</v>
      </c>
      <c r="CO67" s="263">
        <f t="shared" si="159"/>
        <v>0</v>
      </c>
      <c r="CP67" s="263">
        <f t="shared" si="160"/>
        <v>0</v>
      </c>
      <c r="CQ67" s="263">
        <f t="shared" si="161"/>
        <v>0</v>
      </c>
      <c r="CR67" s="263">
        <f t="shared" si="162"/>
        <v>0</v>
      </c>
      <c r="CS67" s="263">
        <f t="shared" si="163"/>
        <v>0</v>
      </c>
      <c r="CT67" s="263">
        <f t="shared" si="164"/>
        <v>0</v>
      </c>
      <c r="CU67" s="263">
        <f t="shared" si="165"/>
        <v>0</v>
      </c>
      <c r="CV67" s="263">
        <f t="shared" si="166"/>
        <v>0</v>
      </c>
      <c r="CW67" s="263">
        <f t="shared" si="167"/>
        <v>0</v>
      </c>
      <c r="CX67" s="263">
        <f t="shared" si="168"/>
        <v>0</v>
      </c>
      <c r="CY67" s="263">
        <f t="shared" si="169"/>
        <v>0</v>
      </c>
      <c r="CZ67" s="263">
        <f t="shared" si="170"/>
        <v>0</v>
      </c>
      <c r="DA67" s="263">
        <f t="shared" si="171"/>
        <v>0</v>
      </c>
      <c r="DB67" s="263">
        <f t="shared" si="172"/>
        <v>0</v>
      </c>
      <c r="DC67" s="263">
        <f t="shared" si="173"/>
        <v>0</v>
      </c>
      <c r="DD67" s="263">
        <f t="shared" si="174"/>
        <v>0</v>
      </c>
      <c r="DE67" s="263">
        <f t="shared" si="175"/>
        <v>0</v>
      </c>
      <c r="DF67" s="263">
        <f t="shared" si="176"/>
        <v>12428247.09</v>
      </c>
      <c r="DG67" s="263">
        <f t="shared" si="177"/>
        <v>0</v>
      </c>
      <c r="DH67" s="263">
        <f t="shared" si="178"/>
        <v>12428247.09</v>
      </c>
      <c r="DI67" s="263">
        <f t="shared" si="179"/>
        <v>12428247.09</v>
      </c>
      <c r="DJ67" s="263">
        <f t="shared" si="180"/>
        <v>0</v>
      </c>
      <c r="DK67" s="263">
        <f t="shared" si="181"/>
        <v>0</v>
      </c>
      <c r="DL67" s="263">
        <f t="shared" si="182"/>
        <v>0</v>
      </c>
      <c r="DM67" s="263">
        <f t="shared" si="183"/>
        <v>0</v>
      </c>
      <c r="DO67" s="264">
        <f t="shared" si="184"/>
        <v>0</v>
      </c>
      <c r="DP67" s="265">
        <f t="shared" si="185"/>
        <v>0</v>
      </c>
      <c r="DQ67" s="264">
        <f t="shared" si="186"/>
        <v>12428247.09</v>
      </c>
      <c r="DR67" s="264">
        <f t="shared" si="187"/>
        <v>0</v>
      </c>
      <c r="DS67" s="265">
        <f t="shared" si="188"/>
        <v>0</v>
      </c>
      <c r="DT67" s="264">
        <f t="shared" si="189"/>
        <v>12428247.09</v>
      </c>
      <c r="DU67" s="264">
        <f t="shared" si="190"/>
        <v>0</v>
      </c>
      <c r="DV67" s="265">
        <f t="shared" si="191"/>
        <v>0</v>
      </c>
      <c r="DW67" s="264">
        <f t="shared" si="192"/>
        <v>12428247.09</v>
      </c>
      <c r="DX67" s="264">
        <f t="shared" si="193"/>
        <v>0</v>
      </c>
      <c r="DY67" s="265">
        <f t="shared" si="194"/>
        <v>0</v>
      </c>
      <c r="DZ67" s="264">
        <f t="shared" si="195"/>
        <v>12428247.09</v>
      </c>
      <c r="EA67" s="264">
        <f t="shared" si="196"/>
        <v>0</v>
      </c>
      <c r="EB67" s="265">
        <f t="shared" si="197"/>
        <v>0</v>
      </c>
      <c r="EC67" s="264">
        <f t="shared" si="198"/>
        <v>12428247.09</v>
      </c>
      <c r="ED67" s="264">
        <f t="shared" si="199"/>
        <v>0</v>
      </c>
      <c r="EE67" s="265">
        <f t="shared" si="200"/>
        <v>0</v>
      </c>
      <c r="EF67" s="264">
        <f t="shared" si="201"/>
        <v>12428247.09</v>
      </c>
      <c r="EG67" s="264">
        <f t="shared" si="202"/>
        <v>0</v>
      </c>
      <c r="EH67" s="265">
        <f t="shared" si="203"/>
        <v>0</v>
      </c>
      <c r="EI67" s="264">
        <f t="shared" si="204"/>
        <v>12428247.09</v>
      </c>
      <c r="EJ67" s="264">
        <f t="shared" si="205"/>
        <v>0</v>
      </c>
      <c r="EK67" s="265">
        <f t="shared" si="206"/>
        <v>0</v>
      </c>
      <c r="EL67" s="264">
        <f t="shared" si="207"/>
        <v>12428247.09</v>
      </c>
      <c r="EM67" s="264">
        <f t="shared" si="208"/>
        <v>0</v>
      </c>
      <c r="EN67" s="265">
        <f t="shared" si="209"/>
        <v>0</v>
      </c>
      <c r="EO67" s="264">
        <f t="shared" si="210"/>
        <v>12428247.09</v>
      </c>
      <c r="EP67" s="264">
        <f t="shared" si="211"/>
        <v>0</v>
      </c>
      <c r="EQ67" s="265">
        <f t="shared" si="212"/>
        <v>0</v>
      </c>
      <c r="ER67" s="264">
        <f t="shared" si="213"/>
        <v>12428247.09</v>
      </c>
      <c r="ES67" s="264">
        <f t="shared" si="214"/>
        <v>0</v>
      </c>
      <c r="ET67" s="265">
        <f t="shared" si="215"/>
        <v>0</v>
      </c>
      <c r="EU67" s="264">
        <f t="shared" si="216"/>
        <v>12428247.09</v>
      </c>
      <c r="EV67" s="264">
        <f>IF(AND(BM67="Yes",OR(BN67="No",AND(BN67="Yes",Inputs!$J$8=Inputs!$J$17+75))),EU67,0)</f>
        <v>0</v>
      </c>
      <c r="EW67" s="265">
        <f t="shared" si="217"/>
        <v>0</v>
      </c>
      <c r="EX67" s="264">
        <f t="shared" si="218"/>
        <v>12428247.09</v>
      </c>
      <c r="EY67" s="264">
        <f t="shared" si="219"/>
        <v>0</v>
      </c>
      <c r="EZ67" s="265">
        <f t="shared" si="220"/>
        <v>0</v>
      </c>
      <c r="FA67" s="264">
        <f t="shared" si="221"/>
        <v>12428247.09</v>
      </c>
      <c r="FB67" s="264">
        <f t="shared" si="222"/>
        <v>0</v>
      </c>
      <c r="FC67" s="265">
        <f t="shared" si="223"/>
        <v>0</v>
      </c>
      <c r="FD67" s="264">
        <f t="shared" si="224"/>
        <v>12428247.09</v>
      </c>
      <c r="FE67" s="264">
        <f t="shared" si="225"/>
        <v>0</v>
      </c>
      <c r="FF67" s="265">
        <f t="shared" si="226"/>
        <v>0</v>
      </c>
      <c r="FG67" s="264">
        <f t="shared" si="227"/>
        <v>12428247.09</v>
      </c>
      <c r="FH67" s="264">
        <f t="shared" si="228"/>
        <v>12428247.09</v>
      </c>
      <c r="FI67" s="264">
        <f t="shared" si="229"/>
        <v>0</v>
      </c>
      <c r="FJ67" s="264">
        <f t="shared" si="230"/>
        <v>12428247.09</v>
      </c>
      <c r="FK67" s="264">
        <f t="shared" si="231"/>
        <v>12428247.09</v>
      </c>
      <c r="FL67" s="264">
        <f t="shared" si="232"/>
        <v>0</v>
      </c>
      <c r="FM67" s="264">
        <f t="shared" si="233"/>
        <v>12428247.09</v>
      </c>
      <c r="FN67" s="264">
        <f t="shared" si="234"/>
        <v>12428247.09</v>
      </c>
      <c r="FO67" s="264">
        <f t="shared" si="235"/>
        <v>0</v>
      </c>
      <c r="FP67" s="264">
        <f t="shared" si="236"/>
        <v>12428247.09</v>
      </c>
      <c r="FQ67" s="264">
        <f t="shared" si="237"/>
        <v>0</v>
      </c>
      <c r="FR67" s="265">
        <f t="shared" si="238"/>
        <v>0</v>
      </c>
      <c r="FS67" s="264">
        <f t="shared" si="239"/>
        <v>12428247.09</v>
      </c>
      <c r="FT67" s="264">
        <f t="shared" si="240"/>
        <v>0</v>
      </c>
      <c r="FU67" s="265">
        <f t="shared" si="241"/>
        <v>0</v>
      </c>
      <c r="FV67" s="264">
        <f t="shared" si="242"/>
        <v>12428247.09</v>
      </c>
      <c r="FW67" s="264">
        <f t="shared" si="243"/>
        <v>0</v>
      </c>
      <c r="FX67" s="264">
        <f t="shared" si="244"/>
        <v>0</v>
      </c>
      <c r="FY67" s="264">
        <f t="shared" si="245"/>
        <v>0</v>
      </c>
      <c r="FZ67" s="264">
        <f t="shared" si="246"/>
        <v>0</v>
      </c>
      <c r="GA67" s="265">
        <f t="shared" si="296"/>
        <v>0</v>
      </c>
      <c r="GB67" s="264">
        <f t="shared" si="297"/>
        <v>12428247.09</v>
      </c>
      <c r="GC67" s="264">
        <f t="shared" si="247"/>
        <v>12428247.09</v>
      </c>
      <c r="GD67" s="266">
        <f t="shared" si="248"/>
        <v>9010479.1402499992</v>
      </c>
      <c r="GE67" s="138">
        <f t="shared" si="249"/>
        <v>0.72499999999999998</v>
      </c>
      <c r="GF67" s="267">
        <f t="shared" si="250"/>
        <v>19</v>
      </c>
      <c r="GG67" s="264">
        <f t="array" ref="GG67">IF(SUM(IF(IC$9:IC66=IC67,1,0))&gt;0,0,SUMIF($IC$10:$IC$406,IC67,$FJ$10:$FJ$406))</f>
        <v>0</v>
      </c>
      <c r="GH67" s="268">
        <f t="shared" si="251"/>
        <v>0</v>
      </c>
      <c r="GI67" s="137">
        <f t="shared" si="126"/>
        <v>58</v>
      </c>
      <c r="GJ67" s="269">
        <f t="shared" si="252"/>
        <v>0</v>
      </c>
      <c r="GK67" s="269">
        <f t="shared" si="253"/>
        <v>0</v>
      </c>
      <c r="GL67" s="163">
        <f t="shared" si="254"/>
        <v>0</v>
      </c>
      <c r="GM67" s="137">
        <f t="array" ref="GM67">IF(GJ67=0,0,LARGE(IF($GG$10:$GG$406=GJ67,$GF$10:$GF$406,0),COUNTIF($GJ$10:$GJ$406,GJ67)-COUNTIF(GJ$9:GJ66,GJ67)))</f>
        <v>0</v>
      </c>
      <c r="GN67" s="270">
        <f t="shared" si="255"/>
        <v>0</v>
      </c>
      <c r="GP67" s="137">
        <f>IF(C67="","",IF(ISERROR(MATCH(C67,C$10:C66,0)),MAX(GP$10:GP66)+1,INDEX(GP$10:GP66,MATCH(C67,C$10:C66,0))))</f>
        <v>48</v>
      </c>
      <c r="GQ67" s="264">
        <f>IF(COUNTIF($A$10:A67,A67)&lt;=1,SUMIF($A$10:$A$406,A67,$FH$10:$FH$406),0)</f>
        <v>12428247.09</v>
      </c>
      <c r="GR67" s="137">
        <f t="shared" si="130"/>
        <v>58</v>
      </c>
      <c r="GS67" s="269">
        <f t="shared" si="256"/>
        <v>4627663</v>
      </c>
      <c r="GT67" s="269">
        <f t="shared" si="257"/>
        <v>50964284.172430128</v>
      </c>
      <c r="GU67" s="163">
        <f t="shared" si="258"/>
        <v>0</v>
      </c>
      <c r="GV67" s="137">
        <f t="array" ref="GV67">IF(GS67=0,0,LARGE(IF($GQ$10:$GQ$406=GS67,$GP$10:$GP$406,0),COUNTIF($GS$10:$GS$406,GS67)-COUNTIF(GS$9:GS66,GS67)))</f>
        <v>21</v>
      </c>
      <c r="GW67" s="270">
        <f t="shared" si="259"/>
        <v>0</v>
      </c>
      <c r="GX67" s="270"/>
      <c r="GY67" s="137">
        <f>IF(C67="","",IF(ISERROR(MATCH(C67,C$10:C66,0)),MAX(GP$10:GP66)+1,INDEX(GP$10:GP66,MATCH(C67,C$10:C66,0))))</f>
        <v>48</v>
      </c>
      <c r="GZ67" s="264">
        <f>IF(COUNTIF($A$10:A67,A67)&lt;=1,SUMIF($A$10:$A$406,A67,$FH$10:$FH$406),0)</f>
        <v>12428247.09</v>
      </c>
      <c r="HA67" s="137">
        <f t="shared" si="134"/>
        <v>58</v>
      </c>
      <c r="HB67" s="269">
        <f t="shared" si="260"/>
        <v>4627663</v>
      </c>
      <c r="HC67" s="414" t="s">
        <v>622</v>
      </c>
      <c r="HD67" s="163">
        <f t="shared" si="261"/>
        <v>0</v>
      </c>
      <c r="HE67" s="137">
        <f t="array" ref="HE67">IF(HB67=0,0,LARGE(IF($GZ$10:$GZ$406=HB67,$GY$10:$GY$406,0),COUNTIF($HB$10:$HB$406,HB67)-COUNTIF(HB$9:HB66,HB67)))</f>
        <v>21</v>
      </c>
      <c r="HF67" s="270">
        <f t="shared" si="262"/>
        <v>0</v>
      </c>
      <c r="HG67"/>
      <c r="HH67" s="268">
        <f t="shared" si="263"/>
        <v>0</v>
      </c>
      <c r="HI67" s="271">
        <v>0</v>
      </c>
      <c r="HJ67" s="264">
        <f t="shared" si="264"/>
        <v>0</v>
      </c>
      <c r="HL67" s="137">
        <f t="shared" si="265"/>
        <v>58</v>
      </c>
      <c r="HM67" s="264">
        <f t="shared" si="300"/>
        <v>3538065.6</v>
      </c>
      <c r="HO67" s="199">
        <f t="shared" si="301"/>
        <v>12428247.09</v>
      </c>
      <c r="HP67" s="199">
        <f t="shared" si="302"/>
        <v>12428247.09</v>
      </c>
      <c r="HQ67" s="199" t="str">
        <f t="shared" si="303"/>
        <v/>
      </c>
      <c r="HR67" s="199" t="str">
        <f t="shared" si="304"/>
        <v/>
      </c>
      <c r="HS67" s="199" t="str">
        <f t="shared" si="119"/>
        <v/>
      </c>
      <c r="HT67" s="199" t="str">
        <f t="shared" si="305"/>
        <v/>
      </c>
      <c r="HU67" s="199" t="str">
        <f t="shared" si="306"/>
        <v/>
      </c>
      <c r="HV67" s="200">
        <f t="shared" si="307"/>
        <v>0</v>
      </c>
      <c r="HW67" s="272">
        <f t="shared" si="308"/>
        <v>1</v>
      </c>
      <c r="HX67" s="200" t="str">
        <f t="shared" si="309"/>
        <v/>
      </c>
      <c r="HY67" s="200">
        <f t="shared" si="310"/>
        <v>0</v>
      </c>
      <c r="HZ67" s="200" t="str">
        <f t="shared" si="4"/>
        <v/>
      </c>
      <c r="IA67" s="200" t="str">
        <f t="shared" si="311"/>
        <v/>
      </c>
      <c r="IB67" s="200" t="str">
        <f t="shared" si="312"/>
        <v/>
      </c>
      <c r="IC67" s="273">
        <f>IF(C67="","",INDEX(Lookups!$E$2:$E$69,MATCH('Loan List'!BE67,Lookups!$F$2:$F$69,0)))</f>
        <v>19</v>
      </c>
      <c r="ID67" t="b">
        <f t="shared" si="313"/>
        <v>1</v>
      </c>
      <c r="IF67" s="346" t="str">
        <f>IF(B67="","",IF(AND(Y67="Second Lien",OR(DA67=1,DB67=1,DC67=1)),50%,IF(DA67=1,90%,IF(DB67=1,80%,IF(DC67=1,65%,"No Initial Haircut")))))</f>
        <v>No Initial Haircut</v>
      </c>
    </row>
    <row r="68" spans="1:240">
      <c r="A68" t="s">
        <v>746</v>
      </c>
      <c r="B68" s="242">
        <f t="shared" si="149"/>
        <v>59</v>
      </c>
      <c r="C68" s="242">
        <f>IF(COUNTIF($A$10:A67,A68)&gt;0,C67,C67+1)</f>
        <v>49</v>
      </c>
      <c r="D68" s="431" t="s">
        <v>746</v>
      </c>
      <c r="E68" s="428" t="s">
        <v>821</v>
      </c>
      <c r="F68" s="429"/>
      <c r="G68" s="430">
        <v>4417611</v>
      </c>
      <c r="H68" s="430">
        <v>4417611</v>
      </c>
      <c r="I68" s="244">
        <f>IF(B68="","",VLOOKUP(BF68,Inputs!$A$12:$J$15,10,FALSE))</f>
        <v>1</v>
      </c>
      <c r="J68" s="245">
        <f t="shared" si="5"/>
        <v>4417611</v>
      </c>
      <c r="K68" s="245">
        <f t="shared" si="6"/>
        <v>4417611</v>
      </c>
      <c r="L68" s="245">
        <f t="shared" si="7"/>
        <v>4417611</v>
      </c>
      <c r="M68" s="245">
        <f t="shared" si="8"/>
        <v>4417611</v>
      </c>
      <c r="N68" s="246" t="s">
        <v>246</v>
      </c>
      <c r="O68" s="246" t="s">
        <v>245</v>
      </c>
      <c r="P68" s="247">
        <f>IF(B68="","",IF(OR(O68="N/A",O68=""),0,YEARFRAC('Borrowing Base'!$J$4,'Loan List'!O68)*12))</f>
        <v>0</v>
      </c>
      <c r="Q68" s="246" t="s">
        <v>246</v>
      </c>
      <c r="R68" s="248">
        <v>0.96</v>
      </c>
      <c r="S68" s="249" t="str">
        <f t="shared" si="1"/>
        <v>No</v>
      </c>
      <c r="T68" s="248">
        <v>0.96</v>
      </c>
      <c r="U68" s="250">
        <f t="shared" si="9"/>
        <v>0.5</v>
      </c>
      <c r="V68" s="250">
        <f t="shared" si="10"/>
        <v>0.72499999999999998</v>
      </c>
      <c r="W68" s="251">
        <f t="shared" si="11"/>
        <v>4417611</v>
      </c>
      <c r="X68" s="246" t="s">
        <v>64</v>
      </c>
      <c r="Y68" s="252" t="s">
        <v>483</v>
      </c>
      <c r="Z68" s="252" t="s">
        <v>484</v>
      </c>
      <c r="AA68" s="253" t="s">
        <v>407</v>
      </c>
      <c r="AB68" s="253" t="s">
        <v>713</v>
      </c>
      <c r="AC68" s="254">
        <v>1.3220338983050848</v>
      </c>
      <c r="AD68" s="254">
        <v>1.8853755423162333</v>
      </c>
      <c r="AE68" s="254">
        <v>2.6486391914846643</v>
      </c>
      <c r="AF68" s="255">
        <v>0.495</v>
      </c>
      <c r="AG68" s="256">
        <v>3.9573820395738202</v>
      </c>
      <c r="AH68" s="256">
        <v>3.9573820395738202</v>
      </c>
      <c r="AI68" s="256">
        <v>3.0021317562588345</v>
      </c>
      <c r="AJ68" s="256">
        <v>3.0021317562588345</v>
      </c>
      <c r="AK68" s="257">
        <v>65700000</v>
      </c>
      <c r="AL68" s="257">
        <v>74376702.000000015</v>
      </c>
      <c r="AM68" s="258">
        <v>45838</v>
      </c>
      <c r="AN68" s="245" t="str">
        <f t="shared" si="12"/>
        <v>Tier 1</v>
      </c>
      <c r="AO68" s="243">
        <v>46097</v>
      </c>
      <c r="AP68" s="259">
        <f>IF(C68="","",DAYS360(Inputs!$J$8,AO68)/360)</f>
        <v>0.56111111111111112</v>
      </c>
      <c r="AQ68" s="259">
        <f t="shared" si="13"/>
        <v>0.56111111111111112</v>
      </c>
      <c r="AR68" s="246" t="s">
        <v>246</v>
      </c>
      <c r="AS68" s="248">
        <v>0</v>
      </c>
      <c r="AT68" s="246" t="s">
        <v>64</v>
      </c>
      <c r="AU68" s="248">
        <v>0.01</v>
      </c>
      <c r="AV68" s="248">
        <v>0.05</v>
      </c>
      <c r="AW68" s="248">
        <v>4.3019999999999989E-2</v>
      </c>
      <c r="AX68" s="260">
        <f t="shared" si="14"/>
        <v>4.3019999999999989E-2</v>
      </c>
      <c r="AY68" s="248">
        <v>0</v>
      </c>
      <c r="AZ68" s="248">
        <v>0</v>
      </c>
      <c r="BA68" s="248">
        <v>0</v>
      </c>
      <c r="BB68" s="407">
        <f t="shared" si="15"/>
        <v>0.05</v>
      </c>
      <c r="BC68" s="407" t="str">
        <f t="shared" si="16"/>
        <v/>
      </c>
      <c r="BD68" s="252" t="s">
        <v>247</v>
      </c>
      <c r="BE68" s="261" t="s">
        <v>380</v>
      </c>
      <c r="BF68" s="252" t="s">
        <v>7</v>
      </c>
      <c r="BG68" s="252" t="s">
        <v>460</v>
      </c>
      <c r="BH68" s="246" t="s">
        <v>246</v>
      </c>
      <c r="BI68" s="408" t="str">
        <f t="shared" si="17"/>
        <v>No</v>
      </c>
      <c r="BJ68" s="408" t="str">
        <f t="shared" si="18"/>
        <v>No</v>
      </c>
      <c r="BK68" s="246" t="s">
        <v>246</v>
      </c>
      <c r="BL68" s="246" t="s">
        <v>246</v>
      </c>
      <c r="BM68" s="246" t="s">
        <v>64</v>
      </c>
      <c r="BN68" s="246" t="s">
        <v>64</v>
      </c>
      <c r="BO68" s="246" t="s">
        <v>246</v>
      </c>
      <c r="BP68" s="246" t="s">
        <v>246</v>
      </c>
      <c r="BQ68" s="246" t="s">
        <v>246</v>
      </c>
      <c r="BR68" s="246" t="s">
        <v>246</v>
      </c>
      <c r="BS68" s="246" t="s">
        <v>246</v>
      </c>
      <c r="BT68" s="246" t="s">
        <v>246</v>
      </c>
      <c r="BU68" s="246" t="s">
        <v>246</v>
      </c>
      <c r="BV68" s="246" t="s">
        <v>246</v>
      </c>
      <c r="BW68" s="246" t="s">
        <v>246</v>
      </c>
      <c r="BX68" s="246" t="s">
        <v>246</v>
      </c>
      <c r="BY68" s="246" t="s">
        <v>246</v>
      </c>
      <c r="BZ68" s="246" t="s">
        <v>246</v>
      </c>
      <c r="CA68" s="246" t="s">
        <v>246</v>
      </c>
      <c r="CB68" s="246" t="s">
        <v>64</v>
      </c>
      <c r="CC68" s="262">
        <f t="shared" si="19"/>
        <v>219986.42553359995</v>
      </c>
      <c r="CD68" s="262">
        <f t="shared" si="20"/>
        <v>0</v>
      </c>
      <c r="CE68" s="263"/>
      <c r="CF68" s="263">
        <f t="shared" si="150"/>
        <v>0</v>
      </c>
      <c r="CG68" s="263">
        <f t="shared" si="151"/>
        <v>0</v>
      </c>
      <c r="CH68" s="263">
        <f t="shared" si="152"/>
        <v>0</v>
      </c>
      <c r="CI68" s="263">
        <f t="shared" si="153"/>
        <v>0</v>
      </c>
      <c r="CJ68" s="263">
        <f t="shared" si="154"/>
        <v>0</v>
      </c>
      <c r="CK68" s="263">
        <f t="shared" si="155"/>
        <v>0</v>
      </c>
      <c r="CL68" s="263">
        <f t="shared" si="156"/>
        <v>0</v>
      </c>
      <c r="CM68" s="263">
        <f t="shared" si="157"/>
        <v>0</v>
      </c>
      <c r="CN68" s="263">
        <f t="shared" si="158"/>
        <v>0</v>
      </c>
      <c r="CO68" s="263">
        <f t="shared" si="159"/>
        <v>0</v>
      </c>
      <c r="CP68" s="263">
        <f t="shared" si="160"/>
        <v>0</v>
      </c>
      <c r="CQ68" s="263">
        <f t="shared" si="161"/>
        <v>0</v>
      </c>
      <c r="CR68" s="263">
        <f t="shared" si="162"/>
        <v>0</v>
      </c>
      <c r="CS68" s="263">
        <f t="shared" si="163"/>
        <v>0</v>
      </c>
      <c r="CT68" s="263">
        <f t="shared" si="164"/>
        <v>0</v>
      </c>
      <c r="CU68" s="263">
        <f t="shared" si="165"/>
        <v>0</v>
      </c>
      <c r="CV68" s="263">
        <f t="shared" si="166"/>
        <v>0</v>
      </c>
      <c r="CW68" s="263">
        <f t="shared" si="167"/>
        <v>0</v>
      </c>
      <c r="CX68" s="263">
        <f t="shared" si="168"/>
        <v>0</v>
      </c>
      <c r="CY68" s="263">
        <f t="shared" si="169"/>
        <v>0</v>
      </c>
      <c r="CZ68" s="263">
        <f t="shared" si="170"/>
        <v>0</v>
      </c>
      <c r="DA68" s="263">
        <f t="shared" si="171"/>
        <v>0</v>
      </c>
      <c r="DB68" s="263">
        <f t="shared" si="172"/>
        <v>0</v>
      </c>
      <c r="DC68" s="263">
        <f t="shared" si="173"/>
        <v>0</v>
      </c>
      <c r="DD68" s="263">
        <f t="shared" si="174"/>
        <v>0</v>
      </c>
      <c r="DE68" s="263">
        <f t="shared" si="175"/>
        <v>0</v>
      </c>
      <c r="DF68" s="263">
        <f t="shared" si="176"/>
        <v>4417611</v>
      </c>
      <c r="DG68" s="263">
        <f t="shared" si="177"/>
        <v>0</v>
      </c>
      <c r="DH68" s="263">
        <f t="shared" si="178"/>
        <v>4417611</v>
      </c>
      <c r="DI68" s="263">
        <f t="shared" si="179"/>
        <v>4417611</v>
      </c>
      <c r="DJ68" s="263">
        <f t="shared" si="180"/>
        <v>0</v>
      </c>
      <c r="DK68" s="263">
        <f t="shared" si="181"/>
        <v>0</v>
      </c>
      <c r="DL68" s="263">
        <f t="shared" si="182"/>
        <v>0</v>
      </c>
      <c r="DM68" s="263">
        <f t="shared" si="183"/>
        <v>0</v>
      </c>
      <c r="DO68" s="264">
        <f t="shared" si="184"/>
        <v>0</v>
      </c>
      <c r="DP68" s="265">
        <f t="shared" si="185"/>
        <v>0</v>
      </c>
      <c r="DQ68" s="264">
        <f t="shared" si="186"/>
        <v>4417611</v>
      </c>
      <c r="DR68" s="264">
        <f t="shared" si="187"/>
        <v>0</v>
      </c>
      <c r="DS68" s="265">
        <f t="shared" si="188"/>
        <v>0</v>
      </c>
      <c r="DT68" s="264">
        <f t="shared" si="189"/>
        <v>4417611</v>
      </c>
      <c r="DU68" s="264">
        <f t="shared" si="190"/>
        <v>0</v>
      </c>
      <c r="DV68" s="265">
        <f t="shared" si="191"/>
        <v>0</v>
      </c>
      <c r="DW68" s="264">
        <f t="shared" si="192"/>
        <v>4417611</v>
      </c>
      <c r="DX68" s="264">
        <f t="shared" si="193"/>
        <v>0</v>
      </c>
      <c r="DY68" s="265">
        <f t="shared" si="194"/>
        <v>0</v>
      </c>
      <c r="DZ68" s="264">
        <f t="shared" si="195"/>
        <v>4417611</v>
      </c>
      <c r="EA68" s="264">
        <f t="shared" si="196"/>
        <v>0</v>
      </c>
      <c r="EB68" s="265">
        <f t="shared" si="197"/>
        <v>0</v>
      </c>
      <c r="EC68" s="264">
        <f t="shared" si="198"/>
        <v>4417611</v>
      </c>
      <c r="ED68" s="264">
        <f t="shared" si="199"/>
        <v>0</v>
      </c>
      <c r="EE68" s="265">
        <f t="shared" si="200"/>
        <v>0</v>
      </c>
      <c r="EF68" s="264">
        <f t="shared" si="201"/>
        <v>4417611</v>
      </c>
      <c r="EG68" s="264">
        <f t="shared" si="202"/>
        <v>0</v>
      </c>
      <c r="EH68" s="265">
        <f t="shared" si="203"/>
        <v>0</v>
      </c>
      <c r="EI68" s="264">
        <f t="shared" si="204"/>
        <v>4417611</v>
      </c>
      <c r="EJ68" s="264">
        <f t="shared" si="205"/>
        <v>0</v>
      </c>
      <c r="EK68" s="265">
        <f t="shared" si="206"/>
        <v>0</v>
      </c>
      <c r="EL68" s="264">
        <f t="shared" si="207"/>
        <v>4417611</v>
      </c>
      <c r="EM68" s="264">
        <f t="shared" si="208"/>
        <v>0</v>
      </c>
      <c r="EN68" s="265">
        <f t="shared" si="209"/>
        <v>0</v>
      </c>
      <c r="EO68" s="264">
        <f t="shared" si="210"/>
        <v>4417611</v>
      </c>
      <c r="EP68" s="264">
        <f t="shared" si="211"/>
        <v>0</v>
      </c>
      <c r="EQ68" s="265">
        <f t="shared" si="212"/>
        <v>0</v>
      </c>
      <c r="ER68" s="264">
        <f t="shared" si="213"/>
        <v>4417611</v>
      </c>
      <c r="ES68" s="264">
        <f t="shared" si="214"/>
        <v>0</v>
      </c>
      <c r="ET68" s="265">
        <f t="shared" si="215"/>
        <v>0</v>
      </c>
      <c r="EU68" s="264">
        <f t="shared" si="216"/>
        <v>4417611</v>
      </c>
      <c r="EV68" s="264">
        <f>IF(AND(BM68="Yes",OR(BN68="No",AND(BN68="Yes",Inputs!$J$8=Inputs!$J$17+75))),EU68,0)</f>
        <v>0</v>
      </c>
      <c r="EW68" s="265">
        <f t="shared" si="217"/>
        <v>0</v>
      </c>
      <c r="EX68" s="264">
        <f t="shared" si="218"/>
        <v>4417611</v>
      </c>
      <c r="EY68" s="264">
        <f t="shared" si="219"/>
        <v>0</v>
      </c>
      <c r="EZ68" s="265">
        <f t="shared" si="220"/>
        <v>0</v>
      </c>
      <c r="FA68" s="264">
        <f t="shared" si="221"/>
        <v>4417611</v>
      </c>
      <c r="FB68" s="264">
        <f t="shared" si="222"/>
        <v>0</v>
      </c>
      <c r="FC68" s="265">
        <f t="shared" si="223"/>
        <v>0</v>
      </c>
      <c r="FD68" s="264">
        <f t="shared" si="224"/>
        <v>4417611</v>
      </c>
      <c r="FE68" s="264">
        <f t="shared" si="225"/>
        <v>0</v>
      </c>
      <c r="FF68" s="265">
        <f t="shared" si="226"/>
        <v>0</v>
      </c>
      <c r="FG68" s="264">
        <f t="shared" si="227"/>
        <v>4417611</v>
      </c>
      <c r="FH68" s="264">
        <f t="shared" si="228"/>
        <v>4417611</v>
      </c>
      <c r="FI68" s="264">
        <f t="shared" si="229"/>
        <v>0</v>
      </c>
      <c r="FJ68" s="264">
        <f t="shared" si="230"/>
        <v>4417611</v>
      </c>
      <c r="FK68" s="264">
        <f t="shared" si="231"/>
        <v>4417611</v>
      </c>
      <c r="FL68" s="264">
        <f t="shared" si="232"/>
        <v>0</v>
      </c>
      <c r="FM68" s="264">
        <f t="shared" si="233"/>
        <v>4417611</v>
      </c>
      <c r="FN68" s="264">
        <f t="shared" si="234"/>
        <v>4417611</v>
      </c>
      <c r="FO68" s="264">
        <f t="shared" si="235"/>
        <v>0</v>
      </c>
      <c r="FP68" s="264">
        <f t="shared" si="236"/>
        <v>4417611</v>
      </c>
      <c r="FQ68" s="264">
        <f t="shared" si="237"/>
        <v>0</v>
      </c>
      <c r="FR68" s="265">
        <f t="shared" si="238"/>
        <v>0</v>
      </c>
      <c r="FS68" s="264">
        <f t="shared" si="239"/>
        <v>4417611</v>
      </c>
      <c r="FT68" s="264">
        <f t="shared" si="240"/>
        <v>0</v>
      </c>
      <c r="FU68" s="265">
        <f t="shared" si="241"/>
        <v>0</v>
      </c>
      <c r="FV68" s="264">
        <f t="shared" si="242"/>
        <v>4417611</v>
      </c>
      <c r="FW68" s="264">
        <f t="shared" si="243"/>
        <v>0</v>
      </c>
      <c r="FX68" s="264">
        <f t="shared" si="244"/>
        <v>0</v>
      </c>
      <c r="FY68" s="264">
        <f t="shared" si="245"/>
        <v>0</v>
      </c>
      <c r="FZ68" s="264">
        <f t="shared" si="246"/>
        <v>0</v>
      </c>
      <c r="GA68" s="265">
        <f t="shared" si="296"/>
        <v>0</v>
      </c>
      <c r="GB68" s="264">
        <f t="shared" si="297"/>
        <v>4417611</v>
      </c>
      <c r="GC68" s="264">
        <f t="shared" si="247"/>
        <v>4417611</v>
      </c>
      <c r="GD68" s="266">
        <f t="shared" si="248"/>
        <v>3202767.9750000001</v>
      </c>
      <c r="GE68" s="138">
        <f t="shared" si="249"/>
        <v>0.72499999999999998</v>
      </c>
      <c r="GF68" s="267">
        <f t="shared" si="250"/>
        <v>20</v>
      </c>
      <c r="GG68" s="264">
        <f t="array" ref="GG68">IF(SUM(IF(IC$9:IC67=IC68,1,0))&gt;0,0,SUMIF($IC$10:$IC$406,IC68,$FJ$10:$FJ$406))</f>
        <v>0</v>
      </c>
      <c r="GH68" s="268">
        <f t="shared" si="251"/>
        <v>0</v>
      </c>
      <c r="GI68" s="137">
        <f t="shared" si="126"/>
        <v>59</v>
      </c>
      <c r="GJ68" s="269">
        <f t="shared" si="252"/>
        <v>0</v>
      </c>
      <c r="GK68" s="269">
        <f t="shared" si="253"/>
        <v>0</v>
      </c>
      <c r="GL68" s="163">
        <f t="shared" si="254"/>
        <v>0</v>
      </c>
      <c r="GM68" s="137">
        <f t="array" ref="GM68">IF(GJ68=0,0,LARGE(IF($GG$10:$GG$406=GJ68,$GF$10:$GF$406,0),COUNTIF($GJ$10:$GJ$406,GJ68)-COUNTIF(GJ$9:GJ67,GJ68)))</f>
        <v>0</v>
      </c>
      <c r="GN68" s="270">
        <f t="shared" si="255"/>
        <v>0</v>
      </c>
      <c r="GP68" s="137">
        <f>IF(C68="","",IF(ISERROR(MATCH(C68,C$10:C67,0)),MAX(GP$10:GP67)+1,INDEX(GP$10:GP67,MATCH(C68,C$10:C67,0))))</f>
        <v>49</v>
      </c>
      <c r="GQ68" s="264">
        <f>IF(COUNTIF($A$10:A68,A68)&lt;=1,SUMIF($A$10:$A$406,A68,$FH$10:$FH$406),0)</f>
        <v>4417611</v>
      </c>
      <c r="GR68" s="137">
        <f t="shared" si="130"/>
        <v>59</v>
      </c>
      <c r="GS68" s="269">
        <f t="shared" si="256"/>
        <v>4625535</v>
      </c>
      <c r="GT68" s="269">
        <f t="shared" si="257"/>
        <v>50964284.172430128</v>
      </c>
      <c r="GU68" s="163">
        <f t="shared" si="258"/>
        <v>0</v>
      </c>
      <c r="GV68" s="137">
        <f t="array" ref="GV68">IF(GS68=0,0,LARGE(IF($GQ$10:$GQ$406=GS68,$GP$10:$GP$406,0),COUNTIF($GS$10:$GS$406,GS68)-COUNTIF(GS$9:GS67,GS68)))</f>
        <v>112</v>
      </c>
      <c r="GW68" s="270">
        <f t="shared" si="259"/>
        <v>0</v>
      </c>
      <c r="GX68" s="270"/>
      <c r="GY68" s="137">
        <f>IF(C68="","",IF(ISERROR(MATCH(C68,C$10:C67,0)),MAX(GP$10:GP67)+1,INDEX(GP$10:GP67,MATCH(C68,C$10:C67,0))))</f>
        <v>49</v>
      </c>
      <c r="GZ68" s="264">
        <f>IF(COUNTIF($A$10:A68,A68)&lt;=1,SUMIF($A$10:$A$406,A68,$FH$10:$FH$406),0)</f>
        <v>4417611</v>
      </c>
      <c r="HA68" s="137">
        <f t="shared" si="134"/>
        <v>59</v>
      </c>
      <c r="HB68" s="269">
        <f t="shared" si="260"/>
        <v>4625535</v>
      </c>
      <c r="HC68" s="414" t="s">
        <v>622</v>
      </c>
      <c r="HD68" s="163">
        <f t="shared" si="261"/>
        <v>0</v>
      </c>
      <c r="HE68" s="137">
        <f t="array" ref="HE68">IF(HB68=0,0,LARGE(IF($GZ$10:$GZ$406=HB68,$GY$10:$GY$406,0),COUNTIF($HB$10:$HB$406,HB68)-COUNTIF(HB$9:HB67,HB68)))</f>
        <v>112</v>
      </c>
      <c r="HF68" s="270">
        <f t="shared" si="262"/>
        <v>0</v>
      </c>
      <c r="HG68"/>
      <c r="HH68" s="268">
        <f t="shared" si="263"/>
        <v>0</v>
      </c>
      <c r="HI68" s="271">
        <v>0</v>
      </c>
      <c r="HJ68" s="264">
        <f t="shared" si="264"/>
        <v>0</v>
      </c>
      <c r="HL68" s="137">
        <f t="shared" si="265"/>
        <v>59</v>
      </c>
      <c r="HM68" s="264">
        <f t="shared" si="300"/>
        <v>1786294.8</v>
      </c>
      <c r="HO68" s="199">
        <f t="shared" si="301"/>
        <v>4417611</v>
      </c>
      <c r="HP68" s="199">
        <f t="shared" si="302"/>
        <v>4417611</v>
      </c>
      <c r="HQ68" s="199" t="str">
        <f t="shared" si="303"/>
        <v/>
      </c>
      <c r="HR68" s="199" t="str">
        <f t="shared" si="304"/>
        <v/>
      </c>
      <c r="HS68" s="199" t="str">
        <f t="shared" si="119"/>
        <v/>
      </c>
      <c r="HT68" s="199" t="str">
        <f t="shared" si="305"/>
        <v/>
      </c>
      <c r="HU68" s="199" t="str">
        <f t="shared" si="306"/>
        <v/>
      </c>
      <c r="HV68" s="200">
        <f t="shared" si="307"/>
        <v>0</v>
      </c>
      <c r="HW68" s="272">
        <f t="shared" si="308"/>
        <v>1</v>
      </c>
      <c r="HX68" s="200" t="str">
        <f t="shared" si="309"/>
        <v/>
      </c>
      <c r="HY68" s="200">
        <f t="shared" si="310"/>
        <v>0</v>
      </c>
      <c r="HZ68" s="200" t="str">
        <f t="shared" si="4"/>
        <v/>
      </c>
      <c r="IA68" s="200" t="str">
        <f t="shared" si="311"/>
        <v/>
      </c>
      <c r="IB68" s="200" t="str">
        <f t="shared" si="312"/>
        <v/>
      </c>
      <c r="IC68" s="273">
        <f>IF(C68="","",INDEX(Lookups!$E$2:$E$69,MATCH('Loan List'!BE68,Lookups!$F$2:$F$69,0)))</f>
        <v>20</v>
      </c>
      <c r="ID68" t="b">
        <f t="shared" si="313"/>
        <v>1</v>
      </c>
      <c r="IF68" s="346" t="str">
        <f t="shared" si="121"/>
        <v>No Initial Haircut</v>
      </c>
    </row>
    <row r="69" spans="1:240" ht="15" customHeight="1">
      <c r="A69" t="s">
        <v>747</v>
      </c>
      <c r="B69" s="242">
        <f t="shared" si="149"/>
        <v>60</v>
      </c>
      <c r="C69" s="242">
        <f>IF(COUNTIF($A$10:A68,A69)&gt;0,C68,C68+1)</f>
        <v>50</v>
      </c>
      <c r="D69" s="431" t="s">
        <v>747</v>
      </c>
      <c r="E69" s="428" t="s">
        <v>822</v>
      </c>
      <c r="F69" s="429"/>
      <c r="G69" s="430">
        <v>4191151</v>
      </c>
      <c r="H69" s="430">
        <v>4191151</v>
      </c>
      <c r="I69" s="244">
        <f>IF(B69="","",VLOOKUP(BF69,Inputs!$A$12:$J$15,10,FALSE))</f>
        <v>1</v>
      </c>
      <c r="J69" s="245">
        <f t="shared" si="5"/>
        <v>4191151</v>
      </c>
      <c r="K69" s="245">
        <f t="shared" si="6"/>
        <v>4191151</v>
      </c>
      <c r="L69" s="245">
        <f t="shared" si="7"/>
        <v>4191151</v>
      </c>
      <c r="M69" s="245">
        <f t="shared" si="8"/>
        <v>4191151</v>
      </c>
      <c r="N69" s="246" t="s">
        <v>246</v>
      </c>
      <c r="O69" s="246" t="s">
        <v>245</v>
      </c>
      <c r="P69" s="247">
        <f>IF(B69="","",IF(OR(O69="N/A",O69=""),0,YEARFRAC('Borrowing Base'!$J$4,'Loan List'!O69)*12))</f>
        <v>0</v>
      </c>
      <c r="Q69" s="246" t="s">
        <v>246</v>
      </c>
      <c r="R69" s="248">
        <v>0.98</v>
      </c>
      <c r="S69" s="249" t="str">
        <f t="shared" si="1"/>
        <v>No</v>
      </c>
      <c r="T69" s="248">
        <v>0.98</v>
      </c>
      <c r="U69" s="250">
        <f t="shared" si="9"/>
        <v>0.5</v>
      </c>
      <c r="V69" s="250">
        <f t="shared" si="10"/>
        <v>0.72499999999999998</v>
      </c>
      <c r="W69" s="251">
        <f t="shared" si="11"/>
        <v>2095575.5</v>
      </c>
      <c r="X69" s="246" t="s">
        <v>246</v>
      </c>
      <c r="Y69" s="252" t="s">
        <v>483</v>
      </c>
      <c r="Z69" s="252" t="s">
        <v>484</v>
      </c>
      <c r="AA69" s="253" t="s">
        <v>407</v>
      </c>
      <c r="AB69" s="253" t="s">
        <v>713</v>
      </c>
      <c r="AC69" s="254">
        <v>1.6512414066403081</v>
      </c>
      <c r="AD69" s="254">
        <v>0.9506970953890167</v>
      </c>
      <c r="AE69" s="254">
        <v>0.97684941253008628</v>
      </c>
      <c r="AF69" s="255">
        <v>0.43478260869565222</v>
      </c>
      <c r="AG69" s="256">
        <v>5.9943792799160001</v>
      </c>
      <c r="AH69" s="256">
        <v>5.9943792799160001</v>
      </c>
      <c r="AI69" s="256">
        <v>7.1844630308500728</v>
      </c>
      <c r="AJ69" s="256">
        <v>7.1844630308500728</v>
      </c>
      <c r="AK69" s="257">
        <v>22354274.519959599</v>
      </c>
      <c r="AL69" s="257">
        <v>34905316.909999877</v>
      </c>
      <c r="AM69" s="258">
        <v>45838</v>
      </c>
      <c r="AN69" s="245" t="str">
        <f t="shared" si="12"/>
        <v>Tier 2</v>
      </c>
      <c r="AO69" s="243">
        <v>46609</v>
      </c>
      <c r="AP69" s="259">
        <f>IF(C69="","",DAYS360(Inputs!$J$8,AO69)/360)</f>
        <v>1.961111111111111</v>
      </c>
      <c r="AQ69" s="259">
        <f t="shared" si="13"/>
        <v>1.961111111111111</v>
      </c>
      <c r="AR69" s="246" t="s">
        <v>246</v>
      </c>
      <c r="AS69" s="248">
        <v>0</v>
      </c>
      <c r="AT69" s="246" t="s">
        <v>64</v>
      </c>
      <c r="AU69" s="248">
        <v>0.01</v>
      </c>
      <c r="AV69" s="248">
        <v>0.05</v>
      </c>
      <c r="AW69" s="248">
        <v>4.3019999999999989E-2</v>
      </c>
      <c r="AX69" s="260">
        <f t="shared" si="14"/>
        <v>4.3019999999999989E-2</v>
      </c>
      <c r="AY69" s="248">
        <v>0</v>
      </c>
      <c r="AZ69" s="248">
        <v>0</v>
      </c>
      <c r="BA69" s="248">
        <v>0</v>
      </c>
      <c r="BB69" s="407">
        <f t="shared" si="15"/>
        <v>0.05</v>
      </c>
      <c r="BC69" s="407" t="str">
        <f t="shared" si="16"/>
        <v/>
      </c>
      <c r="BD69" s="252" t="s">
        <v>247</v>
      </c>
      <c r="BE69" s="261" t="s">
        <v>375</v>
      </c>
      <c r="BF69" s="252" t="s">
        <v>7</v>
      </c>
      <c r="BG69" s="252" t="s">
        <v>460</v>
      </c>
      <c r="BH69" s="246" t="s">
        <v>246</v>
      </c>
      <c r="BI69" s="408" t="str">
        <f t="shared" si="17"/>
        <v>No</v>
      </c>
      <c r="BJ69" s="408" t="str">
        <f t="shared" si="18"/>
        <v>No</v>
      </c>
      <c r="BK69" s="246" t="s">
        <v>246</v>
      </c>
      <c r="BL69" s="246" t="s">
        <v>246</v>
      </c>
      <c r="BM69" s="246" t="s">
        <v>64</v>
      </c>
      <c r="BN69" s="246" t="s">
        <v>64</v>
      </c>
      <c r="BO69" s="246" t="s">
        <v>246</v>
      </c>
      <c r="BP69" s="246" t="s">
        <v>246</v>
      </c>
      <c r="BQ69" s="246" t="s">
        <v>246</v>
      </c>
      <c r="BR69" s="246" t="s">
        <v>246</v>
      </c>
      <c r="BS69" s="246" t="s">
        <v>246</v>
      </c>
      <c r="BT69" s="246" t="s">
        <v>246</v>
      </c>
      <c r="BU69" s="246" t="s">
        <v>246</v>
      </c>
      <c r="BV69" s="246" t="s">
        <v>246</v>
      </c>
      <c r="BW69" s="246" t="s">
        <v>246</v>
      </c>
      <c r="BX69" s="246" t="s">
        <v>246</v>
      </c>
      <c r="BY69" s="246" t="s">
        <v>246</v>
      </c>
      <c r="BZ69" s="246" t="s">
        <v>246</v>
      </c>
      <c r="CA69" s="246" t="s">
        <v>246</v>
      </c>
      <c r="CB69" s="246" t="s">
        <v>64</v>
      </c>
      <c r="CC69" s="262">
        <f t="shared" si="19"/>
        <v>208709.26103759996</v>
      </c>
      <c r="CD69" s="262">
        <f t="shared" si="20"/>
        <v>0</v>
      </c>
      <c r="CE69" s="263"/>
      <c r="CF69" s="263">
        <f t="shared" si="150"/>
        <v>0</v>
      </c>
      <c r="CG69" s="263">
        <f t="shared" si="151"/>
        <v>0</v>
      </c>
      <c r="CH69" s="263">
        <f t="shared" si="152"/>
        <v>0</v>
      </c>
      <c r="CI69" s="263">
        <f t="shared" si="153"/>
        <v>0</v>
      </c>
      <c r="CJ69" s="263">
        <f t="shared" si="154"/>
        <v>0</v>
      </c>
      <c r="CK69" s="263">
        <f t="shared" si="155"/>
        <v>0</v>
      </c>
      <c r="CL69" s="263">
        <f t="shared" si="156"/>
        <v>0</v>
      </c>
      <c r="CM69" s="263">
        <f t="shared" si="157"/>
        <v>0</v>
      </c>
      <c r="CN69" s="263">
        <f t="shared" si="158"/>
        <v>0</v>
      </c>
      <c r="CO69" s="263">
        <f t="shared" si="159"/>
        <v>0</v>
      </c>
      <c r="CP69" s="263">
        <f t="shared" si="160"/>
        <v>0</v>
      </c>
      <c r="CQ69" s="263">
        <f t="shared" si="161"/>
        <v>0</v>
      </c>
      <c r="CR69" s="263">
        <f t="shared" si="162"/>
        <v>0</v>
      </c>
      <c r="CS69" s="263">
        <f t="shared" si="163"/>
        <v>0</v>
      </c>
      <c r="CT69" s="263">
        <f t="shared" si="164"/>
        <v>0</v>
      </c>
      <c r="CU69" s="263">
        <f t="shared" si="165"/>
        <v>0</v>
      </c>
      <c r="CV69" s="263">
        <f t="shared" si="166"/>
        <v>0</v>
      </c>
      <c r="CW69" s="263">
        <f t="shared" si="167"/>
        <v>0</v>
      </c>
      <c r="CX69" s="263">
        <f t="shared" si="168"/>
        <v>0</v>
      </c>
      <c r="CY69" s="263">
        <f t="shared" si="169"/>
        <v>0</v>
      </c>
      <c r="CZ69" s="263">
        <f t="shared" si="170"/>
        <v>0</v>
      </c>
      <c r="DA69" s="263">
        <f t="shared" si="171"/>
        <v>0</v>
      </c>
      <c r="DB69" s="263">
        <f t="shared" si="172"/>
        <v>0</v>
      </c>
      <c r="DC69" s="263">
        <f t="shared" si="173"/>
        <v>0</v>
      </c>
      <c r="DD69" s="263">
        <f t="shared" si="174"/>
        <v>1</v>
      </c>
      <c r="DE69" s="263">
        <f t="shared" si="175"/>
        <v>0</v>
      </c>
      <c r="DF69" s="263">
        <f t="shared" si="176"/>
        <v>2095575.5</v>
      </c>
      <c r="DG69" s="263">
        <f t="shared" si="177"/>
        <v>0</v>
      </c>
      <c r="DH69" s="263">
        <f t="shared" si="178"/>
        <v>2095575.5</v>
      </c>
      <c r="DI69" s="263">
        <f t="shared" si="179"/>
        <v>4191151</v>
      </c>
      <c r="DJ69" s="263">
        <f t="shared" si="180"/>
        <v>0</v>
      </c>
      <c r="DK69" s="263">
        <f t="shared" si="181"/>
        <v>0</v>
      </c>
      <c r="DL69" s="263">
        <f t="shared" si="182"/>
        <v>0</v>
      </c>
      <c r="DM69" s="263">
        <f t="shared" si="183"/>
        <v>0</v>
      </c>
      <c r="DO69" s="264">
        <f t="shared" si="184"/>
        <v>0</v>
      </c>
      <c r="DP69" s="265">
        <f t="shared" si="185"/>
        <v>0</v>
      </c>
      <c r="DQ69" s="264">
        <f t="shared" si="186"/>
        <v>2095575.5</v>
      </c>
      <c r="DR69" s="264">
        <f t="shared" si="187"/>
        <v>0</v>
      </c>
      <c r="DS69" s="265">
        <f t="shared" si="188"/>
        <v>0</v>
      </c>
      <c r="DT69" s="264">
        <f t="shared" si="189"/>
        <v>2095575.5</v>
      </c>
      <c r="DU69" s="264">
        <f t="shared" si="190"/>
        <v>0</v>
      </c>
      <c r="DV69" s="265">
        <f t="shared" si="191"/>
        <v>0</v>
      </c>
      <c r="DW69" s="264">
        <f t="shared" si="192"/>
        <v>2095575.5</v>
      </c>
      <c r="DX69" s="264">
        <f t="shared" si="193"/>
        <v>0</v>
      </c>
      <c r="DY69" s="265">
        <f t="shared" si="194"/>
        <v>0</v>
      </c>
      <c r="DZ69" s="264">
        <f t="shared" si="195"/>
        <v>2095575.5</v>
      </c>
      <c r="EA69" s="264">
        <f t="shared" si="196"/>
        <v>0</v>
      </c>
      <c r="EB69" s="265">
        <f t="shared" si="197"/>
        <v>0</v>
      </c>
      <c r="EC69" s="264">
        <f t="shared" si="198"/>
        <v>2095575.5</v>
      </c>
      <c r="ED69" s="264">
        <f t="shared" si="199"/>
        <v>0</v>
      </c>
      <c r="EE69" s="265">
        <f t="shared" si="200"/>
        <v>0</v>
      </c>
      <c r="EF69" s="264">
        <f t="shared" si="201"/>
        <v>2095575.5</v>
      </c>
      <c r="EG69" s="264">
        <f t="shared" si="202"/>
        <v>0</v>
      </c>
      <c r="EH69" s="265">
        <f t="shared" si="203"/>
        <v>0</v>
      </c>
      <c r="EI69" s="264">
        <f t="shared" si="204"/>
        <v>2095575.5</v>
      </c>
      <c r="EJ69" s="264">
        <f t="shared" si="205"/>
        <v>0</v>
      </c>
      <c r="EK69" s="265">
        <f t="shared" si="206"/>
        <v>0</v>
      </c>
      <c r="EL69" s="264">
        <f t="shared" si="207"/>
        <v>2095575.5</v>
      </c>
      <c r="EM69" s="264">
        <f t="shared" si="208"/>
        <v>0</v>
      </c>
      <c r="EN69" s="265">
        <f t="shared" si="209"/>
        <v>0</v>
      </c>
      <c r="EO69" s="264">
        <f t="shared" si="210"/>
        <v>2095575.5</v>
      </c>
      <c r="EP69" s="264">
        <f t="shared" si="211"/>
        <v>0</v>
      </c>
      <c r="EQ69" s="265">
        <f t="shared" si="212"/>
        <v>0</v>
      </c>
      <c r="ER69" s="264">
        <f t="shared" si="213"/>
        <v>2095575.5</v>
      </c>
      <c r="ES69" s="264">
        <f t="shared" si="214"/>
        <v>0</v>
      </c>
      <c r="ET69" s="265">
        <f t="shared" si="215"/>
        <v>0</v>
      </c>
      <c r="EU69" s="264">
        <f t="shared" si="216"/>
        <v>2095575.5</v>
      </c>
      <c r="EV69" s="264">
        <f>IF(AND(BM69="Yes",OR(BN69="No",AND(BN69="Yes",Inputs!$J$8=Inputs!$J$17+75))),EU69,0)</f>
        <v>0</v>
      </c>
      <c r="EW69" s="265">
        <f t="shared" si="217"/>
        <v>0</v>
      </c>
      <c r="EX69" s="264">
        <f t="shared" si="218"/>
        <v>2095575.5</v>
      </c>
      <c r="EY69" s="264">
        <f t="shared" si="219"/>
        <v>0</v>
      </c>
      <c r="EZ69" s="265">
        <f t="shared" si="220"/>
        <v>0</v>
      </c>
      <c r="FA69" s="264">
        <f t="shared" si="221"/>
        <v>2095575.5</v>
      </c>
      <c r="FB69" s="264">
        <f t="shared" si="222"/>
        <v>0</v>
      </c>
      <c r="FC69" s="265">
        <f t="shared" si="223"/>
        <v>0</v>
      </c>
      <c r="FD69" s="264">
        <f t="shared" si="224"/>
        <v>2095575.5</v>
      </c>
      <c r="FE69" s="264">
        <f t="shared" si="225"/>
        <v>0</v>
      </c>
      <c r="FF69" s="265">
        <f t="shared" si="226"/>
        <v>0</v>
      </c>
      <c r="FG69" s="264">
        <f t="shared" si="227"/>
        <v>2095575.5</v>
      </c>
      <c r="FH69" s="264">
        <f t="shared" si="228"/>
        <v>2095575.5</v>
      </c>
      <c r="FI69" s="264">
        <f t="shared" si="229"/>
        <v>0</v>
      </c>
      <c r="FJ69" s="264">
        <f t="shared" si="230"/>
        <v>2095575.5</v>
      </c>
      <c r="FK69" s="264">
        <f t="shared" si="231"/>
        <v>2095575.5</v>
      </c>
      <c r="FL69" s="264">
        <f t="shared" si="232"/>
        <v>0</v>
      </c>
      <c r="FM69" s="264">
        <f t="shared" si="233"/>
        <v>2095575.5</v>
      </c>
      <c r="FN69" s="264">
        <f t="shared" si="234"/>
        <v>2095575.5</v>
      </c>
      <c r="FO69" s="264">
        <f t="shared" si="235"/>
        <v>0</v>
      </c>
      <c r="FP69" s="264">
        <f t="shared" si="236"/>
        <v>2095575.5</v>
      </c>
      <c r="FQ69" s="264">
        <f t="shared" si="237"/>
        <v>0</v>
      </c>
      <c r="FR69" s="265">
        <f t="shared" si="238"/>
        <v>0</v>
      </c>
      <c r="FS69" s="264">
        <f t="shared" si="239"/>
        <v>2095575.5</v>
      </c>
      <c r="FT69" s="264">
        <f t="shared" si="240"/>
        <v>0</v>
      </c>
      <c r="FU69" s="265">
        <f t="shared" si="241"/>
        <v>0</v>
      </c>
      <c r="FV69" s="264">
        <f t="shared" si="242"/>
        <v>2095575.5</v>
      </c>
      <c r="FW69" s="264">
        <f t="shared" si="243"/>
        <v>0</v>
      </c>
      <c r="FX69" s="264">
        <f t="shared" si="244"/>
        <v>0</v>
      </c>
      <c r="FY69" s="264">
        <f t="shared" si="245"/>
        <v>0</v>
      </c>
      <c r="FZ69" s="264">
        <f t="shared" si="246"/>
        <v>0</v>
      </c>
      <c r="GA69" s="265">
        <f t="shared" si="296"/>
        <v>0</v>
      </c>
      <c r="GB69" s="264">
        <f t="shared" si="297"/>
        <v>2095575.5</v>
      </c>
      <c r="GC69" s="264">
        <f t="shared" si="247"/>
        <v>2095575.5</v>
      </c>
      <c r="GD69" s="266">
        <f t="shared" si="248"/>
        <v>1519292.2375</v>
      </c>
      <c r="GE69" s="138">
        <f t="shared" si="249"/>
        <v>0.36249999999999999</v>
      </c>
      <c r="GF69" s="267">
        <f t="shared" si="250"/>
        <v>18</v>
      </c>
      <c r="GG69" s="264">
        <f t="array" ref="GG69">IF(SUM(IF(IC$9:IC68=IC69,1,0))&gt;0,0,SUMIF($IC$10:$IC$406,IC69,$FJ$10:$FJ$406))</f>
        <v>0</v>
      </c>
      <c r="GH69" s="268">
        <f t="shared" si="251"/>
        <v>0</v>
      </c>
      <c r="GI69" s="137">
        <f t="shared" si="126"/>
        <v>60</v>
      </c>
      <c r="GJ69" s="269">
        <f t="shared" si="252"/>
        <v>0</v>
      </c>
      <c r="GK69" s="269">
        <f t="shared" si="253"/>
        <v>0</v>
      </c>
      <c r="GL69" s="163">
        <f t="shared" si="254"/>
        <v>0</v>
      </c>
      <c r="GM69" s="137">
        <f t="array" ref="GM69">IF(GJ69=0,0,LARGE(IF($GG$10:$GG$406=GJ69,$GF$10:$GF$406,0),COUNTIF($GJ$10:$GJ$406,GJ69)-COUNTIF(GJ$9:GJ68,GJ69)))</f>
        <v>0</v>
      </c>
      <c r="GN69" s="270">
        <f t="shared" si="255"/>
        <v>0</v>
      </c>
      <c r="GP69" s="137">
        <f>IF(C69="","",IF(ISERROR(MATCH(C69,C$10:C68,0)),MAX(GP$10:GP68)+1,INDEX(GP$10:GP68,MATCH(C69,C$10:C68,0))))</f>
        <v>50</v>
      </c>
      <c r="GQ69" s="264">
        <f>IF(COUNTIF($A$10:A69,A69)&lt;=1,SUMIF($A$10:$A$406,A69,$FH$10:$FH$406),0)</f>
        <v>2095575.5</v>
      </c>
      <c r="GR69" s="137">
        <f t="shared" si="130"/>
        <v>60</v>
      </c>
      <c r="GS69" s="269">
        <f t="shared" si="256"/>
        <v>4567103.2099000001</v>
      </c>
      <c r="GT69" s="269">
        <f t="shared" si="257"/>
        <v>50964284.172430128</v>
      </c>
      <c r="GU69" s="163">
        <f t="shared" si="258"/>
        <v>0</v>
      </c>
      <c r="GV69" s="137">
        <f t="array" ref="GV69">IF(GS69=0,0,LARGE(IF($GQ$10:$GQ$406=GS69,$GP$10:$GP$406,0),COUNTIF($GS$10:$GS$406,GS69)-COUNTIF(GS$9:GS68,GS69)))</f>
        <v>90</v>
      </c>
      <c r="GW69" s="270">
        <f t="shared" si="259"/>
        <v>0</v>
      </c>
      <c r="GX69" s="270"/>
      <c r="GY69" s="137">
        <f>IF(C69="","",IF(ISERROR(MATCH(C69,C$10:C68,0)),MAX(GP$10:GP68)+1,INDEX(GP$10:GP68,MATCH(C69,C$10:C68,0))))</f>
        <v>50</v>
      </c>
      <c r="GZ69" s="264">
        <f>IF(COUNTIF($A$10:A69,A69)&lt;=1,SUMIF($A$10:$A$406,A69,$FH$10:$FH$406),0)</f>
        <v>2095575.5</v>
      </c>
      <c r="HA69" s="137">
        <f t="shared" si="134"/>
        <v>60</v>
      </c>
      <c r="HB69" s="269">
        <f t="shared" si="260"/>
        <v>4567103.2099000001</v>
      </c>
      <c r="HC69" s="414" t="s">
        <v>622</v>
      </c>
      <c r="HD69" s="163">
        <f t="shared" si="261"/>
        <v>0</v>
      </c>
      <c r="HE69" s="137">
        <f t="array" ref="HE69">IF(HB69=0,0,LARGE(IF($GZ$10:$GZ$406=HB69,$GY$10:$GY$406,0),COUNTIF($HB$10:$HB$406,HB69)-COUNTIF(HB$9:HB68,HB69)))</f>
        <v>90</v>
      </c>
      <c r="HF69" s="270">
        <f t="shared" si="262"/>
        <v>0</v>
      </c>
      <c r="HG69" s="270"/>
      <c r="HH69" s="268">
        <f t="shared" si="263"/>
        <v>0</v>
      </c>
      <c r="HI69" s="271">
        <v>0</v>
      </c>
      <c r="HJ69" s="264">
        <f t="shared" si="264"/>
        <v>0</v>
      </c>
      <c r="HL69" s="137">
        <f t="shared" si="265"/>
        <v>60</v>
      </c>
      <c r="HM69" s="264">
        <f t="shared" si="300"/>
        <v>0</v>
      </c>
      <c r="HN69"/>
      <c r="HO69" s="199">
        <f t="shared" si="301"/>
        <v>2095575.5</v>
      </c>
      <c r="HP69" s="199">
        <f t="shared" si="302"/>
        <v>4191151</v>
      </c>
      <c r="HQ69" s="199" t="str">
        <f t="shared" si="303"/>
        <v/>
      </c>
      <c r="HR69" s="199" t="str">
        <f t="shared" si="304"/>
        <v/>
      </c>
      <c r="HS69" s="199" t="str">
        <f t="shared" si="119"/>
        <v/>
      </c>
      <c r="HT69" s="199">
        <f t="shared" si="305"/>
        <v>2095575.5</v>
      </c>
      <c r="HU69" s="199" t="str">
        <f t="shared" si="306"/>
        <v/>
      </c>
      <c r="HV69" s="200">
        <f t="shared" si="307"/>
        <v>0</v>
      </c>
      <c r="HW69" s="272" t="str">
        <f t="shared" si="308"/>
        <v/>
      </c>
      <c r="HX69" s="200">
        <f t="shared" si="309"/>
        <v>0</v>
      </c>
      <c r="HY69" s="200">
        <f t="shared" si="310"/>
        <v>2095575.5</v>
      </c>
      <c r="HZ69" s="200">
        <f t="shared" si="4"/>
        <v>0</v>
      </c>
      <c r="IA69" s="200">
        <f t="shared" si="311"/>
        <v>0</v>
      </c>
      <c r="IB69" s="200">
        <f t="shared" si="312"/>
        <v>0</v>
      </c>
      <c r="IC69" s="273">
        <f>IF(C69="","",INDEX(Lookups!$E$2:$E$69,MATCH('Loan List'!BE69,Lookups!$F$2:$F$69,0)))</f>
        <v>18</v>
      </c>
      <c r="ID69" t="b">
        <f t="shared" si="313"/>
        <v>1</v>
      </c>
      <c r="IF69" s="346" t="str">
        <f t="shared" si="121"/>
        <v>No Initial Haircut</v>
      </c>
    </row>
    <row r="70" spans="1:240" ht="15" customHeight="1">
      <c r="A70" t="s">
        <v>652</v>
      </c>
      <c r="B70" s="242">
        <f t="shared" si="149"/>
        <v>61</v>
      </c>
      <c r="C70" s="242">
        <f>IF(COUNTIF($A$10:A69,A70)&gt;0,C69,C69+1)</f>
        <v>51</v>
      </c>
      <c r="D70" s="428" t="s">
        <v>652</v>
      </c>
      <c r="E70" s="428" t="s">
        <v>647</v>
      </c>
      <c r="F70" s="429"/>
      <c r="G70" s="430">
        <v>29454620.510000002</v>
      </c>
      <c r="H70" s="430">
        <v>29454620.510000002</v>
      </c>
      <c r="I70" s="244">
        <f>IF(B70="","",VLOOKUP(BF70,Inputs!$A$12:$J$15,10,FALSE))</f>
        <v>1</v>
      </c>
      <c r="J70" s="245">
        <f t="shared" si="5"/>
        <v>29454620.510000002</v>
      </c>
      <c r="K70" s="245">
        <f t="shared" si="6"/>
        <v>29454620.510000002</v>
      </c>
      <c r="L70" s="245">
        <f t="shared" si="7"/>
        <v>29454620.510000002</v>
      </c>
      <c r="M70" s="245">
        <f t="shared" si="8"/>
        <v>29454620.510000002</v>
      </c>
      <c r="N70" s="246" t="s">
        <v>246</v>
      </c>
      <c r="O70" s="246" t="s">
        <v>245</v>
      </c>
      <c r="P70" s="247">
        <f>IF(B70="","",IF(OR(O70="N/A",O70=""),0,YEARFRAC('Borrowing Base'!$J$4,'Loan List'!O70)*12))</f>
        <v>0</v>
      </c>
      <c r="Q70" s="246" t="s">
        <v>246</v>
      </c>
      <c r="R70" s="248">
        <v>0.99140430000000002</v>
      </c>
      <c r="S70" s="249" t="str">
        <f t="shared" si="1"/>
        <v>No</v>
      </c>
      <c r="T70" s="248">
        <v>1</v>
      </c>
      <c r="U70" s="250">
        <f t="shared" si="9"/>
        <v>0.5</v>
      </c>
      <c r="V70" s="250">
        <f t="shared" si="10"/>
        <v>0.72499999999999998</v>
      </c>
      <c r="W70" s="251">
        <f t="shared" si="11"/>
        <v>29454620.510000002</v>
      </c>
      <c r="X70" s="246" t="s">
        <v>246</v>
      </c>
      <c r="Y70" s="252" t="s">
        <v>483</v>
      </c>
      <c r="Z70" s="252" t="s">
        <v>484</v>
      </c>
      <c r="AA70" s="253" t="s">
        <v>407</v>
      </c>
      <c r="AB70" s="253" t="s">
        <v>713</v>
      </c>
      <c r="AC70" s="254">
        <v>2.6937193221466114</v>
      </c>
      <c r="AD70" s="254">
        <v>1.4219950174535383</v>
      </c>
      <c r="AE70" s="254">
        <v>1.5589521935348445</v>
      </c>
      <c r="AF70" s="255">
        <v>0.23023131188010085</v>
      </c>
      <c r="AG70" s="256">
        <v>2.4436852710648691</v>
      </c>
      <c r="AH70" s="256">
        <v>2.4436852710648691</v>
      </c>
      <c r="AI70" s="256">
        <v>4.5445589924366638</v>
      </c>
      <c r="AJ70" s="256">
        <v>4.5445589924366638</v>
      </c>
      <c r="AK70" s="257">
        <v>21448752.267987397</v>
      </c>
      <c r="AL70" s="257">
        <v>29707393</v>
      </c>
      <c r="AM70" s="258">
        <v>45838</v>
      </c>
      <c r="AN70" s="245" t="str">
        <f t="shared" si="12"/>
        <v>Tier 2</v>
      </c>
      <c r="AO70" s="243">
        <v>47704</v>
      </c>
      <c r="AP70" s="259">
        <f>IF(C70="","",DAYS360(Inputs!$J$8,AO70)/360)</f>
        <v>4.958333333333333</v>
      </c>
      <c r="AQ70" s="259">
        <f t="shared" si="13"/>
        <v>4.958333333333333</v>
      </c>
      <c r="AR70" s="246" t="s">
        <v>246</v>
      </c>
      <c r="AS70" s="248">
        <v>0</v>
      </c>
      <c r="AT70" s="246" t="s">
        <v>64</v>
      </c>
      <c r="AU70" s="248">
        <v>0.01</v>
      </c>
      <c r="AV70" s="248">
        <v>0.05</v>
      </c>
      <c r="AW70" s="248">
        <v>4.356199999999999E-2</v>
      </c>
      <c r="AX70" s="260">
        <f t="shared" si="14"/>
        <v>4.356199999999999E-2</v>
      </c>
      <c r="AY70" s="248">
        <v>0</v>
      </c>
      <c r="AZ70" s="248">
        <v>0</v>
      </c>
      <c r="BA70" s="248">
        <v>0</v>
      </c>
      <c r="BB70" s="407">
        <f t="shared" si="15"/>
        <v>0.05</v>
      </c>
      <c r="BC70" s="407" t="str">
        <f t="shared" si="16"/>
        <v/>
      </c>
      <c r="BD70" s="252" t="s">
        <v>247</v>
      </c>
      <c r="BE70" s="261" t="s">
        <v>380</v>
      </c>
      <c r="BF70" s="252" t="s">
        <v>7</v>
      </c>
      <c r="BG70" s="252" t="s">
        <v>460</v>
      </c>
      <c r="BH70" s="246" t="s">
        <v>246</v>
      </c>
      <c r="BI70" s="408" t="str">
        <f t="shared" si="17"/>
        <v>No</v>
      </c>
      <c r="BJ70" s="408" t="str">
        <f t="shared" si="18"/>
        <v>No</v>
      </c>
      <c r="BK70" s="246" t="s">
        <v>246</v>
      </c>
      <c r="BL70" s="246" t="s">
        <v>246</v>
      </c>
      <c r="BM70" s="246" t="s">
        <v>246</v>
      </c>
      <c r="BN70" s="246" t="s">
        <v>246</v>
      </c>
      <c r="BO70" s="246" t="s">
        <v>246</v>
      </c>
      <c r="BP70" s="246" t="s">
        <v>246</v>
      </c>
      <c r="BQ70" s="246" t="s">
        <v>246</v>
      </c>
      <c r="BR70" s="246" t="s">
        <v>246</v>
      </c>
      <c r="BS70" s="246" t="s">
        <v>246</v>
      </c>
      <c r="BT70" s="246" t="s">
        <v>246</v>
      </c>
      <c r="BU70" s="246" t="s">
        <v>246</v>
      </c>
      <c r="BV70" s="246" t="s">
        <v>246</v>
      </c>
      <c r="BW70" s="246" t="s">
        <v>246</v>
      </c>
      <c r="BX70" s="246" t="s">
        <v>246</v>
      </c>
      <c r="BY70" s="246" t="s">
        <v>246</v>
      </c>
      <c r="BZ70" s="246" t="s">
        <v>246</v>
      </c>
      <c r="CA70" s="246" t="s">
        <v>246</v>
      </c>
      <c r="CB70" s="246" t="s">
        <v>64</v>
      </c>
      <c r="CC70" s="262">
        <f t="shared" si="19"/>
        <v>1482733.8146251959</v>
      </c>
      <c r="CD70" s="262">
        <f t="shared" si="20"/>
        <v>0</v>
      </c>
      <c r="CE70" s="263"/>
      <c r="CF70" s="263">
        <f t="shared" si="150"/>
        <v>0</v>
      </c>
      <c r="CG70" s="263">
        <f t="shared" si="151"/>
        <v>0</v>
      </c>
      <c r="CH70" s="263">
        <f t="shared" si="152"/>
        <v>0</v>
      </c>
      <c r="CI70" s="263">
        <f t="shared" si="153"/>
        <v>0</v>
      </c>
      <c r="CJ70" s="263">
        <f t="shared" si="154"/>
        <v>0</v>
      </c>
      <c r="CK70" s="263">
        <f t="shared" si="155"/>
        <v>0</v>
      </c>
      <c r="CL70" s="263">
        <f t="shared" si="156"/>
        <v>0</v>
      </c>
      <c r="CM70" s="263">
        <f t="shared" si="157"/>
        <v>0</v>
      </c>
      <c r="CN70" s="263">
        <f t="shared" si="158"/>
        <v>0</v>
      </c>
      <c r="CO70" s="263">
        <f t="shared" si="159"/>
        <v>0</v>
      </c>
      <c r="CP70" s="263">
        <f t="shared" si="160"/>
        <v>0</v>
      </c>
      <c r="CQ70" s="263">
        <f t="shared" si="161"/>
        <v>0</v>
      </c>
      <c r="CR70" s="263">
        <f t="shared" si="162"/>
        <v>0</v>
      </c>
      <c r="CS70" s="263">
        <f t="shared" si="163"/>
        <v>0</v>
      </c>
      <c r="CT70" s="263">
        <f t="shared" si="164"/>
        <v>0</v>
      </c>
      <c r="CU70" s="263">
        <f t="shared" si="165"/>
        <v>0</v>
      </c>
      <c r="CV70" s="263">
        <f t="shared" si="166"/>
        <v>0</v>
      </c>
      <c r="CW70" s="263">
        <f t="shared" si="167"/>
        <v>0</v>
      </c>
      <c r="CX70" s="263">
        <f t="shared" si="168"/>
        <v>0</v>
      </c>
      <c r="CY70" s="263">
        <f t="shared" si="169"/>
        <v>0</v>
      </c>
      <c r="CZ70" s="263">
        <f t="shared" si="170"/>
        <v>0</v>
      </c>
      <c r="DA70" s="263">
        <f t="shared" si="171"/>
        <v>0</v>
      </c>
      <c r="DB70" s="263">
        <f t="shared" si="172"/>
        <v>0</v>
      </c>
      <c r="DC70" s="263">
        <f t="shared" si="173"/>
        <v>0</v>
      </c>
      <c r="DD70" s="263">
        <f t="shared" si="174"/>
        <v>0</v>
      </c>
      <c r="DE70" s="263">
        <f t="shared" si="175"/>
        <v>0</v>
      </c>
      <c r="DF70" s="263">
        <f t="shared" si="176"/>
        <v>29454620.510000002</v>
      </c>
      <c r="DG70" s="263">
        <f t="shared" si="177"/>
        <v>0</v>
      </c>
      <c r="DH70" s="263">
        <f t="shared" si="178"/>
        <v>29454620.510000002</v>
      </c>
      <c r="DI70" s="263">
        <f t="shared" si="179"/>
        <v>29454620.510000002</v>
      </c>
      <c r="DJ70" s="263">
        <f t="shared" si="180"/>
        <v>0</v>
      </c>
      <c r="DK70" s="263">
        <f t="shared" si="181"/>
        <v>0</v>
      </c>
      <c r="DL70" s="263">
        <f t="shared" si="182"/>
        <v>0</v>
      </c>
      <c r="DM70" s="263">
        <f t="shared" si="183"/>
        <v>0</v>
      </c>
      <c r="DO70" s="264">
        <f t="shared" si="184"/>
        <v>0</v>
      </c>
      <c r="DP70" s="265">
        <f t="shared" si="185"/>
        <v>0</v>
      </c>
      <c r="DQ70" s="264">
        <f t="shared" si="186"/>
        <v>29454620.510000002</v>
      </c>
      <c r="DR70" s="264">
        <f t="shared" si="187"/>
        <v>0</v>
      </c>
      <c r="DS70" s="265">
        <f t="shared" si="188"/>
        <v>0</v>
      </c>
      <c r="DT70" s="264">
        <f t="shared" si="189"/>
        <v>29454620.510000002</v>
      </c>
      <c r="DU70" s="264">
        <f t="shared" si="190"/>
        <v>0</v>
      </c>
      <c r="DV70" s="265">
        <f t="shared" si="191"/>
        <v>0</v>
      </c>
      <c r="DW70" s="264">
        <f t="shared" si="192"/>
        <v>29454620.510000002</v>
      </c>
      <c r="DX70" s="264">
        <f t="shared" si="193"/>
        <v>0</v>
      </c>
      <c r="DY70" s="265">
        <f t="shared" si="194"/>
        <v>0</v>
      </c>
      <c r="DZ70" s="264">
        <f t="shared" si="195"/>
        <v>29454620.510000002</v>
      </c>
      <c r="EA70" s="264">
        <f t="shared" si="196"/>
        <v>0</v>
      </c>
      <c r="EB70" s="265">
        <f t="shared" si="197"/>
        <v>0</v>
      </c>
      <c r="EC70" s="264">
        <f t="shared" si="198"/>
        <v>29454620.510000002</v>
      </c>
      <c r="ED70" s="264">
        <f t="shared" si="199"/>
        <v>0</v>
      </c>
      <c r="EE70" s="265">
        <f t="shared" si="200"/>
        <v>0</v>
      </c>
      <c r="EF70" s="264">
        <f t="shared" si="201"/>
        <v>29454620.510000002</v>
      </c>
      <c r="EG70" s="264">
        <f t="shared" si="202"/>
        <v>0</v>
      </c>
      <c r="EH70" s="265">
        <f t="shared" si="203"/>
        <v>0</v>
      </c>
      <c r="EI70" s="264">
        <f t="shared" si="204"/>
        <v>29454620.510000002</v>
      </c>
      <c r="EJ70" s="264">
        <f t="shared" si="205"/>
        <v>0</v>
      </c>
      <c r="EK70" s="265">
        <f t="shared" si="206"/>
        <v>0</v>
      </c>
      <c r="EL70" s="264">
        <f t="shared" si="207"/>
        <v>29454620.510000002</v>
      </c>
      <c r="EM70" s="264">
        <f t="shared" si="208"/>
        <v>0</v>
      </c>
      <c r="EN70" s="265">
        <f t="shared" si="209"/>
        <v>0</v>
      </c>
      <c r="EO70" s="264">
        <f t="shared" si="210"/>
        <v>29454620.510000002</v>
      </c>
      <c r="EP70" s="264">
        <f t="shared" si="211"/>
        <v>0</v>
      </c>
      <c r="EQ70" s="265">
        <f t="shared" si="212"/>
        <v>0</v>
      </c>
      <c r="ER70" s="264">
        <f t="shared" si="213"/>
        <v>29454620.510000002</v>
      </c>
      <c r="ES70" s="264">
        <f t="shared" si="214"/>
        <v>0</v>
      </c>
      <c r="ET70" s="265">
        <f t="shared" si="215"/>
        <v>0</v>
      </c>
      <c r="EU70" s="264">
        <f t="shared" si="216"/>
        <v>29454620.510000002</v>
      </c>
      <c r="EV70" s="264">
        <f>IF(AND(BM70="Yes",OR(BN70="No",AND(BN70="Yes",Inputs!$J$8=Inputs!$J$17+75))),EU70,0)</f>
        <v>0</v>
      </c>
      <c r="EW70" s="265">
        <f t="shared" si="217"/>
        <v>0</v>
      </c>
      <c r="EX70" s="264">
        <f t="shared" si="218"/>
        <v>29454620.510000002</v>
      </c>
      <c r="EY70" s="264">
        <f t="shared" si="219"/>
        <v>0</v>
      </c>
      <c r="EZ70" s="265">
        <f t="shared" si="220"/>
        <v>0</v>
      </c>
      <c r="FA70" s="264">
        <f t="shared" si="221"/>
        <v>29454620.510000002</v>
      </c>
      <c r="FB70" s="264">
        <f t="shared" si="222"/>
        <v>0</v>
      </c>
      <c r="FC70" s="265">
        <f t="shared" si="223"/>
        <v>0</v>
      </c>
      <c r="FD70" s="264">
        <f t="shared" si="224"/>
        <v>29454620.510000002</v>
      </c>
      <c r="FE70" s="264">
        <f t="shared" si="225"/>
        <v>0</v>
      </c>
      <c r="FF70" s="265">
        <f t="shared" si="226"/>
        <v>0</v>
      </c>
      <c r="FG70" s="264">
        <f t="shared" si="227"/>
        <v>29454620.510000002</v>
      </c>
      <c r="FH70" s="264">
        <f t="shared" si="228"/>
        <v>29454620.510000002</v>
      </c>
      <c r="FI70" s="264">
        <f t="shared" si="229"/>
        <v>0</v>
      </c>
      <c r="FJ70" s="264">
        <f t="shared" si="230"/>
        <v>29454620.510000002</v>
      </c>
      <c r="FK70" s="264">
        <f t="shared" si="231"/>
        <v>29454620.510000002</v>
      </c>
      <c r="FL70" s="264">
        <f t="shared" si="232"/>
        <v>0</v>
      </c>
      <c r="FM70" s="264">
        <f t="shared" si="233"/>
        <v>29454620.510000002</v>
      </c>
      <c r="FN70" s="264">
        <f t="shared" si="234"/>
        <v>29454620.510000002</v>
      </c>
      <c r="FO70" s="264">
        <f t="shared" si="235"/>
        <v>0</v>
      </c>
      <c r="FP70" s="264">
        <f t="shared" si="236"/>
        <v>29454620.510000002</v>
      </c>
      <c r="FQ70" s="264">
        <f t="shared" si="237"/>
        <v>0</v>
      </c>
      <c r="FR70" s="265">
        <f t="shared" si="238"/>
        <v>0</v>
      </c>
      <c r="FS70" s="264">
        <f t="shared" si="239"/>
        <v>29454620.510000002</v>
      </c>
      <c r="FT70" s="264">
        <f t="shared" si="240"/>
        <v>0</v>
      </c>
      <c r="FU70" s="265">
        <f t="shared" si="241"/>
        <v>0</v>
      </c>
      <c r="FV70" s="264">
        <f t="shared" si="242"/>
        <v>29454620.510000002</v>
      </c>
      <c r="FW70" s="264">
        <f t="shared" si="243"/>
        <v>29454620.510000002</v>
      </c>
      <c r="FX70" s="264">
        <f t="shared" si="244"/>
        <v>0</v>
      </c>
      <c r="FY70" s="264">
        <f t="shared" si="245"/>
        <v>0</v>
      </c>
      <c r="FZ70" s="264">
        <f t="shared" si="246"/>
        <v>29454620.510000002</v>
      </c>
      <c r="GA70" s="265">
        <f t="shared" si="296"/>
        <v>131969.80391408977</v>
      </c>
      <c r="GB70" s="264">
        <f t="shared" si="297"/>
        <v>29322650.706085913</v>
      </c>
      <c r="GC70" s="264">
        <f t="shared" si="247"/>
        <v>29322650.706085913</v>
      </c>
      <c r="GD70" s="266">
        <f t="shared" si="248"/>
        <v>21258921.761912286</v>
      </c>
      <c r="GE70" s="138">
        <f t="shared" si="249"/>
        <v>0.72175167745565649</v>
      </c>
      <c r="GF70" s="267">
        <f t="shared" si="250"/>
        <v>20</v>
      </c>
      <c r="GG70" s="264">
        <f t="array" ref="GG70">IF(SUM(IF(IC$9:IC69=IC70,1,0))&gt;0,0,SUMIF($IC$10:$IC$406,IC70,$FJ$10:$FJ$406))</f>
        <v>0</v>
      </c>
      <c r="GH70" s="268">
        <f t="shared" si="251"/>
        <v>0</v>
      </c>
      <c r="GI70" s="137">
        <f t="shared" si="126"/>
        <v>61</v>
      </c>
      <c r="GJ70" s="269">
        <f t="shared" si="252"/>
        <v>0</v>
      </c>
      <c r="GK70" s="269">
        <f t="shared" si="253"/>
        <v>0</v>
      </c>
      <c r="GL70" s="163">
        <f t="shared" si="254"/>
        <v>0</v>
      </c>
      <c r="GM70" s="137">
        <f t="array" ref="GM70">IF(GJ70=0,0,LARGE(IF($GG$10:$GG$406=GJ70,$GF$10:$GF$406,0),COUNTIF($GJ$10:$GJ$406,GJ70)-COUNTIF(GJ$9:GJ69,GJ70)))</f>
        <v>0</v>
      </c>
      <c r="GN70" s="270">
        <f t="shared" si="255"/>
        <v>0</v>
      </c>
      <c r="GP70" s="137">
        <f>IF(C70="","",IF(ISERROR(MATCH(C70,C$10:C69,0)),MAX(GP$10:GP69)+1,INDEX(GP$10:GP69,MATCH(C70,C$10:C69,0))))</f>
        <v>51</v>
      </c>
      <c r="GQ70" s="264">
        <f>IF(COUNTIF($A$10:A70,A70)&lt;=1,SUMIF($A$10:$A$406,A70,$FH$10:$FH$406),0)</f>
        <v>29454620.510000002</v>
      </c>
      <c r="GR70" s="137">
        <f t="shared" si="130"/>
        <v>61</v>
      </c>
      <c r="GS70" s="269">
        <f t="shared" si="256"/>
        <v>4500000</v>
      </c>
      <c r="GT70" s="269">
        <f t="shared" si="257"/>
        <v>50964284.172430128</v>
      </c>
      <c r="GU70" s="163">
        <f t="shared" si="258"/>
        <v>0</v>
      </c>
      <c r="GV70" s="137">
        <f t="array" ref="GV70">IF(GS70=0,0,LARGE(IF($GQ$10:$GQ$406=GS70,$GP$10:$GP$406,0),COUNTIF($GS$10:$GS$406,GS70)-COUNTIF(GS$9:GS69,GS70)))</f>
        <v>16</v>
      </c>
      <c r="GW70" s="270">
        <f t="shared" si="259"/>
        <v>0</v>
      </c>
      <c r="GX70" s="270"/>
      <c r="GY70" s="137">
        <f>IF(C70="","",IF(ISERROR(MATCH(C70,C$10:C69,0)),MAX(GP$10:GP69)+1,INDEX(GP$10:GP69,MATCH(C70,C$10:C69,0))))</f>
        <v>51</v>
      </c>
      <c r="GZ70" s="264">
        <f>IF(COUNTIF($A$10:A70,A70)&lt;=1,SUMIF($A$10:$A$406,A70,$FH$10:$FH$406),0)</f>
        <v>29454620.510000002</v>
      </c>
      <c r="HA70" s="137">
        <f t="shared" si="134"/>
        <v>61</v>
      </c>
      <c r="HB70" s="269">
        <f t="shared" si="260"/>
        <v>4500000</v>
      </c>
      <c r="HC70" s="414" t="s">
        <v>622</v>
      </c>
      <c r="HD70" s="163">
        <f t="shared" si="261"/>
        <v>0</v>
      </c>
      <c r="HE70" s="137">
        <f t="array" ref="HE70">IF(HB70=0,0,LARGE(IF($GZ$10:$GZ$406=HB70,$GY$10:$GY$406,0),COUNTIF($HB$10:$HB$406,HB70)-COUNTIF(HB$9:HB69,HB70)))</f>
        <v>16</v>
      </c>
      <c r="HF70" s="270">
        <f t="shared" si="262"/>
        <v>0</v>
      </c>
      <c r="HG70" s="270"/>
      <c r="HH70" s="268">
        <f t="shared" si="263"/>
        <v>131969.80391408876</v>
      </c>
      <c r="HI70" s="271">
        <v>0</v>
      </c>
      <c r="HJ70" s="264">
        <f t="shared" si="264"/>
        <v>0</v>
      </c>
      <c r="HL70" s="137">
        <f t="shared" si="265"/>
        <v>61</v>
      </c>
      <c r="HM70" s="264">
        <f t="shared" si="300"/>
        <v>2645556.4700000002</v>
      </c>
      <c r="HN70"/>
      <c r="HO70" s="199">
        <f t="shared" si="301"/>
        <v>29454620.510000002</v>
      </c>
      <c r="HP70" s="199">
        <f t="shared" si="302"/>
        <v>29454620.510000002</v>
      </c>
      <c r="HQ70" s="199" t="str">
        <f t="shared" si="303"/>
        <v/>
      </c>
      <c r="HR70" s="199" t="str">
        <f t="shared" si="304"/>
        <v/>
      </c>
      <c r="HS70" s="199" t="str">
        <f t="shared" si="119"/>
        <v/>
      </c>
      <c r="HT70" s="199" t="str">
        <f t="shared" si="305"/>
        <v/>
      </c>
      <c r="HU70" s="199" t="str">
        <f t="shared" si="306"/>
        <v/>
      </c>
      <c r="HV70" s="200">
        <f t="shared" si="307"/>
        <v>0</v>
      </c>
      <c r="HW70" s="272">
        <f t="shared" si="308"/>
        <v>1</v>
      </c>
      <c r="HX70" s="200" t="str">
        <f t="shared" si="309"/>
        <v/>
      </c>
      <c r="HY70" s="200">
        <f t="shared" si="310"/>
        <v>0</v>
      </c>
      <c r="HZ70" s="200" t="str">
        <f t="shared" si="4"/>
        <v/>
      </c>
      <c r="IA70" s="200" t="str">
        <f t="shared" si="311"/>
        <v/>
      </c>
      <c r="IB70" s="200" t="str">
        <f t="shared" si="312"/>
        <v/>
      </c>
      <c r="IC70" s="273">
        <f>IF(C70="","",INDEX(Lookups!$E$2:$E$69,MATCH('Loan List'!BE70,Lookups!$F$2:$F$69,0)))</f>
        <v>20</v>
      </c>
      <c r="ID70" t="b">
        <f t="shared" si="313"/>
        <v>1</v>
      </c>
      <c r="IF70" s="346" t="str">
        <f t="shared" si="121"/>
        <v>No Initial Haircut</v>
      </c>
    </row>
    <row r="71" spans="1:240" ht="15" customHeight="1">
      <c r="A71" t="s">
        <v>748</v>
      </c>
      <c r="B71" s="242">
        <f t="shared" si="149"/>
        <v>62</v>
      </c>
      <c r="C71" s="242">
        <f>IF(COUNTIF($A$10:A70,A71)&gt;0,C70,C70+1)</f>
        <v>52</v>
      </c>
      <c r="D71" s="428" t="s">
        <v>748</v>
      </c>
      <c r="E71" s="428" t="s">
        <v>823</v>
      </c>
      <c r="F71" s="429"/>
      <c r="G71" s="430">
        <v>8152927.54</v>
      </c>
      <c r="H71" s="430">
        <v>8152927.54</v>
      </c>
      <c r="I71" s="244">
        <f>IF(B71="","",VLOOKUP(BF71,Inputs!$A$12:$J$15,10,FALSE))</f>
        <v>1</v>
      </c>
      <c r="J71" s="245">
        <f>IF(B71="","",G71*I71)</f>
        <v>8152927.54</v>
      </c>
      <c r="K71" s="245">
        <f>IF(B71="","",H71*I71)</f>
        <v>8152927.54</v>
      </c>
      <c r="L71" s="245">
        <f>IF(B71="","",IF(COUNTIF($CF71:$CY71,1)&gt;0,0,J71))</f>
        <v>8152927.54</v>
      </c>
      <c r="M71" s="245">
        <f>IF(B71="","",IF(COUNTIF($CF71:$CY71,1)&gt;0,0,K71))</f>
        <v>8152927.54</v>
      </c>
      <c r="N71" s="246" t="s">
        <v>246</v>
      </c>
      <c r="O71" s="246" t="s">
        <v>245</v>
      </c>
      <c r="P71" s="247">
        <f>IF(B71="","",IF(OR(O71="N/A",O71=""),0,YEARFRAC('Borrowing Base'!$J$4,'Loan List'!O71)*12))</f>
        <v>0</v>
      </c>
      <c r="Q71" s="246" t="s">
        <v>246</v>
      </c>
      <c r="R71" s="248">
        <v>0.995</v>
      </c>
      <c r="S71" s="249" t="str">
        <f>IF(B71="","",IF(R71&lt;95%,"Yes","No"))</f>
        <v>No</v>
      </c>
      <c r="T71" s="248">
        <v>0.995</v>
      </c>
      <c r="U71" s="250">
        <f>IF(B71="","",IF(OR(Y71="First Lien",Y71="Split First Lien",Y71="Tier 1 Split Lien",Y71="Tier 2 Split Lien"),50%,30%))</f>
        <v>0.5</v>
      </c>
      <c r="V71" s="250">
        <f t="shared" si="10"/>
        <v>0.72499999999999998</v>
      </c>
      <c r="W71" s="251">
        <f t="shared" si="11"/>
        <v>8152927.54</v>
      </c>
      <c r="X71" s="246" t="s">
        <v>246</v>
      </c>
      <c r="Y71" s="252" t="s">
        <v>483</v>
      </c>
      <c r="Z71" s="252" t="s">
        <v>484</v>
      </c>
      <c r="AA71" s="253" t="s">
        <v>407</v>
      </c>
      <c r="AB71" s="253" t="s">
        <v>713</v>
      </c>
      <c r="AC71" s="254">
        <v>1.3489932885906042</v>
      </c>
      <c r="AD71" s="254">
        <v>1.8318781034038196</v>
      </c>
      <c r="AE71" s="254">
        <v>2.4464851774436136</v>
      </c>
      <c r="AF71" s="255">
        <v>0.54482985729967059</v>
      </c>
      <c r="AG71" s="256">
        <v>4.8080052696838189</v>
      </c>
      <c r="AH71" s="256">
        <v>4.8080052696838189</v>
      </c>
      <c r="AI71" s="256">
        <v>3.4298794043177372</v>
      </c>
      <c r="AJ71" s="256">
        <v>3.4298794043177372</v>
      </c>
      <c r="AK71" s="257">
        <v>51600000</v>
      </c>
      <c r="AL71" s="257">
        <v>66820569.5778943</v>
      </c>
      <c r="AM71" s="258">
        <v>45838</v>
      </c>
      <c r="AN71" s="245" t="str">
        <f>IF(C71="","",(IF(AK71&gt;=50000000,"Tier 1",(IF(OR(AK71&gt;=20000000,AND(AK71&gt;5000000,AC71&gt;=1.25,AF71&lt;=0.65)),"Tier 2","Tier 3")))))</f>
        <v>Tier 1</v>
      </c>
      <c r="AO71" s="243">
        <v>47286</v>
      </c>
      <c r="AP71" s="259">
        <f>IF(C71="","",DAYS360(Inputs!$J$8,AO71)/360)</f>
        <v>3.8138888888888891</v>
      </c>
      <c r="AQ71" s="259">
        <f>IF(C71="","",AP71)</f>
        <v>3.8138888888888891</v>
      </c>
      <c r="AR71" s="246" t="s">
        <v>246</v>
      </c>
      <c r="AS71" s="248">
        <v>0</v>
      </c>
      <c r="AT71" s="246" t="s">
        <v>64</v>
      </c>
      <c r="AU71" s="248">
        <v>0.01</v>
      </c>
      <c r="AV71" s="248">
        <v>0.05</v>
      </c>
      <c r="AW71" s="248">
        <v>4.356199999999999E-2</v>
      </c>
      <c r="AX71" s="260">
        <f>IF(C71="","",MAX(AU71,AW71))</f>
        <v>4.356199999999999E-2</v>
      </c>
      <c r="AY71" s="248">
        <v>0</v>
      </c>
      <c r="AZ71" s="248">
        <v>0</v>
      </c>
      <c r="BA71" s="248">
        <v>0</v>
      </c>
      <c r="BB71" s="407">
        <f>IF(B71="","",IF(AR71="No",AV71-AZ71,""))</f>
        <v>0.05</v>
      </c>
      <c r="BC71" s="407" t="str">
        <f>IF(B71="","",IF(AR71="Yes",AS71-BA71,""))</f>
        <v/>
      </c>
      <c r="BD71" s="252" t="s">
        <v>247</v>
      </c>
      <c r="BE71" s="261" t="s">
        <v>408</v>
      </c>
      <c r="BF71" s="252" t="s">
        <v>7</v>
      </c>
      <c r="BG71" s="252" t="s">
        <v>460</v>
      </c>
      <c r="BH71" s="246" t="s">
        <v>246</v>
      </c>
      <c r="BI71" s="408" t="str">
        <f t="shared" si="17"/>
        <v>No</v>
      </c>
      <c r="BJ71" s="408" t="str">
        <f>IF(B71="","",IF(OR(AND(AZ71&gt;0,BB71&lt;2.5%),AND(BA71&gt;0,BC71&lt;6%)),"Yes","No"))</f>
        <v>No</v>
      </c>
      <c r="BK71" s="246" t="s">
        <v>246</v>
      </c>
      <c r="BL71" s="246" t="s">
        <v>246</v>
      </c>
      <c r="BM71" s="246" t="s">
        <v>246</v>
      </c>
      <c r="BN71" s="246" t="s">
        <v>246</v>
      </c>
      <c r="BO71" s="246" t="s">
        <v>246</v>
      </c>
      <c r="BP71" s="246" t="s">
        <v>246</v>
      </c>
      <c r="BQ71" s="246" t="s">
        <v>246</v>
      </c>
      <c r="BR71" s="246" t="s">
        <v>246</v>
      </c>
      <c r="BS71" s="246" t="s">
        <v>246</v>
      </c>
      <c r="BT71" s="246" t="s">
        <v>246</v>
      </c>
      <c r="BU71" s="246" t="s">
        <v>246</v>
      </c>
      <c r="BV71" s="246" t="s">
        <v>246</v>
      </c>
      <c r="BW71" s="246" t="s">
        <v>246</v>
      </c>
      <c r="BX71" s="246" t="s">
        <v>246</v>
      </c>
      <c r="BY71" s="246" t="s">
        <v>246</v>
      </c>
      <c r="BZ71" s="246" t="s">
        <v>246</v>
      </c>
      <c r="CA71" s="246" t="s">
        <v>246</v>
      </c>
      <c r="CB71" s="246" t="s">
        <v>64</v>
      </c>
      <c r="CC71" s="262">
        <f>IF(B71="","",IF(AT71="No",((BB71+AW71)-$AZ$4),((BB71+AX71)-$AZ$4))*IF(DE71&gt;0,0,M71))</f>
        <v>410415.11119258392</v>
      </c>
      <c r="CD71" s="262">
        <f>IF(B71="","",AY71*(L71-M71)*IF(DE71&gt;0,0,1))</f>
        <v>0</v>
      </c>
      <c r="CE71" s="263"/>
      <c r="CF71" s="263">
        <f t="shared" si="150"/>
        <v>0</v>
      </c>
      <c r="CG71" s="263">
        <f t="shared" si="151"/>
        <v>0</v>
      </c>
      <c r="CH71" s="263">
        <f t="shared" si="152"/>
        <v>0</v>
      </c>
      <c r="CI71" s="263">
        <f t="shared" si="153"/>
        <v>0</v>
      </c>
      <c r="CJ71" s="263">
        <f t="shared" si="154"/>
        <v>0</v>
      </c>
      <c r="CK71" s="263">
        <f t="shared" si="155"/>
        <v>0</v>
      </c>
      <c r="CL71" s="263">
        <f t="shared" si="156"/>
        <v>0</v>
      </c>
      <c r="CM71" s="263">
        <f t="shared" si="157"/>
        <v>0</v>
      </c>
      <c r="CN71" s="263">
        <f t="shared" si="158"/>
        <v>0</v>
      </c>
      <c r="CO71" s="263">
        <f t="shared" si="159"/>
        <v>0</v>
      </c>
      <c r="CP71" s="263">
        <f t="shared" si="160"/>
        <v>0</v>
      </c>
      <c r="CQ71" s="263">
        <f t="shared" si="161"/>
        <v>0</v>
      </c>
      <c r="CR71" s="263">
        <f t="shared" si="162"/>
        <v>0</v>
      </c>
      <c r="CS71" s="263">
        <f t="shared" si="163"/>
        <v>0</v>
      </c>
      <c r="CT71" s="263">
        <f t="shared" si="164"/>
        <v>0</v>
      </c>
      <c r="CU71" s="263">
        <f t="shared" si="165"/>
        <v>0</v>
      </c>
      <c r="CV71" s="263">
        <f t="shared" si="166"/>
        <v>0</v>
      </c>
      <c r="CW71" s="263">
        <f t="shared" si="167"/>
        <v>0</v>
      </c>
      <c r="CX71" s="263">
        <f t="shared" si="168"/>
        <v>0</v>
      </c>
      <c r="CY71" s="263">
        <f t="shared" si="169"/>
        <v>0</v>
      </c>
      <c r="CZ71" s="263">
        <f t="shared" si="170"/>
        <v>0</v>
      </c>
      <c r="DA71" s="263">
        <f t="shared" si="171"/>
        <v>0</v>
      </c>
      <c r="DB71" s="263">
        <f t="shared" si="172"/>
        <v>0</v>
      </c>
      <c r="DC71" s="263">
        <f t="shared" si="173"/>
        <v>0</v>
      </c>
      <c r="DD71" s="263">
        <f t="shared" si="174"/>
        <v>0</v>
      </c>
      <c r="DE71" s="263">
        <f t="shared" si="175"/>
        <v>0</v>
      </c>
      <c r="DF71" s="263">
        <f t="shared" si="176"/>
        <v>8152927.54</v>
      </c>
      <c r="DG71" s="263">
        <f t="shared" si="177"/>
        <v>0</v>
      </c>
      <c r="DH71" s="263">
        <f t="shared" si="178"/>
        <v>8152927.54</v>
      </c>
      <c r="DI71" s="263">
        <f t="shared" si="179"/>
        <v>8152927.54</v>
      </c>
      <c r="DJ71" s="263">
        <f t="shared" si="180"/>
        <v>0</v>
      </c>
      <c r="DK71" s="263">
        <f t="shared" si="181"/>
        <v>0</v>
      </c>
      <c r="DL71" s="263">
        <f t="shared" si="182"/>
        <v>0</v>
      </c>
      <c r="DM71" s="263">
        <f t="shared" si="183"/>
        <v>0</v>
      </c>
      <c r="DO71" s="264">
        <f t="shared" si="184"/>
        <v>0</v>
      </c>
      <c r="DP71" s="265">
        <f t="shared" si="185"/>
        <v>0</v>
      </c>
      <c r="DQ71" s="264">
        <f t="shared" si="186"/>
        <v>8152927.54</v>
      </c>
      <c r="DR71" s="264">
        <f t="shared" si="187"/>
        <v>0</v>
      </c>
      <c r="DS71" s="265">
        <f t="shared" si="188"/>
        <v>0</v>
      </c>
      <c r="DT71" s="264">
        <f t="shared" si="189"/>
        <v>8152927.54</v>
      </c>
      <c r="DU71" s="264">
        <f t="shared" si="190"/>
        <v>0</v>
      </c>
      <c r="DV71" s="265">
        <f t="shared" si="191"/>
        <v>0</v>
      </c>
      <c r="DW71" s="264">
        <f t="shared" si="192"/>
        <v>8152927.54</v>
      </c>
      <c r="DX71" s="264">
        <f t="shared" si="193"/>
        <v>0</v>
      </c>
      <c r="DY71" s="265">
        <f t="shared" si="194"/>
        <v>0</v>
      </c>
      <c r="DZ71" s="264">
        <f t="shared" si="195"/>
        <v>8152927.54</v>
      </c>
      <c r="EA71" s="264">
        <f t="shared" si="196"/>
        <v>0</v>
      </c>
      <c r="EB71" s="265">
        <f t="shared" si="197"/>
        <v>0</v>
      </c>
      <c r="EC71" s="264">
        <f t="shared" si="198"/>
        <v>8152927.54</v>
      </c>
      <c r="ED71" s="264">
        <f t="shared" si="199"/>
        <v>0</v>
      </c>
      <c r="EE71" s="265">
        <f t="shared" si="200"/>
        <v>0</v>
      </c>
      <c r="EF71" s="264">
        <f t="shared" si="201"/>
        <v>8152927.54</v>
      </c>
      <c r="EG71" s="264">
        <f t="shared" si="202"/>
        <v>0</v>
      </c>
      <c r="EH71" s="265">
        <f t="shared" si="203"/>
        <v>0</v>
      </c>
      <c r="EI71" s="264">
        <f t="shared" si="204"/>
        <v>8152927.54</v>
      </c>
      <c r="EJ71" s="264">
        <f t="shared" si="205"/>
        <v>0</v>
      </c>
      <c r="EK71" s="265">
        <f t="shared" si="206"/>
        <v>0</v>
      </c>
      <c r="EL71" s="264">
        <f t="shared" si="207"/>
        <v>8152927.54</v>
      </c>
      <c r="EM71" s="264">
        <f t="shared" si="208"/>
        <v>0</v>
      </c>
      <c r="EN71" s="265">
        <f t="shared" si="209"/>
        <v>0</v>
      </c>
      <c r="EO71" s="264">
        <f t="shared" si="210"/>
        <v>8152927.54</v>
      </c>
      <c r="EP71" s="264">
        <f t="shared" si="211"/>
        <v>0</v>
      </c>
      <c r="EQ71" s="265">
        <f t="shared" si="212"/>
        <v>0</v>
      </c>
      <c r="ER71" s="264">
        <f t="shared" si="213"/>
        <v>8152927.54</v>
      </c>
      <c r="ES71" s="264">
        <f t="shared" si="214"/>
        <v>0</v>
      </c>
      <c r="ET71" s="265">
        <f t="shared" si="215"/>
        <v>0</v>
      </c>
      <c r="EU71" s="264">
        <f t="shared" si="216"/>
        <v>8152927.54</v>
      </c>
      <c r="EV71" s="264">
        <f>IF(AND(BM71="Yes",OR(BN71="No",AND(BN71="Yes",Inputs!$J$8=Inputs!$J$17+75))),EU71,0)</f>
        <v>0</v>
      </c>
      <c r="EW71" s="265">
        <f t="shared" si="217"/>
        <v>0</v>
      </c>
      <c r="EX71" s="264">
        <f t="shared" si="218"/>
        <v>8152927.54</v>
      </c>
      <c r="EY71" s="264">
        <f t="shared" si="219"/>
        <v>0</v>
      </c>
      <c r="EZ71" s="265">
        <f t="shared" si="220"/>
        <v>0</v>
      </c>
      <c r="FA71" s="264">
        <f t="shared" si="221"/>
        <v>8152927.54</v>
      </c>
      <c r="FB71" s="264">
        <f t="shared" si="222"/>
        <v>0</v>
      </c>
      <c r="FC71" s="265">
        <f t="shared" si="223"/>
        <v>0</v>
      </c>
      <c r="FD71" s="264">
        <f t="shared" si="224"/>
        <v>8152927.54</v>
      </c>
      <c r="FE71" s="264">
        <f t="shared" si="225"/>
        <v>0</v>
      </c>
      <c r="FF71" s="265">
        <f t="shared" si="226"/>
        <v>0</v>
      </c>
      <c r="FG71" s="264">
        <f t="shared" si="227"/>
        <v>8152927.54</v>
      </c>
      <c r="FH71" s="264">
        <f t="shared" si="228"/>
        <v>8152927.54</v>
      </c>
      <c r="FI71" s="264">
        <f t="shared" si="229"/>
        <v>0</v>
      </c>
      <c r="FJ71" s="264">
        <f t="shared" si="230"/>
        <v>8152927.54</v>
      </c>
      <c r="FK71" s="264">
        <f t="shared" si="231"/>
        <v>8152927.54</v>
      </c>
      <c r="FL71" s="264">
        <f t="shared" si="232"/>
        <v>0</v>
      </c>
      <c r="FM71" s="264">
        <f t="shared" si="233"/>
        <v>8152927.54</v>
      </c>
      <c r="FN71" s="264">
        <f t="shared" si="234"/>
        <v>8152927.54</v>
      </c>
      <c r="FO71" s="264">
        <f t="shared" si="235"/>
        <v>0</v>
      </c>
      <c r="FP71" s="264">
        <f t="shared" si="236"/>
        <v>8152927.54</v>
      </c>
      <c r="FQ71" s="264">
        <f t="shared" si="237"/>
        <v>0</v>
      </c>
      <c r="FR71" s="265">
        <f t="shared" si="238"/>
        <v>0</v>
      </c>
      <c r="FS71" s="264">
        <f t="shared" si="239"/>
        <v>8152927.54</v>
      </c>
      <c r="FT71" s="264">
        <f t="shared" si="240"/>
        <v>0</v>
      </c>
      <c r="FU71" s="265">
        <f t="shared" si="241"/>
        <v>0</v>
      </c>
      <c r="FV71" s="264">
        <f t="shared" si="242"/>
        <v>8152927.54</v>
      </c>
      <c r="FW71" s="264">
        <f t="shared" si="243"/>
        <v>0</v>
      </c>
      <c r="FX71" s="264">
        <f t="shared" si="244"/>
        <v>0</v>
      </c>
      <c r="FY71" s="264">
        <f t="shared" si="245"/>
        <v>0</v>
      </c>
      <c r="FZ71" s="264">
        <f t="shared" si="246"/>
        <v>0</v>
      </c>
      <c r="GA71" s="265">
        <f t="shared" si="296"/>
        <v>0</v>
      </c>
      <c r="GB71" s="264">
        <f t="shared" si="297"/>
        <v>8152927.54</v>
      </c>
      <c r="GC71" s="264">
        <f t="shared" si="247"/>
        <v>8152927.54</v>
      </c>
      <c r="GD71" s="266">
        <f t="shared" si="248"/>
        <v>5910872.4665000001</v>
      </c>
      <c r="GE71" s="138">
        <f t="shared" si="249"/>
        <v>0.72499999999999998</v>
      </c>
      <c r="GF71" s="267">
        <f t="shared" si="250"/>
        <v>31</v>
      </c>
      <c r="GG71" s="264">
        <f t="array" ref="GG71">IF(SUM(IF(IC$9:IC70=IC71,1,0))&gt;0,0,SUMIF($IC$10:$IC$406,IC71,$FJ$10:$FJ$406))</f>
        <v>0</v>
      </c>
      <c r="GH71" s="268">
        <f t="shared" si="251"/>
        <v>0</v>
      </c>
      <c r="GI71" s="137">
        <f t="shared" si="126"/>
        <v>62</v>
      </c>
      <c r="GJ71" s="269">
        <f t="shared" si="252"/>
        <v>0</v>
      </c>
      <c r="GK71" s="269">
        <f t="shared" si="253"/>
        <v>0</v>
      </c>
      <c r="GL71" s="163">
        <f t="shared" si="254"/>
        <v>0</v>
      </c>
      <c r="GM71" s="137">
        <f t="array" ref="GM71">IF(GJ71=0,0,LARGE(IF($GG$10:$GG$406=GJ71,$GF$10:$GF$406,0),COUNTIF($GJ$10:$GJ$406,GJ71)-COUNTIF(GJ$9:GJ70,GJ71)))</f>
        <v>0</v>
      </c>
      <c r="GN71" s="270">
        <f t="shared" si="255"/>
        <v>0</v>
      </c>
      <c r="GP71" s="137">
        <f>IF(C71="","",IF(ISERROR(MATCH(C71,C$10:C70,0)),MAX(GP$10:GP70)+1,INDEX(GP$10:GP70,MATCH(C71,C$10:C70,0))))</f>
        <v>52</v>
      </c>
      <c r="GQ71" s="264">
        <f>IF(COUNTIF($A$10:A71,A71)&lt;=1,SUMIF($A$10:$A$406,A71,$FH$10:$FH$406),0)</f>
        <v>8152927.54</v>
      </c>
      <c r="GR71" s="137">
        <f t="shared" si="130"/>
        <v>62</v>
      </c>
      <c r="GS71" s="269">
        <f t="shared" si="256"/>
        <v>4424311.5399000002</v>
      </c>
      <c r="GT71" s="269">
        <f t="shared" si="257"/>
        <v>50964284.172430128</v>
      </c>
      <c r="GU71" s="163">
        <f t="shared" si="258"/>
        <v>0</v>
      </c>
      <c r="GV71" s="137">
        <f t="array" ref="GV71">IF(GS71=0,0,LARGE(IF($GQ$10:$GQ$406=GS71,$GP$10:$GP$406,0),COUNTIF($GS$10:$GS$406,GS71)-COUNTIF(GS$9:GS70,GS71)))</f>
        <v>27</v>
      </c>
      <c r="GW71" s="270">
        <f t="shared" si="259"/>
        <v>0</v>
      </c>
      <c r="GX71" s="270"/>
      <c r="GY71" s="137">
        <f>IF(C71="","",IF(ISERROR(MATCH(C71,C$10:C70,0)),MAX(GP$10:GP70)+1,INDEX(GP$10:GP70,MATCH(C71,C$10:C70,0))))</f>
        <v>52</v>
      </c>
      <c r="GZ71" s="264">
        <f>IF(COUNTIF($A$10:A71,A71)&lt;=1,SUMIF($A$10:$A$406,A71,$FH$10:$FH$406),0)</f>
        <v>8152927.54</v>
      </c>
      <c r="HA71" s="137">
        <f t="shared" si="134"/>
        <v>62</v>
      </c>
      <c r="HB71" s="269">
        <f t="shared" si="260"/>
        <v>4424311.5399000002</v>
      </c>
      <c r="HC71" s="414" t="s">
        <v>622</v>
      </c>
      <c r="HD71" s="163">
        <f t="shared" si="261"/>
        <v>0</v>
      </c>
      <c r="HE71" s="137">
        <f t="array" ref="HE71">IF(HB71=0,0,LARGE(IF($GZ$10:$GZ$406=HB71,$GY$10:$GY$406,0),COUNTIF($HB$10:$HB$406,HB71)-COUNTIF(HB$9:HB70,HB71)))</f>
        <v>27</v>
      </c>
      <c r="HF71" s="270">
        <f t="shared" si="262"/>
        <v>0</v>
      </c>
      <c r="HG71" s="270"/>
      <c r="HH71" s="268">
        <f t="shared" si="263"/>
        <v>0</v>
      </c>
      <c r="HI71" s="271">
        <v>0</v>
      </c>
      <c r="HJ71" s="264">
        <f t="shared" si="264"/>
        <v>0</v>
      </c>
      <c r="HL71" s="137">
        <f t="shared" si="265"/>
        <v>62</v>
      </c>
      <c r="HM71" s="264">
        <f t="shared" si="300"/>
        <v>12271677.58</v>
      </c>
      <c r="HN71"/>
      <c r="HO71" s="199">
        <f t="shared" si="301"/>
        <v>8152927.54</v>
      </c>
      <c r="HP71" s="199">
        <f t="shared" si="302"/>
        <v>8152927.54</v>
      </c>
      <c r="HQ71" s="199" t="str">
        <f t="shared" si="303"/>
        <v/>
      </c>
      <c r="HR71" s="199" t="str">
        <f t="shared" si="304"/>
        <v/>
      </c>
      <c r="HS71" s="199" t="str">
        <f t="shared" si="119"/>
        <v/>
      </c>
      <c r="HT71" s="199" t="str">
        <f t="shared" si="305"/>
        <v/>
      </c>
      <c r="HU71" s="199" t="str">
        <f t="shared" si="306"/>
        <v/>
      </c>
      <c r="HV71" s="200">
        <f t="shared" si="307"/>
        <v>0</v>
      </c>
      <c r="HW71" s="272">
        <f t="shared" si="308"/>
        <v>1</v>
      </c>
      <c r="HX71" s="200" t="str">
        <f t="shared" si="309"/>
        <v/>
      </c>
      <c r="HY71" s="200">
        <f t="shared" si="310"/>
        <v>0</v>
      </c>
      <c r="HZ71" s="200" t="str">
        <f t="shared" si="4"/>
        <v/>
      </c>
      <c r="IA71" s="200" t="str">
        <f t="shared" si="311"/>
        <v/>
      </c>
      <c r="IB71" s="200" t="str">
        <f t="shared" si="312"/>
        <v/>
      </c>
      <c r="IC71" s="273">
        <f>IF(C71="","",INDEX(Lookups!$E$2:$E$69,MATCH('Loan List'!BE71,Lookups!$F$2:$F$69,0)))</f>
        <v>31</v>
      </c>
      <c r="ID71" t="b">
        <f t="shared" si="313"/>
        <v>1</v>
      </c>
      <c r="IF71" s="346" t="str">
        <f>IF(B71="","",IF(AND(Y71="Second Lien",OR(DA71=1,DB71=1,DC71=1)),50%,IF(DA71=1,90%,IF(DB71=1,80%,IF(DC71=1,65%,"No Initial Haircut")))))</f>
        <v>No Initial Haircut</v>
      </c>
    </row>
    <row r="72" spans="1:240" ht="15" customHeight="1">
      <c r="A72" t="s">
        <v>749</v>
      </c>
      <c r="B72" s="242">
        <f t="shared" si="149"/>
        <v>63</v>
      </c>
      <c r="C72" s="242">
        <f>IF(COUNTIF($A$10:A71,A72)&gt;0,C71,C71+1)</f>
        <v>53</v>
      </c>
      <c r="D72" s="431" t="s">
        <v>749</v>
      </c>
      <c r="E72" s="428" t="s">
        <v>824</v>
      </c>
      <c r="F72" s="429"/>
      <c r="G72" s="430">
        <v>3356950</v>
      </c>
      <c r="H72" s="430">
        <v>3356950</v>
      </c>
      <c r="I72" s="244">
        <f>IF(B72="","",VLOOKUP(BF72,Inputs!$A$12:$J$15,10,FALSE))</f>
        <v>1</v>
      </c>
      <c r="J72" s="245">
        <f t="shared" si="5"/>
        <v>3356950</v>
      </c>
      <c r="K72" s="245">
        <f t="shared" si="6"/>
        <v>3356950</v>
      </c>
      <c r="L72" s="245">
        <f t="shared" si="7"/>
        <v>3356950</v>
      </c>
      <c r="M72" s="245">
        <f t="shared" si="8"/>
        <v>3356950</v>
      </c>
      <c r="N72" s="246" t="s">
        <v>246</v>
      </c>
      <c r="O72" s="246" t="s">
        <v>245</v>
      </c>
      <c r="P72" s="247">
        <f>IF(B72="","",IF(OR(O72="N/A",O72=""),0,YEARFRAC('Borrowing Base'!$J$4,'Loan List'!O72)*12))</f>
        <v>0</v>
      </c>
      <c r="Q72" s="246" t="s">
        <v>246</v>
      </c>
      <c r="R72" s="248">
        <v>1</v>
      </c>
      <c r="S72" s="249" t="str">
        <f t="shared" si="1"/>
        <v>No</v>
      </c>
      <c r="T72" s="248">
        <v>1</v>
      </c>
      <c r="U72" s="250">
        <f t="shared" si="9"/>
        <v>0.5</v>
      </c>
      <c r="V72" s="250">
        <f t="shared" si="10"/>
        <v>0.72499999999999998</v>
      </c>
      <c r="W72" s="251">
        <f t="shared" si="11"/>
        <v>3356950</v>
      </c>
      <c r="X72" s="246" t="s">
        <v>64</v>
      </c>
      <c r="Y72" s="252" t="s">
        <v>483</v>
      </c>
      <c r="Z72" s="252" t="s">
        <v>484</v>
      </c>
      <c r="AA72" s="253" t="s">
        <v>407</v>
      </c>
      <c r="AB72" s="253" t="s">
        <v>713</v>
      </c>
      <c r="AC72" s="254">
        <v>1.4887218045112782</v>
      </c>
      <c r="AD72" s="254">
        <v>1.4887218045112782</v>
      </c>
      <c r="AE72" s="254">
        <v>2.7</v>
      </c>
      <c r="AF72" s="255">
        <v>0.34605686529232471</v>
      </c>
      <c r="AG72" s="256">
        <v>3.3137289936919334</v>
      </c>
      <c r="AH72" s="256">
        <v>3.3137289936919334</v>
      </c>
      <c r="AI72" s="256">
        <v>2.9092911796855292</v>
      </c>
      <c r="AJ72" s="256">
        <v>2.9092911796855292</v>
      </c>
      <c r="AK72" s="257">
        <v>19615363.876688473</v>
      </c>
      <c r="AL72" s="257">
        <v>59465000</v>
      </c>
      <c r="AM72" s="258">
        <v>45808</v>
      </c>
      <c r="AN72" s="245" t="str">
        <f t="shared" si="12"/>
        <v>Tier 2</v>
      </c>
      <c r="AO72" s="243">
        <v>46152</v>
      </c>
      <c r="AP72" s="259">
        <f>IF(C72="","",DAYS360(Inputs!$J$8,AO72)/360)</f>
        <v>0.71111111111111114</v>
      </c>
      <c r="AQ72" s="259">
        <f t="shared" si="13"/>
        <v>0.71111111111111114</v>
      </c>
      <c r="AR72" s="246" t="s">
        <v>246</v>
      </c>
      <c r="AS72" s="248">
        <v>0</v>
      </c>
      <c r="AT72" s="246" t="s">
        <v>64</v>
      </c>
      <c r="AU72" s="248">
        <v>0.01</v>
      </c>
      <c r="AV72" s="248">
        <v>0.05</v>
      </c>
      <c r="AW72" s="248">
        <v>4.356199999999999E-2</v>
      </c>
      <c r="AX72" s="260">
        <f t="shared" si="14"/>
        <v>4.356199999999999E-2</v>
      </c>
      <c r="AY72" s="248">
        <v>0</v>
      </c>
      <c r="AZ72" s="248">
        <v>0</v>
      </c>
      <c r="BA72" s="248">
        <v>0</v>
      </c>
      <c r="BB72" s="407">
        <f t="shared" si="15"/>
        <v>0.05</v>
      </c>
      <c r="BC72" s="407" t="str">
        <f t="shared" si="16"/>
        <v/>
      </c>
      <c r="BD72" s="252" t="s">
        <v>247</v>
      </c>
      <c r="BE72" s="261" t="s">
        <v>437</v>
      </c>
      <c r="BF72" s="252" t="s">
        <v>7</v>
      </c>
      <c r="BG72" s="252" t="s">
        <v>460</v>
      </c>
      <c r="BH72" s="246" t="s">
        <v>246</v>
      </c>
      <c r="BI72" s="408" t="str">
        <f t="shared" si="17"/>
        <v>No</v>
      </c>
      <c r="BJ72" s="408" t="str">
        <f t="shared" si="18"/>
        <v>No</v>
      </c>
      <c r="BK72" s="246" t="s">
        <v>246</v>
      </c>
      <c r="BL72" s="246" t="s">
        <v>246</v>
      </c>
      <c r="BM72" s="246" t="s">
        <v>64</v>
      </c>
      <c r="BN72" s="246" t="s">
        <v>64</v>
      </c>
      <c r="BO72" s="246" t="s">
        <v>246</v>
      </c>
      <c r="BP72" s="246" t="s">
        <v>246</v>
      </c>
      <c r="BQ72" s="246" t="s">
        <v>246</v>
      </c>
      <c r="BR72" s="246" t="s">
        <v>246</v>
      </c>
      <c r="BS72" s="246" t="s">
        <v>246</v>
      </c>
      <c r="BT72" s="246" t="s">
        <v>246</v>
      </c>
      <c r="BU72" s="246" t="s">
        <v>246</v>
      </c>
      <c r="BV72" s="246" t="s">
        <v>246</v>
      </c>
      <c r="BW72" s="246" t="s">
        <v>246</v>
      </c>
      <c r="BX72" s="246" t="s">
        <v>246</v>
      </c>
      <c r="BY72" s="246" t="s">
        <v>246</v>
      </c>
      <c r="BZ72" s="246" t="s">
        <v>246</v>
      </c>
      <c r="CA72" s="246" t="s">
        <v>246</v>
      </c>
      <c r="CB72" s="246" t="s">
        <v>64</v>
      </c>
      <c r="CC72" s="262">
        <f t="shared" si="19"/>
        <v>168987.52021999998</v>
      </c>
      <c r="CD72" s="262">
        <f t="shared" si="20"/>
        <v>0</v>
      </c>
      <c r="CE72" s="263"/>
      <c r="CF72" s="263">
        <f t="shared" si="150"/>
        <v>0</v>
      </c>
      <c r="CG72" s="263">
        <f t="shared" si="151"/>
        <v>0</v>
      </c>
      <c r="CH72" s="263">
        <f t="shared" si="152"/>
        <v>0</v>
      </c>
      <c r="CI72" s="263">
        <f t="shared" si="153"/>
        <v>0</v>
      </c>
      <c r="CJ72" s="263">
        <f t="shared" si="154"/>
        <v>0</v>
      </c>
      <c r="CK72" s="263">
        <f t="shared" si="155"/>
        <v>0</v>
      </c>
      <c r="CL72" s="263">
        <f t="shared" si="156"/>
        <v>0</v>
      </c>
      <c r="CM72" s="263">
        <f t="shared" si="157"/>
        <v>0</v>
      </c>
      <c r="CN72" s="263">
        <f t="shared" si="158"/>
        <v>0</v>
      </c>
      <c r="CO72" s="263">
        <f t="shared" si="159"/>
        <v>0</v>
      </c>
      <c r="CP72" s="263">
        <f t="shared" si="160"/>
        <v>0</v>
      </c>
      <c r="CQ72" s="263">
        <f t="shared" si="161"/>
        <v>0</v>
      </c>
      <c r="CR72" s="263">
        <f t="shared" si="162"/>
        <v>0</v>
      </c>
      <c r="CS72" s="263">
        <f t="shared" si="163"/>
        <v>0</v>
      </c>
      <c r="CT72" s="263">
        <f t="shared" si="164"/>
        <v>0</v>
      </c>
      <c r="CU72" s="263">
        <f t="shared" si="165"/>
        <v>0</v>
      </c>
      <c r="CV72" s="263">
        <f t="shared" si="166"/>
        <v>0</v>
      </c>
      <c r="CW72" s="263">
        <f t="shared" si="167"/>
        <v>0</v>
      </c>
      <c r="CX72" s="263">
        <f t="shared" si="168"/>
        <v>0</v>
      </c>
      <c r="CY72" s="263">
        <f t="shared" si="169"/>
        <v>0</v>
      </c>
      <c r="CZ72" s="263">
        <f t="shared" si="170"/>
        <v>0</v>
      </c>
      <c r="DA72" s="263">
        <f t="shared" si="171"/>
        <v>0</v>
      </c>
      <c r="DB72" s="263">
        <f t="shared" si="172"/>
        <v>0</v>
      </c>
      <c r="DC72" s="263">
        <f t="shared" si="173"/>
        <v>0</v>
      </c>
      <c r="DD72" s="263">
        <f t="shared" si="174"/>
        <v>0</v>
      </c>
      <c r="DE72" s="263">
        <f t="shared" si="175"/>
        <v>0</v>
      </c>
      <c r="DF72" s="263">
        <f t="shared" si="176"/>
        <v>3356950</v>
      </c>
      <c r="DG72" s="263">
        <f t="shared" si="177"/>
        <v>0</v>
      </c>
      <c r="DH72" s="263">
        <f t="shared" si="178"/>
        <v>3356950</v>
      </c>
      <c r="DI72" s="263">
        <f t="shared" si="179"/>
        <v>3356950</v>
      </c>
      <c r="DJ72" s="263">
        <f t="shared" si="180"/>
        <v>0</v>
      </c>
      <c r="DK72" s="263">
        <f t="shared" si="181"/>
        <v>0</v>
      </c>
      <c r="DL72" s="263">
        <f t="shared" si="182"/>
        <v>0</v>
      </c>
      <c r="DM72" s="263">
        <f t="shared" si="183"/>
        <v>0</v>
      </c>
      <c r="DO72" s="264">
        <f t="shared" si="184"/>
        <v>0</v>
      </c>
      <c r="DP72" s="265">
        <f t="shared" si="185"/>
        <v>0</v>
      </c>
      <c r="DQ72" s="264">
        <f t="shared" si="186"/>
        <v>3356950</v>
      </c>
      <c r="DR72" s="264">
        <f t="shared" si="187"/>
        <v>0</v>
      </c>
      <c r="DS72" s="265">
        <f t="shared" si="188"/>
        <v>0</v>
      </c>
      <c r="DT72" s="264">
        <f t="shared" si="189"/>
        <v>3356950</v>
      </c>
      <c r="DU72" s="264">
        <f t="shared" si="190"/>
        <v>0</v>
      </c>
      <c r="DV72" s="265">
        <f t="shared" si="191"/>
        <v>0</v>
      </c>
      <c r="DW72" s="264">
        <f t="shared" si="192"/>
        <v>3356950</v>
      </c>
      <c r="DX72" s="264">
        <f t="shared" si="193"/>
        <v>0</v>
      </c>
      <c r="DY72" s="265">
        <f t="shared" si="194"/>
        <v>0</v>
      </c>
      <c r="DZ72" s="264">
        <f t="shared" si="195"/>
        <v>3356950</v>
      </c>
      <c r="EA72" s="264">
        <f t="shared" si="196"/>
        <v>0</v>
      </c>
      <c r="EB72" s="265">
        <f t="shared" si="197"/>
        <v>0</v>
      </c>
      <c r="EC72" s="264">
        <f t="shared" si="198"/>
        <v>3356950</v>
      </c>
      <c r="ED72" s="264">
        <f t="shared" si="199"/>
        <v>0</v>
      </c>
      <c r="EE72" s="265">
        <f t="shared" si="200"/>
        <v>0</v>
      </c>
      <c r="EF72" s="264">
        <f t="shared" si="201"/>
        <v>3356950</v>
      </c>
      <c r="EG72" s="264">
        <f t="shared" si="202"/>
        <v>0</v>
      </c>
      <c r="EH72" s="265">
        <f t="shared" si="203"/>
        <v>0</v>
      </c>
      <c r="EI72" s="264">
        <f t="shared" si="204"/>
        <v>3356950</v>
      </c>
      <c r="EJ72" s="264">
        <f t="shared" si="205"/>
        <v>0</v>
      </c>
      <c r="EK72" s="265">
        <f t="shared" si="206"/>
        <v>0</v>
      </c>
      <c r="EL72" s="264">
        <f t="shared" si="207"/>
        <v>3356950</v>
      </c>
      <c r="EM72" s="264">
        <f t="shared" si="208"/>
        <v>0</v>
      </c>
      <c r="EN72" s="265">
        <f t="shared" si="209"/>
        <v>0</v>
      </c>
      <c r="EO72" s="264">
        <f t="shared" si="210"/>
        <v>3356950</v>
      </c>
      <c r="EP72" s="264">
        <f t="shared" si="211"/>
        <v>0</v>
      </c>
      <c r="EQ72" s="265">
        <f t="shared" si="212"/>
        <v>0</v>
      </c>
      <c r="ER72" s="264">
        <f t="shared" si="213"/>
        <v>3356950</v>
      </c>
      <c r="ES72" s="264">
        <f t="shared" si="214"/>
        <v>0</v>
      </c>
      <c r="ET72" s="265">
        <f t="shared" si="215"/>
        <v>0</v>
      </c>
      <c r="EU72" s="264">
        <f t="shared" si="216"/>
        <v>3356950</v>
      </c>
      <c r="EV72" s="264">
        <f>IF(AND(BM72="Yes",OR(BN72="No",AND(BN72="Yes",Inputs!$J$8=Inputs!$J$17+75))),EU72,0)</f>
        <v>0</v>
      </c>
      <c r="EW72" s="265">
        <f t="shared" si="217"/>
        <v>0</v>
      </c>
      <c r="EX72" s="264">
        <f t="shared" si="218"/>
        <v>3356950</v>
      </c>
      <c r="EY72" s="264">
        <f t="shared" si="219"/>
        <v>0</v>
      </c>
      <c r="EZ72" s="265">
        <f t="shared" si="220"/>
        <v>0</v>
      </c>
      <c r="FA72" s="264">
        <f t="shared" si="221"/>
        <v>3356950</v>
      </c>
      <c r="FB72" s="264">
        <f t="shared" si="222"/>
        <v>0</v>
      </c>
      <c r="FC72" s="265">
        <f t="shared" si="223"/>
        <v>0</v>
      </c>
      <c r="FD72" s="264">
        <f t="shared" si="224"/>
        <v>3356950</v>
      </c>
      <c r="FE72" s="264">
        <f t="shared" si="225"/>
        <v>0</v>
      </c>
      <c r="FF72" s="265">
        <f t="shared" si="226"/>
        <v>0</v>
      </c>
      <c r="FG72" s="264">
        <f t="shared" si="227"/>
        <v>3356950</v>
      </c>
      <c r="FH72" s="264">
        <f t="shared" si="228"/>
        <v>3356950</v>
      </c>
      <c r="FI72" s="264">
        <f t="shared" si="229"/>
        <v>0</v>
      </c>
      <c r="FJ72" s="264">
        <f t="shared" si="230"/>
        <v>3356950</v>
      </c>
      <c r="FK72" s="264">
        <f t="shared" si="231"/>
        <v>3356950</v>
      </c>
      <c r="FL72" s="264">
        <f t="shared" si="232"/>
        <v>0</v>
      </c>
      <c r="FM72" s="264">
        <f t="shared" si="233"/>
        <v>3356950</v>
      </c>
      <c r="FN72" s="264">
        <f t="shared" si="234"/>
        <v>3356950</v>
      </c>
      <c r="FO72" s="264">
        <f t="shared" si="235"/>
        <v>0</v>
      </c>
      <c r="FP72" s="264">
        <f t="shared" si="236"/>
        <v>3356950</v>
      </c>
      <c r="FQ72" s="264">
        <f t="shared" si="237"/>
        <v>0</v>
      </c>
      <c r="FR72" s="265">
        <f t="shared" si="238"/>
        <v>0</v>
      </c>
      <c r="FS72" s="264">
        <f t="shared" si="239"/>
        <v>3356950</v>
      </c>
      <c r="FT72" s="264">
        <f t="shared" si="240"/>
        <v>0</v>
      </c>
      <c r="FU72" s="265">
        <f t="shared" si="241"/>
        <v>0</v>
      </c>
      <c r="FV72" s="264">
        <f t="shared" si="242"/>
        <v>3356950</v>
      </c>
      <c r="FW72" s="264">
        <f t="shared" si="243"/>
        <v>0</v>
      </c>
      <c r="FX72" s="264">
        <f t="shared" si="244"/>
        <v>0</v>
      </c>
      <c r="FY72" s="264">
        <f t="shared" si="245"/>
        <v>0</v>
      </c>
      <c r="FZ72" s="264">
        <f t="shared" si="246"/>
        <v>0</v>
      </c>
      <c r="GA72" s="265">
        <f t="shared" si="296"/>
        <v>0</v>
      </c>
      <c r="GB72" s="264">
        <f t="shared" si="297"/>
        <v>3356950</v>
      </c>
      <c r="GC72" s="264">
        <f t="shared" si="247"/>
        <v>3356950</v>
      </c>
      <c r="GD72" s="266">
        <f t="shared" si="248"/>
        <v>2433788.75</v>
      </c>
      <c r="GE72" s="138">
        <f t="shared" si="249"/>
        <v>0.72499999999999998</v>
      </c>
      <c r="GF72" s="267">
        <f t="shared" si="250"/>
        <v>46</v>
      </c>
      <c r="GG72" s="264">
        <f t="array" ref="GG72">IF(SUM(IF(IC$9:IC71=IC72,1,0))&gt;0,0,SUMIF($IC$10:$IC$406,IC72,$FJ$10:$FJ$406))</f>
        <v>0</v>
      </c>
      <c r="GH72" s="268">
        <f t="shared" si="251"/>
        <v>0</v>
      </c>
      <c r="GI72" s="137">
        <f t="shared" si="126"/>
        <v>63</v>
      </c>
      <c r="GJ72" s="269">
        <f t="shared" si="252"/>
        <v>0</v>
      </c>
      <c r="GK72" s="269">
        <f t="shared" si="253"/>
        <v>0</v>
      </c>
      <c r="GL72" s="163">
        <f t="shared" si="254"/>
        <v>0</v>
      </c>
      <c r="GM72" s="137">
        <f t="array" ref="GM72">IF(GJ72=0,0,LARGE(IF($GG$10:$GG$406=GJ72,$GF$10:$GF$406,0),COUNTIF($GJ$10:$GJ$406,GJ72)-COUNTIF(GJ$9:GJ71,GJ72)))</f>
        <v>0</v>
      </c>
      <c r="GN72" s="270">
        <f t="shared" si="255"/>
        <v>0</v>
      </c>
      <c r="GP72" s="137">
        <f>IF(C72="","",IF(ISERROR(MATCH(C72,C$10:C71,0)),MAX(GP$10:GP71)+1,INDEX(GP$10:GP71,MATCH(C72,C$10:C71,0))))</f>
        <v>53</v>
      </c>
      <c r="GQ72" s="264">
        <f>IF(COUNTIF($A$10:A72,A72)&lt;=1,SUMIF($A$10:$A$406,A72,$FH$10:$FH$406),0)</f>
        <v>3356950</v>
      </c>
      <c r="GR72" s="137">
        <f t="shared" si="130"/>
        <v>63</v>
      </c>
      <c r="GS72" s="269">
        <f t="shared" si="256"/>
        <v>4417611</v>
      </c>
      <c r="GT72" s="269">
        <f t="shared" si="257"/>
        <v>50964284.172430128</v>
      </c>
      <c r="GU72" s="163">
        <f t="shared" si="258"/>
        <v>0</v>
      </c>
      <c r="GV72" s="137">
        <f t="array" ref="GV72">IF(GS72=0,0,LARGE(IF($GQ$10:$GQ$406=GS72,$GP$10:$GP$406,0),COUNTIF($GS$10:$GS$406,GS72)-COUNTIF(GS$9:GS71,GS72)))</f>
        <v>49</v>
      </c>
      <c r="GW72" s="270">
        <f t="shared" si="259"/>
        <v>0</v>
      </c>
      <c r="GX72" s="270"/>
      <c r="GY72" s="137">
        <f>IF(C72="","",IF(ISERROR(MATCH(C72,C$10:C71,0)),MAX(GP$10:GP71)+1,INDEX(GP$10:GP71,MATCH(C72,C$10:C71,0))))</f>
        <v>53</v>
      </c>
      <c r="GZ72" s="264">
        <f>IF(COUNTIF($A$10:A72,A72)&lt;=1,SUMIF($A$10:$A$406,A72,$FH$10:$FH$406),0)</f>
        <v>3356950</v>
      </c>
      <c r="HA72" s="137">
        <f t="shared" si="134"/>
        <v>63</v>
      </c>
      <c r="HB72" s="269">
        <f t="shared" si="260"/>
        <v>4417611</v>
      </c>
      <c r="HC72" s="414" t="s">
        <v>622</v>
      </c>
      <c r="HD72" s="163">
        <f t="shared" si="261"/>
        <v>0</v>
      </c>
      <c r="HE72" s="137">
        <f t="array" ref="HE72">IF(HB72=0,0,LARGE(IF($GZ$10:$GZ$406=HB72,$GY$10:$GY$406,0),COUNTIF($HB$10:$HB$406,HB72)-COUNTIF(HB$9:HB71,HB72)))</f>
        <v>49</v>
      </c>
      <c r="HF72" s="270">
        <f t="shared" si="262"/>
        <v>0</v>
      </c>
      <c r="HG72" s="270"/>
      <c r="HH72" s="268">
        <f t="shared" si="263"/>
        <v>0</v>
      </c>
      <c r="HI72" s="271">
        <v>0</v>
      </c>
      <c r="HJ72" s="264">
        <f t="shared" si="264"/>
        <v>0</v>
      </c>
      <c r="HL72" s="137">
        <f t="shared" si="265"/>
        <v>63</v>
      </c>
      <c r="HM72" s="264">
        <f t="shared" si="300"/>
        <v>13889257.298902601</v>
      </c>
      <c r="HN72"/>
      <c r="HO72" s="199">
        <f t="shared" si="301"/>
        <v>3356950</v>
      </c>
      <c r="HP72" s="199">
        <f t="shared" si="302"/>
        <v>3356950</v>
      </c>
      <c r="HQ72" s="199" t="str">
        <f t="shared" si="303"/>
        <v/>
      </c>
      <c r="HR72" s="199" t="str">
        <f t="shared" si="304"/>
        <v/>
      </c>
      <c r="HS72" s="199" t="str">
        <f t="shared" si="119"/>
        <v/>
      </c>
      <c r="HT72" s="199" t="str">
        <f t="shared" si="305"/>
        <v/>
      </c>
      <c r="HU72" s="199" t="str">
        <f t="shared" si="306"/>
        <v/>
      </c>
      <c r="HV72" s="200">
        <f t="shared" si="307"/>
        <v>0</v>
      </c>
      <c r="HW72" s="272">
        <f t="shared" si="308"/>
        <v>1</v>
      </c>
      <c r="HX72" s="200" t="str">
        <f t="shared" si="309"/>
        <v/>
      </c>
      <c r="HY72" s="200">
        <f t="shared" si="310"/>
        <v>0</v>
      </c>
      <c r="HZ72" s="200" t="str">
        <f t="shared" si="4"/>
        <v/>
      </c>
      <c r="IA72" s="200" t="str">
        <f t="shared" si="311"/>
        <v/>
      </c>
      <c r="IB72" s="200" t="str">
        <f t="shared" si="312"/>
        <v/>
      </c>
      <c r="IC72" s="273">
        <f>IF(C72="","",INDEX(Lookups!$E$2:$E$69,MATCH('Loan List'!BE72,Lookups!$F$2:$F$69,0)))</f>
        <v>46</v>
      </c>
      <c r="ID72" t="b">
        <f t="shared" si="313"/>
        <v>1</v>
      </c>
      <c r="IF72" s="346" t="str">
        <f t="shared" si="121"/>
        <v>No Initial Haircut</v>
      </c>
    </row>
    <row r="73" spans="1:240">
      <c r="A73" t="s">
        <v>692</v>
      </c>
      <c r="B73" s="242">
        <f t="shared" si="149"/>
        <v>64</v>
      </c>
      <c r="C73" s="242">
        <f>IF(COUNTIF($A$10:A72,A73)&gt;0,C72,C72+1)</f>
        <v>54</v>
      </c>
      <c r="D73" s="428" t="s">
        <v>692</v>
      </c>
      <c r="E73" s="428" t="s">
        <v>691</v>
      </c>
      <c r="F73" s="429"/>
      <c r="G73" s="430">
        <v>9177000</v>
      </c>
      <c r="H73" s="430">
        <v>9177000</v>
      </c>
      <c r="I73" s="244">
        <f>IF(B73="","",VLOOKUP(BF73,Inputs!$A$12:$J$15,10,FALSE))</f>
        <v>1</v>
      </c>
      <c r="J73" s="245">
        <f t="shared" si="5"/>
        <v>9177000</v>
      </c>
      <c r="K73" s="245">
        <f t="shared" si="6"/>
        <v>9177000</v>
      </c>
      <c r="L73" s="245">
        <f t="shared" si="7"/>
        <v>9177000</v>
      </c>
      <c r="M73" s="245">
        <f t="shared" si="8"/>
        <v>9177000</v>
      </c>
      <c r="N73" s="246" t="s">
        <v>246</v>
      </c>
      <c r="O73" s="246" t="s">
        <v>245</v>
      </c>
      <c r="P73" s="247">
        <f>IF(B73="","",IF(OR(O73="N/A",O73=""),0,YEARFRAC('Borrowing Base'!$J$4,'Loan List'!O73)*12))</f>
        <v>0</v>
      </c>
      <c r="Q73" s="246" t="s">
        <v>246</v>
      </c>
      <c r="R73" s="248">
        <v>0.99</v>
      </c>
      <c r="S73" s="249" t="str">
        <f t="shared" si="1"/>
        <v>No</v>
      </c>
      <c r="T73" s="248">
        <v>0.995</v>
      </c>
      <c r="U73" s="250">
        <f t="shared" si="9"/>
        <v>0.5</v>
      </c>
      <c r="V73" s="250">
        <f t="shared" si="10"/>
        <v>0.72499999999999998</v>
      </c>
      <c r="W73" s="251">
        <f t="shared" si="11"/>
        <v>9177000</v>
      </c>
      <c r="X73" s="246" t="s">
        <v>246</v>
      </c>
      <c r="Y73" s="252" t="s">
        <v>483</v>
      </c>
      <c r="Z73" s="252" t="s">
        <v>484</v>
      </c>
      <c r="AA73" s="253" t="s">
        <v>407</v>
      </c>
      <c r="AB73" s="253" t="s">
        <v>713</v>
      </c>
      <c r="AC73" s="254">
        <v>2.2866204093464546</v>
      </c>
      <c r="AD73" s="254">
        <v>2.4243687585669611</v>
      </c>
      <c r="AE73" s="254">
        <v>2.8423309990951799</v>
      </c>
      <c r="AF73" s="255">
        <v>0.24881025015253203</v>
      </c>
      <c r="AG73" s="256">
        <v>3.7164928546777158</v>
      </c>
      <c r="AH73" s="256">
        <v>3.7164928546777158</v>
      </c>
      <c r="AI73" s="256">
        <v>3.43909200850343</v>
      </c>
      <c r="AJ73" s="256">
        <v>3.43909200850343</v>
      </c>
      <c r="AK73" s="257">
        <v>54863552.271697201</v>
      </c>
      <c r="AL73" s="257">
        <v>57983552.381541669</v>
      </c>
      <c r="AM73" s="258">
        <v>45747</v>
      </c>
      <c r="AN73" s="245" t="str">
        <f t="shared" si="12"/>
        <v>Tier 1</v>
      </c>
      <c r="AO73" s="243">
        <v>48292</v>
      </c>
      <c r="AP73" s="259">
        <f>IF(C73="","",DAYS360(Inputs!$J$8,AO73)/360)</f>
        <v>6.5694444444444446</v>
      </c>
      <c r="AQ73" s="259">
        <f t="shared" si="13"/>
        <v>6.5694444444444446</v>
      </c>
      <c r="AR73" s="246" t="s">
        <v>246</v>
      </c>
      <c r="AS73" s="248">
        <v>0</v>
      </c>
      <c r="AT73" s="246" t="s">
        <v>246</v>
      </c>
      <c r="AU73" s="248" t="s">
        <v>487</v>
      </c>
      <c r="AV73" s="248">
        <v>4.7500000000000001E-2</v>
      </c>
      <c r="AW73" s="248">
        <v>4.2956000000000008E-2</v>
      </c>
      <c r="AX73" s="260">
        <f t="shared" si="14"/>
        <v>4.2956000000000008E-2</v>
      </c>
      <c r="AY73" s="248">
        <v>0</v>
      </c>
      <c r="AZ73" s="248">
        <v>0</v>
      </c>
      <c r="BA73" s="248">
        <v>0</v>
      </c>
      <c r="BB73" s="407">
        <f t="shared" si="15"/>
        <v>4.7500000000000001E-2</v>
      </c>
      <c r="BC73" s="407" t="str">
        <f t="shared" si="16"/>
        <v/>
      </c>
      <c r="BD73" s="252" t="s">
        <v>247</v>
      </c>
      <c r="BE73" s="261" t="s">
        <v>410</v>
      </c>
      <c r="BF73" s="252" t="s">
        <v>7</v>
      </c>
      <c r="BG73" s="252" t="s">
        <v>460</v>
      </c>
      <c r="BH73" s="246" t="s">
        <v>246</v>
      </c>
      <c r="BI73" s="408" t="str">
        <f t="shared" si="17"/>
        <v>No</v>
      </c>
      <c r="BJ73" s="408" t="str">
        <f t="shared" si="18"/>
        <v>No</v>
      </c>
      <c r="BK73" s="246" t="s">
        <v>246</v>
      </c>
      <c r="BL73" s="246" t="s">
        <v>246</v>
      </c>
      <c r="BM73" s="246" t="s">
        <v>246</v>
      </c>
      <c r="BN73" s="246" t="s">
        <v>246</v>
      </c>
      <c r="BO73" s="246" t="s">
        <v>246</v>
      </c>
      <c r="BP73" s="246" t="s">
        <v>246</v>
      </c>
      <c r="BQ73" s="246" t="s">
        <v>246</v>
      </c>
      <c r="BR73" s="246" t="s">
        <v>246</v>
      </c>
      <c r="BS73" s="246" t="s">
        <v>246</v>
      </c>
      <c r="BT73" s="246" t="s">
        <v>246</v>
      </c>
      <c r="BU73" s="246" t="s">
        <v>246</v>
      </c>
      <c r="BV73" s="246" t="s">
        <v>246</v>
      </c>
      <c r="BW73" s="246" t="s">
        <v>246</v>
      </c>
      <c r="BX73" s="246" t="s">
        <v>246</v>
      </c>
      <c r="BY73" s="246" t="s">
        <v>246</v>
      </c>
      <c r="BZ73" s="246" t="s">
        <v>246</v>
      </c>
      <c r="CA73" s="246" t="s">
        <v>246</v>
      </c>
      <c r="CB73" s="246" t="s">
        <v>64</v>
      </c>
      <c r="CC73" s="262">
        <f t="shared" si="19"/>
        <v>433462.74720000004</v>
      </c>
      <c r="CD73" s="262">
        <f t="shared" si="20"/>
        <v>0</v>
      </c>
      <c r="CE73" s="263"/>
      <c r="CF73" s="263">
        <f t="shared" si="150"/>
        <v>0</v>
      </c>
      <c r="CG73" s="263">
        <f t="shared" si="151"/>
        <v>0</v>
      </c>
      <c r="CH73" s="263">
        <f t="shared" si="152"/>
        <v>0</v>
      </c>
      <c r="CI73" s="263">
        <f t="shared" si="153"/>
        <v>0</v>
      </c>
      <c r="CJ73" s="263">
        <f t="shared" si="154"/>
        <v>0</v>
      </c>
      <c r="CK73" s="263">
        <f t="shared" si="155"/>
        <v>0</v>
      </c>
      <c r="CL73" s="263">
        <f t="shared" si="156"/>
        <v>0</v>
      </c>
      <c r="CM73" s="263">
        <f t="shared" si="157"/>
        <v>0</v>
      </c>
      <c r="CN73" s="263">
        <f t="shared" si="158"/>
        <v>0</v>
      </c>
      <c r="CO73" s="263">
        <f t="shared" si="159"/>
        <v>0</v>
      </c>
      <c r="CP73" s="263">
        <f t="shared" si="160"/>
        <v>0</v>
      </c>
      <c r="CQ73" s="263">
        <f t="shared" si="161"/>
        <v>0</v>
      </c>
      <c r="CR73" s="263">
        <f t="shared" si="162"/>
        <v>0</v>
      </c>
      <c r="CS73" s="263">
        <f t="shared" si="163"/>
        <v>0</v>
      </c>
      <c r="CT73" s="263">
        <f t="shared" si="164"/>
        <v>0</v>
      </c>
      <c r="CU73" s="263">
        <f t="shared" si="165"/>
        <v>0</v>
      </c>
      <c r="CV73" s="263">
        <f t="shared" si="166"/>
        <v>0</v>
      </c>
      <c r="CW73" s="263">
        <f t="shared" si="167"/>
        <v>0</v>
      </c>
      <c r="CX73" s="263">
        <f t="shared" si="168"/>
        <v>0</v>
      </c>
      <c r="CY73" s="263">
        <f t="shared" si="169"/>
        <v>0</v>
      </c>
      <c r="CZ73" s="263">
        <f t="shared" si="170"/>
        <v>0</v>
      </c>
      <c r="DA73" s="263">
        <f t="shared" si="171"/>
        <v>0</v>
      </c>
      <c r="DB73" s="263">
        <f t="shared" si="172"/>
        <v>0</v>
      </c>
      <c r="DC73" s="263">
        <f t="shared" si="173"/>
        <v>0</v>
      </c>
      <c r="DD73" s="263">
        <f t="shared" si="174"/>
        <v>0</v>
      </c>
      <c r="DE73" s="263">
        <f t="shared" si="175"/>
        <v>0</v>
      </c>
      <c r="DF73" s="263">
        <f t="shared" si="176"/>
        <v>9177000</v>
      </c>
      <c r="DG73" s="263">
        <f t="shared" si="177"/>
        <v>0</v>
      </c>
      <c r="DH73" s="263">
        <f t="shared" si="178"/>
        <v>9177000</v>
      </c>
      <c r="DI73" s="263">
        <f t="shared" si="179"/>
        <v>9177000</v>
      </c>
      <c r="DJ73" s="263">
        <f t="shared" si="180"/>
        <v>0</v>
      </c>
      <c r="DK73" s="263">
        <f t="shared" si="181"/>
        <v>0</v>
      </c>
      <c r="DL73" s="263">
        <f t="shared" si="182"/>
        <v>0</v>
      </c>
      <c r="DM73" s="263">
        <f t="shared" si="183"/>
        <v>0</v>
      </c>
      <c r="DO73" s="264">
        <f t="shared" si="184"/>
        <v>0</v>
      </c>
      <c r="DP73" s="265">
        <f t="shared" si="185"/>
        <v>0</v>
      </c>
      <c r="DQ73" s="264">
        <f t="shared" si="186"/>
        <v>9177000</v>
      </c>
      <c r="DR73" s="264">
        <f t="shared" si="187"/>
        <v>0</v>
      </c>
      <c r="DS73" s="265">
        <f t="shared" si="188"/>
        <v>0</v>
      </c>
      <c r="DT73" s="264">
        <f t="shared" si="189"/>
        <v>9177000</v>
      </c>
      <c r="DU73" s="264">
        <f t="shared" si="190"/>
        <v>0</v>
      </c>
      <c r="DV73" s="265">
        <f t="shared" si="191"/>
        <v>0</v>
      </c>
      <c r="DW73" s="264">
        <f t="shared" si="192"/>
        <v>9177000</v>
      </c>
      <c r="DX73" s="264">
        <f t="shared" si="193"/>
        <v>0</v>
      </c>
      <c r="DY73" s="265">
        <f t="shared" si="194"/>
        <v>0</v>
      </c>
      <c r="DZ73" s="264">
        <f t="shared" si="195"/>
        <v>9177000</v>
      </c>
      <c r="EA73" s="264">
        <f t="shared" si="196"/>
        <v>0</v>
      </c>
      <c r="EB73" s="265">
        <f t="shared" si="197"/>
        <v>0</v>
      </c>
      <c r="EC73" s="264">
        <f t="shared" si="198"/>
        <v>9177000</v>
      </c>
      <c r="ED73" s="264">
        <f t="shared" si="199"/>
        <v>0</v>
      </c>
      <c r="EE73" s="265">
        <f t="shared" si="200"/>
        <v>0</v>
      </c>
      <c r="EF73" s="264">
        <f t="shared" si="201"/>
        <v>9177000</v>
      </c>
      <c r="EG73" s="264">
        <f t="shared" si="202"/>
        <v>0</v>
      </c>
      <c r="EH73" s="265">
        <f t="shared" si="203"/>
        <v>0</v>
      </c>
      <c r="EI73" s="264">
        <f t="shared" si="204"/>
        <v>9177000</v>
      </c>
      <c r="EJ73" s="264">
        <f t="shared" si="205"/>
        <v>0</v>
      </c>
      <c r="EK73" s="265">
        <f t="shared" si="206"/>
        <v>0</v>
      </c>
      <c r="EL73" s="264">
        <f t="shared" si="207"/>
        <v>9177000</v>
      </c>
      <c r="EM73" s="264">
        <f t="shared" si="208"/>
        <v>0</v>
      </c>
      <c r="EN73" s="265">
        <f t="shared" si="209"/>
        <v>0</v>
      </c>
      <c r="EO73" s="264">
        <f t="shared" si="210"/>
        <v>9177000</v>
      </c>
      <c r="EP73" s="264">
        <f t="shared" si="211"/>
        <v>0</v>
      </c>
      <c r="EQ73" s="265">
        <f t="shared" si="212"/>
        <v>0</v>
      </c>
      <c r="ER73" s="264">
        <f t="shared" si="213"/>
        <v>9177000</v>
      </c>
      <c r="ES73" s="264">
        <f t="shared" si="214"/>
        <v>0</v>
      </c>
      <c r="ET73" s="265">
        <f t="shared" si="215"/>
        <v>0</v>
      </c>
      <c r="EU73" s="264">
        <f t="shared" si="216"/>
        <v>9177000</v>
      </c>
      <c r="EV73" s="264">
        <f>IF(AND(BM73="Yes",OR(BN73="No",AND(BN73="Yes",Inputs!$J$8=Inputs!$J$17+75))),EU73,0)</f>
        <v>0</v>
      </c>
      <c r="EW73" s="265">
        <f t="shared" si="217"/>
        <v>0</v>
      </c>
      <c r="EX73" s="264">
        <f t="shared" si="218"/>
        <v>9177000</v>
      </c>
      <c r="EY73" s="264">
        <f t="shared" si="219"/>
        <v>0</v>
      </c>
      <c r="EZ73" s="265">
        <f t="shared" si="220"/>
        <v>0</v>
      </c>
      <c r="FA73" s="264">
        <f t="shared" si="221"/>
        <v>9177000</v>
      </c>
      <c r="FB73" s="264">
        <f t="shared" si="222"/>
        <v>0</v>
      </c>
      <c r="FC73" s="265">
        <f t="shared" si="223"/>
        <v>0</v>
      </c>
      <c r="FD73" s="264">
        <f t="shared" si="224"/>
        <v>9177000</v>
      </c>
      <c r="FE73" s="264">
        <f t="shared" si="225"/>
        <v>0</v>
      </c>
      <c r="FF73" s="265">
        <f t="shared" si="226"/>
        <v>0</v>
      </c>
      <c r="FG73" s="264">
        <f t="shared" si="227"/>
        <v>9177000</v>
      </c>
      <c r="FH73" s="264">
        <f t="shared" si="228"/>
        <v>9177000</v>
      </c>
      <c r="FI73" s="264">
        <f t="shared" si="229"/>
        <v>0</v>
      </c>
      <c r="FJ73" s="264">
        <f t="shared" si="230"/>
        <v>9177000</v>
      </c>
      <c r="FK73" s="264">
        <f t="shared" si="231"/>
        <v>9177000</v>
      </c>
      <c r="FL73" s="264">
        <f t="shared" si="232"/>
        <v>0</v>
      </c>
      <c r="FM73" s="264">
        <f t="shared" si="233"/>
        <v>9177000</v>
      </c>
      <c r="FN73" s="264">
        <f t="shared" si="234"/>
        <v>9177000</v>
      </c>
      <c r="FO73" s="264">
        <f t="shared" si="235"/>
        <v>0</v>
      </c>
      <c r="FP73" s="264">
        <f t="shared" si="236"/>
        <v>9177000</v>
      </c>
      <c r="FQ73" s="264">
        <f t="shared" si="237"/>
        <v>0</v>
      </c>
      <c r="FR73" s="265">
        <f t="shared" si="238"/>
        <v>0</v>
      </c>
      <c r="FS73" s="264">
        <f t="shared" si="239"/>
        <v>9177000</v>
      </c>
      <c r="FT73" s="264">
        <f t="shared" si="240"/>
        <v>0</v>
      </c>
      <c r="FU73" s="265">
        <f t="shared" si="241"/>
        <v>0</v>
      </c>
      <c r="FV73" s="264">
        <f t="shared" si="242"/>
        <v>9177000</v>
      </c>
      <c r="FW73" s="264">
        <f t="shared" si="243"/>
        <v>0</v>
      </c>
      <c r="FX73" s="264">
        <f t="shared" si="244"/>
        <v>0</v>
      </c>
      <c r="FY73" s="264">
        <f t="shared" si="245"/>
        <v>0</v>
      </c>
      <c r="FZ73" s="264">
        <f t="shared" si="246"/>
        <v>0</v>
      </c>
      <c r="GA73" s="265">
        <f t="shared" si="296"/>
        <v>0</v>
      </c>
      <c r="GB73" s="264">
        <f t="shared" si="297"/>
        <v>9177000</v>
      </c>
      <c r="GC73" s="264">
        <f t="shared" si="247"/>
        <v>9177000</v>
      </c>
      <c r="GD73" s="266">
        <f t="shared" si="248"/>
        <v>6653325</v>
      </c>
      <c r="GE73" s="138">
        <f t="shared" si="249"/>
        <v>0.72499999999999998</v>
      </c>
      <c r="GF73" s="267">
        <f t="shared" si="250"/>
        <v>32</v>
      </c>
      <c r="GG73" s="264">
        <f t="array" ref="GG73">IF(SUM(IF(IC$9:IC72=IC73,1,0))&gt;0,0,SUMIF($IC$10:$IC$406,IC73,$FJ$10:$FJ$406))</f>
        <v>16600344</v>
      </c>
      <c r="GH73" s="268">
        <f t="shared" si="251"/>
        <v>16600344</v>
      </c>
      <c r="GI73" s="137">
        <f t="shared" si="126"/>
        <v>64</v>
      </c>
      <c r="GJ73" s="269">
        <f t="shared" si="252"/>
        <v>0</v>
      </c>
      <c r="GK73" s="269">
        <f t="shared" si="253"/>
        <v>0</v>
      </c>
      <c r="GL73" s="163">
        <f t="shared" si="254"/>
        <v>0</v>
      </c>
      <c r="GM73" s="137">
        <f t="array" ref="GM73">IF(GJ73=0,0,LARGE(IF($GG$10:$GG$406=GJ73,$GF$10:$GF$406,0),COUNTIF($GJ$10:$GJ$406,GJ73)-COUNTIF(GJ$9:GJ72,GJ73)))</f>
        <v>0</v>
      </c>
      <c r="GN73" s="270">
        <f t="shared" si="255"/>
        <v>0</v>
      </c>
      <c r="GP73" s="137">
        <f>IF(C73="","",IF(ISERROR(MATCH(C73,C$10:C72,0)),MAX(GP$10:GP72)+1,INDEX(GP$10:GP72,MATCH(C73,C$10:C72,0))))</f>
        <v>54</v>
      </c>
      <c r="GQ73" s="264">
        <f>IF(COUNTIF($A$10:A73,A73)&lt;=1,SUMIF($A$10:$A$406,A73,$FH$10:$FH$406),0)</f>
        <v>9177000</v>
      </c>
      <c r="GR73" s="137">
        <f t="shared" si="130"/>
        <v>64</v>
      </c>
      <c r="GS73" s="269">
        <f t="shared" si="256"/>
        <v>4361018</v>
      </c>
      <c r="GT73" s="269">
        <f t="shared" si="257"/>
        <v>50964284.172430128</v>
      </c>
      <c r="GU73" s="163">
        <f t="shared" si="258"/>
        <v>0</v>
      </c>
      <c r="GV73" s="137">
        <f t="array" ref="GV73">IF(GS73=0,0,LARGE(IF($GQ$10:$GQ$406=GS73,$GP$10:$GP$406,0),COUNTIF($GS$10:$GS$406,GS73)-COUNTIF(GS$9:GS72,GS73)))</f>
        <v>77</v>
      </c>
      <c r="GW73" s="270">
        <f t="shared" si="259"/>
        <v>0</v>
      </c>
      <c r="GX73" s="270"/>
      <c r="GY73" s="137">
        <f>IF(C73="","",IF(ISERROR(MATCH(C73,C$10:C72,0)),MAX(GP$10:GP72)+1,INDEX(GP$10:GP72,MATCH(C73,C$10:C72,0))))</f>
        <v>54</v>
      </c>
      <c r="GZ73" s="264">
        <f>IF(COUNTIF($A$10:A73,A73)&lt;=1,SUMIF($A$10:$A$406,A73,$FH$10:$FH$406),0)</f>
        <v>9177000</v>
      </c>
      <c r="HA73" s="137">
        <f t="shared" si="134"/>
        <v>64</v>
      </c>
      <c r="HB73" s="269">
        <f t="shared" si="260"/>
        <v>4361018</v>
      </c>
      <c r="HC73" s="414" t="s">
        <v>622</v>
      </c>
      <c r="HD73" s="163">
        <f t="shared" si="261"/>
        <v>0</v>
      </c>
      <c r="HE73" s="137">
        <f t="array" ref="HE73">IF(HB73=0,0,LARGE(IF($GZ$10:$GZ$406=HB73,$GY$10:$GY$406,0),COUNTIF($HB$10:$HB$406,HB73)-COUNTIF(HB$9:HB72,HB73)))</f>
        <v>77</v>
      </c>
      <c r="HF73" s="270">
        <f t="shared" si="262"/>
        <v>0</v>
      </c>
      <c r="HG73" s="270"/>
      <c r="HH73" s="268">
        <f t="shared" si="263"/>
        <v>0</v>
      </c>
      <c r="HI73" s="271">
        <v>0</v>
      </c>
      <c r="HJ73" s="264">
        <f t="shared" si="264"/>
        <v>0</v>
      </c>
      <c r="HL73" s="137">
        <f t="shared" si="265"/>
        <v>64</v>
      </c>
      <c r="HM73" s="264">
        <f t="shared" si="300"/>
        <v>5043516.63</v>
      </c>
      <c r="HN73"/>
      <c r="HO73" s="199">
        <f t="shared" si="301"/>
        <v>9177000</v>
      </c>
      <c r="HP73" s="199">
        <f t="shared" si="302"/>
        <v>9177000</v>
      </c>
      <c r="HQ73" s="199" t="str">
        <f t="shared" si="303"/>
        <v/>
      </c>
      <c r="HR73" s="199" t="str">
        <f t="shared" si="304"/>
        <v/>
      </c>
      <c r="HS73" s="199" t="str">
        <f t="shared" si="119"/>
        <v/>
      </c>
      <c r="HT73" s="199" t="str">
        <f t="shared" si="305"/>
        <v/>
      </c>
      <c r="HU73" s="199" t="str">
        <f t="shared" si="306"/>
        <v/>
      </c>
      <c r="HV73" s="200">
        <f t="shared" si="307"/>
        <v>0</v>
      </c>
      <c r="HW73" s="272">
        <f t="shared" si="308"/>
        <v>1</v>
      </c>
      <c r="HX73" s="200" t="str">
        <f t="shared" si="309"/>
        <v/>
      </c>
      <c r="HY73" s="200">
        <f t="shared" si="310"/>
        <v>0</v>
      </c>
      <c r="HZ73" s="200" t="str">
        <f t="shared" si="4"/>
        <v/>
      </c>
      <c r="IA73" s="200" t="str">
        <f t="shared" si="311"/>
        <v/>
      </c>
      <c r="IB73" s="200" t="str">
        <f t="shared" si="312"/>
        <v/>
      </c>
      <c r="IC73" s="273">
        <f>IF(C73="","",INDEX(Lookups!$E$2:$E$69,MATCH('Loan List'!BE73,Lookups!$F$2:$F$69,0)))</f>
        <v>32</v>
      </c>
      <c r="ID73" t="b">
        <f t="shared" si="313"/>
        <v>1</v>
      </c>
      <c r="IF73" s="346" t="str">
        <f t="shared" si="121"/>
        <v>No Initial Haircut</v>
      </c>
    </row>
    <row r="74" spans="1:240">
      <c r="A74" t="s">
        <v>750</v>
      </c>
      <c r="B74" s="242">
        <f t="shared" si="149"/>
        <v>65</v>
      </c>
      <c r="C74" s="242">
        <f>IF(COUNTIF($A$10:A73,A74)&gt;0,C73,C73+1)</f>
        <v>55</v>
      </c>
      <c r="D74" s="431" t="s">
        <v>750</v>
      </c>
      <c r="E74" s="428" t="s">
        <v>825</v>
      </c>
      <c r="F74" s="429"/>
      <c r="G74" s="430">
        <v>5116017</v>
      </c>
      <c r="H74" s="430">
        <v>5116017</v>
      </c>
      <c r="I74" s="244">
        <f>IF(B74="","",VLOOKUP(BF74,Inputs!$A$12:$J$15,10,FALSE))</f>
        <v>1</v>
      </c>
      <c r="J74" s="245">
        <f t="shared" si="5"/>
        <v>5116017</v>
      </c>
      <c r="K74" s="245">
        <f t="shared" si="6"/>
        <v>5116017</v>
      </c>
      <c r="L74" s="245">
        <f t="shared" si="7"/>
        <v>5116017</v>
      </c>
      <c r="M74" s="245">
        <f t="shared" si="8"/>
        <v>5116017</v>
      </c>
      <c r="N74" s="246" t="s">
        <v>246</v>
      </c>
      <c r="O74" s="246" t="s">
        <v>245</v>
      </c>
      <c r="P74" s="247">
        <f>IF(B74="","",IF(OR(O74="N/A",O74=""),0,YEARFRAC('Borrowing Base'!$J$4,'Loan List'!O74)*12))</f>
        <v>0</v>
      </c>
      <c r="Q74" s="246" t="s">
        <v>246</v>
      </c>
      <c r="R74" s="248">
        <v>0.99250000000000005</v>
      </c>
      <c r="S74" s="249" t="str">
        <f t="shared" si="1"/>
        <v>No</v>
      </c>
      <c r="T74" s="248">
        <v>0.99250000000000005</v>
      </c>
      <c r="U74" s="250">
        <f t="shared" si="9"/>
        <v>0.5</v>
      </c>
      <c r="V74" s="250">
        <f t="shared" si="10"/>
        <v>0.60961538461538467</v>
      </c>
      <c r="W74" s="251">
        <f t="shared" si="11"/>
        <v>5116017</v>
      </c>
      <c r="X74" s="246" t="s">
        <v>64</v>
      </c>
      <c r="Y74" s="252" t="s">
        <v>483</v>
      </c>
      <c r="Z74" s="252" t="s">
        <v>484</v>
      </c>
      <c r="AA74" s="253" t="s">
        <v>407</v>
      </c>
      <c r="AB74" s="253" t="s">
        <v>713</v>
      </c>
      <c r="AC74" s="254">
        <v>1.35</v>
      </c>
      <c r="AD74" s="254">
        <v>1.3471585474448509</v>
      </c>
      <c r="AE74" s="254">
        <v>1.6696576194162154</v>
      </c>
      <c r="AF74" s="255">
        <v>0.41399999999999998</v>
      </c>
      <c r="AG74" s="256">
        <v>6.87</v>
      </c>
      <c r="AH74" s="256">
        <v>6.87</v>
      </c>
      <c r="AI74" s="256">
        <v>5.4446190420886165</v>
      </c>
      <c r="AJ74" s="256">
        <v>5.4446190420886165</v>
      </c>
      <c r="AK74" s="257">
        <v>361200000</v>
      </c>
      <c r="AL74" s="257">
        <v>468076826</v>
      </c>
      <c r="AM74" s="258">
        <v>45838</v>
      </c>
      <c r="AN74" s="245" t="str">
        <f t="shared" si="12"/>
        <v>Tier 1</v>
      </c>
      <c r="AO74" s="243">
        <v>47018</v>
      </c>
      <c r="AP74" s="259">
        <f>IF(C74="","",DAYS360(Inputs!$J$8,AO74)/360)</f>
        <v>3.0777777777777779</v>
      </c>
      <c r="AQ74" s="259">
        <f t="shared" si="13"/>
        <v>3.0777777777777779</v>
      </c>
      <c r="AR74" s="246" t="s">
        <v>246</v>
      </c>
      <c r="AS74" s="248">
        <v>0</v>
      </c>
      <c r="AT74" s="246" t="s">
        <v>246</v>
      </c>
      <c r="AU74" s="248" t="s">
        <v>487</v>
      </c>
      <c r="AV74" s="248">
        <v>4.7500000000000001E-2</v>
      </c>
      <c r="AW74" s="248">
        <v>4.2956000000000008E-2</v>
      </c>
      <c r="AX74" s="260">
        <f t="shared" si="14"/>
        <v>4.2956000000000008E-2</v>
      </c>
      <c r="AY74" s="248">
        <v>0</v>
      </c>
      <c r="AZ74" s="248">
        <v>0</v>
      </c>
      <c r="BA74" s="248">
        <v>0</v>
      </c>
      <c r="BB74" s="407">
        <f t="shared" si="15"/>
        <v>4.7500000000000001E-2</v>
      </c>
      <c r="BC74" s="407" t="str">
        <f t="shared" si="16"/>
        <v/>
      </c>
      <c r="BD74" s="252" t="s">
        <v>247</v>
      </c>
      <c r="BE74" s="261" t="s">
        <v>427</v>
      </c>
      <c r="BF74" s="252" t="s">
        <v>7</v>
      </c>
      <c r="BG74" s="252" t="s">
        <v>460</v>
      </c>
      <c r="BH74" s="246" t="s">
        <v>246</v>
      </c>
      <c r="BI74" s="408" t="str">
        <f t="shared" si="17"/>
        <v>No</v>
      </c>
      <c r="BJ74" s="408" t="str">
        <f t="shared" si="18"/>
        <v>No</v>
      </c>
      <c r="BK74" s="246" t="s">
        <v>246</v>
      </c>
      <c r="BL74" s="246" t="s">
        <v>246</v>
      </c>
      <c r="BM74" s="246" t="s">
        <v>64</v>
      </c>
      <c r="BN74" s="246" t="s">
        <v>64</v>
      </c>
      <c r="BO74" s="246" t="s">
        <v>246</v>
      </c>
      <c r="BP74" s="246" t="s">
        <v>246</v>
      </c>
      <c r="BQ74" s="246" t="s">
        <v>246</v>
      </c>
      <c r="BR74" s="246" t="s">
        <v>246</v>
      </c>
      <c r="BS74" s="246" t="s">
        <v>246</v>
      </c>
      <c r="BT74" s="246" t="s">
        <v>246</v>
      </c>
      <c r="BU74" s="246" t="s">
        <v>246</v>
      </c>
      <c r="BV74" s="246" t="s">
        <v>246</v>
      </c>
      <c r="BW74" s="246" t="s">
        <v>246</v>
      </c>
      <c r="BX74" s="246" t="s">
        <v>246</v>
      </c>
      <c r="BY74" s="246" t="s">
        <v>246</v>
      </c>
      <c r="BZ74" s="246" t="s">
        <v>246</v>
      </c>
      <c r="CA74" s="246" t="s">
        <v>246</v>
      </c>
      <c r="CB74" s="246" t="s">
        <v>64</v>
      </c>
      <c r="CC74" s="262">
        <f t="shared" si="19"/>
        <v>241647.90057120004</v>
      </c>
      <c r="CD74" s="262">
        <f t="shared" si="20"/>
        <v>0</v>
      </c>
      <c r="CE74" s="263"/>
      <c r="CF74" s="263">
        <f t="shared" si="150"/>
        <v>0</v>
      </c>
      <c r="CG74" s="263">
        <f t="shared" si="151"/>
        <v>0</v>
      </c>
      <c r="CH74" s="263">
        <f t="shared" si="152"/>
        <v>0</v>
      </c>
      <c r="CI74" s="263">
        <f t="shared" si="153"/>
        <v>0</v>
      </c>
      <c r="CJ74" s="263">
        <f t="shared" si="154"/>
        <v>0</v>
      </c>
      <c r="CK74" s="263">
        <f t="shared" si="155"/>
        <v>0</v>
      </c>
      <c r="CL74" s="263">
        <f t="shared" si="156"/>
        <v>0</v>
      </c>
      <c r="CM74" s="263">
        <f t="shared" si="157"/>
        <v>0</v>
      </c>
      <c r="CN74" s="263">
        <f t="shared" si="158"/>
        <v>0</v>
      </c>
      <c r="CO74" s="263">
        <f t="shared" si="159"/>
        <v>0</v>
      </c>
      <c r="CP74" s="263">
        <f t="shared" si="160"/>
        <v>0</v>
      </c>
      <c r="CQ74" s="263">
        <f t="shared" si="161"/>
        <v>0</v>
      </c>
      <c r="CR74" s="263">
        <f t="shared" si="162"/>
        <v>0</v>
      </c>
      <c r="CS74" s="263">
        <f t="shared" si="163"/>
        <v>0</v>
      </c>
      <c r="CT74" s="263">
        <f t="shared" si="164"/>
        <v>0</v>
      </c>
      <c r="CU74" s="263">
        <f t="shared" si="165"/>
        <v>0</v>
      </c>
      <c r="CV74" s="263">
        <f t="shared" si="166"/>
        <v>0</v>
      </c>
      <c r="CW74" s="263">
        <f t="shared" si="167"/>
        <v>0</v>
      </c>
      <c r="CX74" s="263">
        <f t="shared" si="168"/>
        <v>0</v>
      </c>
      <c r="CY74" s="263">
        <f t="shared" si="169"/>
        <v>0</v>
      </c>
      <c r="CZ74" s="263">
        <f t="shared" si="170"/>
        <v>0</v>
      </c>
      <c r="DA74" s="263">
        <f t="shared" si="171"/>
        <v>0</v>
      </c>
      <c r="DB74" s="263">
        <f t="shared" si="172"/>
        <v>0</v>
      </c>
      <c r="DC74" s="263">
        <f t="shared" si="173"/>
        <v>0</v>
      </c>
      <c r="DD74" s="263">
        <f t="shared" si="174"/>
        <v>0</v>
      </c>
      <c r="DE74" s="263">
        <f t="shared" si="175"/>
        <v>0</v>
      </c>
      <c r="DF74" s="263">
        <f t="shared" si="176"/>
        <v>5116017</v>
      </c>
      <c r="DG74" s="263">
        <f t="shared" si="177"/>
        <v>0</v>
      </c>
      <c r="DH74" s="263">
        <f t="shared" si="178"/>
        <v>5116017</v>
      </c>
      <c r="DI74" s="263">
        <f t="shared" si="179"/>
        <v>5116017</v>
      </c>
      <c r="DJ74" s="263">
        <f t="shared" si="180"/>
        <v>0</v>
      </c>
      <c r="DK74" s="263">
        <f t="shared" si="181"/>
        <v>0</v>
      </c>
      <c r="DL74" s="263">
        <f t="shared" si="182"/>
        <v>0</v>
      </c>
      <c r="DM74" s="263">
        <f t="shared" si="183"/>
        <v>0</v>
      </c>
      <c r="DO74" s="264">
        <f t="shared" si="184"/>
        <v>0</v>
      </c>
      <c r="DP74" s="265">
        <f t="shared" si="185"/>
        <v>0</v>
      </c>
      <c r="DQ74" s="264">
        <f t="shared" si="186"/>
        <v>5116017</v>
      </c>
      <c r="DR74" s="264">
        <f t="shared" si="187"/>
        <v>0</v>
      </c>
      <c r="DS74" s="265">
        <f t="shared" si="188"/>
        <v>0</v>
      </c>
      <c r="DT74" s="264">
        <f t="shared" si="189"/>
        <v>5116017</v>
      </c>
      <c r="DU74" s="264">
        <f t="shared" si="190"/>
        <v>0</v>
      </c>
      <c r="DV74" s="265">
        <f t="shared" si="191"/>
        <v>0</v>
      </c>
      <c r="DW74" s="264">
        <f t="shared" si="192"/>
        <v>5116017</v>
      </c>
      <c r="DX74" s="264">
        <f t="shared" si="193"/>
        <v>0</v>
      </c>
      <c r="DY74" s="265">
        <f t="shared" si="194"/>
        <v>0</v>
      </c>
      <c r="DZ74" s="264">
        <f t="shared" si="195"/>
        <v>5116017</v>
      </c>
      <c r="EA74" s="264">
        <f t="shared" si="196"/>
        <v>0</v>
      </c>
      <c r="EB74" s="265">
        <f t="shared" si="197"/>
        <v>0</v>
      </c>
      <c r="EC74" s="264">
        <f t="shared" si="198"/>
        <v>5116017</v>
      </c>
      <c r="ED74" s="264">
        <f t="shared" si="199"/>
        <v>0</v>
      </c>
      <c r="EE74" s="265">
        <f t="shared" si="200"/>
        <v>0</v>
      </c>
      <c r="EF74" s="264">
        <f t="shared" si="201"/>
        <v>5116017</v>
      </c>
      <c r="EG74" s="264">
        <f t="shared" si="202"/>
        <v>0</v>
      </c>
      <c r="EH74" s="265">
        <f t="shared" si="203"/>
        <v>0</v>
      </c>
      <c r="EI74" s="264">
        <f t="shared" si="204"/>
        <v>5116017</v>
      </c>
      <c r="EJ74" s="264">
        <f t="shared" si="205"/>
        <v>0</v>
      </c>
      <c r="EK74" s="265">
        <f t="shared" si="206"/>
        <v>0</v>
      </c>
      <c r="EL74" s="264">
        <f t="shared" si="207"/>
        <v>5116017</v>
      </c>
      <c r="EM74" s="264">
        <f t="shared" si="208"/>
        <v>0</v>
      </c>
      <c r="EN74" s="265">
        <f t="shared" si="209"/>
        <v>0</v>
      </c>
      <c r="EO74" s="264">
        <f t="shared" si="210"/>
        <v>5116017</v>
      </c>
      <c r="EP74" s="264">
        <f t="shared" si="211"/>
        <v>0</v>
      </c>
      <c r="EQ74" s="265">
        <f t="shared" si="212"/>
        <v>0</v>
      </c>
      <c r="ER74" s="264">
        <f t="shared" si="213"/>
        <v>5116017</v>
      </c>
      <c r="ES74" s="264">
        <f t="shared" si="214"/>
        <v>0</v>
      </c>
      <c r="ET74" s="265">
        <f t="shared" si="215"/>
        <v>0</v>
      </c>
      <c r="EU74" s="264">
        <f t="shared" si="216"/>
        <v>5116017</v>
      </c>
      <c r="EV74" s="264">
        <f>IF(AND(BM74="Yes",OR(BN74="No",AND(BN74="Yes",Inputs!$J$8=Inputs!$J$17+75))),EU74,0)</f>
        <v>0</v>
      </c>
      <c r="EW74" s="265">
        <f t="shared" si="217"/>
        <v>0</v>
      </c>
      <c r="EX74" s="264">
        <f t="shared" si="218"/>
        <v>5116017</v>
      </c>
      <c r="EY74" s="264">
        <f t="shared" si="219"/>
        <v>0</v>
      </c>
      <c r="EZ74" s="265">
        <f t="shared" si="220"/>
        <v>0</v>
      </c>
      <c r="FA74" s="264">
        <f t="shared" si="221"/>
        <v>5116017</v>
      </c>
      <c r="FB74" s="264">
        <f t="shared" si="222"/>
        <v>0</v>
      </c>
      <c r="FC74" s="265">
        <f t="shared" si="223"/>
        <v>0</v>
      </c>
      <c r="FD74" s="264">
        <f t="shared" si="224"/>
        <v>5116017</v>
      </c>
      <c r="FE74" s="264">
        <f t="shared" si="225"/>
        <v>0</v>
      </c>
      <c r="FF74" s="265">
        <f t="shared" si="226"/>
        <v>0</v>
      </c>
      <c r="FG74" s="264">
        <f t="shared" si="227"/>
        <v>5116017</v>
      </c>
      <c r="FH74" s="264">
        <f t="shared" si="228"/>
        <v>5116017</v>
      </c>
      <c r="FI74" s="264">
        <f t="shared" si="229"/>
        <v>0</v>
      </c>
      <c r="FJ74" s="264">
        <f t="shared" si="230"/>
        <v>5116017</v>
      </c>
      <c r="FK74" s="264">
        <f t="shared" si="231"/>
        <v>5116017</v>
      </c>
      <c r="FL74" s="264">
        <f t="shared" si="232"/>
        <v>0</v>
      </c>
      <c r="FM74" s="264">
        <f t="shared" si="233"/>
        <v>5116017</v>
      </c>
      <c r="FN74" s="264">
        <f t="shared" si="234"/>
        <v>5116017</v>
      </c>
      <c r="FO74" s="264">
        <f t="shared" si="235"/>
        <v>0</v>
      </c>
      <c r="FP74" s="264">
        <f t="shared" si="236"/>
        <v>5116017</v>
      </c>
      <c r="FQ74" s="264">
        <f t="shared" si="237"/>
        <v>0</v>
      </c>
      <c r="FR74" s="265">
        <f t="shared" si="238"/>
        <v>0</v>
      </c>
      <c r="FS74" s="264">
        <f t="shared" si="239"/>
        <v>5116017</v>
      </c>
      <c r="FT74" s="264">
        <f t="shared" si="240"/>
        <v>0</v>
      </c>
      <c r="FU74" s="265">
        <f t="shared" si="241"/>
        <v>0</v>
      </c>
      <c r="FV74" s="264">
        <f t="shared" si="242"/>
        <v>5116017</v>
      </c>
      <c r="FW74" s="264">
        <f t="shared" si="243"/>
        <v>0</v>
      </c>
      <c r="FX74" s="264">
        <f t="shared" si="244"/>
        <v>0</v>
      </c>
      <c r="FY74" s="264">
        <f t="shared" si="245"/>
        <v>0</v>
      </c>
      <c r="FZ74" s="264">
        <f t="shared" si="246"/>
        <v>0</v>
      </c>
      <c r="GA74" s="265">
        <f t="shared" si="296"/>
        <v>0</v>
      </c>
      <c r="GB74" s="264">
        <f t="shared" si="297"/>
        <v>5116017</v>
      </c>
      <c r="GC74" s="264">
        <f t="shared" si="247"/>
        <v>5116017</v>
      </c>
      <c r="GD74" s="266">
        <f t="shared" si="248"/>
        <v>3118802.6711538467</v>
      </c>
      <c r="GE74" s="138">
        <f t="shared" si="249"/>
        <v>0.60961538461538467</v>
      </c>
      <c r="GF74" s="267">
        <f t="shared" si="250"/>
        <v>41</v>
      </c>
      <c r="GG74" s="264">
        <f t="array" ref="GG74">IF(SUM(IF(IC$9:IC73=IC74,1,0))&gt;0,0,SUMIF($IC$10:$IC$406,IC74,$FJ$10:$FJ$406))</f>
        <v>0</v>
      </c>
      <c r="GH74" s="268">
        <f t="shared" si="251"/>
        <v>0</v>
      </c>
      <c r="GI74" s="137">
        <f t="shared" si="126"/>
        <v>65</v>
      </c>
      <c r="GJ74" s="269">
        <f t="shared" si="252"/>
        <v>0</v>
      </c>
      <c r="GK74" s="269">
        <f t="shared" si="253"/>
        <v>0</v>
      </c>
      <c r="GL74" s="163">
        <f t="shared" si="254"/>
        <v>0</v>
      </c>
      <c r="GM74" s="137">
        <f t="array" ref="GM74">IF(GJ74=0,0,LARGE(IF($GG$10:$GG$406=GJ74,$GF$10:$GF$406,0),COUNTIF($GJ$10:$GJ$406,GJ74)-COUNTIF(GJ$9:GJ73,GJ74)))</f>
        <v>0</v>
      </c>
      <c r="GN74" s="270">
        <f t="shared" si="255"/>
        <v>0</v>
      </c>
      <c r="GP74" s="137">
        <f>IF(C74="","",IF(ISERROR(MATCH(C74,C$10:C73,0)),MAX(GP$10:GP73)+1,INDEX(GP$10:GP73,MATCH(C74,C$10:C73,0))))</f>
        <v>55</v>
      </c>
      <c r="GQ74" s="264">
        <f>IF(COUNTIF($A$10:A74,A74)&lt;=1,SUMIF($A$10:$A$406,A74,$FH$10:$FH$406),0)</f>
        <v>5116017</v>
      </c>
      <c r="GR74" s="137">
        <f t="shared" si="130"/>
        <v>65</v>
      </c>
      <c r="GS74" s="269">
        <f t="shared" si="256"/>
        <v>4247877.1100000003</v>
      </c>
      <c r="GT74" s="269">
        <f t="shared" si="257"/>
        <v>50964284.172430128</v>
      </c>
      <c r="GU74" s="163">
        <f t="shared" si="258"/>
        <v>0</v>
      </c>
      <c r="GV74" s="137">
        <f t="array" ref="GV74">IF(GS74=0,0,LARGE(IF($GQ$10:$GQ$406=GS74,$GP$10:$GP$406,0),COUNTIF($GS$10:$GS$406,GS74)-COUNTIF(GS$9:GS73,GS74)))</f>
        <v>6</v>
      </c>
      <c r="GW74" s="270">
        <f t="shared" si="259"/>
        <v>0</v>
      </c>
      <c r="GX74" s="270"/>
      <c r="GY74" s="137">
        <f>IF(C74="","",IF(ISERROR(MATCH(C74,C$10:C73,0)),MAX(GP$10:GP73)+1,INDEX(GP$10:GP73,MATCH(C74,C$10:C73,0))))</f>
        <v>55</v>
      </c>
      <c r="GZ74" s="264">
        <f>IF(COUNTIF($A$10:A74,A74)&lt;=1,SUMIF($A$10:$A$406,A74,$FH$10:$FH$406),0)</f>
        <v>5116017</v>
      </c>
      <c r="HA74" s="137">
        <f t="shared" si="134"/>
        <v>65</v>
      </c>
      <c r="HB74" s="269">
        <f t="shared" si="260"/>
        <v>4247877.1100000003</v>
      </c>
      <c r="HC74" s="414" t="s">
        <v>622</v>
      </c>
      <c r="HD74" s="163">
        <f t="shared" si="261"/>
        <v>0</v>
      </c>
      <c r="HE74" s="137">
        <f t="array" ref="HE74">IF(HB74=0,0,LARGE(IF($GZ$10:$GZ$406=HB74,$GY$10:$GY$406,0),COUNTIF($HB$10:$HB$406,HB74)-COUNTIF(HB$9:HB73,HB74)))</f>
        <v>6</v>
      </c>
      <c r="HF74" s="270">
        <f t="shared" si="262"/>
        <v>0</v>
      </c>
      <c r="HG74"/>
      <c r="HH74" s="268">
        <f t="shared" si="263"/>
        <v>0</v>
      </c>
      <c r="HI74" s="271">
        <v>0</v>
      </c>
      <c r="HJ74" s="264">
        <f t="shared" si="264"/>
        <v>0</v>
      </c>
      <c r="HL74" s="137">
        <f t="shared" si="265"/>
        <v>65</v>
      </c>
      <c r="HM74" s="264">
        <f t="shared" si="300"/>
        <v>4147204.125</v>
      </c>
      <c r="HO74" s="199">
        <f t="shared" si="301"/>
        <v>5116017</v>
      </c>
      <c r="HP74" s="199">
        <f t="shared" si="302"/>
        <v>5116017</v>
      </c>
      <c r="HQ74" s="199" t="str">
        <f t="shared" si="303"/>
        <v/>
      </c>
      <c r="HR74" s="199" t="str">
        <f t="shared" si="304"/>
        <v/>
      </c>
      <c r="HS74" s="199" t="str">
        <f t="shared" si="119"/>
        <v/>
      </c>
      <c r="HT74" s="199" t="str">
        <f t="shared" si="305"/>
        <v/>
      </c>
      <c r="HU74" s="199" t="str">
        <f t="shared" si="306"/>
        <v/>
      </c>
      <c r="HV74" s="200">
        <f t="shared" si="307"/>
        <v>0</v>
      </c>
      <c r="HW74" s="272">
        <f t="shared" si="308"/>
        <v>1</v>
      </c>
      <c r="HX74" s="200" t="str">
        <f t="shared" si="309"/>
        <v/>
      </c>
      <c r="HY74" s="200">
        <f t="shared" si="310"/>
        <v>0</v>
      </c>
      <c r="HZ74" s="200" t="str">
        <f t="shared" si="4"/>
        <v/>
      </c>
      <c r="IA74" s="200" t="str">
        <f t="shared" si="311"/>
        <v/>
      </c>
      <c r="IB74" s="200" t="str">
        <f t="shared" si="312"/>
        <v/>
      </c>
      <c r="IC74" s="273">
        <f>IF(C74="","",INDEX(Lookups!$E$2:$E$69,MATCH('Loan List'!BE74,Lookups!$F$2:$F$69,0)))</f>
        <v>41</v>
      </c>
      <c r="ID74" t="b">
        <f t="shared" si="313"/>
        <v>1</v>
      </c>
      <c r="IF74" s="346" t="str">
        <f t="shared" si="121"/>
        <v>No Initial Haircut</v>
      </c>
    </row>
    <row r="75" spans="1:240">
      <c r="A75" t="s">
        <v>751</v>
      </c>
      <c r="B75" s="242">
        <f t="shared" si="149"/>
        <v>66</v>
      </c>
      <c r="C75" s="242">
        <f>IF(COUNTIF($A$10:A74,A75)&gt;0,C74,C74+1)</f>
        <v>56</v>
      </c>
      <c r="D75" s="431" t="s">
        <v>751</v>
      </c>
      <c r="E75" s="428" t="s">
        <v>826</v>
      </c>
      <c r="F75" s="429"/>
      <c r="G75" s="430">
        <v>4827814</v>
      </c>
      <c r="H75" s="430">
        <v>4827814</v>
      </c>
      <c r="I75" s="244">
        <f>IF(B75="","",VLOOKUP(BF75,Inputs!$A$12:$J$15,10,FALSE))</f>
        <v>1</v>
      </c>
      <c r="J75" s="245">
        <f t="shared" si="5"/>
        <v>4827814</v>
      </c>
      <c r="K75" s="245">
        <f t="shared" si="6"/>
        <v>4827814</v>
      </c>
      <c r="L75" s="245">
        <f t="shared" si="7"/>
        <v>4827814</v>
      </c>
      <c r="M75" s="245">
        <f t="shared" si="8"/>
        <v>4827814</v>
      </c>
      <c r="N75" s="246" t="s">
        <v>246</v>
      </c>
      <c r="O75" s="246" t="s">
        <v>245</v>
      </c>
      <c r="P75" s="247">
        <f>IF(B75="","",IF(OR(O75="N/A",O75=""),0,YEARFRAC('Borrowing Base'!$J$4,'Loan List'!O75)*12))</f>
        <v>0</v>
      </c>
      <c r="Q75" s="246" t="s">
        <v>246</v>
      </c>
      <c r="R75" s="248">
        <v>1</v>
      </c>
      <c r="S75" s="249" t="str">
        <f t="shared" si="1"/>
        <v>No</v>
      </c>
      <c r="T75" s="248">
        <v>1</v>
      </c>
      <c r="U75" s="250">
        <f t="shared" si="9"/>
        <v>0.5</v>
      </c>
      <c r="V75" s="250">
        <f t="shared" si="10"/>
        <v>0.72499999999999998</v>
      </c>
      <c r="W75" s="251">
        <f t="shared" ref="W75:W138" si="385">IF($C75="","",MIN($HP75:$HT75))</f>
        <v>4827814</v>
      </c>
      <c r="X75" s="246" t="s">
        <v>64</v>
      </c>
      <c r="Y75" s="252" t="s">
        <v>483</v>
      </c>
      <c r="Z75" s="252" t="s">
        <v>484</v>
      </c>
      <c r="AA75" s="253" t="s">
        <v>407</v>
      </c>
      <c r="AB75" s="253" t="s">
        <v>713</v>
      </c>
      <c r="AC75" s="254">
        <v>2.8512335451048587</v>
      </c>
      <c r="AD75" s="254">
        <v>1.9693141374438956</v>
      </c>
      <c r="AE75" s="254">
        <v>2.4149625329842621</v>
      </c>
      <c r="AF75" s="255">
        <v>0.41018223491923395</v>
      </c>
      <c r="AG75" s="256">
        <v>4</v>
      </c>
      <c r="AH75" s="256">
        <v>4</v>
      </c>
      <c r="AI75" s="256">
        <v>3.9202492235771995</v>
      </c>
      <c r="AJ75" s="256">
        <v>3.9202492235771995</v>
      </c>
      <c r="AK75" s="257">
        <v>25840000</v>
      </c>
      <c r="AL75" s="257">
        <v>41925995.753408335</v>
      </c>
      <c r="AM75" s="258">
        <v>45808</v>
      </c>
      <c r="AN75" s="245" t="str">
        <f t="shared" si="12"/>
        <v>Tier 2</v>
      </c>
      <c r="AO75" s="243">
        <v>46327</v>
      </c>
      <c r="AP75" s="259">
        <f>IF(C75="","",DAYS360(Inputs!$J$8,AO75)/360)</f>
        <v>1.1861111111111111</v>
      </c>
      <c r="AQ75" s="259">
        <f t="shared" si="13"/>
        <v>1.1861111111111111</v>
      </c>
      <c r="AR75" s="246" t="s">
        <v>246</v>
      </c>
      <c r="AS75" s="248">
        <v>0</v>
      </c>
      <c r="AT75" s="246" t="s">
        <v>246</v>
      </c>
      <c r="AU75" s="248" t="s">
        <v>487</v>
      </c>
      <c r="AV75" s="248">
        <v>4.7500000000000001E-2</v>
      </c>
      <c r="AW75" s="248">
        <v>4.2956000000000008E-2</v>
      </c>
      <c r="AX75" s="260">
        <f t="shared" si="14"/>
        <v>4.2956000000000008E-2</v>
      </c>
      <c r="AY75" s="248">
        <v>0</v>
      </c>
      <c r="AZ75" s="248">
        <v>0</v>
      </c>
      <c r="BA75" s="248">
        <v>0</v>
      </c>
      <c r="BB75" s="407">
        <f t="shared" si="15"/>
        <v>4.7500000000000001E-2</v>
      </c>
      <c r="BC75" s="407" t="str">
        <f t="shared" si="16"/>
        <v/>
      </c>
      <c r="BD75" s="252" t="s">
        <v>247</v>
      </c>
      <c r="BE75" s="261" t="s">
        <v>437</v>
      </c>
      <c r="BF75" s="252" t="s">
        <v>7</v>
      </c>
      <c r="BG75" s="252" t="s">
        <v>460</v>
      </c>
      <c r="BH75" s="246" t="s">
        <v>246</v>
      </c>
      <c r="BI75" s="408" t="str">
        <f t="shared" si="17"/>
        <v>No</v>
      </c>
      <c r="BJ75" s="408" t="str">
        <f t="shared" si="18"/>
        <v>No</v>
      </c>
      <c r="BK75" s="246" t="s">
        <v>246</v>
      </c>
      <c r="BL75" s="246" t="s">
        <v>246</v>
      </c>
      <c r="BM75" s="246" t="s">
        <v>64</v>
      </c>
      <c r="BN75" s="246" t="s">
        <v>64</v>
      </c>
      <c r="BO75" s="246" t="s">
        <v>246</v>
      </c>
      <c r="BP75" s="246" t="s">
        <v>246</v>
      </c>
      <c r="BQ75" s="246" t="s">
        <v>246</v>
      </c>
      <c r="BR75" s="246" t="s">
        <v>246</v>
      </c>
      <c r="BS75" s="246" t="s">
        <v>246</v>
      </c>
      <c r="BT75" s="246" t="s">
        <v>246</v>
      </c>
      <c r="BU75" s="246" t="s">
        <v>246</v>
      </c>
      <c r="BV75" s="246" t="s">
        <v>246</v>
      </c>
      <c r="BW75" s="246" t="s">
        <v>246</v>
      </c>
      <c r="BX75" s="246" t="s">
        <v>246</v>
      </c>
      <c r="BY75" s="246" t="s">
        <v>246</v>
      </c>
      <c r="BZ75" s="246" t="s">
        <v>246</v>
      </c>
      <c r="CA75" s="246" t="s">
        <v>246</v>
      </c>
      <c r="CB75" s="246" t="s">
        <v>64</v>
      </c>
      <c r="CC75" s="262">
        <f t="shared" si="19"/>
        <v>228035.03535040002</v>
      </c>
      <c r="CD75" s="262">
        <f t="shared" si="20"/>
        <v>0</v>
      </c>
      <c r="CE75" s="263"/>
      <c r="CF75" s="263">
        <f t="shared" si="150"/>
        <v>0</v>
      </c>
      <c r="CG75" s="263">
        <f t="shared" si="151"/>
        <v>0</v>
      </c>
      <c r="CH75" s="263">
        <f t="shared" si="152"/>
        <v>0</v>
      </c>
      <c r="CI75" s="263">
        <f t="shared" si="153"/>
        <v>0</v>
      </c>
      <c r="CJ75" s="263">
        <f t="shared" si="154"/>
        <v>0</v>
      </c>
      <c r="CK75" s="263">
        <f t="shared" si="155"/>
        <v>0</v>
      </c>
      <c r="CL75" s="263">
        <f t="shared" si="156"/>
        <v>0</v>
      </c>
      <c r="CM75" s="263">
        <f t="shared" si="157"/>
        <v>0</v>
      </c>
      <c r="CN75" s="263">
        <f t="shared" si="158"/>
        <v>0</v>
      </c>
      <c r="CO75" s="263">
        <f t="shared" si="159"/>
        <v>0</v>
      </c>
      <c r="CP75" s="263">
        <f t="shared" si="160"/>
        <v>0</v>
      </c>
      <c r="CQ75" s="263">
        <f t="shared" si="161"/>
        <v>0</v>
      </c>
      <c r="CR75" s="263">
        <f t="shared" si="162"/>
        <v>0</v>
      </c>
      <c r="CS75" s="263">
        <f t="shared" si="163"/>
        <v>0</v>
      </c>
      <c r="CT75" s="263">
        <f t="shared" si="164"/>
        <v>0</v>
      </c>
      <c r="CU75" s="263">
        <f t="shared" si="165"/>
        <v>0</v>
      </c>
      <c r="CV75" s="263">
        <f t="shared" si="166"/>
        <v>0</v>
      </c>
      <c r="CW75" s="263">
        <f t="shared" si="167"/>
        <v>0</v>
      </c>
      <c r="CX75" s="263">
        <f t="shared" si="168"/>
        <v>0</v>
      </c>
      <c r="CY75" s="263">
        <f t="shared" si="169"/>
        <v>0</v>
      </c>
      <c r="CZ75" s="263">
        <f t="shared" si="170"/>
        <v>0</v>
      </c>
      <c r="DA75" s="263">
        <f t="shared" si="171"/>
        <v>0</v>
      </c>
      <c r="DB75" s="263">
        <f t="shared" si="172"/>
        <v>0</v>
      </c>
      <c r="DC75" s="263">
        <f t="shared" si="173"/>
        <v>0</v>
      </c>
      <c r="DD75" s="263">
        <f t="shared" si="174"/>
        <v>0</v>
      </c>
      <c r="DE75" s="263">
        <f t="shared" si="175"/>
        <v>0</v>
      </c>
      <c r="DF75" s="263">
        <f t="shared" si="176"/>
        <v>4827814</v>
      </c>
      <c r="DG75" s="263">
        <f t="shared" si="177"/>
        <v>0</v>
      </c>
      <c r="DH75" s="263">
        <f t="shared" si="178"/>
        <v>4827814</v>
      </c>
      <c r="DI75" s="263">
        <f t="shared" si="179"/>
        <v>4827814</v>
      </c>
      <c r="DJ75" s="263">
        <f t="shared" si="180"/>
        <v>0</v>
      </c>
      <c r="DK75" s="263">
        <f t="shared" si="181"/>
        <v>0</v>
      </c>
      <c r="DL75" s="263">
        <f t="shared" si="182"/>
        <v>0</v>
      </c>
      <c r="DM75" s="263">
        <f t="shared" si="183"/>
        <v>0</v>
      </c>
      <c r="DO75" s="264">
        <f t="shared" si="184"/>
        <v>0</v>
      </c>
      <c r="DP75" s="265">
        <f t="shared" si="185"/>
        <v>0</v>
      </c>
      <c r="DQ75" s="264">
        <f t="shared" si="186"/>
        <v>4827814</v>
      </c>
      <c r="DR75" s="264">
        <f t="shared" si="187"/>
        <v>0</v>
      </c>
      <c r="DS75" s="265">
        <f t="shared" si="188"/>
        <v>0</v>
      </c>
      <c r="DT75" s="264">
        <f t="shared" si="189"/>
        <v>4827814</v>
      </c>
      <c r="DU75" s="264">
        <f t="shared" si="190"/>
        <v>0</v>
      </c>
      <c r="DV75" s="265">
        <f t="shared" si="191"/>
        <v>0</v>
      </c>
      <c r="DW75" s="264">
        <f t="shared" si="192"/>
        <v>4827814</v>
      </c>
      <c r="DX75" s="264">
        <f t="shared" si="193"/>
        <v>0</v>
      </c>
      <c r="DY75" s="265">
        <f t="shared" si="194"/>
        <v>0</v>
      </c>
      <c r="DZ75" s="264">
        <f t="shared" si="195"/>
        <v>4827814</v>
      </c>
      <c r="EA75" s="264">
        <f t="shared" si="196"/>
        <v>0</v>
      </c>
      <c r="EB75" s="265">
        <f t="shared" si="197"/>
        <v>0</v>
      </c>
      <c r="EC75" s="264">
        <f t="shared" si="198"/>
        <v>4827814</v>
      </c>
      <c r="ED75" s="264">
        <f t="shared" si="199"/>
        <v>0</v>
      </c>
      <c r="EE75" s="265">
        <f t="shared" si="200"/>
        <v>0</v>
      </c>
      <c r="EF75" s="264">
        <f t="shared" si="201"/>
        <v>4827814</v>
      </c>
      <c r="EG75" s="264">
        <f t="shared" si="202"/>
        <v>0</v>
      </c>
      <c r="EH75" s="265">
        <f t="shared" si="203"/>
        <v>0</v>
      </c>
      <c r="EI75" s="264">
        <f t="shared" si="204"/>
        <v>4827814</v>
      </c>
      <c r="EJ75" s="264">
        <f t="shared" si="205"/>
        <v>0</v>
      </c>
      <c r="EK75" s="265">
        <f t="shared" si="206"/>
        <v>0</v>
      </c>
      <c r="EL75" s="264">
        <f t="shared" si="207"/>
        <v>4827814</v>
      </c>
      <c r="EM75" s="264">
        <f t="shared" si="208"/>
        <v>0</v>
      </c>
      <c r="EN75" s="265">
        <f t="shared" si="209"/>
        <v>0</v>
      </c>
      <c r="EO75" s="264">
        <f t="shared" si="210"/>
        <v>4827814</v>
      </c>
      <c r="EP75" s="264">
        <f t="shared" si="211"/>
        <v>0</v>
      </c>
      <c r="EQ75" s="265">
        <f t="shared" si="212"/>
        <v>0</v>
      </c>
      <c r="ER75" s="264">
        <f t="shared" si="213"/>
        <v>4827814</v>
      </c>
      <c r="ES75" s="264">
        <f t="shared" si="214"/>
        <v>0</v>
      </c>
      <c r="ET75" s="265">
        <f t="shared" si="215"/>
        <v>0</v>
      </c>
      <c r="EU75" s="264">
        <f t="shared" si="216"/>
        <v>4827814</v>
      </c>
      <c r="EV75" s="264">
        <f>IF(AND(BM75="Yes",OR(BN75="No",AND(BN75="Yes",Inputs!$J$8=Inputs!$J$17+75))),EU75,0)</f>
        <v>0</v>
      </c>
      <c r="EW75" s="265">
        <f t="shared" si="217"/>
        <v>0</v>
      </c>
      <c r="EX75" s="264">
        <f t="shared" si="218"/>
        <v>4827814</v>
      </c>
      <c r="EY75" s="264">
        <f t="shared" si="219"/>
        <v>0</v>
      </c>
      <c r="EZ75" s="265">
        <f t="shared" si="220"/>
        <v>0</v>
      </c>
      <c r="FA75" s="264">
        <f t="shared" si="221"/>
        <v>4827814</v>
      </c>
      <c r="FB75" s="264">
        <f t="shared" si="222"/>
        <v>0</v>
      </c>
      <c r="FC75" s="265">
        <f t="shared" si="223"/>
        <v>0</v>
      </c>
      <c r="FD75" s="264">
        <f t="shared" si="224"/>
        <v>4827814</v>
      </c>
      <c r="FE75" s="264">
        <f t="shared" si="225"/>
        <v>0</v>
      </c>
      <c r="FF75" s="265">
        <f t="shared" si="226"/>
        <v>0</v>
      </c>
      <c r="FG75" s="264">
        <f t="shared" si="227"/>
        <v>4827814</v>
      </c>
      <c r="FH75" s="264">
        <f t="shared" si="228"/>
        <v>4827814</v>
      </c>
      <c r="FI75" s="264">
        <f t="shared" si="229"/>
        <v>0</v>
      </c>
      <c r="FJ75" s="264">
        <f t="shared" si="230"/>
        <v>4827814</v>
      </c>
      <c r="FK75" s="264">
        <f t="shared" si="231"/>
        <v>4827814</v>
      </c>
      <c r="FL75" s="264">
        <f t="shared" si="232"/>
        <v>0</v>
      </c>
      <c r="FM75" s="264">
        <f t="shared" si="233"/>
        <v>4827814</v>
      </c>
      <c r="FN75" s="264">
        <f t="shared" si="234"/>
        <v>4827814</v>
      </c>
      <c r="FO75" s="264">
        <f t="shared" si="235"/>
        <v>0</v>
      </c>
      <c r="FP75" s="264">
        <f t="shared" si="236"/>
        <v>4827814</v>
      </c>
      <c r="FQ75" s="264">
        <f t="shared" si="237"/>
        <v>0</v>
      </c>
      <c r="FR75" s="265">
        <f t="shared" si="238"/>
        <v>0</v>
      </c>
      <c r="FS75" s="264">
        <f t="shared" si="239"/>
        <v>4827814</v>
      </c>
      <c r="FT75" s="264">
        <f t="shared" si="240"/>
        <v>0</v>
      </c>
      <c r="FU75" s="265">
        <f t="shared" si="241"/>
        <v>0</v>
      </c>
      <c r="FV75" s="264">
        <f t="shared" si="242"/>
        <v>4827814</v>
      </c>
      <c r="FW75" s="264">
        <f t="shared" si="243"/>
        <v>0</v>
      </c>
      <c r="FX75" s="264">
        <f t="shared" si="244"/>
        <v>0</v>
      </c>
      <c r="FY75" s="264">
        <f t="shared" si="245"/>
        <v>0</v>
      </c>
      <c r="FZ75" s="264">
        <f t="shared" si="246"/>
        <v>0</v>
      </c>
      <c r="GA75" s="265">
        <f t="shared" si="296"/>
        <v>0</v>
      </c>
      <c r="GB75" s="264">
        <f t="shared" si="297"/>
        <v>4827814</v>
      </c>
      <c r="GC75" s="264">
        <f t="shared" si="247"/>
        <v>4827814</v>
      </c>
      <c r="GD75" s="266">
        <f t="shared" si="248"/>
        <v>3500165.15</v>
      </c>
      <c r="GE75" s="138">
        <f t="shared" si="249"/>
        <v>0.72499999999999998</v>
      </c>
      <c r="GF75" s="267">
        <f t="shared" si="250"/>
        <v>46</v>
      </c>
      <c r="GG75" s="264">
        <f t="array" ref="GG75">IF(SUM(IF(IC$9:IC74=IC75,1,0))&gt;0,0,SUMIF($IC$10:$IC$406,IC75,$FJ$10:$FJ$406))</f>
        <v>0</v>
      </c>
      <c r="GH75" s="268">
        <f t="shared" si="251"/>
        <v>0</v>
      </c>
      <c r="GI75" s="137">
        <f t="shared" si="126"/>
        <v>66</v>
      </c>
      <c r="GJ75" s="269">
        <f t="shared" si="252"/>
        <v>0</v>
      </c>
      <c r="GK75" s="269">
        <f t="shared" si="253"/>
        <v>0</v>
      </c>
      <c r="GL75" s="163">
        <f t="shared" si="254"/>
        <v>0</v>
      </c>
      <c r="GM75" s="137">
        <f t="array" ref="GM75">IF(GJ75=0,0,LARGE(IF($GG$10:$GG$406=GJ75,$GF$10:$GF$406,0),COUNTIF($GJ$10:$GJ$406,GJ75)-COUNTIF(GJ$9:GJ74,GJ75)))</f>
        <v>0</v>
      </c>
      <c r="GN75" s="270">
        <f t="shared" si="255"/>
        <v>0</v>
      </c>
      <c r="GP75" s="137">
        <f>IF(C75="","",IF(ISERROR(MATCH(C75,C$10:C74,0)),MAX(GP$10:GP74)+1,INDEX(GP$10:GP74,MATCH(C75,C$10:C74,0))))</f>
        <v>56</v>
      </c>
      <c r="GQ75" s="264">
        <f>IF(COUNTIF($A$10:A75,A75)&lt;=1,SUMIF($A$10:$A$406,A75,$FH$10:$FH$406),0)</f>
        <v>4827814</v>
      </c>
      <c r="GR75" s="137">
        <f t="shared" si="130"/>
        <v>66</v>
      </c>
      <c r="GS75" s="269">
        <f t="shared" si="256"/>
        <v>4147204.125</v>
      </c>
      <c r="GT75" s="269">
        <f t="shared" si="257"/>
        <v>50964284.172430128</v>
      </c>
      <c r="GU75" s="163">
        <f t="shared" si="258"/>
        <v>0</v>
      </c>
      <c r="GV75" s="137">
        <f t="array" ref="GV75">IF(GS75=0,0,LARGE(IF($GQ$10:$GQ$406=GS75,$GP$10:$GP$406,0),COUNTIF($GS$10:$GS$406,GS75)-COUNTIF(GS$9:GS74,GS75)))</f>
        <v>65</v>
      </c>
      <c r="GW75" s="270">
        <f t="shared" si="259"/>
        <v>0</v>
      </c>
      <c r="GX75" s="270"/>
      <c r="GY75" s="137">
        <f>IF(C75="","",IF(ISERROR(MATCH(C75,C$10:C74,0)),MAX(GP$10:GP74)+1,INDEX(GP$10:GP74,MATCH(C75,C$10:C74,0))))</f>
        <v>56</v>
      </c>
      <c r="GZ75" s="264">
        <f>IF(COUNTIF($A$10:A75,A75)&lt;=1,SUMIF($A$10:$A$406,A75,$FH$10:$FH$406),0)</f>
        <v>4827814</v>
      </c>
      <c r="HA75" s="137">
        <f t="shared" si="134"/>
        <v>66</v>
      </c>
      <c r="HB75" s="269">
        <f t="shared" si="260"/>
        <v>4147204.125</v>
      </c>
      <c r="HC75" s="414" t="s">
        <v>622</v>
      </c>
      <c r="HD75" s="163">
        <f t="shared" si="261"/>
        <v>0</v>
      </c>
      <c r="HE75" s="137">
        <f t="array" ref="HE75">IF(HB75=0,0,LARGE(IF($GZ$10:$GZ$406=HB75,$GY$10:$GY$406,0),COUNTIF($HB$10:$HB$406,HB75)-COUNTIF(HB$9:HB74,HB75)))</f>
        <v>65</v>
      </c>
      <c r="HF75" s="270">
        <f t="shared" si="262"/>
        <v>0</v>
      </c>
      <c r="HG75" s="270"/>
      <c r="HH75" s="268">
        <f t="shared" si="263"/>
        <v>0</v>
      </c>
      <c r="HI75" s="271">
        <v>0</v>
      </c>
      <c r="HJ75" s="264">
        <f t="shared" si="264"/>
        <v>0</v>
      </c>
      <c r="HL75" s="137">
        <f t="shared" si="265"/>
        <v>66</v>
      </c>
      <c r="HM75" s="264">
        <f t="shared" si="300"/>
        <v>7594713.0600500004</v>
      </c>
      <c r="HN75"/>
      <c r="HO75" s="199">
        <f t="shared" si="301"/>
        <v>4827814</v>
      </c>
      <c r="HP75" s="199">
        <f t="shared" si="302"/>
        <v>4827814</v>
      </c>
      <c r="HQ75" s="199" t="str">
        <f t="shared" si="303"/>
        <v/>
      </c>
      <c r="HR75" s="199" t="str">
        <f t="shared" si="304"/>
        <v/>
      </c>
      <c r="HS75" s="199" t="str">
        <f t="shared" si="119"/>
        <v/>
      </c>
      <c r="HT75" s="199" t="str">
        <f t="shared" si="305"/>
        <v/>
      </c>
      <c r="HU75" s="199" t="str">
        <f t="shared" si="306"/>
        <v/>
      </c>
      <c r="HV75" s="200">
        <f t="shared" si="307"/>
        <v>0</v>
      </c>
      <c r="HW75" s="272">
        <f t="shared" si="308"/>
        <v>1</v>
      </c>
      <c r="HX75" s="200" t="str">
        <f t="shared" si="309"/>
        <v/>
      </c>
      <c r="HY75" s="200">
        <f t="shared" si="310"/>
        <v>0</v>
      </c>
      <c r="HZ75" s="200" t="str">
        <f t="shared" si="4"/>
        <v/>
      </c>
      <c r="IA75" s="200" t="str">
        <f t="shared" si="311"/>
        <v/>
      </c>
      <c r="IB75" s="200" t="str">
        <f t="shared" si="312"/>
        <v/>
      </c>
      <c r="IC75" s="273">
        <f>IF(C75="","",INDEX(Lookups!$E$2:$E$69,MATCH('Loan List'!BE75,Lookups!$F$2:$F$69,0)))</f>
        <v>46</v>
      </c>
      <c r="ID75" t="b">
        <f t="shared" si="313"/>
        <v>1</v>
      </c>
      <c r="IF75" s="346" t="str">
        <f t="shared" si="121"/>
        <v>No Initial Haircut</v>
      </c>
    </row>
    <row r="76" spans="1:240">
      <c r="A76" t="s">
        <v>752</v>
      </c>
      <c r="B76" s="242">
        <f t="shared" si="149"/>
        <v>67</v>
      </c>
      <c r="C76" s="242">
        <f>IF(COUNTIF($A$10:A75,A76)&gt;0,C75,C75+1)</f>
        <v>57</v>
      </c>
      <c r="D76" s="431" t="s">
        <v>752</v>
      </c>
      <c r="E76" s="428" t="s">
        <v>827</v>
      </c>
      <c r="F76" s="429"/>
      <c r="G76" s="430">
        <v>818423</v>
      </c>
      <c r="H76" s="430">
        <v>818423</v>
      </c>
      <c r="I76" s="244">
        <f>IF(B76="","",VLOOKUP(BF76,Inputs!$A$12:$J$15,10,FALSE))</f>
        <v>1</v>
      </c>
      <c r="J76" s="245">
        <f t="shared" ref="J76" si="386">IF(B76="","",G76*I76)</f>
        <v>818423</v>
      </c>
      <c r="K76" s="245">
        <f t="shared" ref="K76" si="387">IF(B76="","",H76*I76)</f>
        <v>818423</v>
      </c>
      <c r="L76" s="245">
        <f t="shared" ref="L76" si="388">IF(B76="","",IF(COUNTIF($CF76:$CY76,1)&gt;0,0,J76))</f>
        <v>818423</v>
      </c>
      <c r="M76" s="245">
        <f t="shared" ref="M76" si="389">IF(B76="","",IF(COUNTIF($CF76:$CY76,1)&gt;0,0,K76))</f>
        <v>818423</v>
      </c>
      <c r="N76" s="246" t="s">
        <v>246</v>
      </c>
      <c r="O76" s="246" t="s">
        <v>245</v>
      </c>
      <c r="P76" s="247">
        <f>IF(B76="","",IF(OR(O76="N/A",O76=""),0,YEARFRAC('Borrowing Base'!$J$4,'Loan List'!O76)*12))</f>
        <v>0</v>
      </c>
      <c r="Q76" s="246" t="s">
        <v>246</v>
      </c>
      <c r="R76" s="248">
        <v>1.01</v>
      </c>
      <c r="S76" s="249" t="str">
        <f t="shared" ref="S76" si="390">IF(B76="","",IF(R76&lt;95%,"Yes","No"))</f>
        <v>No</v>
      </c>
      <c r="T76" s="248">
        <v>1.01</v>
      </c>
      <c r="U76" s="250">
        <f t="shared" ref="U76" si="391">IF(B76="","",IF(OR(Y76="First Lien",Y76="Split First Lien",Y76="Tier 1 Split Lien",Y76="Tier 2 Split Lien"),50%,30%))</f>
        <v>0.5</v>
      </c>
      <c r="V76" s="250">
        <f t="shared" ref="V76" si="392">IF(B76="",0,IF(AND(Y76="First Lien",AN76="Tier 1"),IF(AND(X76="Yes",MIN(AH76,$AJ$5)&gt;4.5),(((4.5/MIN(AH76,$AJ$5))*72.5%)+(((MIN(AH76,$AJ$5)-4.5)/MIN(AH76,$AJ$5))*35%)),72.5%),IF(AND(Y76="First Lien",AN76="Tier 2"),IF(AND(X76="Yes",MIN(AH76,$AK$5)&gt;4.5),(((4.5/MIN(AH76,$AK$5))*72.5%)+(((MIN(AH76,$AK$5)-4.5)/MIN(AH76,$AK$5))*35%)),72.5%),IF(AND(X76="Yes",MIN(AH76,$AL$5)&gt;4),(((4/MIN(AH76,$AL$5))*72.5%)+(((MIN(AH76,$AL$5)-4)/MIN(AH76,$AL$5))*35%)),IF(OR(Y76="First Lien",Y76="Split First Lien"),72.5%,IF(Y76="Split Lien", 53%,35%))))))</f>
        <v>0.72499999999999998</v>
      </c>
      <c r="W76" s="251">
        <f t="shared" si="385"/>
        <v>736580.70000000007</v>
      </c>
      <c r="X76" s="246" t="s">
        <v>246</v>
      </c>
      <c r="Y76" s="252" t="s">
        <v>483</v>
      </c>
      <c r="Z76" s="252" t="s">
        <v>484</v>
      </c>
      <c r="AA76" s="253" t="s">
        <v>407</v>
      </c>
      <c r="AB76" s="253" t="s">
        <v>407</v>
      </c>
      <c r="AC76" s="254">
        <v>1.59</v>
      </c>
      <c r="AD76" s="254">
        <v>1.59</v>
      </c>
      <c r="AE76" s="254">
        <v>1.75</v>
      </c>
      <c r="AF76" s="255">
        <v>0.35399999999999998</v>
      </c>
      <c r="AG76" s="256">
        <v>4.7699999999999996</v>
      </c>
      <c r="AH76" s="256">
        <v>4.7699999999999996</v>
      </c>
      <c r="AI76" s="256">
        <v>4.7699999999999996</v>
      </c>
      <c r="AJ76" s="256">
        <v>4.7699999999999996</v>
      </c>
      <c r="AK76" s="257">
        <v>24347132</v>
      </c>
      <c r="AL76" s="257">
        <v>24347132</v>
      </c>
      <c r="AM76" s="258">
        <v>45838</v>
      </c>
      <c r="AN76" s="245" t="str">
        <f t="shared" ref="AN76" si="393">IF(C76="","",(IF(AK76&gt;=50000000,"Tier 1",(IF(OR(AK76&gt;=20000000,AND(AK76&gt;5000000,AC76&gt;=1.25,AF76&lt;=0.65)),"Tier 2","Tier 3")))))</f>
        <v>Tier 2</v>
      </c>
      <c r="AO76" s="243">
        <v>47331</v>
      </c>
      <c r="AP76" s="259">
        <f>IF(C76="","",DAYS360(Inputs!$J$8,AO76)/360)</f>
        <v>3.9361111111111109</v>
      </c>
      <c r="AQ76" s="259">
        <f t="shared" ref="AQ76" si="394">IF(C76="","",AP76)</f>
        <v>3.9361111111111109</v>
      </c>
      <c r="AR76" s="246" t="s">
        <v>246</v>
      </c>
      <c r="AS76" s="248">
        <v>0</v>
      </c>
      <c r="AT76" s="246" t="s">
        <v>246</v>
      </c>
      <c r="AU76" s="248" t="s">
        <v>487</v>
      </c>
      <c r="AV76" s="248">
        <v>5.5E-2</v>
      </c>
      <c r="AW76" s="248">
        <v>4.2956000000000008E-2</v>
      </c>
      <c r="AX76" s="260">
        <f t="shared" ref="AX76" si="395">IF(C76="","",MAX(AU76,AW76))</f>
        <v>4.2956000000000008E-2</v>
      </c>
      <c r="AY76" s="248">
        <v>0</v>
      </c>
      <c r="AZ76" s="248">
        <v>0</v>
      </c>
      <c r="BA76" s="248">
        <v>0</v>
      </c>
      <c r="BB76" s="407">
        <f t="shared" ref="BB76" si="396">IF(B76="","",IF(AR76="No",AV76-AZ76,""))</f>
        <v>5.5E-2</v>
      </c>
      <c r="BC76" s="407" t="str">
        <f t="shared" ref="BC76" si="397">IF(B76="","",IF(AR76="Yes",AS76-BA76,""))</f>
        <v/>
      </c>
      <c r="BD76" s="252" t="s">
        <v>247</v>
      </c>
      <c r="BE76" s="261" t="s">
        <v>427</v>
      </c>
      <c r="BF76" s="252" t="s">
        <v>7</v>
      </c>
      <c r="BG76" s="252" t="s">
        <v>460</v>
      </c>
      <c r="BH76" s="246" t="s">
        <v>246</v>
      </c>
      <c r="BI76" s="408" t="str">
        <f t="shared" ref="BI76" si="398">IF(B76="","",IF(OR(AND(AZ76&gt;0,BB76&gt;=2.5%,BB76&lt;4%),AND(BA76&gt;0,BC76&gt;=6%,BC76&lt;8%)),"Yes","No"))</f>
        <v>No</v>
      </c>
      <c r="BJ76" s="408" t="str">
        <f t="shared" ref="BJ76" si="399">IF(B76="","",IF(OR(AND(AZ76&gt;0,BB76&lt;2.5%),AND(BA76&gt;0,BC76&lt;6%)),"Yes","No"))</f>
        <v>No</v>
      </c>
      <c r="BK76" s="246" t="s">
        <v>246</v>
      </c>
      <c r="BL76" s="246" t="s">
        <v>246</v>
      </c>
      <c r="BM76" s="246" t="s">
        <v>64</v>
      </c>
      <c r="BN76" s="246" t="s">
        <v>64</v>
      </c>
      <c r="BO76" s="246" t="s">
        <v>246</v>
      </c>
      <c r="BP76" s="246" t="s">
        <v>246</v>
      </c>
      <c r="BQ76" s="246" t="s">
        <v>246</v>
      </c>
      <c r="BR76" s="246" t="s">
        <v>246</v>
      </c>
      <c r="BS76" s="246" t="s">
        <v>246</v>
      </c>
      <c r="BT76" s="246" t="s">
        <v>246</v>
      </c>
      <c r="BU76" s="246" t="s">
        <v>246</v>
      </c>
      <c r="BV76" s="246" t="s">
        <v>246</v>
      </c>
      <c r="BW76" s="246" t="s">
        <v>246</v>
      </c>
      <c r="BX76" s="246" t="s">
        <v>246</v>
      </c>
      <c r="BY76" s="246" t="s">
        <v>246</v>
      </c>
      <c r="BZ76" s="246" t="s">
        <v>246</v>
      </c>
      <c r="CA76" s="246" t="s">
        <v>246</v>
      </c>
      <c r="CB76" s="246" t="s">
        <v>64</v>
      </c>
      <c r="CC76" s="262">
        <f t="shared" ref="CC76" si="400">IF(B76="","",IF(AT76="No",((BB76+AW76)-$AZ$4),((BB76+AX76)-$AZ$4))*IF(DE76&gt;0,0,M76))</f>
        <v>44795.237112800009</v>
      </c>
      <c r="CD76" s="262">
        <f t="shared" ref="CD76" si="401">IF(B76="","",AY76*(L76-M76)*IF(DE76&gt;0,0,1))</f>
        <v>0</v>
      </c>
      <c r="CE76" s="263"/>
      <c r="CF76" s="263">
        <f t="shared" si="150"/>
        <v>0</v>
      </c>
      <c r="CG76" s="263">
        <f t="shared" si="151"/>
        <v>0</v>
      </c>
      <c r="CH76" s="263">
        <f t="shared" si="152"/>
        <v>0</v>
      </c>
      <c r="CI76" s="263">
        <f t="shared" si="153"/>
        <v>0</v>
      </c>
      <c r="CJ76" s="263">
        <f t="shared" si="154"/>
        <v>0</v>
      </c>
      <c r="CK76" s="263">
        <f t="shared" si="155"/>
        <v>0</v>
      </c>
      <c r="CL76" s="263">
        <f t="shared" si="156"/>
        <v>0</v>
      </c>
      <c r="CM76" s="263">
        <f t="shared" si="157"/>
        <v>0</v>
      </c>
      <c r="CN76" s="263">
        <f t="shared" si="158"/>
        <v>0</v>
      </c>
      <c r="CO76" s="263">
        <f t="shared" si="159"/>
        <v>0</v>
      </c>
      <c r="CP76" s="263">
        <f t="shared" si="160"/>
        <v>0</v>
      </c>
      <c r="CQ76" s="263">
        <f t="shared" si="161"/>
        <v>0</v>
      </c>
      <c r="CR76" s="263">
        <f t="shared" si="162"/>
        <v>0</v>
      </c>
      <c r="CS76" s="263">
        <f t="shared" si="163"/>
        <v>0</v>
      </c>
      <c r="CT76" s="263">
        <f t="shared" si="164"/>
        <v>0</v>
      </c>
      <c r="CU76" s="263">
        <f t="shared" si="165"/>
        <v>0</v>
      </c>
      <c r="CV76" s="263">
        <f t="shared" si="166"/>
        <v>0</v>
      </c>
      <c r="CW76" s="263">
        <f t="shared" si="167"/>
        <v>0</v>
      </c>
      <c r="CX76" s="263">
        <f t="shared" si="168"/>
        <v>0</v>
      </c>
      <c r="CY76" s="263">
        <f t="shared" si="169"/>
        <v>0</v>
      </c>
      <c r="CZ76" s="263">
        <f t="shared" si="170"/>
        <v>0</v>
      </c>
      <c r="DA76" s="263">
        <f t="shared" si="171"/>
        <v>1</v>
      </c>
      <c r="DB76" s="263">
        <f t="shared" si="172"/>
        <v>0</v>
      </c>
      <c r="DC76" s="263">
        <f t="shared" si="173"/>
        <v>0</v>
      </c>
      <c r="DD76" s="263">
        <f t="shared" si="174"/>
        <v>0</v>
      </c>
      <c r="DE76" s="263">
        <f t="shared" si="175"/>
        <v>0</v>
      </c>
      <c r="DF76" s="263">
        <f t="shared" si="176"/>
        <v>736580.70000000007</v>
      </c>
      <c r="DG76" s="263">
        <f t="shared" si="177"/>
        <v>0</v>
      </c>
      <c r="DH76" s="263">
        <f t="shared" si="178"/>
        <v>736580.70000000007</v>
      </c>
      <c r="DI76" s="263">
        <f t="shared" si="179"/>
        <v>818423</v>
      </c>
      <c r="DJ76" s="263">
        <f t="shared" si="180"/>
        <v>0</v>
      </c>
      <c r="DK76" s="263">
        <f t="shared" si="181"/>
        <v>0</v>
      </c>
      <c r="DL76" s="263">
        <f t="shared" si="182"/>
        <v>0</v>
      </c>
      <c r="DM76" s="263">
        <f t="shared" si="183"/>
        <v>0</v>
      </c>
      <c r="DO76" s="264">
        <f t="shared" si="184"/>
        <v>0</v>
      </c>
      <c r="DP76" s="265">
        <f t="shared" si="185"/>
        <v>0</v>
      </c>
      <c r="DQ76" s="264">
        <f t="shared" si="186"/>
        <v>736580.70000000007</v>
      </c>
      <c r="DR76" s="264">
        <f t="shared" si="187"/>
        <v>0</v>
      </c>
      <c r="DS76" s="265">
        <f t="shared" si="188"/>
        <v>0</v>
      </c>
      <c r="DT76" s="264">
        <f t="shared" si="189"/>
        <v>736580.70000000007</v>
      </c>
      <c r="DU76" s="264">
        <f t="shared" si="190"/>
        <v>0</v>
      </c>
      <c r="DV76" s="265">
        <f t="shared" si="191"/>
        <v>0</v>
      </c>
      <c r="DW76" s="264">
        <f t="shared" si="192"/>
        <v>736580.70000000007</v>
      </c>
      <c r="DX76" s="264">
        <f t="shared" si="193"/>
        <v>0</v>
      </c>
      <c r="DY76" s="265">
        <f t="shared" si="194"/>
        <v>0</v>
      </c>
      <c r="DZ76" s="264">
        <f t="shared" si="195"/>
        <v>736580.70000000007</v>
      </c>
      <c r="EA76" s="264">
        <f t="shared" si="196"/>
        <v>0</v>
      </c>
      <c r="EB76" s="265">
        <f t="shared" si="197"/>
        <v>0</v>
      </c>
      <c r="EC76" s="264">
        <f t="shared" si="198"/>
        <v>736580.70000000007</v>
      </c>
      <c r="ED76" s="264">
        <f t="shared" si="199"/>
        <v>0</v>
      </c>
      <c r="EE76" s="265">
        <f t="shared" si="200"/>
        <v>0</v>
      </c>
      <c r="EF76" s="264">
        <f t="shared" si="201"/>
        <v>736580.70000000007</v>
      </c>
      <c r="EG76" s="264">
        <f t="shared" si="202"/>
        <v>0</v>
      </c>
      <c r="EH76" s="265">
        <f t="shared" si="203"/>
        <v>0</v>
      </c>
      <c r="EI76" s="264">
        <f t="shared" si="204"/>
        <v>736580.70000000007</v>
      </c>
      <c r="EJ76" s="264">
        <f t="shared" si="205"/>
        <v>0</v>
      </c>
      <c r="EK76" s="265">
        <f t="shared" si="206"/>
        <v>0</v>
      </c>
      <c r="EL76" s="264">
        <f t="shared" si="207"/>
        <v>736580.70000000007</v>
      </c>
      <c r="EM76" s="264">
        <f t="shared" si="208"/>
        <v>0</v>
      </c>
      <c r="EN76" s="265">
        <f t="shared" si="209"/>
        <v>0</v>
      </c>
      <c r="EO76" s="264">
        <f t="shared" si="210"/>
        <v>736580.70000000007</v>
      </c>
      <c r="EP76" s="264">
        <f t="shared" si="211"/>
        <v>0</v>
      </c>
      <c r="EQ76" s="265">
        <f t="shared" si="212"/>
        <v>0</v>
      </c>
      <c r="ER76" s="264">
        <f t="shared" si="213"/>
        <v>736580.70000000007</v>
      </c>
      <c r="ES76" s="264">
        <f t="shared" si="214"/>
        <v>0</v>
      </c>
      <c r="ET76" s="265">
        <f t="shared" si="215"/>
        <v>0</v>
      </c>
      <c r="EU76" s="264">
        <f t="shared" si="216"/>
        <v>736580.70000000007</v>
      </c>
      <c r="EV76" s="264">
        <f>IF(AND(BM76="Yes",OR(BN76="No",AND(BN76="Yes",Inputs!$J$8=Inputs!$J$17+75))),EU76,0)</f>
        <v>0</v>
      </c>
      <c r="EW76" s="265">
        <f t="shared" si="217"/>
        <v>0</v>
      </c>
      <c r="EX76" s="264">
        <f t="shared" si="218"/>
        <v>736580.70000000007</v>
      </c>
      <c r="EY76" s="264">
        <f t="shared" si="219"/>
        <v>0</v>
      </c>
      <c r="EZ76" s="265">
        <f t="shared" si="220"/>
        <v>0</v>
      </c>
      <c r="FA76" s="264">
        <f t="shared" si="221"/>
        <v>736580.70000000007</v>
      </c>
      <c r="FB76" s="264">
        <f t="shared" si="222"/>
        <v>0</v>
      </c>
      <c r="FC76" s="265">
        <f t="shared" si="223"/>
        <v>0</v>
      </c>
      <c r="FD76" s="264">
        <f t="shared" si="224"/>
        <v>736580.70000000007</v>
      </c>
      <c r="FE76" s="264">
        <f t="shared" si="225"/>
        <v>0</v>
      </c>
      <c r="FF76" s="265">
        <f t="shared" si="226"/>
        <v>0</v>
      </c>
      <c r="FG76" s="264">
        <f t="shared" si="227"/>
        <v>736580.70000000007</v>
      </c>
      <c r="FH76" s="264">
        <f t="shared" si="228"/>
        <v>736580.70000000007</v>
      </c>
      <c r="FI76" s="264">
        <f t="shared" si="229"/>
        <v>0</v>
      </c>
      <c r="FJ76" s="264">
        <f t="shared" si="230"/>
        <v>736580.70000000007</v>
      </c>
      <c r="FK76" s="264">
        <f t="shared" si="231"/>
        <v>736580.70000000007</v>
      </c>
      <c r="FL76" s="264">
        <f t="shared" si="232"/>
        <v>0</v>
      </c>
      <c r="FM76" s="264">
        <f t="shared" si="233"/>
        <v>736580.70000000007</v>
      </c>
      <c r="FN76" s="264">
        <f t="shared" si="234"/>
        <v>736580.70000000007</v>
      </c>
      <c r="FO76" s="264">
        <f t="shared" si="235"/>
        <v>0</v>
      </c>
      <c r="FP76" s="264">
        <f t="shared" si="236"/>
        <v>736580.70000000007</v>
      </c>
      <c r="FQ76" s="264">
        <f t="shared" si="237"/>
        <v>0</v>
      </c>
      <c r="FR76" s="265">
        <f t="shared" si="238"/>
        <v>0</v>
      </c>
      <c r="FS76" s="264">
        <f t="shared" si="239"/>
        <v>736580.70000000007</v>
      </c>
      <c r="FT76" s="264">
        <f t="shared" si="240"/>
        <v>0</v>
      </c>
      <c r="FU76" s="265">
        <f t="shared" si="241"/>
        <v>0</v>
      </c>
      <c r="FV76" s="264">
        <f t="shared" si="242"/>
        <v>736580.70000000007</v>
      </c>
      <c r="FW76" s="264">
        <f t="shared" si="243"/>
        <v>0</v>
      </c>
      <c r="FX76" s="264">
        <f t="shared" si="244"/>
        <v>0</v>
      </c>
      <c r="FY76" s="264">
        <f t="shared" si="245"/>
        <v>0</v>
      </c>
      <c r="FZ76" s="264">
        <f t="shared" si="246"/>
        <v>0</v>
      </c>
      <c r="GA76" s="265">
        <f t="shared" si="296"/>
        <v>0</v>
      </c>
      <c r="GB76" s="264">
        <f t="shared" si="297"/>
        <v>736580.70000000007</v>
      </c>
      <c r="GC76" s="264">
        <f t="shared" si="247"/>
        <v>736580.70000000007</v>
      </c>
      <c r="GD76" s="266">
        <f t="shared" si="248"/>
        <v>534021.00750000007</v>
      </c>
      <c r="GE76" s="138">
        <f t="shared" si="249"/>
        <v>0.65250000000000008</v>
      </c>
      <c r="GF76" s="267">
        <f t="shared" si="250"/>
        <v>41</v>
      </c>
      <c r="GG76" s="264">
        <f t="array" ref="GG76">IF(SUM(IF(IC$9:IC75=IC76,1,0))&gt;0,0,SUMIF($IC$10:$IC$406,IC76,$FJ$10:$FJ$406))</f>
        <v>0</v>
      </c>
      <c r="GH76" s="268">
        <f t="shared" si="251"/>
        <v>0</v>
      </c>
      <c r="GI76" s="137">
        <f t="shared" si="126"/>
        <v>67</v>
      </c>
      <c r="GJ76" s="269">
        <f t="shared" si="252"/>
        <v>0</v>
      </c>
      <c r="GK76" s="269">
        <f t="shared" si="253"/>
        <v>0</v>
      </c>
      <c r="GL76" s="163">
        <f t="shared" si="254"/>
        <v>0</v>
      </c>
      <c r="GM76" s="137">
        <f t="array" ref="GM76">IF(GJ76=0,0,LARGE(IF($GG$10:$GG$406=GJ76,$GF$10:$GF$406,0),COUNTIF($GJ$10:$GJ$406,GJ76)-COUNTIF(GJ$9:GJ75,GJ76)))</f>
        <v>0</v>
      </c>
      <c r="GN76" s="270">
        <f t="shared" si="255"/>
        <v>0</v>
      </c>
      <c r="GP76" s="137">
        <f>IF(C76="","",IF(ISERROR(MATCH(C76,C$10:C75,0)),MAX(GP$10:GP75)+1,INDEX(GP$10:GP75,MATCH(C76,C$10:C75,0))))</f>
        <v>57</v>
      </c>
      <c r="GQ76" s="264">
        <f>IF(COUNTIF($A$10:A76,A76)&lt;=1,SUMIF($A$10:$A$406,A76,$FH$10:$FH$406),0)</f>
        <v>736580.70000000007</v>
      </c>
      <c r="GR76" s="137">
        <f t="shared" si="130"/>
        <v>67</v>
      </c>
      <c r="GS76" s="269">
        <f t="shared" si="256"/>
        <v>3963790.73</v>
      </c>
      <c r="GT76" s="269">
        <f t="shared" si="257"/>
        <v>50964284.172430128</v>
      </c>
      <c r="GU76" s="163">
        <f t="shared" si="258"/>
        <v>0</v>
      </c>
      <c r="GV76" s="137">
        <f t="array" ref="GV76">IF(GS76=0,0,LARGE(IF($GQ$10:$GQ$406=GS76,$GP$10:$GP$406,0),COUNTIF($GS$10:$GS$406,GS76)-COUNTIF(GS$9:GS75,GS76)))</f>
        <v>116</v>
      </c>
      <c r="GW76" s="270">
        <f t="shared" si="259"/>
        <v>0</v>
      </c>
      <c r="GX76" s="270"/>
      <c r="GY76" s="137">
        <f>IF(C76="","",IF(ISERROR(MATCH(C76,C$10:C75,0)),MAX(GP$10:GP75)+1,INDEX(GP$10:GP75,MATCH(C76,C$10:C75,0))))</f>
        <v>57</v>
      </c>
      <c r="GZ76" s="264">
        <f>IF(COUNTIF($A$10:A76,A76)&lt;=1,SUMIF($A$10:$A$406,A76,$FH$10:$FH$406),0)</f>
        <v>736580.70000000007</v>
      </c>
      <c r="HA76" s="137">
        <f t="shared" si="134"/>
        <v>67</v>
      </c>
      <c r="HB76" s="269">
        <f t="shared" si="260"/>
        <v>3963790.73</v>
      </c>
      <c r="HC76" s="414" t="s">
        <v>622</v>
      </c>
      <c r="HD76" s="163">
        <f t="shared" si="261"/>
        <v>0</v>
      </c>
      <c r="HE76" s="137">
        <f t="array" ref="HE76">IF(HB76=0,0,LARGE(IF($GZ$10:$GZ$406=HB76,$GY$10:$GY$406,0),COUNTIF($HB$10:$HB$406,HB76)-COUNTIF(HB$9:HB75,HB76)))</f>
        <v>116</v>
      </c>
      <c r="HF76" s="270">
        <f t="shared" si="262"/>
        <v>0</v>
      </c>
      <c r="HG76" s="270"/>
      <c r="HH76" s="268">
        <f t="shared" si="263"/>
        <v>0</v>
      </c>
      <c r="HI76" s="271">
        <v>0</v>
      </c>
      <c r="HJ76" s="264">
        <f t="shared" si="264"/>
        <v>0</v>
      </c>
      <c r="HL76" s="137">
        <f t="shared" si="265"/>
        <v>67</v>
      </c>
      <c r="HM76" s="264">
        <f t="shared" si="300"/>
        <v>760638.88</v>
      </c>
      <c r="HN76"/>
      <c r="HO76" s="199">
        <f t="shared" si="301"/>
        <v>736580.70000000007</v>
      </c>
      <c r="HP76" s="199">
        <f t="shared" si="302"/>
        <v>818423</v>
      </c>
      <c r="HQ76" s="199" t="str">
        <f t="shared" si="303"/>
        <v/>
      </c>
      <c r="HR76" s="199" t="str">
        <f t="shared" si="304"/>
        <v/>
      </c>
      <c r="HS76" s="199" t="str">
        <f t="shared" si="119"/>
        <v/>
      </c>
      <c r="HT76" s="199">
        <f t="shared" si="305"/>
        <v>736580.70000000007</v>
      </c>
      <c r="HU76" s="199" t="str">
        <f t="shared" si="306"/>
        <v/>
      </c>
      <c r="HV76" s="200">
        <f t="shared" si="307"/>
        <v>0</v>
      </c>
      <c r="HW76" s="272" t="str">
        <f t="shared" si="308"/>
        <v/>
      </c>
      <c r="HX76" s="200">
        <f t="shared" si="309"/>
        <v>0</v>
      </c>
      <c r="HY76" s="200">
        <f t="shared" si="310"/>
        <v>736580.70000000007</v>
      </c>
      <c r="HZ76" s="200">
        <f t="shared" si="4"/>
        <v>0</v>
      </c>
      <c r="IA76" s="200">
        <f t="shared" si="311"/>
        <v>0</v>
      </c>
      <c r="IB76" s="200">
        <f t="shared" si="312"/>
        <v>0</v>
      </c>
      <c r="IC76" s="273">
        <f>IF(C76="","",INDEX(Lookups!$E$2:$E$69,MATCH('Loan List'!BE76,Lookups!$F$2:$F$69,0)))</f>
        <v>41</v>
      </c>
      <c r="ID76" t="b">
        <f t="shared" si="313"/>
        <v>1</v>
      </c>
      <c r="IF76" s="346">
        <f t="shared" si="121"/>
        <v>0.9</v>
      </c>
    </row>
    <row r="77" spans="1:240">
      <c r="A77" t="s">
        <v>753</v>
      </c>
      <c r="B77" s="242">
        <f t="shared" ref="B77:B83" si="402">IF(D77="","",B76+1)</f>
        <v>68</v>
      </c>
      <c r="C77" s="242">
        <f>IF(COUNTIF($A$10:A76,A77)&gt;0,C76,C76+1)</f>
        <v>58</v>
      </c>
      <c r="D77" s="431" t="s">
        <v>753</v>
      </c>
      <c r="E77" s="428" t="s">
        <v>828</v>
      </c>
      <c r="F77" s="429"/>
      <c r="G77" s="430">
        <v>3931184</v>
      </c>
      <c r="H77" s="430">
        <v>3931184</v>
      </c>
      <c r="I77" s="244">
        <f>IF(B77="","",VLOOKUP(BF77,Inputs!$A$12:$J$15,10,FALSE))</f>
        <v>1</v>
      </c>
      <c r="J77" s="245">
        <f t="shared" si="5"/>
        <v>3931184</v>
      </c>
      <c r="K77" s="245">
        <f t="shared" si="6"/>
        <v>3931184</v>
      </c>
      <c r="L77" s="245">
        <f t="shared" si="7"/>
        <v>3931184</v>
      </c>
      <c r="M77" s="245">
        <f t="shared" si="8"/>
        <v>3931184</v>
      </c>
      <c r="N77" s="246" t="s">
        <v>246</v>
      </c>
      <c r="O77" s="246" t="s">
        <v>245</v>
      </c>
      <c r="P77" s="247">
        <f>IF(B77="","",IF(OR(O77="N/A",O77=""),0,YEARFRAC('Borrowing Base'!$J$4,'Loan List'!O77)*12))</f>
        <v>0</v>
      </c>
      <c r="Q77" s="246" t="s">
        <v>246</v>
      </c>
      <c r="R77" s="248">
        <v>0.94000000000000006</v>
      </c>
      <c r="S77" s="249" t="str">
        <f t="shared" si="1"/>
        <v>Yes</v>
      </c>
      <c r="T77" s="248">
        <v>0.94</v>
      </c>
      <c r="U77" s="250">
        <f t="shared" si="9"/>
        <v>0.5</v>
      </c>
      <c r="V77" s="250">
        <f t="shared" si="10"/>
        <v>0.72499999999999998</v>
      </c>
      <c r="W77" s="251">
        <f t="shared" si="385"/>
        <v>3538065.6</v>
      </c>
      <c r="X77" s="246" t="s">
        <v>246</v>
      </c>
      <c r="Y77" s="252" t="s">
        <v>483</v>
      </c>
      <c r="Z77" s="252" t="s">
        <v>484</v>
      </c>
      <c r="AA77" s="253" t="s">
        <v>407</v>
      </c>
      <c r="AB77" s="253" t="s">
        <v>407</v>
      </c>
      <c r="AC77" s="254">
        <v>1.59</v>
      </c>
      <c r="AD77" s="254">
        <v>1.59</v>
      </c>
      <c r="AE77" s="254">
        <v>1.75</v>
      </c>
      <c r="AF77" s="255">
        <v>0.35399999999999998</v>
      </c>
      <c r="AG77" s="256">
        <v>4.7699999999999996</v>
      </c>
      <c r="AH77" s="256">
        <v>4.7699999999999996</v>
      </c>
      <c r="AI77" s="256">
        <v>4.7699999999999996</v>
      </c>
      <c r="AJ77" s="256">
        <v>4.7699999999999996</v>
      </c>
      <c r="AK77" s="257">
        <v>24347132</v>
      </c>
      <c r="AL77" s="257">
        <v>24347132</v>
      </c>
      <c r="AM77" s="258">
        <v>45838</v>
      </c>
      <c r="AN77" s="245" t="str">
        <f t="shared" si="12"/>
        <v>Tier 2</v>
      </c>
      <c r="AO77" s="243">
        <v>46700</v>
      </c>
      <c r="AP77" s="259">
        <f>IF(C77="","",DAYS360(Inputs!$J$8,AO77)/360)</f>
        <v>2.2083333333333335</v>
      </c>
      <c r="AQ77" s="259">
        <f t="shared" si="13"/>
        <v>2.2083333333333335</v>
      </c>
      <c r="AR77" s="246" t="s">
        <v>246</v>
      </c>
      <c r="AS77" s="248">
        <v>0</v>
      </c>
      <c r="AT77" s="246" t="s">
        <v>64</v>
      </c>
      <c r="AU77" s="248">
        <v>0.01</v>
      </c>
      <c r="AV77" s="248">
        <v>5.5E-2</v>
      </c>
      <c r="AW77" s="248">
        <v>4.2999999999999997E-2</v>
      </c>
      <c r="AX77" s="260">
        <f t="shared" si="14"/>
        <v>4.2999999999999997E-2</v>
      </c>
      <c r="AY77" s="248">
        <v>0</v>
      </c>
      <c r="AZ77" s="248">
        <v>0</v>
      </c>
      <c r="BA77" s="248">
        <v>0</v>
      </c>
      <c r="BB77" s="407">
        <f t="shared" si="15"/>
        <v>5.5E-2</v>
      </c>
      <c r="BC77" s="407" t="str">
        <f t="shared" si="16"/>
        <v/>
      </c>
      <c r="BD77" s="252" t="s">
        <v>247</v>
      </c>
      <c r="BE77" s="261" t="s">
        <v>427</v>
      </c>
      <c r="BF77" s="252" t="s">
        <v>7</v>
      </c>
      <c r="BG77" s="252" t="s">
        <v>460</v>
      </c>
      <c r="BH77" s="246" t="s">
        <v>246</v>
      </c>
      <c r="BI77" s="408" t="str">
        <f t="shared" si="17"/>
        <v>No</v>
      </c>
      <c r="BJ77" s="408" t="str">
        <f t="shared" si="18"/>
        <v>No</v>
      </c>
      <c r="BK77" s="246" t="s">
        <v>246</v>
      </c>
      <c r="BL77" s="246" t="s">
        <v>246</v>
      </c>
      <c r="BM77" s="246" t="s">
        <v>64</v>
      </c>
      <c r="BN77" s="246" t="s">
        <v>64</v>
      </c>
      <c r="BO77" s="246" t="s">
        <v>246</v>
      </c>
      <c r="BP77" s="246" t="s">
        <v>246</v>
      </c>
      <c r="BQ77" s="246" t="s">
        <v>246</v>
      </c>
      <c r="BR77" s="246" t="s">
        <v>246</v>
      </c>
      <c r="BS77" s="246" t="s">
        <v>246</v>
      </c>
      <c r="BT77" s="246" t="s">
        <v>246</v>
      </c>
      <c r="BU77" s="246" t="s">
        <v>246</v>
      </c>
      <c r="BV77" s="246" t="s">
        <v>246</v>
      </c>
      <c r="BW77" s="246" t="s">
        <v>246</v>
      </c>
      <c r="BX77" s="246" t="s">
        <v>246</v>
      </c>
      <c r="BY77" s="246" t="s">
        <v>246</v>
      </c>
      <c r="BZ77" s="246" t="s">
        <v>246</v>
      </c>
      <c r="CA77" s="246" t="s">
        <v>246</v>
      </c>
      <c r="CB77" s="246" t="s">
        <v>64</v>
      </c>
      <c r="CC77" s="262">
        <f t="shared" si="19"/>
        <v>215340.82467840001</v>
      </c>
      <c r="CD77" s="262">
        <f t="shared" si="20"/>
        <v>0</v>
      </c>
      <c r="CE77" s="263"/>
      <c r="CF77" s="263">
        <f t="shared" ref="CF77:CF140" si="403">IF(AND(B77&lt;&gt;"",R77&lt;=85%),1,0)</f>
        <v>0</v>
      </c>
      <c r="CG77" s="263">
        <f t="shared" ref="CG77:CG140" si="404">IF(B77="",0,(IF(OR(BF77="USD",BF77="CAD",BF77="GBP",BF77="AUD",BF77="EUR"),0,1)))</f>
        <v>0</v>
      </c>
      <c r="CH77" s="263">
        <f t="shared" ref="CH77:CH140" si="405">IF(B77="",0,(IF(OR(BG77="United States",BG77="Canada",BG77="United Kingdom",BG77="Australia",BG77="Netherlands Antilles",BG77="Bermuda",BG77="Cayman Islands",BG77="British Virgin Islands",BG77="Channel Islands",BG77="Isle of Man",BG77="Australia",BG77="Netherlands",BG77="Germany",BG77="Sweden",BG77="Switzerland",BG77="Austria",BG77="Belgium",BG77="Denmark",BG77="Finland",BG77="Iceland",BG77="Ireland",BG77="Lichtenstein",BG77="Luxemborg",BG77="Norway"),0,1)))</f>
        <v>0</v>
      </c>
      <c r="CI77" s="263">
        <f t="shared" ref="CI77:CI140" si="406">IF(BO77="Yes",1,0)</f>
        <v>0</v>
      </c>
      <c r="CJ77" s="263">
        <f t="shared" ref="CJ77:CJ140" si="407">IF(BP77="Yes",1,0)</f>
        <v>0</v>
      </c>
      <c r="CK77" s="263">
        <f t="shared" ref="CK77:CK140" si="408">IF(BQ77="Yes",1,0)</f>
        <v>0</v>
      </c>
      <c r="CL77" s="263">
        <f t="shared" ref="CL77:CL140" si="409">IF(BR77="Yes",1,0)</f>
        <v>0</v>
      </c>
      <c r="CM77" s="263">
        <f t="shared" ref="CM77:CM140" si="410">IF(BS77="Yes",1,0)</f>
        <v>0</v>
      </c>
      <c r="CN77" s="263">
        <f t="shared" ref="CN77:CN140" si="411">IF(BT77="Yes",1,0)</f>
        <v>0</v>
      </c>
      <c r="CO77" s="263">
        <f t="shared" ref="CO77:CO140" si="412">IF(OR(AND(BJ77="Yes",N77="No"),AND(BJ77="Yes",N77="Yes",P77&gt;=6)),1,0)</f>
        <v>0</v>
      </c>
      <c r="CP77" s="263">
        <f t="shared" ref="CP77:CP140" si="413">IF(BU77="Yes",1,0)</f>
        <v>0</v>
      </c>
      <c r="CQ77" s="263">
        <f t="shared" ref="CQ77:CQ140" si="414">IF(AND(BV77="Yes",BW77="No"),1,0)</f>
        <v>0</v>
      </c>
      <c r="CR77" s="263">
        <f t="shared" ref="CR77:CR140" si="415">IF(BX77="Yes",1,0)</f>
        <v>0</v>
      </c>
      <c r="CS77" s="263">
        <f t="shared" ref="CS77:CS140" si="416">IF(AP77="",0,IF(AP77&gt;7,1,0))</f>
        <v>0</v>
      </c>
      <c r="CT77" s="263">
        <f t="shared" ref="CT77:CT140" si="417">IF(OR(BD77&lt;&gt;"Monthly",BD77&lt;&gt;"Quarterly",BD77&lt;&gt;"Semi-Annually"),0,1)</f>
        <v>0</v>
      </c>
      <c r="CU77" s="263">
        <f t="shared" ref="CU77:CU140" si="418">IF(BY77="Yes",1,0)</f>
        <v>0</v>
      </c>
      <c r="CV77" s="263">
        <f t="shared" ref="CV77:CV140" si="419">IF(BZ77="Yes",1,0)</f>
        <v>0</v>
      </c>
      <c r="CW77" s="263">
        <f t="shared" ref="CW77:CW140" si="420">IF(CA77="Yes",1,0)</f>
        <v>0</v>
      </c>
      <c r="CX77" s="263">
        <f t="shared" ref="CX77:CX140" si="421">IF(CB77="No",1,0)</f>
        <v>0</v>
      </c>
      <c r="CY77" s="263">
        <f t="shared" ref="CY77:CY140" si="422">IF(B77="",0,IF(AK77&gt;=5000000,0,1))</f>
        <v>0</v>
      </c>
      <c r="CZ77" s="263">
        <f t="shared" ref="CZ77:CZ140" si="423">IF(B77="",0,IF(AL77&gt;=5000000,0,1))</f>
        <v>0</v>
      </c>
      <c r="DA77" s="263">
        <f t="shared" ref="DA77:DA140" si="424">IF(OR(DB77=1,DC77=1,DD77=1),0,IF(B77="",0,IF(OR(AND(AN77="Tier 1",X77="No",OR(AI77&gt;$AJ$3,AJ77&gt;$AJ$4)),(AND(AN77="Tier 1",X77="Yes",AJ77&gt;$AJ$5)),(AND(AN77="Tier 2",X77="No",OR(AI77&gt;$AK$3,AJ77&gt;$AK$4))),(AND(AN77="Tier 2",X77="Yes",AJ77&gt;$AK$5)),(AND(AN77="Tier 3",X77="No",OR(AI77&gt;$AL$3,AJ77&gt;$AL$4))),(AND(AN77="Tier 3",X77="Yes",AJ77&gt;$AL$5))),1,0)))</f>
        <v>1</v>
      </c>
      <c r="DB77" s="263">
        <f t="shared" ref="DB77:DB140" si="425">IF(OR(DC77=1,DD77=1),0,IF(B77="",0,IF(OR(AND(AN77="Tier 1",X77="No",OR(AI77&gt;$AM$3,AJ77&gt;$AM$4)),(AND(AN77="Tier 1",X77="Yes",AJ77&gt;$AM$5)),(AND(AN77="Tier 2",X77="No",OR(AI77&gt;$AN$3,AJ77&gt;$AN$4))),(AND(AN77="Tier 2",X77="Yes",AJ77&gt;$AN$5)),(AND(AN77="Tier 3",X77="No",OR(AI77&gt;$AO$3,AJ77&gt;$AO$4))),(AND(AN77="Tier 3",X77="Yes",AJ77&gt;$AO$5))),1,0)))</f>
        <v>0</v>
      </c>
      <c r="DC77" s="263">
        <f t="shared" ref="DC77:DC140" si="426">IF(DD77=1,0,IF(B77="",0,IF(OR(AND(AN77="Tier 1",X77="No",OR(AI77&gt;$AP$3,AJ77&gt;$AP$4)),(AND(AN77="Tier 1",X77="Yes",AJ77&gt;$AP$5)),(AND(AN77="Tier 2",X77="No",OR(AI77&gt;$AQ$3,AJ77&gt;$AQ$4))),(AND(AN77="Tier 2",X77="Yes",AJ77&gt;$AQ$5)),(AND(AN77="Tier 3",X77="No",OR(AI77&gt;$AR$3,AJ77&gt;$AR$4))),(AND(AN77="Tier 3",X77="Yes",AJ77&gt;$AR$5))),1,0)))</f>
        <v>0</v>
      </c>
      <c r="DD77" s="263">
        <f t="shared" ref="DD77:DD140" si="427">IF(B77="",0,IF(OR(AND(AN77="Tier 1",X77="No",OR(AI77&gt;$AS$3,AJ77&gt;$AS$4)),(AND(AN77="Tier 1",X77="Yes",AJ77&gt;$AS$5)),(AND(AN77="Tier 2",X77="No",OR(AI77&gt;$AT$3,AJ77&gt;$AT$4))),(AND(AN77="Tier 2",X77="Yes",AJ77&gt;$AT$5)),(AND(AN77="Tier 3",X77="No",OR(AI77&gt;$AU$3,AJ77&gt;$AU$4))),(AND(AN77="Tier 3",X77="Yes",AJ77&gt;$AU$5))),1,0))</f>
        <v>0</v>
      </c>
      <c r="DE77" s="263">
        <f t="shared" ref="DE77:DE140" si="428">IF((SUM(CF77:CY77)=0),0,W77)</f>
        <v>0</v>
      </c>
      <c r="DF77" s="263">
        <f t="shared" ref="DF77:DF140" si="429">IF(OR(B77="",DE77&gt;0),0,W77)</f>
        <v>3538065.6</v>
      </c>
      <c r="DG77" s="263">
        <f t="shared" ref="DG77:DG140" si="430">IF(B77="",0,IF(COUNTIF(CF77:CY77,1)&gt;0,0,L77-M77))</f>
        <v>0</v>
      </c>
      <c r="DH77" s="263">
        <f t="shared" ref="DH77:DH140" si="431">DF77+IF(DE77&gt;0,0,DG77)</f>
        <v>3538065.6</v>
      </c>
      <c r="DI77" s="263">
        <f t="shared" ref="DI77:DI140" si="432">IF(B77="","",M77+DG77)</f>
        <v>3931184</v>
      </c>
      <c r="DJ77" s="263">
        <f t="shared" ref="DJ77:DJ140" si="433">IF(B77="",0,J77-K77)</f>
        <v>0</v>
      </c>
      <c r="DK77" s="263">
        <f t="shared" ref="DK77:DK140" si="434">IF(OR(BF77="EUR",BF77="CAD",BF77="GBP",BF77="AUD"),(GB77*(1-V77))+(HH77)+IF(HY77="",0,HY77*(1-U77)),0)</f>
        <v>0</v>
      </c>
      <c r="DL77" s="263">
        <f t="shared" ref="DL77:DL140" si="435">IF(BF77="EUR",33%,IF(BF77="CAD",38%,IF(BF77="GBP",51%,IF(BF77="AUD",61%,0))))</f>
        <v>0</v>
      </c>
      <c r="DM77" s="263">
        <f t="shared" ref="DM77:DM140" si="436">DK77*DL77</f>
        <v>0</v>
      </c>
      <c r="DO77" s="264">
        <f t="shared" ref="DO77:DO140" si="437">IF(OR(Y77="Second Lien",Y77="Tier 1 Split Lien",Y77="Tier 2 Split Lien"),DH77,0)</f>
        <v>0</v>
      </c>
      <c r="DP77" s="265">
        <f t="shared" ref="DP77:DP140" si="438">DO77*DO$6</f>
        <v>0</v>
      </c>
      <c r="DQ77" s="264">
        <f t="shared" ref="DQ77:DQ140" si="439">DH77-DP77</f>
        <v>3538065.6</v>
      </c>
      <c r="DR77" s="264">
        <f t="shared" ref="DR77:DR140" si="440">IF(Y77="Second Lien",DQ77,0)</f>
        <v>0</v>
      </c>
      <c r="DS77" s="265">
        <f t="shared" ref="DS77:DS140" si="441">DR77*DR$6</f>
        <v>0</v>
      </c>
      <c r="DT77" s="264">
        <f t="shared" ref="DT77:DT140" si="442">DQ77-DS77</f>
        <v>3538065.6</v>
      </c>
      <c r="DU77" s="264">
        <f t="shared" ref="DU77:DU140" si="443">IF(BH77="Yes",DT77,0)</f>
        <v>0</v>
      </c>
      <c r="DV77" s="265">
        <f t="shared" ref="DV77:DV140" si="444">DU77*DU$6</f>
        <v>0</v>
      </c>
      <c r="DW77" s="264">
        <f t="shared" ref="DW77:DW140" si="445">DT77-DV77</f>
        <v>3538065.6</v>
      </c>
      <c r="DX77" s="264">
        <f t="shared" ref="DX77:DX140" si="446">IF(OR(BG77="Canada",BG77="United Kingdom",BG77="Australia",BG77="Netherlands Antilles",BG77="Bermuda",BG77="Cayman Islands",BG77="British Virgin Islands",BG77="Channel Islands",BG77="Isle of Man",BG77="Australia",BG77="Netherlands",BG77="Germany",BG77="Sweden",BG77="Switzerland",BG77="Austria",BG77="Belgium",BG77="Denmark",BG77="Finland",BG77="Iceland",BG77="Ireland",BG77="Lichtenstein",BG77="Luxemborg",BG77="Norway"),DW77,0)</f>
        <v>0</v>
      </c>
      <c r="DY77" s="265">
        <f t="shared" ref="DY77:DY140" si="447">DX77*DX$6</f>
        <v>0</v>
      </c>
      <c r="DZ77" s="264">
        <f t="shared" ref="DZ77:DZ140" si="448">DW77-DY77</f>
        <v>3538065.6</v>
      </c>
      <c r="EA77" s="264">
        <f t="shared" ref="EA77:EA140" si="449">IF(BI77="Yes",DZ77,0)</f>
        <v>0</v>
      </c>
      <c r="EB77" s="265">
        <f t="shared" ref="EB77:EB140" si="450">EA77*EA$6</f>
        <v>0</v>
      </c>
      <c r="EC77" s="264">
        <f t="shared" ref="EC77:EC140" si="451">DZ77-EB77</f>
        <v>3538065.6</v>
      </c>
      <c r="ED77" s="264">
        <f t="shared" ref="ED77:ED140" si="452">IF(OR(Z77="Delayed Draw",Z77="Revolver"),EC77,0)</f>
        <v>0</v>
      </c>
      <c r="EE77" s="265">
        <f t="shared" ref="EE77:EE140" si="453">ED77*ED$6</f>
        <v>0</v>
      </c>
      <c r="EF77" s="264">
        <f t="shared" ref="EF77:EF140" si="454">EC77-EE77</f>
        <v>3538065.6</v>
      </c>
      <c r="EG77" s="264">
        <f t="shared" ref="EG77:EG140" si="455">IF(S77="Yes",EF77,0)</f>
        <v>3538065.6</v>
      </c>
      <c r="EH77" s="265">
        <f t="shared" ref="EH77:EH140" si="456">EG77*EG$6</f>
        <v>0</v>
      </c>
      <c r="EI77" s="264">
        <f t="shared" ref="EI77:EI140" si="457">EF77-EH77</f>
        <v>3538065.6</v>
      </c>
      <c r="EJ77" s="264">
        <f t="shared" ref="EJ77:EJ140" si="458">IF(Q77="Yes",EI77,0)</f>
        <v>0</v>
      </c>
      <c r="EK77" s="265">
        <f t="shared" ref="EK77:EK140" si="459">EJ77*EJ$6</f>
        <v>0</v>
      </c>
      <c r="EL77" s="264">
        <f t="shared" ref="EL77:EL140" si="460">EI77-EK77</f>
        <v>3538065.6</v>
      </c>
      <c r="EM77" s="264">
        <f t="shared" ref="EM77:EM140" si="461">IF(BD77="Semi-Annually",EL77,0)</f>
        <v>0</v>
      </c>
      <c r="EN77" s="265">
        <f t="shared" ref="EN77:EN140" si="462">EM77*EM$6</f>
        <v>0</v>
      </c>
      <c r="EO77" s="264">
        <f t="shared" ref="EO77:EO140" si="463">EL77-EN77</f>
        <v>3538065.6</v>
      </c>
      <c r="EP77" s="264">
        <f t="shared" ref="EP77:EP140" si="464">IF(BK77="Yes",EO77,0)</f>
        <v>0</v>
      </c>
      <c r="EQ77" s="265">
        <f t="shared" ref="EQ77:EQ140" si="465">EP77*EP$6</f>
        <v>0</v>
      </c>
      <c r="ER77" s="264">
        <f t="shared" ref="ER77:ER140" si="466">EO77-EQ77</f>
        <v>3538065.6</v>
      </c>
      <c r="ES77" s="264">
        <f t="shared" ref="ES77:ES140" si="467">IF(BL77="Yes",ER77,0)</f>
        <v>0</v>
      </c>
      <c r="ET77" s="265">
        <f t="shared" ref="ET77:ET140" si="468">ES77*ES$6</f>
        <v>0</v>
      </c>
      <c r="EU77" s="264">
        <f t="shared" ref="EU77:EU140" si="469">ER77-ET77</f>
        <v>3538065.6</v>
      </c>
      <c r="EV77" s="264">
        <f>IF(AND(BM77="Yes",OR(BN77="No",AND(BN77="Yes",Inputs!$J$8=Inputs!$J$17+75))),EU77,0)</f>
        <v>0</v>
      </c>
      <c r="EW77" s="265">
        <f t="shared" ref="EW77:EW140" si="470">EV77*EV$6</f>
        <v>0</v>
      </c>
      <c r="EX77" s="264">
        <f t="shared" ref="EX77:EX140" si="471">EU77-EW77</f>
        <v>3538065.6</v>
      </c>
      <c r="EY77" s="264">
        <f t="shared" ref="EY77:EY140" si="472">IF(BW77="Yes",EX77,0)</f>
        <v>0</v>
      </c>
      <c r="EZ77" s="265">
        <f t="shared" ref="EZ77:EZ140" si="473">EY77*EY$6</f>
        <v>0</v>
      </c>
      <c r="FA77" s="264">
        <f t="shared" ref="FA77:FA140" si="474">EX77-EZ77</f>
        <v>3538065.6</v>
      </c>
      <c r="FB77" s="264">
        <f t="shared" ref="FB77:FB140" si="475">IF(AR77="Yes",FA77,0)</f>
        <v>0</v>
      </c>
      <c r="FC77" s="265">
        <f t="shared" ref="FC77:FC140" si="476">FB77*FB$6</f>
        <v>0</v>
      </c>
      <c r="FD77" s="264">
        <f t="shared" ref="FD77:FD140" si="477">FA77-FC77</f>
        <v>3538065.6</v>
      </c>
      <c r="FE77" s="264">
        <f t="shared" ref="FE77:FE140" si="478">IF(OR(BF77="EUR",BF77="AUD",BF77="CAD",BF77="GBP"),FD77,0)</f>
        <v>0</v>
      </c>
      <c r="FF77" s="265">
        <f t="shared" ref="FF77:FF140" si="479">FE77*FE$6</f>
        <v>0</v>
      </c>
      <c r="FG77" s="264">
        <f t="shared" ref="FG77:FG140" si="480">FD77-FF77</f>
        <v>3538065.6</v>
      </c>
      <c r="FH77" s="264">
        <f t="shared" ref="FH77:FH140" si="481">FG77</f>
        <v>3538065.6</v>
      </c>
      <c r="FI77" s="264">
        <f t="shared" ref="FI77:FI140" si="482">IF(FG77=0,0,VLOOKUP(C77,$GV$10:$GW$406,2,FALSE)*FG77)</f>
        <v>0</v>
      </c>
      <c r="FJ77" s="264">
        <f t="shared" ref="FJ77:FJ140" si="483">FG77-FI77</f>
        <v>3538065.6</v>
      </c>
      <c r="FK77" s="264">
        <f t="shared" ref="FK77:FK140" si="484">FJ77</f>
        <v>3538065.6</v>
      </c>
      <c r="FL77" s="264">
        <f t="shared" ref="FL77:FL140" si="485">IF(OR(IC77="",FJ77&lt;0.01),,VLOOKUP(IC77,$GM$10:$GN$406,2,FALSE)*FJ77)</f>
        <v>0</v>
      </c>
      <c r="FM77" s="264">
        <f t="shared" ref="FM77:FM140" si="486">FJ77-FL77</f>
        <v>3538065.6</v>
      </c>
      <c r="FN77" s="264">
        <f t="shared" ref="FN77:FN140" si="487">FM77</f>
        <v>3538065.6</v>
      </c>
      <c r="FO77" s="264">
        <f t="shared" ref="FO77:FO140" si="488">IF(FM77=0,0,VLOOKUP(C77,$HE$10:$HF$406,2,FALSE)*FM77)</f>
        <v>0</v>
      </c>
      <c r="FP77" s="264">
        <f t="shared" ref="FP77:FP140" si="489">FM77-FO77</f>
        <v>3538065.6</v>
      </c>
      <c r="FQ77" s="264">
        <f t="shared" ref="FQ77:FQ140" si="490">IF(SUM(CZ77:DD77)&gt;0,0,IF(AND(AL77&gt;=5000000,AL77&lt;7500000),FP77,0))</f>
        <v>0</v>
      </c>
      <c r="FR77" s="265">
        <f t="shared" ref="FR77:FR140" si="491">IF(B77="",0,FQ77*FQ$6*(1-$U77))</f>
        <v>0</v>
      </c>
      <c r="FS77" s="264">
        <f t="shared" ref="FS77:FS140" si="492">FP77-FR77</f>
        <v>3538065.6</v>
      </c>
      <c r="FT77" s="264">
        <f t="shared" ref="FT77:FT140" si="493">IF(SUM(CZ77:DD77)&gt;0,0,IF(AL77&lt;15000000,FS77,0))</f>
        <v>0</v>
      </c>
      <c r="FU77" s="265">
        <f t="shared" ref="FU77:FU140" si="494">IF(B77="",0,FT77*FT$6*(1-$U77))</f>
        <v>0</v>
      </c>
      <c r="FV77" s="264">
        <f t="shared" ref="FV77:FV140" si="495">FS77-FU77</f>
        <v>3538065.6</v>
      </c>
      <c r="FW77" s="264">
        <f t="shared" ref="FW77:FW140" si="496">IF(SUM(CZ77:DD77)&gt;0,0,IF(OR(AND(X77="No",AN77="Tier 1",AI77&gt;$AG$3),AND(X77="No",AN77="Tier 2",AI77&gt;$AH$3),AND(X77="No",AN77="Tier 3",AI77&gt;$AI$3)),FV77,0))</f>
        <v>0</v>
      </c>
      <c r="FX77" s="264">
        <f t="shared" ref="FX77:FX140" si="497">IF(SUM(CZ77:DD77)&gt;0,0,IF(OR(AND(X77="No",AN77="Tier 1",AJ77&gt;$AG$4),AND(X77="No",AN77="Tier 2",AJ77&gt;$AH$4),AND(X77="No",AN77="Tier 3",AJ77&gt;$AI$4)),FV77,0))</f>
        <v>0</v>
      </c>
      <c r="FY77" s="264">
        <f t="shared" ref="FY77:FY140" si="498">IF(SUM(CZ77:DD77)&gt;0,0,IF(OR(AND(X77="Yes",AN77="Tier 1",AJ77&gt;$AG$5),AND(X77="Yes",AN77="Tier 2",AJ77&gt;$AH$5),AND(X77="Yes",AN77="Tier 3",AJ77&gt;$AI$5)),FV77,0))</f>
        <v>0</v>
      </c>
      <c r="FZ77" s="264">
        <f t="shared" ref="FZ77:FZ140" si="499">IF(SUM(FW77:FY77)&gt;0,FV77,0)</f>
        <v>0</v>
      </c>
      <c r="GA77" s="265">
        <f t="shared" ref="GA77:GA140" si="500">IF(B77="",0,FZ77*FW$6*(1-MIN(90%,T77)))</f>
        <v>0</v>
      </c>
      <c r="GB77" s="264">
        <f t="shared" ref="GB77:GB140" si="501">FV77-GA77</f>
        <v>3538065.6</v>
      </c>
      <c r="GC77" s="264">
        <f t="shared" ref="GC77:GC140" si="502">IF(AND(N77="No",DJ77=0),GB77,IF(AND(N77="No",DJ77&lt;&gt;0,K77=0),0,IF(AND(N77="No",DJ77&lt;&gt;0,K77&gt;0,J77&lt;&gt;K77),MAX(0,M77-(DI77-GB77)),DH77)))</f>
        <v>3538065.6</v>
      </c>
      <c r="GD77" s="266">
        <f t="shared" ref="GD77:GD140" si="503">+GC77*V77</f>
        <v>2565097.56</v>
      </c>
      <c r="GE77" s="138">
        <f t="shared" ref="GE77:GE140" si="504">IFERROR(GD77/K77,"")</f>
        <v>0.65249999999999997</v>
      </c>
      <c r="GF77" s="267">
        <f t="shared" ref="GF77:GF140" si="505">IF(IC77="","",IC77)</f>
        <v>41</v>
      </c>
      <c r="GG77" s="264">
        <f t="array" ref="GG77">IF(SUM(IF(IC$9:IC76=IC77,1,0))&gt;0,0,SUMIF($IC$10:$IC$406,IC77,$FJ$10:$FJ$406))</f>
        <v>0</v>
      </c>
      <c r="GH77" s="268">
        <f t="shared" ref="GH77:GH140" si="506">GG77</f>
        <v>0</v>
      </c>
      <c r="GI77" s="137">
        <f t="shared" si="126"/>
        <v>68</v>
      </c>
      <c r="GJ77" s="269">
        <f t="shared" ref="GJ77:GJ140" si="507">LARGE($GH$10:$GH$406,GI77)</f>
        <v>0</v>
      </c>
      <c r="GK77" s="269">
        <f t="shared" ref="GK77:GK140" si="508">IF(GI77&gt;GI$6,0,IF(GI77=$GI$2,$GK$2,IF(GI77&lt;4,$GK$3,$GK$4)))</f>
        <v>0</v>
      </c>
      <c r="GL77" s="163">
        <f t="shared" ref="GL77:GL140" si="509">MAX(0,GJ77-GK77)</f>
        <v>0</v>
      </c>
      <c r="GM77" s="137">
        <f t="array" ref="GM77">IF(GJ77=0,0,LARGE(IF($GG$10:$GG$406=GJ77,$GF$10:$GF$406,0),COUNTIF($GJ$10:$GJ$406,GJ77)-COUNTIF(GJ$9:GJ76,GJ77)))</f>
        <v>0</v>
      </c>
      <c r="GN77" s="270">
        <f t="shared" ref="GN77:GN140" si="510">IF(GJ77=0,0,GL77/GJ77)</f>
        <v>0</v>
      </c>
      <c r="GP77" s="137">
        <f>IF(C77="","",IF(ISERROR(MATCH(C77,C$10:C76,0)),MAX(GP$10:GP76)+1,INDEX(GP$10:GP76,MATCH(C77,C$10:C76,0))))</f>
        <v>58</v>
      </c>
      <c r="GQ77" s="264">
        <f>IF(COUNTIF($A$10:A77,A77)&lt;=1,SUMIF($A$10:$A$406,A77,$FH$10:$FH$406),0)</f>
        <v>3538065.6</v>
      </c>
      <c r="GR77" s="137">
        <f t="shared" si="130"/>
        <v>68</v>
      </c>
      <c r="GS77" s="269">
        <f t="shared" ref="GS77:GS83" si="511">LARGE($GQ$10:$GQ$406,GR77)</f>
        <v>3538065.6</v>
      </c>
      <c r="GT77" s="269">
        <f t="shared" ref="GT77:GT83" si="512">IF(GR77&gt;GR$6,0,IF(GR77&lt;=GR$2,GT$2,IF(AND(GR77&lt;=$GR$3,GR77&gt;$GR$2),GT$3,GT$4)))</f>
        <v>50964284.172430128</v>
      </c>
      <c r="GU77" s="163">
        <f t="shared" ref="GU77:GU83" si="513">MAX(0,GS77-GT77)</f>
        <v>0</v>
      </c>
      <c r="GV77" s="137">
        <f t="array" ref="GV77">IF(GS77=0,0,LARGE(IF($GQ$10:$GQ$406=GS77,$GP$10:$GP$406,0),COUNTIF($GS$10:$GS$406,GS77)-COUNTIF(GS$9:GS76,GS77)))</f>
        <v>58</v>
      </c>
      <c r="GW77" s="270">
        <f t="shared" ref="GW77:GW83" si="514">IF(GS77=0,0,GU77/GS77)</f>
        <v>0</v>
      </c>
      <c r="GX77" s="270"/>
      <c r="GY77" s="137">
        <f>IF(C77="","",IF(ISERROR(MATCH(C77,C$10:C76,0)),MAX(GP$10:GP76)+1,INDEX(GP$10:GP76,MATCH(C77,C$10:C76,0))))</f>
        <v>58</v>
      </c>
      <c r="GZ77" s="264">
        <f>IF(COUNTIF($A$10:A77,A77)&lt;=1,SUMIF($A$10:$A$406,A77,$FH$10:$FH$406),0)</f>
        <v>3538065.6</v>
      </c>
      <c r="HA77" s="137">
        <f t="shared" si="134"/>
        <v>68</v>
      </c>
      <c r="HB77" s="269">
        <f t="shared" ref="HB77:HB140" si="515">LARGE($GZ$10:$GZ$406,HA77)</f>
        <v>3538065.6</v>
      </c>
      <c r="HC77" s="414" t="s">
        <v>622</v>
      </c>
      <c r="HD77" s="163">
        <f t="shared" ref="HD77:HD140" si="516">IF(HA77&lt;6,MAX(0,$HD$2/5),0)</f>
        <v>0</v>
      </c>
      <c r="HE77" s="137">
        <f t="array" ref="HE77">IF(HB77=0,0,LARGE(IF($GZ$10:$GZ$406=HB77,$GY$10:$GY$406,0),COUNTIF($HB$10:$HB$406,HB77)-COUNTIF(HB$9:HB76,HB77)))</f>
        <v>58</v>
      </c>
      <c r="HF77" s="270">
        <f t="shared" ref="HF77:HF140" si="517">IF(HB77=0,0,HD77/HB77)</f>
        <v>0</v>
      </c>
      <c r="HG77" s="270"/>
      <c r="HH77" s="268">
        <f t="shared" ref="HH77:HH140" si="518">DH77-GB77</f>
        <v>0</v>
      </c>
      <c r="HI77" s="271">
        <v>0</v>
      </c>
      <c r="HJ77" s="264">
        <f t="shared" ref="HJ77:HJ140" si="519">MIN(HI77,DF77)</f>
        <v>0</v>
      </c>
      <c r="HL77" s="137">
        <f t="shared" ref="HL77:HL140" si="520">IF(COUNTIF($C$10:$C$406,HL76+1),HL76+1,"")</f>
        <v>68</v>
      </c>
      <c r="HM77" s="264">
        <f t="shared" si="300"/>
        <v>4825000</v>
      </c>
      <c r="HN77"/>
      <c r="HO77" s="199">
        <f t="shared" si="301"/>
        <v>3538065.6</v>
      </c>
      <c r="HP77" s="199">
        <f t="shared" si="302"/>
        <v>3931184</v>
      </c>
      <c r="HQ77" s="199" t="str">
        <f t="shared" si="303"/>
        <v/>
      </c>
      <c r="HR77" s="199">
        <f>IF(AND(N77="Yes",P77&gt;=6),"",IF($S77="Yes",$R77*$M77,""))</f>
        <v>3695312.9600000004</v>
      </c>
      <c r="HS77" s="199" t="str">
        <f t="shared" si="119"/>
        <v/>
      </c>
      <c r="HT77" s="199">
        <f>IF(AND($N77="Yes",$P77&gt;=6),"",IF(OR(CZ77=1,DD77=1,),MIN($T77*$M77,$U77*$M77),IF(OR(DA77=1,DB77=1,DC77=1),IF(AK77&gt;=5000000,MIN($T77*$M77,$IF77*$M77),MIN($T77*$M77,$U77*$M77)),"")))</f>
        <v>3538065.6</v>
      </c>
      <c r="HU77" s="199" t="str">
        <f t="shared" si="306"/>
        <v/>
      </c>
      <c r="HV77" s="200">
        <f t="shared" si="307"/>
        <v>0</v>
      </c>
      <c r="HW77" s="272" t="str">
        <f t="shared" si="308"/>
        <v/>
      </c>
      <c r="HX77" s="200">
        <f t="shared" si="309"/>
        <v>0</v>
      </c>
      <c r="HY77" s="200">
        <f t="shared" si="310"/>
        <v>3538065.6</v>
      </c>
      <c r="HZ77" s="200">
        <f t="shared" si="4"/>
        <v>0</v>
      </c>
      <c r="IA77" s="200">
        <f t="shared" si="311"/>
        <v>0</v>
      </c>
      <c r="IB77" s="200">
        <f t="shared" si="312"/>
        <v>0</v>
      </c>
      <c r="IC77" s="273">
        <f>IF(C77="","",INDEX(Lookups!$E$2:$E$69,MATCH('Loan List'!BE77,Lookups!$F$2:$F$69,0)))</f>
        <v>41</v>
      </c>
      <c r="ID77" t="b">
        <f t="shared" si="313"/>
        <v>1</v>
      </c>
      <c r="IF77" s="346">
        <f t="shared" si="121"/>
        <v>0.9</v>
      </c>
    </row>
    <row r="78" spans="1:240">
      <c r="A78" t="s">
        <v>754</v>
      </c>
      <c r="B78" s="242">
        <f t="shared" si="402"/>
        <v>69</v>
      </c>
      <c r="C78" s="242">
        <f>IF(COUNTIF($A$10:A77,A78)&gt;0,C77,C77+1)</f>
        <v>59</v>
      </c>
      <c r="D78" s="431" t="s">
        <v>754</v>
      </c>
      <c r="E78" s="428" t="s">
        <v>829</v>
      </c>
      <c r="F78" s="429"/>
      <c r="G78" s="430">
        <v>1984772</v>
      </c>
      <c r="H78" s="430">
        <v>1984772</v>
      </c>
      <c r="I78" s="244">
        <f>IF(B78="","",VLOOKUP(BF78,Inputs!$A$12:$J$15,10,FALSE))</f>
        <v>1</v>
      </c>
      <c r="J78" s="245">
        <f t="shared" si="5"/>
        <v>1984772</v>
      </c>
      <c r="K78" s="245">
        <f t="shared" si="6"/>
        <v>1984772</v>
      </c>
      <c r="L78" s="245">
        <f t="shared" si="7"/>
        <v>1984772</v>
      </c>
      <c r="M78" s="245">
        <f t="shared" si="8"/>
        <v>1984772</v>
      </c>
      <c r="N78" s="246" t="s">
        <v>246</v>
      </c>
      <c r="O78" s="246" t="s">
        <v>245</v>
      </c>
      <c r="P78" s="247">
        <f>IF(B78="","",IF(OR(O78="N/A",O78=""),0,YEARFRAC('Borrowing Base'!$J$4,'Loan List'!O78)*12))</f>
        <v>0</v>
      </c>
      <c r="Q78" s="246" t="s">
        <v>246</v>
      </c>
      <c r="R78" s="248">
        <v>1</v>
      </c>
      <c r="S78" s="249" t="str">
        <f t="shared" si="1"/>
        <v>No</v>
      </c>
      <c r="T78" s="248">
        <v>1</v>
      </c>
      <c r="U78" s="250">
        <f t="shared" si="9"/>
        <v>0.5</v>
      </c>
      <c r="V78" s="250">
        <f t="shared" si="10"/>
        <v>0.72499999999999998</v>
      </c>
      <c r="W78" s="251">
        <f t="shared" si="385"/>
        <v>1786294.8</v>
      </c>
      <c r="X78" s="246" t="s">
        <v>246</v>
      </c>
      <c r="Y78" s="252" t="s">
        <v>483</v>
      </c>
      <c r="Z78" s="252" t="s">
        <v>484</v>
      </c>
      <c r="AA78" s="253" t="s">
        <v>407</v>
      </c>
      <c r="AB78" s="253" t="s">
        <v>407</v>
      </c>
      <c r="AC78" s="254">
        <v>1.59</v>
      </c>
      <c r="AD78" s="254">
        <v>1.59</v>
      </c>
      <c r="AE78" s="254">
        <v>1.75</v>
      </c>
      <c r="AF78" s="255">
        <v>0.35399999999999998</v>
      </c>
      <c r="AG78" s="256">
        <v>4.7699999999999996</v>
      </c>
      <c r="AH78" s="256">
        <v>4.7699999999999996</v>
      </c>
      <c r="AI78" s="256">
        <v>4.7699999999999996</v>
      </c>
      <c r="AJ78" s="256">
        <v>4.7699999999999996</v>
      </c>
      <c r="AK78" s="257">
        <v>24347132</v>
      </c>
      <c r="AL78" s="257">
        <v>24347132</v>
      </c>
      <c r="AM78" s="258">
        <v>45838</v>
      </c>
      <c r="AN78" s="245" t="str">
        <f t="shared" si="12"/>
        <v>Tier 2</v>
      </c>
      <c r="AO78" s="243">
        <v>47514</v>
      </c>
      <c r="AP78" s="259">
        <f>IF(C78="","",DAYS360(Inputs!$J$8,AO78)/360)</f>
        <v>4.4361111111111109</v>
      </c>
      <c r="AQ78" s="259">
        <f t="shared" si="13"/>
        <v>4.4361111111111109</v>
      </c>
      <c r="AR78" s="246" t="s">
        <v>246</v>
      </c>
      <c r="AS78" s="248">
        <v>0</v>
      </c>
      <c r="AT78" s="246" t="s">
        <v>64</v>
      </c>
      <c r="AU78" s="248">
        <v>0.01</v>
      </c>
      <c r="AV78" s="248">
        <v>5.5E-2</v>
      </c>
      <c r="AW78" s="248">
        <v>4.2999999999999997E-2</v>
      </c>
      <c r="AX78" s="260">
        <f t="shared" si="14"/>
        <v>4.2999999999999997E-2</v>
      </c>
      <c r="AY78" s="248">
        <v>0</v>
      </c>
      <c r="AZ78" s="248">
        <v>0</v>
      </c>
      <c r="BA78" s="248">
        <v>0</v>
      </c>
      <c r="BB78" s="407">
        <f t="shared" si="15"/>
        <v>5.5E-2</v>
      </c>
      <c r="BC78" s="407" t="str">
        <f t="shared" si="16"/>
        <v/>
      </c>
      <c r="BD78" s="252" t="s">
        <v>247</v>
      </c>
      <c r="BE78" s="261" t="s">
        <v>427</v>
      </c>
      <c r="BF78" s="252" t="s">
        <v>7</v>
      </c>
      <c r="BG78" s="252" t="s">
        <v>460</v>
      </c>
      <c r="BH78" s="246" t="s">
        <v>246</v>
      </c>
      <c r="BI78" s="408" t="str">
        <f t="shared" si="17"/>
        <v>No</v>
      </c>
      <c r="BJ78" s="408" t="str">
        <f t="shared" si="18"/>
        <v>No</v>
      </c>
      <c r="BK78" s="246" t="s">
        <v>246</v>
      </c>
      <c r="BL78" s="246" t="s">
        <v>246</v>
      </c>
      <c r="BM78" s="246" t="s">
        <v>64</v>
      </c>
      <c r="BN78" s="246" t="s">
        <v>64</v>
      </c>
      <c r="BO78" s="246" t="s">
        <v>246</v>
      </c>
      <c r="BP78" s="246" t="s">
        <v>246</v>
      </c>
      <c r="BQ78" s="246" t="s">
        <v>246</v>
      </c>
      <c r="BR78" s="246" t="s">
        <v>246</v>
      </c>
      <c r="BS78" s="246" t="s">
        <v>246</v>
      </c>
      <c r="BT78" s="246" t="s">
        <v>246</v>
      </c>
      <c r="BU78" s="246" t="s">
        <v>246</v>
      </c>
      <c r="BV78" s="246" t="s">
        <v>246</v>
      </c>
      <c r="BW78" s="246" t="s">
        <v>246</v>
      </c>
      <c r="BX78" s="246" t="s">
        <v>246</v>
      </c>
      <c r="BY78" s="246" t="s">
        <v>246</v>
      </c>
      <c r="BZ78" s="246" t="s">
        <v>246</v>
      </c>
      <c r="CA78" s="246" t="s">
        <v>246</v>
      </c>
      <c r="CB78" s="246" t="s">
        <v>64</v>
      </c>
      <c r="CC78" s="262">
        <f t="shared" si="19"/>
        <v>108721.0467072</v>
      </c>
      <c r="CD78" s="262">
        <f t="shared" si="20"/>
        <v>0</v>
      </c>
      <c r="CE78" s="263"/>
      <c r="CF78" s="263">
        <f t="shared" si="403"/>
        <v>0</v>
      </c>
      <c r="CG78" s="263">
        <f t="shared" si="404"/>
        <v>0</v>
      </c>
      <c r="CH78" s="263">
        <f t="shared" si="405"/>
        <v>0</v>
      </c>
      <c r="CI78" s="263">
        <f t="shared" si="406"/>
        <v>0</v>
      </c>
      <c r="CJ78" s="263">
        <f t="shared" si="407"/>
        <v>0</v>
      </c>
      <c r="CK78" s="263">
        <f t="shared" si="408"/>
        <v>0</v>
      </c>
      <c r="CL78" s="263">
        <f t="shared" si="409"/>
        <v>0</v>
      </c>
      <c r="CM78" s="263">
        <f t="shared" si="410"/>
        <v>0</v>
      </c>
      <c r="CN78" s="263">
        <f t="shared" si="411"/>
        <v>0</v>
      </c>
      <c r="CO78" s="263">
        <f t="shared" si="412"/>
        <v>0</v>
      </c>
      <c r="CP78" s="263">
        <f t="shared" si="413"/>
        <v>0</v>
      </c>
      <c r="CQ78" s="263">
        <f t="shared" si="414"/>
        <v>0</v>
      </c>
      <c r="CR78" s="263">
        <f t="shared" si="415"/>
        <v>0</v>
      </c>
      <c r="CS78" s="263">
        <f t="shared" si="416"/>
        <v>0</v>
      </c>
      <c r="CT78" s="263">
        <f t="shared" si="417"/>
        <v>0</v>
      </c>
      <c r="CU78" s="263">
        <f t="shared" si="418"/>
        <v>0</v>
      </c>
      <c r="CV78" s="263">
        <f t="shared" si="419"/>
        <v>0</v>
      </c>
      <c r="CW78" s="263">
        <f t="shared" si="420"/>
        <v>0</v>
      </c>
      <c r="CX78" s="263">
        <f t="shared" si="421"/>
        <v>0</v>
      </c>
      <c r="CY78" s="263">
        <f t="shared" si="422"/>
        <v>0</v>
      </c>
      <c r="CZ78" s="263">
        <f t="shared" si="423"/>
        <v>0</v>
      </c>
      <c r="DA78" s="263">
        <f t="shared" si="424"/>
        <v>1</v>
      </c>
      <c r="DB78" s="263">
        <f t="shared" si="425"/>
        <v>0</v>
      </c>
      <c r="DC78" s="263">
        <f t="shared" si="426"/>
        <v>0</v>
      </c>
      <c r="DD78" s="263">
        <f t="shared" si="427"/>
        <v>0</v>
      </c>
      <c r="DE78" s="263">
        <f t="shared" si="428"/>
        <v>0</v>
      </c>
      <c r="DF78" s="263">
        <f t="shared" si="429"/>
        <v>1786294.8</v>
      </c>
      <c r="DG78" s="263">
        <f t="shared" si="430"/>
        <v>0</v>
      </c>
      <c r="DH78" s="263">
        <f t="shared" si="431"/>
        <v>1786294.8</v>
      </c>
      <c r="DI78" s="263">
        <f t="shared" si="432"/>
        <v>1984772</v>
      </c>
      <c r="DJ78" s="263">
        <f t="shared" si="433"/>
        <v>0</v>
      </c>
      <c r="DK78" s="263">
        <f t="shared" si="434"/>
        <v>0</v>
      </c>
      <c r="DL78" s="263">
        <f t="shared" si="435"/>
        <v>0</v>
      </c>
      <c r="DM78" s="263">
        <f t="shared" si="436"/>
        <v>0</v>
      </c>
      <c r="DO78" s="264">
        <f t="shared" si="437"/>
        <v>0</v>
      </c>
      <c r="DP78" s="265">
        <f t="shared" si="438"/>
        <v>0</v>
      </c>
      <c r="DQ78" s="264">
        <f t="shared" si="439"/>
        <v>1786294.8</v>
      </c>
      <c r="DR78" s="264">
        <f t="shared" si="440"/>
        <v>0</v>
      </c>
      <c r="DS78" s="265">
        <f t="shared" si="441"/>
        <v>0</v>
      </c>
      <c r="DT78" s="264">
        <f t="shared" si="442"/>
        <v>1786294.8</v>
      </c>
      <c r="DU78" s="264">
        <f t="shared" si="443"/>
        <v>0</v>
      </c>
      <c r="DV78" s="265">
        <f t="shared" si="444"/>
        <v>0</v>
      </c>
      <c r="DW78" s="264">
        <f t="shared" si="445"/>
        <v>1786294.8</v>
      </c>
      <c r="DX78" s="264">
        <f t="shared" si="446"/>
        <v>0</v>
      </c>
      <c r="DY78" s="265">
        <f t="shared" si="447"/>
        <v>0</v>
      </c>
      <c r="DZ78" s="264">
        <f t="shared" si="448"/>
        <v>1786294.8</v>
      </c>
      <c r="EA78" s="264">
        <f t="shared" si="449"/>
        <v>0</v>
      </c>
      <c r="EB78" s="265">
        <f t="shared" si="450"/>
        <v>0</v>
      </c>
      <c r="EC78" s="264">
        <f t="shared" si="451"/>
        <v>1786294.8</v>
      </c>
      <c r="ED78" s="264">
        <f t="shared" si="452"/>
        <v>0</v>
      </c>
      <c r="EE78" s="265">
        <f t="shared" si="453"/>
        <v>0</v>
      </c>
      <c r="EF78" s="264">
        <f t="shared" si="454"/>
        <v>1786294.8</v>
      </c>
      <c r="EG78" s="264">
        <f t="shared" si="455"/>
        <v>0</v>
      </c>
      <c r="EH78" s="265">
        <f t="shared" si="456"/>
        <v>0</v>
      </c>
      <c r="EI78" s="264">
        <f t="shared" si="457"/>
        <v>1786294.8</v>
      </c>
      <c r="EJ78" s="264">
        <f t="shared" si="458"/>
        <v>0</v>
      </c>
      <c r="EK78" s="265">
        <f t="shared" si="459"/>
        <v>0</v>
      </c>
      <c r="EL78" s="264">
        <f t="shared" si="460"/>
        <v>1786294.8</v>
      </c>
      <c r="EM78" s="264">
        <f t="shared" si="461"/>
        <v>0</v>
      </c>
      <c r="EN78" s="265">
        <f t="shared" si="462"/>
        <v>0</v>
      </c>
      <c r="EO78" s="264">
        <f t="shared" si="463"/>
        <v>1786294.8</v>
      </c>
      <c r="EP78" s="264">
        <f t="shared" si="464"/>
        <v>0</v>
      </c>
      <c r="EQ78" s="265">
        <f t="shared" si="465"/>
        <v>0</v>
      </c>
      <c r="ER78" s="264">
        <f t="shared" si="466"/>
        <v>1786294.8</v>
      </c>
      <c r="ES78" s="264">
        <f t="shared" si="467"/>
        <v>0</v>
      </c>
      <c r="ET78" s="265">
        <f t="shared" si="468"/>
        <v>0</v>
      </c>
      <c r="EU78" s="264">
        <f t="shared" si="469"/>
        <v>1786294.8</v>
      </c>
      <c r="EV78" s="264">
        <f>IF(AND(BM78="Yes",OR(BN78="No",AND(BN78="Yes",Inputs!$J$8=Inputs!$J$17+75))),EU78,0)</f>
        <v>0</v>
      </c>
      <c r="EW78" s="265">
        <f t="shared" si="470"/>
        <v>0</v>
      </c>
      <c r="EX78" s="264">
        <f t="shared" si="471"/>
        <v>1786294.8</v>
      </c>
      <c r="EY78" s="264">
        <f t="shared" si="472"/>
        <v>0</v>
      </c>
      <c r="EZ78" s="265">
        <f t="shared" si="473"/>
        <v>0</v>
      </c>
      <c r="FA78" s="264">
        <f t="shared" si="474"/>
        <v>1786294.8</v>
      </c>
      <c r="FB78" s="264">
        <f t="shared" si="475"/>
        <v>0</v>
      </c>
      <c r="FC78" s="265">
        <f t="shared" si="476"/>
        <v>0</v>
      </c>
      <c r="FD78" s="264">
        <f t="shared" si="477"/>
        <v>1786294.8</v>
      </c>
      <c r="FE78" s="264">
        <f t="shared" si="478"/>
        <v>0</v>
      </c>
      <c r="FF78" s="265">
        <f t="shared" si="479"/>
        <v>0</v>
      </c>
      <c r="FG78" s="264">
        <f t="shared" si="480"/>
        <v>1786294.8</v>
      </c>
      <c r="FH78" s="264">
        <f t="shared" si="481"/>
        <v>1786294.8</v>
      </c>
      <c r="FI78" s="264">
        <f t="shared" si="482"/>
        <v>0</v>
      </c>
      <c r="FJ78" s="264">
        <f t="shared" si="483"/>
        <v>1786294.8</v>
      </c>
      <c r="FK78" s="264">
        <f t="shared" si="484"/>
        <v>1786294.8</v>
      </c>
      <c r="FL78" s="264">
        <f t="shared" si="485"/>
        <v>0</v>
      </c>
      <c r="FM78" s="264">
        <f t="shared" si="486"/>
        <v>1786294.8</v>
      </c>
      <c r="FN78" s="264">
        <f t="shared" si="487"/>
        <v>1786294.8</v>
      </c>
      <c r="FO78" s="264">
        <f t="shared" si="488"/>
        <v>0</v>
      </c>
      <c r="FP78" s="264">
        <f t="shared" si="489"/>
        <v>1786294.8</v>
      </c>
      <c r="FQ78" s="264">
        <f t="shared" si="490"/>
        <v>0</v>
      </c>
      <c r="FR78" s="265">
        <f t="shared" si="491"/>
        <v>0</v>
      </c>
      <c r="FS78" s="264">
        <f t="shared" si="492"/>
        <v>1786294.8</v>
      </c>
      <c r="FT78" s="264">
        <f t="shared" si="493"/>
        <v>0</v>
      </c>
      <c r="FU78" s="265">
        <f t="shared" si="494"/>
        <v>0</v>
      </c>
      <c r="FV78" s="264">
        <f t="shared" si="495"/>
        <v>1786294.8</v>
      </c>
      <c r="FW78" s="264">
        <f t="shared" si="496"/>
        <v>0</v>
      </c>
      <c r="FX78" s="264">
        <f t="shared" si="497"/>
        <v>0</v>
      </c>
      <c r="FY78" s="264">
        <f t="shared" si="498"/>
        <v>0</v>
      </c>
      <c r="FZ78" s="264">
        <f t="shared" si="499"/>
        <v>0</v>
      </c>
      <c r="GA78" s="265">
        <f t="shared" si="500"/>
        <v>0</v>
      </c>
      <c r="GB78" s="264">
        <f t="shared" si="501"/>
        <v>1786294.8</v>
      </c>
      <c r="GC78" s="264">
        <f t="shared" si="502"/>
        <v>1786294.8</v>
      </c>
      <c r="GD78" s="266">
        <f t="shared" si="503"/>
        <v>1295063.73</v>
      </c>
      <c r="GE78" s="138">
        <f t="shared" si="504"/>
        <v>0.65249999999999997</v>
      </c>
      <c r="GF78" s="267">
        <f t="shared" si="505"/>
        <v>41</v>
      </c>
      <c r="GG78" s="264">
        <f t="array" ref="GG78">IF(SUM(IF(IC$9:IC77=IC78,1,0))&gt;0,0,SUMIF($IC$10:$IC$406,IC78,$FJ$10:$FJ$406))</f>
        <v>0</v>
      </c>
      <c r="GH78" s="268">
        <f t="shared" si="506"/>
        <v>0</v>
      </c>
      <c r="GI78" s="137">
        <f t="shared" si="126"/>
        <v>69</v>
      </c>
      <c r="GJ78" s="269">
        <f t="shared" si="507"/>
        <v>0</v>
      </c>
      <c r="GK78" s="269">
        <f t="shared" si="508"/>
        <v>0</v>
      </c>
      <c r="GL78" s="163">
        <f t="shared" si="509"/>
        <v>0</v>
      </c>
      <c r="GM78" s="137">
        <f t="array" ref="GM78">IF(GJ78=0,0,LARGE(IF($GG$10:$GG$406=GJ78,$GF$10:$GF$406,0),COUNTIF($GJ$10:$GJ$406,GJ78)-COUNTIF(GJ$9:GJ77,GJ78)))</f>
        <v>0</v>
      </c>
      <c r="GN78" s="270">
        <f t="shared" si="510"/>
        <v>0</v>
      </c>
      <c r="GP78" s="137">
        <f>IF(C78="","",IF(ISERROR(MATCH(C78,C$10:C77,0)),MAX(GP$10:GP77)+1,INDEX(GP$10:GP77,MATCH(C78,C$10:C77,0))))</f>
        <v>59</v>
      </c>
      <c r="GQ78" s="264">
        <f>IF(COUNTIF($A$10:A78,A78)&lt;=1,SUMIF($A$10:$A$406,A78,$FH$10:$FH$406),0)</f>
        <v>1786294.8</v>
      </c>
      <c r="GR78" s="137">
        <f t="shared" si="130"/>
        <v>69</v>
      </c>
      <c r="GS78" s="269">
        <f t="shared" si="511"/>
        <v>3510691</v>
      </c>
      <c r="GT78" s="269">
        <f t="shared" si="512"/>
        <v>50964284.172430128</v>
      </c>
      <c r="GU78" s="163">
        <f t="shared" si="513"/>
        <v>0</v>
      </c>
      <c r="GV78" s="137">
        <f t="array" ref="GV78">IF(GS78=0,0,LARGE(IF($GQ$10:$GQ$406=GS78,$GP$10:$GP$406,0),COUNTIF($GS$10:$GS$406,GS78)-COUNTIF(GS$9:GS77,GS78)))</f>
        <v>29</v>
      </c>
      <c r="GW78" s="270">
        <f t="shared" si="514"/>
        <v>0</v>
      </c>
      <c r="GX78" s="270"/>
      <c r="GY78" s="137">
        <f>IF(C78="","",IF(ISERROR(MATCH(C78,C$10:C77,0)),MAX(GP$10:GP77)+1,INDEX(GP$10:GP77,MATCH(C78,C$10:C77,0))))</f>
        <v>59</v>
      </c>
      <c r="GZ78" s="264">
        <f>IF(COUNTIF($A$10:A78,A78)&lt;=1,SUMIF($A$10:$A$406,A78,$FH$10:$FH$406),0)</f>
        <v>1786294.8</v>
      </c>
      <c r="HA78" s="137">
        <f t="shared" si="134"/>
        <v>69</v>
      </c>
      <c r="HB78" s="269">
        <f t="shared" si="515"/>
        <v>3510691</v>
      </c>
      <c r="HC78" s="414" t="s">
        <v>622</v>
      </c>
      <c r="HD78" s="163">
        <f t="shared" si="516"/>
        <v>0</v>
      </c>
      <c r="HE78" s="137">
        <f t="array" ref="HE78">IF(HB78=0,0,LARGE(IF($GZ$10:$GZ$406=HB78,$GY$10:$GY$406,0),COUNTIF($HB$10:$HB$406,HB78)-COUNTIF(HB$9:HB77,HB78)))</f>
        <v>29</v>
      </c>
      <c r="HF78" s="270">
        <f t="shared" si="517"/>
        <v>0</v>
      </c>
      <c r="HG78"/>
      <c r="HH78" s="268">
        <f t="shared" si="518"/>
        <v>0</v>
      </c>
      <c r="HI78" s="271">
        <v>0</v>
      </c>
      <c r="HJ78" s="264">
        <f t="shared" si="519"/>
        <v>0</v>
      </c>
      <c r="HL78" s="137">
        <f t="shared" si="520"/>
        <v>69</v>
      </c>
      <c r="HM78" s="264">
        <f t="shared" si="300"/>
        <v>1835064.8063999999</v>
      </c>
      <c r="HO78" s="199">
        <f t="shared" si="301"/>
        <v>1786294.8</v>
      </c>
      <c r="HP78" s="199">
        <f t="shared" si="302"/>
        <v>1984772</v>
      </c>
      <c r="HQ78" s="199" t="str">
        <f t="shared" si="303"/>
        <v/>
      </c>
      <c r="HR78" s="199" t="str">
        <f t="shared" si="304"/>
        <v/>
      </c>
      <c r="HS78" s="199" t="str">
        <f t="shared" si="119"/>
        <v/>
      </c>
      <c r="HT78" s="199">
        <f t="shared" si="305"/>
        <v>1786294.8</v>
      </c>
      <c r="HU78" s="199" t="str">
        <f t="shared" si="306"/>
        <v/>
      </c>
      <c r="HV78" s="200">
        <f t="shared" si="307"/>
        <v>0</v>
      </c>
      <c r="HW78" s="272" t="str">
        <f t="shared" si="308"/>
        <v/>
      </c>
      <c r="HX78" s="200">
        <f t="shared" si="309"/>
        <v>0</v>
      </c>
      <c r="HY78" s="200">
        <f t="shared" si="310"/>
        <v>1786294.8</v>
      </c>
      <c r="HZ78" s="200">
        <f t="shared" si="4"/>
        <v>0</v>
      </c>
      <c r="IA78" s="200">
        <f t="shared" si="311"/>
        <v>0</v>
      </c>
      <c r="IB78" s="200">
        <f t="shared" si="312"/>
        <v>0</v>
      </c>
      <c r="IC78" s="273">
        <f>IF(C78="","",INDEX(Lookups!$E$2:$E$69,MATCH('Loan List'!BE78,Lookups!$F$2:$F$69,0)))</f>
        <v>41</v>
      </c>
      <c r="ID78" t="b">
        <f t="shared" si="313"/>
        <v>1</v>
      </c>
      <c r="IF78" s="346">
        <f t="shared" si="121"/>
        <v>0.9</v>
      </c>
    </row>
    <row r="79" spans="1:240">
      <c r="A79" t="s">
        <v>857</v>
      </c>
      <c r="B79" s="242">
        <f t="shared" si="402"/>
        <v>70</v>
      </c>
      <c r="C79" s="242">
        <f>IF(COUNTIF($A$10:A78,A79)&gt;0,C78,C78+1)</f>
        <v>60</v>
      </c>
      <c r="D79" s="431" t="s">
        <v>755</v>
      </c>
      <c r="E79" s="428" t="s">
        <v>830</v>
      </c>
      <c r="F79" s="429"/>
      <c r="G79" s="430">
        <v>583500</v>
      </c>
      <c r="H79" s="430">
        <v>583500</v>
      </c>
      <c r="I79" s="244">
        <f>IF(B79="","",VLOOKUP(BF79,Inputs!$A$12:$J$15,10,FALSE))</f>
        <v>1</v>
      </c>
      <c r="J79" s="245">
        <f>IF(B79="","",G79*I79)</f>
        <v>583500</v>
      </c>
      <c r="K79" s="245">
        <f>IF(B79="","",H79*I79)</f>
        <v>583500</v>
      </c>
      <c r="L79" s="245">
        <f>IF(B79="","",IF(COUNTIF($CF79:$CY79,1)&gt;0,0,J79))</f>
        <v>0</v>
      </c>
      <c r="M79" s="245">
        <f>IF(B79="","",IF(COUNTIF($CF79:$CY79,1)&gt;0,0,K79))</f>
        <v>0</v>
      </c>
      <c r="N79" s="246" t="s">
        <v>246</v>
      </c>
      <c r="O79" s="246" t="s">
        <v>245</v>
      </c>
      <c r="P79" s="247">
        <f>IF(B79="","",IF(OR(O79="N/A",O79=""),0,YEARFRAC('Borrowing Base'!$J$4,'Loan List'!O79)*12))</f>
        <v>0</v>
      </c>
      <c r="Q79" s="246" t="s">
        <v>246</v>
      </c>
      <c r="R79" s="248">
        <v>0.33572412152876335</v>
      </c>
      <c r="S79" s="249" t="str">
        <f>IF(B79="","",IF(R79&lt;95%,"Yes","No"))</f>
        <v>Yes</v>
      </c>
      <c r="T79" s="248">
        <v>0.8247199999999999</v>
      </c>
      <c r="U79" s="250">
        <f>IF(B79="","",IF(OR(Y79="First Lien",Y79="Split First Lien",Y79="Tier 1 Split Lien",Y79="Tier 2 Split Lien"),50%,30%))</f>
        <v>0.5</v>
      </c>
      <c r="V79" s="250">
        <f t="shared" si="10"/>
        <v>0.72499999999999998</v>
      </c>
      <c r="W79" s="251">
        <f t="shared" si="385"/>
        <v>0</v>
      </c>
      <c r="X79" s="246" t="s">
        <v>246</v>
      </c>
      <c r="Y79" s="252" t="s">
        <v>483</v>
      </c>
      <c r="Z79" s="252" t="s">
        <v>484</v>
      </c>
      <c r="AA79" s="253" t="s">
        <v>407</v>
      </c>
      <c r="AB79" s="253" t="s">
        <v>407</v>
      </c>
      <c r="AC79" s="254">
        <v>1.59</v>
      </c>
      <c r="AD79" s="254">
        <v>1.59</v>
      </c>
      <c r="AE79" s="254">
        <v>1.75</v>
      </c>
      <c r="AF79" s="255">
        <v>0.35399999999999998</v>
      </c>
      <c r="AG79" s="256">
        <v>4.7699999999999996</v>
      </c>
      <c r="AH79" s="256">
        <v>4.7699999999999996</v>
      </c>
      <c r="AI79" s="256">
        <v>4.7699999999999996</v>
      </c>
      <c r="AJ79" s="256">
        <v>4.7699999999999996</v>
      </c>
      <c r="AK79" s="257">
        <v>24347132</v>
      </c>
      <c r="AL79" s="257">
        <v>24347132</v>
      </c>
      <c r="AM79" s="258">
        <v>45838</v>
      </c>
      <c r="AN79" s="245" t="str">
        <f>IF(C79="","",(IF(AK79&gt;=50000000,"Tier 1",(IF(OR(AK79&gt;=20000000,AND(AK79&gt;5000000,AC79&gt;=1.25,AF79&lt;=0.65)),"Tier 2","Tier 3")))))</f>
        <v>Tier 2</v>
      </c>
      <c r="AO79" s="243">
        <v>46965</v>
      </c>
      <c r="AP79" s="259">
        <f>IF(C79="","",DAYS360(Inputs!$J$8,AO79)/360)</f>
        <v>2.9361111111111109</v>
      </c>
      <c r="AQ79" s="259">
        <f>IF(C79="","",AP79)</f>
        <v>2.9361111111111109</v>
      </c>
      <c r="AR79" s="246" t="s">
        <v>246</v>
      </c>
      <c r="AS79" s="248">
        <v>0</v>
      </c>
      <c r="AT79" s="246" t="s">
        <v>64</v>
      </c>
      <c r="AU79" s="248">
        <v>0.01</v>
      </c>
      <c r="AV79" s="248">
        <v>5.5E-2</v>
      </c>
      <c r="AW79" s="248">
        <v>4.2999999999999997E-2</v>
      </c>
      <c r="AX79" s="260">
        <f>IF(C79="","",MAX(AU79,AW79))</f>
        <v>4.2999999999999997E-2</v>
      </c>
      <c r="AY79" s="248">
        <v>0</v>
      </c>
      <c r="AZ79" s="248">
        <v>0</v>
      </c>
      <c r="BA79" s="248">
        <v>0</v>
      </c>
      <c r="BB79" s="407">
        <f>IF(B79="","",IF(AR79="No",AV79-AZ79,""))</f>
        <v>5.5E-2</v>
      </c>
      <c r="BC79" s="407" t="str">
        <f>IF(B79="","",IF(AR79="Yes",AS79-BA79,""))</f>
        <v/>
      </c>
      <c r="BD79" s="252" t="s">
        <v>247</v>
      </c>
      <c r="BE79" s="261" t="s">
        <v>427</v>
      </c>
      <c r="BF79" s="252" t="s">
        <v>7</v>
      </c>
      <c r="BG79" s="252" t="s">
        <v>460</v>
      </c>
      <c r="BH79" s="246" t="s">
        <v>246</v>
      </c>
      <c r="BI79" s="408" t="str">
        <f t="shared" si="17"/>
        <v>No</v>
      </c>
      <c r="BJ79" s="408" t="str">
        <f>IF(B79="","",IF(OR(AND(AZ79&gt;0,BB79&lt;2.5%),AND(BA79&gt;0,BC79&lt;6%)),"Yes","No"))</f>
        <v>No</v>
      </c>
      <c r="BK79" s="246" t="s">
        <v>246</v>
      </c>
      <c r="BL79" s="246" t="s">
        <v>246</v>
      </c>
      <c r="BM79" s="246" t="s">
        <v>64</v>
      </c>
      <c r="BN79" s="246" t="s">
        <v>64</v>
      </c>
      <c r="BO79" s="246" t="s">
        <v>246</v>
      </c>
      <c r="BP79" s="246" t="s">
        <v>246</v>
      </c>
      <c r="BQ79" s="246" t="s">
        <v>246</v>
      </c>
      <c r="BR79" s="246" t="s">
        <v>246</v>
      </c>
      <c r="BS79" s="246" t="s">
        <v>246</v>
      </c>
      <c r="BT79" s="246" t="s">
        <v>246</v>
      </c>
      <c r="BU79" s="246" t="s">
        <v>246</v>
      </c>
      <c r="BV79" s="246" t="s">
        <v>246</v>
      </c>
      <c r="BW79" s="246" t="s">
        <v>246</v>
      </c>
      <c r="BX79" s="246" t="s">
        <v>246</v>
      </c>
      <c r="BY79" s="246" t="s">
        <v>246</v>
      </c>
      <c r="BZ79" s="246" t="s">
        <v>246</v>
      </c>
      <c r="CA79" s="246" t="s">
        <v>246</v>
      </c>
      <c r="CB79" s="246" t="s">
        <v>64</v>
      </c>
      <c r="CC79" s="262">
        <f>IF(B79="","",IF(AT79="No",((BB79+AW79)-$AZ$4),((BB79+AX79)-$AZ$4))*IF(DE79&gt;0,0,M79))</f>
        <v>0</v>
      </c>
      <c r="CD79" s="262">
        <f>IF(B79="","",AY79*(L79-M79)*IF(DE79&gt;0,0,1))</f>
        <v>0</v>
      </c>
      <c r="CE79" s="263"/>
      <c r="CF79" s="263">
        <f t="shared" si="403"/>
        <v>1</v>
      </c>
      <c r="CG79" s="263">
        <f t="shared" si="404"/>
        <v>0</v>
      </c>
      <c r="CH79" s="263">
        <f t="shared" si="405"/>
        <v>0</v>
      </c>
      <c r="CI79" s="263">
        <f t="shared" si="406"/>
        <v>0</v>
      </c>
      <c r="CJ79" s="263">
        <f t="shared" si="407"/>
        <v>0</v>
      </c>
      <c r="CK79" s="263">
        <f t="shared" si="408"/>
        <v>0</v>
      </c>
      <c r="CL79" s="263">
        <f t="shared" si="409"/>
        <v>0</v>
      </c>
      <c r="CM79" s="263">
        <f t="shared" si="410"/>
        <v>0</v>
      </c>
      <c r="CN79" s="263">
        <f t="shared" si="411"/>
        <v>0</v>
      </c>
      <c r="CO79" s="263">
        <f t="shared" si="412"/>
        <v>0</v>
      </c>
      <c r="CP79" s="263">
        <f t="shared" si="413"/>
        <v>0</v>
      </c>
      <c r="CQ79" s="263">
        <f t="shared" si="414"/>
        <v>0</v>
      </c>
      <c r="CR79" s="263">
        <f t="shared" si="415"/>
        <v>0</v>
      </c>
      <c r="CS79" s="263">
        <f t="shared" si="416"/>
        <v>0</v>
      </c>
      <c r="CT79" s="263">
        <f t="shared" si="417"/>
        <v>0</v>
      </c>
      <c r="CU79" s="263">
        <f t="shared" si="418"/>
        <v>0</v>
      </c>
      <c r="CV79" s="263">
        <f t="shared" si="419"/>
        <v>0</v>
      </c>
      <c r="CW79" s="263">
        <f t="shared" si="420"/>
        <v>0</v>
      </c>
      <c r="CX79" s="263">
        <f>IF(CB79="No",1,0)</f>
        <v>0</v>
      </c>
      <c r="CY79" s="263">
        <f t="shared" si="422"/>
        <v>0</v>
      </c>
      <c r="CZ79" s="263">
        <f t="shared" si="423"/>
        <v>0</v>
      </c>
      <c r="DA79" s="263">
        <f t="shared" si="424"/>
        <v>1</v>
      </c>
      <c r="DB79" s="263">
        <f t="shared" si="425"/>
        <v>0</v>
      </c>
      <c r="DC79" s="263">
        <f t="shared" si="426"/>
        <v>0</v>
      </c>
      <c r="DD79" s="263">
        <f t="shared" si="427"/>
        <v>0</v>
      </c>
      <c r="DE79" s="263">
        <f t="shared" si="428"/>
        <v>0</v>
      </c>
      <c r="DF79" s="263">
        <f t="shared" si="429"/>
        <v>0</v>
      </c>
      <c r="DG79" s="263">
        <f t="shared" si="430"/>
        <v>0</v>
      </c>
      <c r="DH79" s="263">
        <f t="shared" si="431"/>
        <v>0</v>
      </c>
      <c r="DI79" s="263">
        <f t="shared" si="432"/>
        <v>0</v>
      </c>
      <c r="DJ79" s="263">
        <f t="shared" si="433"/>
        <v>0</v>
      </c>
      <c r="DK79" s="263">
        <f t="shared" si="434"/>
        <v>0</v>
      </c>
      <c r="DL79" s="263">
        <f t="shared" si="435"/>
        <v>0</v>
      </c>
      <c r="DM79" s="263">
        <f t="shared" si="436"/>
        <v>0</v>
      </c>
      <c r="DO79" s="264">
        <f t="shared" si="437"/>
        <v>0</v>
      </c>
      <c r="DP79" s="265">
        <f t="shared" si="438"/>
        <v>0</v>
      </c>
      <c r="DQ79" s="264">
        <f t="shared" si="439"/>
        <v>0</v>
      </c>
      <c r="DR79" s="264">
        <f t="shared" si="440"/>
        <v>0</v>
      </c>
      <c r="DS79" s="265">
        <f t="shared" si="441"/>
        <v>0</v>
      </c>
      <c r="DT79" s="264">
        <f t="shared" si="442"/>
        <v>0</v>
      </c>
      <c r="DU79" s="264">
        <f t="shared" si="443"/>
        <v>0</v>
      </c>
      <c r="DV79" s="265">
        <f t="shared" si="444"/>
        <v>0</v>
      </c>
      <c r="DW79" s="264">
        <f t="shared" si="445"/>
        <v>0</v>
      </c>
      <c r="DX79" s="264">
        <f t="shared" si="446"/>
        <v>0</v>
      </c>
      <c r="DY79" s="265">
        <f t="shared" si="447"/>
        <v>0</v>
      </c>
      <c r="DZ79" s="264">
        <f t="shared" si="448"/>
        <v>0</v>
      </c>
      <c r="EA79" s="264">
        <f t="shared" si="449"/>
        <v>0</v>
      </c>
      <c r="EB79" s="265">
        <f t="shared" si="450"/>
        <v>0</v>
      </c>
      <c r="EC79" s="264">
        <f t="shared" si="451"/>
        <v>0</v>
      </c>
      <c r="ED79" s="264">
        <f t="shared" si="452"/>
        <v>0</v>
      </c>
      <c r="EE79" s="265">
        <f t="shared" si="453"/>
        <v>0</v>
      </c>
      <c r="EF79" s="264">
        <f t="shared" si="454"/>
        <v>0</v>
      </c>
      <c r="EG79" s="264">
        <f t="shared" si="455"/>
        <v>0</v>
      </c>
      <c r="EH79" s="265">
        <f t="shared" si="456"/>
        <v>0</v>
      </c>
      <c r="EI79" s="264">
        <f t="shared" si="457"/>
        <v>0</v>
      </c>
      <c r="EJ79" s="264">
        <f t="shared" si="458"/>
        <v>0</v>
      </c>
      <c r="EK79" s="265">
        <f t="shared" si="459"/>
        <v>0</v>
      </c>
      <c r="EL79" s="264">
        <f t="shared" si="460"/>
        <v>0</v>
      </c>
      <c r="EM79" s="264">
        <f t="shared" si="461"/>
        <v>0</v>
      </c>
      <c r="EN79" s="265">
        <f t="shared" si="462"/>
        <v>0</v>
      </c>
      <c r="EO79" s="264">
        <f t="shared" si="463"/>
        <v>0</v>
      </c>
      <c r="EP79" s="264">
        <f t="shared" si="464"/>
        <v>0</v>
      </c>
      <c r="EQ79" s="265">
        <f t="shared" si="465"/>
        <v>0</v>
      </c>
      <c r="ER79" s="264">
        <f t="shared" si="466"/>
        <v>0</v>
      </c>
      <c r="ES79" s="264">
        <f t="shared" si="467"/>
        <v>0</v>
      </c>
      <c r="ET79" s="265">
        <f t="shared" si="468"/>
        <v>0</v>
      </c>
      <c r="EU79" s="264">
        <f t="shared" si="469"/>
        <v>0</v>
      </c>
      <c r="EV79" s="264">
        <f>IF(AND(BM79="Yes",OR(BN79="No",AND(BN79="Yes",Inputs!$J$8=Inputs!$J$17+75))),EU79,0)</f>
        <v>0</v>
      </c>
      <c r="EW79" s="265">
        <f t="shared" si="470"/>
        <v>0</v>
      </c>
      <c r="EX79" s="264">
        <f t="shared" si="471"/>
        <v>0</v>
      </c>
      <c r="EY79" s="264">
        <f t="shared" si="472"/>
        <v>0</v>
      </c>
      <c r="EZ79" s="265">
        <f t="shared" si="473"/>
        <v>0</v>
      </c>
      <c r="FA79" s="264">
        <f t="shared" si="474"/>
        <v>0</v>
      </c>
      <c r="FB79" s="264">
        <f t="shared" si="475"/>
        <v>0</v>
      </c>
      <c r="FC79" s="265">
        <f t="shared" si="476"/>
        <v>0</v>
      </c>
      <c r="FD79" s="264">
        <f t="shared" si="477"/>
        <v>0</v>
      </c>
      <c r="FE79" s="264">
        <f t="shared" si="478"/>
        <v>0</v>
      </c>
      <c r="FF79" s="265">
        <f t="shared" si="479"/>
        <v>0</v>
      </c>
      <c r="FG79" s="264">
        <f t="shared" si="480"/>
        <v>0</v>
      </c>
      <c r="FH79" s="264">
        <f t="shared" si="481"/>
        <v>0</v>
      </c>
      <c r="FI79" s="264">
        <f t="shared" si="482"/>
        <v>0</v>
      </c>
      <c r="FJ79" s="264">
        <f t="shared" si="483"/>
        <v>0</v>
      </c>
      <c r="FK79" s="264">
        <f t="shared" si="484"/>
        <v>0</v>
      </c>
      <c r="FL79" s="264">
        <f t="shared" si="485"/>
        <v>0</v>
      </c>
      <c r="FM79" s="264">
        <f t="shared" si="486"/>
        <v>0</v>
      </c>
      <c r="FN79" s="264">
        <f t="shared" si="487"/>
        <v>0</v>
      </c>
      <c r="FO79" s="264">
        <f t="shared" si="488"/>
        <v>0</v>
      </c>
      <c r="FP79" s="264">
        <f t="shared" si="489"/>
        <v>0</v>
      </c>
      <c r="FQ79" s="264">
        <f t="shared" si="490"/>
        <v>0</v>
      </c>
      <c r="FR79" s="265">
        <f t="shared" si="491"/>
        <v>0</v>
      </c>
      <c r="FS79" s="264">
        <f t="shared" si="492"/>
        <v>0</v>
      </c>
      <c r="FT79" s="264">
        <f t="shared" si="493"/>
        <v>0</v>
      </c>
      <c r="FU79" s="265">
        <f t="shared" si="494"/>
        <v>0</v>
      </c>
      <c r="FV79" s="264">
        <f t="shared" si="495"/>
        <v>0</v>
      </c>
      <c r="FW79" s="264">
        <f t="shared" si="496"/>
        <v>0</v>
      </c>
      <c r="FX79" s="264">
        <f t="shared" si="497"/>
        <v>0</v>
      </c>
      <c r="FY79" s="264">
        <f t="shared" si="498"/>
        <v>0</v>
      </c>
      <c r="FZ79" s="264">
        <f t="shared" si="499"/>
        <v>0</v>
      </c>
      <c r="GA79" s="265">
        <f t="shared" si="500"/>
        <v>0</v>
      </c>
      <c r="GB79" s="264">
        <f t="shared" si="501"/>
        <v>0</v>
      </c>
      <c r="GC79" s="264">
        <f t="shared" si="502"/>
        <v>0</v>
      </c>
      <c r="GD79" s="266">
        <f t="shared" si="503"/>
        <v>0</v>
      </c>
      <c r="GE79" s="138">
        <f t="shared" si="504"/>
        <v>0</v>
      </c>
      <c r="GF79" s="267">
        <f t="shared" si="505"/>
        <v>41</v>
      </c>
      <c r="GG79" s="264">
        <f t="array" ref="GG79">IF(SUM(IF(IC$9:IC78=IC79,1,0))&gt;0,0,SUMIF($IC$10:$IC$406,IC79,$FJ$10:$FJ$406))</f>
        <v>0</v>
      </c>
      <c r="GH79" s="268">
        <f t="shared" si="506"/>
        <v>0</v>
      </c>
      <c r="GI79" s="137">
        <f t="shared" si="126"/>
        <v>70</v>
      </c>
      <c r="GJ79" s="269">
        <f t="shared" si="507"/>
        <v>0</v>
      </c>
      <c r="GK79" s="269">
        <f t="shared" si="508"/>
        <v>0</v>
      </c>
      <c r="GL79" s="163">
        <f t="shared" si="509"/>
        <v>0</v>
      </c>
      <c r="GM79" s="137">
        <f t="array" ref="GM79">IF(GJ79=0,0,LARGE(IF($GG$10:$GG$406=GJ79,$GF$10:$GF$406,0),COUNTIF($GJ$10:$GJ$406,GJ79)-COUNTIF(GJ$9:GJ78,GJ79)))</f>
        <v>0</v>
      </c>
      <c r="GN79" s="270">
        <f t="shared" si="510"/>
        <v>0</v>
      </c>
      <c r="GP79" s="137">
        <f>IF(C79="","",IF(ISERROR(MATCH(C79,C$10:C78,0)),MAX(GP$10:GP78)+1,INDEX(GP$10:GP78,MATCH(C79,C$10:C78,0))))</f>
        <v>60</v>
      </c>
      <c r="GQ79" s="264">
        <f>IF(COUNTIF($A$10:A79,A79)&lt;=1,SUMIF($A$10:$A$406,A79,$FH$10:$FH$406),0)</f>
        <v>0</v>
      </c>
      <c r="GR79" s="137">
        <f t="shared" si="130"/>
        <v>70</v>
      </c>
      <c r="GS79" s="269">
        <f t="shared" si="511"/>
        <v>3478536.8499499992</v>
      </c>
      <c r="GT79" s="269">
        <f t="shared" si="512"/>
        <v>50964284.172430128</v>
      </c>
      <c r="GU79" s="163">
        <f t="shared" si="513"/>
        <v>0</v>
      </c>
      <c r="GV79" s="137">
        <f t="array" ref="GV79">IF(GS79=0,0,LARGE(IF($GQ$10:$GQ$406=GS79,$GP$10:$GP$406,0),COUNTIF($GS$10:$GS$406,GS79)-COUNTIF(GS$9:GS78,GS79)))</f>
        <v>38</v>
      </c>
      <c r="GW79" s="270">
        <f t="shared" si="514"/>
        <v>0</v>
      </c>
      <c r="GX79" s="270"/>
      <c r="GY79" s="137">
        <f>IF(C79="","",IF(ISERROR(MATCH(C79,C$10:C78,0)),MAX(GP$10:GP78)+1,INDEX(GP$10:GP78,MATCH(C79,C$10:C78,0))))</f>
        <v>60</v>
      </c>
      <c r="GZ79" s="264">
        <f>IF(COUNTIF($A$10:A79,A79)&lt;=1,SUMIF($A$10:$A$406,A79,$FH$10:$FH$406),0)</f>
        <v>0</v>
      </c>
      <c r="HA79" s="137">
        <f t="shared" si="134"/>
        <v>70</v>
      </c>
      <c r="HB79" s="269">
        <f t="shared" si="515"/>
        <v>3478536.8499499992</v>
      </c>
      <c r="HC79" s="414" t="s">
        <v>622</v>
      </c>
      <c r="HD79" s="163">
        <f t="shared" si="516"/>
        <v>0</v>
      </c>
      <c r="HE79" s="137">
        <f t="array" ref="HE79">IF(HB79=0,0,LARGE(IF($GZ$10:$GZ$406=HB79,$GY$10:$GY$406,0),COUNTIF($HB$10:$HB$406,HB79)-COUNTIF(HB$9:HB78,HB79)))</f>
        <v>38</v>
      </c>
      <c r="HF79" s="270">
        <f t="shared" si="517"/>
        <v>0</v>
      </c>
      <c r="HG79" s="270"/>
      <c r="HH79" s="268">
        <f t="shared" si="518"/>
        <v>0</v>
      </c>
      <c r="HI79" s="271">
        <v>0</v>
      </c>
      <c r="HJ79" s="264">
        <f t="shared" si="519"/>
        <v>0</v>
      </c>
      <c r="HL79" s="137">
        <f t="shared" si="520"/>
        <v>70</v>
      </c>
      <c r="HM79" s="264">
        <f t="shared" ref="HM79:HM142" si="521">SUMIF($C$10:$C$406,HL79,$DH$10:$DH$406)</f>
        <v>34155778.5</v>
      </c>
      <c r="HN79"/>
      <c r="HO79" s="199">
        <f t="shared" si="301"/>
        <v>0</v>
      </c>
      <c r="HP79" s="199">
        <f t="shared" si="302"/>
        <v>0</v>
      </c>
      <c r="HQ79" s="199" t="str">
        <f t="shared" si="303"/>
        <v/>
      </c>
      <c r="HR79" s="199">
        <f t="shared" si="304"/>
        <v>0</v>
      </c>
      <c r="HS79" s="199" t="str">
        <f t="shared" si="119"/>
        <v/>
      </c>
      <c r="HT79" s="199">
        <f t="shared" si="305"/>
        <v>0</v>
      </c>
      <c r="HU79" s="199" t="str">
        <f t="shared" si="306"/>
        <v/>
      </c>
      <c r="HV79" s="200">
        <f t="shared" si="307"/>
        <v>0</v>
      </c>
      <c r="HW79" s="272">
        <f t="shared" si="308"/>
        <v>1</v>
      </c>
      <c r="HX79" s="200" t="str">
        <f t="shared" si="309"/>
        <v/>
      </c>
      <c r="HY79" s="200">
        <f t="shared" si="310"/>
        <v>0</v>
      </c>
      <c r="HZ79" s="200" t="str">
        <f t="shared" si="4"/>
        <v/>
      </c>
      <c r="IA79" s="200">
        <f t="shared" si="311"/>
        <v>0</v>
      </c>
      <c r="IB79" s="200" t="str">
        <f t="shared" si="312"/>
        <v/>
      </c>
      <c r="IC79" s="273">
        <f>IF(C79="","",INDEX(Lookups!$E$2:$E$69,MATCH('Loan List'!BE79,Lookups!$F$2:$F$69,0)))</f>
        <v>41</v>
      </c>
      <c r="ID79" t="b">
        <f t="shared" si="313"/>
        <v>1</v>
      </c>
      <c r="IF79" s="346">
        <f>IF(B79="","",IF(AND(Y79="Second Lien",OR(DA79=1,DB79=1,DC79=1)),50%,IF(DA79=1,90%,IF(DB79=1,80%,IF(DC79=1,65%,"No Initial Haircut")))))</f>
        <v>0.9</v>
      </c>
    </row>
    <row r="80" spans="1:240">
      <c r="A80" t="s">
        <v>857</v>
      </c>
      <c r="B80" s="242">
        <f t="shared" si="402"/>
        <v>71</v>
      </c>
      <c r="C80" s="242">
        <f>IF(COUNTIF($A$10:A79,A80)&gt;0,C79,C79+1)</f>
        <v>60</v>
      </c>
      <c r="D80" s="431" t="s">
        <v>756</v>
      </c>
      <c r="E80" s="428" t="s">
        <v>830</v>
      </c>
      <c r="F80" s="429"/>
      <c r="G80" s="430">
        <v>762527</v>
      </c>
      <c r="H80" s="430">
        <v>762527</v>
      </c>
      <c r="I80" s="244">
        <f>IF(B80="","",VLOOKUP(BF80,Inputs!$A$12:$J$15,10,FALSE))</f>
        <v>1</v>
      </c>
      <c r="J80" s="245">
        <f t="shared" si="5"/>
        <v>762527</v>
      </c>
      <c r="K80" s="245">
        <f t="shared" si="6"/>
        <v>762527</v>
      </c>
      <c r="L80" s="245">
        <f>IF(B80="","",IF(COUNTIF($CF80:$CY80,1)&gt;0,0,J80))</f>
        <v>0</v>
      </c>
      <c r="M80" s="245">
        <f t="shared" si="8"/>
        <v>0</v>
      </c>
      <c r="N80" s="246" t="s">
        <v>246</v>
      </c>
      <c r="O80" s="399" t="s">
        <v>245</v>
      </c>
      <c r="P80" s="247">
        <f>IF(B80="","",IF(OR(O80="N/A",O80=""),0,YEARFRAC('Borrowing Base'!$J$4,'Loan List'!O80)*12))</f>
        <v>0</v>
      </c>
      <c r="Q80" s="246" t="s">
        <v>246</v>
      </c>
      <c r="R80" s="248">
        <v>0.33572412152876335</v>
      </c>
      <c r="S80" s="249" t="str">
        <f t="shared" si="1"/>
        <v>Yes</v>
      </c>
      <c r="T80" s="248">
        <v>0.39499999619685605</v>
      </c>
      <c r="U80" s="250">
        <f t="shared" si="9"/>
        <v>0.5</v>
      </c>
      <c r="V80" s="250">
        <f t="shared" si="10"/>
        <v>0.72499999999999998</v>
      </c>
      <c r="W80" s="251">
        <f t="shared" si="385"/>
        <v>0</v>
      </c>
      <c r="X80" s="246" t="s">
        <v>246</v>
      </c>
      <c r="Y80" s="252" t="s">
        <v>483</v>
      </c>
      <c r="Z80" s="252" t="s">
        <v>484</v>
      </c>
      <c r="AA80" s="253" t="s">
        <v>407</v>
      </c>
      <c r="AB80" s="253" t="s">
        <v>407</v>
      </c>
      <c r="AC80" s="254">
        <v>1.59</v>
      </c>
      <c r="AD80" s="254">
        <v>1.59</v>
      </c>
      <c r="AE80" s="254">
        <v>1.75</v>
      </c>
      <c r="AF80" s="255">
        <v>0.35399999999999998</v>
      </c>
      <c r="AG80" s="256">
        <v>4.7699999999999996</v>
      </c>
      <c r="AH80" s="256">
        <v>4.7699999999999996</v>
      </c>
      <c r="AI80" s="256">
        <v>4.7699999999999996</v>
      </c>
      <c r="AJ80" s="256">
        <v>4.7699999999999996</v>
      </c>
      <c r="AK80" s="257">
        <v>24347132</v>
      </c>
      <c r="AL80" s="257">
        <v>24347132</v>
      </c>
      <c r="AM80" s="258">
        <v>45838</v>
      </c>
      <c r="AN80" s="245" t="str">
        <f t="shared" si="12"/>
        <v>Tier 2</v>
      </c>
      <c r="AO80" s="243">
        <v>46965</v>
      </c>
      <c r="AP80" s="259">
        <f>IF(C80="","",DAYS360(Inputs!$J$8,AO80)/360)</f>
        <v>2.9361111111111109</v>
      </c>
      <c r="AQ80" s="259">
        <f t="shared" si="13"/>
        <v>2.9361111111111109</v>
      </c>
      <c r="AR80" s="246" t="s">
        <v>246</v>
      </c>
      <c r="AS80" s="248">
        <v>0</v>
      </c>
      <c r="AT80" s="246" t="s">
        <v>64</v>
      </c>
      <c r="AU80" s="248">
        <v>0.01</v>
      </c>
      <c r="AV80" s="248">
        <v>5.5E-2</v>
      </c>
      <c r="AW80" s="248">
        <v>4.2999999999999997E-2</v>
      </c>
      <c r="AX80" s="260">
        <f t="shared" si="14"/>
        <v>4.2999999999999997E-2</v>
      </c>
      <c r="AY80" s="248">
        <v>0</v>
      </c>
      <c r="AZ80" s="248">
        <v>0</v>
      </c>
      <c r="BA80" s="248">
        <v>0</v>
      </c>
      <c r="BB80" s="407">
        <f t="shared" si="15"/>
        <v>5.5E-2</v>
      </c>
      <c r="BC80" s="407" t="str">
        <f t="shared" si="16"/>
        <v/>
      </c>
      <c r="BD80" s="252" t="s">
        <v>247</v>
      </c>
      <c r="BE80" s="261" t="s">
        <v>427</v>
      </c>
      <c r="BF80" s="252" t="s">
        <v>7</v>
      </c>
      <c r="BG80" s="252" t="s">
        <v>460</v>
      </c>
      <c r="BH80" s="246" t="s">
        <v>246</v>
      </c>
      <c r="BI80" s="408" t="str">
        <f t="shared" si="17"/>
        <v>No</v>
      </c>
      <c r="BJ80" s="408" t="str">
        <f t="shared" si="18"/>
        <v>No</v>
      </c>
      <c r="BK80" s="246" t="s">
        <v>246</v>
      </c>
      <c r="BL80" s="246" t="s">
        <v>246</v>
      </c>
      <c r="BM80" s="246" t="s">
        <v>64</v>
      </c>
      <c r="BN80" s="246" t="s">
        <v>64</v>
      </c>
      <c r="BO80" s="246" t="s">
        <v>246</v>
      </c>
      <c r="BP80" s="246" t="s">
        <v>246</v>
      </c>
      <c r="BQ80" s="246" t="s">
        <v>246</v>
      </c>
      <c r="BR80" s="246" t="s">
        <v>246</v>
      </c>
      <c r="BS80" s="246" t="s">
        <v>246</v>
      </c>
      <c r="BT80" s="246" t="s">
        <v>246</v>
      </c>
      <c r="BU80" s="246" t="s">
        <v>246</v>
      </c>
      <c r="BV80" s="246" t="s">
        <v>246</v>
      </c>
      <c r="BW80" s="246" t="s">
        <v>246</v>
      </c>
      <c r="BX80" s="246" t="s">
        <v>246</v>
      </c>
      <c r="BY80" s="246" t="s">
        <v>246</v>
      </c>
      <c r="BZ80" s="246" t="s">
        <v>246</v>
      </c>
      <c r="CA80" s="246" t="s">
        <v>246</v>
      </c>
      <c r="CB80" s="246" t="s">
        <v>64</v>
      </c>
      <c r="CC80" s="262">
        <f t="shared" si="19"/>
        <v>0</v>
      </c>
      <c r="CD80" s="262">
        <f t="shared" si="20"/>
        <v>0</v>
      </c>
      <c r="CE80" s="263"/>
      <c r="CF80" s="263">
        <f t="shared" si="403"/>
        <v>1</v>
      </c>
      <c r="CG80" s="263">
        <f t="shared" si="404"/>
        <v>0</v>
      </c>
      <c r="CH80" s="263">
        <f t="shared" si="405"/>
        <v>0</v>
      </c>
      <c r="CI80" s="263">
        <f t="shared" si="406"/>
        <v>0</v>
      </c>
      <c r="CJ80" s="263">
        <f t="shared" si="407"/>
        <v>0</v>
      </c>
      <c r="CK80" s="263">
        <f t="shared" si="408"/>
        <v>0</v>
      </c>
      <c r="CL80" s="263">
        <f t="shared" si="409"/>
        <v>0</v>
      </c>
      <c r="CM80" s="263">
        <f t="shared" si="410"/>
        <v>0</v>
      </c>
      <c r="CN80" s="263">
        <f t="shared" si="411"/>
        <v>0</v>
      </c>
      <c r="CO80" s="263">
        <f t="shared" si="412"/>
        <v>0</v>
      </c>
      <c r="CP80" s="263">
        <f t="shared" si="413"/>
        <v>0</v>
      </c>
      <c r="CQ80" s="263">
        <f t="shared" si="414"/>
        <v>0</v>
      </c>
      <c r="CR80" s="263">
        <f t="shared" si="415"/>
        <v>0</v>
      </c>
      <c r="CS80" s="263">
        <f t="shared" si="416"/>
        <v>0</v>
      </c>
      <c r="CT80" s="263">
        <f t="shared" si="417"/>
        <v>0</v>
      </c>
      <c r="CU80" s="263">
        <f t="shared" si="418"/>
        <v>0</v>
      </c>
      <c r="CV80" s="263">
        <f t="shared" si="419"/>
        <v>0</v>
      </c>
      <c r="CW80" s="263">
        <f t="shared" si="420"/>
        <v>0</v>
      </c>
      <c r="CX80" s="263">
        <f t="shared" si="421"/>
        <v>0</v>
      </c>
      <c r="CY80" s="263">
        <f t="shared" si="422"/>
        <v>0</v>
      </c>
      <c r="CZ80" s="263">
        <f t="shared" si="423"/>
        <v>0</v>
      </c>
      <c r="DA80" s="263">
        <f t="shared" si="424"/>
        <v>1</v>
      </c>
      <c r="DB80" s="263">
        <f t="shared" si="425"/>
        <v>0</v>
      </c>
      <c r="DC80" s="263">
        <f t="shared" si="426"/>
        <v>0</v>
      </c>
      <c r="DD80" s="263">
        <f t="shared" si="427"/>
        <v>0</v>
      </c>
      <c r="DE80" s="263">
        <f t="shared" si="428"/>
        <v>0</v>
      </c>
      <c r="DF80" s="263">
        <f t="shared" si="429"/>
        <v>0</v>
      </c>
      <c r="DG80" s="263">
        <f t="shared" si="430"/>
        <v>0</v>
      </c>
      <c r="DH80" s="263">
        <f t="shared" si="431"/>
        <v>0</v>
      </c>
      <c r="DI80" s="263">
        <f t="shared" si="432"/>
        <v>0</v>
      </c>
      <c r="DJ80" s="263">
        <f t="shared" si="433"/>
        <v>0</v>
      </c>
      <c r="DK80" s="263">
        <f t="shared" si="434"/>
        <v>0</v>
      </c>
      <c r="DL80" s="263">
        <f t="shared" si="435"/>
        <v>0</v>
      </c>
      <c r="DM80" s="263">
        <f t="shared" si="436"/>
        <v>0</v>
      </c>
      <c r="DO80" s="264">
        <f t="shared" si="437"/>
        <v>0</v>
      </c>
      <c r="DP80" s="265">
        <f t="shared" si="438"/>
        <v>0</v>
      </c>
      <c r="DQ80" s="264">
        <f t="shared" si="439"/>
        <v>0</v>
      </c>
      <c r="DR80" s="264">
        <f t="shared" si="440"/>
        <v>0</v>
      </c>
      <c r="DS80" s="265">
        <f t="shared" si="441"/>
        <v>0</v>
      </c>
      <c r="DT80" s="264">
        <f t="shared" si="442"/>
        <v>0</v>
      </c>
      <c r="DU80" s="264">
        <f t="shared" si="443"/>
        <v>0</v>
      </c>
      <c r="DV80" s="265">
        <f t="shared" si="444"/>
        <v>0</v>
      </c>
      <c r="DW80" s="264">
        <f t="shared" si="445"/>
        <v>0</v>
      </c>
      <c r="DX80" s="264">
        <f t="shared" si="446"/>
        <v>0</v>
      </c>
      <c r="DY80" s="265">
        <f t="shared" si="447"/>
        <v>0</v>
      </c>
      <c r="DZ80" s="264">
        <f t="shared" si="448"/>
        <v>0</v>
      </c>
      <c r="EA80" s="264">
        <f t="shared" si="449"/>
        <v>0</v>
      </c>
      <c r="EB80" s="265">
        <f t="shared" si="450"/>
        <v>0</v>
      </c>
      <c r="EC80" s="264">
        <f t="shared" si="451"/>
        <v>0</v>
      </c>
      <c r="ED80" s="264">
        <f t="shared" si="452"/>
        <v>0</v>
      </c>
      <c r="EE80" s="265">
        <f t="shared" si="453"/>
        <v>0</v>
      </c>
      <c r="EF80" s="264">
        <f t="shared" si="454"/>
        <v>0</v>
      </c>
      <c r="EG80" s="264">
        <f t="shared" si="455"/>
        <v>0</v>
      </c>
      <c r="EH80" s="265">
        <f t="shared" si="456"/>
        <v>0</v>
      </c>
      <c r="EI80" s="264">
        <f t="shared" si="457"/>
        <v>0</v>
      </c>
      <c r="EJ80" s="264">
        <f t="shared" si="458"/>
        <v>0</v>
      </c>
      <c r="EK80" s="265">
        <f t="shared" si="459"/>
        <v>0</v>
      </c>
      <c r="EL80" s="264">
        <f t="shared" si="460"/>
        <v>0</v>
      </c>
      <c r="EM80" s="264">
        <f t="shared" si="461"/>
        <v>0</v>
      </c>
      <c r="EN80" s="265">
        <f t="shared" si="462"/>
        <v>0</v>
      </c>
      <c r="EO80" s="264">
        <f t="shared" si="463"/>
        <v>0</v>
      </c>
      <c r="EP80" s="264">
        <f t="shared" si="464"/>
        <v>0</v>
      </c>
      <c r="EQ80" s="265">
        <f t="shared" si="465"/>
        <v>0</v>
      </c>
      <c r="ER80" s="264">
        <f t="shared" si="466"/>
        <v>0</v>
      </c>
      <c r="ES80" s="264">
        <f t="shared" si="467"/>
        <v>0</v>
      </c>
      <c r="ET80" s="265">
        <f t="shared" si="468"/>
        <v>0</v>
      </c>
      <c r="EU80" s="264">
        <f t="shared" si="469"/>
        <v>0</v>
      </c>
      <c r="EV80" s="264">
        <f>IF(AND(BM80="Yes",OR(BN80="No",AND(BN80="Yes",Inputs!$J$8=Inputs!$J$17+75))),EU80,0)</f>
        <v>0</v>
      </c>
      <c r="EW80" s="265">
        <f t="shared" si="470"/>
        <v>0</v>
      </c>
      <c r="EX80" s="264">
        <f t="shared" si="471"/>
        <v>0</v>
      </c>
      <c r="EY80" s="264">
        <f t="shared" si="472"/>
        <v>0</v>
      </c>
      <c r="EZ80" s="265">
        <f t="shared" si="473"/>
        <v>0</v>
      </c>
      <c r="FA80" s="264">
        <f t="shared" si="474"/>
        <v>0</v>
      </c>
      <c r="FB80" s="264">
        <f t="shared" si="475"/>
        <v>0</v>
      </c>
      <c r="FC80" s="265">
        <f t="shared" si="476"/>
        <v>0</v>
      </c>
      <c r="FD80" s="264">
        <f t="shared" si="477"/>
        <v>0</v>
      </c>
      <c r="FE80" s="264">
        <f t="shared" si="478"/>
        <v>0</v>
      </c>
      <c r="FF80" s="265">
        <f t="shared" si="479"/>
        <v>0</v>
      </c>
      <c r="FG80" s="264">
        <f t="shared" si="480"/>
        <v>0</v>
      </c>
      <c r="FH80" s="264">
        <f t="shared" si="481"/>
        <v>0</v>
      </c>
      <c r="FI80" s="264">
        <f t="shared" si="482"/>
        <v>0</v>
      </c>
      <c r="FJ80" s="264">
        <f t="shared" si="483"/>
        <v>0</v>
      </c>
      <c r="FK80" s="264">
        <f t="shared" si="484"/>
        <v>0</v>
      </c>
      <c r="FL80" s="264">
        <f t="shared" si="485"/>
        <v>0</v>
      </c>
      <c r="FM80" s="264">
        <f t="shared" si="486"/>
        <v>0</v>
      </c>
      <c r="FN80" s="264">
        <f t="shared" si="487"/>
        <v>0</v>
      </c>
      <c r="FO80" s="264">
        <f t="shared" si="488"/>
        <v>0</v>
      </c>
      <c r="FP80" s="264">
        <f t="shared" si="489"/>
        <v>0</v>
      </c>
      <c r="FQ80" s="264">
        <f t="shared" si="490"/>
        <v>0</v>
      </c>
      <c r="FR80" s="265">
        <f t="shared" si="491"/>
        <v>0</v>
      </c>
      <c r="FS80" s="264">
        <f t="shared" si="492"/>
        <v>0</v>
      </c>
      <c r="FT80" s="264">
        <f t="shared" si="493"/>
        <v>0</v>
      </c>
      <c r="FU80" s="265">
        <f t="shared" si="494"/>
        <v>0</v>
      </c>
      <c r="FV80" s="264">
        <f t="shared" si="495"/>
        <v>0</v>
      </c>
      <c r="FW80" s="264">
        <f t="shared" si="496"/>
        <v>0</v>
      </c>
      <c r="FX80" s="264">
        <f t="shared" si="497"/>
        <v>0</v>
      </c>
      <c r="FY80" s="264">
        <f t="shared" si="498"/>
        <v>0</v>
      </c>
      <c r="FZ80" s="264">
        <f t="shared" si="499"/>
        <v>0</v>
      </c>
      <c r="GA80" s="265">
        <f t="shared" si="500"/>
        <v>0</v>
      </c>
      <c r="GB80" s="264">
        <f t="shared" si="501"/>
        <v>0</v>
      </c>
      <c r="GC80" s="264">
        <f t="shared" si="502"/>
        <v>0</v>
      </c>
      <c r="GD80" s="266">
        <f t="shared" si="503"/>
        <v>0</v>
      </c>
      <c r="GE80" s="138">
        <f t="shared" si="504"/>
        <v>0</v>
      </c>
      <c r="GF80" s="267">
        <f t="shared" si="505"/>
        <v>41</v>
      </c>
      <c r="GG80" s="264">
        <f t="array" ref="GG80">IF(SUM(IF(IC$9:IC79=IC80,1,0))&gt;0,0,SUMIF($IC$10:$IC$406,IC80,$FJ$10:$FJ$406))</f>
        <v>0</v>
      </c>
      <c r="GH80" s="268">
        <f t="shared" si="506"/>
        <v>0</v>
      </c>
      <c r="GI80" s="137">
        <f t="shared" si="126"/>
        <v>71</v>
      </c>
      <c r="GJ80" s="269">
        <f t="shared" si="507"/>
        <v>0</v>
      </c>
      <c r="GK80" s="269">
        <f t="shared" si="508"/>
        <v>0</v>
      </c>
      <c r="GL80" s="163">
        <f t="shared" si="509"/>
        <v>0</v>
      </c>
      <c r="GM80" s="137">
        <f t="array" ref="GM80">IF(GJ80=0,0,LARGE(IF($GG$10:$GG$406=GJ80,$GF$10:$GF$406,0),COUNTIF($GJ$10:$GJ$406,GJ80)-COUNTIF(GJ$9:GJ79,GJ80)))</f>
        <v>0</v>
      </c>
      <c r="GN80" s="270">
        <f t="shared" si="510"/>
        <v>0</v>
      </c>
      <c r="GP80" s="137">
        <f>IF(C80="","",IF(ISERROR(MATCH(C80,C$10:C79,0)),MAX(GP$10:GP79)+1,INDEX(GP$10:GP79,MATCH(C80,C$10:C79,0))))</f>
        <v>60</v>
      </c>
      <c r="GQ80" s="264">
        <f>IF(COUNTIF($A$10:A80,A80)&lt;=1,SUMIF($A$10:$A$406,A80,$FH$10:$FH$406),0)</f>
        <v>0</v>
      </c>
      <c r="GR80" s="137">
        <f t="shared" si="130"/>
        <v>71</v>
      </c>
      <c r="GS80" s="269">
        <f t="shared" si="511"/>
        <v>3385135.1645999998</v>
      </c>
      <c r="GT80" s="269">
        <f t="shared" si="512"/>
        <v>50964284.172430128</v>
      </c>
      <c r="GU80" s="163">
        <f t="shared" si="513"/>
        <v>0</v>
      </c>
      <c r="GV80" s="137">
        <f t="array" ref="GV80">IF(GS80=0,0,LARGE(IF($GQ$10:$GQ$406=GS80,$GP$10:$GP$406,0),COUNTIF($GS$10:$GS$406,GS80)-COUNTIF(GS$9:GS79,GS80)))</f>
        <v>17</v>
      </c>
      <c r="GW80" s="270">
        <f t="shared" si="514"/>
        <v>0</v>
      </c>
      <c r="GX80" s="270"/>
      <c r="GY80" s="137">
        <f>IF(C80="","",IF(ISERROR(MATCH(C80,C$10:C79,0)),MAX(GP$10:GP79)+1,INDEX(GP$10:GP79,MATCH(C80,C$10:C79,0))))</f>
        <v>60</v>
      </c>
      <c r="GZ80" s="264">
        <f>IF(COUNTIF($A$10:A80,A80)&lt;=1,SUMIF($A$10:$A$406,A80,$FH$10:$FH$406),0)</f>
        <v>0</v>
      </c>
      <c r="HA80" s="137">
        <f t="shared" si="134"/>
        <v>71</v>
      </c>
      <c r="HB80" s="269">
        <f t="shared" si="515"/>
        <v>3385135.1645999998</v>
      </c>
      <c r="HC80" s="414" t="s">
        <v>622</v>
      </c>
      <c r="HD80" s="163">
        <f t="shared" si="516"/>
        <v>0</v>
      </c>
      <c r="HE80" s="137">
        <f t="array" ref="HE80">IF(HB80=0,0,LARGE(IF($GZ$10:$GZ$406=HB80,$GY$10:$GY$406,0),COUNTIF($HB$10:$HB$406,HB80)-COUNTIF(HB$9:HB79,HB80)))</f>
        <v>17</v>
      </c>
      <c r="HF80" s="270">
        <f t="shared" si="517"/>
        <v>0</v>
      </c>
      <c r="HG80" s="270"/>
      <c r="HH80" s="268">
        <f t="shared" si="518"/>
        <v>0</v>
      </c>
      <c r="HI80" s="271">
        <v>0</v>
      </c>
      <c r="HJ80" s="264">
        <f t="shared" si="519"/>
        <v>0</v>
      </c>
      <c r="HL80" s="137">
        <f t="shared" si="520"/>
        <v>71</v>
      </c>
      <c r="HM80" s="264">
        <f t="shared" si="521"/>
        <v>37406250</v>
      </c>
      <c r="HN80"/>
      <c r="HO80" s="199">
        <f t="shared" ref="HO80:HO143" si="522">MIN(HP80:HT80)</f>
        <v>0</v>
      </c>
      <c r="HP80" s="199">
        <f t="shared" ref="HP80:HP143" si="523">IF(B80="","",$M80)</f>
        <v>0</v>
      </c>
      <c r="HQ80" s="199" t="str">
        <f t="shared" ref="HQ80:HQ143" si="524">IF($N80="Yes",IF(P80&gt;=6,0,MIN($T80*$M80,$U80*$M80)),"")</f>
        <v/>
      </c>
      <c r="HR80" s="199">
        <f t="shared" ref="HR80:HR143" si="525">IF(AND(N80="Yes",P80&gt;=6),"",IF($S80="Yes",$R80*$M80,""))</f>
        <v>0</v>
      </c>
      <c r="HS80" s="199" t="str">
        <f t="shared" si="119"/>
        <v/>
      </c>
      <c r="HT80" s="199">
        <f t="shared" ref="HT80:HT143" si="526">IF(AND($N80="Yes",$P80&gt;=6),"",IF(OR(CZ80=1,DD80=1,),MIN($T80*$M80,$U80*$M80),IF(OR(DA80=1,DB80=1,DC80=1),IF(AK80&gt;=5000000,MIN($T80*$M80,$IF80*$M80),MIN($T80*$M80,$U80*$M80)),"")))</f>
        <v>0</v>
      </c>
      <c r="HU80" s="199" t="str">
        <f t="shared" ref="HU80:HU143" si="527">IF(DE80&gt;0,DE80,"")</f>
        <v/>
      </c>
      <c r="HV80" s="200">
        <f t="shared" ref="HV80:HV143" si="528">IF(B80="",0,$L80-$M80)</f>
        <v>0</v>
      </c>
      <c r="HW80" s="272">
        <f>IF(OR(SUM(HQ80:HU80)&gt;0,P80&gt;=6),"",IF($B80="","",1))</f>
        <v>1</v>
      </c>
      <c r="HX80" s="200" t="str">
        <f t="shared" ref="HX80:HX143" si="529">IF(AND($HU80&lt;&gt;0,OR(HU80&lt;=MIN(HQ80:HT80),SUM(HQ80:HT80)=0)),$HU80,0)</f>
        <v/>
      </c>
      <c r="HY80" s="200">
        <f t="shared" ref="HY80:HY143" si="530">IF(AND($HT80&lt;&gt;0,OR(AND($HT80&lt;&gt;$HU80,$HT80&lt;&gt;$HS80,$HT80&lt;&gt;$HR80,$HT80&lt;&gt;$HQ80,$HT80&lt;MIN($HQ80:$HS80),$HT80&lt;HU80),SUM($HQ80:$HS80)+SUM(HU80)=0),IB80&lt;=0),$HT80,0)</f>
        <v>0</v>
      </c>
      <c r="HZ80" s="200" t="str">
        <f t="shared" si="4"/>
        <v/>
      </c>
      <c r="IA80" s="200">
        <f t="shared" ref="IA80:IA143" si="531">IF(AND($HR80&lt;&gt;0,OR(AND($HR80&lt;&gt;$HU80,HR80&lt;&gt;HT80,HR80&lt;&gt;HS80,HR80&lt;&gt;HQ80,HR80&lt;MIN(HS80:HU80)),SUM(HQ80)+SUM(HS80:HU80)=0)),$HR80,0)</f>
        <v>0</v>
      </c>
      <c r="IB80" s="200" t="str">
        <f t="shared" ref="IB80:IB143" si="532">IF(AND($HQ80&lt;&gt;0,OR(HQ80&lt;=MIN(HR80:HU80),SUM(HR80:HU80)=0)),$HQ80,0)</f>
        <v/>
      </c>
      <c r="IC80" s="273">
        <f>IF(C80="","",INDEX(Lookups!$E$2:$E$69,MATCH('Loan List'!BE80,Lookups!$F$2:$F$69,0)))</f>
        <v>41</v>
      </c>
      <c r="ID80" t="b">
        <f t="shared" ref="ID80:ID143" si="533">HV80=DG80</f>
        <v>1</v>
      </c>
      <c r="IF80" s="346">
        <f t="shared" si="121"/>
        <v>0.9</v>
      </c>
    </row>
    <row r="81" spans="1:240">
      <c r="A81" t="s">
        <v>857</v>
      </c>
      <c r="B81" s="242">
        <f t="shared" si="402"/>
        <v>72</v>
      </c>
      <c r="C81" s="242">
        <f>IF(COUNTIF($A$10:A80,A81)&gt;0,C80,C80+1)</f>
        <v>60</v>
      </c>
      <c r="D81" s="431" t="s">
        <v>757</v>
      </c>
      <c r="E81" s="428" t="s">
        <v>830</v>
      </c>
      <c r="F81" s="429"/>
      <c r="G81" s="430">
        <v>2887365</v>
      </c>
      <c r="H81" s="430">
        <v>2887365</v>
      </c>
      <c r="I81" s="244">
        <f>IF(B81="","",VLOOKUP(BF81,Inputs!$A$12:$J$15,10,FALSE))</f>
        <v>1</v>
      </c>
      <c r="J81" s="245">
        <f t="shared" si="5"/>
        <v>2887365</v>
      </c>
      <c r="K81" s="245">
        <f t="shared" si="6"/>
        <v>2887365</v>
      </c>
      <c r="L81" s="245">
        <f t="shared" si="7"/>
        <v>0</v>
      </c>
      <c r="M81" s="245">
        <f t="shared" si="8"/>
        <v>0</v>
      </c>
      <c r="N81" s="246" t="s">
        <v>246</v>
      </c>
      <c r="O81" s="246" t="s">
        <v>245</v>
      </c>
      <c r="P81" s="247">
        <f>IF(B81="","",IF(OR(O81="N/A",O81=""),0,YEARFRAC('Borrowing Base'!$J$4,'Loan List'!O81)*12))</f>
        <v>0</v>
      </c>
      <c r="Q81" s="246" t="s">
        <v>246</v>
      </c>
      <c r="R81" s="248">
        <v>0.33572412152876335</v>
      </c>
      <c r="S81" s="249" t="str">
        <f>IF(B81="","",IF(R81&lt;95%,"Yes","No"))</f>
        <v>Yes</v>
      </c>
      <c r="T81" s="248">
        <v>0.22125000163644024</v>
      </c>
      <c r="U81" s="250">
        <f t="shared" si="9"/>
        <v>0.5</v>
      </c>
      <c r="V81" s="250">
        <f>IF(B81="",0,IF(AND(Y81="First Lien",AN81="Tier 1"),IF(AND(X81="Yes",MIN(AH81,$AJ$5)&gt;4.5),(((4.5/MIN(AH81,$AJ$5))*72.5%)+(((MIN(AH81,$AJ$5)-4.5)/MIN(AH81,$AJ$5))*35%)),72.5%),IF(AND(Y81="First Lien",AN81="Tier 2"),IF(AND(X81="Yes",MIN(AH81,$AK$5)&gt;4.5),(((4.5/MIN(AH81,$AK$5))*72.5%)+(((MIN(AH81,$AK$5)-4.5)/MIN(AH81,$AK$5))*35%)),72.5%),IF(AND(X81="Yes",MIN(AH81,$AL$5)&gt;4),(((4/MIN(AH81,$AL$5))*72.5%)+(((MIN(AH81,$AL$5)-4)/MIN(AH81,$AL$5))*35%)),IF(OR(Y81="First Lien",Y81="Split First Lien"),72.5%,IF(Y81="Split Lien", 53%,35%))))))</f>
        <v>0.72499999999999998</v>
      </c>
      <c r="W81" s="251">
        <f t="shared" si="385"/>
        <v>0</v>
      </c>
      <c r="X81" s="246" t="s">
        <v>246</v>
      </c>
      <c r="Y81" s="252" t="s">
        <v>483</v>
      </c>
      <c r="Z81" s="252" t="s">
        <v>484</v>
      </c>
      <c r="AA81" s="253" t="s">
        <v>407</v>
      </c>
      <c r="AB81" s="253" t="s">
        <v>407</v>
      </c>
      <c r="AC81" s="254">
        <v>1.59</v>
      </c>
      <c r="AD81" s="254">
        <v>1.59</v>
      </c>
      <c r="AE81" s="254">
        <v>1.75</v>
      </c>
      <c r="AF81" s="255">
        <v>0.35399999999999998</v>
      </c>
      <c r="AG81" s="256">
        <v>4.7699999999999996</v>
      </c>
      <c r="AH81" s="256">
        <v>4.7699999999999996</v>
      </c>
      <c r="AI81" s="256">
        <v>4.7699999999999996</v>
      </c>
      <c r="AJ81" s="256">
        <v>4.7699999999999996</v>
      </c>
      <c r="AK81" s="257">
        <v>24347132</v>
      </c>
      <c r="AL81" s="257">
        <v>24347132</v>
      </c>
      <c r="AM81" s="258">
        <v>45838</v>
      </c>
      <c r="AN81" s="245" t="str">
        <f t="shared" si="12"/>
        <v>Tier 2</v>
      </c>
      <c r="AO81" s="243">
        <v>46965</v>
      </c>
      <c r="AP81" s="259">
        <f>IF(C81="","",DAYS360(Inputs!$J$8,AO81)/360)</f>
        <v>2.9361111111111109</v>
      </c>
      <c r="AQ81" s="259">
        <f t="shared" si="13"/>
        <v>2.9361111111111109</v>
      </c>
      <c r="AR81" s="246" t="s">
        <v>246</v>
      </c>
      <c r="AS81" s="248">
        <v>0</v>
      </c>
      <c r="AT81" s="246" t="s">
        <v>64</v>
      </c>
      <c r="AU81" s="248">
        <v>0.01</v>
      </c>
      <c r="AV81" s="248">
        <v>5.5E-2</v>
      </c>
      <c r="AW81" s="248">
        <v>4.2999999999999997E-2</v>
      </c>
      <c r="AX81" s="260">
        <f t="shared" si="14"/>
        <v>4.2999999999999997E-2</v>
      </c>
      <c r="AY81" s="248">
        <v>0</v>
      </c>
      <c r="AZ81" s="248">
        <v>0</v>
      </c>
      <c r="BA81" s="248">
        <v>0</v>
      </c>
      <c r="BB81" s="407">
        <f t="shared" si="15"/>
        <v>5.5E-2</v>
      </c>
      <c r="BC81" s="407" t="str">
        <f t="shared" si="16"/>
        <v/>
      </c>
      <c r="BD81" s="252" t="s">
        <v>247</v>
      </c>
      <c r="BE81" s="261" t="s">
        <v>427</v>
      </c>
      <c r="BF81" s="252" t="s">
        <v>7</v>
      </c>
      <c r="BG81" s="252" t="s">
        <v>460</v>
      </c>
      <c r="BH81" s="246" t="s">
        <v>246</v>
      </c>
      <c r="BI81" s="408" t="str">
        <f t="shared" ref="BI81:BI117" si="534">IF(B81="","",IF(OR(AND(AZ81&gt;0,BB81&gt;=2.5%,BB81&lt;4%),AND(BA81&gt;0,BC81&gt;=6%,BC81&lt;8%)),"Yes","No"))</f>
        <v>No</v>
      </c>
      <c r="BJ81" s="408" t="str">
        <f t="shared" si="18"/>
        <v>No</v>
      </c>
      <c r="BK81" s="246" t="s">
        <v>246</v>
      </c>
      <c r="BL81" s="246" t="s">
        <v>246</v>
      </c>
      <c r="BM81" s="246" t="s">
        <v>64</v>
      </c>
      <c r="BN81" s="246" t="s">
        <v>64</v>
      </c>
      <c r="BO81" s="246" t="s">
        <v>246</v>
      </c>
      <c r="BP81" s="246" t="s">
        <v>246</v>
      </c>
      <c r="BQ81" s="246" t="s">
        <v>246</v>
      </c>
      <c r="BR81" s="246" t="s">
        <v>246</v>
      </c>
      <c r="BS81" s="246" t="s">
        <v>246</v>
      </c>
      <c r="BT81" s="246" t="s">
        <v>246</v>
      </c>
      <c r="BU81" s="246" t="s">
        <v>246</v>
      </c>
      <c r="BV81" s="246" t="s">
        <v>246</v>
      </c>
      <c r="BW81" s="246" t="s">
        <v>246</v>
      </c>
      <c r="BX81" s="246" t="s">
        <v>246</v>
      </c>
      <c r="BY81" s="246" t="s">
        <v>246</v>
      </c>
      <c r="BZ81" s="246" t="s">
        <v>246</v>
      </c>
      <c r="CA81" s="246" t="s">
        <v>246</v>
      </c>
      <c r="CB81" s="246" t="s">
        <v>64</v>
      </c>
      <c r="CC81" s="262">
        <f t="shared" si="19"/>
        <v>0</v>
      </c>
      <c r="CD81" s="262">
        <f t="shared" si="20"/>
        <v>0</v>
      </c>
      <c r="CE81" s="263"/>
      <c r="CF81" s="263">
        <f t="shared" si="403"/>
        <v>1</v>
      </c>
      <c r="CG81" s="263">
        <f t="shared" si="404"/>
        <v>0</v>
      </c>
      <c r="CH81" s="263">
        <f t="shared" si="405"/>
        <v>0</v>
      </c>
      <c r="CI81" s="263">
        <f t="shared" si="406"/>
        <v>0</v>
      </c>
      <c r="CJ81" s="263">
        <f t="shared" si="407"/>
        <v>0</v>
      </c>
      <c r="CK81" s="263">
        <f t="shared" si="408"/>
        <v>0</v>
      </c>
      <c r="CL81" s="263">
        <f t="shared" si="409"/>
        <v>0</v>
      </c>
      <c r="CM81" s="263">
        <f t="shared" si="410"/>
        <v>0</v>
      </c>
      <c r="CN81" s="263">
        <f t="shared" si="411"/>
        <v>0</v>
      </c>
      <c r="CO81" s="263">
        <f t="shared" si="412"/>
        <v>0</v>
      </c>
      <c r="CP81" s="263">
        <f t="shared" si="413"/>
        <v>0</v>
      </c>
      <c r="CQ81" s="263">
        <f t="shared" si="414"/>
        <v>0</v>
      </c>
      <c r="CR81" s="263">
        <f t="shared" si="415"/>
        <v>0</v>
      </c>
      <c r="CS81" s="263">
        <f t="shared" si="416"/>
        <v>0</v>
      </c>
      <c r="CT81" s="263">
        <f t="shared" si="417"/>
        <v>0</v>
      </c>
      <c r="CU81" s="263">
        <f t="shared" si="418"/>
        <v>0</v>
      </c>
      <c r="CV81" s="263">
        <f t="shared" si="419"/>
        <v>0</v>
      </c>
      <c r="CW81" s="263">
        <f t="shared" si="420"/>
        <v>0</v>
      </c>
      <c r="CX81" s="263">
        <f t="shared" si="421"/>
        <v>0</v>
      </c>
      <c r="CY81" s="263">
        <f t="shared" si="422"/>
        <v>0</v>
      </c>
      <c r="CZ81" s="263">
        <f t="shared" si="423"/>
        <v>0</v>
      </c>
      <c r="DA81" s="263">
        <f t="shared" si="424"/>
        <v>1</v>
      </c>
      <c r="DB81" s="263">
        <f t="shared" si="425"/>
        <v>0</v>
      </c>
      <c r="DC81" s="263">
        <f t="shared" si="426"/>
        <v>0</v>
      </c>
      <c r="DD81" s="263">
        <f t="shared" si="427"/>
        <v>0</v>
      </c>
      <c r="DE81" s="263">
        <f>IF((SUM(CF81:CY81)=0),0,W81)</f>
        <v>0</v>
      </c>
      <c r="DF81" s="263">
        <f t="shared" si="429"/>
        <v>0</v>
      </c>
      <c r="DG81" s="263">
        <f t="shared" si="430"/>
        <v>0</v>
      </c>
      <c r="DH81" s="263">
        <f t="shared" si="431"/>
        <v>0</v>
      </c>
      <c r="DI81" s="263">
        <f t="shared" si="432"/>
        <v>0</v>
      </c>
      <c r="DJ81" s="263">
        <f t="shared" si="433"/>
        <v>0</v>
      </c>
      <c r="DK81" s="263">
        <f t="shared" si="434"/>
        <v>0</v>
      </c>
      <c r="DL81" s="263">
        <f t="shared" si="435"/>
        <v>0</v>
      </c>
      <c r="DM81" s="263">
        <f t="shared" si="436"/>
        <v>0</v>
      </c>
      <c r="DO81" s="264">
        <f t="shared" si="437"/>
        <v>0</v>
      </c>
      <c r="DP81" s="265">
        <f t="shared" si="438"/>
        <v>0</v>
      </c>
      <c r="DQ81" s="264">
        <f t="shared" si="439"/>
        <v>0</v>
      </c>
      <c r="DR81" s="264">
        <f t="shared" si="440"/>
        <v>0</v>
      </c>
      <c r="DS81" s="265">
        <f t="shared" si="441"/>
        <v>0</v>
      </c>
      <c r="DT81" s="264">
        <f t="shared" si="442"/>
        <v>0</v>
      </c>
      <c r="DU81" s="264">
        <f t="shared" si="443"/>
        <v>0</v>
      </c>
      <c r="DV81" s="265">
        <f t="shared" si="444"/>
        <v>0</v>
      </c>
      <c r="DW81" s="264">
        <f t="shared" si="445"/>
        <v>0</v>
      </c>
      <c r="DX81" s="264">
        <f t="shared" si="446"/>
        <v>0</v>
      </c>
      <c r="DY81" s="265">
        <f t="shared" si="447"/>
        <v>0</v>
      </c>
      <c r="DZ81" s="264">
        <f t="shared" si="448"/>
        <v>0</v>
      </c>
      <c r="EA81" s="264">
        <f t="shared" si="449"/>
        <v>0</v>
      </c>
      <c r="EB81" s="265">
        <f t="shared" si="450"/>
        <v>0</v>
      </c>
      <c r="EC81" s="264">
        <f t="shared" si="451"/>
        <v>0</v>
      </c>
      <c r="ED81" s="264">
        <f t="shared" si="452"/>
        <v>0</v>
      </c>
      <c r="EE81" s="265">
        <f t="shared" si="453"/>
        <v>0</v>
      </c>
      <c r="EF81" s="264">
        <f t="shared" si="454"/>
        <v>0</v>
      </c>
      <c r="EG81" s="264">
        <f t="shared" si="455"/>
        <v>0</v>
      </c>
      <c r="EH81" s="265">
        <f t="shared" si="456"/>
        <v>0</v>
      </c>
      <c r="EI81" s="264">
        <f t="shared" si="457"/>
        <v>0</v>
      </c>
      <c r="EJ81" s="264">
        <f t="shared" si="458"/>
        <v>0</v>
      </c>
      <c r="EK81" s="265">
        <f t="shared" si="459"/>
        <v>0</v>
      </c>
      <c r="EL81" s="264">
        <f t="shared" si="460"/>
        <v>0</v>
      </c>
      <c r="EM81" s="264">
        <f t="shared" si="461"/>
        <v>0</v>
      </c>
      <c r="EN81" s="265">
        <f t="shared" si="462"/>
        <v>0</v>
      </c>
      <c r="EO81" s="264">
        <f t="shared" si="463"/>
        <v>0</v>
      </c>
      <c r="EP81" s="264">
        <f t="shared" si="464"/>
        <v>0</v>
      </c>
      <c r="EQ81" s="265">
        <f t="shared" si="465"/>
        <v>0</v>
      </c>
      <c r="ER81" s="264">
        <f t="shared" si="466"/>
        <v>0</v>
      </c>
      <c r="ES81" s="264">
        <f t="shared" si="467"/>
        <v>0</v>
      </c>
      <c r="ET81" s="265">
        <f t="shared" si="468"/>
        <v>0</v>
      </c>
      <c r="EU81" s="264">
        <f t="shared" si="469"/>
        <v>0</v>
      </c>
      <c r="EV81" s="264">
        <f>IF(AND(BM81="Yes",OR(BN81="No",AND(BN81="Yes",Inputs!$J$8=Inputs!$J$17+75))),EU81,0)</f>
        <v>0</v>
      </c>
      <c r="EW81" s="265">
        <f t="shared" si="470"/>
        <v>0</v>
      </c>
      <c r="EX81" s="264">
        <f t="shared" si="471"/>
        <v>0</v>
      </c>
      <c r="EY81" s="264">
        <f t="shared" si="472"/>
        <v>0</v>
      </c>
      <c r="EZ81" s="265">
        <f t="shared" si="473"/>
        <v>0</v>
      </c>
      <c r="FA81" s="264">
        <f t="shared" si="474"/>
        <v>0</v>
      </c>
      <c r="FB81" s="264">
        <f t="shared" si="475"/>
        <v>0</v>
      </c>
      <c r="FC81" s="265">
        <f t="shared" si="476"/>
        <v>0</v>
      </c>
      <c r="FD81" s="264">
        <f t="shared" si="477"/>
        <v>0</v>
      </c>
      <c r="FE81" s="264">
        <f t="shared" si="478"/>
        <v>0</v>
      </c>
      <c r="FF81" s="265">
        <f t="shared" si="479"/>
        <v>0</v>
      </c>
      <c r="FG81" s="264">
        <f t="shared" si="480"/>
        <v>0</v>
      </c>
      <c r="FH81" s="264">
        <f t="shared" si="481"/>
        <v>0</v>
      </c>
      <c r="FI81" s="264">
        <f t="shared" si="482"/>
        <v>0</v>
      </c>
      <c r="FJ81" s="264">
        <f t="shared" si="483"/>
        <v>0</v>
      </c>
      <c r="FK81" s="264">
        <f t="shared" si="484"/>
        <v>0</v>
      </c>
      <c r="FL81" s="264">
        <f t="shared" si="485"/>
        <v>0</v>
      </c>
      <c r="FM81" s="264">
        <f t="shared" si="486"/>
        <v>0</v>
      </c>
      <c r="FN81" s="264">
        <f t="shared" si="487"/>
        <v>0</v>
      </c>
      <c r="FO81" s="264">
        <f t="shared" si="488"/>
        <v>0</v>
      </c>
      <c r="FP81" s="264">
        <f t="shared" si="489"/>
        <v>0</v>
      </c>
      <c r="FQ81" s="264">
        <f t="shared" si="490"/>
        <v>0</v>
      </c>
      <c r="FR81" s="265">
        <f t="shared" si="491"/>
        <v>0</v>
      </c>
      <c r="FS81" s="264">
        <f t="shared" si="492"/>
        <v>0</v>
      </c>
      <c r="FT81" s="264">
        <f t="shared" si="493"/>
        <v>0</v>
      </c>
      <c r="FU81" s="265">
        <f t="shared" si="494"/>
        <v>0</v>
      </c>
      <c r="FV81" s="264">
        <f t="shared" si="495"/>
        <v>0</v>
      </c>
      <c r="FW81" s="264">
        <f t="shared" si="496"/>
        <v>0</v>
      </c>
      <c r="FX81" s="264">
        <f t="shared" si="497"/>
        <v>0</v>
      </c>
      <c r="FY81" s="264">
        <f t="shared" si="498"/>
        <v>0</v>
      </c>
      <c r="FZ81" s="264">
        <f t="shared" si="499"/>
        <v>0</v>
      </c>
      <c r="GA81" s="265">
        <f t="shared" si="500"/>
        <v>0</v>
      </c>
      <c r="GB81" s="264">
        <f t="shared" si="501"/>
        <v>0</v>
      </c>
      <c r="GC81" s="264">
        <f t="shared" si="502"/>
        <v>0</v>
      </c>
      <c r="GD81" s="266">
        <f t="shared" si="503"/>
        <v>0</v>
      </c>
      <c r="GE81" s="138">
        <f t="shared" si="504"/>
        <v>0</v>
      </c>
      <c r="GF81" s="267">
        <f t="shared" si="505"/>
        <v>41</v>
      </c>
      <c r="GG81" s="264">
        <f t="array" ref="GG81">IF(SUM(IF(IC$9:IC80=IC81,1,0))&gt;0,0,SUMIF($IC$10:$IC$406,IC81,$FJ$10:$FJ$406))</f>
        <v>0</v>
      </c>
      <c r="GH81" s="268">
        <f t="shared" si="506"/>
        <v>0</v>
      </c>
      <c r="GI81" s="137">
        <f t="shared" si="126"/>
        <v>72</v>
      </c>
      <c r="GJ81" s="269">
        <f t="shared" si="507"/>
        <v>0</v>
      </c>
      <c r="GK81" s="269">
        <f t="shared" si="508"/>
        <v>0</v>
      </c>
      <c r="GL81" s="163">
        <f t="shared" si="509"/>
        <v>0</v>
      </c>
      <c r="GM81" s="137">
        <f t="array" ref="GM81">IF(GJ81=0,0,LARGE(IF($GG$10:$GG$406=GJ81,$GF$10:$GF$406,0),COUNTIF($GJ$10:$GJ$406,GJ81)-COUNTIF(GJ$9:GJ80,GJ81)))</f>
        <v>0</v>
      </c>
      <c r="GN81" s="270">
        <f t="shared" si="510"/>
        <v>0</v>
      </c>
      <c r="GP81" s="137">
        <f>IF(C81="","",IF(ISERROR(MATCH(C81,C$10:C80,0)),MAX(GP$10:GP80)+1,INDEX(GP$10:GP80,MATCH(C81,C$10:C80,0))))</f>
        <v>60</v>
      </c>
      <c r="GQ81" s="264">
        <f>IF(COUNTIF($A$10:A81,A81)&lt;=1,SUMIF($A$10:$A$406,A81,$FH$10:$FH$406),0)</f>
        <v>0</v>
      </c>
      <c r="GR81" s="137">
        <f t="shared" si="130"/>
        <v>72</v>
      </c>
      <c r="GS81" s="269">
        <f t="shared" si="511"/>
        <v>3371550</v>
      </c>
      <c r="GT81" s="269">
        <f t="shared" si="512"/>
        <v>50964284.172430128</v>
      </c>
      <c r="GU81" s="163">
        <f t="shared" si="513"/>
        <v>0</v>
      </c>
      <c r="GV81" s="137">
        <f t="array" ref="GV81">IF(GS81=0,0,LARGE(IF($GQ$10:$GQ$406=GS81,$GP$10:$GP$406,0),COUNTIF($GS$10:$GS$406,GS81)-COUNTIF(GS$9:GS80,GS81)))</f>
        <v>43</v>
      </c>
      <c r="GW81" s="270">
        <f t="shared" si="514"/>
        <v>0</v>
      </c>
      <c r="GX81" s="270"/>
      <c r="GY81" s="137">
        <f>IF(C81="","",IF(ISERROR(MATCH(C81,C$10:C80,0)),MAX(GP$10:GP80)+1,INDEX(GP$10:GP80,MATCH(C81,C$10:C80,0))))</f>
        <v>60</v>
      </c>
      <c r="GZ81" s="264">
        <f>IF(COUNTIF($A$10:A81,A81)&lt;=1,SUMIF($A$10:$A$406,A81,$FH$10:$FH$406),0)</f>
        <v>0</v>
      </c>
      <c r="HA81" s="137">
        <f t="shared" si="134"/>
        <v>72</v>
      </c>
      <c r="HB81" s="269">
        <f t="shared" si="515"/>
        <v>3371550</v>
      </c>
      <c r="HC81" s="414" t="s">
        <v>622</v>
      </c>
      <c r="HD81" s="163">
        <f t="shared" si="516"/>
        <v>0</v>
      </c>
      <c r="HE81" s="137">
        <f t="array" ref="HE81">IF(HB81=0,0,LARGE(IF($GZ$10:$GZ$406=HB81,$GY$10:$GY$406,0),COUNTIF($HB$10:$HB$406,HB81)-COUNTIF(HB$9:HB80,HB81)))</f>
        <v>43</v>
      </c>
      <c r="HF81" s="270">
        <f t="shared" si="517"/>
        <v>0</v>
      </c>
      <c r="HG81" s="270"/>
      <c r="HH81" s="268">
        <f t="shared" si="518"/>
        <v>0</v>
      </c>
      <c r="HI81" s="271">
        <v>0</v>
      </c>
      <c r="HJ81" s="264">
        <f t="shared" si="519"/>
        <v>0</v>
      </c>
      <c r="HL81" s="137">
        <f t="shared" si="520"/>
        <v>72</v>
      </c>
      <c r="HM81" s="264">
        <f t="shared" si="521"/>
        <v>5009979</v>
      </c>
      <c r="HN81"/>
      <c r="HO81" s="199">
        <f t="shared" si="522"/>
        <v>0</v>
      </c>
      <c r="HP81" s="199">
        <f t="shared" si="523"/>
        <v>0</v>
      </c>
      <c r="HQ81" s="199" t="str">
        <f t="shared" si="524"/>
        <v/>
      </c>
      <c r="HR81" s="199">
        <f t="shared" si="525"/>
        <v>0</v>
      </c>
      <c r="HS81" s="199" t="str">
        <f t="shared" si="119"/>
        <v/>
      </c>
      <c r="HT81" s="199">
        <f t="shared" si="526"/>
        <v>0</v>
      </c>
      <c r="HU81" s="199" t="str">
        <f t="shared" si="527"/>
        <v/>
      </c>
      <c r="HV81" s="200">
        <f t="shared" si="528"/>
        <v>0</v>
      </c>
      <c r="HW81" s="272">
        <f>IF(OR(SUM(HQ81:HU81)&gt;0,P81&gt;=6),"",IF($B81="","",1))</f>
        <v>1</v>
      </c>
      <c r="HX81" s="200" t="str">
        <f t="shared" si="529"/>
        <v/>
      </c>
      <c r="HY81" s="200">
        <f t="shared" si="530"/>
        <v>0</v>
      </c>
      <c r="HZ81" s="200" t="str">
        <f t="shared" ref="HZ81:HZ144" si="535">IF(AND($HS81&lt;&gt;0,OR(AND($HS81&lt;&gt;$HU81,$HS81&lt;&gt;$HT81,$HS81&lt;&gt;$HR81,$HS81&lt;&gt;$HQ81),$HS81&lt;MIN($HQ81:$HR81),$HS81&lt;MIN($HT81:$HU81),SUM($HQ81:$HR81)+SUM($HT81:$HU81)=0)),$HS81,0)</f>
        <v/>
      </c>
      <c r="IA81" s="200">
        <f t="shared" si="531"/>
        <v>0</v>
      </c>
      <c r="IB81" s="200" t="str">
        <f t="shared" si="532"/>
        <v/>
      </c>
      <c r="IC81" s="273">
        <f>IF(C81="","",INDEX(Lookups!$E$2:$E$69,MATCH('Loan List'!BE81,Lookups!$F$2:$F$69,0)))</f>
        <v>41</v>
      </c>
      <c r="ID81" t="b">
        <f t="shared" si="533"/>
        <v>1</v>
      </c>
      <c r="IF81" s="346">
        <f t="shared" si="121"/>
        <v>0.9</v>
      </c>
    </row>
    <row r="82" spans="1:240">
      <c r="A82" t="s">
        <v>602</v>
      </c>
      <c r="B82" s="242">
        <f t="shared" si="402"/>
        <v>73</v>
      </c>
      <c r="C82" s="242">
        <f>IF(COUNTIF($A$10:A81,A82)&gt;0,C81,C81+1)</f>
        <v>61</v>
      </c>
      <c r="D82" s="428" t="s">
        <v>602</v>
      </c>
      <c r="E82" s="428" t="s">
        <v>684</v>
      </c>
      <c r="F82" s="429"/>
      <c r="G82" s="430">
        <v>2645556.4700000002</v>
      </c>
      <c r="H82" s="430">
        <v>2645556.4700000002</v>
      </c>
      <c r="I82" s="244">
        <f>IF(B82="","",VLOOKUP(BF82,Inputs!$A$12:$J$15,10,FALSE))</f>
        <v>1</v>
      </c>
      <c r="J82" s="245">
        <f>IF(B82="","",G82*I82)</f>
        <v>2645556.4700000002</v>
      </c>
      <c r="K82" s="245">
        <f>IF(B82="","",H82*I82)</f>
        <v>2645556.4700000002</v>
      </c>
      <c r="L82" s="245">
        <f>IF(B82="","",IF(COUNTIF($CF82:$CY82,1)&gt;0,0,J82))</f>
        <v>2645556.4700000002</v>
      </c>
      <c r="M82" s="245">
        <f>IF(B82="","",IF(COUNTIF($CF82:$CY82,1)&gt;0,0,K82))</f>
        <v>2645556.4700000002</v>
      </c>
      <c r="N82" s="246" t="s">
        <v>246</v>
      </c>
      <c r="O82" s="246" t="s">
        <v>245</v>
      </c>
      <c r="P82" s="247">
        <f>IF(B82="","",IF(OR(O82="N/A",O82=""),0,YEARFRAC('Borrowing Base'!$J$4,'Loan List'!O82)*12))</f>
        <v>0</v>
      </c>
      <c r="Q82" s="246" t="s">
        <v>246</v>
      </c>
      <c r="R82" s="248">
        <v>0.98999999999999988</v>
      </c>
      <c r="S82" s="249" t="str">
        <f>IF(B82="","",IF(R82&lt;95%,"Yes","No"))</f>
        <v>No</v>
      </c>
      <c r="T82" s="248">
        <v>0.97000000154976829</v>
      </c>
      <c r="U82" s="250">
        <f>IF(B82="","",IF(OR(Y82="First Lien",Y82="Split First Lien",Y82="Tier 1 Split Lien",Y82="Tier 2 Split Lien"),50%,30%))</f>
        <v>0.5</v>
      </c>
      <c r="V82" s="250">
        <f>IF(B82="",0,IF(AND(Y82="First Lien",AN82="Tier 1"),IF(AND(X82="Yes",MIN(AH82,$AJ$5)&gt;4.5),(((4.5/MIN(AH82,$AJ$5))*72.5%)+(((MIN(AH82,$AJ$5)-4.5)/MIN(AH82,$AJ$5))*35%)),72.5%),IF(AND(Y82="First Lien",AN82="Tier 2"),IF(AND(X82="Yes",MIN(AH82,$AK$5)&gt;4.5),(((4.5/MIN(AH82,$AK$5))*72.5%)+(((MIN(AH82,$AK$5)-4.5)/MIN(AH82,$AK$5))*35%)),72.5%),IF(AND(X82="Yes",MIN(AH82,$AL$5)&gt;4),(((4/MIN(AH82,$AL$5))*72.5%)+(((MIN(AH82,$AL$5)-4)/MIN(AH82,$AL$5))*35%)),IF(OR(Y82="First Lien",Y82="Split First Lien"),72.5%,IF(Y82="Split Lien", 53%,35%))))))</f>
        <v>0.72499999999999998</v>
      </c>
      <c r="W82" s="251">
        <f t="shared" si="385"/>
        <v>2645556.4700000002</v>
      </c>
      <c r="X82" s="246" t="s">
        <v>246</v>
      </c>
      <c r="Y82" s="252" t="s">
        <v>483</v>
      </c>
      <c r="Z82" s="252" t="s">
        <v>484</v>
      </c>
      <c r="AA82" s="253" t="s">
        <v>371</v>
      </c>
      <c r="AB82" s="253" t="s">
        <v>714</v>
      </c>
      <c r="AC82" s="254">
        <v>1.5232726251886157</v>
      </c>
      <c r="AD82" s="254">
        <v>1.1407577141085059</v>
      </c>
      <c r="AE82" s="254">
        <v>1.5320948133893382</v>
      </c>
      <c r="AF82" s="255">
        <v>0.57112877583465815</v>
      </c>
      <c r="AG82" s="256">
        <v>4.7396550483364139</v>
      </c>
      <c r="AH82" s="256">
        <v>4.7396550483364139</v>
      </c>
      <c r="AI82" s="256">
        <v>4.7057814707907095</v>
      </c>
      <c r="AJ82" s="256">
        <v>4.7057814707907095</v>
      </c>
      <c r="AK82" s="257">
        <v>83373999.999999955</v>
      </c>
      <c r="AL82" s="257">
        <v>82799000</v>
      </c>
      <c r="AM82" s="258">
        <v>45747</v>
      </c>
      <c r="AN82" s="245" t="str">
        <f>IF(C82="","",(IF(AK82&gt;=50000000,"Tier 1",(IF(OR(AK82&gt;=20000000,AND(AK82&gt;5000000,AC82&gt;=1.25,AF82&lt;=0.65)),"Tier 2","Tier 3")))))</f>
        <v>Tier 1</v>
      </c>
      <c r="AO82" s="243">
        <v>47337</v>
      </c>
      <c r="AP82" s="259">
        <f>IF(C82="","",DAYS360(Inputs!$J$8,AO82)/360)</f>
        <v>3.9527777777777779</v>
      </c>
      <c r="AQ82" s="259">
        <f>IF(C82="","",AP82)</f>
        <v>3.9527777777777779</v>
      </c>
      <c r="AR82" s="246" t="s">
        <v>246</v>
      </c>
      <c r="AS82" s="248">
        <v>0</v>
      </c>
      <c r="AT82" s="246" t="s">
        <v>64</v>
      </c>
      <c r="AU82" s="248">
        <v>0.01</v>
      </c>
      <c r="AV82" s="248">
        <v>0.06</v>
      </c>
      <c r="AW82" s="248">
        <v>4.356199999999999E-2</v>
      </c>
      <c r="AX82" s="260">
        <f>IF(C82="","",MAX(AU82,AW82))</f>
        <v>4.356199999999999E-2</v>
      </c>
      <c r="AY82" s="248">
        <v>0</v>
      </c>
      <c r="AZ82" s="248">
        <v>0</v>
      </c>
      <c r="BA82" s="248">
        <v>0</v>
      </c>
      <c r="BB82" s="407">
        <f t="shared" ref="BB82:BB144" si="536">IF(B82="","",IF(AR82="No",AV82-AZ82,""))</f>
        <v>0.06</v>
      </c>
      <c r="BC82" s="407" t="str">
        <f t="shared" ref="BC82:BC144" si="537">IF(B82="","",IF(AR82="Yes",AS82-BA82,""))</f>
        <v/>
      </c>
      <c r="BD82" s="252" t="s">
        <v>247</v>
      </c>
      <c r="BE82" s="261" t="s">
        <v>375</v>
      </c>
      <c r="BF82" s="252" t="s">
        <v>7</v>
      </c>
      <c r="BG82" s="252" t="s">
        <v>460</v>
      </c>
      <c r="BH82" s="246" t="s">
        <v>246</v>
      </c>
      <c r="BI82" s="408" t="str">
        <f t="shared" si="534"/>
        <v>No</v>
      </c>
      <c r="BJ82" s="408" t="str">
        <f t="shared" ref="BJ82:BJ117" si="538">IF(B82="","",IF(OR(AND(AZ82&gt;0,BB82&lt;2.5%),AND(BA82&gt;0,BC82&lt;6%)),"Yes","No"))</f>
        <v>No</v>
      </c>
      <c r="BK82" s="246" t="s">
        <v>246</v>
      </c>
      <c r="BL82" s="246" t="s">
        <v>246</v>
      </c>
      <c r="BM82" s="246" t="s">
        <v>246</v>
      </c>
      <c r="BN82" s="246" t="s">
        <v>246</v>
      </c>
      <c r="BO82" s="246" t="s">
        <v>246</v>
      </c>
      <c r="BP82" s="246" t="s">
        <v>246</v>
      </c>
      <c r="BQ82" s="246" t="s">
        <v>246</v>
      </c>
      <c r="BR82" s="246" t="s">
        <v>246</v>
      </c>
      <c r="BS82" s="246" t="s">
        <v>246</v>
      </c>
      <c r="BT82" s="246" t="s">
        <v>246</v>
      </c>
      <c r="BU82" s="246" t="s">
        <v>246</v>
      </c>
      <c r="BV82" s="246" t="s">
        <v>246</v>
      </c>
      <c r="BW82" s="246" t="s">
        <v>246</v>
      </c>
      <c r="BX82" s="246" t="s">
        <v>246</v>
      </c>
      <c r="BY82" s="246" t="s">
        <v>246</v>
      </c>
      <c r="BZ82" s="246" t="s">
        <v>246</v>
      </c>
      <c r="CA82" s="246" t="s">
        <v>246</v>
      </c>
      <c r="CB82" s="246" t="s">
        <v>64</v>
      </c>
      <c r="CC82" s="262">
        <f>IF(B82="","",IF(AT82="No",((BB82+AW82)-$AZ$4),((BB82+AX82)-$AZ$4))*IF(DE82&gt;0,0,M82))</f>
        <v>159631.81917721199</v>
      </c>
      <c r="CD82" s="262">
        <f>IF(B82="","",AY82*(L82-M82)*IF(DE82&gt;0,0,1))</f>
        <v>0</v>
      </c>
      <c r="CE82" s="263"/>
      <c r="CF82" s="263">
        <f t="shared" si="403"/>
        <v>0</v>
      </c>
      <c r="CG82" s="263">
        <f t="shared" si="404"/>
        <v>0</v>
      </c>
      <c r="CH82" s="263">
        <f t="shared" si="405"/>
        <v>0</v>
      </c>
      <c r="CI82" s="263">
        <f t="shared" si="406"/>
        <v>0</v>
      </c>
      <c r="CJ82" s="263">
        <f t="shared" si="407"/>
        <v>0</v>
      </c>
      <c r="CK82" s="263">
        <f t="shared" si="408"/>
        <v>0</v>
      </c>
      <c r="CL82" s="263">
        <f t="shared" si="409"/>
        <v>0</v>
      </c>
      <c r="CM82" s="263">
        <f t="shared" si="410"/>
        <v>0</v>
      </c>
      <c r="CN82" s="263">
        <f t="shared" si="411"/>
        <v>0</v>
      </c>
      <c r="CO82" s="263">
        <f t="shared" si="412"/>
        <v>0</v>
      </c>
      <c r="CP82" s="263">
        <f t="shared" si="413"/>
        <v>0</v>
      </c>
      <c r="CQ82" s="263">
        <f t="shared" si="414"/>
        <v>0</v>
      </c>
      <c r="CR82" s="263">
        <f t="shared" si="415"/>
        <v>0</v>
      </c>
      <c r="CS82" s="263">
        <f t="shared" si="416"/>
        <v>0</v>
      </c>
      <c r="CT82" s="263">
        <f t="shared" si="417"/>
        <v>0</v>
      </c>
      <c r="CU82" s="263">
        <f t="shared" si="418"/>
        <v>0</v>
      </c>
      <c r="CV82" s="263">
        <f t="shared" si="419"/>
        <v>0</v>
      </c>
      <c r="CW82" s="263">
        <f t="shared" si="420"/>
        <v>0</v>
      </c>
      <c r="CX82" s="263">
        <f t="shared" si="421"/>
        <v>0</v>
      </c>
      <c r="CY82" s="263">
        <f t="shared" si="422"/>
        <v>0</v>
      </c>
      <c r="CZ82" s="263">
        <f t="shared" si="423"/>
        <v>0</v>
      </c>
      <c r="DA82" s="263">
        <f t="shared" si="424"/>
        <v>0</v>
      </c>
      <c r="DB82" s="263">
        <f t="shared" si="425"/>
        <v>0</v>
      </c>
      <c r="DC82" s="263">
        <f t="shared" si="426"/>
        <v>0</v>
      </c>
      <c r="DD82" s="263">
        <f t="shared" si="427"/>
        <v>0</v>
      </c>
      <c r="DE82" s="263">
        <f t="shared" si="428"/>
        <v>0</v>
      </c>
      <c r="DF82" s="263">
        <f t="shared" si="429"/>
        <v>2645556.4700000002</v>
      </c>
      <c r="DG82" s="263">
        <f t="shared" si="430"/>
        <v>0</v>
      </c>
      <c r="DH82" s="263">
        <f t="shared" si="431"/>
        <v>2645556.4700000002</v>
      </c>
      <c r="DI82" s="263">
        <f t="shared" si="432"/>
        <v>2645556.4700000002</v>
      </c>
      <c r="DJ82" s="263">
        <f t="shared" si="433"/>
        <v>0</v>
      </c>
      <c r="DK82" s="263">
        <f t="shared" si="434"/>
        <v>0</v>
      </c>
      <c r="DL82" s="263">
        <f t="shared" si="435"/>
        <v>0</v>
      </c>
      <c r="DM82" s="263">
        <f t="shared" si="436"/>
        <v>0</v>
      </c>
      <c r="DO82" s="264">
        <f t="shared" si="437"/>
        <v>0</v>
      </c>
      <c r="DP82" s="265">
        <f t="shared" si="438"/>
        <v>0</v>
      </c>
      <c r="DQ82" s="264">
        <f t="shared" si="439"/>
        <v>2645556.4700000002</v>
      </c>
      <c r="DR82" s="264">
        <f t="shared" si="440"/>
        <v>0</v>
      </c>
      <c r="DS82" s="265">
        <f t="shared" si="441"/>
        <v>0</v>
      </c>
      <c r="DT82" s="264">
        <f t="shared" si="442"/>
        <v>2645556.4700000002</v>
      </c>
      <c r="DU82" s="264">
        <f t="shared" si="443"/>
        <v>0</v>
      </c>
      <c r="DV82" s="265">
        <f t="shared" si="444"/>
        <v>0</v>
      </c>
      <c r="DW82" s="264">
        <f t="shared" si="445"/>
        <v>2645556.4700000002</v>
      </c>
      <c r="DX82" s="264">
        <f t="shared" si="446"/>
        <v>0</v>
      </c>
      <c r="DY82" s="265">
        <f t="shared" si="447"/>
        <v>0</v>
      </c>
      <c r="DZ82" s="264">
        <f t="shared" si="448"/>
        <v>2645556.4700000002</v>
      </c>
      <c r="EA82" s="264">
        <f t="shared" si="449"/>
        <v>0</v>
      </c>
      <c r="EB82" s="265">
        <f t="shared" si="450"/>
        <v>0</v>
      </c>
      <c r="EC82" s="264">
        <f t="shared" si="451"/>
        <v>2645556.4700000002</v>
      </c>
      <c r="ED82" s="264">
        <f t="shared" si="452"/>
        <v>0</v>
      </c>
      <c r="EE82" s="265">
        <f t="shared" si="453"/>
        <v>0</v>
      </c>
      <c r="EF82" s="264">
        <f t="shared" si="454"/>
        <v>2645556.4700000002</v>
      </c>
      <c r="EG82" s="264">
        <f t="shared" si="455"/>
        <v>0</v>
      </c>
      <c r="EH82" s="265">
        <f t="shared" si="456"/>
        <v>0</v>
      </c>
      <c r="EI82" s="264">
        <f t="shared" si="457"/>
        <v>2645556.4700000002</v>
      </c>
      <c r="EJ82" s="264">
        <f t="shared" si="458"/>
        <v>0</v>
      </c>
      <c r="EK82" s="265">
        <f t="shared" si="459"/>
        <v>0</v>
      </c>
      <c r="EL82" s="264">
        <f t="shared" si="460"/>
        <v>2645556.4700000002</v>
      </c>
      <c r="EM82" s="264">
        <f t="shared" si="461"/>
        <v>0</v>
      </c>
      <c r="EN82" s="265">
        <f t="shared" si="462"/>
        <v>0</v>
      </c>
      <c r="EO82" s="264">
        <f t="shared" si="463"/>
        <v>2645556.4700000002</v>
      </c>
      <c r="EP82" s="264">
        <f t="shared" si="464"/>
        <v>0</v>
      </c>
      <c r="EQ82" s="265">
        <f t="shared" si="465"/>
        <v>0</v>
      </c>
      <c r="ER82" s="264">
        <f t="shared" si="466"/>
        <v>2645556.4700000002</v>
      </c>
      <c r="ES82" s="264">
        <f t="shared" si="467"/>
        <v>0</v>
      </c>
      <c r="ET82" s="265">
        <f t="shared" si="468"/>
        <v>0</v>
      </c>
      <c r="EU82" s="264">
        <f t="shared" si="469"/>
        <v>2645556.4700000002</v>
      </c>
      <c r="EV82" s="264">
        <f>IF(AND(BM82="Yes",OR(BN82="No",AND(BN82="Yes",Inputs!$J$8=Inputs!$J$17+75))),EU82,0)</f>
        <v>0</v>
      </c>
      <c r="EW82" s="265">
        <f t="shared" si="470"/>
        <v>0</v>
      </c>
      <c r="EX82" s="264">
        <f t="shared" si="471"/>
        <v>2645556.4700000002</v>
      </c>
      <c r="EY82" s="264">
        <f t="shared" si="472"/>
        <v>0</v>
      </c>
      <c r="EZ82" s="265">
        <f t="shared" si="473"/>
        <v>0</v>
      </c>
      <c r="FA82" s="264">
        <f t="shared" si="474"/>
        <v>2645556.4700000002</v>
      </c>
      <c r="FB82" s="264">
        <f t="shared" si="475"/>
        <v>0</v>
      </c>
      <c r="FC82" s="265">
        <f t="shared" si="476"/>
        <v>0</v>
      </c>
      <c r="FD82" s="264">
        <f t="shared" si="477"/>
        <v>2645556.4700000002</v>
      </c>
      <c r="FE82" s="264">
        <f t="shared" si="478"/>
        <v>0</v>
      </c>
      <c r="FF82" s="265">
        <f t="shared" si="479"/>
        <v>0</v>
      </c>
      <c r="FG82" s="264">
        <f t="shared" si="480"/>
        <v>2645556.4700000002</v>
      </c>
      <c r="FH82" s="264">
        <f t="shared" si="481"/>
        <v>2645556.4700000002</v>
      </c>
      <c r="FI82" s="264">
        <f t="shared" si="482"/>
        <v>0</v>
      </c>
      <c r="FJ82" s="264">
        <f t="shared" si="483"/>
        <v>2645556.4700000002</v>
      </c>
      <c r="FK82" s="264">
        <f t="shared" si="484"/>
        <v>2645556.4700000002</v>
      </c>
      <c r="FL82" s="264">
        <f t="shared" si="485"/>
        <v>0</v>
      </c>
      <c r="FM82" s="264">
        <f t="shared" si="486"/>
        <v>2645556.4700000002</v>
      </c>
      <c r="FN82" s="264">
        <f t="shared" si="487"/>
        <v>2645556.4700000002</v>
      </c>
      <c r="FO82" s="264">
        <f t="shared" si="488"/>
        <v>0</v>
      </c>
      <c r="FP82" s="264">
        <f t="shared" si="489"/>
        <v>2645556.4700000002</v>
      </c>
      <c r="FQ82" s="264">
        <f t="shared" si="490"/>
        <v>0</v>
      </c>
      <c r="FR82" s="265">
        <f t="shared" si="491"/>
        <v>0</v>
      </c>
      <c r="FS82" s="264">
        <f t="shared" si="492"/>
        <v>2645556.4700000002</v>
      </c>
      <c r="FT82" s="264">
        <f t="shared" si="493"/>
        <v>0</v>
      </c>
      <c r="FU82" s="265">
        <f t="shared" si="494"/>
        <v>0</v>
      </c>
      <c r="FV82" s="264">
        <f t="shared" si="495"/>
        <v>2645556.4700000002</v>
      </c>
      <c r="FW82" s="264">
        <f t="shared" si="496"/>
        <v>0</v>
      </c>
      <c r="FX82" s="264">
        <f t="shared" si="497"/>
        <v>0</v>
      </c>
      <c r="FY82" s="264">
        <f t="shared" si="498"/>
        <v>0</v>
      </c>
      <c r="FZ82" s="264">
        <f t="shared" si="499"/>
        <v>0</v>
      </c>
      <c r="GA82" s="265">
        <f t="shared" si="500"/>
        <v>0</v>
      </c>
      <c r="GB82" s="264">
        <f t="shared" si="501"/>
        <v>2645556.4700000002</v>
      </c>
      <c r="GC82" s="264">
        <f t="shared" si="502"/>
        <v>2645556.4700000002</v>
      </c>
      <c r="GD82" s="266">
        <f t="shared" si="503"/>
        <v>1918028.4407500001</v>
      </c>
      <c r="GE82" s="138">
        <f t="shared" si="504"/>
        <v>0.72499999999999998</v>
      </c>
      <c r="GF82" s="267">
        <f t="shared" si="505"/>
        <v>18</v>
      </c>
      <c r="GG82" s="264">
        <f t="array" ref="GG82">IF(SUM(IF(IC$9:IC81=IC82,1,0))&gt;0,0,SUMIF($IC$10:$IC$406,IC82,$FJ$10:$FJ$406))</f>
        <v>0</v>
      </c>
      <c r="GH82" s="268">
        <f t="shared" si="506"/>
        <v>0</v>
      </c>
      <c r="GI82" s="137">
        <f t="shared" si="126"/>
        <v>73</v>
      </c>
      <c r="GJ82" s="269">
        <f t="shared" si="507"/>
        <v>0</v>
      </c>
      <c r="GK82" s="269">
        <f t="shared" si="508"/>
        <v>0</v>
      </c>
      <c r="GL82" s="163">
        <f t="shared" si="509"/>
        <v>0</v>
      </c>
      <c r="GM82" s="137">
        <f t="array" ref="GM82">IF(GJ82=0,0,LARGE(IF($GG$10:$GG$406=GJ82,$GF$10:$GF$406,0),COUNTIF($GJ$10:$GJ$406,GJ82)-COUNTIF(GJ$9:GJ81,GJ82)))</f>
        <v>0</v>
      </c>
      <c r="GN82" s="270">
        <f t="shared" si="510"/>
        <v>0</v>
      </c>
      <c r="GP82" s="137">
        <f>IF(C82="","",IF(ISERROR(MATCH(C82,C$10:C81,0)),MAX(GP$10:GP81)+1,INDEX(GP$10:GP81,MATCH(C82,C$10:C81,0))))</f>
        <v>61</v>
      </c>
      <c r="GQ82" s="264">
        <f>IF(COUNTIF($A$10:A82,A82)&lt;=1,SUMIF($A$10:$A$406,A82,$FH$10:$FH$406),0)</f>
        <v>2645556.4700000002</v>
      </c>
      <c r="GR82" s="137">
        <f t="shared" si="130"/>
        <v>73</v>
      </c>
      <c r="GS82" s="269">
        <f t="shared" si="511"/>
        <v>3356950</v>
      </c>
      <c r="GT82" s="269">
        <f t="shared" si="512"/>
        <v>50964284.172430128</v>
      </c>
      <c r="GU82" s="163">
        <f t="shared" si="513"/>
        <v>0</v>
      </c>
      <c r="GV82" s="137">
        <f t="array" ref="GV82">IF(GS82=0,0,LARGE(IF($GQ$10:$GQ$406=GS82,$GP$10:$GP$406,0),COUNTIF($GS$10:$GS$406,GS82)-COUNTIF(GS$9:GS81,GS82)))</f>
        <v>53</v>
      </c>
      <c r="GW82" s="270">
        <f t="shared" si="514"/>
        <v>0</v>
      </c>
      <c r="GX82" s="270"/>
      <c r="GY82" s="137">
        <f>IF(C82="","",IF(ISERROR(MATCH(C82,C$10:C81,0)),MAX(GP$10:GP81)+1,INDEX(GP$10:GP81,MATCH(C82,C$10:C81,0))))</f>
        <v>61</v>
      </c>
      <c r="GZ82" s="264">
        <f>IF(COUNTIF($A$10:A82,A82)&lt;=1,SUMIF($A$10:$A$406,A82,$FH$10:$FH$406),0)</f>
        <v>2645556.4700000002</v>
      </c>
      <c r="HA82" s="137">
        <f t="shared" si="134"/>
        <v>73</v>
      </c>
      <c r="HB82" s="269">
        <f t="shared" si="515"/>
        <v>3356950</v>
      </c>
      <c r="HC82" s="414" t="s">
        <v>622</v>
      </c>
      <c r="HD82" s="163">
        <f t="shared" si="516"/>
        <v>0</v>
      </c>
      <c r="HE82" s="137">
        <f t="array" ref="HE82">IF(HB82=0,0,LARGE(IF($GZ$10:$GZ$406=HB82,$GY$10:$GY$406,0),COUNTIF($HB$10:$HB$406,HB82)-COUNTIF(HB$9:HB81,HB82)))</f>
        <v>53</v>
      </c>
      <c r="HF82" s="270">
        <f t="shared" si="517"/>
        <v>0</v>
      </c>
      <c r="HG82" s="270"/>
      <c r="HH82" s="268">
        <f t="shared" si="518"/>
        <v>0</v>
      </c>
      <c r="HI82" s="271">
        <v>0</v>
      </c>
      <c r="HJ82" s="264">
        <f t="shared" si="519"/>
        <v>0</v>
      </c>
      <c r="HL82" s="137">
        <f t="shared" si="520"/>
        <v>73</v>
      </c>
      <c r="HM82" s="264">
        <f t="shared" si="521"/>
        <v>5145694</v>
      </c>
      <c r="HN82"/>
      <c r="HO82" s="199">
        <f t="shared" si="522"/>
        <v>2645556.4700000002</v>
      </c>
      <c r="HP82" s="199">
        <f t="shared" si="523"/>
        <v>2645556.4700000002</v>
      </c>
      <c r="HQ82" s="199" t="str">
        <f t="shared" si="524"/>
        <v/>
      </c>
      <c r="HR82" s="199" t="str">
        <f t="shared" si="525"/>
        <v/>
      </c>
      <c r="HS82" s="199" t="str">
        <f t="shared" ref="HS82:HS145" si="539">IF($Q82="Yes",MIN($M82,$T82*$M82),"")</f>
        <v/>
      </c>
      <c r="HT82" s="199" t="str">
        <f t="shared" si="526"/>
        <v/>
      </c>
      <c r="HU82" s="199" t="str">
        <f t="shared" si="527"/>
        <v/>
      </c>
      <c r="HV82" s="200">
        <f t="shared" si="528"/>
        <v>0</v>
      </c>
      <c r="HW82" s="272">
        <f t="shared" ref="HW82:HW143" si="540">IF(OR(SUM(HQ82:HU82)&gt;0,P82&gt;=6),"",IF($B82="","",1))</f>
        <v>1</v>
      </c>
      <c r="HX82" s="200" t="str">
        <f t="shared" si="529"/>
        <v/>
      </c>
      <c r="HY82" s="200">
        <f t="shared" si="530"/>
        <v>0</v>
      </c>
      <c r="HZ82" s="200" t="str">
        <f t="shared" si="535"/>
        <v/>
      </c>
      <c r="IA82" s="200" t="str">
        <f t="shared" si="531"/>
        <v/>
      </c>
      <c r="IB82" s="200" t="str">
        <f t="shared" si="532"/>
        <v/>
      </c>
      <c r="IC82" s="273">
        <f>IF(C82="","",INDEX(Lookups!$E$2:$E$69,MATCH('Loan List'!BE82,Lookups!$F$2:$F$69,0)))</f>
        <v>18</v>
      </c>
      <c r="ID82" t="b">
        <f t="shared" si="533"/>
        <v>1</v>
      </c>
      <c r="IF82" s="346" t="str">
        <f>IF(B82="","",IF(AND(Y82="Second Lien",OR(DA82=1,DB82=1,DC82=1)),50%,IF(DA82=1,90%,IF(DB82=1,80%,IF(DC82=1,65%,"No Initial Haircut")))))</f>
        <v>No Initial Haircut</v>
      </c>
    </row>
    <row r="83" spans="1:240">
      <c r="A83" t="s">
        <v>597</v>
      </c>
      <c r="B83" s="242">
        <f t="shared" si="402"/>
        <v>74</v>
      </c>
      <c r="C83" s="242">
        <f>IF(COUNTIF($A$10:A82,A83)&gt;0,C82,C82+1)</f>
        <v>62</v>
      </c>
      <c r="D83" s="428" t="s">
        <v>597</v>
      </c>
      <c r="E83" s="428" t="s">
        <v>589</v>
      </c>
      <c r="F83" s="429"/>
      <c r="G83" s="430">
        <v>11777927.58</v>
      </c>
      <c r="H83" s="430">
        <v>11777927.58</v>
      </c>
      <c r="I83" s="244">
        <f>IF(B83="","",VLOOKUP(BF83,Inputs!$A$12:$J$15,10,FALSE))</f>
        <v>1</v>
      </c>
      <c r="J83" s="245">
        <f>IF(B83="","",G83*I83)</f>
        <v>11777927.58</v>
      </c>
      <c r="K83" s="245">
        <f>IF(B83="","",H83*I83)</f>
        <v>11777927.58</v>
      </c>
      <c r="L83" s="245">
        <f>IF(B83="","",IF(COUNTIF($CF83:$CY83,1)&gt;0,0,J83))</f>
        <v>11777927.58</v>
      </c>
      <c r="M83" s="245">
        <f>IF(B83="","",IF(COUNTIF($CF83:$CY83,1)&gt;0,0,K83))</f>
        <v>11777927.58</v>
      </c>
      <c r="N83" s="246" t="s">
        <v>246</v>
      </c>
      <c r="O83" s="246" t="s">
        <v>245</v>
      </c>
      <c r="P83" s="247">
        <f>IF(B83="","",IF(OR(O83="N/A",O83=""),0,YEARFRAC('Borrowing Base'!$J$4,'Loan List'!O83)*12))</f>
        <v>0</v>
      </c>
      <c r="Q83" s="246" t="s">
        <v>246</v>
      </c>
      <c r="R83" s="248">
        <v>0.98499999999999988</v>
      </c>
      <c r="S83" s="249" t="str">
        <f>IF(B83="","",IF(R83&lt;95%,"Yes","No"))</f>
        <v>No</v>
      </c>
      <c r="T83" s="248">
        <v>1</v>
      </c>
      <c r="U83" s="250">
        <f>IF(B83="","",IF(OR(Y83="First Lien",Y83="Split First Lien",Y83="Tier 1 Split Lien",Y83="Tier 2 Split Lien"),50%,30%))</f>
        <v>0.5</v>
      </c>
      <c r="V83" s="250">
        <f>IF(B83="",0,IF(AND(Y83="First Lien",AN83="Tier 1"),IF(AND(X83="Yes",MIN(AH83,$AJ$5)&gt;4.5),(((4.5/MIN(AH83,$AJ$5))*72.5%)+(((MIN(AH83,$AJ$5)-4.5)/MIN(AH83,$AJ$5))*35%)),72.5%),IF(AND(Y83="First Lien",AN83="Tier 2"),IF(AND(X83="Yes",MIN(AH83,$AK$5)&gt;4.5),(((4.5/MIN(AH83,$AK$5))*72.5%)+(((MIN(AH83,$AK$5)-4.5)/MIN(AH83,$AK$5))*35%)),72.5%),IF(AND(X83="Yes",MIN(AH83,$AL$5)&gt;4),(((4/MIN(AH83,$AL$5))*72.5%)+(((MIN(AH83,$AL$5)-4)/MIN(AH83,$AL$5))*35%)),IF(OR(Y83="First Lien",Y83="Split First Lien"),72.5%,IF(Y83="Split Lien", 53%,35%))))))</f>
        <v>0.72499999999999998</v>
      </c>
      <c r="W83" s="251">
        <f t="shared" si="385"/>
        <v>11777927.58</v>
      </c>
      <c r="X83" s="246" t="s">
        <v>246</v>
      </c>
      <c r="Y83" s="252" t="s">
        <v>483</v>
      </c>
      <c r="Z83" s="252" t="s">
        <v>484</v>
      </c>
      <c r="AA83" s="253" t="s">
        <v>407</v>
      </c>
      <c r="AB83" s="253" t="s">
        <v>713</v>
      </c>
      <c r="AC83" s="254">
        <v>1.451226119726776</v>
      </c>
      <c r="AD83" s="254">
        <v>1.8968984642453544</v>
      </c>
      <c r="AE83" s="254">
        <v>2.8006856657025412</v>
      </c>
      <c r="AF83" s="255">
        <v>0.48632806579449966</v>
      </c>
      <c r="AG83" s="256">
        <v>4.4013200993852264</v>
      </c>
      <c r="AH83" s="256">
        <v>4.4013200993852264</v>
      </c>
      <c r="AI83" s="256">
        <v>2.6014454560234803</v>
      </c>
      <c r="AJ83" s="256">
        <v>2.6014454560234803</v>
      </c>
      <c r="AK83" s="257">
        <v>50913000</v>
      </c>
      <c r="AL83" s="257">
        <v>69673244.749500498</v>
      </c>
      <c r="AM83" s="258">
        <v>45777</v>
      </c>
      <c r="AN83" s="245" t="str">
        <f>IF(C83="","",(IF(AK83&gt;=50000000,"Tier 1",(IF(OR(AK83&gt;=20000000,AND(AK83&gt;5000000,AC83&gt;=1.25,AF83&lt;=0.65)),"Tier 2","Tier 3")))))</f>
        <v>Tier 1</v>
      </c>
      <c r="AO83" s="243">
        <v>47499</v>
      </c>
      <c r="AP83" s="259">
        <f>IF(C83="","",DAYS360(Inputs!$J$8,AO83)/360)</f>
        <v>4.3944444444444448</v>
      </c>
      <c r="AQ83" s="259">
        <f>IF(C83="","",AP83)</f>
        <v>4.3944444444444448</v>
      </c>
      <c r="AR83" s="246" t="s">
        <v>246</v>
      </c>
      <c r="AS83" s="248">
        <v>0</v>
      </c>
      <c r="AT83" s="246" t="s">
        <v>64</v>
      </c>
      <c r="AU83" s="248">
        <v>0.01</v>
      </c>
      <c r="AV83" s="248">
        <v>5.2499999999999998E-2</v>
      </c>
      <c r="AW83" s="248">
        <v>4.3170000000000007E-2</v>
      </c>
      <c r="AX83" s="260">
        <f>IF(C83="","",MAX(AU83,AW83))</f>
        <v>4.3170000000000007E-2</v>
      </c>
      <c r="AY83" s="248">
        <v>0</v>
      </c>
      <c r="AZ83" s="248">
        <v>0</v>
      </c>
      <c r="BA83" s="248">
        <v>0</v>
      </c>
      <c r="BB83" s="407">
        <f t="shared" si="536"/>
        <v>5.2499999999999998E-2</v>
      </c>
      <c r="BC83" s="407" t="str">
        <f t="shared" si="537"/>
        <v/>
      </c>
      <c r="BD83" s="252" t="s">
        <v>247</v>
      </c>
      <c r="BE83" s="261" t="s">
        <v>363</v>
      </c>
      <c r="BF83" s="252" t="s">
        <v>7</v>
      </c>
      <c r="BG83" s="252" t="s">
        <v>460</v>
      </c>
      <c r="BH83" s="246" t="s">
        <v>246</v>
      </c>
      <c r="BI83" s="408" t="str">
        <f t="shared" si="534"/>
        <v>No</v>
      </c>
      <c r="BJ83" s="408" t="str">
        <f t="shared" si="538"/>
        <v>No</v>
      </c>
      <c r="BK83" s="246" t="s">
        <v>246</v>
      </c>
      <c r="BL83" s="246" t="s">
        <v>246</v>
      </c>
      <c r="BM83" s="246" t="s">
        <v>246</v>
      </c>
      <c r="BN83" s="246" t="s">
        <v>246</v>
      </c>
      <c r="BO83" s="246" t="s">
        <v>246</v>
      </c>
      <c r="BP83" s="246" t="s">
        <v>246</v>
      </c>
      <c r="BQ83" s="246" t="s">
        <v>246</v>
      </c>
      <c r="BR83" s="246" t="s">
        <v>246</v>
      </c>
      <c r="BS83" s="246" t="s">
        <v>246</v>
      </c>
      <c r="BT83" s="246" t="s">
        <v>246</v>
      </c>
      <c r="BU83" s="246" t="s">
        <v>246</v>
      </c>
      <c r="BV83" s="246" t="s">
        <v>246</v>
      </c>
      <c r="BW83" s="246" t="s">
        <v>246</v>
      </c>
      <c r="BX83" s="246" t="s">
        <v>246</v>
      </c>
      <c r="BY83" s="246" t="s">
        <v>246</v>
      </c>
      <c r="BZ83" s="246" t="s">
        <v>246</v>
      </c>
      <c r="CA83" s="246" t="s">
        <v>246</v>
      </c>
      <c r="CB83" s="246" t="s">
        <v>64</v>
      </c>
      <c r="CC83" s="262">
        <f>IF(B83="","",IF(AT83="No",((BB83+AW83)-$AZ$4),((BB83+AX83)-$AZ$4))*IF(DE83&gt;0,0,M83))</f>
        <v>617724.03454480809</v>
      </c>
      <c r="CD83" s="262">
        <f>IF(B83="","",AY83*(L83-M83)*IF(DE83&gt;0,0,1))</f>
        <v>0</v>
      </c>
      <c r="CE83" s="263"/>
      <c r="CF83" s="263">
        <f t="shared" si="403"/>
        <v>0</v>
      </c>
      <c r="CG83" s="263">
        <f t="shared" si="404"/>
        <v>0</v>
      </c>
      <c r="CH83" s="263">
        <f t="shared" si="405"/>
        <v>0</v>
      </c>
      <c r="CI83" s="263">
        <f t="shared" si="406"/>
        <v>0</v>
      </c>
      <c r="CJ83" s="263">
        <f t="shared" si="407"/>
        <v>0</v>
      </c>
      <c r="CK83" s="263">
        <f t="shared" si="408"/>
        <v>0</v>
      </c>
      <c r="CL83" s="263">
        <f t="shared" si="409"/>
        <v>0</v>
      </c>
      <c r="CM83" s="263">
        <f t="shared" si="410"/>
        <v>0</v>
      </c>
      <c r="CN83" s="263">
        <f t="shared" si="411"/>
        <v>0</v>
      </c>
      <c r="CO83" s="263">
        <f t="shared" si="412"/>
        <v>0</v>
      </c>
      <c r="CP83" s="263">
        <f t="shared" si="413"/>
        <v>0</v>
      </c>
      <c r="CQ83" s="263">
        <f t="shared" si="414"/>
        <v>0</v>
      </c>
      <c r="CR83" s="263">
        <f t="shared" si="415"/>
        <v>0</v>
      </c>
      <c r="CS83" s="263">
        <f t="shared" si="416"/>
        <v>0</v>
      </c>
      <c r="CT83" s="263">
        <f t="shared" si="417"/>
        <v>0</v>
      </c>
      <c r="CU83" s="263">
        <f t="shared" si="418"/>
        <v>0</v>
      </c>
      <c r="CV83" s="263">
        <f t="shared" si="419"/>
        <v>0</v>
      </c>
      <c r="CW83" s="263">
        <f t="shared" si="420"/>
        <v>0</v>
      </c>
      <c r="CX83" s="263">
        <f t="shared" si="421"/>
        <v>0</v>
      </c>
      <c r="CY83" s="263">
        <f t="shared" si="422"/>
        <v>0</v>
      </c>
      <c r="CZ83" s="263">
        <f t="shared" si="423"/>
        <v>0</v>
      </c>
      <c r="DA83" s="263">
        <f t="shared" si="424"/>
        <v>0</v>
      </c>
      <c r="DB83" s="263">
        <f t="shared" si="425"/>
        <v>0</v>
      </c>
      <c r="DC83" s="263">
        <f t="shared" si="426"/>
        <v>0</v>
      </c>
      <c r="DD83" s="263">
        <f t="shared" si="427"/>
        <v>0</v>
      </c>
      <c r="DE83" s="263">
        <f t="shared" si="428"/>
        <v>0</v>
      </c>
      <c r="DF83" s="263">
        <f t="shared" si="429"/>
        <v>11777927.58</v>
      </c>
      <c r="DG83" s="263">
        <f t="shared" si="430"/>
        <v>0</v>
      </c>
      <c r="DH83" s="263">
        <f t="shared" si="431"/>
        <v>11777927.58</v>
      </c>
      <c r="DI83" s="263">
        <f t="shared" si="432"/>
        <v>11777927.58</v>
      </c>
      <c r="DJ83" s="263">
        <f t="shared" si="433"/>
        <v>0</v>
      </c>
      <c r="DK83" s="263">
        <f t="shared" si="434"/>
        <v>0</v>
      </c>
      <c r="DL83" s="263">
        <f t="shared" si="435"/>
        <v>0</v>
      </c>
      <c r="DM83" s="263">
        <f t="shared" si="436"/>
        <v>0</v>
      </c>
      <c r="DO83" s="264">
        <f t="shared" si="437"/>
        <v>0</v>
      </c>
      <c r="DP83" s="265">
        <f t="shared" si="438"/>
        <v>0</v>
      </c>
      <c r="DQ83" s="264">
        <f t="shared" si="439"/>
        <v>11777927.58</v>
      </c>
      <c r="DR83" s="264">
        <f t="shared" si="440"/>
        <v>0</v>
      </c>
      <c r="DS83" s="265">
        <f t="shared" si="441"/>
        <v>0</v>
      </c>
      <c r="DT83" s="264">
        <f t="shared" si="442"/>
        <v>11777927.58</v>
      </c>
      <c r="DU83" s="264">
        <f t="shared" si="443"/>
        <v>0</v>
      </c>
      <c r="DV83" s="265">
        <f t="shared" si="444"/>
        <v>0</v>
      </c>
      <c r="DW83" s="264">
        <f t="shared" si="445"/>
        <v>11777927.58</v>
      </c>
      <c r="DX83" s="264">
        <f t="shared" si="446"/>
        <v>0</v>
      </c>
      <c r="DY83" s="265">
        <f t="shared" si="447"/>
        <v>0</v>
      </c>
      <c r="DZ83" s="264">
        <f t="shared" si="448"/>
        <v>11777927.58</v>
      </c>
      <c r="EA83" s="264">
        <f t="shared" si="449"/>
        <v>0</v>
      </c>
      <c r="EB83" s="265">
        <f t="shared" si="450"/>
        <v>0</v>
      </c>
      <c r="EC83" s="264">
        <f t="shared" si="451"/>
        <v>11777927.58</v>
      </c>
      <c r="ED83" s="264">
        <f t="shared" si="452"/>
        <v>0</v>
      </c>
      <c r="EE83" s="265">
        <f t="shared" si="453"/>
        <v>0</v>
      </c>
      <c r="EF83" s="264">
        <f t="shared" si="454"/>
        <v>11777927.58</v>
      </c>
      <c r="EG83" s="264">
        <f t="shared" si="455"/>
        <v>0</v>
      </c>
      <c r="EH83" s="265">
        <f t="shared" si="456"/>
        <v>0</v>
      </c>
      <c r="EI83" s="264">
        <f t="shared" si="457"/>
        <v>11777927.58</v>
      </c>
      <c r="EJ83" s="264">
        <f t="shared" si="458"/>
        <v>0</v>
      </c>
      <c r="EK83" s="265">
        <f t="shared" si="459"/>
        <v>0</v>
      </c>
      <c r="EL83" s="264">
        <f t="shared" si="460"/>
        <v>11777927.58</v>
      </c>
      <c r="EM83" s="264">
        <f t="shared" si="461"/>
        <v>0</v>
      </c>
      <c r="EN83" s="265">
        <f t="shared" si="462"/>
        <v>0</v>
      </c>
      <c r="EO83" s="264">
        <f t="shared" si="463"/>
        <v>11777927.58</v>
      </c>
      <c r="EP83" s="264">
        <f t="shared" si="464"/>
        <v>0</v>
      </c>
      <c r="EQ83" s="265">
        <f t="shared" si="465"/>
        <v>0</v>
      </c>
      <c r="ER83" s="264">
        <f t="shared" si="466"/>
        <v>11777927.58</v>
      </c>
      <c r="ES83" s="264">
        <f t="shared" si="467"/>
        <v>0</v>
      </c>
      <c r="ET83" s="265">
        <f t="shared" si="468"/>
        <v>0</v>
      </c>
      <c r="EU83" s="264">
        <f t="shared" si="469"/>
        <v>11777927.58</v>
      </c>
      <c r="EV83" s="264">
        <f>IF(AND(BM83="Yes",OR(BN83="No",AND(BN83="Yes",Inputs!$J$8=Inputs!$J$17+75))),EU83,0)</f>
        <v>0</v>
      </c>
      <c r="EW83" s="265">
        <f t="shared" si="470"/>
        <v>0</v>
      </c>
      <c r="EX83" s="264">
        <f t="shared" si="471"/>
        <v>11777927.58</v>
      </c>
      <c r="EY83" s="264">
        <f t="shared" si="472"/>
        <v>0</v>
      </c>
      <c r="EZ83" s="265">
        <f t="shared" si="473"/>
        <v>0</v>
      </c>
      <c r="FA83" s="264">
        <f t="shared" si="474"/>
        <v>11777927.58</v>
      </c>
      <c r="FB83" s="264">
        <f t="shared" si="475"/>
        <v>0</v>
      </c>
      <c r="FC83" s="265">
        <f t="shared" si="476"/>
        <v>0</v>
      </c>
      <c r="FD83" s="264">
        <f t="shared" si="477"/>
        <v>11777927.58</v>
      </c>
      <c r="FE83" s="264">
        <f t="shared" si="478"/>
        <v>0</v>
      </c>
      <c r="FF83" s="265">
        <f t="shared" si="479"/>
        <v>0</v>
      </c>
      <c r="FG83" s="264">
        <f t="shared" si="480"/>
        <v>11777927.58</v>
      </c>
      <c r="FH83" s="264">
        <f t="shared" si="481"/>
        <v>11777927.58</v>
      </c>
      <c r="FI83" s="264">
        <f t="shared" si="482"/>
        <v>0</v>
      </c>
      <c r="FJ83" s="264">
        <f t="shared" si="483"/>
        <v>11777927.58</v>
      </c>
      <c r="FK83" s="264">
        <f t="shared" si="484"/>
        <v>11777927.58</v>
      </c>
      <c r="FL83" s="264">
        <f t="shared" si="485"/>
        <v>0</v>
      </c>
      <c r="FM83" s="264">
        <f t="shared" si="486"/>
        <v>11777927.58</v>
      </c>
      <c r="FN83" s="264">
        <f t="shared" si="487"/>
        <v>11777927.58</v>
      </c>
      <c r="FO83" s="264">
        <f t="shared" si="488"/>
        <v>0</v>
      </c>
      <c r="FP83" s="264">
        <f t="shared" si="489"/>
        <v>11777927.58</v>
      </c>
      <c r="FQ83" s="264">
        <f t="shared" si="490"/>
        <v>0</v>
      </c>
      <c r="FR83" s="265">
        <f t="shared" si="491"/>
        <v>0</v>
      </c>
      <c r="FS83" s="264">
        <f t="shared" si="492"/>
        <v>11777927.58</v>
      </c>
      <c r="FT83" s="264">
        <f t="shared" si="493"/>
        <v>0</v>
      </c>
      <c r="FU83" s="265">
        <f t="shared" si="494"/>
        <v>0</v>
      </c>
      <c r="FV83" s="264">
        <f t="shared" si="495"/>
        <v>11777927.58</v>
      </c>
      <c r="FW83" s="264">
        <f t="shared" si="496"/>
        <v>0</v>
      </c>
      <c r="FX83" s="264">
        <f t="shared" si="497"/>
        <v>0</v>
      </c>
      <c r="FY83" s="264">
        <f t="shared" si="498"/>
        <v>0</v>
      </c>
      <c r="FZ83" s="264">
        <f t="shared" si="499"/>
        <v>0</v>
      </c>
      <c r="GA83" s="265">
        <f t="shared" si="500"/>
        <v>0</v>
      </c>
      <c r="GB83" s="264">
        <f t="shared" si="501"/>
        <v>11777927.58</v>
      </c>
      <c r="GC83" s="264">
        <f t="shared" si="502"/>
        <v>11777927.58</v>
      </c>
      <c r="GD83" s="266">
        <f t="shared" si="503"/>
        <v>8538997.4955000002</v>
      </c>
      <c r="GE83" s="138">
        <f t="shared" si="504"/>
        <v>0.72499999999999998</v>
      </c>
      <c r="GF83" s="267">
        <f t="shared" si="505"/>
        <v>14</v>
      </c>
      <c r="GG83" s="264">
        <f t="array" ref="GG83">IF(SUM(IF(IC$9:IC82=IC83,1,0))&gt;0,0,SUMIF($IC$10:$IC$406,IC83,$FJ$10:$FJ$406))</f>
        <v>0</v>
      </c>
      <c r="GH83" s="268">
        <f t="shared" si="506"/>
        <v>0</v>
      </c>
      <c r="GI83" s="137">
        <f t="shared" si="126"/>
        <v>74</v>
      </c>
      <c r="GJ83" s="269">
        <f t="shared" si="507"/>
        <v>0</v>
      </c>
      <c r="GK83" s="269">
        <f t="shared" si="508"/>
        <v>0</v>
      </c>
      <c r="GL83" s="163">
        <f t="shared" si="509"/>
        <v>0</v>
      </c>
      <c r="GM83" s="137">
        <f t="array" ref="GM83">IF(GJ83=0,0,LARGE(IF($GG$10:$GG$406=GJ83,$GF$10:$GF$406,0),COUNTIF($GJ$10:$GJ$406,GJ83)-COUNTIF(GJ$9:GJ82,GJ83)))</f>
        <v>0</v>
      </c>
      <c r="GN83" s="270">
        <f t="shared" si="510"/>
        <v>0</v>
      </c>
      <c r="GP83" s="137">
        <f>IF(C83="","",IF(ISERROR(MATCH(C83,C$10:C82,0)),MAX(GP$10:GP82)+1,INDEX(GP$10:GP82,MATCH(C83,C$10:C82,0))))</f>
        <v>62</v>
      </c>
      <c r="GQ83" s="264">
        <f>IF(COUNTIF($A$10:A83,A83)&lt;=1,SUMIF($A$10:$A$406,A83,$FH$10:$FH$406),0)</f>
        <v>12271677.58</v>
      </c>
      <c r="GR83" s="137">
        <f t="shared" si="130"/>
        <v>74</v>
      </c>
      <c r="GS83" s="269">
        <f t="shared" si="511"/>
        <v>3314311</v>
      </c>
      <c r="GT83" s="269">
        <f t="shared" si="512"/>
        <v>50964284.172430128</v>
      </c>
      <c r="GU83" s="163">
        <f t="shared" si="513"/>
        <v>0</v>
      </c>
      <c r="GV83" s="137">
        <f t="array" ref="GV83">IF(GS83=0,0,LARGE(IF($GQ$10:$GQ$406=GS83,$GP$10:$GP$406,0),COUNTIF($GS$10:$GS$406,GS83)-COUNTIF(GS$9:GS82,GS83)))</f>
        <v>75</v>
      </c>
      <c r="GW83" s="270">
        <f t="shared" si="514"/>
        <v>0</v>
      </c>
      <c r="GX83" s="270"/>
      <c r="GY83" s="137">
        <f>IF(C83="","",IF(ISERROR(MATCH(C83,C$10:C82,0)),MAX(GP$10:GP82)+1,INDEX(GP$10:GP82,MATCH(C83,C$10:C82,0))))</f>
        <v>62</v>
      </c>
      <c r="GZ83" s="264">
        <f>IF(COUNTIF($A$10:A83,A83)&lt;=1,SUMIF($A$10:$A$406,A83,$FH$10:$FH$406),0)</f>
        <v>12271677.58</v>
      </c>
      <c r="HA83" s="137">
        <f t="shared" si="134"/>
        <v>74</v>
      </c>
      <c r="HB83" s="269">
        <f t="shared" si="515"/>
        <v>3314311</v>
      </c>
      <c r="HC83" s="414" t="s">
        <v>622</v>
      </c>
      <c r="HD83" s="163">
        <f t="shared" si="516"/>
        <v>0</v>
      </c>
      <c r="HE83" s="137">
        <f t="array" ref="HE83">IF(HB83=0,0,LARGE(IF($GZ$10:$GZ$406=HB83,$GY$10:$GY$406,0),COUNTIF($HB$10:$HB$406,HB83)-COUNTIF(HB$9:HB82,HB83)))</f>
        <v>75</v>
      </c>
      <c r="HF83" s="270">
        <f t="shared" si="517"/>
        <v>0</v>
      </c>
      <c r="HG83" s="270"/>
      <c r="HH83" s="268">
        <f t="shared" si="518"/>
        <v>0</v>
      </c>
      <c r="HI83" s="271">
        <v>0</v>
      </c>
      <c r="HJ83" s="264">
        <f t="shared" si="519"/>
        <v>0</v>
      </c>
      <c r="HL83" s="137">
        <f t="shared" si="520"/>
        <v>74</v>
      </c>
      <c r="HM83" s="264">
        <f t="shared" si="521"/>
        <v>0</v>
      </c>
      <c r="HN83"/>
      <c r="HO83" s="199">
        <f t="shared" si="522"/>
        <v>11777927.58</v>
      </c>
      <c r="HP83" s="199">
        <f t="shared" si="523"/>
        <v>11777927.58</v>
      </c>
      <c r="HQ83" s="199" t="str">
        <f t="shared" si="524"/>
        <v/>
      </c>
      <c r="HR83" s="199" t="str">
        <f t="shared" si="525"/>
        <v/>
      </c>
      <c r="HS83" s="199" t="str">
        <f t="shared" si="539"/>
        <v/>
      </c>
      <c r="HT83" s="199" t="str">
        <f t="shared" si="526"/>
        <v/>
      </c>
      <c r="HU83" s="199" t="str">
        <f t="shared" si="527"/>
        <v/>
      </c>
      <c r="HV83" s="200">
        <f t="shared" si="528"/>
        <v>0</v>
      </c>
      <c r="HW83" s="272">
        <f t="shared" si="540"/>
        <v>1</v>
      </c>
      <c r="HX83" s="200" t="str">
        <f t="shared" si="529"/>
        <v/>
      </c>
      <c r="HY83" s="200">
        <f t="shared" si="530"/>
        <v>0</v>
      </c>
      <c r="HZ83" s="200" t="str">
        <f t="shared" si="535"/>
        <v/>
      </c>
      <c r="IA83" s="200" t="str">
        <f t="shared" si="531"/>
        <v/>
      </c>
      <c r="IB83" s="200" t="str">
        <f t="shared" si="532"/>
        <v/>
      </c>
      <c r="IC83" s="273">
        <f>IF(C83="","",INDEX(Lookups!$E$2:$E$69,MATCH('Loan List'!BE83,Lookups!$F$2:$F$69,0)))</f>
        <v>14</v>
      </c>
      <c r="ID83" t="b">
        <f t="shared" si="533"/>
        <v>1</v>
      </c>
      <c r="IF83" s="346" t="str">
        <f>IF(B83="","",IF(AND(Y83="Second Lien",OR(DA83=1,DB83=1,DC83=1)),50%,IF(DA83=1,90%,IF(DB83=1,80%,IF(DC83=1,65%,"No Initial Haircut")))))</f>
        <v>No Initial Haircut</v>
      </c>
    </row>
    <row r="84" spans="1:240" ht="15" customHeight="1">
      <c r="A84" t="s">
        <v>597</v>
      </c>
      <c r="B84" s="242">
        <f t="shared" ref="B84:B147" si="541">IF(D84="","",B83+1)</f>
        <v>75</v>
      </c>
      <c r="C84" s="242">
        <f>IF(COUNTIF($A$10:A83,A84)&gt;0,C83,C83+1)</f>
        <v>62</v>
      </c>
      <c r="D84" s="431" t="s">
        <v>758</v>
      </c>
      <c r="E84" s="428" t="s">
        <v>589</v>
      </c>
      <c r="F84" s="429"/>
      <c r="G84" s="430">
        <v>493750</v>
      </c>
      <c r="H84" s="430">
        <v>493750</v>
      </c>
      <c r="I84" s="244">
        <f>IF(B84="","",VLOOKUP(BF84,Inputs!$A$12:$J$15,10,FALSE))</f>
        <v>1</v>
      </c>
      <c r="J84" s="245">
        <f t="shared" ref="J84:J147" si="542">IF(B84="","",G84*I84)</f>
        <v>493750</v>
      </c>
      <c r="K84" s="245">
        <f t="shared" ref="K84:K147" si="543">IF(B84="","",H84*I84)</f>
        <v>493750</v>
      </c>
      <c r="L84" s="245">
        <f t="shared" ref="L84:L147" si="544">IF(B84="","",IF(COUNTIF($CF84:$CY84,1)&gt;0,0,J84))</f>
        <v>493750</v>
      </c>
      <c r="M84" s="245">
        <f t="shared" ref="M84:M147" si="545">IF(B84="","",IF(COUNTIF($CF84:$CY84,1)&gt;0,0,K84))</f>
        <v>493750</v>
      </c>
      <c r="N84" s="246" t="s">
        <v>246</v>
      </c>
      <c r="O84" s="246" t="s">
        <v>245</v>
      </c>
      <c r="P84" s="247">
        <f>IF(B84="","",IF(OR(O84="N/A",O84=""),0,YEARFRAC('Borrowing Base'!$J$4,'Loan List'!O84)*12))</f>
        <v>0</v>
      </c>
      <c r="Q84" s="246" t="s">
        <v>246</v>
      </c>
      <c r="R84" s="248">
        <v>0.98499999999999988</v>
      </c>
      <c r="S84" s="249" t="str">
        <f t="shared" ref="S84:S147" si="546">IF(B84="","",IF(R84&lt;95%,"Yes","No"))</f>
        <v>No</v>
      </c>
      <c r="T84" s="248">
        <v>1</v>
      </c>
      <c r="U84" s="250">
        <f t="shared" ref="U84:U147" si="547">IF(B84="","",IF(OR(Y84="First Lien",Y84="Split First Lien",Y84="Tier 1 Split Lien",Y84="Tier 2 Split Lien"),50%,30%))</f>
        <v>0.5</v>
      </c>
      <c r="V84" s="250">
        <f t="shared" ref="V84:V147" si="548">IF(B84="",0,IF(AND(Y84="First Lien",AN84="Tier 1"),IF(AND(X84="Yes",MIN(AH84,$AJ$5)&gt;4.5),(((4.5/MIN(AH84,$AJ$5))*72.5%)+(((MIN(AH84,$AJ$5)-4.5)/MIN(AH84,$AJ$5))*35%)),72.5%),IF(AND(Y84="First Lien",AN84="Tier 2"),IF(AND(X84="Yes",MIN(AH84,$AK$5)&gt;4.5),(((4.5/MIN(AH84,$AK$5))*72.5%)+(((MIN(AH84,$AK$5)-4.5)/MIN(AH84,$AK$5))*35%)),72.5%),IF(AND(X84="Yes",MIN(AH84,$AL$5)&gt;4),(((4/MIN(AH84,$AL$5))*72.5%)+(((MIN(AH84,$AL$5)-4)/MIN(AH84,$AL$5))*35%)),IF(OR(Y84="First Lien",Y84="Split First Lien"),72.5%,IF(Y84="Split Lien", 53%,35%))))))</f>
        <v>0.72499999999999998</v>
      </c>
      <c r="W84" s="251">
        <f t="shared" si="385"/>
        <v>493750</v>
      </c>
      <c r="X84" s="246" t="s">
        <v>246</v>
      </c>
      <c r="Y84" s="274" t="s">
        <v>483</v>
      </c>
      <c r="Z84" s="274" t="s">
        <v>484</v>
      </c>
      <c r="AA84" s="253" t="s">
        <v>407</v>
      </c>
      <c r="AB84" s="253" t="s">
        <v>713</v>
      </c>
      <c r="AC84" s="254">
        <v>1.451226119726776</v>
      </c>
      <c r="AD84" s="254">
        <v>1.8968984642453544</v>
      </c>
      <c r="AE84" s="254">
        <v>2.8006856657025412</v>
      </c>
      <c r="AF84" s="255">
        <v>0.48632806579449966</v>
      </c>
      <c r="AG84" s="256">
        <v>2.6014454560234803</v>
      </c>
      <c r="AH84" s="256">
        <v>2.6014454560234803</v>
      </c>
      <c r="AI84" s="256">
        <v>2.6014454560234803</v>
      </c>
      <c r="AJ84" s="256">
        <v>2.6014454560234803</v>
      </c>
      <c r="AK84" s="257">
        <v>69673244.749500498</v>
      </c>
      <c r="AL84" s="257">
        <v>69673244.749500498</v>
      </c>
      <c r="AM84" s="258">
        <v>45777</v>
      </c>
      <c r="AN84" s="245" t="str">
        <f t="shared" ref="AN84:AN147" si="549">IF(C84="","",(IF(AK84&gt;=50000000,"Tier 1",(IF(OR(AK84&gt;=20000000,AND(AK84&gt;5000000,AC84&gt;=1.25,AF84&lt;=0.65)),"Tier 2","Tier 3")))))</f>
        <v>Tier 1</v>
      </c>
      <c r="AO84" s="243">
        <v>47499</v>
      </c>
      <c r="AP84" s="259">
        <f>IF(C84="","",DAYS360(Inputs!$J$8,AO84)/360)</f>
        <v>4.3944444444444448</v>
      </c>
      <c r="AQ84" s="259">
        <f t="shared" ref="AQ84:AQ147" si="550">IF(C84="","",AP84)</f>
        <v>4.3944444444444448</v>
      </c>
      <c r="AR84" s="246" t="s">
        <v>246</v>
      </c>
      <c r="AS84" s="248">
        <v>0</v>
      </c>
      <c r="AT84" s="246" t="s">
        <v>64</v>
      </c>
      <c r="AU84" s="248">
        <v>0.01</v>
      </c>
      <c r="AV84" s="248">
        <v>5.2499999999999998E-2</v>
      </c>
      <c r="AW84" s="248">
        <v>4.3170000000000007E-2</v>
      </c>
      <c r="AX84" s="260">
        <f t="shared" ref="AX84:AX147" si="551">IF(C84="","",MAX(AU84,AW84))</f>
        <v>4.3170000000000007E-2</v>
      </c>
      <c r="AY84" s="248">
        <v>0</v>
      </c>
      <c r="AZ84" s="248">
        <v>0</v>
      </c>
      <c r="BA84" s="248">
        <v>0</v>
      </c>
      <c r="BB84" s="407">
        <f t="shared" si="536"/>
        <v>5.2499999999999998E-2</v>
      </c>
      <c r="BC84" s="407" t="str">
        <f t="shared" si="537"/>
        <v/>
      </c>
      <c r="BD84" s="252" t="s">
        <v>247</v>
      </c>
      <c r="BE84" s="261" t="s">
        <v>363</v>
      </c>
      <c r="BF84" s="252" t="s">
        <v>7</v>
      </c>
      <c r="BG84" s="252" t="s">
        <v>460</v>
      </c>
      <c r="BH84" s="246" t="s">
        <v>246</v>
      </c>
      <c r="BI84" s="408" t="str">
        <f t="shared" si="534"/>
        <v>No</v>
      </c>
      <c r="BJ84" s="408" t="str">
        <f t="shared" si="538"/>
        <v>No</v>
      </c>
      <c r="BK84" s="246" t="s">
        <v>246</v>
      </c>
      <c r="BL84" s="246" t="s">
        <v>246</v>
      </c>
      <c r="BM84" s="246" t="s">
        <v>64</v>
      </c>
      <c r="BN84" s="246" t="s">
        <v>64</v>
      </c>
      <c r="BO84" s="246" t="s">
        <v>246</v>
      </c>
      <c r="BP84" s="246" t="s">
        <v>246</v>
      </c>
      <c r="BQ84" s="246" t="s">
        <v>246</v>
      </c>
      <c r="BR84" s="246" t="s">
        <v>246</v>
      </c>
      <c r="BS84" s="246" t="s">
        <v>246</v>
      </c>
      <c r="BT84" s="246" t="s">
        <v>246</v>
      </c>
      <c r="BU84" s="246" t="s">
        <v>246</v>
      </c>
      <c r="BV84" s="246" t="s">
        <v>246</v>
      </c>
      <c r="BW84" s="246" t="s">
        <v>246</v>
      </c>
      <c r="BX84" s="246" t="s">
        <v>246</v>
      </c>
      <c r="BY84" s="246" t="s">
        <v>246</v>
      </c>
      <c r="BZ84" s="246" t="s">
        <v>246</v>
      </c>
      <c r="CA84" s="246" t="s">
        <v>246</v>
      </c>
      <c r="CB84" s="246" t="s">
        <v>64</v>
      </c>
      <c r="CC84" s="262">
        <f t="shared" ref="CC84:CC147" si="552">IF(B84="","",IF(AT84="No",((BB84+AW84)-$AZ$4),((BB84+AX84)-$AZ$4))*IF(DE84&gt;0,0,M84))</f>
        <v>25896.002500000002</v>
      </c>
      <c r="CD84" s="262">
        <f t="shared" ref="CD84:CD147" si="553">IF(B84="","",AY84*(L84-M84)*IF(DE84&gt;0,0,1))</f>
        <v>0</v>
      </c>
      <c r="CE84" s="263"/>
      <c r="CF84" s="263">
        <f t="shared" si="403"/>
        <v>0</v>
      </c>
      <c r="CG84" s="263">
        <f t="shared" si="404"/>
        <v>0</v>
      </c>
      <c r="CH84" s="263">
        <f t="shared" si="405"/>
        <v>0</v>
      </c>
      <c r="CI84" s="263">
        <f t="shared" si="406"/>
        <v>0</v>
      </c>
      <c r="CJ84" s="263">
        <f t="shared" si="407"/>
        <v>0</v>
      </c>
      <c r="CK84" s="263">
        <f t="shared" si="408"/>
        <v>0</v>
      </c>
      <c r="CL84" s="263">
        <f t="shared" si="409"/>
        <v>0</v>
      </c>
      <c r="CM84" s="263">
        <f t="shared" si="410"/>
        <v>0</v>
      </c>
      <c r="CN84" s="263">
        <f t="shared" si="411"/>
        <v>0</v>
      </c>
      <c r="CO84" s="263">
        <f t="shared" si="412"/>
        <v>0</v>
      </c>
      <c r="CP84" s="263">
        <f t="shared" si="413"/>
        <v>0</v>
      </c>
      <c r="CQ84" s="263">
        <f t="shared" si="414"/>
        <v>0</v>
      </c>
      <c r="CR84" s="263">
        <f t="shared" si="415"/>
        <v>0</v>
      </c>
      <c r="CS84" s="263">
        <f t="shared" si="416"/>
        <v>0</v>
      </c>
      <c r="CT84" s="263">
        <f t="shared" si="417"/>
        <v>0</v>
      </c>
      <c r="CU84" s="263">
        <f t="shared" si="418"/>
        <v>0</v>
      </c>
      <c r="CV84" s="263">
        <f t="shared" si="419"/>
        <v>0</v>
      </c>
      <c r="CW84" s="263">
        <f t="shared" si="420"/>
        <v>0</v>
      </c>
      <c r="CX84" s="263">
        <f t="shared" si="421"/>
        <v>0</v>
      </c>
      <c r="CY84" s="263">
        <f t="shared" si="422"/>
        <v>0</v>
      </c>
      <c r="CZ84" s="263">
        <f t="shared" si="423"/>
        <v>0</v>
      </c>
      <c r="DA84" s="263">
        <f t="shared" si="424"/>
        <v>0</v>
      </c>
      <c r="DB84" s="263">
        <f t="shared" si="425"/>
        <v>0</v>
      </c>
      <c r="DC84" s="263">
        <f t="shared" si="426"/>
        <v>0</v>
      </c>
      <c r="DD84" s="263">
        <f t="shared" si="427"/>
        <v>0</v>
      </c>
      <c r="DE84" s="263">
        <f t="shared" si="428"/>
        <v>0</v>
      </c>
      <c r="DF84" s="263">
        <f t="shared" si="429"/>
        <v>493750</v>
      </c>
      <c r="DG84" s="263">
        <f t="shared" si="430"/>
        <v>0</v>
      </c>
      <c r="DH84" s="263">
        <f t="shared" si="431"/>
        <v>493750</v>
      </c>
      <c r="DI84" s="263">
        <f t="shared" si="432"/>
        <v>493750</v>
      </c>
      <c r="DJ84" s="263">
        <f t="shared" si="433"/>
        <v>0</v>
      </c>
      <c r="DK84" s="263">
        <f t="shared" si="434"/>
        <v>0</v>
      </c>
      <c r="DL84" s="263">
        <f t="shared" si="435"/>
        <v>0</v>
      </c>
      <c r="DM84" s="263">
        <f t="shared" si="436"/>
        <v>0</v>
      </c>
      <c r="DO84" s="264">
        <f t="shared" si="437"/>
        <v>0</v>
      </c>
      <c r="DP84" s="265">
        <f t="shared" si="438"/>
        <v>0</v>
      </c>
      <c r="DQ84" s="264">
        <f t="shared" si="439"/>
        <v>493750</v>
      </c>
      <c r="DR84" s="264">
        <f t="shared" si="440"/>
        <v>0</v>
      </c>
      <c r="DS84" s="265">
        <f t="shared" si="441"/>
        <v>0</v>
      </c>
      <c r="DT84" s="264">
        <f t="shared" si="442"/>
        <v>493750</v>
      </c>
      <c r="DU84" s="264">
        <f t="shared" si="443"/>
        <v>0</v>
      </c>
      <c r="DV84" s="265">
        <f t="shared" si="444"/>
        <v>0</v>
      </c>
      <c r="DW84" s="264">
        <f t="shared" si="445"/>
        <v>493750</v>
      </c>
      <c r="DX84" s="264">
        <f t="shared" si="446"/>
        <v>0</v>
      </c>
      <c r="DY84" s="265">
        <f t="shared" si="447"/>
        <v>0</v>
      </c>
      <c r="DZ84" s="264">
        <f t="shared" si="448"/>
        <v>493750</v>
      </c>
      <c r="EA84" s="264">
        <f t="shared" si="449"/>
        <v>0</v>
      </c>
      <c r="EB84" s="265">
        <f t="shared" si="450"/>
        <v>0</v>
      </c>
      <c r="EC84" s="264">
        <f t="shared" si="451"/>
        <v>493750</v>
      </c>
      <c r="ED84" s="264">
        <f t="shared" si="452"/>
        <v>0</v>
      </c>
      <c r="EE84" s="265">
        <f t="shared" si="453"/>
        <v>0</v>
      </c>
      <c r="EF84" s="264">
        <f t="shared" si="454"/>
        <v>493750</v>
      </c>
      <c r="EG84" s="264">
        <f t="shared" si="455"/>
        <v>0</v>
      </c>
      <c r="EH84" s="265">
        <f t="shared" si="456"/>
        <v>0</v>
      </c>
      <c r="EI84" s="264">
        <f t="shared" si="457"/>
        <v>493750</v>
      </c>
      <c r="EJ84" s="264">
        <f t="shared" si="458"/>
        <v>0</v>
      </c>
      <c r="EK84" s="265">
        <f t="shared" si="459"/>
        <v>0</v>
      </c>
      <c r="EL84" s="264">
        <f t="shared" si="460"/>
        <v>493750</v>
      </c>
      <c r="EM84" s="264">
        <f t="shared" si="461"/>
        <v>0</v>
      </c>
      <c r="EN84" s="265">
        <f t="shared" si="462"/>
        <v>0</v>
      </c>
      <c r="EO84" s="264">
        <f t="shared" si="463"/>
        <v>493750</v>
      </c>
      <c r="EP84" s="264">
        <f t="shared" si="464"/>
        <v>0</v>
      </c>
      <c r="EQ84" s="265">
        <f t="shared" si="465"/>
        <v>0</v>
      </c>
      <c r="ER84" s="264">
        <f t="shared" si="466"/>
        <v>493750</v>
      </c>
      <c r="ES84" s="264">
        <f t="shared" si="467"/>
        <v>0</v>
      </c>
      <c r="ET84" s="265">
        <f t="shared" si="468"/>
        <v>0</v>
      </c>
      <c r="EU84" s="264">
        <f t="shared" si="469"/>
        <v>493750</v>
      </c>
      <c r="EV84" s="264">
        <f>IF(AND(BM84="Yes",OR(BN84="No",AND(BN84="Yes",Inputs!$J$8=Inputs!$J$17+75))),EU84,0)</f>
        <v>0</v>
      </c>
      <c r="EW84" s="265">
        <f t="shared" si="470"/>
        <v>0</v>
      </c>
      <c r="EX84" s="264">
        <f t="shared" si="471"/>
        <v>493750</v>
      </c>
      <c r="EY84" s="264">
        <f t="shared" si="472"/>
        <v>0</v>
      </c>
      <c r="EZ84" s="265">
        <f t="shared" si="473"/>
        <v>0</v>
      </c>
      <c r="FA84" s="264">
        <f t="shared" si="474"/>
        <v>493750</v>
      </c>
      <c r="FB84" s="264">
        <f t="shared" si="475"/>
        <v>0</v>
      </c>
      <c r="FC84" s="265">
        <f t="shared" si="476"/>
        <v>0</v>
      </c>
      <c r="FD84" s="264">
        <f t="shared" si="477"/>
        <v>493750</v>
      </c>
      <c r="FE84" s="264">
        <f t="shared" si="478"/>
        <v>0</v>
      </c>
      <c r="FF84" s="265">
        <f t="shared" si="479"/>
        <v>0</v>
      </c>
      <c r="FG84" s="264">
        <f t="shared" si="480"/>
        <v>493750</v>
      </c>
      <c r="FH84" s="264">
        <f t="shared" si="481"/>
        <v>493750</v>
      </c>
      <c r="FI84" s="264">
        <f t="shared" si="482"/>
        <v>0</v>
      </c>
      <c r="FJ84" s="264">
        <f t="shared" si="483"/>
        <v>493750</v>
      </c>
      <c r="FK84" s="264">
        <f t="shared" si="484"/>
        <v>493750</v>
      </c>
      <c r="FL84" s="264">
        <f t="shared" si="485"/>
        <v>0</v>
      </c>
      <c r="FM84" s="264">
        <f t="shared" si="486"/>
        <v>493750</v>
      </c>
      <c r="FN84" s="264">
        <f t="shared" si="487"/>
        <v>493750</v>
      </c>
      <c r="FO84" s="264">
        <f t="shared" si="488"/>
        <v>0</v>
      </c>
      <c r="FP84" s="264">
        <f t="shared" si="489"/>
        <v>493750</v>
      </c>
      <c r="FQ84" s="264">
        <f t="shared" si="490"/>
        <v>0</v>
      </c>
      <c r="FR84" s="265">
        <f t="shared" si="491"/>
        <v>0</v>
      </c>
      <c r="FS84" s="264">
        <f t="shared" si="492"/>
        <v>493750</v>
      </c>
      <c r="FT84" s="264">
        <f t="shared" si="493"/>
        <v>0</v>
      </c>
      <c r="FU84" s="265">
        <f t="shared" si="494"/>
        <v>0</v>
      </c>
      <c r="FV84" s="264">
        <f t="shared" si="495"/>
        <v>493750</v>
      </c>
      <c r="FW84" s="264">
        <f t="shared" si="496"/>
        <v>0</v>
      </c>
      <c r="FX84" s="264">
        <f t="shared" si="497"/>
        <v>0</v>
      </c>
      <c r="FY84" s="264">
        <f t="shared" si="498"/>
        <v>0</v>
      </c>
      <c r="FZ84" s="264">
        <f t="shared" si="499"/>
        <v>0</v>
      </c>
      <c r="GA84" s="265">
        <f t="shared" si="500"/>
        <v>0</v>
      </c>
      <c r="GB84" s="264">
        <f t="shared" si="501"/>
        <v>493750</v>
      </c>
      <c r="GC84" s="264">
        <f t="shared" si="502"/>
        <v>493750</v>
      </c>
      <c r="GD84" s="266">
        <f t="shared" si="503"/>
        <v>357968.75</v>
      </c>
      <c r="GE84" s="138">
        <f t="shared" si="504"/>
        <v>0.72499999999999998</v>
      </c>
      <c r="GF84" s="267">
        <f t="shared" si="505"/>
        <v>14</v>
      </c>
      <c r="GG84" s="264">
        <f t="array" ref="GG84">IF(SUM(IF(IC$9:IC83=IC84,1,0))&gt;0,0,SUMIF($IC$10:$IC$406,IC84,$FJ$10:$FJ$406))</f>
        <v>0</v>
      </c>
      <c r="GH84" s="268">
        <f t="shared" si="506"/>
        <v>0</v>
      </c>
      <c r="GI84" s="137">
        <f t="shared" si="126"/>
        <v>75</v>
      </c>
      <c r="GJ84" s="269">
        <f t="shared" si="507"/>
        <v>0</v>
      </c>
      <c r="GK84" s="269">
        <f t="shared" si="508"/>
        <v>0</v>
      </c>
      <c r="GL84" s="163">
        <f t="shared" si="509"/>
        <v>0</v>
      </c>
      <c r="GM84" s="137">
        <f t="array" ref="GM84">IF(GJ84=0,0,LARGE(IF($GG$10:$GG$406=GJ84,$GF$10:$GF$406,0),COUNTIF($GJ$10:$GJ$406,GJ84)-COUNTIF(GJ$9:GJ83,GJ84)))</f>
        <v>0</v>
      </c>
      <c r="GN84" s="270">
        <f t="shared" si="510"/>
        <v>0</v>
      </c>
      <c r="GP84" s="137">
        <f>IF(C84="","",IF(ISERROR(MATCH(C84,C$10:C83,0)),MAX(GP$10:GP83)+1,INDEX(GP$10:GP83,MATCH(C84,C$10:C83,0))))</f>
        <v>62</v>
      </c>
      <c r="GQ84" s="264">
        <f>IF(COUNTIF($A$10:A84,A84)&lt;=1,SUMIF($A$10:$A$406,A84,$FH$10:$FH$406),0)</f>
        <v>0</v>
      </c>
      <c r="GR84" s="137">
        <f t="shared" si="130"/>
        <v>75</v>
      </c>
      <c r="GS84" s="269">
        <f t="shared" ref="GS84:GS147" si="554">LARGE($GQ$10:$GQ$406,GR84)</f>
        <v>3178701.8148999969</v>
      </c>
      <c r="GT84" s="269">
        <f t="shared" ref="GT84:GT147" si="555">IF(GR84&gt;GR$6,0,IF(GR84&lt;=GR$2,GT$2,IF(AND(GR84&lt;=$GR$3,GR84&gt;$GR$2),GT$3,GT$4)))</f>
        <v>50964284.172430128</v>
      </c>
      <c r="GU84" s="163">
        <f t="shared" ref="GU84:GU147" si="556">MAX(0,GS84-GT84)</f>
        <v>0</v>
      </c>
      <c r="GV84" s="137">
        <f t="array" ref="GV84">IF(GS84=0,0,LARGE(IF($GQ$10:$GQ$406=GS84,$GP$10:$GP$406,0),COUNTIF($GS$10:$GS$406,GS84)-COUNTIF(GS$9:GS83,GS84)))</f>
        <v>104</v>
      </c>
      <c r="GW84" s="270">
        <f t="shared" ref="GW84:GW147" si="557">IF(GS84=0,0,GU84/GS84)</f>
        <v>0</v>
      </c>
      <c r="GX84" s="270"/>
      <c r="GY84" s="137">
        <f>IF(C84="","",IF(ISERROR(MATCH(C84,C$10:C83,0)),MAX(GP$10:GP83)+1,INDEX(GP$10:GP83,MATCH(C84,C$10:C83,0))))</f>
        <v>62</v>
      </c>
      <c r="GZ84" s="264">
        <f>IF(COUNTIF($A$10:A84,A84)&lt;=1,SUMIF($A$10:$A$406,A84,$FH$10:$FH$406),0)</f>
        <v>0</v>
      </c>
      <c r="HA84" s="137">
        <f t="shared" si="134"/>
        <v>75</v>
      </c>
      <c r="HB84" s="269">
        <f t="shared" si="515"/>
        <v>3178701.8148999969</v>
      </c>
      <c r="HC84" s="414" t="s">
        <v>622</v>
      </c>
      <c r="HD84" s="163">
        <f t="shared" si="516"/>
        <v>0</v>
      </c>
      <c r="HE84" s="137">
        <f t="array" ref="HE84">IF(HB84=0,0,LARGE(IF($GZ$10:$GZ$406=HB84,$GY$10:$GY$406,0),COUNTIF($HB$10:$HB$406,HB84)-COUNTIF(HB$9:HB83,HB84)))</f>
        <v>104</v>
      </c>
      <c r="HF84" s="270">
        <f t="shared" si="517"/>
        <v>0</v>
      </c>
      <c r="HG84" s="270"/>
      <c r="HH84" s="268">
        <f t="shared" si="518"/>
        <v>0</v>
      </c>
      <c r="HI84" s="271">
        <v>0</v>
      </c>
      <c r="HJ84" s="264">
        <f t="shared" si="519"/>
        <v>0</v>
      </c>
      <c r="HL84" s="137">
        <f t="shared" si="520"/>
        <v>75</v>
      </c>
      <c r="HM84" s="264">
        <f t="shared" si="521"/>
        <v>3314311</v>
      </c>
      <c r="HN84"/>
      <c r="HO84" s="199">
        <f t="shared" si="522"/>
        <v>493750</v>
      </c>
      <c r="HP84" s="199">
        <f t="shared" si="523"/>
        <v>493750</v>
      </c>
      <c r="HQ84" s="199" t="str">
        <f t="shared" si="524"/>
        <v/>
      </c>
      <c r="HR84" s="199" t="str">
        <f t="shared" si="525"/>
        <v/>
      </c>
      <c r="HS84" s="199" t="str">
        <f t="shared" si="539"/>
        <v/>
      </c>
      <c r="HT84" s="199" t="str">
        <f t="shared" si="526"/>
        <v/>
      </c>
      <c r="HU84" s="199" t="str">
        <f t="shared" si="527"/>
        <v/>
      </c>
      <c r="HV84" s="200">
        <f t="shared" si="528"/>
        <v>0</v>
      </c>
      <c r="HW84" s="272">
        <f t="shared" si="540"/>
        <v>1</v>
      </c>
      <c r="HX84" s="200" t="str">
        <f t="shared" si="529"/>
        <v/>
      </c>
      <c r="HY84" s="200">
        <f t="shared" si="530"/>
        <v>0</v>
      </c>
      <c r="HZ84" s="200" t="str">
        <f t="shared" si="535"/>
        <v/>
      </c>
      <c r="IA84" s="200" t="str">
        <f t="shared" si="531"/>
        <v/>
      </c>
      <c r="IB84" s="200" t="str">
        <f t="shared" si="532"/>
        <v/>
      </c>
      <c r="IC84" s="273">
        <f>IF(C84="","",INDEX(Lookups!$E$2:$E$69,MATCH('Loan List'!BE84,Lookups!$F$2:$F$69,0)))</f>
        <v>14</v>
      </c>
      <c r="ID84" t="b">
        <f t="shared" si="533"/>
        <v>1</v>
      </c>
      <c r="IF84" s="346"/>
    </row>
    <row r="85" spans="1:240" ht="15" customHeight="1">
      <c r="A85" t="s">
        <v>573</v>
      </c>
      <c r="B85" s="242">
        <f t="shared" si="541"/>
        <v>76</v>
      </c>
      <c r="C85" s="242">
        <f>IF(COUNTIF($A$10:A84,A85)&gt;0,C84,C84+1)</f>
        <v>63</v>
      </c>
      <c r="D85" s="428" t="s">
        <v>573</v>
      </c>
      <c r="E85" s="428" t="s">
        <v>617</v>
      </c>
      <c r="F85" s="429"/>
      <c r="G85" s="430">
        <v>7210987.1800000006</v>
      </c>
      <c r="H85" s="430">
        <v>5936907.1800000006</v>
      </c>
      <c r="I85" s="244">
        <f>IF(B85="","",VLOOKUP(BF85,Inputs!$A$12:$J$15,10,FALSE))</f>
        <v>1</v>
      </c>
      <c r="J85" s="245">
        <f t="shared" si="542"/>
        <v>7210987.1800000006</v>
      </c>
      <c r="K85" s="245">
        <f t="shared" si="543"/>
        <v>5936907.1800000006</v>
      </c>
      <c r="L85" s="245">
        <f t="shared" si="544"/>
        <v>7210987.1800000006</v>
      </c>
      <c r="M85" s="245">
        <f t="shared" si="545"/>
        <v>5936907.1800000006</v>
      </c>
      <c r="N85" s="246" t="s">
        <v>246</v>
      </c>
      <c r="O85" s="246" t="s">
        <v>245</v>
      </c>
      <c r="P85" s="247">
        <f>IF(B85="","",IF(OR(O85="N/A",O85=""),0,YEARFRAC('Borrowing Base'!$J$4,'Loan List'!O85)*12))</f>
        <v>0</v>
      </c>
      <c r="Q85" s="246" t="s">
        <v>246</v>
      </c>
      <c r="R85" s="248">
        <v>1</v>
      </c>
      <c r="S85" s="249" t="str">
        <f t="shared" si="546"/>
        <v>No</v>
      </c>
      <c r="T85" s="248">
        <v>1</v>
      </c>
      <c r="U85" s="250">
        <f t="shared" si="547"/>
        <v>0.5</v>
      </c>
      <c r="V85" s="250">
        <f t="shared" si="548"/>
        <v>0.72499999999999998</v>
      </c>
      <c r="W85" s="251">
        <f t="shared" si="385"/>
        <v>5936907.1800000006</v>
      </c>
      <c r="X85" s="246" t="s">
        <v>64</v>
      </c>
      <c r="Y85" s="274" t="s">
        <v>483</v>
      </c>
      <c r="Z85" s="274" t="s">
        <v>514</v>
      </c>
      <c r="AA85" s="253" t="s">
        <v>407</v>
      </c>
      <c r="AB85" s="253" t="s">
        <v>713</v>
      </c>
      <c r="AC85" s="254">
        <v>1.5519163814925001</v>
      </c>
      <c r="AD85" s="254">
        <v>1.4608911349997995</v>
      </c>
      <c r="AE85" s="254">
        <v>1.8775399653330955</v>
      </c>
      <c r="AF85" s="255">
        <v>0.25077713417139502</v>
      </c>
      <c r="AG85" s="256">
        <v>3.9237907312052336</v>
      </c>
      <c r="AH85" s="256">
        <v>3.9237907312052336</v>
      </c>
      <c r="AI85" s="256">
        <v>5.2707188351147236</v>
      </c>
      <c r="AJ85" s="256">
        <v>5.2707188351147236</v>
      </c>
      <c r="AK85" s="257">
        <v>35462000</v>
      </c>
      <c r="AL85" s="257">
        <v>62607778.999999993</v>
      </c>
      <c r="AM85" s="258">
        <v>45777</v>
      </c>
      <c r="AN85" s="245" t="str">
        <f t="shared" si="549"/>
        <v>Tier 2</v>
      </c>
      <c r="AO85" s="243">
        <v>47115</v>
      </c>
      <c r="AP85" s="259">
        <f>IF(C85="","",DAYS360(Inputs!$J$8,AO85)/360)</f>
        <v>3.3444444444444446</v>
      </c>
      <c r="AQ85" s="259">
        <f t="shared" si="550"/>
        <v>3.3444444444444446</v>
      </c>
      <c r="AR85" s="246" t="s">
        <v>246</v>
      </c>
      <c r="AS85" s="248">
        <v>0</v>
      </c>
      <c r="AT85" s="246" t="s">
        <v>246</v>
      </c>
      <c r="AU85" s="248" t="s">
        <v>487</v>
      </c>
      <c r="AV85" s="248">
        <v>0.06</v>
      </c>
      <c r="AW85" s="248">
        <v>4.2956000000000008E-2</v>
      </c>
      <c r="AX85" s="260">
        <f t="shared" si="551"/>
        <v>4.2956000000000008E-2</v>
      </c>
      <c r="AY85" s="248">
        <v>0</v>
      </c>
      <c r="AZ85" s="248">
        <v>0</v>
      </c>
      <c r="BA85" s="248">
        <v>0</v>
      </c>
      <c r="BB85" s="407">
        <f t="shared" si="536"/>
        <v>0.06</v>
      </c>
      <c r="BC85" s="407" t="str">
        <f t="shared" si="537"/>
        <v/>
      </c>
      <c r="BD85" s="252" t="s">
        <v>247</v>
      </c>
      <c r="BE85" s="261" t="s">
        <v>378</v>
      </c>
      <c r="BF85" s="252" t="s">
        <v>7</v>
      </c>
      <c r="BG85" s="252" t="s">
        <v>460</v>
      </c>
      <c r="BH85" s="246" t="s">
        <v>246</v>
      </c>
      <c r="BI85" s="408" t="str">
        <f t="shared" si="534"/>
        <v>No</v>
      </c>
      <c r="BJ85" s="408" t="str">
        <f t="shared" si="538"/>
        <v>No</v>
      </c>
      <c r="BK85" s="246" t="s">
        <v>246</v>
      </c>
      <c r="BL85" s="246" t="s">
        <v>246</v>
      </c>
      <c r="BM85" s="246" t="s">
        <v>246</v>
      </c>
      <c r="BN85" s="246" t="s">
        <v>246</v>
      </c>
      <c r="BO85" s="246" t="s">
        <v>246</v>
      </c>
      <c r="BP85" s="246" t="s">
        <v>246</v>
      </c>
      <c r="BQ85" s="246" t="s">
        <v>246</v>
      </c>
      <c r="BR85" s="246" t="s">
        <v>246</v>
      </c>
      <c r="BS85" s="246" t="s">
        <v>246</v>
      </c>
      <c r="BT85" s="246" t="s">
        <v>246</v>
      </c>
      <c r="BU85" s="246" t="s">
        <v>246</v>
      </c>
      <c r="BV85" s="246" t="s">
        <v>246</v>
      </c>
      <c r="BW85" s="246" t="s">
        <v>246</v>
      </c>
      <c r="BX85" s="246" t="s">
        <v>246</v>
      </c>
      <c r="BY85" s="246" t="s">
        <v>246</v>
      </c>
      <c r="BZ85" s="246" t="s">
        <v>246</v>
      </c>
      <c r="CA85" s="246" t="s">
        <v>246</v>
      </c>
      <c r="CB85" s="246" t="s">
        <v>64</v>
      </c>
      <c r="CC85" s="262">
        <f t="shared" si="552"/>
        <v>354632.83872724808</v>
      </c>
      <c r="CD85" s="262">
        <f t="shared" si="553"/>
        <v>0</v>
      </c>
      <c r="CE85" s="263"/>
      <c r="CF85" s="263">
        <f t="shared" si="403"/>
        <v>0</v>
      </c>
      <c r="CG85" s="263">
        <f t="shared" si="404"/>
        <v>0</v>
      </c>
      <c r="CH85" s="263">
        <f t="shared" si="405"/>
        <v>0</v>
      </c>
      <c r="CI85" s="263">
        <f t="shared" si="406"/>
        <v>0</v>
      </c>
      <c r="CJ85" s="263">
        <f t="shared" si="407"/>
        <v>0</v>
      </c>
      <c r="CK85" s="263">
        <f t="shared" si="408"/>
        <v>0</v>
      </c>
      <c r="CL85" s="263">
        <f t="shared" si="409"/>
        <v>0</v>
      </c>
      <c r="CM85" s="263">
        <f t="shared" si="410"/>
        <v>0</v>
      </c>
      <c r="CN85" s="263">
        <f t="shared" si="411"/>
        <v>0</v>
      </c>
      <c r="CO85" s="263">
        <f t="shared" si="412"/>
        <v>0</v>
      </c>
      <c r="CP85" s="263">
        <f t="shared" si="413"/>
        <v>0</v>
      </c>
      <c r="CQ85" s="263">
        <f t="shared" si="414"/>
        <v>0</v>
      </c>
      <c r="CR85" s="263">
        <f t="shared" si="415"/>
        <v>0</v>
      </c>
      <c r="CS85" s="263">
        <f t="shared" si="416"/>
        <v>0</v>
      </c>
      <c r="CT85" s="263">
        <f t="shared" si="417"/>
        <v>0</v>
      </c>
      <c r="CU85" s="263">
        <f t="shared" si="418"/>
        <v>0</v>
      </c>
      <c r="CV85" s="263">
        <f t="shared" si="419"/>
        <v>0</v>
      </c>
      <c r="CW85" s="263">
        <f t="shared" si="420"/>
        <v>0</v>
      </c>
      <c r="CX85" s="263">
        <f t="shared" si="421"/>
        <v>0</v>
      </c>
      <c r="CY85" s="263">
        <f t="shared" si="422"/>
        <v>0</v>
      </c>
      <c r="CZ85" s="263">
        <f t="shared" si="423"/>
        <v>0</v>
      </c>
      <c r="DA85" s="263">
        <f t="shared" si="424"/>
        <v>0</v>
      </c>
      <c r="DB85" s="263">
        <f t="shared" si="425"/>
        <v>0</v>
      </c>
      <c r="DC85" s="263">
        <f t="shared" si="426"/>
        <v>0</v>
      </c>
      <c r="DD85" s="263">
        <f t="shared" si="427"/>
        <v>0</v>
      </c>
      <c r="DE85" s="263">
        <f t="shared" si="428"/>
        <v>0</v>
      </c>
      <c r="DF85" s="263">
        <f t="shared" si="429"/>
        <v>5936907.1800000006</v>
      </c>
      <c r="DG85" s="263">
        <f t="shared" si="430"/>
        <v>1274080</v>
      </c>
      <c r="DH85" s="263">
        <f t="shared" si="431"/>
        <v>7210987.1800000006</v>
      </c>
      <c r="DI85" s="263">
        <f t="shared" si="432"/>
        <v>7210987.1800000006</v>
      </c>
      <c r="DJ85" s="263">
        <f t="shared" si="433"/>
        <v>1274080</v>
      </c>
      <c r="DK85" s="263">
        <f t="shared" si="434"/>
        <v>0</v>
      </c>
      <c r="DL85" s="263">
        <f t="shared" si="435"/>
        <v>0</v>
      </c>
      <c r="DM85" s="263">
        <f t="shared" si="436"/>
        <v>0</v>
      </c>
      <c r="DO85" s="264">
        <f t="shared" si="437"/>
        <v>0</v>
      </c>
      <c r="DP85" s="265">
        <f t="shared" si="438"/>
        <v>0</v>
      </c>
      <c r="DQ85" s="264">
        <f t="shared" si="439"/>
        <v>7210987.1800000006</v>
      </c>
      <c r="DR85" s="264">
        <f t="shared" si="440"/>
        <v>0</v>
      </c>
      <c r="DS85" s="265">
        <f t="shared" si="441"/>
        <v>0</v>
      </c>
      <c r="DT85" s="264">
        <f t="shared" si="442"/>
        <v>7210987.1800000006</v>
      </c>
      <c r="DU85" s="264">
        <f t="shared" si="443"/>
        <v>0</v>
      </c>
      <c r="DV85" s="265">
        <f t="shared" si="444"/>
        <v>0</v>
      </c>
      <c r="DW85" s="264">
        <f t="shared" si="445"/>
        <v>7210987.1800000006</v>
      </c>
      <c r="DX85" s="264">
        <f t="shared" si="446"/>
        <v>0</v>
      </c>
      <c r="DY85" s="265">
        <f t="shared" si="447"/>
        <v>0</v>
      </c>
      <c r="DZ85" s="264">
        <f t="shared" si="448"/>
        <v>7210987.1800000006</v>
      </c>
      <c r="EA85" s="264">
        <f t="shared" si="449"/>
        <v>0</v>
      </c>
      <c r="EB85" s="265">
        <f t="shared" si="450"/>
        <v>0</v>
      </c>
      <c r="EC85" s="264">
        <f t="shared" si="451"/>
        <v>7210987.1800000006</v>
      </c>
      <c r="ED85" s="264">
        <f t="shared" si="452"/>
        <v>7210987.1800000006</v>
      </c>
      <c r="EE85" s="265">
        <f t="shared" si="453"/>
        <v>0</v>
      </c>
      <c r="EF85" s="264">
        <f t="shared" si="454"/>
        <v>7210987.1800000006</v>
      </c>
      <c r="EG85" s="264">
        <f t="shared" si="455"/>
        <v>0</v>
      </c>
      <c r="EH85" s="265">
        <f t="shared" si="456"/>
        <v>0</v>
      </c>
      <c r="EI85" s="264">
        <f t="shared" si="457"/>
        <v>7210987.1800000006</v>
      </c>
      <c r="EJ85" s="264">
        <f t="shared" si="458"/>
        <v>0</v>
      </c>
      <c r="EK85" s="265">
        <f t="shared" si="459"/>
        <v>0</v>
      </c>
      <c r="EL85" s="264">
        <f t="shared" si="460"/>
        <v>7210987.1800000006</v>
      </c>
      <c r="EM85" s="264">
        <f t="shared" si="461"/>
        <v>0</v>
      </c>
      <c r="EN85" s="265">
        <f t="shared" si="462"/>
        <v>0</v>
      </c>
      <c r="EO85" s="264">
        <f t="shared" si="463"/>
        <v>7210987.1800000006</v>
      </c>
      <c r="EP85" s="264">
        <f t="shared" si="464"/>
        <v>0</v>
      </c>
      <c r="EQ85" s="265">
        <f t="shared" si="465"/>
        <v>0</v>
      </c>
      <c r="ER85" s="264">
        <f t="shared" si="466"/>
        <v>7210987.1800000006</v>
      </c>
      <c r="ES85" s="264">
        <f t="shared" si="467"/>
        <v>0</v>
      </c>
      <c r="ET85" s="265">
        <f t="shared" si="468"/>
        <v>0</v>
      </c>
      <c r="EU85" s="264">
        <f t="shared" si="469"/>
        <v>7210987.1800000006</v>
      </c>
      <c r="EV85" s="264">
        <f>IF(AND(BM85="Yes",OR(BN85="No",AND(BN85="Yes",Inputs!$J$8=Inputs!$J$17+75))),EU85,0)</f>
        <v>0</v>
      </c>
      <c r="EW85" s="265">
        <f t="shared" si="470"/>
        <v>0</v>
      </c>
      <c r="EX85" s="264">
        <f t="shared" si="471"/>
        <v>7210987.1800000006</v>
      </c>
      <c r="EY85" s="264">
        <f t="shared" si="472"/>
        <v>0</v>
      </c>
      <c r="EZ85" s="265">
        <f t="shared" si="473"/>
        <v>0</v>
      </c>
      <c r="FA85" s="264">
        <f t="shared" si="474"/>
        <v>7210987.1800000006</v>
      </c>
      <c r="FB85" s="264">
        <f t="shared" si="475"/>
        <v>0</v>
      </c>
      <c r="FC85" s="265">
        <f t="shared" si="476"/>
        <v>0</v>
      </c>
      <c r="FD85" s="264">
        <f t="shared" si="477"/>
        <v>7210987.1800000006</v>
      </c>
      <c r="FE85" s="264">
        <f t="shared" si="478"/>
        <v>0</v>
      </c>
      <c r="FF85" s="265">
        <f t="shared" si="479"/>
        <v>0</v>
      </c>
      <c r="FG85" s="264">
        <f t="shared" si="480"/>
        <v>7210987.1800000006</v>
      </c>
      <c r="FH85" s="264">
        <f t="shared" si="481"/>
        <v>7210987.1800000006</v>
      </c>
      <c r="FI85" s="264">
        <f t="shared" si="482"/>
        <v>0</v>
      </c>
      <c r="FJ85" s="264">
        <f t="shared" si="483"/>
        <v>7210987.1800000006</v>
      </c>
      <c r="FK85" s="264">
        <f t="shared" si="484"/>
        <v>7210987.1800000006</v>
      </c>
      <c r="FL85" s="264">
        <f t="shared" si="485"/>
        <v>0</v>
      </c>
      <c r="FM85" s="264">
        <f t="shared" si="486"/>
        <v>7210987.1800000006</v>
      </c>
      <c r="FN85" s="264">
        <f t="shared" si="487"/>
        <v>7210987.1800000006</v>
      </c>
      <c r="FO85" s="264">
        <f t="shared" si="488"/>
        <v>0</v>
      </c>
      <c r="FP85" s="264">
        <f t="shared" si="489"/>
        <v>7210987.1800000006</v>
      </c>
      <c r="FQ85" s="264">
        <f t="shared" si="490"/>
        <v>0</v>
      </c>
      <c r="FR85" s="265">
        <f t="shared" si="491"/>
        <v>0</v>
      </c>
      <c r="FS85" s="264">
        <f t="shared" si="492"/>
        <v>7210987.1800000006</v>
      </c>
      <c r="FT85" s="264">
        <f t="shared" si="493"/>
        <v>0</v>
      </c>
      <c r="FU85" s="265">
        <f t="shared" si="494"/>
        <v>0</v>
      </c>
      <c r="FV85" s="264">
        <f t="shared" si="495"/>
        <v>7210987.1800000006</v>
      </c>
      <c r="FW85" s="264">
        <f t="shared" si="496"/>
        <v>0</v>
      </c>
      <c r="FX85" s="264">
        <f t="shared" si="497"/>
        <v>0</v>
      </c>
      <c r="FY85" s="264">
        <f t="shared" si="498"/>
        <v>7210987.1800000006</v>
      </c>
      <c r="FZ85" s="264">
        <f t="shared" si="499"/>
        <v>7210987.1800000006</v>
      </c>
      <c r="GA85" s="265">
        <f t="shared" si="500"/>
        <v>32308.430653470172</v>
      </c>
      <c r="GB85" s="264">
        <f t="shared" si="501"/>
        <v>7178678.7493465301</v>
      </c>
      <c r="GC85" s="264">
        <f t="shared" si="502"/>
        <v>5904598.7493465301</v>
      </c>
      <c r="GD85" s="266">
        <f t="shared" si="503"/>
        <v>4280834.0932762343</v>
      </c>
      <c r="GE85" s="138">
        <f t="shared" si="504"/>
        <v>0.72105457664848216</v>
      </c>
      <c r="GF85" s="267">
        <f t="shared" si="505"/>
        <v>19</v>
      </c>
      <c r="GG85" s="264">
        <f t="array" ref="GG85">IF(SUM(IF(IC$9:IC84=IC85,1,0))&gt;0,0,SUMIF($IC$10:$IC$406,IC85,$FJ$10:$FJ$406))</f>
        <v>0</v>
      </c>
      <c r="GH85" s="268">
        <f t="shared" si="506"/>
        <v>0</v>
      </c>
      <c r="GI85" s="137">
        <f t="shared" si="126"/>
        <v>76</v>
      </c>
      <c r="GJ85" s="269">
        <f t="shared" si="507"/>
        <v>0</v>
      </c>
      <c r="GK85" s="269">
        <f t="shared" si="508"/>
        <v>0</v>
      </c>
      <c r="GL85" s="163">
        <f t="shared" si="509"/>
        <v>0</v>
      </c>
      <c r="GM85" s="137">
        <f t="array" ref="GM85">IF(GJ85=0,0,LARGE(IF($GG$10:$GG$406=GJ85,$GF$10:$GF$406,0),COUNTIF($GJ$10:$GJ$406,GJ85)-COUNTIF(GJ$9:GJ84,GJ85)))</f>
        <v>0</v>
      </c>
      <c r="GN85" s="270">
        <f t="shared" si="510"/>
        <v>0</v>
      </c>
      <c r="GP85" s="137">
        <f>IF(C85="","",IF(ISERROR(MATCH(C85,C$10:C84,0)),MAX(GP$10:GP84)+1,INDEX(GP$10:GP84,MATCH(C85,C$10:C84,0))))</f>
        <v>63</v>
      </c>
      <c r="GQ85" s="264">
        <f>IF(COUNTIF($A$10:A85,A85)&lt;=1,SUMIF($A$10:$A$406,A85,$FH$10:$FH$406),0)</f>
        <v>13889257.298902601</v>
      </c>
      <c r="GR85" s="137">
        <f t="shared" si="130"/>
        <v>76</v>
      </c>
      <c r="GS85" s="269">
        <f t="shared" si="554"/>
        <v>2954760.73</v>
      </c>
      <c r="GT85" s="269">
        <f t="shared" si="555"/>
        <v>50964284.172430128</v>
      </c>
      <c r="GU85" s="163">
        <f t="shared" si="556"/>
        <v>0</v>
      </c>
      <c r="GV85" s="137">
        <f t="array" ref="GV85">IF(GS85=0,0,LARGE(IF($GQ$10:$GQ$406=GS85,$GP$10:$GP$406,0),COUNTIF($GS$10:$GS$406,GS85)-COUNTIF(GS$9:GS84,GS85)))</f>
        <v>15</v>
      </c>
      <c r="GW85" s="270">
        <f t="shared" si="557"/>
        <v>0</v>
      </c>
      <c r="GX85" s="270"/>
      <c r="GY85" s="137">
        <f>IF(C85="","",IF(ISERROR(MATCH(C85,C$10:C84,0)),MAX(GP$10:GP84)+1,INDEX(GP$10:GP84,MATCH(C85,C$10:C84,0))))</f>
        <v>63</v>
      </c>
      <c r="GZ85" s="264">
        <f>IF(COUNTIF($A$10:A85,A85)&lt;=1,SUMIF($A$10:$A$406,A85,$FH$10:$FH$406),0)</f>
        <v>13889257.298902601</v>
      </c>
      <c r="HA85" s="137">
        <f t="shared" si="134"/>
        <v>76</v>
      </c>
      <c r="HB85" s="269">
        <f t="shared" si="515"/>
        <v>2954760.73</v>
      </c>
      <c r="HC85" s="414" t="s">
        <v>622</v>
      </c>
      <c r="HD85" s="163">
        <f t="shared" si="516"/>
        <v>0</v>
      </c>
      <c r="HE85" s="137">
        <f t="array" ref="HE85">IF(HB85=0,0,LARGE(IF($GZ$10:$GZ$406=HB85,$GY$10:$GY$406,0),COUNTIF($HB$10:$HB$406,HB85)-COUNTIF(HB$9:HB84,HB85)))</f>
        <v>15</v>
      </c>
      <c r="HF85" s="270">
        <f t="shared" si="517"/>
        <v>0</v>
      </c>
      <c r="HG85" s="270"/>
      <c r="HH85" s="268">
        <f t="shared" si="518"/>
        <v>32308.430653470568</v>
      </c>
      <c r="HI85" s="271">
        <v>0</v>
      </c>
      <c r="HJ85" s="264">
        <f t="shared" si="519"/>
        <v>0</v>
      </c>
      <c r="HL85" s="137">
        <f t="shared" si="520"/>
        <v>76</v>
      </c>
      <c r="HM85" s="264">
        <f t="shared" si="521"/>
        <v>1481250</v>
      </c>
      <c r="HN85"/>
      <c r="HO85" s="199">
        <f t="shared" si="522"/>
        <v>5936907.1800000006</v>
      </c>
      <c r="HP85" s="199">
        <f t="shared" si="523"/>
        <v>5936907.1800000006</v>
      </c>
      <c r="HQ85" s="199" t="str">
        <f t="shared" si="524"/>
        <v/>
      </c>
      <c r="HR85" s="199" t="str">
        <f t="shared" si="525"/>
        <v/>
      </c>
      <c r="HS85" s="199" t="str">
        <f t="shared" si="539"/>
        <v/>
      </c>
      <c r="HT85" s="199" t="str">
        <f t="shared" si="526"/>
        <v/>
      </c>
      <c r="HU85" s="199" t="str">
        <f t="shared" si="527"/>
        <v/>
      </c>
      <c r="HV85" s="200">
        <f t="shared" si="528"/>
        <v>1274080</v>
      </c>
      <c r="HW85" s="272">
        <f t="shared" si="540"/>
        <v>1</v>
      </c>
      <c r="HX85" s="200" t="str">
        <f t="shared" si="529"/>
        <v/>
      </c>
      <c r="HY85" s="200">
        <f t="shared" si="530"/>
        <v>0</v>
      </c>
      <c r="HZ85" s="200" t="str">
        <f t="shared" si="535"/>
        <v/>
      </c>
      <c r="IA85" s="200" t="str">
        <f t="shared" si="531"/>
        <v/>
      </c>
      <c r="IB85" s="200" t="str">
        <f t="shared" si="532"/>
        <v/>
      </c>
      <c r="IC85" s="273">
        <f>IF(C85="","",INDEX(Lookups!$E$2:$E$69,MATCH('Loan List'!BE85,Lookups!$F$2:$F$69,0)))</f>
        <v>19</v>
      </c>
      <c r="ID85" t="b">
        <f t="shared" si="533"/>
        <v>1</v>
      </c>
      <c r="IF85" s="346"/>
    </row>
    <row r="86" spans="1:240">
      <c r="A86" t="s">
        <v>573</v>
      </c>
      <c r="B86" s="242">
        <f t="shared" si="541"/>
        <v>77</v>
      </c>
      <c r="C86" s="242">
        <f>IF(COUNTIF($A$10:A85,A86)&gt;0,C85,C85+1)</f>
        <v>63</v>
      </c>
      <c r="D86" s="428" t="s">
        <v>572</v>
      </c>
      <c r="E86" s="428" t="s">
        <v>575</v>
      </c>
      <c r="F86" s="429"/>
      <c r="G86" s="430">
        <v>1708488.77</v>
      </c>
      <c r="H86" s="430">
        <v>1708488.77</v>
      </c>
      <c r="I86" s="244">
        <f>IF(B86="","",VLOOKUP(BF86,Inputs!$A$12:$J$15,10,FALSE))</f>
        <v>0.72138000000000002</v>
      </c>
      <c r="J86" s="245">
        <f t="shared" si="542"/>
        <v>1232469.6289026001</v>
      </c>
      <c r="K86" s="245">
        <f t="shared" si="543"/>
        <v>1232469.6289026001</v>
      </c>
      <c r="L86" s="245">
        <f t="shared" si="544"/>
        <v>1232469.6289026001</v>
      </c>
      <c r="M86" s="245">
        <f t="shared" si="545"/>
        <v>1232469.6289026001</v>
      </c>
      <c r="N86" s="246" t="s">
        <v>246</v>
      </c>
      <c r="O86" s="246" t="s">
        <v>245</v>
      </c>
      <c r="P86" s="247">
        <f>IF(B86="","",IF(OR(O86="N/A",O86=""),0,YEARFRAC('Borrowing Base'!$J$4,'Loan List'!O86)*12))</f>
        <v>0</v>
      </c>
      <c r="Q86" s="246" t="s">
        <v>246</v>
      </c>
      <c r="R86" s="248">
        <v>1</v>
      </c>
      <c r="S86" s="249" t="str">
        <f t="shared" si="546"/>
        <v>No</v>
      </c>
      <c r="T86" s="248">
        <v>1.0000000032306566</v>
      </c>
      <c r="U86" s="250">
        <f t="shared" si="547"/>
        <v>0.5</v>
      </c>
      <c r="V86" s="250">
        <f t="shared" si="548"/>
        <v>0.72499999999999998</v>
      </c>
      <c r="W86" s="251">
        <f t="shared" si="385"/>
        <v>1232469.6289026001</v>
      </c>
      <c r="X86" s="246" t="s">
        <v>64</v>
      </c>
      <c r="Y86" s="252" t="s">
        <v>483</v>
      </c>
      <c r="Z86" s="252" t="s">
        <v>485</v>
      </c>
      <c r="AA86" s="253" t="s">
        <v>407</v>
      </c>
      <c r="AB86" s="253" t="s">
        <v>713</v>
      </c>
      <c r="AC86" s="254">
        <v>1.5519163814925001</v>
      </c>
      <c r="AD86" s="254">
        <v>1.4608911349997995</v>
      </c>
      <c r="AE86" s="254">
        <v>1.8775399653330955</v>
      </c>
      <c r="AF86" s="255">
        <v>0.25077713417139502</v>
      </c>
      <c r="AG86" s="256">
        <v>3.9237907312052336</v>
      </c>
      <c r="AH86" s="256">
        <v>3.9237907312052336</v>
      </c>
      <c r="AI86" s="256">
        <v>5.3019417301058294</v>
      </c>
      <c r="AJ86" s="256">
        <v>5.3019417301058294</v>
      </c>
      <c r="AK86" s="257">
        <v>35462000</v>
      </c>
      <c r="AL86" s="257">
        <v>62197779</v>
      </c>
      <c r="AM86" s="258">
        <v>45808</v>
      </c>
      <c r="AN86" s="245" t="str">
        <f t="shared" si="549"/>
        <v>Tier 2</v>
      </c>
      <c r="AO86" s="243">
        <v>47115</v>
      </c>
      <c r="AP86" s="259">
        <f>IF(C86="","",DAYS360(Inputs!$J$8,AO86)/360)</f>
        <v>3.3444444444444446</v>
      </c>
      <c r="AQ86" s="259">
        <f t="shared" si="550"/>
        <v>3.3444444444444446</v>
      </c>
      <c r="AR86" s="246" t="s">
        <v>246</v>
      </c>
      <c r="AS86" s="248">
        <v>0</v>
      </c>
      <c r="AT86" s="246" t="s">
        <v>246</v>
      </c>
      <c r="AU86" s="248" t="s">
        <v>487</v>
      </c>
      <c r="AV86" s="248">
        <v>0.06</v>
      </c>
      <c r="AW86" s="248">
        <v>4.2956000000000008E-2</v>
      </c>
      <c r="AX86" s="260">
        <f t="shared" si="551"/>
        <v>4.2956000000000008E-2</v>
      </c>
      <c r="AY86" s="248">
        <v>0</v>
      </c>
      <c r="AZ86" s="248">
        <v>0</v>
      </c>
      <c r="BA86" s="248">
        <v>0</v>
      </c>
      <c r="BB86" s="407">
        <f t="shared" si="536"/>
        <v>0.06</v>
      </c>
      <c r="BC86" s="407" t="str">
        <f t="shared" si="537"/>
        <v/>
      </c>
      <c r="BD86" s="252" t="s">
        <v>247</v>
      </c>
      <c r="BE86" s="261" t="s">
        <v>378</v>
      </c>
      <c r="BF86" s="252" t="s">
        <v>8</v>
      </c>
      <c r="BG86" s="252" t="s">
        <v>460</v>
      </c>
      <c r="BH86" s="246" t="s">
        <v>246</v>
      </c>
      <c r="BI86" s="408" t="str">
        <f t="shared" si="534"/>
        <v>No</v>
      </c>
      <c r="BJ86" s="408" t="str">
        <f t="shared" si="538"/>
        <v>No</v>
      </c>
      <c r="BK86" s="246" t="s">
        <v>246</v>
      </c>
      <c r="BL86" s="246" t="s">
        <v>246</v>
      </c>
      <c r="BM86" s="246" t="s">
        <v>246</v>
      </c>
      <c r="BN86" s="246" t="s">
        <v>246</v>
      </c>
      <c r="BO86" s="246" t="s">
        <v>246</v>
      </c>
      <c r="BP86" s="246" t="s">
        <v>246</v>
      </c>
      <c r="BQ86" s="246" t="s">
        <v>246</v>
      </c>
      <c r="BR86" s="246" t="s">
        <v>246</v>
      </c>
      <c r="BS86" s="246" t="s">
        <v>246</v>
      </c>
      <c r="BT86" s="246" t="s">
        <v>246</v>
      </c>
      <c r="BU86" s="246" t="s">
        <v>246</v>
      </c>
      <c r="BV86" s="246" t="s">
        <v>246</v>
      </c>
      <c r="BW86" s="246" t="s">
        <v>246</v>
      </c>
      <c r="BX86" s="246" t="s">
        <v>246</v>
      </c>
      <c r="BY86" s="246" t="s">
        <v>246</v>
      </c>
      <c r="BZ86" s="246" t="s">
        <v>246</v>
      </c>
      <c r="CA86" s="246" t="s">
        <v>246</v>
      </c>
      <c r="CB86" s="246" t="s">
        <v>64</v>
      </c>
      <c r="CC86" s="262">
        <f t="shared" si="552"/>
        <v>73619.847825016361</v>
      </c>
      <c r="CD86" s="262">
        <f t="shared" si="553"/>
        <v>0</v>
      </c>
      <c r="CE86" s="263"/>
      <c r="CF86" s="263">
        <f t="shared" si="403"/>
        <v>0</v>
      </c>
      <c r="CG86" s="263">
        <f t="shared" si="404"/>
        <v>0</v>
      </c>
      <c r="CH86" s="263">
        <f t="shared" si="405"/>
        <v>0</v>
      </c>
      <c r="CI86" s="263">
        <f t="shared" si="406"/>
        <v>0</v>
      </c>
      <c r="CJ86" s="263">
        <f t="shared" si="407"/>
        <v>0</v>
      </c>
      <c r="CK86" s="263">
        <f t="shared" si="408"/>
        <v>0</v>
      </c>
      <c r="CL86" s="263">
        <f t="shared" si="409"/>
        <v>0</v>
      </c>
      <c r="CM86" s="263">
        <f t="shared" si="410"/>
        <v>0</v>
      </c>
      <c r="CN86" s="263">
        <f t="shared" si="411"/>
        <v>0</v>
      </c>
      <c r="CO86" s="263">
        <f t="shared" si="412"/>
        <v>0</v>
      </c>
      <c r="CP86" s="263">
        <f t="shared" si="413"/>
        <v>0</v>
      </c>
      <c r="CQ86" s="263">
        <f t="shared" si="414"/>
        <v>0</v>
      </c>
      <c r="CR86" s="263">
        <f t="shared" si="415"/>
        <v>0</v>
      </c>
      <c r="CS86" s="263">
        <f t="shared" si="416"/>
        <v>0</v>
      </c>
      <c r="CT86" s="263">
        <f t="shared" si="417"/>
        <v>0</v>
      </c>
      <c r="CU86" s="263">
        <f t="shared" si="418"/>
        <v>0</v>
      </c>
      <c r="CV86" s="263">
        <f t="shared" si="419"/>
        <v>0</v>
      </c>
      <c r="CW86" s="263">
        <f t="shared" si="420"/>
        <v>0</v>
      </c>
      <c r="CX86" s="263">
        <f t="shared" si="421"/>
        <v>0</v>
      </c>
      <c r="CY86" s="263">
        <f t="shared" si="422"/>
        <v>0</v>
      </c>
      <c r="CZ86" s="263">
        <f t="shared" si="423"/>
        <v>0</v>
      </c>
      <c r="DA86" s="263">
        <f t="shared" si="424"/>
        <v>0</v>
      </c>
      <c r="DB86" s="263">
        <f t="shared" si="425"/>
        <v>0</v>
      </c>
      <c r="DC86" s="263">
        <f t="shared" si="426"/>
        <v>0</v>
      </c>
      <c r="DD86" s="263">
        <f t="shared" si="427"/>
        <v>0</v>
      </c>
      <c r="DE86" s="263">
        <f t="shared" si="428"/>
        <v>0</v>
      </c>
      <c r="DF86" s="263">
        <f t="shared" si="429"/>
        <v>1232469.6289026001</v>
      </c>
      <c r="DG86" s="263">
        <f t="shared" si="430"/>
        <v>0</v>
      </c>
      <c r="DH86" s="263">
        <f t="shared" si="431"/>
        <v>1232469.6289026001</v>
      </c>
      <c r="DI86" s="263">
        <f t="shared" si="432"/>
        <v>1232469.6289026001</v>
      </c>
      <c r="DJ86" s="263">
        <f t="shared" si="433"/>
        <v>0</v>
      </c>
      <c r="DK86" s="263">
        <f t="shared" si="434"/>
        <v>342932.60682899808</v>
      </c>
      <c r="DL86" s="263">
        <f t="shared" si="435"/>
        <v>0.38</v>
      </c>
      <c r="DM86" s="263">
        <f t="shared" si="436"/>
        <v>130314.39059501927</v>
      </c>
      <c r="DO86" s="264">
        <f t="shared" si="437"/>
        <v>0</v>
      </c>
      <c r="DP86" s="265">
        <f t="shared" si="438"/>
        <v>0</v>
      </c>
      <c r="DQ86" s="264">
        <f t="shared" si="439"/>
        <v>1232469.6289026001</v>
      </c>
      <c r="DR86" s="264">
        <f t="shared" si="440"/>
        <v>0</v>
      </c>
      <c r="DS86" s="265">
        <f t="shared" si="441"/>
        <v>0</v>
      </c>
      <c r="DT86" s="264">
        <f t="shared" si="442"/>
        <v>1232469.6289026001</v>
      </c>
      <c r="DU86" s="264">
        <f t="shared" si="443"/>
        <v>0</v>
      </c>
      <c r="DV86" s="265">
        <f t="shared" si="444"/>
        <v>0</v>
      </c>
      <c r="DW86" s="264">
        <f t="shared" si="445"/>
        <v>1232469.6289026001</v>
      </c>
      <c r="DX86" s="264">
        <f t="shared" si="446"/>
        <v>0</v>
      </c>
      <c r="DY86" s="265">
        <f t="shared" si="447"/>
        <v>0</v>
      </c>
      <c r="DZ86" s="264">
        <f t="shared" si="448"/>
        <v>1232469.6289026001</v>
      </c>
      <c r="EA86" s="264">
        <f t="shared" si="449"/>
        <v>0</v>
      </c>
      <c r="EB86" s="265">
        <f t="shared" si="450"/>
        <v>0</v>
      </c>
      <c r="EC86" s="264">
        <f t="shared" si="451"/>
        <v>1232469.6289026001</v>
      </c>
      <c r="ED86" s="264">
        <f t="shared" si="452"/>
        <v>1232469.6289026001</v>
      </c>
      <c r="EE86" s="265">
        <f t="shared" si="453"/>
        <v>0</v>
      </c>
      <c r="EF86" s="264">
        <f t="shared" si="454"/>
        <v>1232469.6289026001</v>
      </c>
      <c r="EG86" s="264">
        <f t="shared" si="455"/>
        <v>0</v>
      </c>
      <c r="EH86" s="265">
        <f t="shared" si="456"/>
        <v>0</v>
      </c>
      <c r="EI86" s="264">
        <f t="shared" si="457"/>
        <v>1232469.6289026001</v>
      </c>
      <c r="EJ86" s="264">
        <f t="shared" si="458"/>
        <v>0</v>
      </c>
      <c r="EK86" s="265">
        <f t="shared" si="459"/>
        <v>0</v>
      </c>
      <c r="EL86" s="264">
        <f t="shared" si="460"/>
        <v>1232469.6289026001</v>
      </c>
      <c r="EM86" s="264">
        <f t="shared" si="461"/>
        <v>0</v>
      </c>
      <c r="EN86" s="265">
        <f t="shared" si="462"/>
        <v>0</v>
      </c>
      <c r="EO86" s="264">
        <f t="shared" si="463"/>
        <v>1232469.6289026001</v>
      </c>
      <c r="EP86" s="264">
        <f t="shared" si="464"/>
        <v>0</v>
      </c>
      <c r="EQ86" s="265">
        <f t="shared" si="465"/>
        <v>0</v>
      </c>
      <c r="ER86" s="264">
        <f t="shared" si="466"/>
        <v>1232469.6289026001</v>
      </c>
      <c r="ES86" s="264">
        <f t="shared" si="467"/>
        <v>0</v>
      </c>
      <c r="ET86" s="265">
        <f t="shared" si="468"/>
        <v>0</v>
      </c>
      <c r="EU86" s="264">
        <f t="shared" si="469"/>
        <v>1232469.6289026001</v>
      </c>
      <c r="EV86" s="264">
        <f>IF(AND(BM86="Yes",OR(BN86="No",AND(BN86="Yes",Inputs!$J$8=Inputs!$J$17+75))),EU86,0)</f>
        <v>0</v>
      </c>
      <c r="EW86" s="265">
        <f t="shared" si="470"/>
        <v>0</v>
      </c>
      <c r="EX86" s="264">
        <f t="shared" si="471"/>
        <v>1232469.6289026001</v>
      </c>
      <c r="EY86" s="264">
        <f t="shared" si="472"/>
        <v>0</v>
      </c>
      <c r="EZ86" s="265">
        <f t="shared" si="473"/>
        <v>0</v>
      </c>
      <c r="FA86" s="264">
        <f t="shared" si="474"/>
        <v>1232469.6289026001</v>
      </c>
      <c r="FB86" s="264">
        <f t="shared" si="475"/>
        <v>0</v>
      </c>
      <c r="FC86" s="265">
        <f t="shared" si="476"/>
        <v>0</v>
      </c>
      <c r="FD86" s="264">
        <f t="shared" si="477"/>
        <v>1232469.6289026001</v>
      </c>
      <c r="FE86" s="264">
        <f t="shared" si="478"/>
        <v>1232469.6289026001</v>
      </c>
      <c r="FF86" s="265">
        <f t="shared" si="479"/>
        <v>0</v>
      </c>
      <c r="FG86" s="264">
        <f t="shared" si="480"/>
        <v>1232469.6289026001</v>
      </c>
      <c r="FH86" s="264">
        <f t="shared" si="481"/>
        <v>1232469.6289026001</v>
      </c>
      <c r="FI86" s="264">
        <f t="shared" si="482"/>
        <v>0</v>
      </c>
      <c r="FJ86" s="264">
        <f t="shared" si="483"/>
        <v>1232469.6289026001</v>
      </c>
      <c r="FK86" s="264">
        <f t="shared" si="484"/>
        <v>1232469.6289026001</v>
      </c>
      <c r="FL86" s="264">
        <f t="shared" si="485"/>
        <v>0</v>
      </c>
      <c r="FM86" s="264">
        <f t="shared" si="486"/>
        <v>1232469.6289026001</v>
      </c>
      <c r="FN86" s="264">
        <f t="shared" si="487"/>
        <v>1232469.6289026001</v>
      </c>
      <c r="FO86" s="264">
        <f t="shared" si="488"/>
        <v>0</v>
      </c>
      <c r="FP86" s="264">
        <f t="shared" si="489"/>
        <v>1232469.6289026001</v>
      </c>
      <c r="FQ86" s="264">
        <f t="shared" si="490"/>
        <v>0</v>
      </c>
      <c r="FR86" s="265">
        <f t="shared" si="491"/>
        <v>0</v>
      </c>
      <c r="FS86" s="264">
        <f t="shared" si="492"/>
        <v>1232469.6289026001</v>
      </c>
      <c r="FT86" s="264">
        <f t="shared" si="493"/>
        <v>0</v>
      </c>
      <c r="FU86" s="265">
        <f t="shared" si="494"/>
        <v>0</v>
      </c>
      <c r="FV86" s="264">
        <f t="shared" si="495"/>
        <v>1232469.6289026001</v>
      </c>
      <c r="FW86" s="264">
        <f t="shared" si="496"/>
        <v>0</v>
      </c>
      <c r="FX86" s="264">
        <f t="shared" si="497"/>
        <v>0</v>
      </c>
      <c r="FY86" s="264">
        <f t="shared" si="498"/>
        <v>1232469.6289026001</v>
      </c>
      <c r="FZ86" s="264">
        <f t="shared" si="499"/>
        <v>1232469.6289026001</v>
      </c>
      <c r="GA86" s="265">
        <f t="shared" si="500"/>
        <v>5522.0122493558183</v>
      </c>
      <c r="GB86" s="264">
        <f t="shared" si="501"/>
        <v>1226947.6166532442</v>
      </c>
      <c r="GC86" s="264">
        <f t="shared" si="502"/>
        <v>1226947.6166532442</v>
      </c>
      <c r="GD86" s="266">
        <f t="shared" si="503"/>
        <v>889537.02207360207</v>
      </c>
      <c r="GE86" s="138">
        <f t="shared" si="504"/>
        <v>0.72175167745565649</v>
      </c>
      <c r="GF86" s="267">
        <f t="shared" si="505"/>
        <v>19</v>
      </c>
      <c r="GG86" s="264">
        <f t="array" ref="GG86">IF(SUM(IF(IC$9:IC85=IC86,1,0))&gt;0,0,SUMIF($IC$10:$IC$406,IC86,$FJ$10:$FJ$406))</f>
        <v>0</v>
      </c>
      <c r="GH86" s="268">
        <f t="shared" si="506"/>
        <v>0</v>
      </c>
      <c r="GI86" s="137">
        <f t="shared" si="126"/>
        <v>77</v>
      </c>
      <c r="GJ86" s="269">
        <f t="shared" si="507"/>
        <v>0</v>
      </c>
      <c r="GK86" s="269">
        <f t="shared" si="508"/>
        <v>0</v>
      </c>
      <c r="GL86" s="163">
        <f t="shared" si="509"/>
        <v>0</v>
      </c>
      <c r="GM86" s="137">
        <f t="array" ref="GM86">IF(GJ86=0,0,LARGE(IF($GG$10:$GG$406=GJ86,$GF$10:$GF$406,0),COUNTIF($GJ$10:$GJ$406,GJ86)-COUNTIF(GJ$9:GJ85,GJ86)))</f>
        <v>0</v>
      </c>
      <c r="GN86" s="270">
        <f t="shared" si="510"/>
        <v>0</v>
      </c>
      <c r="GP86" s="137">
        <f>IF(C86="","",IF(ISERROR(MATCH(C86,C$10:C85,0)),MAX(GP$10:GP85)+1,INDEX(GP$10:GP85,MATCH(C86,C$10:C85,0))))</f>
        <v>63</v>
      </c>
      <c r="GQ86" s="264">
        <f>IF(COUNTIF($A$10:A86,A86)&lt;=1,SUMIF($A$10:$A$406,A86,$FH$10:$FH$406),0)</f>
        <v>0</v>
      </c>
      <c r="GR86" s="137">
        <f t="shared" si="130"/>
        <v>77</v>
      </c>
      <c r="GS86" s="269">
        <f t="shared" si="554"/>
        <v>2917293</v>
      </c>
      <c r="GT86" s="269">
        <f t="shared" si="555"/>
        <v>50964284.172430128</v>
      </c>
      <c r="GU86" s="163">
        <f t="shared" si="556"/>
        <v>0</v>
      </c>
      <c r="GV86" s="137">
        <f t="array" ref="GV86">IF(GS86=0,0,LARGE(IF($GQ$10:$GQ$406=GS86,$GP$10:$GP$406,0),COUNTIF($GS$10:$GS$406,GS86)-COUNTIF(GS$9:GS85,GS86)))</f>
        <v>24</v>
      </c>
      <c r="GW86" s="270">
        <f t="shared" si="557"/>
        <v>0</v>
      </c>
      <c r="GX86" s="270"/>
      <c r="GY86" s="137">
        <f>IF(C86="","",IF(ISERROR(MATCH(C86,C$10:C85,0)),MAX(GP$10:GP85)+1,INDEX(GP$10:GP85,MATCH(C86,C$10:C85,0))))</f>
        <v>63</v>
      </c>
      <c r="GZ86" s="264">
        <f>IF(COUNTIF($A$10:A86,A86)&lt;=1,SUMIF($A$10:$A$406,A86,$FH$10:$FH$406),0)</f>
        <v>0</v>
      </c>
      <c r="HA86" s="137">
        <f t="shared" si="134"/>
        <v>77</v>
      </c>
      <c r="HB86" s="269">
        <f t="shared" si="515"/>
        <v>2917293</v>
      </c>
      <c r="HC86" s="414" t="s">
        <v>622</v>
      </c>
      <c r="HD86" s="163">
        <f t="shared" si="516"/>
        <v>0</v>
      </c>
      <c r="HE86" s="137">
        <f t="array" ref="HE86">IF(HB86=0,0,LARGE(IF($GZ$10:$GZ$406=HB86,$GY$10:$GY$406,0),COUNTIF($HB$10:$HB$406,HB86)-COUNTIF(HB$9:HB85,HB86)))</f>
        <v>24</v>
      </c>
      <c r="HF86" s="270">
        <f t="shared" si="517"/>
        <v>0</v>
      </c>
      <c r="HG86" s="270"/>
      <c r="HH86" s="268">
        <f t="shared" si="518"/>
        <v>5522.0122493559029</v>
      </c>
      <c r="HI86" s="271">
        <v>0</v>
      </c>
      <c r="HJ86" s="264">
        <f t="shared" si="519"/>
        <v>0</v>
      </c>
      <c r="HL86" s="137">
        <f t="shared" si="520"/>
        <v>77</v>
      </c>
      <c r="HM86" s="264">
        <f t="shared" si="521"/>
        <v>4361018</v>
      </c>
      <c r="HN86"/>
      <c r="HO86" s="199">
        <f t="shared" si="522"/>
        <v>1232469.6289026001</v>
      </c>
      <c r="HP86" s="199">
        <f t="shared" si="523"/>
        <v>1232469.6289026001</v>
      </c>
      <c r="HQ86" s="199" t="str">
        <f t="shared" si="524"/>
        <v/>
      </c>
      <c r="HR86" s="199" t="str">
        <f t="shared" si="525"/>
        <v/>
      </c>
      <c r="HS86" s="199" t="str">
        <f t="shared" si="539"/>
        <v/>
      </c>
      <c r="HT86" s="199" t="str">
        <f t="shared" si="526"/>
        <v/>
      </c>
      <c r="HU86" s="199" t="str">
        <f t="shared" si="527"/>
        <v/>
      </c>
      <c r="HV86" s="200">
        <f t="shared" si="528"/>
        <v>0</v>
      </c>
      <c r="HW86" s="272">
        <f t="shared" si="540"/>
        <v>1</v>
      </c>
      <c r="HX86" s="200" t="str">
        <f t="shared" si="529"/>
        <v/>
      </c>
      <c r="HY86" s="200">
        <f t="shared" si="530"/>
        <v>0</v>
      </c>
      <c r="HZ86" s="200" t="str">
        <f t="shared" si="535"/>
        <v/>
      </c>
      <c r="IA86" s="200" t="str">
        <f t="shared" si="531"/>
        <v/>
      </c>
      <c r="IB86" s="200" t="str">
        <f t="shared" si="532"/>
        <v/>
      </c>
      <c r="IC86" s="273">
        <f>IF(C86="","",INDEX(Lookups!$E$2:$E$69,MATCH('Loan List'!BE86,Lookups!$F$2:$F$69,0)))</f>
        <v>19</v>
      </c>
      <c r="ID86" t="b">
        <f t="shared" si="533"/>
        <v>1</v>
      </c>
      <c r="IF86" s="346"/>
    </row>
    <row r="87" spans="1:240" ht="15" customHeight="1">
      <c r="A87" t="s">
        <v>573</v>
      </c>
      <c r="B87" s="242">
        <f t="shared" si="541"/>
        <v>78</v>
      </c>
      <c r="C87" s="242">
        <f>IF(COUNTIF($A$10:A86,A87)&gt;0,C86,C86+1)</f>
        <v>63</v>
      </c>
      <c r="D87" s="428" t="s">
        <v>574</v>
      </c>
      <c r="E87" s="428" t="s">
        <v>545</v>
      </c>
      <c r="F87" s="429"/>
      <c r="G87" s="430">
        <v>5445800.4900000002</v>
      </c>
      <c r="H87" s="430">
        <v>0</v>
      </c>
      <c r="I87" s="244">
        <f>IF(B87="","",VLOOKUP(BF87,Inputs!$A$12:$J$15,10,FALSE))</f>
        <v>1</v>
      </c>
      <c r="J87" s="245">
        <f t="shared" si="542"/>
        <v>5445800.4900000002</v>
      </c>
      <c r="K87" s="245">
        <f t="shared" si="543"/>
        <v>0</v>
      </c>
      <c r="L87" s="245">
        <f t="shared" si="544"/>
        <v>5445800.4900000002</v>
      </c>
      <c r="M87" s="245">
        <f t="shared" si="545"/>
        <v>0</v>
      </c>
      <c r="N87" s="246" t="s">
        <v>246</v>
      </c>
      <c r="O87" s="246" t="s">
        <v>245</v>
      </c>
      <c r="P87" s="247">
        <f>IF(B87="","",IF(OR(O87="N/A",O87=""),0,YEARFRAC('Borrowing Base'!$J$4,'Loan List'!O87)*12))</f>
        <v>0</v>
      </c>
      <c r="Q87" s="246" t="s">
        <v>246</v>
      </c>
      <c r="R87" s="275">
        <v>1</v>
      </c>
      <c r="S87" s="249" t="str">
        <f t="shared" si="546"/>
        <v>No</v>
      </c>
      <c r="T87" s="275">
        <v>1</v>
      </c>
      <c r="U87" s="250">
        <f t="shared" si="547"/>
        <v>0.5</v>
      </c>
      <c r="V87" s="250">
        <f t="shared" si="548"/>
        <v>0.72499999999999998</v>
      </c>
      <c r="W87" s="251">
        <f t="shared" si="385"/>
        <v>0</v>
      </c>
      <c r="X87" s="246" t="s">
        <v>64</v>
      </c>
      <c r="Y87" s="252" t="s">
        <v>483</v>
      </c>
      <c r="Z87" s="252" t="s">
        <v>514</v>
      </c>
      <c r="AA87" s="253" t="s">
        <v>407</v>
      </c>
      <c r="AB87" s="253" t="s">
        <v>713</v>
      </c>
      <c r="AC87" s="254">
        <v>1.5519163814925001</v>
      </c>
      <c r="AD87" s="254">
        <v>1.4608911349997995</v>
      </c>
      <c r="AE87" s="254">
        <v>1.8775399653330955</v>
      </c>
      <c r="AF87" s="254">
        <v>0.25077713417139502</v>
      </c>
      <c r="AG87" s="256">
        <v>3.9237907312052336</v>
      </c>
      <c r="AH87" s="256">
        <v>3.9237907312052336</v>
      </c>
      <c r="AI87" s="256">
        <v>5.3019417301058294</v>
      </c>
      <c r="AJ87" s="256">
        <v>5.3019417301058294</v>
      </c>
      <c r="AK87" s="257">
        <v>35462000</v>
      </c>
      <c r="AL87" s="257">
        <v>62197779</v>
      </c>
      <c r="AM87" s="258">
        <v>45808</v>
      </c>
      <c r="AN87" s="245" t="str">
        <f t="shared" si="549"/>
        <v>Tier 2</v>
      </c>
      <c r="AO87" s="243">
        <v>47115</v>
      </c>
      <c r="AP87" s="259">
        <f>IF(C87="","",DAYS360(Inputs!$J$8,AO87)/360)</f>
        <v>3.3444444444444446</v>
      </c>
      <c r="AQ87" s="259">
        <f t="shared" si="550"/>
        <v>3.3444444444444446</v>
      </c>
      <c r="AR87" s="246" t="s">
        <v>246</v>
      </c>
      <c r="AS87" s="276">
        <v>0</v>
      </c>
      <c r="AT87" s="246" t="s">
        <v>246</v>
      </c>
      <c r="AU87" s="248" t="s">
        <v>487</v>
      </c>
      <c r="AV87" s="248">
        <v>0.06</v>
      </c>
      <c r="AW87" s="248">
        <v>4.2956000000000008E-2</v>
      </c>
      <c r="AX87" s="260">
        <f t="shared" si="551"/>
        <v>4.2956000000000008E-2</v>
      </c>
      <c r="AY87" s="248">
        <v>0</v>
      </c>
      <c r="AZ87" s="248">
        <v>0</v>
      </c>
      <c r="BA87" s="248">
        <v>0</v>
      </c>
      <c r="BB87" s="407">
        <f t="shared" si="536"/>
        <v>0.06</v>
      </c>
      <c r="BC87" s="407" t="str">
        <f t="shared" si="537"/>
        <v/>
      </c>
      <c r="BD87" s="252" t="s">
        <v>247</v>
      </c>
      <c r="BE87" s="261" t="s">
        <v>378</v>
      </c>
      <c r="BF87" s="252" t="s">
        <v>7</v>
      </c>
      <c r="BG87" s="252" t="s">
        <v>460</v>
      </c>
      <c r="BH87" s="246" t="s">
        <v>246</v>
      </c>
      <c r="BI87" s="408" t="str">
        <f t="shared" si="534"/>
        <v>No</v>
      </c>
      <c r="BJ87" s="408" t="str">
        <f t="shared" si="538"/>
        <v>No</v>
      </c>
      <c r="BK87" s="246" t="s">
        <v>246</v>
      </c>
      <c r="BL87" s="246" t="s">
        <v>246</v>
      </c>
      <c r="BM87" s="246" t="s">
        <v>246</v>
      </c>
      <c r="BN87" s="246" t="s">
        <v>246</v>
      </c>
      <c r="BO87" s="246" t="s">
        <v>246</v>
      </c>
      <c r="BP87" s="246" t="s">
        <v>246</v>
      </c>
      <c r="BQ87" s="246" t="s">
        <v>246</v>
      </c>
      <c r="BR87" s="246" t="s">
        <v>246</v>
      </c>
      <c r="BS87" s="246" t="s">
        <v>246</v>
      </c>
      <c r="BT87" s="246" t="s">
        <v>246</v>
      </c>
      <c r="BU87" s="246" t="s">
        <v>246</v>
      </c>
      <c r="BV87" s="246" t="s">
        <v>246</v>
      </c>
      <c r="BW87" s="246" t="s">
        <v>246</v>
      </c>
      <c r="BX87" s="246" t="s">
        <v>246</v>
      </c>
      <c r="BY87" s="246" t="s">
        <v>246</v>
      </c>
      <c r="BZ87" s="246" t="s">
        <v>246</v>
      </c>
      <c r="CA87" s="246" t="s">
        <v>246</v>
      </c>
      <c r="CB87" s="246" t="s">
        <v>64</v>
      </c>
      <c r="CC87" s="262">
        <f t="shared" si="552"/>
        <v>0</v>
      </c>
      <c r="CD87" s="262">
        <f t="shared" si="553"/>
        <v>0</v>
      </c>
      <c r="CE87" s="263"/>
      <c r="CF87" s="263">
        <f t="shared" si="403"/>
        <v>0</v>
      </c>
      <c r="CG87" s="263">
        <f t="shared" si="404"/>
        <v>0</v>
      </c>
      <c r="CH87" s="263">
        <f t="shared" si="405"/>
        <v>0</v>
      </c>
      <c r="CI87" s="263">
        <f t="shared" si="406"/>
        <v>0</v>
      </c>
      <c r="CJ87" s="263">
        <f t="shared" si="407"/>
        <v>0</v>
      </c>
      <c r="CK87" s="263">
        <f t="shared" si="408"/>
        <v>0</v>
      </c>
      <c r="CL87" s="263">
        <f t="shared" si="409"/>
        <v>0</v>
      </c>
      <c r="CM87" s="263">
        <f t="shared" si="410"/>
        <v>0</v>
      </c>
      <c r="CN87" s="263">
        <f t="shared" si="411"/>
        <v>0</v>
      </c>
      <c r="CO87" s="263">
        <f t="shared" si="412"/>
        <v>0</v>
      </c>
      <c r="CP87" s="263">
        <f t="shared" si="413"/>
        <v>0</v>
      </c>
      <c r="CQ87" s="263">
        <f t="shared" si="414"/>
        <v>0</v>
      </c>
      <c r="CR87" s="263">
        <f t="shared" si="415"/>
        <v>0</v>
      </c>
      <c r="CS87" s="263">
        <f t="shared" si="416"/>
        <v>0</v>
      </c>
      <c r="CT87" s="263">
        <f t="shared" si="417"/>
        <v>0</v>
      </c>
      <c r="CU87" s="263">
        <f t="shared" si="418"/>
        <v>0</v>
      </c>
      <c r="CV87" s="263">
        <f t="shared" si="419"/>
        <v>0</v>
      </c>
      <c r="CW87" s="263">
        <f t="shared" si="420"/>
        <v>0</v>
      </c>
      <c r="CX87" s="263">
        <f t="shared" si="421"/>
        <v>0</v>
      </c>
      <c r="CY87" s="263">
        <f t="shared" si="422"/>
        <v>0</v>
      </c>
      <c r="CZ87" s="263">
        <f t="shared" si="423"/>
        <v>0</v>
      </c>
      <c r="DA87" s="263">
        <f t="shared" si="424"/>
        <v>0</v>
      </c>
      <c r="DB87" s="263">
        <f t="shared" si="425"/>
        <v>0</v>
      </c>
      <c r="DC87" s="263">
        <f t="shared" si="426"/>
        <v>0</v>
      </c>
      <c r="DD87" s="263">
        <f t="shared" si="427"/>
        <v>0</v>
      </c>
      <c r="DE87" s="263">
        <f t="shared" si="428"/>
        <v>0</v>
      </c>
      <c r="DF87" s="263">
        <f t="shared" si="429"/>
        <v>0</v>
      </c>
      <c r="DG87" s="263">
        <f t="shared" si="430"/>
        <v>5445800.4900000002</v>
      </c>
      <c r="DH87" s="263">
        <f t="shared" si="431"/>
        <v>5445800.4900000002</v>
      </c>
      <c r="DI87" s="263">
        <f t="shared" si="432"/>
        <v>5445800.4900000002</v>
      </c>
      <c r="DJ87" s="263">
        <f t="shared" si="433"/>
        <v>5445800.4900000002</v>
      </c>
      <c r="DK87" s="263">
        <f t="shared" si="434"/>
        <v>0</v>
      </c>
      <c r="DL87" s="263">
        <f t="shared" si="435"/>
        <v>0</v>
      </c>
      <c r="DM87" s="263">
        <f t="shared" si="436"/>
        <v>0</v>
      </c>
      <c r="DO87" s="264">
        <f t="shared" si="437"/>
        <v>0</v>
      </c>
      <c r="DP87" s="265">
        <f t="shared" si="438"/>
        <v>0</v>
      </c>
      <c r="DQ87" s="264">
        <f t="shared" si="439"/>
        <v>5445800.4900000002</v>
      </c>
      <c r="DR87" s="264">
        <f t="shared" si="440"/>
        <v>0</v>
      </c>
      <c r="DS87" s="265">
        <f t="shared" si="441"/>
        <v>0</v>
      </c>
      <c r="DT87" s="264">
        <f t="shared" si="442"/>
        <v>5445800.4900000002</v>
      </c>
      <c r="DU87" s="264">
        <f t="shared" si="443"/>
        <v>0</v>
      </c>
      <c r="DV87" s="265">
        <f t="shared" si="444"/>
        <v>0</v>
      </c>
      <c r="DW87" s="264">
        <f t="shared" si="445"/>
        <v>5445800.4900000002</v>
      </c>
      <c r="DX87" s="264">
        <f t="shared" si="446"/>
        <v>0</v>
      </c>
      <c r="DY87" s="265">
        <f t="shared" si="447"/>
        <v>0</v>
      </c>
      <c r="DZ87" s="264">
        <f t="shared" si="448"/>
        <v>5445800.4900000002</v>
      </c>
      <c r="EA87" s="264">
        <f t="shared" si="449"/>
        <v>0</v>
      </c>
      <c r="EB87" s="265">
        <f t="shared" si="450"/>
        <v>0</v>
      </c>
      <c r="EC87" s="264">
        <f t="shared" si="451"/>
        <v>5445800.4900000002</v>
      </c>
      <c r="ED87" s="264">
        <f t="shared" si="452"/>
        <v>5445800.4900000002</v>
      </c>
      <c r="EE87" s="265">
        <f t="shared" si="453"/>
        <v>0</v>
      </c>
      <c r="EF87" s="264">
        <f t="shared" si="454"/>
        <v>5445800.4900000002</v>
      </c>
      <c r="EG87" s="264">
        <f t="shared" si="455"/>
        <v>0</v>
      </c>
      <c r="EH87" s="265">
        <f t="shared" si="456"/>
        <v>0</v>
      </c>
      <c r="EI87" s="264">
        <f t="shared" si="457"/>
        <v>5445800.4900000002</v>
      </c>
      <c r="EJ87" s="264">
        <f t="shared" si="458"/>
        <v>0</v>
      </c>
      <c r="EK87" s="265">
        <f t="shared" si="459"/>
        <v>0</v>
      </c>
      <c r="EL87" s="264">
        <f t="shared" si="460"/>
        <v>5445800.4900000002</v>
      </c>
      <c r="EM87" s="264">
        <f t="shared" si="461"/>
        <v>0</v>
      </c>
      <c r="EN87" s="265">
        <f t="shared" si="462"/>
        <v>0</v>
      </c>
      <c r="EO87" s="264">
        <f t="shared" si="463"/>
        <v>5445800.4900000002</v>
      </c>
      <c r="EP87" s="264">
        <f t="shared" si="464"/>
        <v>0</v>
      </c>
      <c r="EQ87" s="265">
        <f t="shared" si="465"/>
        <v>0</v>
      </c>
      <c r="ER87" s="264">
        <f t="shared" si="466"/>
        <v>5445800.4900000002</v>
      </c>
      <c r="ES87" s="264">
        <f t="shared" si="467"/>
        <v>0</v>
      </c>
      <c r="ET87" s="265">
        <f t="shared" si="468"/>
        <v>0</v>
      </c>
      <c r="EU87" s="264">
        <f t="shared" si="469"/>
        <v>5445800.4900000002</v>
      </c>
      <c r="EV87" s="264">
        <f>IF(AND(BM87="Yes",OR(BN87="No",AND(BN87="Yes",Inputs!$J$8=Inputs!$J$17+75))),EU87,0)</f>
        <v>0</v>
      </c>
      <c r="EW87" s="265">
        <f t="shared" si="470"/>
        <v>0</v>
      </c>
      <c r="EX87" s="264">
        <f t="shared" si="471"/>
        <v>5445800.4900000002</v>
      </c>
      <c r="EY87" s="264">
        <f t="shared" si="472"/>
        <v>0</v>
      </c>
      <c r="EZ87" s="265">
        <f t="shared" si="473"/>
        <v>0</v>
      </c>
      <c r="FA87" s="264">
        <f t="shared" si="474"/>
        <v>5445800.4900000002</v>
      </c>
      <c r="FB87" s="264">
        <f t="shared" si="475"/>
        <v>0</v>
      </c>
      <c r="FC87" s="265">
        <f t="shared" si="476"/>
        <v>0</v>
      </c>
      <c r="FD87" s="264">
        <f t="shared" si="477"/>
        <v>5445800.4900000002</v>
      </c>
      <c r="FE87" s="264">
        <f t="shared" si="478"/>
        <v>0</v>
      </c>
      <c r="FF87" s="265">
        <f t="shared" si="479"/>
        <v>0</v>
      </c>
      <c r="FG87" s="264">
        <f t="shared" si="480"/>
        <v>5445800.4900000002</v>
      </c>
      <c r="FH87" s="264">
        <f t="shared" si="481"/>
        <v>5445800.4900000002</v>
      </c>
      <c r="FI87" s="264">
        <f t="shared" si="482"/>
        <v>0</v>
      </c>
      <c r="FJ87" s="264">
        <f t="shared" si="483"/>
        <v>5445800.4900000002</v>
      </c>
      <c r="FK87" s="264">
        <f t="shared" si="484"/>
        <v>5445800.4900000002</v>
      </c>
      <c r="FL87" s="264">
        <f t="shared" si="485"/>
        <v>0</v>
      </c>
      <c r="FM87" s="264">
        <f t="shared" si="486"/>
        <v>5445800.4900000002</v>
      </c>
      <c r="FN87" s="264">
        <f t="shared" si="487"/>
        <v>5445800.4900000002</v>
      </c>
      <c r="FO87" s="264">
        <f t="shared" si="488"/>
        <v>0</v>
      </c>
      <c r="FP87" s="264">
        <f t="shared" si="489"/>
        <v>5445800.4900000002</v>
      </c>
      <c r="FQ87" s="264">
        <f t="shared" si="490"/>
        <v>0</v>
      </c>
      <c r="FR87" s="265">
        <f t="shared" si="491"/>
        <v>0</v>
      </c>
      <c r="FS87" s="264">
        <f t="shared" si="492"/>
        <v>5445800.4900000002</v>
      </c>
      <c r="FT87" s="264">
        <f t="shared" si="493"/>
        <v>0</v>
      </c>
      <c r="FU87" s="265">
        <f t="shared" si="494"/>
        <v>0</v>
      </c>
      <c r="FV87" s="264">
        <f t="shared" si="495"/>
        <v>5445800.4900000002</v>
      </c>
      <c r="FW87" s="264">
        <f t="shared" si="496"/>
        <v>0</v>
      </c>
      <c r="FX87" s="264">
        <f t="shared" si="497"/>
        <v>0</v>
      </c>
      <c r="FY87" s="264">
        <f t="shared" si="498"/>
        <v>5445800.4900000002</v>
      </c>
      <c r="FZ87" s="264">
        <f t="shared" si="499"/>
        <v>5445800.4900000002</v>
      </c>
      <c r="GA87" s="265">
        <f t="shared" si="500"/>
        <v>24399.608970570778</v>
      </c>
      <c r="GB87" s="264">
        <f t="shared" si="501"/>
        <v>5421400.8810294298</v>
      </c>
      <c r="GC87" s="264">
        <f t="shared" si="502"/>
        <v>0</v>
      </c>
      <c r="GD87" s="266">
        <f t="shared" si="503"/>
        <v>0</v>
      </c>
      <c r="GE87" s="138" t="str">
        <f t="shared" si="504"/>
        <v/>
      </c>
      <c r="GF87" s="267">
        <f t="shared" si="505"/>
        <v>19</v>
      </c>
      <c r="GG87" s="264">
        <f t="array" ref="GG87">IF(SUM(IF(IC$9:IC86=IC87,1,0))&gt;0,0,SUMIF($IC$10:$IC$406,IC87,$FJ$10:$FJ$406))</f>
        <v>0</v>
      </c>
      <c r="GH87" s="268">
        <f t="shared" si="506"/>
        <v>0</v>
      </c>
      <c r="GI87" s="137">
        <f t="shared" si="126"/>
        <v>78</v>
      </c>
      <c r="GJ87" s="269">
        <f t="shared" si="507"/>
        <v>0</v>
      </c>
      <c r="GK87" s="269">
        <f t="shared" si="508"/>
        <v>0</v>
      </c>
      <c r="GL87" s="163">
        <f t="shared" si="509"/>
        <v>0</v>
      </c>
      <c r="GM87" s="137">
        <f t="array" ref="GM87">IF(GJ87=0,0,LARGE(IF($GG$10:$GG$406=GJ87,$GF$10:$GF$406,0),COUNTIF($GJ$10:$GJ$406,GJ87)-COUNTIF(GJ$9:GJ86,GJ87)))</f>
        <v>0</v>
      </c>
      <c r="GN87" s="270">
        <f t="shared" si="510"/>
        <v>0</v>
      </c>
      <c r="GP87" s="137">
        <f>IF(C87="","",IF(ISERROR(MATCH(C87,C$10:C86,0)),MAX(GP$10:GP86)+1,INDEX(GP$10:GP86,MATCH(C87,C$10:C86,0))))</f>
        <v>63</v>
      </c>
      <c r="GQ87" s="264">
        <f>IF(COUNTIF($A$10:A87,A87)&lt;=1,SUMIF($A$10:$A$406,A87,$FH$10:$FH$406),0)</f>
        <v>0</v>
      </c>
      <c r="GR87" s="137">
        <f t="shared" si="130"/>
        <v>78</v>
      </c>
      <c r="GS87" s="269">
        <f t="shared" si="554"/>
        <v>2761876.5</v>
      </c>
      <c r="GT87" s="269">
        <f t="shared" si="555"/>
        <v>50964284.172430128</v>
      </c>
      <c r="GU87" s="163">
        <f t="shared" si="556"/>
        <v>0</v>
      </c>
      <c r="GV87" s="137">
        <f t="array" ref="GV87">IF(GS87=0,0,LARGE(IF($GQ$10:$GQ$406=GS87,$GP$10:$GP$406,0),COUNTIF($GS$10:$GS$406,GS87)-COUNTIF(GS$9:GS86,GS87)))</f>
        <v>35</v>
      </c>
      <c r="GW87" s="270">
        <f t="shared" si="557"/>
        <v>0</v>
      </c>
      <c r="GX87" s="270"/>
      <c r="GY87" s="137">
        <f>IF(C87="","",IF(ISERROR(MATCH(C87,C$10:C86,0)),MAX(GP$10:GP86)+1,INDEX(GP$10:GP86,MATCH(C87,C$10:C86,0))))</f>
        <v>63</v>
      </c>
      <c r="GZ87" s="264">
        <f>IF(COUNTIF($A$10:A87,A87)&lt;=1,SUMIF($A$10:$A$406,A87,$FH$10:$FH$406),0)</f>
        <v>0</v>
      </c>
      <c r="HA87" s="137">
        <f t="shared" si="134"/>
        <v>78</v>
      </c>
      <c r="HB87" s="269">
        <f t="shared" si="515"/>
        <v>2761876.5</v>
      </c>
      <c r="HC87" s="414" t="s">
        <v>622</v>
      </c>
      <c r="HD87" s="163">
        <f t="shared" si="516"/>
        <v>0</v>
      </c>
      <c r="HE87" s="137">
        <f t="array" ref="HE87">IF(HB87=0,0,LARGE(IF($GZ$10:$GZ$406=HB87,$GY$10:$GY$406,0),COUNTIF($HB$10:$HB$406,HB87)-COUNTIF(HB$9:HB86,HB87)))</f>
        <v>35</v>
      </c>
      <c r="HF87" s="270">
        <f t="shared" si="517"/>
        <v>0</v>
      </c>
      <c r="HG87" s="270"/>
      <c r="HH87" s="268">
        <f t="shared" si="518"/>
        <v>24399.608970570378</v>
      </c>
      <c r="HI87" s="271">
        <v>0</v>
      </c>
      <c r="HJ87" s="264">
        <f t="shared" si="519"/>
        <v>0</v>
      </c>
      <c r="HL87" s="137">
        <f t="shared" si="520"/>
        <v>78</v>
      </c>
      <c r="HM87" s="264">
        <f t="shared" si="521"/>
        <v>50000000</v>
      </c>
      <c r="HN87"/>
      <c r="HO87" s="199">
        <f t="shared" si="522"/>
        <v>0</v>
      </c>
      <c r="HP87" s="199">
        <f t="shared" si="523"/>
        <v>0</v>
      </c>
      <c r="HQ87" s="199" t="str">
        <f t="shared" si="524"/>
        <v/>
      </c>
      <c r="HR87" s="199" t="str">
        <f t="shared" si="525"/>
        <v/>
      </c>
      <c r="HS87" s="199" t="str">
        <f t="shared" si="539"/>
        <v/>
      </c>
      <c r="HT87" s="199" t="str">
        <f t="shared" si="526"/>
        <v/>
      </c>
      <c r="HU87" s="199" t="str">
        <f t="shared" si="527"/>
        <v/>
      </c>
      <c r="HV87" s="200">
        <f>IF(B87="",0,$L87-$M87)</f>
        <v>5445800.4900000002</v>
      </c>
      <c r="HW87" s="272">
        <f t="shared" si="540"/>
        <v>1</v>
      </c>
      <c r="HX87" s="200" t="str">
        <f t="shared" si="529"/>
        <v/>
      </c>
      <c r="HY87" s="200">
        <f t="shared" si="530"/>
        <v>0</v>
      </c>
      <c r="HZ87" s="200" t="str">
        <f t="shared" si="535"/>
        <v/>
      </c>
      <c r="IA87" s="200" t="str">
        <f t="shared" si="531"/>
        <v/>
      </c>
      <c r="IB87" s="200" t="str">
        <f t="shared" si="532"/>
        <v/>
      </c>
      <c r="IC87" s="273">
        <f>IF(C87="","",INDEX(Lookups!$E$2:$E$69,MATCH('Loan List'!BE87,Lookups!$F$2:$F$69,0)))</f>
        <v>19</v>
      </c>
      <c r="ID87" t="b">
        <f t="shared" si="533"/>
        <v>1</v>
      </c>
      <c r="IF87" s="346"/>
    </row>
    <row r="88" spans="1:240" ht="15" customHeight="1">
      <c r="A88" t="s">
        <v>590</v>
      </c>
      <c r="B88" s="242">
        <f t="shared" si="541"/>
        <v>79</v>
      </c>
      <c r="C88" s="242">
        <f>IF(COUNTIF($A$10:A87,A88)&gt;0,C87,C87+1)</f>
        <v>64</v>
      </c>
      <c r="D88" s="428" t="s">
        <v>591</v>
      </c>
      <c r="E88" s="428" t="s">
        <v>586</v>
      </c>
      <c r="F88" s="429"/>
      <c r="G88" s="430">
        <v>1201052.6299999999</v>
      </c>
      <c r="H88" s="430">
        <v>1201052.6299999999</v>
      </c>
      <c r="I88" s="244">
        <f>IF(B88="","",VLOOKUP(BF88,Inputs!$A$12:$J$15,10,FALSE))</f>
        <v>1</v>
      </c>
      <c r="J88" s="245">
        <f t="shared" si="542"/>
        <v>1201052.6299999999</v>
      </c>
      <c r="K88" s="245">
        <f t="shared" si="543"/>
        <v>1201052.6299999999</v>
      </c>
      <c r="L88" s="245">
        <f t="shared" si="544"/>
        <v>1201052.6299999999</v>
      </c>
      <c r="M88" s="245">
        <f t="shared" si="545"/>
        <v>1201052.6299999999</v>
      </c>
      <c r="N88" s="246" t="s">
        <v>246</v>
      </c>
      <c r="O88" s="246" t="s">
        <v>245</v>
      </c>
      <c r="P88" s="247">
        <f>IF(B88="","",IF(OR(O88="N/A",O88=""),0,YEARFRAC('Borrowing Base'!$J$4,'Loan List'!O88)*12))</f>
        <v>0</v>
      </c>
      <c r="Q88" s="246" t="s">
        <v>246</v>
      </c>
      <c r="R88" s="275">
        <v>0.98499999999999999</v>
      </c>
      <c r="S88" s="249" t="str">
        <f t="shared" si="546"/>
        <v>No</v>
      </c>
      <c r="T88" s="275">
        <v>0.99749999298531999</v>
      </c>
      <c r="U88" s="250">
        <f t="shared" si="547"/>
        <v>0.5</v>
      </c>
      <c r="V88" s="250">
        <f t="shared" si="548"/>
        <v>0.72499999999999998</v>
      </c>
      <c r="W88" s="251">
        <f t="shared" si="385"/>
        <v>1201052.6299999999</v>
      </c>
      <c r="X88" s="246" t="s">
        <v>246</v>
      </c>
      <c r="Y88" s="252" t="s">
        <v>483</v>
      </c>
      <c r="Z88" s="252" t="s">
        <v>514</v>
      </c>
      <c r="AA88" s="253" t="s">
        <v>407</v>
      </c>
      <c r="AB88" s="253" t="s">
        <v>713</v>
      </c>
      <c r="AC88" s="254">
        <v>1.4176165927273574</v>
      </c>
      <c r="AD88" s="254">
        <v>1.2328349533405862</v>
      </c>
      <c r="AE88" s="254">
        <v>2.1303325227074676</v>
      </c>
      <c r="AF88" s="254">
        <v>0.4745062836624776</v>
      </c>
      <c r="AG88" s="256">
        <v>4.6036407080953463</v>
      </c>
      <c r="AH88" s="256">
        <v>4.6036407080953463</v>
      </c>
      <c r="AI88" s="256">
        <v>3.620213265669233</v>
      </c>
      <c r="AJ88" s="256">
        <v>3.620213265669233</v>
      </c>
      <c r="AK88" s="257">
        <v>57411083.261827409</v>
      </c>
      <c r="AL88" s="257">
        <v>66455327.999999993</v>
      </c>
      <c r="AM88" s="258">
        <v>45838</v>
      </c>
      <c r="AN88" s="245" t="str">
        <f t="shared" si="549"/>
        <v>Tier 1</v>
      </c>
      <c r="AO88" s="243">
        <v>47868</v>
      </c>
      <c r="AP88" s="259">
        <f>IF(C88="","",DAYS360(Inputs!$J$8,AO88)/360)</f>
        <v>5.4055555555555559</v>
      </c>
      <c r="AQ88" s="259">
        <f t="shared" si="550"/>
        <v>5.4055555555555559</v>
      </c>
      <c r="AR88" s="246" t="s">
        <v>246</v>
      </c>
      <c r="AS88" s="276">
        <v>0</v>
      </c>
      <c r="AT88" s="246" t="s">
        <v>246</v>
      </c>
      <c r="AU88" s="248" t="s">
        <v>487</v>
      </c>
      <c r="AV88" s="248">
        <v>0</v>
      </c>
      <c r="AW88" s="248">
        <v>0</v>
      </c>
      <c r="AX88" s="260">
        <f t="shared" si="551"/>
        <v>0</v>
      </c>
      <c r="AY88" s="248">
        <v>0</v>
      </c>
      <c r="AZ88" s="248">
        <v>0</v>
      </c>
      <c r="BA88" s="248">
        <v>0</v>
      </c>
      <c r="BB88" s="407">
        <f t="shared" si="536"/>
        <v>0</v>
      </c>
      <c r="BC88" s="407" t="str">
        <f t="shared" si="537"/>
        <v/>
      </c>
      <c r="BD88" s="252" t="s">
        <v>247</v>
      </c>
      <c r="BE88" s="261" t="s">
        <v>439</v>
      </c>
      <c r="BF88" s="252" t="s">
        <v>7</v>
      </c>
      <c r="BG88" s="252" t="s">
        <v>460</v>
      </c>
      <c r="BH88" s="246" t="s">
        <v>246</v>
      </c>
      <c r="BI88" s="408" t="str">
        <f t="shared" si="534"/>
        <v>No</v>
      </c>
      <c r="BJ88" s="408" t="str">
        <f t="shared" si="538"/>
        <v>No</v>
      </c>
      <c r="BK88" s="246" t="s">
        <v>246</v>
      </c>
      <c r="BL88" s="246" t="s">
        <v>246</v>
      </c>
      <c r="BM88" s="246" t="s">
        <v>246</v>
      </c>
      <c r="BN88" s="246" t="s">
        <v>246</v>
      </c>
      <c r="BO88" s="246" t="s">
        <v>246</v>
      </c>
      <c r="BP88" s="246" t="s">
        <v>246</v>
      </c>
      <c r="BQ88" s="246" t="s">
        <v>246</v>
      </c>
      <c r="BR88" s="246" t="s">
        <v>246</v>
      </c>
      <c r="BS88" s="246" t="s">
        <v>246</v>
      </c>
      <c r="BT88" s="246" t="s">
        <v>246</v>
      </c>
      <c r="BU88" s="246" t="s">
        <v>246</v>
      </c>
      <c r="BV88" s="246" t="s">
        <v>246</v>
      </c>
      <c r="BW88" s="246" t="s">
        <v>246</v>
      </c>
      <c r="BX88" s="246" t="s">
        <v>246</v>
      </c>
      <c r="BY88" s="246" t="s">
        <v>246</v>
      </c>
      <c r="BZ88" s="246" t="s">
        <v>246</v>
      </c>
      <c r="CA88" s="246" t="s">
        <v>246</v>
      </c>
      <c r="CB88" s="246" t="s">
        <v>64</v>
      </c>
      <c r="CC88" s="262">
        <f t="shared" si="552"/>
        <v>-51912.377194911998</v>
      </c>
      <c r="CD88" s="262">
        <f t="shared" si="553"/>
        <v>0</v>
      </c>
      <c r="CE88" s="263"/>
      <c r="CF88" s="263">
        <f t="shared" si="403"/>
        <v>0</v>
      </c>
      <c r="CG88" s="263">
        <f t="shared" si="404"/>
        <v>0</v>
      </c>
      <c r="CH88" s="263">
        <f t="shared" si="405"/>
        <v>0</v>
      </c>
      <c r="CI88" s="263">
        <f t="shared" si="406"/>
        <v>0</v>
      </c>
      <c r="CJ88" s="263">
        <f t="shared" si="407"/>
        <v>0</v>
      </c>
      <c r="CK88" s="263">
        <f t="shared" si="408"/>
        <v>0</v>
      </c>
      <c r="CL88" s="263">
        <f t="shared" si="409"/>
        <v>0</v>
      </c>
      <c r="CM88" s="263">
        <f t="shared" si="410"/>
        <v>0</v>
      </c>
      <c r="CN88" s="263">
        <f t="shared" si="411"/>
        <v>0</v>
      </c>
      <c r="CO88" s="263">
        <f t="shared" si="412"/>
        <v>0</v>
      </c>
      <c r="CP88" s="263">
        <f t="shared" si="413"/>
        <v>0</v>
      </c>
      <c r="CQ88" s="263">
        <f t="shared" si="414"/>
        <v>0</v>
      </c>
      <c r="CR88" s="263">
        <f t="shared" si="415"/>
        <v>0</v>
      </c>
      <c r="CS88" s="263">
        <f t="shared" si="416"/>
        <v>0</v>
      </c>
      <c r="CT88" s="263">
        <f t="shared" si="417"/>
        <v>0</v>
      </c>
      <c r="CU88" s="263">
        <f t="shared" si="418"/>
        <v>0</v>
      </c>
      <c r="CV88" s="263">
        <f t="shared" si="419"/>
        <v>0</v>
      </c>
      <c r="CW88" s="263">
        <f t="shared" si="420"/>
        <v>0</v>
      </c>
      <c r="CX88" s="263">
        <f t="shared" si="421"/>
        <v>0</v>
      </c>
      <c r="CY88" s="263">
        <f t="shared" si="422"/>
        <v>0</v>
      </c>
      <c r="CZ88" s="263">
        <f t="shared" si="423"/>
        <v>0</v>
      </c>
      <c r="DA88" s="263">
        <f t="shared" si="424"/>
        <v>0</v>
      </c>
      <c r="DB88" s="263">
        <f t="shared" si="425"/>
        <v>0</v>
      </c>
      <c r="DC88" s="263">
        <f t="shared" si="426"/>
        <v>0</v>
      </c>
      <c r="DD88" s="263">
        <f t="shared" si="427"/>
        <v>0</v>
      </c>
      <c r="DE88" s="263">
        <f t="shared" si="428"/>
        <v>0</v>
      </c>
      <c r="DF88" s="263">
        <f t="shared" si="429"/>
        <v>1201052.6299999999</v>
      </c>
      <c r="DG88" s="263">
        <f t="shared" si="430"/>
        <v>0</v>
      </c>
      <c r="DH88" s="263">
        <f t="shared" si="431"/>
        <v>1201052.6299999999</v>
      </c>
      <c r="DI88" s="263">
        <f t="shared" si="432"/>
        <v>1201052.6299999999</v>
      </c>
      <c r="DJ88" s="263">
        <f t="shared" si="433"/>
        <v>0</v>
      </c>
      <c r="DK88" s="263">
        <f t="shared" si="434"/>
        <v>0</v>
      </c>
      <c r="DL88" s="263">
        <f t="shared" si="435"/>
        <v>0</v>
      </c>
      <c r="DM88" s="263">
        <f t="shared" si="436"/>
        <v>0</v>
      </c>
      <c r="DO88" s="264">
        <f t="shared" si="437"/>
        <v>0</v>
      </c>
      <c r="DP88" s="265">
        <f t="shared" si="438"/>
        <v>0</v>
      </c>
      <c r="DQ88" s="264">
        <f t="shared" si="439"/>
        <v>1201052.6299999999</v>
      </c>
      <c r="DR88" s="264">
        <f t="shared" si="440"/>
        <v>0</v>
      </c>
      <c r="DS88" s="265">
        <f t="shared" si="441"/>
        <v>0</v>
      </c>
      <c r="DT88" s="264">
        <f t="shared" si="442"/>
        <v>1201052.6299999999</v>
      </c>
      <c r="DU88" s="264">
        <f t="shared" si="443"/>
        <v>0</v>
      </c>
      <c r="DV88" s="265">
        <f t="shared" si="444"/>
        <v>0</v>
      </c>
      <c r="DW88" s="264">
        <f t="shared" si="445"/>
        <v>1201052.6299999999</v>
      </c>
      <c r="DX88" s="264">
        <f t="shared" si="446"/>
        <v>0</v>
      </c>
      <c r="DY88" s="265">
        <f t="shared" si="447"/>
        <v>0</v>
      </c>
      <c r="DZ88" s="264">
        <f t="shared" si="448"/>
        <v>1201052.6299999999</v>
      </c>
      <c r="EA88" s="264">
        <f t="shared" si="449"/>
        <v>0</v>
      </c>
      <c r="EB88" s="265">
        <f t="shared" si="450"/>
        <v>0</v>
      </c>
      <c r="EC88" s="264">
        <f t="shared" si="451"/>
        <v>1201052.6299999999</v>
      </c>
      <c r="ED88" s="264">
        <f t="shared" si="452"/>
        <v>1201052.6299999999</v>
      </c>
      <c r="EE88" s="265">
        <f t="shared" si="453"/>
        <v>0</v>
      </c>
      <c r="EF88" s="264">
        <f t="shared" si="454"/>
        <v>1201052.6299999999</v>
      </c>
      <c r="EG88" s="264">
        <f t="shared" si="455"/>
        <v>0</v>
      </c>
      <c r="EH88" s="265">
        <f t="shared" si="456"/>
        <v>0</v>
      </c>
      <c r="EI88" s="264">
        <f t="shared" si="457"/>
        <v>1201052.6299999999</v>
      </c>
      <c r="EJ88" s="264">
        <f t="shared" si="458"/>
        <v>0</v>
      </c>
      <c r="EK88" s="265">
        <f t="shared" si="459"/>
        <v>0</v>
      </c>
      <c r="EL88" s="264">
        <f t="shared" si="460"/>
        <v>1201052.6299999999</v>
      </c>
      <c r="EM88" s="264">
        <f t="shared" si="461"/>
        <v>0</v>
      </c>
      <c r="EN88" s="265">
        <f t="shared" si="462"/>
        <v>0</v>
      </c>
      <c r="EO88" s="264">
        <f t="shared" si="463"/>
        <v>1201052.6299999999</v>
      </c>
      <c r="EP88" s="264">
        <f t="shared" si="464"/>
        <v>0</v>
      </c>
      <c r="EQ88" s="265">
        <f t="shared" si="465"/>
        <v>0</v>
      </c>
      <c r="ER88" s="264">
        <f t="shared" si="466"/>
        <v>1201052.6299999999</v>
      </c>
      <c r="ES88" s="264">
        <f t="shared" si="467"/>
        <v>0</v>
      </c>
      <c r="ET88" s="265">
        <f t="shared" si="468"/>
        <v>0</v>
      </c>
      <c r="EU88" s="264">
        <f t="shared" si="469"/>
        <v>1201052.6299999999</v>
      </c>
      <c r="EV88" s="264">
        <f>IF(AND(BM88="Yes",OR(BN88="No",AND(BN88="Yes",Inputs!$J$8=Inputs!$J$17+75))),EU88,0)</f>
        <v>0</v>
      </c>
      <c r="EW88" s="265">
        <f t="shared" si="470"/>
        <v>0</v>
      </c>
      <c r="EX88" s="264">
        <f t="shared" si="471"/>
        <v>1201052.6299999999</v>
      </c>
      <c r="EY88" s="264">
        <f t="shared" si="472"/>
        <v>0</v>
      </c>
      <c r="EZ88" s="265">
        <f t="shared" si="473"/>
        <v>0</v>
      </c>
      <c r="FA88" s="264">
        <f t="shared" si="474"/>
        <v>1201052.6299999999</v>
      </c>
      <c r="FB88" s="264">
        <f t="shared" si="475"/>
        <v>0</v>
      </c>
      <c r="FC88" s="265">
        <f t="shared" si="476"/>
        <v>0</v>
      </c>
      <c r="FD88" s="264">
        <f t="shared" si="477"/>
        <v>1201052.6299999999</v>
      </c>
      <c r="FE88" s="264">
        <f t="shared" si="478"/>
        <v>0</v>
      </c>
      <c r="FF88" s="265">
        <f t="shared" si="479"/>
        <v>0</v>
      </c>
      <c r="FG88" s="264">
        <f t="shared" si="480"/>
        <v>1201052.6299999999</v>
      </c>
      <c r="FH88" s="264">
        <f t="shared" si="481"/>
        <v>1201052.6299999999</v>
      </c>
      <c r="FI88" s="264">
        <f t="shared" si="482"/>
        <v>0</v>
      </c>
      <c r="FJ88" s="264">
        <f t="shared" si="483"/>
        <v>1201052.6299999999</v>
      </c>
      <c r="FK88" s="264">
        <f t="shared" si="484"/>
        <v>1201052.6299999999</v>
      </c>
      <c r="FL88" s="264">
        <f t="shared" si="485"/>
        <v>0</v>
      </c>
      <c r="FM88" s="264">
        <f t="shared" si="486"/>
        <v>1201052.6299999999</v>
      </c>
      <c r="FN88" s="264">
        <f t="shared" si="487"/>
        <v>1201052.6299999999</v>
      </c>
      <c r="FO88" s="264">
        <f t="shared" si="488"/>
        <v>0</v>
      </c>
      <c r="FP88" s="264">
        <f t="shared" si="489"/>
        <v>1201052.6299999999</v>
      </c>
      <c r="FQ88" s="264">
        <f t="shared" si="490"/>
        <v>0</v>
      </c>
      <c r="FR88" s="265">
        <f t="shared" si="491"/>
        <v>0</v>
      </c>
      <c r="FS88" s="264">
        <f t="shared" si="492"/>
        <v>1201052.6299999999</v>
      </c>
      <c r="FT88" s="264">
        <f t="shared" si="493"/>
        <v>0</v>
      </c>
      <c r="FU88" s="265">
        <f t="shared" si="494"/>
        <v>0</v>
      </c>
      <c r="FV88" s="264">
        <f t="shared" si="495"/>
        <v>1201052.6299999999</v>
      </c>
      <c r="FW88" s="264">
        <f t="shared" si="496"/>
        <v>0</v>
      </c>
      <c r="FX88" s="264">
        <f t="shared" si="497"/>
        <v>0</v>
      </c>
      <c r="FY88" s="264">
        <f t="shared" si="498"/>
        <v>0</v>
      </c>
      <c r="FZ88" s="264">
        <f t="shared" si="499"/>
        <v>0</v>
      </c>
      <c r="GA88" s="265">
        <f t="shared" si="500"/>
        <v>0</v>
      </c>
      <c r="GB88" s="264">
        <f t="shared" si="501"/>
        <v>1201052.6299999999</v>
      </c>
      <c r="GC88" s="264">
        <f t="shared" si="502"/>
        <v>1201052.6299999999</v>
      </c>
      <c r="GD88" s="266">
        <f t="shared" si="503"/>
        <v>870763.15674999985</v>
      </c>
      <c r="GE88" s="138">
        <f t="shared" si="504"/>
        <v>0.72499999999999998</v>
      </c>
      <c r="GF88" s="267">
        <f t="shared" si="505"/>
        <v>47</v>
      </c>
      <c r="GG88" s="264">
        <f t="array" ref="GG88">IF(SUM(IF(IC$9:IC87=IC88,1,0))&gt;0,0,SUMIF($IC$10:$IC$406,IC88,$FJ$10:$FJ$406))</f>
        <v>5043516.63</v>
      </c>
      <c r="GH88" s="268">
        <f t="shared" si="506"/>
        <v>5043516.63</v>
      </c>
      <c r="GI88" s="137">
        <f t="shared" si="126"/>
        <v>79</v>
      </c>
      <c r="GJ88" s="269">
        <f t="shared" si="507"/>
        <v>0</v>
      </c>
      <c r="GK88" s="269">
        <f t="shared" si="508"/>
        <v>0</v>
      </c>
      <c r="GL88" s="163">
        <f t="shared" si="509"/>
        <v>0</v>
      </c>
      <c r="GM88" s="137">
        <f t="array" ref="GM88">IF(GJ88=0,0,LARGE(IF($GG$10:$GG$406=GJ88,$GF$10:$GF$406,0),COUNTIF($GJ$10:$GJ$406,GJ88)-COUNTIF(GJ$9:GJ87,GJ88)))</f>
        <v>0</v>
      </c>
      <c r="GN88" s="270">
        <f t="shared" si="510"/>
        <v>0</v>
      </c>
      <c r="GP88" s="137">
        <f>IF(C88="","",IF(ISERROR(MATCH(C88,C$10:C87,0)),MAX(GP$10:GP87)+1,INDEX(GP$10:GP87,MATCH(C88,C$10:C87,0))))</f>
        <v>64</v>
      </c>
      <c r="GQ88" s="264">
        <f>IF(COUNTIF($A$10:A88,A88)&lt;=1,SUMIF($A$10:$A$406,A88,$FH$10:$FH$406),0)</f>
        <v>5043516.63</v>
      </c>
      <c r="GR88" s="137">
        <f t="shared" si="130"/>
        <v>79</v>
      </c>
      <c r="GS88" s="269">
        <f t="shared" si="554"/>
        <v>2645556.4700000002</v>
      </c>
      <c r="GT88" s="269">
        <f t="shared" si="555"/>
        <v>50964284.172430128</v>
      </c>
      <c r="GU88" s="163">
        <f t="shared" si="556"/>
        <v>0</v>
      </c>
      <c r="GV88" s="137">
        <f t="array" ref="GV88">IF(GS88=0,0,LARGE(IF($GQ$10:$GQ$406=GS88,$GP$10:$GP$406,0),COUNTIF($GS$10:$GS$406,GS88)-COUNTIF(GS$9:GS87,GS88)))</f>
        <v>61</v>
      </c>
      <c r="GW88" s="270">
        <f t="shared" si="557"/>
        <v>0</v>
      </c>
      <c r="GX88" s="270"/>
      <c r="GY88" s="137">
        <f>IF(C88="","",IF(ISERROR(MATCH(C88,C$10:C87,0)),MAX(GP$10:GP87)+1,INDEX(GP$10:GP87,MATCH(C88,C$10:C87,0))))</f>
        <v>64</v>
      </c>
      <c r="GZ88" s="264">
        <f>IF(COUNTIF($A$10:A88,A88)&lt;=1,SUMIF($A$10:$A$406,A88,$FH$10:$FH$406),0)</f>
        <v>5043516.63</v>
      </c>
      <c r="HA88" s="137">
        <f t="shared" si="134"/>
        <v>79</v>
      </c>
      <c r="HB88" s="269">
        <f t="shared" si="515"/>
        <v>2645556.4700000002</v>
      </c>
      <c r="HC88" s="414" t="s">
        <v>622</v>
      </c>
      <c r="HD88" s="163">
        <f t="shared" si="516"/>
        <v>0</v>
      </c>
      <c r="HE88" s="137">
        <f t="array" ref="HE88">IF(HB88=0,0,LARGE(IF($GZ$10:$GZ$406=HB88,$GY$10:$GY$406,0),COUNTIF($HB$10:$HB$406,HB88)-COUNTIF(HB$9:HB87,HB88)))</f>
        <v>61</v>
      </c>
      <c r="HF88" s="270">
        <f t="shared" si="517"/>
        <v>0</v>
      </c>
      <c r="HG88" s="270"/>
      <c r="HH88" s="268">
        <f t="shared" si="518"/>
        <v>0</v>
      </c>
      <c r="HI88" s="271">
        <v>0</v>
      </c>
      <c r="HJ88" s="264">
        <f t="shared" si="519"/>
        <v>0</v>
      </c>
      <c r="HL88" s="137">
        <f t="shared" si="520"/>
        <v>79</v>
      </c>
      <c r="HM88" s="264">
        <f t="shared" si="521"/>
        <v>0</v>
      </c>
      <c r="HN88"/>
      <c r="HO88" s="199">
        <f t="shared" si="522"/>
        <v>1201052.6299999999</v>
      </c>
      <c r="HP88" s="199">
        <f t="shared" si="523"/>
        <v>1201052.6299999999</v>
      </c>
      <c r="HQ88" s="199" t="str">
        <f t="shared" si="524"/>
        <v/>
      </c>
      <c r="HR88" s="199" t="str">
        <f t="shared" si="525"/>
        <v/>
      </c>
      <c r="HS88" s="199" t="str">
        <f t="shared" si="539"/>
        <v/>
      </c>
      <c r="HT88" s="199" t="str">
        <f t="shared" si="526"/>
        <v/>
      </c>
      <c r="HU88" s="199" t="str">
        <f t="shared" si="527"/>
        <v/>
      </c>
      <c r="HV88" s="200">
        <f t="shared" si="528"/>
        <v>0</v>
      </c>
      <c r="HW88" s="272">
        <f t="shared" si="540"/>
        <v>1</v>
      </c>
      <c r="HX88" s="200" t="str">
        <f t="shared" si="529"/>
        <v/>
      </c>
      <c r="HY88" s="200">
        <f t="shared" si="530"/>
        <v>0</v>
      </c>
      <c r="HZ88" s="200" t="str">
        <f t="shared" si="535"/>
        <v/>
      </c>
      <c r="IA88" s="200" t="str">
        <f t="shared" si="531"/>
        <v/>
      </c>
      <c r="IB88" s="200" t="str">
        <f t="shared" si="532"/>
        <v/>
      </c>
      <c r="IC88" s="273">
        <f>IF(C88="","",INDEX(Lookups!$E$2:$E$69,MATCH('Loan List'!BE88,Lookups!$F$2:$F$69,0)))</f>
        <v>47</v>
      </c>
      <c r="ID88" t="b">
        <f t="shared" si="533"/>
        <v>1</v>
      </c>
      <c r="IF88" s="346"/>
    </row>
    <row r="89" spans="1:240" ht="15" customHeight="1">
      <c r="A89" t="s">
        <v>590</v>
      </c>
      <c r="B89" s="242">
        <f t="shared" si="541"/>
        <v>80</v>
      </c>
      <c r="C89" s="242">
        <f>IF(COUNTIF($A$10:A88,A89)&gt;0,C88,C88+1)</f>
        <v>64</v>
      </c>
      <c r="D89" s="431" t="s">
        <v>759</v>
      </c>
      <c r="E89" s="428" t="s">
        <v>586</v>
      </c>
      <c r="F89" s="429"/>
      <c r="G89" s="430">
        <v>3842464</v>
      </c>
      <c r="H89" s="430">
        <v>3842464</v>
      </c>
      <c r="I89" s="244">
        <f>IF(B89="","",VLOOKUP(BF89,Inputs!$A$12:$J$15,10,FALSE))</f>
        <v>1</v>
      </c>
      <c r="J89" s="245">
        <f t="shared" si="542"/>
        <v>3842464</v>
      </c>
      <c r="K89" s="245">
        <f t="shared" si="543"/>
        <v>3842464</v>
      </c>
      <c r="L89" s="245">
        <f t="shared" si="544"/>
        <v>3842464</v>
      </c>
      <c r="M89" s="245">
        <f t="shared" si="545"/>
        <v>3842464</v>
      </c>
      <c r="N89" s="246" t="s">
        <v>246</v>
      </c>
      <c r="O89" s="246" t="s">
        <v>245</v>
      </c>
      <c r="P89" s="247">
        <f>IF(B89="","",IF(OR(O89="N/A",O89=""),0,YEARFRAC('Borrowing Base'!$J$4,'Loan List'!O89)*12))</f>
        <v>0</v>
      </c>
      <c r="Q89" s="246" t="s">
        <v>246</v>
      </c>
      <c r="R89" s="275">
        <v>0.98499999999999999</v>
      </c>
      <c r="S89" s="249" t="str">
        <f t="shared" si="546"/>
        <v>No</v>
      </c>
      <c r="T89" s="275">
        <v>0.99749999298531999</v>
      </c>
      <c r="U89" s="250">
        <f t="shared" si="547"/>
        <v>0.5</v>
      </c>
      <c r="V89" s="250">
        <f t="shared" si="548"/>
        <v>0.72499999999999998</v>
      </c>
      <c r="W89" s="251">
        <f t="shared" si="385"/>
        <v>3842464</v>
      </c>
      <c r="X89" s="246" t="s">
        <v>246</v>
      </c>
      <c r="Y89" s="252" t="s">
        <v>483</v>
      </c>
      <c r="Z89" s="252" t="s">
        <v>514</v>
      </c>
      <c r="AA89" s="253" t="s">
        <v>407</v>
      </c>
      <c r="AB89" s="253" t="s">
        <v>713</v>
      </c>
      <c r="AC89" s="254">
        <v>1.4176165927273574</v>
      </c>
      <c r="AD89" s="254">
        <v>1.2328349533405862</v>
      </c>
      <c r="AE89" s="254">
        <v>2.1303325227074676</v>
      </c>
      <c r="AF89" s="254">
        <v>0.4745062836624776</v>
      </c>
      <c r="AG89" s="256">
        <v>3.620213265669233</v>
      </c>
      <c r="AH89" s="256">
        <v>3.620213265669233</v>
      </c>
      <c r="AI89" s="256">
        <v>3.620213265669233</v>
      </c>
      <c r="AJ89" s="256">
        <v>3.620213265669233</v>
      </c>
      <c r="AK89" s="257">
        <v>66455327.999999993</v>
      </c>
      <c r="AL89" s="257">
        <v>66455327.999999993</v>
      </c>
      <c r="AM89" s="258">
        <v>45838</v>
      </c>
      <c r="AN89" s="245" t="str">
        <f t="shared" si="549"/>
        <v>Tier 1</v>
      </c>
      <c r="AO89" s="243">
        <v>47868</v>
      </c>
      <c r="AP89" s="259">
        <f>IF(C89="","",DAYS360(Inputs!$J$8,AO89)/360)</f>
        <v>5.4055555555555559</v>
      </c>
      <c r="AQ89" s="259">
        <f t="shared" si="550"/>
        <v>5.4055555555555559</v>
      </c>
      <c r="AR89" s="246" t="s">
        <v>246</v>
      </c>
      <c r="AS89" s="276">
        <v>0</v>
      </c>
      <c r="AT89" s="246" t="s">
        <v>246</v>
      </c>
      <c r="AU89" s="248" t="s">
        <v>487</v>
      </c>
      <c r="AV89" s="248">
        <v>0</v>
      </c>
      <c r="AW89" s="248">
        <v>0</v>
      </c>
      <c r="AX89" s="260">
        <f t="shared" si="551"/>
        <v>0</v>
      </c>
      <c r="AY89" s="248">
        <v>0</v>
      </c>
      <c r="AZ89" s="248">
        <v>0</v>
      </c>
      <c r="BA89" s="248">
        <v>0</v>
      </c>
      <c r="BB89" s="407">
        <f t="shared" si="536"/>
        <v>0</v>
      </c>
      <c r="BC89" s="407" t="str">
        <f t="shared" si="537"/>
        <v/>
      </c>
      <c r="BD89" s="252" t="s">
        <v>247</v>
      </c>
      <c r="BE89" s="261" t="s">
        <v>439</v>
      </c>
      <c r="BF89" s="252" t="s">
        <v>7</v>
      </c>
      <c r="BG89" s="252" t="s">
        <v>460</v>
      </c>
      <c r="BH89" s="246" t="s">
        <v>246</v>
      </c>
      <c r="BI89" s="408" t="str">
        <f t="shared" si="534"/>
        <v>No</v>
      </c>
      <c r="BJ89" s="408" t="str">
        <f t="shared" si="538"/>
        <v>No</v>
      </c>
      <c r="BK89" s="246" t="s">
        <v>246</v>
      </c>
      <c r="BL89" s="246" t="s">
        <v>246</v>
      </c>
      <c r="BM89" s="246" t="s">
        <v>64</v>
      </c>
      <c r="BN89" s="246" t="s">
        <v>64</v>
      </c>
      <c r="BO89" s="246" t="s">
        <v>246</v>
      </c>
      <c r="BP89" s="246" t="s">
        <v>246</v>
      </c>
      <c r="BQ89" s="246" t="s">
        <v>246</v>
      </c>
      <c r="BR89" s="246" t="s">
        <v>246</v>
      </c>
      <c r="BS89" s="246" t="s">
        <v>246</v>
      </c>
      <c r="BT89" s="246" t="s">
        <v>246</v>
      </c>
      <c r="BU89" s="246" t="s">
        <v>246</v>
      </c>
      <c r="BV89" s="246" t="s">
        <v>246</v>
      </c>
      <c r="BW89" s="246" t="s">
        <v>246</v>
      </c>
      <c r="BX89" s="246" t="s">
        <v>246</v>
      </c>
      <c r="BY89" s="246" t="s">
        <v>246</v>
      </c>
      <c r="BZ89" s="246" t="s">
        <v>246</v>
      </c>
      <c r="CA89" s="246" t="s">
        <v>246</v>
      </c>
      <c r="CB89" s="246" t="s">
        <v>64</v>
      </c>
      <c r="CC89" s="262">
        <f t="shared" si="552"/>
        <v>-166080.51599360001</v>
      </c>
      <c r="CD89" s="262">
        <f t="shared" si="553"/>
        <v>0</v>
      </c>
      <c r="CE89" s="263"/>
      <c r="CF89" s="263">
        <f t="shared" si="403"/>
        <v>0</v>
      </c>
      <c r="CG89" s="263">
        <f t="shared" si="404"/>
        <v>0</v>
      </c>
      <c r="CH89" s="263">
        <f t="shared" si="405"/>
        <v>0</v>
      </c>
      <c r="CI89" s="263">
        <f t="shared" si="406"/>
        <v>0</v>
      </c>
      <c r="CJ89" s="263">
        <f t="shared" si="407"/>
        <v>0</v>
      </c>
      <c r="CK89" s="263">
        <f t="shared" si="408"/>
        <v>0</v>
      </c>
      <c r="CL89" s="263">
        <f t="shared" si="409"/>
        <v>0</v>
      </c>
      <c r="CM89" s="263">
        <f t="shared" si="410"/>
        <v>0</v>
      </c>
      <c r="CN89" s="263">
        <f t="shared" si="411"/>
        <v>0</v>
      </c>
      <c r="CO89" s="263">
        <f t="shared" si="412"/>
        <v>0</v>
      </c>
      <c r="CP89" s="263">
        <f t="shared" si="413"/>
        <v>0</v>
      </c>
      <c r="CQ89" s="263">
        <f t="shared" si="414"/>
        <v>0</v>
      </c>
      <c r="CR89" s="263">
        <f t="shared" si="415"/>
        <v>0</v>
      </c>
      <c r="CS89" s="263">
        <f t="shared" si="416"/>
        <v>0</v>
      </c>
      <c r="CT89" s="263">
        <f t="shared" si="417"/>
        <v>0</v>
      </c>
      <c r="CU89" s="263">
        <f t="shared" si="418"/>
        <v>0</v>
      </c>
      <c r="CV89" s="263">
        <f t="shared" si="419"/>
        <v>0</v>
      </c>
      <c r="CW89" s="263">
        <f t="shared" si="420"/>
        <v>0</v>
      </c>
      <c r="CX89" s="263">
        <f t="shared" si="421"/>
        <v>0</v>
      </c>
      <c r="CY89" s="263">
        <f t="shared" si="422"/>
        <v>0</v>
      </c>
      <c r="CZ89" s="263">
        <f t="shared" si="423"/>
        <v>0</v>
      </c>
      <c r="DA89" s="263">
        <f t="shared" si="424"/>
        <v>0</v>
      </c>
      <c r="DB89" s="263">
        <f t="shared" si="425"/>
        <v>0</v>
      </c>
      <c r="DC89" s="263">
        <f t="shared" si="426"/>
        <v>0</v>
      </c>
      <c r="DD89" s="263">
        <f t="shared" si="427"/>
        <v>0</v>
      </c>
      <c r="DE89" s="263">
        <f t="shared" si="428"/>
        <v>0</v>
      </c>
      <c r="DF89" s="263">
        <f t="shared" si="429"/>
        <v>3842464</v>
      </c>
      <c r="DG89" s="263">
        <f t="shared" si="430"/>
        <v>0</v>
      </c>
      <c r="DH89" s="263">
        <f t="shared" si="431"/>
        <v>3842464</v>
      </c>
      <c r="DI89" s="263">
        <f t="shared" si="432"/>
        <v>3842464</v>
      </c>
      <c r="DJ89" s="263">
        <f t="shared" si="433"/>
        <v>0</v>
      </c>
      <c r="DK89" s="263">
        <f t="shared" si="434"/>
        <v>0</v>
      </c>
      <c r="DL89" s="263">
        <f t="shared" si="435"/>
        <v>0</v>
      </c>
      <c r="DM89" s="263">
        <f t="shared" si="436"/>
        <v>0</v>
      </c>
      <c r="DO89" s="264">
        <f t="shared" si="437"/>
        <v>0</v>
      </c>
      <c r="DP89" s="265">
        <f t="shared" si="438"/>
        <v>0</v>
      </c>
      <c r="DQ89" s="264">
        <f t="shared" si="439"/>
        <v>3842464</v>
      </c>
      <c r="DR89" s="264">
        <f t="shared" si="440"/>
        <v>0</v>
      </c>
      <c r="DS89" s="265">
        <f t="shared" si="441"/>
        <v>0</v>
      </c>
      <c r="DT89" s="264">
        <f t="shared" si="442"/>
        <v>3842464</v>
      </c>
      <c r="DU89" s="264">
        <f t="shared" si="443"/>
        <v>0</v>
      </c>
      <c r="DV89" s="265">
        <f t="shared" si="444"/>
        <v>0</v>
      </c>
      <c r="DW89" s="264">
        <f t="shared" si="445"/>
        <v>3842464</v>
      </c>
      <c r="DX89" s="264">
        <f t="shared" si="446"/>
        <v>0</v>
      </c>
      <c r="DY89" s="265">
        <f t="shared" si="447"/>
        <v>0</v>
      </c>
      <c r="DZ89" s="264">
        <f t="shared" si="448"/>
        <v>3842464</v>
      </c>
      <c r="EA89" s="264">
        <f t="shared" si="449"/>
        <v>0</v>
      </c>
      <c r="EB89" s="265">
        <f t="shared" si="450"/>
        <v>0</v>
      </c>
      <c r="EC89" s="264">
        <f t="shared" si="451"/>
        <v>3842464</v>
      </c>
      <c r="ED89" s="264">
        <f t="shared" si="452"/>
        <v>3842464</v>
      </c>
      <c r="EE89" s="265">
        <f t="shared" si="453"/>
        <v>0</v>
      </c>
      <c r="EF89" s="264">
        <f t="shared" si="454"/>
        <v>3842464</v>
      </c>
      <c r="EG89" s="264">
        <f t="shared" si="455"/>
        <v>0</v>
      </c>
      <c r="EH89" s="265">
        <f t="shared" si="456"/>
        <v>0</v>
      </c>
      <c r="EI89" s="264">
        <f t="shared" si="457"/>
        <v>3842464</v>
      </c>
      <c r="EJ89" s="264">
        <f t="shared" si="458"/>
        <v>0</v>
      </c>
      <c r="EK89" s="265">
        <f t="shared" si="459"/>
        <v>0</v>
      </c>
      <c r="EL89" s="264">
        <f t="shared" si="460"/>
        <v>3842464</v>
      </c>
      <c r="EM89" s="264">
        <f t="shared" si="461"/>
        <v>0</v>
      </c>
      <c r="EN89" s="265">
        <f t="shared" si="462"/>
        <v>0</v>
      </c>
      <c r="EO89" s="264">
        <f t="shared" si="463"/>
        <v>3842464</v>
      </c>
      <c r="EP89" s="264">
        <f t="shared" si="464"/>
        <v>0</v>
      </c>
      <c r="EQ89" s="265">
        <f t="shared" si="465"/>
        <v>0</v>
      </c>
      <c r="ER89" s="264">
        <f t="shared" si="466"/>
        <v>3842464</v>
      </c>
      <c r="ES89" s="264">
        <f t="shared" si="467"/>
        <v>0</v>
      </c>
      <c r="ET89" s="265">
        <f t="shared" si="468"/>
        <v>0</v>
      </c>
      <c r="EU89" s="264">
        <f t="shared" si="469"/>
        <v>3842464</v>
      </c>
      <c r="EV89" s="264">
        <f>IF(AND(BM89="Yes",OR(BN89="No",AND(BN89="Yes",Inputs!$J$8=Inputs!$J$17+75))),EU89,0)</f>
        <v>0</v>
      </c>
      <c r="EW89" s="265">
        <f t="shared" si="470"/>
        <v>0</v>
      </c>
      <c r="EX89" s="264">
        <f t="shared" si="471"/>
        <v>3842464</v>
      </c>
      <c r="EY89" s="264">
        <f t="shared" si="472"/>
        <v>0</v>
      </c>
      <c r="EZ89" s="265">
        <f t="shared" si="473"/>
        <v>0</v>
      </c>
      <c r="FA89" s="264">
        <f t="shared" si="474"/>
        <v>3842464</v>
      </c>
      <c r="FB89" s="264">
        <f t="shared" si="475"/>
        <v>0</v>
      </c>
      <c r="FC89" s="265">
        <f t="shared" si="476"/>
        <v>0</v>
      </c>
      <c r="FD89" s="264">
        <f t="shared" si="477"/>
        <v>3842464</v>
      </c>
      <c r="FE89" s="264">
        <f t="shared" si="478"/>
        <v>0</v>
      </c>
      <c r="FF89" s="265">
        <f t="shared" si="479"/>
        <v>0</v>
      </c>
      <c r="FG89" s="264">
        <f t="shared" si="480"/>
        <v>3842464</v>
      </c>
      <c r="FH89" s="264">
        <f t="shared" si="481"/>
        <v>3842464</v>
      </c>
      <c r="FI89" s="264">
        <f t="shared" si="482"/>
        <v>0</v>
      </c>
      <c r="FJ89" s="264">
        <f t="shared" si="483"/>
        <v>3842464</v>
      </c>
      <c r="FK89" s="264">
        <f t="shared" si="484"/>
        <v>3842464</v>
      </c>
      <c r="FL89" s="264">
        <f t="shared" si="485"/>
        <v>0</v>
      </c>
      <c r="FM89" s="264">
        <f t="shared" si="486"/>
        <v>3842464</v>
      </c>
      <c r="FN89" s="264">
        <f t="shared" si="487"/>
        <v>3842464</v>
      </c>
      <c r="FO89" s="264">
        <f t="shared" si="488"/>
        <v>0</v>
      </c>
      <c r="FP89" s="264">
        <f t="shared" si="489"/>
        <v>3842464</v>
      </c>
      <c r="FQ89" s="264">
        <f t="shared" si="490"/>
        <v>0</v>
      </c>
      <c r="FR89" s="265">
        <f t="shared" si="491"/>
        <v>0</v>
      </c>
      <c r="FS89" s="264">
        <f t="shared" si="492"/>
        <v>3842464</v>
      </c>
      <c r="FT89" s="264">
        <f t="shared" si="493"/>
        <v>0</v>
      </c>
      <c r="FU89" s="265">
        <f t="shared" si="494"/>
        <v>0</v>
      </c>
      <c r="FV89" s="264">
        <f t="shared" si="495"/>
        <v>3842464</v>
      </c>
      <c r="FW89" s="264">
        <f t="shared" si="496"/>
        <v>0</v>
      </c>
      <c r="FX89" s="264">
        <f t="shared" si="497"/>
        <v>0</v>
      </c>
      <c r="FY89" s="264">
        <f t="shared" si="498"/>
        <v>0</v>
      </c>
      <c r="FZ89" s="264">
        <f t="shared" si="499"/>
        <v>0</v>
      </c>
      <c r="GA89" s="265">
        <f t="shared" si="500"/>
        <v>0</v>
      </c>
      <c r="GB89" s="264">
        <f t="shared" si="501"/>
        <v>3842464</v>
      </c>
      <c r="GC89" s="264">
        <f t="shared" si="502"/>
        <v>3842464</v>
      </c>
      <c r="GD89" s="266">
        <f t="shared" si="503"/>
        <v>2785786.4</v>
      </c>
      <c r="GE89" s="138">
        <f t="shared" si="504"/>
        <v>0.72499999999999998</v>
      </c>
      <c r="GF89" s="267">
        <f t="shared" si="505"/>
        <v>47</v>
      </c>
      <c r="GG89" s="264">
        <f t="array" ref="GG89">IF(SUM(IF(IC$9:IC88=IC89,1,0))&gt;0,0,SUMIF($IC$10:$IC$406,IC89,$FJ$10:$FJ$406))</f>
        <v>0</v>
      </c>
      <c r="GH89" s="268">
        <f t="shared" si="506"/>
        <v>0</v>
      </c>
      <c r="GI89" s="137">
        <f t="shared" si="126"/>
        <v>80</v>
      </c>
      <c r="GJ89" s="269">
        <f t="shared" si="507"/>
        <v>0</v>
      </c>
      <c r="GK89" s="269">
        <f t="shared" si="508"/>
        <v>0</v>
      </c>
      <c r="GL89" s="163">
        <f t="shared" si="509"/>
        <v>0</v>
      </c>
      <c r="GM89" s="137">
        <f t="array" ref="GM89">IF(GJ89=0,0,LARGE(IF($GG$10:$GG$406=GJ89,$GF$10:$GF$406,0),COUNTIF($GJ$10:$GJ$406,GJ89)-COUNTIF(GJ$9:GJ88,GJ89)))</f>
        <v>0</v>
      </c>
      <c r="GN89" s="270">
        <f t="shared" si="510"/>
        <v>0</v>
      </c>
      <c r="GP89" s="137">
        <f>IF(C89="","",IF(ISERROR(MATCH(C89,C$10:C88,0)),MAX(GP$10:GP88)+1,INDEX(GP$10:GP88,MATCH(C89,C$10:C88,0))))</f>
        <v>64</v>
      </c>
      <c r="GQ89" s="264">
        <f>IF(COUNTIF($A$10:A89,A89)&lt;=1,SUMIF($A$10:$A$406,A89,$FH$10:$FH$406),0)</f>
        <v>0</v>
      </c>
      <c r="GR89" s="137">
        <f t="shared" si="130"/>
        <v>80</v>
      </c>
      <c r="GS89" s="269">
        <f t="shared" si="554"/>
        <v>2621867</v>
      </c>
      <c r="GT89" s="269">
        <f t="shared" si="555"/>
        <v>50964284.172430128</v>
      </c>
      <c r="GU89" s="163">
        <f t="shared" si="556"/>
        <v>0</v>
      </c>
      <c r="GV89" s="137">
        <f t="array" ref="GV89">IF(GS89=0,0,LARGE(IF($GQ$10:$GQ$406=GS89,$GP$10:$GP$406,0),COUNTIF($GS$10:$GS$406,GS89)-COUNTIF(GS$9:GS88,GS89)))</f>
        <v>96</v>
      </c>
      <c r="GW89" s="270">
        <f t="shared" si="557"/>
        <v>0</v>
      </c>
      <c r="GX89" s="270"/>
      <c r="GY89" s="137">
        <f>IF(C89="","",IF(ISERROR(MATCH(C89,C$10:C88,0)),MAX(GP$10:GP88)+1,INDEX(GP$10:GP88,MATCH(C89,C$10:C88,0))))</f>
        <v>64</v>
      </c>
      <c r="GZ89" s="264">
        <f>IF(COUNTIF($A$10:A89,A89)&lt;=1,SUMIF($A$10:$A$406,A89,$FH$10:$FH$406),0)</f>
        <v>0</v>
      </c>
      <c r="HA89" s="137">
        <f t="shared" si="134"/>
        <v>80</v>
      </c>
      <c r="HB89" s="269">
        <f t="shared" si="515"/>
        <v>2621867</v>
      </c>
      <c r="HC89" s="414" t="s">
        <v>622</v>
      </c>
      <c r="HD89" s="163">
        <f t="shared" si="516"/>
        <v>0</v>
      </c>
      <c r="HE89" s="137">
        <f t="array" ref="HE89">IF(HB89=0,0,LARGE(IF($GZ$10:$GZ$406=HB89,$GY$10:$GY$406,0),COUNTIF($HB$10:$HB$406,HB89)-COUNTIF(HB$9:HB88,HB89)))</f>
        <v>96</v>
      </c>
      <c r="HF89" s="270">
        <f t="shared" si="517"/>
        <v>0</v>
      </c>
      <c r="HG89" s="270"/>
      <c r="HH89" s="268">
        <f t="shared" si="518"/>
        <v>0</v>
      </c>
      <c r="HI89" s="271">
        <v>0</v>
      </c>
      <c r="HJ89" s="264">
        <f t="shared" si="519"/>
        <v>0</v>
      </c>
      <c r="HL89" s="137">
        <f t="shared" si="520"/>
        <v>80</v>
      </c>
      <c r="HM89" s="264">
        <f t="shared" si="521"/>
        <v>12088121.479999999</v>
      </c>
      <c r="HN89"/>
      <c r="HO89" s="199">
        <f t="shared" si="522"/>
        <v>3842464</v>
      </c>
      <c r="HP89" s="199">
        <f t="shared" si="523"/>
        <v>3842464</v>
      </c>
      <c r="HQ89" s="199" t="str">
        <f t="shared" si="524"/>
        <v/>
      </c>
      <c r="HR89" s="199" t="str">
        <f t="shared" si="525"/>
        <v/>
      </c>
      <c r="HS89" s="199" t="str">
        <f t="shared" si="539"/>
        <v/>
      </c>
      <c r="HT89" s="199" t="str">
        <f t="shared" si="526"/>
        <v/>
      </c>
      <c r="HU89" s="199" t="str">
        <f t="shared" si="527"/>
        <v/>
      </c>
      <c r="HV89" s="200">
        <f t="shared" si="528"/>
        <v>0</v>
      </c>
      <c r="HW89" s="272">
        <f t="shared" si="540"/>
        <v>1</v>
      </c>
      <c r="HX89" s="200" t="str">
        <f t="shared" si="529"/>
        <v/>
      </c>
      <c r="HY89" s="200">
        <f t="shared" si="530"/>
        <v>0</v>
      </c>
      <c r="HZ89" s="200" t="str">
        <f t="shared" si="535"/>
        <v/>
      </c>
      <c r="IA89" s="200" t="str">
        <f t="shared" si="531"/>
        <v/>
      </c>
      <c r="IB89" s="200" t="str">
        <f t="shared" si="532"/>
        <v/>
      </c>
      <c r="IC89" s="273">
        <f>IF(C89="","",INDEX(Lookups!$E$2:$E$69,MATCH('Loan List'!BE89,Lookups!$F$2:$F$69,0)))</f>
        <v>47</v>
      </c>
      <c r="ID89" t="b">
        <f t="shared" si="533"/>
        <v>1</v>
      </c>
      <c r="IF89" s="346"/>
    </row>
    <row r="90" spans="1:240" ht="15" customHeight="1">
      <c r="A90" t="s">
        <v>535</v>
      </c>
      <c r="B90" s="242">
        <f t="shared" si="541"/>
        <v>81</v>
      </c>
      <c r="C90" s="242">
        <f>IF(COUNTIF($A$10:A89,A90)&gt;0,C89,C89+1)</f>
        <v>65</v>
      </c>
      <c r="D90" s="428" t="s">
        <v>535</v>
      </c>
      <c r="E90" s="428" t="s">
        <v>531</v>
      </c>
      <c r="F90" s="429"/>
      <c r="G90" s="430">
        <v>4310149.25</v>
      </c>
      <c r="H90" s="430">
        <v>4310149.25</v>
      </c>
      <c r="I90" s="244">
        <f>IF(B90="","",VLOOKUP(BF90,Inputs!$A$12:$J$15,10,FALSE))</f>
        <v>1</v>
      </c>
      <c r="J90" s="245">
        <f t="shared" si="542"/>
        <v>4310149.25</v>
      </c>
      <c r="K90" s="245">
        <f t="shared" si="543"/>
        <v>4310149.25</v>
      </c>
      <c r="L90" s="245">
        <f t="shared" si="544"/>
        <v>4310149.25</v>
      </c>
      <c r="M90" s="245">
        <f t="shared" si="545"/>
        <v>4310149.25</v>
      </c>
      <c r="N90" s="246" t="s">
        <v>246</v>
      </c>
      <c r="O90" s="246" t="s">
        <v>245</v>
      </c>
      <c r="P90" s="247">
        <f>IF(B90="","",IF(OR(O90="N/A",O90=""),0,YEARFRAC('Borrowing Base'!$J$4,'Loan List'!O90)*12))</f>
        <v>0</v>
      </c>
      <c r="Q90" s="246" t="s">
        <v>246</v>
      </c>
      <c r="R90" s="275">
        <v>0.97999999999999987</v>
      </c>
      <c r="S90" s="249" t="str">
        <f t="shared" si="546"/>
        <v>No</v>
      </c>
      <c r="T90" s="275">
        <v>0.95000000058002632</v>
      </c>
      <c r="U90" s="250">
        <f t="shared" si="547"/>
        <v>0.5</v>
      </c>
      <c r="V90" s="250">
        <f t="shared" si="548"/>
        <v>0.72499999999999998</v>
      </c>
      <c r="W90" s="251">
        <f t="shared" si="385"/>
        <v>2155074.625</v>
      </c>
      <c r="X90" s="246" t="s">
        <v>246</v>
      </c>
      <c r="Y90" s="252" t="s">
        <v>483</v>
      </c>
      <c r="Z90" s="252" t="s">
        <v>484</v>
      </c>
      <c r="AA90" s="253" t="s">
        <v>407</v>
      </c>
      <c r="AB90" s="253" t="s">
        <v>713</v>
      </c>
      <c r="AC90" s="254">
        <v>1.8</v>
      </c>
      <c r="AD90" s="254">
        <v>0.88999741647359876</v>
      </c>
      <c r="AE90" s="254">
        <v>1.119412288487392</v>
      </c>
      <c r="AF90" s="254">
        <v>0.48759999999999998</v>
      </c>
      <c r="AG90" s="256">
        <v>5.3410697017034892</v>
      </c>
      <c r="AH90" s="256">
        <v>5.3410697017034892</v>
      </c>
      <c r="AI90" s="256">
        <v>8.8207241286138895</v>
      </c>
      <c r="AJ90" s="256">
        <v>8.8207241286138895</v>
      </c>
      <c r="AK90" s="257">
        <v>13443000</v>
      </c>
      <c r="AL90" s="257">
        <v>7402000</v>
      </c>
      <c r="AM90" s="258">
        <v>45838</v>
      </c>
      <c r="AN90" s="245" t="str">
        <f t="shared" si="549"/>
        <v>Tier 2</v>
      </c>
      <c r="AO90" s="243">
        <v>46701</v>
      </c>
      <c r="AP90" s="259">
        <f>IF(C90="","",DAYS360(Inputs!$J$8,AO90)/360)</f>
        <v>2.2111111111111112</v>
      </c>
      <c r="AQ90" s="259">
        <f t="shared" si="550"/>
        <v>2.2111111111111112</v>
      </c>
      <c r="AR90" s="246" t="s">
        <v>246</v>
      </c>
      <c r="AS90" s="276">
        <v>0</v>
      </c>
      <c r="AT90" s="246" t="s">
        <v>64</v>
      </c>
      <c r="AU90" s="248">
        <v>0.01</v>
      </c>
      <c r="AV90" s="248">
        <v>6.1499999999999999E-2</v>
      </c>
      <c r="AW90" s="248">
        <v>4.2956000000000008E-2</v>
      </c>
      <c r="AX90" s="260">
        <f t="shared" si="551"/>
        <v>4.2956000000000008E-2</v>
      </c>
      <c r="AY90" s="248">
        <v>0</v>
      </c>
      <c r="AZ90" s="248">
        <v>0</v>
      </c>
      <c r="BA90" s="248">
        <v>0</v>
      </c>
      <c r="BB90" s="407">
        <f t="shared" si="536"/>
        <v>6.1499999999999999E-2</v>
      </c>
      <c r="BC90" s="407" t="str">
        <f t="shared" si="537"/>
        <v/>
      </c>
      <c r="BD90" s="252" t="s">
        <v>247</v>
      </c>
      <c r="BE90" s="261" t="s">
        <v>451</v>
      </c>
      <c r="BF90" s="252" t="s">
        <v>7</v>
      </c>
      <c r="BG90" s="252" t="s">
        <v>460</v>
      </c>
      <c r="BH90" s="246" t="s">
        <v>246</v>
      </c>
      <c r="BI90" s="408" t="str">
        <f t="shared" si="534"/>
        <v>No</v>
      </c>
      <c r="BJ90" s="408" t="str">
        <f t="shared" si="538"/>
        <v>No</v>
      </c>
      <c r="BK90" s="246" t="s">
        <v>246</v>
      </c>
      <c r="BL90" s="246" t="s">
        <v>246</v>
      </c>
      <c r="BM90" s="246" t="s">
        <v>246</v>
      </c>
      <c r="BN90" s="246" t="s">
        <v>246</v>
      </c>
      <c r="BO90" s="246" t="s">
        <v>246</v>
      </c>
      <c r="BP90" s="246" t="s">
        <v>246</v>
      </c>
      <c r="BQ90" s="246" t="s">
        <v>246</v>
      </c>
      <c r="BR90" s="246" t="s">
        <v>246</v>
      </c>
      <c r="BS90" s="246" t="s">
        <v>246</v>
      </c>
      <c r="BT90" s="246" t="s">
        <v>246</v>
      </c>
      <c r="BU90" s="246" t="s">
        <v>246</v>
      </c>
      <c r="BV90" s="246" t="s">
        <v>246</v>
      </c>
      <c r="BW90" s="246" t="s">
        <v>246</v>
      </c>
      <c r="BX90" s="246" t="s">
        <v>246</v>
      </c>
      <c r="BY90" s="246" t="s">
        <v>246</v>
      </c>
      <c r="BZ90" s="246" t="s">
        <v>246</v>
      </c>
      <c r="CA90" s="246" t="s">
        <v>246</v>
      </c>
      <c r="CB90" s="246" t="s">
        <v>64</v>
      </c>
      <c r="CC90" s="262">
        <f t="shared" si="552"/>
        <v>263925.95511480002</v>
      </c>
      <c r="CD90" s="262">
        <f t="shared" si="553"/>
        <v>0</v>
      </c>
      <c r="CE90" s="263"/>
      <c r="CF90" s="263">
        <f t="shared" si="403"/>
        <v>0</v>
      </c>
      <c r="CG90" s="263">
        <f t="shared" si="404"/>
        <v>0</v>
      </c>
      <c r="CH90" s="263">
        <f t="shared" si="405"/>
        <v>0</v>
      </c>
      <c r="CI90" s="263">
        <f t="shared" si="406"/>
        <v>0</v>
      </c>
      <c r="CJ90" s="263">
        <f t="shared" si="407"/>
        <v>0</v>
      </c>
      <c r="CK90" s="263">
        <f t="shared" si="408"/>
        <v>0</v>
      </c>
      <c r="CL90" s="263">
        <f t="shared" si="409"/>
        <v>0</v>
      </c>
      <c r="CM90" s="263">
        <f t="shared" si="410"/>
        <v>0</v>
      </c>
      <c r="CN90" s="263">
        <f t="shared" si="411"/>
        <v>0</v>
      </c>
      <c r="CO90" s="263">
        <f t="shared" si="412"/>
        <v>0</v>
      </c>
      <c r="CP90" s="263">
        <f t="shared" si="413"/>
        <v>0</v>
      </c>
      <c r="CQ90" s="263">
        <f t="shared" si="414"/>
        <v>0</v>
      </c>
      <c r="CR90" s="263">
        <f t="shared" si="415"/>
        <v>0</v>
      </c>
      <c r="CS90" s="263">
        <f t="shared" si="416"/>
        <v>0</v>
      </c>
      <c r="CT90" s="263">
        <f t="shared" si="417"/>
        <v>0</v>
      </c>
      <c r="CU90" s="263">
        <f t="shared" si="418"/>
        <v>0</v>
      </c>
      <c r="CV90" s="263">
        <f t="shared" si="419"/>
        <v>0</v>
      </c>
      <c r="CW90" s="263">
        <f t="shared" si="420"/>
        <v>0</v>
      </c>
      <c r="CX90" s="263">
        <f t="shared" si="421"/>
        <v>0</v>
      </c>
      <c r="CY90" s="263">
        <f t="shared" si="422"/>
        <v>0</v>
      </c>
      <c r="CZ90" s="263">
        <f t="shared" si="423"/>
        <v>0</v>
      </c>
      <c r="DA90" s="263">
        <f t="shared" si="424"/>
        <v>0</v>
      </c>
      <c r="DB90" s="263">
        <f t="shared" si="425"/>
        <v>0</v>
      </c>
      <c r="DC90" s="263">
        <f t="shared" si="426"/>
        <v>0</v>
      </c>
      <c r="DD90" s="263">
        <f t="shared" si="427"/>
        <v>1</v>
      </c>
      <c r="DE90" s="263">
        <f t="shared" si="428"/>
        <v>0</v>
      </c>
      <c r="DF90" s="263">
        <f t="shared" si="429"/>
        <v>2155074.625</v>
      </c>
      <c r="DG90" s="263">
        <f t="shared" si="430"/>
        <v>0</v>
      </c>
      <c r="DH90" s="263">
        <f t="shared" si="431"/>
        <v>2155074.625</v>
      </c>
      <c r="DI90" s="263">
        <f t="shared" si="432"/>
        <v>4310149.25</v>
      </c>
      <c r="DJ90" s="263">
        <f t="shared" si="433"/>
        <v>0</v>
      </c>
      <c r="DK90" s="263">
        <f t="shared" si="434"/>
        <v>0</v>
      </c>
      <c r="DL90" s="263">
        <f t="shared" si="435"/>
        <v>0</v>
      </c>
      <c r="DM90" s="263">
        <f t="shared" si="436"/>
        <v>0</v>
      </c>
      <c r="DO90" s="264">
        <f t="shared" si="437"/>
        <v>0</v>
      </c>
      <c r="DP90" s="265">
        <f t="shared" si="438"/>
        <v>0</v>
      </c>
      <c r="DQ90" s="264">
        <f t="shared" si="439"/>
        <v>2155074.625</v>
      </c>
      <c r="DR90" s="264">
        <f t="shared" si="440"/>
        <v>0</v>
      </c>
      <c r="DS90" s="265">
        <f t="shared" si="441"/>
        <v>0</v>
      </c>
      <c r="DT90" s="264">
        <f t="shared" si="442"/>
        <v>2155074.625</v>
      </c>
      <c r="DU90" s="264">
        <f t="shared" si="443"/>
        <v>0</v>
      </c>
      <c r="DV90" s="265">
        <f t="shared" si="444"/>
        <v>0</v>
      </c>
      <c r="DW90" s="264">
        <f t="shared" si="445"/>
        <v>2155074.625</v>
      </c>
      <c r="DX90" s="264">
        <f t="shared" si="446"/>
        <v>0</v>
      </c>
      <c r="DY90" s="265">
        <f t="shared" si="447"/>
        <v>0</v>
      </c>
      <c r="DZ90" s="264">
        <f t="shared" si="448"/>
        <v>2155074.625</v>
      </c>
      <c r="EA90" s="264">
        <f t="shared" si="449"/>
        <v>0</v>
      </c>
      <c r="EB90" s="265">
        <f t="shared" si="450"/>
        <v>0</v>
      </c>
      <c r="EC90" s="264">
        <f t="shared" si="451"/>
        <v>2155074.625</v>
      </c>
      <c r="ED90" s="264">
        <f t="shared" si="452"/>
        <v>0</v>
      </c>
      <c r="EE90" s="265">
        <f t="shared" si="453"/>
        <v>0</v>
      </c>
      <c r="EF90" s="264">
        <f t="shared" si="454"/>
        <v>2155074.625</v>
      </c>
      <c r="EG90" s="264">
        <f t="shared" si="455"/>
        <v>0</v>
      </c>
      <c r="EH90" s="265">
        <f t="shared" si="456"/>
        <v>0</v>
      </c>
      <c r="EI90" s="264">
        <f t="shared" si="457"/>
        <v>2155074.625</v>
      </c>
      <c r="EJ90" s="264">
        <f t="shared" si="458"/>
        <v>0</v>
      </c>
      <c r="EK90" s="265">
        <f t="shared" si="459"/>
        <v>0</v>
      </c>
      <c r="EL90" s="264">
        <f t="shared" si="460"/>
        <v>2155074.625</v>
      </c>
      <c r="EM90" s="264">
        <f t="shared" si="461"/>
        <v>0</v>
      </c>
      <c r="EN90" s="265">
        <f t="shared" si="462"/>
        <v>0</v>
      </c>
      <c r="EO90" s="264">
        <f t="shared" si="463"/>
        <v>2155074.625</v>
      </c>
      <c r="EP90" s="264">
        <f t="shared" si="464"/>
        <v>0</v>
      </c>
      <c r="EQ90" s="265">
        <f t="shared" si="465"/>
        <v>0</v>
      </c>
      <c r="ER90" s="264">
        <f t="shared" si="466"/>
        <v>2155074.625</v>
      </c>
      <c r="ES90" s="264">
        <f t="shared" si="467"/>
        <v>0</v>
      </c>
      <c r="ET90" s="265">
        <f t="shared" si="468"/>
        <v>0</v>
      </c>
      <c r="EU90" s="264">
        <f t="shared" si="469"/>
        <v>2155074.625</v>
      </c>
      <c r="EV90" s="264">
        <f>IF(AND(BM90="Yes",OR(BN90="No",AND(BN90="Yes",Inputs!$J$8=Inputs!$J$17+75))),EU90,0)</f>
        <v>0</v>
      </c>
      <c r="EW90" s="265">
        <f t="shared" si="470"/>
        <v>0</v>
      </c>
      <c r="EX90" s="264">
        <f t="shared" si="471"/>
        <v>2155074.625</v>
      </c>
      <c r="EY90" s="264">
        <f t="shared" si="472"/>
        <v>0</v>
      </c>
      <c r="EZ90" s="265">
        <f t="shared" si="473"/>
        <v>0</v>
      </c>
      <c r="FA90" s="264">
        <f t="shared" si="474"/>
        <v>2155074.625</v>
      </c>
      <c r="FB90" s="264">
        <f t="shared" si="475"/>
        <v>0</v>
      </c>
      <c r="FC90" s="265">
        <f t="shared" si="476"/>
        <v>0</v>
      </c>
      <c r="FD90" s="264">
        <f t="shared" si="477"/>
        <v>2155074.625</v>
      </c>
      <c r="FE90" s="264">
        <f t="shared" si="478"/>
        <v>0</v>
      </c>
      <c r="FF90" s="265">
        <f t="shared" si="479"/>
        <v>0</v>
      </c>
      <c r="FG90" s="264">
        <f t="shared" si="480"/>
        <v>2155074.625</v>
      </c>
      <c r="FH90" s="264">
        <f t="shared" si="481"/>
        <v>2155074.625</v>
      </c>
      <c r="FI90" s="264">
        <f t="shared" si="482"/>
        <v>0</v>
      </c>
      <c r="FJ90" s="264">
        <f t="shared" si="483"/>
        <v>2155074.625</v>
      </c>
      <c r="FK90" s="264">
        <f t="shared" si="484"/>
        <v>2155074.625</v>
      </c>
      <c r="FL90" s="264">
        <f t="shared" si="485"/>
        <v>0</v>
      </c>
      <c r="FM90" s="264">
        <f t="shared" si="486"/>
        <v>2155074.625</v>
      </c>
      <c r="FN90" s="264">
        <f t="shared" si="487"/>
        <v>2155074.625</v>
      </c>
      <c r="FO90" s="264">
        <f t="shared" si="488"/>
        <v>0</v>
      </c>
      <c r="FP90" s="264">
        <f t="shared" si="489"/>
        <v>2155074.625</v>
      </c>
      <c r="FQ90" s="264">
        <f t="shared" si="490"/>
        <v>0</v>
      </c>
      <c r="FR90" s="265">
        <f t="shared" si="491"/>
        <v>0</v>
      </c>
      <c r="FS90" s="264">
        <f t="shared" si="492"/>
        <v>2155074.625</v>
      </c>
      <c r="FT90" s="264">
        <f t="shared" si="493"/>
        <v>0</v>
      </c>
      <c r="FU90" s="265">
        <f t="shared" si="494"/>
        <v>0</v>
      </c>
      <c r="FV90" s="264">
        <f t="shared" si="495"/>
        <v>2155074.625</v>
      </c>
      <c r="FW90" s="264">
        <f t="shared" si="496"/>
        <v>0</v>
      </c>
      <c r="FX90" s="264">
        <f t="shared" si="497"/>
        <v>0</v>
      </c>
      <c r="FY90" s="264">
        <f t="shared" si="498"/>
        <v>0</v>
      </c>
      <c r="FZ90" s="264">
        <f t="shared" si="499"/>
        <v>0</v>
      </c>
      <c r="GA90" s="265">
        <f t="shared" si="500"/>
        <v>0</v>
      </c>
      <c r="GB90" s="264">
        <f t="shared" si="501"/>
        <v>2155074.625</v>
      </c>
      <c r="GC90" s="264">
        <f t="shared" si="502"/>
        <v>2155074.625</v>
      </c>
      <c r="GD90" s="266">
        <f t="shared" si="503"/>
        <v>1562429.1031249999</v>
      </c>
      <c r="GE90" s="138">
        <f t="shared" si="504"/>
        <v>0.36249999999999999</v>
      </c>
      <c r="GF90" s="267">
        <f t="shared" si="505"/>
        <v>53</v>
      </c>
      <c r="GG90" s="264">
        <f t="array" ref="GG90">IF(SUM(IF(IC$9:IC89=IC90,1,0))&gt;0,0,SUMIF($IC$10:$IC$406,IC90,$FJ$10:$FJ$406))</f>
        <v>0</v>
      </c>
      <c r="GH90" s="268">
        <f t="shared" si="506"/>
        <v>0</v>
      </c>
      <c r="GI90" s="137">
        <f t="shared" si="126"/>
        <v>81</v>
      </c>
      <c r="GJ90" s="269">
        <f t="shared" si="507"/>
        <v>0</v>
      </c>
      <c r="GK90" s="269">
        <f t="shared" si="508"/>
        <v>0</v>
      </c>
      <c r="GL90" s="163">
        <f t="shared" si="509"/>
        <v>0</v>
      </c>
      <c r="GM90" s="137">
        <f t="array" ref="GM90">IF(GJ90=0,0,LARGE(IF($GG$10:$GG$406=GJ90,$GF$10:$GF$406,0),COUNTIF($GJ$10:$GJ$406,GJ90)-COUNTIF(GJ$9:GJ89,GJ90)))</f>
        <v>0</v>
      </c>
      <c r="GN90" s="270">
        <f t="shared" si="510"/>
        <v>0</v>
      </c>
      <c r="GP90" s="137">
        <f>IF(C90="","",IF(ISERROR(MATCH(C90,C$10:C89,0)),MAX(GP$10:GP89)+1,INDEX(GP$10:GP89,MATCH(C90,C$10:C89,0))))</f>
        <v>65</v>
      </c>
      <c r="GQ90" s="264">
        <f>IF(COUNTIF($A$10:A90,A90)&lt;=1,SUMIF($A$10:$A$406,A90,$FH$10:$FH$406),0)</f>
        <v>4147204.125</v>
      </c>
      <c r="GR90" s="137">
        <f t="shared" si="130"/>
        <v>81</v>
      </c>
      <c r="GS90" s="269">
        <f t="shared" si="554"/>
        <v>2570570</v>
      </c>
      <c r="GT90" s="269">
        <f t="shared" si="555"/>
        <v>50964284.172430128</v>
      </c>
      <c r="GU90" s="163">
        <f t="shared" si="556"/>
        <v>0</v>
      </c>
      <c r="GV90" s="137">
        <f t="array" ref="GV90">IF(GS90=0,0,LARGE(IF($GQ$10:$GQ$406=GS90,$GP$10:$GP$406,0),COUNTIF($GS$10:$GS$406,GS90)-COUNTIF(GS$9:GS89,GS90)))</f>
        <v>82</v>
      </c>
      <c r="GW90" s="270">
        <f t="shared" si="557"/>
        <v>0</v>
      </c>
      <c r="GX90" s="270"/>
      <c r="GY90" s="137">
        <f>IF(C90="","",IF(ISERROR(MATCH(C90,C$10:C89,0)),MAX(GP$10:GP89)+1,INDEX(GP$10:GP89,MATCH(C90,C$10:C89,0))))</f>
        <v>65</v>
      </c>
      <c r="GZ90" s="264">
        <f>IF(COUNTIF($A$10:A90,A90)&lt;=1,SUMIF($A$10:$A$406,A90,$FH$10:$FH$406),0)</f>
        <v>4147204.125</v>
      </c>
      <c r="HA90" s="137">
        <f t="shared" si="134"/>
        <v>81</v>
      </c>
      <c r="HB90" s="269">
        <f t="shared" si="515"/>
        <v>2570570</v>
      </c>
      <c r="HC90" s="414" t="s">
        <v>622</v>
      </c>
      <c r="HD90" s="163">
        <f t="shared" si="516"/>
        <v>0</v>
      </c>
      <c r="HE90" s="137">
        <f t="array" ref="HE90">IF(HB90=0,0,LARGE(IF($GZ$10:$GZ$406=HB90,$GY$10:$GY$406,0),COUNTIF($HB$10:$HB$406,HB90)-COUNTIF(HB$9:HB89,HB90)))</f>
        <v>82</v>
      </c>
      <c r="HF90" s="270">
        <f t="shared" si="517"/>
        <v>0</v>
      </c>
      <c r="HG90" s="270"/>
      <c r="HH90" s="268">
        <f t="shared" si="518"/>
        <v>0</v>
      </c>
      <c r="HI90" s="271">
        <v>0</v>
      </c>
      <c r="HJ90" s="264">
        <f t="shared" si="519"/>
        <v>0</v>
      </c>
      <c r="HL90" s="137">
        <f t="shared" si="520"/>
        <v>81</v>
      </c>
      <c r="HM90" s="264">
        <f t="shared" si="521"/>
        <v>25304386.32</v>
      </c>
      <c r="HN90"/>
      <c r="HO90" s="199">
        <f t="shared" si="522"/>
        <v>2155074.625</v>
      </c>
      <c r="HP90" s="199">
        <f t="shared" si="523"/>
        <v>4310149.25</v>
      </c>
      <c r="HQ90" s="199" t="str">
        <f t="shared" si="524"/>
        <v/>
      </c>
      <c r="HR90" s="199" t="str">
        <f t="shared" si="525"/>
        <v/>
      </c>
      <c r="HS90" s="199" t="str">
        <f t="shared" si="539"/>
        <v/>
      </c>
      <c r="HT90" s="199">
        <f t="shared" si="526"/>
        <v>2155074.625</v>
      </c>
      <c r="HU90" s="199" t="str">
        <f t="shared" si="527"/>
        <v/>
      </c>
      <c r="HV90" s="200">
        <f t="shared" si="528"/>
        <v>0</v>
      </c>
      <c r="HW90" s="272" t="str">
        <f t="shared" si="540"/>
        <v/>
      </c>
      <c r="HX90" s="200">
        <f t="shared" si="529"/>
        <v>0</v>
      </c>
      <c r="HY90" s="200">
        <f t="shared" si="530"/>
        <v>2155074.625</v>
      </c>
      <c r="HZ90" s="200">
        <f t="shared" si="535"/>
        <v>0</v>
      </c>
      <c r="IA90" s="200">
        <f t="shared" si="531"/>
        <v>0</v>
      </c>
      <c r="IB90" s="200">
        <f t="shared" si="532"/>
        <v>0</v>
      </c>
      <c r="IC90" s="273">
        <f>IF(C90="","",INDEX(Lookups!$E$2:$E$69,MATCH('Loan List'!BE90,Lookups!$F$2:$F$69,0)))</f>
        <v>53</v>
      </c>
      <c r="ID90" t="b">
        <f t="shared" si="533"/>
        <v>1</v>
      </c>
      <c r="IF90" s="346"/>
    </row>
    <row r="91" spans="1:240" ht="15" customHeight="1">
      <c r="A91" t="s">
        <v>535</v>
      </c>
      <c r="B91" s="242">
        <f t="shared" si="541"/>
        <v>82</v>
      </c>
      <c r="C91" s="242">
        <f>IF(COUNTIF($A$10:A90,A91)&gt;0,C90,C90+1)</f>
        <v>65</v>
      </c>
      <c r="D91" s="431" t="s">
        <v>760</v>
      </c>
      <c r="E91" s="428" t="s">
        <v>531</v>
      </c>
      <c r="F91" s="429"/>
      <c r="G91" s="430">
        <v>3984259</v>
      </c>
      <c r="H91" s="430">
        <v>3984259</v>
      </c>
      <c r="I91" s="244">
        <f>IF(B91="","",VLOOKUP(BF91,Inputs!$A$12:$J$15,10,FALSE))</f>
        <v>1</v>
      </c>
      <c r="J91" s="245">
        <f t="shared" si="542"/>
        <v>3984259</v>
      </c>
      <c r="K91" s="245">
        <f t="shared" si="543"/>
        <v>3984259</v>
      </c>
      <c r="L91" s="245">
        <f t="shared" si="544"/>
        <v>3984259</v>
      </c>
      <c r="M91" s="245">
        <f t="shared" si="545"/>
        <v>3984259</v>
      </c>
      <c r="N91" s="246" t="s">
        <v>246</v>
      </c>
      <c r="O91" s="246" t="s">
        <v>245</v>
      </c>
      <c r="P91" s="247">
        <f>IF(B91="","",IF(OR(O91="N/A",O91=""),0,YEARFRAC('Borrowing Base'!$J$4,'Loan List'!O91)*12))</f>
        <v>0</v>
      </c>
      <c r="Q91" s="246" t="s">
        <v>246</v>
      </c>
      <c r="R91" s="275">
        <v>0.97999999999999987</v>
      </c>
      <c r="S91" s="249" t="str">
        <f t="shared" si="546"/>
        <v>No</v>
      </c>
      <c r="T91" s="275">
        <v>0.95000000058002632</v>
      </c>
      <c r="U91" s="250">
        <f t="shared" si="547"/>
        <v>0.5</v>
      </c>
      <c r="V91" s="250">
        <f t="shared" si="548"/>
        <v>0.72499999999999998</v>
      </c>
      <c r="W91" s="251">
        <f t="shared" si="385"/>
        <v>1992129.5</v>
      </c>
      <c r="X91" s="246" t="s">
        <v>246</v>
      </c>
      <c r="Y91" s="252" t="s">
        <v>483</v>
      </c>
      <c r="Z91" s="252" t="s">
        <v>484</v>
      </c>
      <c r="AA91" s="253" t="s">
        <v>407</v>
      </c>
      <c r="AB91" s="253" t="s">
        <v>713</v>
      </c>
      <c r="AC91" s="254">
        <v>1.8</v>
      </c>
      <c r="AD91" s="254">
        <v>0.88999741647359876</v>
      </c>
      <c r="AE91" s="254">
        <v>1.119412288487392</v>
      </c>
      <c r="AF91" s="254">
        <v>0.48759999999999998</v>
      </c>
      <c r="AG91" s="256">
        <v>8.8207241286138895</v>
      </c>
      <c r="AH91" s="256">
        <v>8.8207241286138895</v>
      </c>
      <c r="AI91" s="256">
        <v>8.8207241286138895</v>
      </c>
      <c r="AJ91" s="256">
        <v>8.8207241286138895</v>
      </c>
      <c r="AK91" s="257">
        <v>7402000</v>
      </c>
      <c r="AL91" s="257">
        <v>7402000</v>
      </c>
      <c r="AM91" s="258">
        <v>45838</v>
      </c>
      <c r="AN91" s="245" t="str">
        <f t="shared" si="549"/>
        <v>Tier 2</v>
      </c>
      <c r="AO91" s="243">
        <v>46701</v>
      </c>
      <c r="AP91" s="259">
        <f>IF(C91="","",DAYS360(Inputs!$J$8,AO91)/360)</f>
        <v>2.2111111111111112</v>
      </c>
      <c r="AQ91" s="259">
        <f t="shared" si="550"/>
        <v>2.2111111111111112</v>
      </c>
      <c r="AR91" s="246" t="s">
        <v>246</v>
      </c>
      <c r="AS91" s="276">
        <v>0</v>
      </c>
      <c r="AT91" s="246" t="s">
        <v>64</v>
      </c>
      <c r="AU91" s="248">
        <v>0.01</v>
      </c>
      <c r="AV91" s="248">
        <v>6.1499999999999999E-2</v>
      </c>
      <c r="AW91" s="248">
        <v>4.2956000000000008E-2</v>
      </c>
      <c r="AX91" s="260">
        <f t="shared" si="551"/>
        <v>4.2956000000000008E-2</v>
      </c>
      <c r="AY91" s="248">
        <v>0</v>
      </c>
      <c r="AZ91" s="248">
        <v>0</v>
      </c>
      <c r="BA91" s="248">
        <v>0</v>
      </c>
      <c r="BB91" s="407">
        <f t="shared" si="536"/>
        <v>6.1499999999999999E-2</v>
      </c>
      <c r="BC91" s="407" t="str">
        <f t="shared" si="537"/>
        <v/>
      </c>
      <c r="BD91" s="252" t="s">
        <v>247</v>
      </c>
      <c r="BE91" s="261" t="s">
        <v>451</v>
      </c>
      <c r="BF91" s="252" t="s">
        <v>7</v>
      </c>
      <c r="BG91" s="252" t="s">
        <v>460</v>
      </c>
      <c r="BH91" s="246" t="s">
        <v>246</v>
      </c>
      <c r="BI91" s="408" t="str">
        <f t="shared" si="534"/>
        <v>No</v>
      </c>
      <c r="BJ91" s="408" t="str">
        <f t="shared" si="538"/>
        <v>No</v>
      </c>
      <c r="BK91" s="246" t="s">
        <v>246</v>
      </c>
      <c r="BL91" s="246" t="s">
        <v>246</v>
      </c>
      <c r="BM91" s="246" t="s">
        <v>64</v>
      </c>
      <c r="BN91" s="246" t="s">
        <v>64</v>
      </c>
      <c r="BO91" s="246" t="s">
        <v>246</v>
      </c>
      <c r="BP91" s="246" t="s">
        <v>246</v>
      </c>
      <c r="BQ91" s="246" t="s">
        <v>246</v>
      </c>
      <c r="BR91" s="246" t="s">
        <v>246</v>
      </c>
      <c r="BS91" s="246" t="s">
        <v>246</v>
      </c>
      <c r="BT91" s="246" t="s">
        <v>246</v>
      </c>
      <c r="BU91" s="246" t="s">
        <v>246</v>
      </c>
      <c r="BV91" s="246" t="s">
        <v>246</v>
      </c>
      <c r="BW91" s="246" t="s">
        <v>246</v>
      </c>
      <c r="BX91" s="246" t="s">
        <v>246</v>
      </c>
      <c r="BY91" s="246" t="s">
        <v>246</v>
      </c>
      <c r="BZ91" s="246" t="s">
        <v>246</v>
      </c>
      <c r="CA91" s="246" t="s">
        <v>246</v>
      </c>
      <c r="CB91" s="246" t="s">
        <v>64</v>
      </c>
      <c r="CC91" s="262">
        <f t="shared" si="552"/>
        <v>243970.52190240001</v>
      </c>
      <c r="CD91" s="262">
        <f t="shared" si="553"/>
        <v>0</v>
      </c>
      <c r="CE91" s="263"/>
      <c r="CF91" s="263">
        <f t="shared" si="403"/>
        <v>0</v>
      </c>
      <c r="CG91" s="263">
        <f t="shared" si="404"/>
        <v>0</v>
      </c>
      <c r="CH91" s="263">
        <f t="shared" si="405"/>
        <v>0</v>
      </c>
      <c r="CI91" s="263">
        <f t="shared" si="406"/>
        <v>0</v>
      </c>
      <c r="CJ91" s="263">
        <f t="shared" si="407"/>
        <v>0</v>
      </c>
      <c r="CK91" s="263">
        <f t="shared" si="408"/>
        <v>0</v>
      </c>
      <c r="CL91" s="263">
        <f t="shared" si="409"/>
        <v>0</v>
      </c>
      <c r="CM91" s="263">
        <f t="shared" si="410"/>
        <v>0</v>
      </c>
      <c r="CN91" s="263">
        <f t="shared" si="411"/>
        <v>0</v>
      </c>
      <c r="CO91" s="263">
        <f t="shared" si="412"/>
        <v>0</v>
      </c>
      <c r="CP91" s="263">
        <f t="shared" si="413"/>
        <v>0</v>
      </c>
      <c r="CQ91" s="263">
        <f t="shared" si="414"/>
        <v>0</v>
      </c>
      <c r="CR91" s="263">
        <f t="shared" si="415"/>
        <v>0</v>
      </c>
      <c r="CS91" s="263">
        <f t="shared" si="416"/>
        <v>0</v>
      </c>
      <c r="CT91" s="263">
        <f t="shared" si="417"/>
        <v>0</v>
      </c>
      <c r="CU91" s="263">
        <f t="shared" si="418"/>
        <v>0</v>
      </c>
      <c r="CV91" s="263">
        <f t="shared" si="419"/>
        <v>0</v>
      </c>
      <c r="CW91" s="263">
        <f t="shared" si="420"/>
        <v>0</v>
      </c>
      <c r="CX91" s="263">
        <f t="shared" si="421"/>
        <v>0</v>
      </c>
      <c r="CY91" s="263">
        <f t="shared" si="422"/>
        <v>0</v>
      </c>
      <c r="CZ91" s="263">
        <f t="shared" si="423"/>
        <v>0</v>
      </c>
      <c r="DA91" s="263">
        <f t="shared" si="424"/>
        <v>0</v>
      </c>
      <c r="DB91" s="263">
        <f t="shared" si="425"/>
        <v>0</v>
      </c>
      <c r="DC91" s="263">
        <f t="shared" si="426"/>
        <v>0</v>
      </c>
      <c r="DD91" s="263">
        <f t="shared" si="427"/>
        <v>1</v>
      </c>
      <c r="DE91" s="263">
        <f t="shared" si="428"/>
        <v>0</v>
      </c>
      <c r="DF91" s="263">
        <f t="shared" si="429"/>
        <v>1992129.5</v>
      </c>
      <c r="DG91" s="263">
        <f t="shared" si="430"/>
        <v>0</v>
      </c>
      <c r="DH91" s="263">
        <f t="shared" si="431"/>
        <v>1992129.5</v>
      </c>
      <c r="DI91" s="263">
        <f t="shared" si="432"/>
        <v>3984259</v>
      </c>
      <c r="DJ91" s="263">
        <f t="shared" si="433"/>
        <v>0</v>
      </c>
      <c r="DK91" s="263">
        <f t="shared" si="434"/>
        <v>0</v>
      </c>
      <c r="DL91" s="263">
        <f t="shared" si="435"/>
        <v>0</v>
      </c>
      <c r="DM91" s="263">
        <f t="shared" si="436"/>
        <v>0</v>
      </c>
      <c r="DO91" s="264">
        <f t="shared" si="437"/>
        <v>0</v>
      </c>
      <c r="DP91" s="265">
        <f t="shared" si="438"/>
        <v>0</v>
      </c>
      <c r="DQ91" s="264">
        <f t="shared" si="439"/>
        <v>1992129.5</v>
      </c>
      <c r="DR91" s="264">
        <f t="shared" si="440"/>
        <v>0</v>
      </c>
      <c r="DS91" s="265">
        <f t="shared" si="441"/>
        <v>0</v>
      </c>
      <c r="DT91" s="264">
        <f t="shared" si="442"/>
        <v>1992129.5</v>
      </c>
      <c r="DU91" s="264">
        <f t="shared" si="443"/>
        <v>0</v>
      </c>
      <c r="DV91" s="265">
        <f t="shared" si="444"/>
        <v>0</v>
      </c>
      <c r="DW91" s="264">
        <f t="shared" si="445"/>
        <v>1992129.5</v>
      </c>
      <c r="DX91" s="264">
        <f t="shared" si="446"/>
        <v>0</v>
      </c>
      <c r="DY91" s="265">
        <f t="shared" si="447"/>
        <v>0</v>
      </c>
      <c r="DZ91" s="264">
        <f t="shared" si="448"/>
        <v>1992129.5</v>
      </c>
      <c r="EA91" s="264">
        <f t="shared" si="449"/>
        <v>0</v>
      </c>
      <c r="EB91" s="265">
        <f t="shared" si="450"/>
        <v>0</v>
      </c>
      <c r="EC91" s="264">
        <f t="shared" si="451"/>
        <v>1992129.5</v>
      </c>
      <c r="ED91" s="264">
        <f t="shared" si="452"/>
        <v>0</v>
      </c>
      <c r="EE91" s="265">
        <f t="shared" si="453"/>
        <v>0</v>
      </c>
      <c r="EF91" s="264">
        <f t="shared" si="454"/>
        <v>1992129.5</v>
      </c>
      <c r="EG91" s="264">
        <f t="shared" si="455"/>
        <v>0</v>
      </c>
      <c r="EH91" s="265">
        <f t="shared" si="456"/>
        <v>0</v>
      </c>
      <c r="EI91" s="264">
        <f t="shared" si="457"/>
        <v>1992129.5</v>
      </c>
      <c r="EJ91" s="264">
        <f t="shared" si="458"/>
        <v>0</v>
      </c>
      <c r="EK91" s="265">
        <f t="shared" si="459"/>
        <v>0</v>
      </c>
      <c r="EL91" s="264">
        <f t="shared" si="460"/>
        <v>1992129.5</v>
      </c>
      <c r="EM91" s="264">
        <f t="shared" si="461"/>
        <v>0</v>
      </c>
      <c r="EN91" s="265">
        <f t="shared" si="462"/>
        <v>0</v>
      </c>
      <c r="EO91" s="264">
        <f t="shared" si="463"/>
        <v>1992129.5</v>
      </c>
      <c r="EP91" s="264">
        <f t="shared" si="464"/>
        <v>0</v>
      </c>
      <c r="EQ91" s="265">
        <f t="shared" si="465"/>
        <v>0</v>
      </c>
      <c r="ER91" s="264">
        <f t="shared" si="466"/>
        <v>1992129.5</v>
      </c>
      <c r="ES91" s="264">
        <f t="shared" si="467"/>
        <v>0</v>
      </c>
      <c r="ET91" s="265">
        <f t="shared" si="468"/>
        <v>0</v>
      </c>
      <c r="EU91" s="264">
        <f t="shared" si="469"/>
        <v>1992129.5</v>
      </c>
      <c r="EV91" s="264">
        <f>IF(AND(BM91="Yes",OR(BN91="No",AND(BN91="Yes",Inputs!$J$8=Inputs!$J$17+75))),EU91,0)</f>
        <v>0</v>
      </c>
      <c r="EW91" s="265">
        <f t="shared" si="470"/>
        <v>0</v>
      </c>
      <c r="EX91" s="264">
        <f t="shared" si="471"/>
        <v>1992129.5</v>
      </c>
      <c r="EY91" s="264">
        <f t="shared" si="472"/>
        <v>0</v>
      </c>
      <c r="EZ91" s="265">
        <f t="shared" si="473"/>
        <v>0</v>
      </c>
      <c r="FA91" s="264">
        <f t="shared" si="474"/>
        <v>1992129.5</v>
      </c>
      <c r="FB91" s="264">
        <f t="shared" si="475"/>
        <v>0</v>
      </c>
      <c r="FC91" s="265">
        <f t="shared" si="476"/>
        <v>0</v>
      </c>
      <c r="FD91" s="264">
        <f t="shared" si="477"/>
        <v>1992129.5</v>
      </c>
      <c r="FE91" s="264">
        <f t="shared" si="478"/>
        <v>0</v>
      </c>
      <c r="FF91" s="265">
        <f t="shared" si="479"/>
        <v>0</v>
      </c>
      <c r="FG91" s="264">
        <f t="shared" si="480"/>
        <v>1992129.5</v>
      </c>
      <c r="FH91" s="264">
        <f t="shared" si="481"/>
        <v>1992129.5</v>
      </c>
      <c r="FI91" s="264">
        <f t="shared" si="482"/>
        <v>0</v>
      </c>
      <c r="FJ91" s="264">
        <f t="shared" si="483"/>
        <v>1992129.5</v>
      </c>
      <c r="FK91" s="264">
        <f t="shared" si="484"/>
        <v>1992129.5</v>
      </c>
      <c r="FL91" s="264">
        <f t="shared" si="485"/>
        <v>0</v>
      </c>
      <c r="FM91" s="264">
        <f t="shared" si="486"/>
        <v>1992129.5</v>
      </c>
      <c r="FN91" s="264">
        <f t="shared" si="487"/>
        <v>1992129.5</v>
      </c>
      <c r="FO91" s="264">
        <f t="shared" si="488"/>
        <v>0</v>
      </c>
      <c r="FP91" s="264">
        <f t="shared" si="489"/>
        <v>1992129.5</v>
      </c>
      <c r="FQ91" s="264">
        <f t="shared" si="490"/>
        <v>0</v>
      </c>
      <c r="FR91" s="265">
        <f t="shared" si="491"/>
        <v>0</v>
      </c>
      <c r="FS91" s="264">
        <f t="shared" si="492"/>
        <v>1992129.5</v>
      </c>
      <c r="FT91" s="264">
        <f t="shared" si="493"/>
        <v>0</v>
      </c>
      <c r="FU91" s="265">
        <f t="shared" si="494"/>
        <v>0</v>
      </c>
      <c r="FV91" s="264">
        <f t="shared" si="495"/>
        <v>1992129.5</v>
      </c>
      <c r="FW91" s="264">
        <f t="shared" si="496"/>
        <v>0</v>
      </c>
      <c r="FX91" s="264">
        <f t="shared" si="497"/>
        <v>0</v>
      </c>
      <c r="FY91" s="264">
        <f t="shared" si="498"/>
        <v>0</v>
      </c>
      <c r="FZ91" s="264">
        <f t="shared" si="499"/>
        <v>0</v>
      </c>
      <c r="GA91" s="265">
        <f t="shared" si="500"/>
        <v>0</v>
      </c>
      <c r="GB91" s="264">
        <f t="shared" si="501"/>
        <v>1992129.5</v>
      </c>
      <c r="GC91" s="264">
        <f t="shared" si="502"/>
        <v>1992129.5</v>
      </c>
      <c r="GD91" s="266">
        <f t="shared" si="503"/>
        <v>1444293.8875</v>
      </c>
      <c r="GE91" s="138">
        <f t="shared" si="504"/>
        <v>0.36249999999999999</v>
      </c>
      <c r="GF91" s="267">
        <f t="shared" si="505"/>
        <v>53</v>
      </c>
      <c r="GG91" s="264">
        <f t="array" ref="GG91">IF(SUM(IF(IC$9:IC90=IC91,1,0))&gt;0,0,SUMIF($IC$10:$IC$406,IC91,$FJ$10:$FJ$406))</f>
        <v>0</v>
      </c>
      <c r="GH91" s="268">
        <f t="shared" si="506"/>
        <v>0</v>
      </c>
      <c r="GI91" s="137">
        <f t="shared" si="126"/>
        <v>82</v>
      </c>
      <c r="GJ91" s="269">
        <f t="shared" si="507"/>
        <v>0</v>
      </c>
      <c r="GK91" s="269">
        <f t="shared" si="508"/>
        <v>0</v>
      </c>
      <c r="GL91" s="163">
        <f t="shared" si="509"/>
        <v>0</v>
      </c>
      <c r="GM91" s="137">
        <f t="array" ref="GM91">IF(GJ91=0,0,LARGE(IF($GG$10:$GG$406=GJ91,$GF$10:$GF$406,0),COUNTIF($GJ$10:$GJ$406,GJ91)-COUNTIF(GJ$9:GJ90,GJ91)))</f>
        <v>0</v>
      </c>
      <c r="GN91" s="270">
        <f t="shared" si="510"/>
        <v>0</v>
      </c>
      <c r="GP91" s="137">
        <f>IF(C91="","",IF(ISERROR(MATCH(C91,C$10:C90,0)),MAX(GP$10:GP90)+1,INDEX(GP$10:GP90,MATCH(C91,C$10:C90,0))))</f>
        <v>65</v>
      </c>
      <c r="GQ91" s="264">
        <f>IF(COUNTIF($A$10:A91,A91)&lt;=1,SUMIF($A$10:$A$406,A91,$FH$10:$FH$406),0)</f>
        <v>0</v>
      </c>
      <c r="GR91" s="137">
        <f t="shared" si="130"/>
        <v>82</v>
      </c>
      <c r="GS91" s="269">
        <f t="shared" si="554"/>
        <v>2530362</v>
      </c>
      <c r="GT91" s="269">
        <f t="shared" si="555"/>
        <v>50964284.172430128</v>
      </c>
      <c r="GU91" s="163">
        <f t="shared" si="556"/>
        <v>0</v>
      </c>
      <c r="GV91" s="137">
        <f t="array" ref="GV91">IF(GS91=0,0,LARGE(IF($GQ$10:$GQ$406=GS91,$GP$10:$GP$406,0),COUNTIF($GS$10:$GS$406,GS91)-COUNTIF(GS$9:GS90,GS91)))</f>
        <v>37</v>
      </c>
      <c r="GW91" s="270">
        <f t="shared" si="557"/>
        <v>0</v>
      </c>
      <c r="GX91" s="270"/>
      <c r="GY91" s="137">
        <f>IF(C91="","",IF(ISERROR(MATCH(C91,C$10:C90,0)),MAX(GP$10:GP90)+1,INDEX(GP$10:GP90,MATCH(C91,C$10:C90,0))))</f>
        <v>65</v>
      </c>
      <c r="GZ91" s="264">
        <f>IF(COUNTIF($A$10:A91,A91)&lt;=1,SUMIF($A$10:$A$406,A91,$FH$10:$FH$406),0)</f>
        <v>0</v>
      </c>
      <c r="HA91" s="137">
        <f t="shared" si="134"/>
        <v>82</v>
      </c>
      <c r="HB91" s="269">
        <f t="shared" si="515"/>
        <v>2530362</v>
      </c>
      <c r="HC91" s="414" t="s">
        <v>622</v>
      </c>
      <c r="HD91" s="163">
        <f t="shared" si="516"/>
        <v>0</v>
      </c>
      <c r="HE91" s="137">
        <f t="array" ref="HE91">IF(HB91=0,0,LARGE(IF($GZ$10:$GZ$406=HB91,$GY$10:$GY$406,0),COUNTIF($HB$10:$HB$406,HB91)-COUNTIF(HB$9:HB90,HB91)))</f>
        <v>37</v>
      </c>
      <c r="HF91" s="270">
        <f t="shared" si="517"/>
        <v>0</v>
      </c>
      <c r="HG91" s="270"/>
      <c r="HH91" s="268">
        <f t="shared" si="518"/>
        <v>0</v>
      </c>
      <c r="HI91" s="271">
        <v>0</v>
      </c>
      <c r="HJ91" s="264">
        <f t="shared" si="519"/>
        <v>0</v>
      </c>
      <c r="HL91" s="137">
        <f t="shared" si="520"/>
        <v>82</v>
      </c>
      <c r="HM91" s="264">
        <f t="shared" si="521"/>
        <v>2570570</v>
      </c>
      <c r="HN91"/>
      <c r="HO91" s="199">
        <f t="shared" si="522"/>
        <v>1992129.5</v>
      </c>
      <c r="HP91" s="199">
        <f t="shared" si="523"/>
        <v>3984259</v>
      </c>
      <c r="HQ91" s="199" t="str">
        <f t="shared" si="524"/>
        <v/>
      </c>
      <c r="HR91" s="199" t="str">
        <f t="shared" si="525"/>
        <v/>
      </c>
      <c r="HS91" s="199" t="str">
        <f t="shared" si="539"/>
        <v/>
      </c>
      <c r="HT91" s="199">
        <f t="shared" si="526"/>
        <v>1992129.5</v>
      </c>
      <c r="HU91" s="199" t="str">
        <f t="shared" si="527"/>
        <v/>
      </c>
      <c r="HV91" s="200">
        <f t="shared" si="528"/>
        <v>0</v>
      </c>
      <c r="HW91" s="272" t="str">
        <f t="shared" si="540"/>
        <v/>
      </c>
      <c r="HX91" s="200">
        <f t="shared" si="529"/>
        <v>0</v>
      </c>
      <c r="HY91" s="200">
        <f t="shared" si="530"/>
        <v>1992129.5</v>
      </c>
      <c r="HZ91" s="200">
        <f t="shared" si="535"/>
        <v>0</v>
      </c>
      <c r="IA91" s="200">
        <f t="shared" si="531"/>
        <v>0</v>
      </c>
      <c r="IB91" s="200">
        <f t="shared" si="532"/>
        <v>0</v>
      </c>
      <c r="IC91" s="273">
        <f>IF(C91="","",INDEX(Lookups!$E$2:$E$69,MATCH('Loan List'!BE91,Lookups!$F$2:$F$69,0)))</f>
        <v>53</v>
      </c>
      <c r="ID91" t="b">
        <f t="shared" si="533"/>
        <v>1</v>
      </c>
      <c r="IF91" s="346"/>
    </row>
    <row r="92" spans="1:240" ht="15" customHeight="1">
      <c r="A92" t="s">
        <v>527</v>
      </c>
      <c r="B92" s="242">
        <f t="shared" si="541"/>
        <v>83</v>
      </c>
      <c r="C92" s="242">
        <f>IF(COUNTIF($A$10:A91,A92)&gt;0,C91,C91+1)</f>
        <v>66</v>
      </c>
      <c r="D92" s="428" t="s">
        <v>527</v>
      </c>
      <c r="E92" s="428" t="s">
        <v>525</v>
      </c>
      <c r="F92" s="429"/>
      <c r="G92" s="430">
        <v>10376592.120100001</v>
      </c>
      <c r="H92" s="430">
        <v>10376592.120100001</v>
      </c>
      <c r="I92" s="244">
        <f>IF(B92="","",VLOOKUP(BF92,Inputs!$A$12:$J$15,10,FALSE))</f>
        <v>1</v>
      </c>
      <c r="J92" s="245">
        <f t="shared" si="542"/>
        <v>10376592.120100001</v>
      </c>
      <c r="K92" s="245">
        <f t="shared" si="543"/>
        <v>10376592.120100001</v>
      </c>
      <c r="L92" s="245">
        <f t="shared" si="544"/>
        <v>10376592.120100001</v>
      </c>
      <c r="M92" s="245">
        <f t="shared" si="545"/>
        <v>10376592.120100001</v>
      </c>
      <c r="N92" s="246" t="s">
        <v>246</v>
      </c>
      <c r="O92" s="246" t="s">
        <v>245</v>
      </c>
      <c r="P92" s="247">
        <f>IF(B92="","",IF(OR(O92="N/A",O92=""),0,YEARFRAC('Borrowing Base'!$J$4,'Loan List'!O92)*12))</f>
        <v>0</v>
      </c>
      <c r="Q92" s="246" t="s">
        <v>246</v>
      </c>
      <c r="R92" s="275">
        <v>0.98354055981483435</v>
      </c>
      <c r="S92" s="249" t="str">
        <f t="shared" si="546"/>
        <v>No</v>
      </c>
      <c r="T92" s="275">
        <v>0.98000000068693471</v>
      </c>
      <c r="U92" s="250">
        <f t="shared" si="547"/>
        <v>0.5</v>
      </c>
      <c r="V92" s="250">
        <f t="shared" si="548"/>
        <v>0.72499999999999998</v>
      </c>
      <c r="W92" s="251">
        <f t="shared" si="385"/>
        <v>5188296.0600500004</v>
      </c>
      <c r="X92" s="246" t="s">
        <v>246</v>
      </c>
      <c r="Y92" s="252" t="s">
        <v>483</v>
      </c>
      <c r="Z92" s="252" t="s">
        <v>540</v>
      </c>
      <c r="AA92" s="253" t="s">
        <v>407</v>
      </c>
      <c r="AB92" s="253" t="s">
        <v>713</v>
      </c>
      <c r="AC92" s="254">
        <v>1.5577944323770632</v>
      </c>
      <c r="AD92" s="254">
        <v>0.85985630985632899</v>
      </c>
      <c r="AE92" s="254">
        <v>0.97264013605321897</v>
      </c>
      <c r="AF92" s="254">
        <v>0.42688484592978893</v>
      </c>
      <c r="AG92" s="256">
        <v>5.5235911027163969</v>
      </c>
      <c r="AH92" s="256">
        <v>5.5235911027163969</v>
      </c>
      <c r="AI92" s="256">
        <v>8.3037428759432164</v>
      </c>
      <c r="AJ92" s="256">
        <v>8.3037428759432164</v>
      </c>
      <c r="AK92" s="257">
        <v>57462617</v>
      </c>
      <c r="AL92" s="257">
        <v>59954779</v>
      </c>
      <c r="AM92" s="258">
        <v>45838</v>
      </c>
      <c r="AN92" s="245" t="str">
        <f t="shared" si="549"/>
        <v>Tier 1</v>
      </c>
      <c r="AO92" s="243">
        <v>46436</v>
      </c>
      <c r="AP92" s="259">
        <f>IF(C92="","",DAYS360(Inputs!$J$8,AO92)/360)</f>
        <v>1.4833333333333334</v>
      </c>
      <c r="AQ92" s="259">
        <f t="shared" si="550"/>
        <v>1.4833333333333334</v>
      </c>
      <c r="AR92" s="246" t="s">
        <v>246</v>
      </c>
      <c r="AS92" s="276">
        <v>0</v>
      </c>
      <c r="AT92" s="246" t="s">
        <v>64</v>
      </c>
      <c r="AU92" s="248">
        <v>0.01</v>
      </c>
      <c r="AV92" s="248">
        <v>7.7499999999999999E-2</v>
      </c>
      <c r="AW92" s="248">
        <v>4.2797000000000002E-2</v>
      </c>
      <c r="AX92" s="260">
        <f t="shared" si="551"/>
        <v>4.2797000000000002E-2</v>
      </c>
      <c r="AY92" s="248">
        <v>0</v>
      </c>
      <c r="AZ92" s="248">
        <v>5.0999999999999997E-2</v>
      </c>
      <c r="BA92" s="248">
        <v>0</v>
      </c>
      <c r="BB92" s="407">
        <f t="shared" si="536"/>
        <v>2.6500000000000003E-2</v>
      </c>
      <c r="BC92" s="407" t="str">
        <f t="shared" si="537"/>
        <v/>
      </c>
      <c r="BD92" s="252" t="s">
        <v>247</v>
      </c>
      <c r="BE92" s="261" t="s">
        <v>451</v>
      </c>
      <c r="BF92" s="252" t="s">
        <v>7</v>
      </c>
      <c r="BG92" s="252" t="s">
        <v>460</v>
      </c>
      <c r="BH92" s="246" t="s">
        <v>246</v>
      </c>
      <c r="BI92" s="408" t="str">
        <f t="shared" si="534"/>
        <v>Yes</v>
      </c>
      <c r="BJ92" s="408" t="str">
        <f t="shared" si="538"/>
        <v>No</v>
      </c>
      <c r="BK92" s="246" t="s">
        <v>246</v>
      </c>
      <c r="BL92" s="246" t="s">
        <v>246</v>
      </c>
      <c r="BM92" s="246" t="s">
        <v>246</v>
      </c>
      <c r="BN92" s="246" t="s">
        <v>246</v>
      </c>
      <c r="BO92" s="246" t="s">
        <v>246</v>
      </c>
      <c r="BP92" s="246" t="s">
        <v>246</v>
      </c>
      <c r="BQ92" s="246" t="s">
        <v>246</v>
      </c>
      <c r="BR92" s="246" t="s">
        <v>246</v>
      </c>
      <c r="BS92" s="246" t="s">
        <v>246</v>
      </c>
      <c r="BT92" s="246" t="s">
        <v>246</v>
      </c>
      <c r="BU92" s="246" t="s">
        <v>246</v>
      </c>
      <c r="BV92" s="246" t="s">
        <v>246</v>
      </c>
      <c r="BW92" s="246" t="s">
        <v>246</v>
      </c>
      <c r="BX92" s="246" t="s">
        <v>246</v>
      </c>
      <c r="BY92" s="246" t="s">
        <v>246</v>
      </c>
      <c r="BZ92" s="246" t="s">
        <v>246</v>
      </c>
      <c r="CA92" s="246" t="s">
        <v>246</v>
      </c>
      <c r="CB92" s="246" t="s">
        <v>64</v>
      </c>
      <c r="CC92" s="262">
        <f t="shared" si="552"/>
        <v>270565.48889475944</v>
      </c>
      <c r="CD92" s="262">
        <f t="shared" si="553"/>
        <v>0</v>
      </c>
      <c r="CE92" s="263"/>
      <c r="CF92" s="263">
        <f t="shared" si="403"/>
        <v>0</v>
      </c>
      <c r="CG92" s="263">
        <f t="shared" si="404"/>
        <v>0</v>
      </c>
      <c r="CH92" s="263">
        <f t="shared" si="405"/>
        <v>0</v>
      </c>
      <c r="CI92" s="263">
        <f t="shared" si="406"/>
        <v>0</v>
      </c>
      <c r="CJ92" s="263">
        <f t="shared" si="407"/>
        <v>0</v>
      </c>
      <c r="CK92" s="263">
        <f t="shared" si="408"/>
        <v>0</v>
      </c>
      <c r="CL92" s="263">
        <f t="shared" si="409"/>
        <v>0</v>
      </c>
      <c r="CM92" s="263">
        <f t="shared" si="410"/>
        <v>0</v>
      </c>
      <c r="CN92" s="263">
        <f t="shared" si="411"/>
        <v>0</v>
      </c>
      <c r="CO92" s="263">
        <f t="shared" si="412"/>
        <v>0</v>
      </c>
      <c r="CP92" s="263">
        <f t="shared" si="413"/>
        <v>0</v>
      </c>
      <c r="CQ92" s="263">
        <f t="shared" si="414"/>
        <v>0</v>
      </c>
      <c r="CR92" s="263">
        <f t="shared" si="415"/>
        <v>0</v>
      </c>
      <c r="CS92" s="263">
        <f t="shared" si="416"/>
        <v>0</v>
      </c>
      <c r="CT92" s="263">
        <f t="shared" si="417"/>
        <v>0</v>
      </c>
      <c r="CU92" s="263">
        <f t="shared" si="418"/>
        <v>0</v>
      </c>
      <c r="CV92" s="263">
        <f t="shared" si="419"/>
        <v>0</v>
      </c>
      <c r="CW92" s="263">
        <f t="shared" si="420"/>
        <v>0</v>
      </c>
      <c r="CX92" s="263">
        <f t="shared" si="421"/>
        <v>0</v>
      </c>
      <c r="CY92" s="263">
        <f t="shared" si="422"/>
        <v>0</v>
      </c>
      <c r="CZ92" s="263">
        <f t="shared" si="423"/>
        <v>0</v>
      </c>
      <c r="DA92" s="263">
        <f t="shared" si="424"/>
        <v>0</v>
      </c>
      <c r="DB92" s="263">
        <f t="shared" si="425"/>
        <v>0</v>
      </c>
      <c r="DC92" s="263">
        <f t="shared" si="426"/>
        <v>0</v>
      </c>
      <c r="DD92" s="263">
        <f t="shared" si="427"/>
        <v>1</v>
      </c>
      <c r="DE92" s="263">
        <f t="shared" si="428"/>
        <v>0</v>
      </c>
      <c r="DF92" s="263">
        <f t="shared" si="429"/>
        <v>5188296.0600500004</v>
      </c>
      <c r="DG92" s="263">
        <f t="shared" si="430"/>
        <v>0</v>
      </c>
      <c r="DH92" s="263">
        <f t="shared" si="431"/>
        <v>5188296.0600500004</v>
      </c>
      <c r="DI92" s="263">
        <f t="shared" si="432"/>
        <v>10376592.120100001</v>
      </c>
      <c r="DJ92" s="263">
        <f t="shared" si="433"/>
        <v>0</v>
      </c>
      <c r="DK92" s="263">
        <f t="shared" si="434"/>
        <v>0</v>
      </c>
      <c r="DL92" s="263">
        <f t="shared" si="435"/>
        <v>0</v>
      </c>
      <c r="DM92" s="263">
        <f t="shared" si="436"/>
        <v>0</v>
      </c>
      <c r="DO92" s="264">
        <f t="shared" si="437"/>
        <v>0</v>
      </c>
      <c r="DP92" s="265">
        <f t="shared" si="438"/>
        <v>0</v>
      </c>
      <c r="DQ92" s="264">
        <f t="shared" si="439"/>
        <v>5188296.0600500004</v>
      </c>
      <c r="DR92" s="264">
        <f t="shared" si="440"/>
        <v>0</v>
      </c>
      <c r="DS92" s="265">
        <f t="shared" si="441"/>
        <v>0</v>
      </c>
      <c r="DT92" s="264">
        <f t="shared" si="442"/>
        <v>5188296.0600500004</v>
      </c>
      <c r="DU92" s="264">
        <f t="shared" si="443"/>
        <v>0</v>
      </c>
      <c r="DV92" s="265">
        <f t="shared" si="444"/>
        <v>0</v>
      </c>
      <c r="DW92" s="264">
        <f t="shared" si="445"/>
        <v>5188296.0600500004</v>
      </c>
      <c r="DX92" s="264">
        <f t="shared" si="446"/>
        <v>0</v>
      </c>
      <c r="DY92" s="265">
        <f t="shared" si="447"/>
        <v>0</v>
      </c>
      <c r="DZ92" s="264">
        <f t="shared" si="448"/>
        <v>5188296.0600500004</v>
      </c>
      <c r="EA92" s="264">
        <f t="shared" si="449"/>
        <v>5188296.0600500004</v>
      </c>
      <c r="EB92" s="265">
        <f t="shared" si="450"/>
        <v>0</v>
      </c>
      <c r="EC92" s="264">
        <f t="shared" si="451"/>
        <v>5188296.0600500004</v>
      </c>
      <c r="ED92" s="264">
        <f t="shared" si="452"/>
        <v>0</v>
      </c>
      <c r="EE92" s="265">
        <f t="shared" si="453"/>
        <v>0</v>
      </c>
      <c r="EF92" s="264">
        <f t="shared" si="454"/>
        <v>5188296.0600500004</v>
      </c>
      <c r="EG92" s="264">
        <f t="shared" si="455"/>
        <v>0</v>
      </c>
      <c r="EH92" s="265">
        <f t="shared" si="456"/>
        <v>0</v>
      </c>
      <c r="EI92" s="264">
        <f t="shared" si="457"/>
        <v>5188296.0600500004</v>
      </c>
      <c r="EJ92" s="264">
        <f t="shared" si="458"/>
        <v>0</v>
      </c>
      <c r="EK92" s="265">
        <f t="shared" si="459"/>
        <v>0</v>
      </c>
      <c r="EL92" s="264">
        <f t="shared" si="460"/>
        <v>5188296.0600500004</v>
      </c>
      <c r="EM92" s="264">
        <f t="shared" si="461"/>
        <v>0</v>
      </c>
      <c r="EN92" s="265">
        <f t="shared" si="462"/>
        <v>0</v>
      </c>
      <c r="EO92" s="264">
        <f t="shared" si="463"/>
        <v>5188296.0600500004</v>
      </c>
      <c r="EP92" s="264">
        <f t="shared" si="464"/>
        <v>0</v>
      </c>
      <c r="EQ92" s="265">
        <f t="shared" si="465"/>
        <v>0</v>
      </c>
      <c r="ER92" s="264">
        <f t="shared" si="466"/>
        <v>5188296.0600500004</v>
      </c>
      <c r="ES92" s="264">
        <f t="shared" si="467"/>
        <v>0</v>
      </c>
      <c r="ET92" s="265">
        <f t="shared" si="468"/>
        <v>0</v>
      </c>
      <c r="EU92" s="264">
        <f t="shared" si="469"/>
        <v>5188296.0600500004</v>
      </c>
      <c r="EV92" s="264">
        <f>IF(AND(BM92="Yes",OR(BN92="No",AND(BN92="Yes",Inputs!$J$8=Inputs!$J$17+75))),EU92,0)</f>
        <v>0</v>
      </c>
      <c r="EW92" s="265">
        <f t="shared" si="470"/>
        <v>0</v>
      </c>
      <c r="EX92" s="264">
        <f t="shared" si="471"/>
        <v>5188296.0600500004</v>
      </c>
      <c r="EY92" s="264">
        <f t="shared" si="472"/>
        <v>0</v>
      </c>
      <c r="EZ92" s="265">
        <f t="shared" si="473"/>
        <v>0</v>
      </c>
      <c r="FA92" s="264">
        <f t="shared" si="474"/>
        <v>5188296.0600500004</v>
      </c>
      <c r="FB92" s="264">
        <f t="shared" si="475"/>
        <v>0</v>
      </c>
      <c r="FC92" s="265">
        <f t="shared" si="476"/>
        <v>0</v>
      </c>
      <c r="FD92" s="264">
        <f t="shared" si="477"/>
        <v>5188296.0600500004</v>
      </c>
      <c r="FE92" s="264">
        <f t="shared" si="478"/>
        <v>0</v>
      </c>
      <c r="FF92" s="265">
        <f t="shared" si="479"/>
        <v>0</v>
      </c>
      <c r="FG92" s="264">
        <f t="shared" si="480"/>
        <v>5188296.0600500004</v>
      </c>
      <c r="FH92" s="264">
        <f t="shared" si="481"/>
        <v>5188296.0600500004</v>
      </c>
      <c r="FI92" s="264">
        <f t="shared" si="482"/>
        <v>0</v>
      </c>
      <c r="FJ92" s="264">
        <f t="shared" si="483"/>
        <v>5188296.0600500004</v>
      </c>
      <c r="FK92" s="264">
        <f t="shared" si="484"/>
        <v>5188296.0600500004</v>
      </c>
      <c r="FL92" s="264">
        <f t="shared" si="485"/>
        <v>0</v>
      </c>
      <c r="FM92" s="264">
        <f t="shared" si="486"/>
        <v>5188296.0600500004</v>
      </c>
      <c r="FN92" s="264">
        <f t="shared" si="487"/>
        <v>5188296.0600500004</v>
      </c>
      <c r="FO92" s="264">
        <f t="shared" si="488"/>
        <v>0</v>
      </c>
      <c r="FP92" s="264">
        <f t="shared" si="489"/>
        <v>5188296.0600500004</v>
      </c>
      <c r="FQ92" s="264">
        <f t="shared" si="490"/>
        <v>0</v>
      </c>
      <c r="FR92" s="265">
        <f t="shared" si="491"/>
        <v>0</v>
      </c>
      <c r="FS92" s="264">
        <f t="shared" si="492"/>
        <v>5188296.0600500004</v>
      </c>
      <c r="FT92" s="264">
        <f t="shared" si="493"/>
        <v>0</v>
      </c>
      <c r="FU92" s="265">
        <f t="shared" si="494"/>
        <v>0</v>
      </c>
      <c r="FV92" s="264">
        <f t="shared" si="495"/>
        <v>5188296.0600500004</v>
      </c>
      <c r="FW92" s="264">
        <f t="shared" si="496"/>
        <v>0</v>
      </c>
      <c r="FX92" s="264">
        <f t="shared" si="497"/>
        <v>0</v>
      </c>
      <c r="FY92" s="264">
        <f t="shared" si="498"/>
        <v>0</v>
      </c>
      <c r="FZ92" s="264">
        <f t="shared" si="499"/>
        <v>0</v>
      </c>
      <c r="GA92" s="265">
        <f t="shared" si="500"/>
        <v>0</v>
      </c>
      <c r="GB92" s="264">
        <f t="shared" si="501"/>
        <v>5188296.0600500004</v>
      </c>
      <c r="GC92" s="264">
        <f t="shared" si="502"/>
        <v>5188296.0600500004</v>
      </c>
      <c r="GD92" s="266">
        <f t="shared" si="503"/>
        <v>3761514.6435362501</v>
      </c>
      <c r="GE92" s="138">
        <f t="shared" si="504"/>
        <v>0.36249999999999999</v>
      </c>
      <c r="GF92" s="267">
        <f t="shared" si="505"/>
        <v>53</v>
      </c>
      <c r="GG92" s="264">
        <f t="array" ref="GG92">IF(SUM(IF(IC$9:IC91=IC92,1,0))&gt;0,0,SUMIF($IC$10:$IC$406,IC92,$FJ$10:$FJ$406))</f>
        <v>0</v>
      </c>
      <c r="GH92" s="268">
        <f t="shared" si="506"/>
        <v>0</v>
      </c>
      <c r="GI92" s="137">
        <f t="shared" si="126"/>
        <v>83</v>
      </c>
      <c r="GJ92" s="269">
        <f t="shared" si="507"/>
        <v>0</v>
      </c>
      <c r="GK92" s="269">
        <f t="shared" si="508"/>
        <v>0</v>
      </c>
      <c r="GL92" s="163">
        <f t="shared" si="509"/>
        <v>0</v>
      </c>
      <c r="GM92" s="137">
        <f t="array" ref="GM92">IF(GJ92=0,0,LARGE(IF($GG$10:$GG$406=GJ92,$GF$10:$GF$406,0),COUNTIF($GJ$10:$GJ$406,GJ92)-COUNTIF(GJ$9:GJ91,GJ92)))</f>
        <v>0</v>
      </c>
      <c r="GN92" s="270">
        <f t="shared" si="510"/>
        <v>0</v>
      </c>
      <c r="GP92" s="137">
        <f>IF(C92="","",IF(ISERROR(MATCH(C92,C$10:C91,0)),MAX(GP$10:GP91)+1,INDEX(GP$10:GP91,MATCH(C92,C$10:C91,0))))</f>
        <v>66</v>
      </c>
      <c r="GQ92" s="264">
        <f>IF(COUNTIF($A$10:A92,A92)&lt;=1,SUMIF($A$10:$A$406,A92,$FH$10:$FH$406),0)</f>
        <v>7594713.0600500004</v>
      </c>
      <c r="GR92" s="137">
        <f t="shared" si="130"/>
        <v>83</v>
      </c>
      <c r="GS92" s="269">
        <f t="shared" si="554"/>
        <v>2508546.21</v>
      </c>
      <c r="GT92" s="269">
        <f t="shared" si="555"/>
        <v>50964284.172430128</v>
      </c>
      <c r="GU92" s="163">
        <f t="shared" si="556"/>
        <v>0</v>
      </c>
      <c r="GV92" s="137">
        <f t="array" ref="GV92">IF(GS92=0,0,LARGE(IF($GQ$10:$GQ$406=GS92,$GP$10:$GP$406,0),COUNTIF($GS$10:$GS$406,GS92)-COUNTIF(GS$9:GS91,GS92)))</f>
        <v>87</v>
      </c>
      <c r="GW92" s="270">
        <f t="shared" si="557"/>
        <v>0</v>
      </c>
      <c r="GX92" s="270"/>
      <c r="GY92" s="137">
        <f>IF(C92="","",IF(ISERROR(MATCH(C92,C$10:C91,0)),MAX(GP$10:GP91)+1,INDEX(GP$10:GP91,MATCH(C92,C$10:C91,0))))</f>
        <v>66</v>
      </c>
      <c r="GZ92" s="264">
        <f>IF(COUNTIF($A$10:A92,A92)&lt;=1,SUMIF($A$10:$A$406,A92,$FH$10:$FH$406),0)</f>
        <v>7594713.0600500004</v>
      </c>
      <c r="HA92" s="137">
        <f t="shared" si="134"/>
        <v>83</v>
      </c>
      <c r="HB92" s="269">
        <f t="shared" si="515"/>
        <v>2508546.21</v>
      </c>
      <c r="HC92" s="414" t="s">
        <v>622</v>
      </c>
      <c r="HD92" s="163">
        <f t="shared" si="516"/>
        <v>0</v>
      </c>
      <c r="HE92" s="137">
        <f t="array" ref="HE92">IF(HB92=0,0,LARGE(IF($GZ$10:$GZ$406=HB92,$GY$10:$GY$406,0),COUNTIF($HB$10:$HB$406,HB92)-COUNTIF(HB$9:HB91,HB92)))</f>
        <v>87</v>
      </c>
      <c r="HF92" s="270">
        <f t="shared" si="517"/>
        <v>0</v>
      </c>
      <c r="HG92" s="270"/>
      <c r="HH92" s="268">
        <f t="shared" si="518"/>
        <v>0</v>
      </c>
      <c r="HI92" s="271">
        <v>0</v>
      </c>
      <c r="HJ92" s="264">
        <f t="shared" si="519"/>
        <v>0</v>
      </c>
      <c r="HL92" s="137">
        <f t="shared" si="520"/>
        <v>83</v>
      </c>
      <c r="HM92" s="264">
        <f t="shared" si="521"/>
        <v>0</v>
      </c>
      <c r="HN92"/>
      <c r="HO92" s="199">
        <f t="shared" si="522"/>
        <v>5188296.0600500004</v>
      </c>
      <c r="HP92" s="199">
        <f t="shared" si="523"/>
        <v>10376592.120100001</v>
      </c>
      <c r="HQ92" s="199" t="str">
        <f t="shared" si="524"/>
        <v/>
      </c>
      <c r="HR92" s="199" t="str">
        <f t="shared" si="525"/>
        <v/>
      </c>
      <c r="HS92" s="199" t="str">
        <f t="shared" si="539"/>
        <v/>
      </c>
      <c r="HT92" s="199">
        <f t="shared" si="526"/>
        <v>5188296.0600500004</v>
      </c>
      <c r="HU92" s="199" t="str">
        <f t="shared" si="527"/>
        <v/>
      </c>
      <c r="HV92" s="200">
        <f t="shared" si="528"/>
        <v>0</v>
      </c>
      <c r="HW92" s="272" t="str">
        <f t="shared" si="540"/>
        <v/>
      </c>
      <c r="HX92" s="200">
        <f t="shared" si="529"/>
        <v>0</v>
      </c>
      <c r="HY92" s="200">
        <f t="shared" si="530"/>
        <v>5188296.0600500004</v>
      </c>
      <c r="HZ92" s="200">
        <f t="shared" si="535"/>
        <v>0</v>
      </c>
      <c r="IA92" s="200">
        <f t="shared" si="531"/>
        <v>0</v>
      </c>
      <c r="IB92" s="200">
        <f t="shared" si="532"/>
        <v>0</v>
      </c>
      <c r="IC92" s="273">
        <f>IF(C92="","",INDEX(Lookups!$E$2:$E$69,MATCH('Loan List'!BE92,Lookups!$F$2:$F$69,0)))</f>
        <v>53</v>
      </c>
      <c r="ID92" t="b">
        <f t="shared" si="533"/>
        <v>1</v>
      </c>
      <c r="IF92" s="346"/>
    </row>
    <row r="93" spans="1:240" ht="15" customHeight="1">
      <c r="A93" t="s">
        <v>527</v>
      </c>
      <c r="B93" s="242">
        <f t="shared" si="541"/>
        <v>84</v>
      </c>
      <c r="C93" s="242">
        <f>IF(COUNTIF($A$10:A92,A93)&gt;0,C92,C92+1)</f>
        <v>66</v>
      </c>
      <c r="D93" s="431" t="s">
        <v>761</v>
      </c>
      <c r="E93" s="428" t="s">
        <v>525</v>
      </c>
      <c r="F93" s="429"/>
      <c r="G93" s="430">
        <v>4812834</v>
      </c>
      <c r="H93" s="430">
        <v>4812834</v>
      </c>
      <c r="I93" s="244">
        <f>IF(B93="","",VLOOKUP(BF93,Inputs!$A$12:$J$15,10,FALSE))</f>
        <v>1</v>
      </c>
      <c r="J93" s="245">
        <f t="shared" si="542"/>
        <v>4812834</v>
      </c>
      <c r="K93" s="245">
        <f t="shared" si="543"/>
        <v>4812834</v>
      </c>
      <c r="L93" s="245">
        <f t="shared" si="544"/>
        <v>4812834</v>
      </c>
      <c r="M93" s="245">
        <f t="shared" si="545"/>
        <v>4812834</v>
      </c>
      <c r="N93" s="246" t="s">
        <v>246</v>
      </c>
      <c r="O93" s="246" t="s">
        <v>245</v>
      </c>
      <c r="P93" s="247">
        <f>IF(B93="","",IF(OR(O93="N/A",O93=""),0,YEARFRAC('Borrowing Base'!$J$4,'Loan List'!O93)*12))</f>
        <v>0</v>
      </c>
      <c r="Q93" s="246" t="s">
        <v>246</v>
      </c>
      <c r="R93" s="275">
        <v>0.98354055981483435</v>
      </c>
      <c r="S93" s="249" t="str">
        <f t="shared" si="546"/>
        <v>No</v>
      </c>
      <c r="T93" s="275">
        <v>0.98000000068693471</v>
      </c>
      <c r="U93" s="250">
        <f t="shared" si="547"/>
        <v>0.5</v>
      </c>
      <c r="V93" s="250">
        <f t="shared" si="548"/>
        <v>0.72499999999999998</v>
      </c>
      <c r="W93" s="251">
        <f t="shared" si="385"/>
        <v>2406417</v>
      </c>
      <c r="X93" s="246" t="s">
        <v>246</v>
      </c>
      <c r="Y93" s="252" t="s">
        <v>483</v>
      </c>
      <c r="Z93" s="252" t="s">
        <v>540</v>
      </c>
      <c r="AA93" s="253" t="s">
        <v>407</v>
      </c>
      <c r="AB93" s="253" t="s">
        <v>713</v>
      </c>
      <c r="AC93" s="254">
        <v>1.5577944323770632</v>
      </c>
      <c r="AD93" s="254">
        <v>0.85985630985632899</v>
      </c>
      <c r="AE93" s="254">
        <v>0.97264013605321897</v>
      </c>
      <c r="AF93" s="254">
        <v>0.42688484592978893</v>
      </c>
      <c r="AG93" s="256">
        <v>8.3037428759432164</v>
      </c>
      <c r="AH93" s="256">
        <v>8.3037428759432164</v>
      </c>
      <c r="AI93" s="256">
        <v>8.3037428759432164</v>
      </c>
      <c r="AJ93" s="256">
        <v>8.3037428759432164</v>
      </c>
      <c r="AK93" s="257">
        <v>59954779</v>
      </c>
      <c r="AL93" s="257">
        <v>59954779</v>
      </c>
      <c r="AM93" s="258">
        <v>45838</v>
      </c>
      <c r="AN93" s="245" t="str">
        <f t="shared" si="549"/>
        <v>Tier 1</v>
      </c>
      <c r="AO93" s="243">
        <v>46436</v>
      </c>
      <c r="AP93" s="259">
        <f>IF(C93="","",DAYS360(Inputs!$J$8,AO93)/360)</f>
        <v>1.4833333333333334</v>
      </c>
      <c r="AQ93" s="259">
        <f t="shared" si="550"/>
        <v>1.4833333333333334</v>
      </c>
      <c r="AR93" s="246" t="s">
        <v>246</v>
      </c>
      <c r="AS93" s="276">
        <v>0</v>
      </c>
      <c r="AT93" s="246" t="s">
        <v>64</v>
      </c>
      <c r="AU93" s="248">
        <v>0.01</v>
      </c>
      <c r="AV93" s="248">
        <v>7.7499999999999999E-2</v>
      </c>
      <c r="AW93" s="248">
        <v>4.2797000000000002E-2</v>
      </c>
      <c r="AX93" s="260">
        <f t="shared" si="551"/>
        <v>4.2797000000000002E-2</v>
      </c>
      <c r="AY93" s="248">
        <v>0</v>
      </c>
      <c r="AZ93" s="248">
        <v>5.0999999999999997E-2</v>
      </c>
      <c r="BA93" s="248">
        <v>0</v>
      </c>
      <c r="BB93" s="407">
        <f t="shared" si="536"/>
        <v>2.6500000000000003E-2</v>
      </c>
      <c r="BC93" s="407" t="str">
        <f t="shared" si="537"/>
        <v/>
      </c>
      <c r="BD93" s="252" t="s">
        <v>247</v>
      </c>
      <c r="BE93" s="261" t="s">
        <v>451</v>
      </c>
      <c r="BF93" s="252" t="s">
        <v>7</v>
      </c>
      <c r="BG93" s="252" t="s">
        <v>460</v>
      </c>
      <c r="BH93" s="246" t="s">
        <v>246</v>
      </c>
      <c r="BI93" s="408" t="str">
        <f t="shared" si="534"/>
        <v>Yes</v>
      </c>
      <c r="BJ93" s="408" t="str">
        <f t="shared" si="538"/>
        <v>No</v>
      </c>
      <c r="BK93" s="246" t="s">
        <v>246</v>
      </c>
      <c r="BL93" s="246" t="s">
        <v>246</v>
      </c>
      <c r="BM93" s="246" t="s">
        <v>64</v>
      </c>
      <c r="BN93" s="246" t="s">
        <v>64</v>
      </c>
      <c r="BO93" s="246" t="s">
        <v>246</v>
      </c>
      <c r="BP93" s="246" t="s">
        <v>246</v>
      </c>
      <c r="BQ93" s="246" t="s">
        <v>246</v>
      </c>
      <c r="BR93" s="246" t="s">
        <v>246</v>
      </c>
      <c r="BS93" s="246" t="s">
        <v>246</v>
      </c>
      <c r="BT93" s="246" t="s">
        <v>246</v>
      </c>
      <c r="BU93" s="246" t="s">
        <v>246</v>
      </c>
      <c r="BV93" s="246" t="s">
        <v>246</v>
      </c>
      <c r="BW93" s="246" t="s">
        <v>246</v>
      </c>
      <c r="BX93" s="246" t="s">
        <v>246</v>
      </c>
      <c r="BY93" s="246" t="s">
        <v>246</v>
      </c>
      <c r="BZ93" s="246" t="s">
        <v>246</v>
      </c>
      <c r="CA93" s="246" t="s">
        <v>246</v>
      </c>
      <c r="CB93" s="246" t="s">
        <v>64</v>
      </c>
      <c r="CC93" s="262">
        <f t="shared" si="552"/>
        <v>125492.72141639999</v>
      </c>
      <c r="CD93" s="262">
        <f t="shared" si="553"/>
        <v>0</v>
      </c>
      <c r="CE93" s="263"/>
      <c r="CF93" s="263">
        <f t="shared" si="403"/>
        <v>0</v>
      </c>
      <c r="CG93" s="263">
        <f t="shared" si="404"/>
        <v>0</v>
      </c>
      <c r="CH93" s="263">
        <f t="shared" si="405"/>
        <v>0</v>
      </c>
      <c r="CI93" s="263">
        <f t="shared" si="406"/>
        <v>0</v>
      </c>
      <c r="CJ93" s="263">
        <f t="shared" si="407"/>
        <v>0</v>
      </c>
      <c r="CK93" s="263">
        <f t="shared" si="408"/>
        <v>0</v>
      </c>
      <c r="CL93" s="263">
        <f t="shared" si="409"/>
        <v>0</v>
      </c>
      <c r="CM93" s="263">
        <f t="shared" si="410"/>
        <v>0</v>
      </c>
      <c r="CN93" s="263">
        <f t="shared" si="411"/>
        <v>0</v>
      </c>
      <c r="CO93" s="263">
        <f t="shared" si="412"/>
        <v>0</v>
      </c>
      <c r="CP93" s="263">
        <f t="shared" si="413"/>
        <v>0</v>
      </c>
      <c r="CQ93" s="263">
        <f t="shared" si="414"/>
        <v>0</v>
      </c>
      <c r="CR93" s="263">
        <f t="shared" si="415"/>
        <v>0</v>
      </c>
      <c r="CS93" s="263">
        <f t="shared" si="416"/>
        <v>0</v>
      </c>
      <c r="CT93" s="263">
        <f t="shared" si="417"/>
        <v>0</v>
      </c>
      <c r="CU93" s="263">
        <f t="shared" si="418"/>
        <v>0</v>
      </c>
      <c r="CV93" s="263">
        <f t="shared" si="419"/>
        <v>0</v>
      </c>
      <c r="CW93" s="263">
        <f t="shared" si="420"/>
        <v>0</v>
      </c>
      <c r="CX93" s="263">
        <f t="shared" si="421"/>
        <v>0</v>
      </c>
      <c r="CY93" s="263">
        <f t="shared" si="422"/>
        <v>0</v>
      </c>
      <c r="CZ93" s="263">
        <f t="shared" si="423"/>
        <v>0</v>
      </c>
      <c r="DA93" s="263">
        <f t="shared" si="424"/>
        <v>0</v>
      </c>
      <c r="DB93" s="263">
        <f t="shared" si="425"/>
        <v>0</v>
      </c>
      <c r="DC93" s="263">
        <f t="shared" si="426"/>
        <v>0</v>
      </c>
      <c r="DD93" s="263">
        <f t="shared" si="427"/>
        <v>1</v>
      </c>
      <c r="DE93" s="263">
        <f t="shared" si="428"/>
        <v>0</v>
      </c>
      <c r="DF93" s="263">
        <f t="shared" si="429"/>
        <v>2406417</v>
      </c>
      <c r="DG93" s="263">
        <f t="shared" si="430"/>
        <v>0</v>
      </c>
      <c r="DH93" s="263">
        <f t="shared" si="431"/>
        <v>2406417</v>
      </c>
      <c r="DI93" s="263">
        <f t="shared" si="432"/>
        <v>4812834</v>
      </c>
      <c r="DJ93" s="263">
        <f t="shared" si="433"/>
        <v>0</v>
      </c>
      <c r="DK93" s="263">
        <f t="shared" si="434"/>
        <v>0</v>
      </c>
      <c r="DL93" s="263">
        <f t="shared" si="435"/>
        <v>0</v>
      </c>
      <c r="DM93" s="263">
        <f t="shared" si="436"/>
        <v>0</v>
      </c>
      <c r="DO93" s="264">
        <f t="shared" si="437"/>
        <v>0</v>
      </c>
      <c r="DP93" s="265">
        <f t="shared" si="438"/>
        <v>0</v>
      </c>
      <c r="DQ93" s="264">
        <f t="shared" si="439"/>
        <v>2406417</v>
      </c>
      <c r="DR93" s="264">
        <f t="shared" si="440"/>
        <v>0</v>
      </c>
      <c r="DS93" s="265">
        <f t="shared" si="441"/>
        <v>0</v>
      </c>
      <c r="DT93" s="264">
        <f t="shared" si="442"/>
        <v>2406417</v>
      </c>
      <c r="DU93" s="264">
        <f t="shared" si="443"/>
        <v>0</v>
      </c>
      <c r="DV93" s="265">
        <f t="shared" si="444"/>
        <v>0</v>
      </c>
      <c r="DW93" s="264">
        <f t="shared" si="445"/>
        <v>2406417</v>
      </c>
      <c r="DX93" s="264">
        <f t="shared" si="446"/>
        <v>0</v>
      </c>
      <c r="DY93" s="265">
        <f t="shared" si="447"/>
        <v>0</v>
      </c>
      <c r="DZ93" s="264">
        <f t="shared" si="448"/>
        <v>2406417</v>
      </c>
      <c r="EA93" s="264">
        <f t="shared" si="449"/>
        <v>2406417</v>
      </c>
      <c r="EB93" s="265">
        <f t="shared" si="450"/>
        <v>0</v>
      </c>
      <c r="EC93" s="264">
        <f t="shared" si="451"/>
        <v>2406417</v>
      </c>
      <c r="ED93" s="264">
        <f t="shared" si="452"/>
        <v>0</v>
      </c>
      <c r="EE93" s="265">
        <f t="shared" si="453"/>
        <v>0</v>
      </c>
      <c r="EF93" s="264">
        <f t="shared" si="454"/>
        <v>2406417</v>
      </c>
      <c r="EG93" s="264">
        <f t="shared" si="455"/>
        <v>0</v>
      </c>
      <c r="EH93" s="265">
        <f t="shared" si="456"/>
        <v>0</v>
      </c>
      <c r="EI93" s="264">
        <f t="shared" si="457"/>
        <v>2406417</v>
      </c>
      <c r="EJ93" s="264">
        <f t="shared" si="458"/>
        <v>0</v>
      </c>
      <c r="EK93" s="265">
        <f t="shared" si="459"/>
        <v>0</v>
      </c>
      <c r="EL93" s="264">
        <f t="shared" si="460"/>
        <v>2406417</v>
      </c>
      <c r="EM93" s="264">
        <f t="shared" si="461"/>
        <v>0</v>
      </c>
      <c r="EN93" s="265">
        <f t="shared" si="462"/>
        <v>0</v>
      </c>
      <c r="EO93" s="264">
        <f t="shared" si="463"/>
        <v>2406417</v>
      </c>
      <c r="EP93" s="264">
        <f t="shared" si="464"/>
        <v>0</v>
      </c>
      <c r="EQ93" s="265">
        <f t="shared" si="465"/>
        <v>0</v>
      </c>
      <c r="ER93" s="264">
        <f t="shared" si="466"/>
        <v>2406417</v>
      </c>
      <c r="ES93" s="264">
        <f t="shared" si="467"/>
        <v>0</v>
      </c>
      <c r="ET93" s="265">
        <f t="shared" si="468"/>
        <v>0</v>
      </c>
      <c r="EU93" s="264">
        <f t="shared" si="469"/>
        <v>2406417</v>
      </c>
      <c r="EV93" s="264">
        <f>IF(AND(BM93="Yes",OR(BN93="No",AND(BN93="Yes",Inputs!$J$8=Inputs!$J$17+75))),EU93,0)</f>
        <v>0</v>
      </c>
      <c r="EW93" s="265">
        <f t="shared" si="470"/>
        <v>0</v>
      </c>
      <c r="EX93" s="264">
        <f t="shared" si="471"/>
        <v>2406417</v>
      </c>
      <c r="EY93" s="264">
        <f t="shared" si="472"/>
        <v>0</v>
      </c>
      <c r="EZ93" s="265">
        <f t="shared" si="473"/>
        <v>0</v>
      </c>
      <c r="FA93" s="264">
        <f t="shared" si="474"/>
        <v>2406417</v>
      </c>
      <c r="FB93" s="264">
        <f t="shared" si="475"/>
        <v>0</v>
      </c>
      <c r="FC93" s="265">
        <f t="shared" si="476"/>
        <v>0</v>
      </c>
      <c r="FD93" s="264">
        <f t="shared" si="477"/>
        <v>2406417</v>
      </c>
      <c r="FE93" s="264">
        <f t="shared" si="478"/>
        <v>0</v>
      </c>
      <c r="FF93" s="265">
        <f t="shared" si="479"/>
        <v>0</v>
      </c>
      <c r="FG93" s="264">
        <f t="shared" si="480"/>
        <v>2406417</v>
      </c>
      <c r="FH93" s="264">
        <f t="shared" si="481"/>
        <v>2406417</v>
      </c>
      <c r="FI93" s="264">
        <f t="shared" si="482"/>
        <v>0</v>
      </c>
      <c r="FJ93" s="264">
        <f t="shared" si="483"/>
        <v>2406417</v>
      </c>
      <c r="FK93" s="264">
        <f t="shared" si="484"/>
        <v>2406417</v>
      </c>
      <c r="FL93" s="264">
        <f t="shared" si="485"/>
        <v>0</v>
      </c>
      <c r="FM93" s="264">
        <f t="shared" si="486"/>
        <v>2406417</v>
      </c>
      <c r="FN93" s="264">
        <f t="shared" si="487"/>
        <v>2406417</v>
      </c>
      <c r="FO93" s="264">
        <f t="shared" si="488"/>
        <v>0</v>
      </c>
      <c r="FP93" s="264">
        <f t="shared" si="489"/>
        <v>2406417</v>
      </c>
      <c r="FQ93" s="264">
        <f t="shared" si="490"/>
        <v>0</v>
      </c>
      <c r="FR93" s="265">
        <f t="shared" si="491"/>
        <v>0</v>
      </c>
      <c r="FS93" s="264">
        <f t="shared" si="492"/>
        <v>2406417</v>
      </c>
      <c r="FT93" s="264">
        <f t="shared" si="493"/>
        <v>0</v>
      </c>
      <c r="FU93" s="265">
        <f t="shared" si="494"/>
        <v>0</v>
      </c>
      <c r="FV93" s="264">
        <f t="shared" si="495"/>
        <v>2406417</v>
      </c>
      <c r="FW93" s="264">
        <f t="shared" si="496"/>
        <v>0</v>
      </c>
      <c r="FX93" s="264">
        <f t="shared" si="497"/>
        <v>0</v>
      </c>
      <c r="FY93" s="264">
        <f t="shared" si="498"/>
        <v>0</v>
      </c>
      <c r="FZ93" s="264">
        <f t="shared" si="499"/>
        <v>0</v>
      </c>
      <c r="GA93" s="265">
        <f t="shared" si="500"/>
        <v>0</v>
      </c>
      <c r="GB93" s="264">
        <f t="shared" si="501"/>
        <v>2406417</v>
      </c>
      <c r="GC93" s="264">
        <f t="shared" si="502"/>
        <v>2406417</v>
      </c>
      <c r="GD93" s="266">
        <f t="shared" si="503"/>
        <v>1744652.325</v>
      </c>
      <c r="GE93" s="138">
        <f t="shared" si="504"/>
        <v>0.36249999999999999</v>
      </c>
      <c r="GF93" s="267">
        <f t="shared" si="505"/>
        <v>53</v>
      </c>
      <c r="GG93" s="264">
        <f t="array" ref="GG93">IF(SUM(IF(IC$9:IC92=IC93,1,0))&gt;0,0,SUMIF($IC$10:$IC$406,IC93,$FJ$10:$FJ$406))</f>
        <v>0</v>
      </c>
      <c r="GH93" s="268">
        <f t="shared" si="506"/>
        <v>0</v>
      </c>
      <c r="GI93" s="137">
        <f t="shared" si="126"/>
        <v>84</v>
      </c>
      <c r="GJ93" s="269">
        <f t="shared" si="507"/>
        <v>0</v>
      </c>
      <c r="GK93" s="269">
        <f t="shared" si="508"/>
        <v>0</v>
      </c>
      <c r="GL93" s="163">
        <f t="shared" si="509"/>
        <v>0</v>
      </c>
      <c r="GM93" s="137">
        <f t="array" ref="GM93">IF(GJ93=0,0,LARGE(IF($GG$10:$GG$406=GJ93,$GF$10:$GF$406,0),COUNTIF($GJ$10:$GJ$406,GJ93)-COUNTIF(GJ$9:GJ92,GJ93)))</f>
        <v>0</v>
      </c>
      <c r="GN93" s="270">
        <f t="shared" si="510"/>
        <v>0</v>
      </c>
      <c r="GP93" s="137">
        <f>IF(C93="","",IF(ISERROR(MATCH(C93,C$10:C92,0)),MAX(GP$10:GP92)+1,INDEX(GP$10:GP92,MATCH(C93,C$10:C92,0))))</f>
        <v>66</v>
      </c>
      <c r="GQ93" s="264">
        <f>IF(COUNTIF($A$10:A93,A93)&lt;=1,SUMIF($A$10:$A$406,A93,$FH$10:$FH$406),0)</f>
        <v>0</v>
      </c>
      <c r="GR93" s="137">
        <f t="shared" si="130"/>
        <v>84</v>
      </c>
      <c r="GS93" s="269">
        <f t="shared" si="554"/>
        <v>2456406</v>
      </c>
      <c r="GT93" s="269">
        <f t="shared" si="555"/>
        <v>50964284.172430128</v>
      </c>
      <c r="GU93" s="163">
        <f t="shared" si="556"/>
        <v>0</v>
      </c>
      <c r="GV93" s="137">
        <f t="array" ref="GV93">IF(GS93=0,0,LARGE(IF($GQ$10:$GQ$406=GS93,$GP$10:$GP$406,0),COUNTIF($GS$10:$GS$406,GS93)-COUNTIF(GS$9:GS92,GS93)))</f>
        <v>108</v>
      </c>
      <c r="GW93" s="270">
        <f t="shared" si="557"/>
        <v>0</v>
      </c>
      <c r="GX93" s="270"/>
      <c r="GY93" s="137">
        <f>IF(C93="","",IF(ISERROR(MATCH(C93,C$10:C92,0)),MAX(GP$10:GP92)+1,INDEX(GP$10:GP92,MATCH(C93,C$10:C92,0))))</f>
        <v>66</v>
      </c>
      <c r="GZ93" s="264">
        <f>IF(COUNTIF($A$10:A93,A93)&lt;=1,SUMIF($A$10:$A$406,A93,$FH$10:$FH$406),0)</f>
        <v>0</v>
      </c>
      <c r="HA93" s="137">
        <f t="shared" si="134"/>
        <v>84</v>
      </c>
      <c r="HB93" s="269">
        <f t="shared" si="515"/>
        <v>2456406</v>
      </c>
      <c r="HC93" s="414" t="s">
        <v>622</v>
      </c>
      <c r="HD93" s="163">
        <f t="shared" si="516"/>
        <v>0</v>
      </c>
      <c r="HE93" s="137">
        <f t="array" ref="HE93">IF(HB93=0,0,LARGE(IF($GZ$10:$GZ$406=HB93,$GY$10:$GY$406,0),COUNTIF($HB$10:$HB$406,HB93)-COUNTIF(HB$9:HB92,HB93)))</f>
        <v>108</v>
      </c>
      <c r="HF93" s="270">
        <f t="shared" si="517"/>
        <v>0</v>
      </c>
      <c r="HG93" s="270"/>
      <c r="HH93" s="268">
        <f t="shared" si="518"/>
        <v>0</v>
      </c>
      <c r="HI93" s="271">
        <v>0</v>
      </c>
      <c r="HJ93" s="264">
        <f t="shared" si="519"/>
        <v>0</v>
      </c>
      <c r="HL93" s="137">
        <f t="shared" si="520"/>
        <v>84</v>
      </c>
      <c r="HM93" s="264">
        <f t="shared" si="521"/>
        <v>9164597.4299999997</v>
      </c>
      <c r="HN93"/>
      <c r="HO93" s="199">
        <f t="shared" si="522"/>
        <v>2406417</v>
      </c>
      <c r="HP93" s="199">
        <f t="shared" si="523"/>
        <v>4812834</v>
      </c>
      <c r="HQ93" s="199" t="str">
        <f t="shared" si="524"/>
        <v/>
      </c>
      <c r="HR93" s="199" t="str">
        <f t="shared" si="525"/>
        <v/>
      </c>
      <c r="HS93" s="199" t="str">
        <f t="shared" si="539"/>
        <v/>
      </c>
      <c r="HT93" s="199">
        <f t="shared" si="526"/>
        <v>2406417</v>
      </c>
      <c r="HU93" s="199" t="str">
        <f t="shared" si="527"/>
        <v/>
      </c>
      <c r="HV93" s="200">
        <f t="shared" si="528"/>
        <v>0</v>
      </c>
      <c r="HW93" s="272" t="str">
        <f t="shared" si="540"/>
        <v/>
      </c>
      <c r="HX93" s="200">
        <f t="shared" si="529"/>
        <v>0</v>
      </c>
      <c r="HY93" s="200">
        <f t="shared" si="530"/>
        <v>2406417</v>
      </c>
      <c r="HZ93" s="200">
        <f t="shared" si="535"/>
        <v>0</v>
      </c>
      <c r="IA93" s="200">
        <f t="shared" si="531"/>
        <v>0</v>
      </c>
      <c r="IB93" s="200">
        <f t="shared" si="532"/>
        <v>0</v>
      </c>
      <c r="IC93" s="273">
        <f>IF(C93="","",INDEX(Lookups!$E$2:$E$69,MATCH('Loan List'!BE93,Lookups!$F$2:$F$69,0)))</f>
        <v>53</v>
      </c>
      <c r="ID93" t="b">
        <f t="shared" si="533"/>
        <v>1</v>
      </c>
      <c r="IF93" s="346"/>
    </row>
    <row r="94" spans="1:240" ht="15" customHeight="1">
      <c r="A94" t="s">
        <v>251</v>
      </c>
      <c r="B94" s="242">
        <f t="shared" si="541"/>
        <v>85</v>
      </c>
      <c r="C94" s="242">
        <f>IF(COUNTIF($A$10:A93,A94)&gt;0,C93,C93+1)</f>
        <v>67</v>
      </c>
      <c r="D94" s="428" t="s">
        <v>251</v>
      </c>
      <c r="E94" s="428" t="s">
        <v>475</v>
      </c>
      <c r="F94" s="429"/>
      <c r="G94" s="430">
        <v>760638.88</v>
      </c>
      <c r="H94" s="430">
        <v>760638.88</v>
      </c>
      <c r="I94" s="244">
        <f>IF(B94="","",VLOOKUP(BF94,Inputs!$A$12:$J$15,10,FALSE))</f>
        <v>1</v>
      </c>
      <c r="J94" s="245">
        <f t="shared" si="542"/>
        <v>760638.88</v>
      </c>
      <c r="K94" s="245">
        <f t="shared" si="543"/>
        <v>760638.88</v>
      </c>
      <c r="L94" s="245">
        <f t="shared" si="544"/>
        <v>760638.88</v>
      </c>
      <c r="M94" s="245">
        <f t="shared" si="545"/>
        <v>760638.88</v>
      </c>
      <c r="N94" s="246" t="s">
        <v>246</v>
      </c>
      <c r="O94" s="246" t="s">
        <v>245</v>
      </c>
      <c r="P94" s="247">
        <f>IF(B94="","",IF(OR(O94="N/A",O94=""),0,YEARFRAC('Borrowing Base'!$J$4,'Loan List'!O94)*12))</f>
        <v>0</v>
      </c>
      <c r="Q94" s="246" t="s">
        <v>246</v>
      </c>
      <c r="R94" s="275">
        <v>0.99386195112510056</v>
      </c>
      <c r="S94" s="249" t="str">
        <f t="shared" si="546"/>
        <v>No</v>
      </c>
      <c r="T94" s="275">
        <v>1</v>
      </c>
      <c r="U94" s="250">
        <f t="shared" si="547"/>
        <v>0.5</v>
      </c>
      <c r="V94" s="250">
        <f t="shared" si="548"/>
        <v>0.70097783266388303</v>
      </c>
      <c r="W94" s="251">
        <f t="shared" si="385"/>
        <v>760638.88</v>
      </c>
      <c r="X94" s="246" t="s">
        <v>64</v>
      </c>
      <c r="Y94" s="252" t="s">
        <v>483</v>
      </c>
      <c r="Z94" s="252" t="s">
        <v>484</v>
      </c>
      <c r="AA94" s="253" t="s">
        <v>407</v>
      </c>
      <c r="AB94" s="253" t="s">
        <v>713</v>
      </c>
      <c r="AC94" s="254">
        <v>1.91</v>
      </c>
      <c r="AD94" s="254">
        <v>1.988774887927236</v>
      </c>
      <c r="AE94" s="254">
        <v>2.6686041252154546</v>
      </c>
      <c r="AF94" s="254">
        <v>0.40300000000000002</v>
      </c>
      <c r="AG94" s="256">
        <v>4.8079959557333325</v>
      </c>
      <c r="AH94" s="256">
        <v>4.8079959557333325</v>
      </c>
      <c r="AI94" s="256">
        <v>3.8920021047092872</v>
      </c>
      <c r="AJ94" s="256">
        <v>3.8920021047092872</v>
      </c>
      <c r="AK94" s="257">
        <v>28067827.269920599</v>
      </c>
      <c r="AL94" s="257">
        <v>76020000</v>
      </c>
      <c r="AM94" s="258">
        <v>45808</v>
      </c>
      <c r="AN94" s="245" t="str">
        <f t="shared" si="549"/>
        <v>Tier 2</v>
      </c>
      <c r="AO94" s="243">
        <v>46421</v>
      </c>
      <c r="AP94" s="259">
        <f>IF(C94="","",DAYS360(Inputs!$J$8,AO94)/360)</f>
        <v>1.4416666666666667</v>
      </c>
      <c r="AQ94" s="259">
        <f t="shared" si="550"/>
        <v>1.4416666666666667</v>
      </c>
      <c r="AR94" s="246" t="s">
        <v>246</v>
      </c>
      <c r="AS94" s="276">
        <v>0</v>
      </c>
      <c r="AT94" s="246" t="s">
        <v>64</v>
      </c>
      <c r="AU94" s="248">
        <v>0.01</v>
      </c>
      <c r="AV94" s="248">
        <v>4.8500000000000001E-2</v>
      </c>
      <c r="AW94" s="248">
        <v>4.1956000000000007E-2</v>
      </c>
      <c r="AX94" s="260">
        <f t="shared" si="551"/>
        <v>4.1956000000000007E-2</v>
      </c>
      <c r="AY94" s="248">
        <v>0</v>
      </c>
      <c r="AZ94" s="248">
        <v>0</v>
      </c>
      <c r="BA94" s="248">
        <v>0</v>
      </c>
      <c r="BB94" s="407">
        <f t="shared" si="536"/>
        <v>4.8500000000000001E-2</v>
      </c>
      <c r="BC94" s="407" t="str">
        <f t="shared" si="537"/>
        <v/>
      </c>
      <c r="BD94" s="252" t="s">
        <v>247</v>
      </c>
      <c r="BE94" s="261" t="s">
        <v>408</v>
      </c>
      <c r="BF94" s="252" t="s">
        <v>7</v>
      </c>
      <c r="BG94" s="252" t="s">
        <v>460</v>
      </c>
      <c r="BH94" s="246" t="s">
        <v>246</v>
      </c>
      <c r="BI94" s="408" t="str">
        <f t="shared" si="534"/>
        <v>No</v>
      </c>
      <c r="BJ94" s="408" t="str">
        <f t="shared" si="538"/>
        <v>No</v>
      </c>
      <c r="BK94" s="246" t="s">
        <v>246</v>
      </c>
      <c r="BL94" s="246" t="s">
        <v>246</v>
      </c>
      <c r="BM94" s="246" t="s">
        <v>246</v>
      </c>
      <c r="BN94" s="246" t="s">
        <v>246</v>
      </c>
      <c r="BO94" s="246" t="s">
        <v>246</v>
      </c>
      <c r="BP94" s="246" t="s">
        <v>246</v>
      </c>
      <c r="BQ94" s="246" t="s">
        <v>246</v>
      </c>
      <c r="BR94" s="246" t="s">
        <v>246</v>
      </c>
      <c r="BS94" s="246" t="s">
        <v>246</v>
      </c>
      <c r="BT94" s="246" t="s">
        <v>246</v>
      </c>
      <c r="BU94" s="246" t="s">
        <v>246</v>
      </c>
      <c r="BV94" s="246" t="s">
        <v>246</v>
      </c>
      <c r="BW94" s="246" t="s">
        <v>246</v>
      </c>
      <c r="BX94" s="246" t="s">
        <v>246</v>
      </c>
      <c r="BY94" s="246" t="s">
        <v>246</v>
      </c>
      <c r="BZ94" s="246" t="s">
        <v>246</v>
      </c>
      <c r="CA94" s="246" t="s">
        <v>246</v>
      </c>
      <c r="CB94" s="246" t="s">
        <v>64</v>
      </c>
      <c r="CC94" s="262">
        <f t="shared" si="552"/>
        <v>35927.712602368003</v>
      </c>
      <c r="CD94" s="262">
        <f t="shared" si="553"/>
        <v>0</v>
      </c>
      <c r="CE94" s="263"/>
      <c r="CF94" s="263">
        <f t="shared" si="403"/>
        <v>0</v>
      </c>
      <c r="CG94" s="263">
        <f t="shared" si="404"/>
        <v>0</v>
      </c>
      <c r="CH94" s="263">
        <f t="shared" si="405"/>
        <v>0</v>
      </c>
      <c r="CI94" s="263">
        <f t="shared" si="406"/>
        <v>0</v>
      </c>
      <c r="CJ94" s="263">
        <f t="shared" si="407"/>
        <v>0</v>
      </c>
      <c r="CK94" s="263">
        <f t="shared" si="408"/>
        <v>0</v>
      </c>
      <c r="CL94" s="263">
        <f t="shared" si="409"/>
        <v>0</v>
      </c>
      <c r="CM94" s="263">
        <f t="shared" si="410"/>
        <v>0</v>
      </c>
      <c r="CN94" s="263">
        <f t="shared" si="411"/>
        <v>0</v>
      </c>
      <c r="CO94" s="263">
        <f t="shared" si="412"/>
        <v>0</v>
      </c>
      <c r="CP94" s="263">
        <f t="shared" si="413"/>
        <v>0</v>
      </c>
      <c r="CQ94" s="263">
        <f t="shared" si="414"/>
        <v>0</v>
      </c>
      <c r="CR94" s="263">
        <f t="shared" si="415"/>
        <v>0</v>
      </c>
      <c r="CS94" s="263">
        <f t="shared" si="416"/>
        <v>0</v>
      </c>
      <c r="CT94" s="263">
        <f t="shared" si="417"/>
        <v>0</v>
      </c>
      <c r="CU94" s="263">
        <f t="shared" si="418"/>
        <v>0</v>
      </c>
      <c r="CV94" s="263">
        <f t="shared" si="419"/>
        <v>0</v>
      </c>
      <c r="CW94" s="263">
        <f t="shared" si="420"/>
        <v>0</v>
      </c>
      <c r="CX94" s="263">
        <f t="shared" si="421"/>
        <v>0</v>
      </c>
      <c r="CY94" s="263">
        <f t="shared" si="422"/>
        <v>0</v>
      </c>
      <c r="CZ94" s="263">
        <f t="shared" si="423"/>
        <v>0</v>
      </c>
      <c r="DA94" s="263">
        <f t="shared" si="424"/>
        <v>0</v>
      </c>
      <c r="DB94" s="263">
        <f t="shared" si="425"/>
        <v>0</v>
      </c>
      <c r="DC94" s="263">
        <f t="shared" si="426"/>
        <v>0</v>
      </c>
      <c r="DD94" s="263">
        <f t="shared" si="427"/>
        <v>0</v>
      </c>
      <c r="DE94" s="263">
        <f t="shared" si="428"/>
        <v>0</v>
      </c>
      <c r="DF94" s="263">
        <f t="shared" si="429"/>
        <v>760638.88</v>
      </c>
      <c r="DG94" s="263">
        <f t="shared" si="430"/>
        <v>0</v>
      </c>
      <c r="DH94" s="263">
        <f t="shared" si="431"/>
        <v>760638.88</v>
      </c>
      <c r="DI94" s="263">
        <f t="shared" si="432"/>
        <v>760638.88</v>
      </c>
      <c r="DJ94" s="263">
        <f t="shared" si="433"/>
        <v>0</v>
      </c>
      <c r="DK94" s="263">
        <f t="shared" si="434"/>
        <v>0</v>
      </c>
      <c r="DL94" s="263">
        <f t="shared" si="435"/>
        <v>0</v>
      </c>
      <c r="DM94" s="263">
        <f t="shared" si="436"/>
        <v>0</v>
      </c>
      <c r="DO94" s="264">
        <f t="shared" si="437"/>
        <v>0</v>
      </c>
      <c r="DP94" s="265">
        <f t="shared" si="438"/>
        <v>0</v>
      </c>
      <c r="DQ94" s="264">
        <f t="shared" si="439"/>
        <v>760638.88</v>
      </c>
      <c r="DR94" s="264">
        <f t="shared" si="440"/>
        <v>0</v>
      </c>
      <c r="DS94" s="265">
        <f t="shared" si="441"/>
        <v>0</v>
      </c>
      <c r="DT94" s="264">
        <f t="shared" si="442"/>
        <v>760638.88</v>
      </c>
      <c r="DU94" s="264">
        <f t="shared" si="443"/>
        <v>0</v>
      </c>
      <c r="DV94" s="265">
        <f t="shared" si="444"/>
        <v>0</v>
      </c>
      <c r="DW94" s="264">
        <f t="shared" si="445"/>
        <v>760638.88</v>
      </c>
      <c r="DX94" s="264">
        <f t="shared" si="446"/>
        <v>0</v>
      </c>
      <c r="DY94" s="265">
        <f t="shared" si="447"/>
        <v>0</v>
      </c>
      <c r="DZ94" s="264">
        <f t="shared" si="448"/>
        <v>760638.88</v>
      </c>
      <c r="EA94" s="264">
        <f t="shared" si="449"/>
        <v>0</v>
      </c>
      <c r="EB94" s="265">
        <f t="shared" si="450"/>
        <v>0</v>
      </c>
      <c r="EC94" s="264">
        <f t="shared" si="451"/>
        <v>760638.88</v>
      </c>
      <c r="ED94" s="264">
        <f t="shared" si="452"/>
        <v>0</v>
      </c>
      <c r="EE94" s="265">
        <f t="shared" si="453"/>
        <v>0</v>
      </c>
      <c r="EF94" s="264">
        <f t="shared" si="454"/>
        <v>760638.88</v>
      </c>
      <c r="EG94" s="264">
        <f t="shared" si="455"/>
        <v>0</v>
      </c>
      <c r="EH94" s="265">
        <f t="shared" si="456"/>
        <v>0</v>
      </c>
      <c r="EI94" s="264">
        <f t="shared" si="457"/>
        <v>760638.88</v>
      </c>
      <c r="EJ94" s="264">
        <f t="shared" si="458"/>
        <v>0</v>
      </c>
      <c r="EK94" s="265">
        <f t="shared" si="459"/>
        <v>0</v>
      </c>
      <c r="EL94" s="264">
        <f t="shared" si="460"/>
        <v>760638.88</v>
      </c>
      <c r="EM94" s="264">
        <f t="shared" si="461"/>
        <v>0</v>
      </c>
      <c r="EN94" s="265">
        <f t="shared" si="462"/>
        <v>0</v>
      </c>
      <c r="EO94" s="264">
        <f t="shared" si="463"/>
        <v>760638.88</v>
      </c>
      <c r="EP94" s="264">
        <f t="shared" si="464"/>
        <v>0</v>
      </c>
      <c r="EQ94" s="265">
        <f t="shared" si="465"/>
        <v>0</v>
      </c>
      <c r="ER94" s="264">
        <f t="shared" si="466"/>
        <v>760638.88</v>
      </c>
      <c r="ES94" s="264">
        <f t="shared" si="467"/>
        <v>0</v>
      </c>
      <c r="ET94" s="265">
        <f t="shared" si="468"/>
        <v>0</v>
      </c>
      <c r="EU94" s="264">
        <f t="shared" si="469"/>
        <v>760638.88</v>
      </c>
      <c r="EV94" s="264">
        <f>IF(AND(BM94="Yes",OR(BN94="No",AND(BN94="Yes",Inputs!$J$8=Inputs!$J$17+75))),EU94,0)</f>
        <v>0</v>
      </c>
      <c r="EW94" s="265">
        <f t="shared" si="470"/>
        <v>0</v>
      </c>
      <c r="EX94" s="264">
        <f t="shared" si="471"/>
        <v>760638.88</v>
      </c>
      <c r="EY94" s="264">
        <f t="shared" si="472"/>
        <v>0</v>
      </c>
      <c r="EZ94" s="265">
        <f t="shared" si="473"/>
        <v>0</v>
      </c>
      <c r="FA94" s="264">
        <f t="shared" si="474"/>
        <v>760638.88</v>
      </c>
      <c r="FB94" s="264">
        <f t="shared" si="475"/>
        <v>0</v>
      </c>
      <c r="FC94" s="265">
        <f t="shared" si="476"/>
        <v>0</v>
      </c>
      <c r="FD94" s="264">
        <f t="shared" si="477"/>
        <v>760638.88</v>
      </c>
      <c r="FE94" s="264">
        <f t="shared" si="478"/>
        <v>0</v>
      </c>
      <c r="FF94" s="265">
        <f t="shared" si="479"/>
        <v>0</v>
      </c>
      <c r="FG94" s="264">
        <f t="shared" si="480"/>
        <v>760638.88</v>
      </c>
      <c r="FH94" s="264">
        <f t="shared" si="481"/>
        <v>760638.88</v>
      </c>
      <c r="FI94" s="264">
        <f t="shared" si="482"/>
        <v>0</v>
      </c>
      <c r="FJ94" s="264">
        <f t="shared" si="483"/>
        <v>760638.88</v>
      </c>
      <c r="FK94" s="264">
        <f t="shared" si="484"/>
        <v>760638.88</v>
      </c>
      <c r="FL94" s="264">
        <f t="shared" si="485"/>
        <v>0</v>
      </c>
      <c r="FM94" s="264">
        <f t="shared" si="486"/>
        <v>760638.88</v>
      </c>
      <c r="FN94" s="264">
        <f t="shared" si="487"/>
        <v>760638.88</v>
      </c>
      <c r="FO94" s="264">
        <f t="shared" si="488"/>
        <v>0</v>
      </c>
      <c r="FP94" s="264">
        <f t="shared" si="489"/>
        <v>760638.88</v>
      </c>
      <c r="FQ94" s="264">
        <f t="shared" si="490"/>
        <v>0</v>
      </c>
      <c r="FR94" s="265">
        <f t="shared" si="491"/>
        <v>0</v>
      </c>
      <c r="FS94" s="264">
        <f t="shared" si="492"/>
        <v>760638.88</v>
      </c>
      <c r="FT94" s="264">
        <f t="shared" si="493"/>
        <v>0</v>
      </c>
      <c r="FU94" s="265">
        <f t="shared" si="494"/>
        <v>0</v>
      </c>
      <c r="FV94" s="264">
        <f t="shared" si="495"/>
        <v>760638.88</v>
      </c>
      <c r="FW94" s="264">
        <f t="shared" si="496"/>
        <v>0</v>
      </c>
      <c r="FX94" s="264">
        <f t="shared" si="497"/>
        <v>0</v>
      </c>
      <c r="FY94" s="264">
        <f t="shared" si="498"/>
        <v>0</v>
      </c>
      <c r="FZ94" s="264">
        <f t="shared" si="499"/>
        <v>0</v>
      </c>
      <c r="GA94" s="265">
        <f t="shared" si="500"/>
        <v>0</v>
      </c>
      <c r="GB94" s="264">
        <f t="shared" si="501"/>
        <v>760638.88</v>
      </c>
      <c r="GC94" s="264">
        <f t="shared" si="502"/>
        <v>760638.88</v>
      </c>
      <c r="GD94" s="266">
        <f t="shared" si="503"/>
        <v>533190.99354228342</v>
      </c>
      <c r="GE94" s="138">
        <f t="shared" si="504"/>
        <v>0.70097783266388303</v>
      </c>
      <c r="GF94" s="267">
        <f t="shared" si="505"/>
        <v>31</v>
      </c>
      <c r="GG94" s="264">
        <f t="array" ref="GG94">IF(SUM(IF(IC$9:IC93=IC94,1,0))&gt;0,0,SUMIF($IC$10:$IC$406,IC94,$FJ$10:$FJ$406))</f>
        <v>0</v>
      </c>
      <c r="GH94" s="268">
        <f t="shared" si="506"/>
        <v>0</v>
      </c>
      <c r="GI94" s="137">
        <f t="shared" si="126"/>
        <v>85</v>
      </c>
      <c r="GJ94" s="269">
        <f t="shared" si="507"/>
        <v>0</v>
      </c>
      <c r="GK94" s="269">
        <f t="shared" si="508"/>
        <v>0</v>
      </c>
      <c r="GL94" s="163">
        <f t="shared" si="509"/>
        <v>0</v>
      </c>
      <c r="GM94" s="137">
        <f t="array" ref="GM94">IF(GJ94=0,0,LARGE(IF($GG$10:$GG$406=GJ94,$GF$10:$GF$406,0),COUNTIF($GJ$10:$GJ$406,GJ94)-COUNTIF(GJ$9:GJ93,GJ94)))</f>
        <v>0</v>
      </c>
      <c r="GN94" s="270">
        <f t="shared" si="510"/>
        <v>0</v>
      </c>
      <c r="GP94" s="137">
        <f>IF(C94="","",IF(ISERROR(MATCH(C94,C$10:C93,0)),MAX(GP$10:GP93)+1,INDEX(GP$10:GP93,MATCH(C94,C$10:C93,0))))</f>
        <v>67</v>
      </c>
      <c r="GQ94" s="264">
        <f>IF(COUNTIF($A$10:A94,A94)&lt;=1,SUMIF($A$10:$A$406,A94,$FH$10:$FH$406),0)</f>
        <v>760638.88</v>
      </c>
      <c r="GR94" s="137">
        <f t="shared" si="130"/>
        <v>85</v>
      </c>
      <c r="GS94" s="269">
        <f t="shared" si="554"/>
        <v>2400004</v>
      </c>
      <c r="GT94" s="269">
        <f t="shared" si="555"/>
        <v>50964284.172430128</v>
      </c>
      <c r="GU94" s="163">
        <f t="shared" si="556"/>
        <v>0</v>
      </c>
      <c r="GV94" s="137">
        <f t="array" ref="GV94">IF(GS94=0,0,LARGE(IF($GQ$10:$GQ$406=GS94,$GP$10:$GP$406,0),COUNTIF($GS$10:$GS$406,GS94)-COUNTIF(GS$9:GS93,GS94)))</f>
        <v>45</v>
      </c>
      <c r="GW94" s="270">
        <f t="shared" si="557"/>
        <v>0</v>
      </c>
      <c r="GX94" s="270"/>
      <c r="GY94" s="137">
        <f>IF(C94="","",IF(ISERROR(MATCH(C94,C$10:C93,0)),MAX(GP$10:GP93)+1,INDEX(GP$10:GP93,MATCH(C94,C$10:C93,0))))</f>
        <v>67</v>
      </c>
      <c r="GZ94" s="264">
        <f>IF(COUNTIF($A$10:A94,A94)&lt;=1,SUMIF($A$10:$A$406,A94,$FH$10:$FH$406),0)</f>
        <v>760638.88</v>
      </c>
      <c r="HA94" s="137">
        <f t="shared" si="134"/>
        <v>85</v>
      </c>
      <c r="HB94" s="269">
        <f t="shared" si="515"/>
        <v>2400004</v>
      </c>
      <c r="HC94" s="414" t="s">
        <v>622</v>
      </c>
      <c r="HD94" s="163">
        <f t="shared" si="516"/>
        <v>0</v>
      </c>
      <c r="HE94" s="137">
        <f t="array" ref="HE94">IF(HB94=0,0,LARGE(IF($GZ$10:$GZ$406=HB94,$GY$10:$GY$406,0),COUNTIF($HB$10:$HB$406,HB94)-COUNTIF(HB$9:HB93,HB94)))</f>
        <v>45</v>
      </c>
      <c r="HF94" s="270">
        <f t="shared" si="517"/>
        <v>0</v>
      </c>
      <c r="HG94" s="270"/>
      <c r="HH94" s="268">
        <f t="shared" si="518"/>
        <v>0</v>
      </c>
      <c r="HI94" s="271">
        <v>0</v>
      </c>
      <c r="HJ94" s="264">
        <f t="shared" si="519"/>
        <v>0</v>
      </c>
      <c r="HL94" s="137">
        <f t="shared" si="520"/>
        <v>85</v>
      </c>
      <c r="HM94" s="264">
        <f t="shared" si="521"/>
        <v>0</v>
      </c>
      <c r="HN94"/>
      <c r="HO94" s="199">
        <f t="shared" si="522"/>
        <v>760638.88</v>
      </c>
      <c r="HP94" s="199">
        <f t="shared" si="523"/>
        <v>760638.88</v>
      </c>
      <c r="HQ94" s="199" t="str">
        <f t="shared" si="524"/>
        <v/>
      </c>
      <c r="HR94" s="199" t="str">
        <f t="shared" si="525"/>
        <v/>
      </c>
      <c r="HS94" s="199" t="str">
        <f t="shared" si="539"/>
        <v/>
      </c>
      <c r="HT94" s="199" t="str">
        <f t="shared" si="526"/>
        <v/>
      </c>
      <c r="HU94" s="199" t="str">
        <f t="shared" si="527"/>
        <v/>
      </c>
      <c r="HV94" s="200">
        <f t="shared" si="528"/>
        <v>0</v>
      </c>
      <c r="HW94" s="272">
        <f t="shared" si="540"/>
        <v>1</v>
      </c>
      <c r="HX94" s="200" t="str">
        <f t="shared" si="529"/>
        <v/>
      </c>
      <c r="HY94" s="200">
        <f t="shared" si="530"/>
        <v>0</v>
      </c>
      <c r="HZ94" s="200" t="str">
        <f t="shared" si="535"/>
        <v/>
      </c>
      <c r="IA94" s="200" t="str">
        <f t="shared" si="531"/>
        <v/>
      </c>
      <c r="IB94" s="200" t="str">
        <f t="shared" si="532"/>
        <v/>
      </c>
      <c r="IC94" s="273">
        <f>IF(C94="","",INDEX(Lookups!$E$2:$E$69,MATCH('Loan List'!BE94,Lookups!$F$2:$F$69,0)))</f>
        <v>31</v>
      </c>
      <c r="ID94" t="b">
        <f t="shared" si="533"/>
        <v>1</v>
      </c>
      <c r="IF94" s="346"/>
    </row>
    <row r="95" spans="1:240" ht="15" customHeight="1">
      <c r="A95" t="s">
        <v>596</v>
      </c>
      <c r="B95" s="242">
        <f t="shared" si="541"/>
        <v>86</v>
      </c>
      <c r="C95" s="242">
        <f>IF(COUNTIF($A$10:A94,A95)&gt;0,C94,C94+1)</f>
        <v>68</v>
      </c>
      <c r="D95" s="428" t="s">
        <v>596</v>
      </c>
      <c r="E95" s="428" t="s">
        <v>532</v>
      </c>
      <c r="F95" s="429"/>
      <c r="G95" s="430">
        <v>9969773.1400000006</v>
      </c>
      <c r="H95" s="430">
        <v>9969773.1400000006</v>
      </c>
      <c r="I95" s="244">
        <f>IF(B95="","",VLOOKUP(BF95,Inputs!$A$12:$J$15,10,FALSE))</f>
        <v>1</v>
      </c>
      <c r="J95" s="245">
        <f t="shared" si="542"/>
        <v>9969773.1400000006</v>
      </c>
      <c r="K95" s="245">
        <f t="shared" si="543"/>
        <v>9969773.1400000006</v>
      </c>
      <c r="L95" s="245">
        <f t="shared" si="544"/>
        <v>9969773.1400000006</v>
      </c>
      <c r="M95" s="245">
        <f t="shared" si="545"/>
        <v>9969773.1400000006</v>
      </c>
      <c r="N95" s="246" t="s">
        <v>246</v>
      </c>
      <c r="O95" s="246" t="s">
        <v>245</v>
      </c>
      <c r="P95" s="247">
        <f>IF(B95="","",IF(OR(O95="N/A",O95=""),0,YEARFRAC('Borrowing Base'!$J$4,'Loan List'!O95)*12))</f>
        <v>0</v>
      </c>
      <c r="Q95" s="246" t="s">
        <v>246</v>
      </c>
      <c r="R95" s="275">
        <v>0.99286410000000003</v>
      </c>
      <c r="S95" s="249" t="str">
        <f t="shared" si="546"/>
        <v>No</v>
      </c>
      <c r="T95" s="275">
        <v>0.99199999951052054</v>
      </c>
      <c r="U95" s="250">
        <f t="shared" si="547"/>
        <v>0.5</v>
      </c>
      <c r="V95" s="250">
        <f t="shared" si="548"/>
        <v>0.64347826086956528</v>
      </c>
      <c r="W95" s="251">
        <f t="shared" si="385"/>
        <v>0</v>
      </c>
      <c r="X95" s="246" t="s">
        <v>64</v>
      </c>
      <c r="Y95" s="252" t="s">
        <v>483</v>
      </c>
      <c r="Z95" s="252" t="s">
        <v>484</v>
      </c>
      <c r="AA95" s="253" t="s">
        <v>407</v>
      </c>
      <c r="AB95" s="253" t="s">
        <v>713</v>
      </c>
      <c r="AC95" s="254">
        <v>1.25</v>
      </c>
      <c r="AD95" s="254">
        <v>1.3635056976614077</v>
      </c>
      <c r="AE95" s="254">
        <v>2.0317430170430328</v>
      </c>
      <c r="AF95" s="254">
        <v>0.53510000000000002</v>
      </c>
      <c r="AG95" s="256">
        <v>5.9629629629629628</v>
      </c>
      <c r="AH95" s="256">
        <v>5.9629629629629628</v>
      </c>
      <c r="AI95" s="256">
        <v>6.3133839482842724</v>
      </c>
      <c r="AJ95" s="256">
        <v>6.3133839482842724</v>
      </c>
      <c r="AK95" s="257">
        <v>40500000</v>
      </c>
      <c r="AL95" s="257">
        <v>83872978</v>
      </c>
      <c r="AM95" s="258">
        <v>45838</v>
      </c>
      <c r="AN95" s="245" t="str">
        <f t="shared" si="549"/>
        <v>Tier 2</v>
      </c>
      <c r="AO95" s="243">
        <v>46615</v>
      </c>
      <c r="AP95" s="259">
        <f>IF(C95="","",DAYS360(Inputs!$J$8,AO95)/360)</f>
        <v>1.9777777777777779</v>
      </c>
      <c r="AQ95" s="259">
        <f t="shared" si="550"/>
        <v>1.9777777777777779</v>
      </c>
      <c r="AR95" s="246" t="s">
        <v>246</v>
      </c>
      <c r="AS95" s="276">
        <v>0</v>
      </c>
      <c r="AT95" s="246" t="s">
        <v>64</v>
      </c>
      <c r="AU95" s="248">
        <v>0.01</v>
      </c>
      <c r="AV95" s="248">
        <v>4.7500000000000001E-2</v>
      </c>
      <c r="AW95" s="248">
        <v>4.1660000000000003E-2</v>
      </c>
      <c r="AX95" s="260">
        <f t="shared" si="551"/>
        <v>4.1660000000000003E-2</v>
      </c>
      <c r="AY95" s="248">
        <v>0</v>
      </c>
      <c r="AZ95" s="248">
        <v>0</v>
      </c>
      <c r="BA95" s="248">
        <v>0</v>
      </c>
      <c r="BB95" s="407">
        <f t="shared" si="536"/>
        <v>4.7500000000000001E-2</v>
      </c>
      <c r="BC95" s="407" t="str">
        <f t="shared" si="537"/>
        <v/>
      </c>
      <c r="BD95" s="252" t="s">
        <v>247</v>
      </c>
      <c r="BE95" s="261" t="s">
        <v>324</v>
      </c>
      <c r="BF95" s="252" t="s">
        <v>7</v>
      </c>
      <c r="BG95" s="252" t="s">
        <v>460</v>
      </c>
      <c r="BH95" s="246" t="s">
        <v>246</v>
      </c>
      <c r="BI95" s="408" t="str">
        <f t="shared" si="534"/>
        <v>No</v>
      </c>
      <c r="BJ95" s="408" t="str">
        <f t="shared" si="538"/>
        <v>No</v>
      </c>
      <c r="BK95" s="246" t="s">
        <v>246</v>
      </c>
      <c r="BL95" s="246" t="s">
        <v>246</v>
      </c>
      <c r="BM95" s="246" t="s">
        <v>246</v>
      </c>
      <c r="BN95" s="246" t="s">
        <v>246</v>
      </c>
      <c r="BO95" s="246" t="s">
        <v>246</v>
      </c>
      <c r="BP95" s="246" t="s">
        <v>246</v>
      </c>
      <c r="BQ95" s="246" t="s">
        <v>246</v>
      </c>
      <c r="BR95" s="246" t="s">
        <v>246</v>
      </c>
      <c r="BS95" s="246" t="s">
        <v>246</v>
      </c>
      <c r="BT95" s="246" t="s">
        <v>246</v>
      </c>
      <c r="BU95" s="246" t="s">
        <v>246</v>
      </c>
      <c r="BV95" s="246" t="s">
        <v>246</v>
      </c>
      <c r="BW95" s="246" t="s">
        <v>246</v>
      </c>
      <c r="BX95" s="246" t="s">
        <v>246</v>
      </c>
      <c r="BY95" s="246" t="s">
        <v>246</v>
      </c>
      <c r="BZ95" s="246" t="s">
        <v>246</v>
      </c>
      <c r="CA95" s="246" t="s">
        <v>246</v>
      </c>
      <c r="CB95" s="246" t="s">
        <v>64</v>
      </c>
      <c r="CC95" s="262">
        <f t="shared" si="552"/>
        <v>457987.45059606404</v>
      </c>
      <c r="CD95" s="262">
        <f t="shared" si="553"/>
        <v>0</v>
      </c>
      <c r="CE95" s="263"/>
      <c r="CF95" s="263">
        <f t="shared" si="403"/>
        <v>0</v>
      </c>
      <c r="CG95" s="263">
        <f t="shared" si="404"/>
        <v>0</v>
      </c>
      <c r="CH95" s="263">
        <f t="shared" si="405"/>
        <v>0</v>
      </c>
      <c r="CI95" s="263">
        <f t="shared" si="406"/>
        <v>0</v>
      </c>
      <c r="CJ95" s="263">
        <f t="shared" si="407"/>
        <v>0</v>
      </c>
      <c r="CK95" s="263">
        <f t="shared" si="408"/>
        <v>0</v>
      </c>
      <c r="CL95" s="263">
        <f t="shared" si="409"/>
        <v>0</v>
      </c>
      <c r="CM95" s="263">
        <f t="shared" si="410"/>
        <v>0</v>
      </c>
      <c r="CN95" s="263">
        <f t="shared" si="411"/>
        <v>0</v>
      </c>
      <c r="CO95" s="263">
        <f t="shared" si="412"/>
        <v>0</v>
      </c>
      <c r="CP95" s="263">
        <f t="shared" si="413"/>
        <v>0</v>
      </c>
      <c r="CQ95" s="263">
        <f t="shared" si="414"/>
        <v>0</v>
      </c>
      <c r="CR95" s="263">
        <f t="shared" si="415"/>
        <v>0</v>
      </c>
      <c r="CS95" s="263">
        <f t="shared" si="416"/>
        <v>0</v>
      </c>
      <c r="CT95" s="263">
        <f t="shared" si="417"/>
        <v>0</v>
      </c>
      <c r="CU95" s="263">
        <f t="shared" si="418"/>
        <v>0</v>
      </c>
      <c r="CV95" s="263">
        <f t="shared" si="419"/>
        <v>0</v>
      </c>
      <c r="CW95" s="263">
        <f t="shared" si="420"/>
        <v>0</v>
      </c>
      <c r="CX95" s="263">
        <f t="shared" si="421"/>
        <v>0</v>
      </c>
      <c r="CY95" s="263">
        <f t="shared" si="422"/>
        <v>0</v>
      </c>
      <c r="CZ95" s="263">
        <f t="shared" si="423"/>
        <v>0</v>
      </c>
      <c r="DA95" s="263">
        <f t="shared" si="424"/>
        <v>0</v>
      </c>
      <c r="DB95" s="263">
        <f t="shared" si="425"/>
        <v>1</v>
      </c>
      <c r="DC95" s="263">
        <f t="shared" si="426"/>
        <v>0</v>
      </c>
      <c r="DD95" s="263">
        <f t="shared" si="427"/>
        <v>0</v>
      </c>
      <c r="DE95" s="263">
        <f t="shared" si="428"/>
        <v>0</v>
      </c>
      <c r="DF95" s="263">
        <f t="shared" si="429"/>
        <v>0</v>
      </c>
      <c r="DG95" s="263">
        <f t="shared" si="430"/>
        <v>0</v>
      </c>
      <c r="DH95" s="263">
        <f t="shared" si="431"/>
        <v>0</v>
      </c>
      <c r="DI95" s="263">
        <f t="shared" si="432"/>
        <v>9969773.1400000006</v>
      </c>
      <c r="DJ95" s="263">
        <f t="shared" si="433"/>
        <v>0</v>
      </c>
      <c r="DK95" s="263">
        <f t="shared" si="434"/>
        <v>0</v>
      </c>
      <c r="DL95" s="263">
        <f t="shared" si="435"/>
        <v>0</v>
      </c>
      <c r="DM95" s="263">
        <f t="shared" si="436"/>
        <v>0</v>
      </c>
      <c r="DO95" s="264">
        <f t="shared" si="437"/>
        <v>0</v>
      </c>
      <c r="DP95" s="265">
        <f t="shared" si="438"/>
        <v>0</v>
      </c>
      <c r="DQ95" s="264">
        <f t="shared" si="439"/>
        <v>0</v>
      </c>
      <c r="DR95" s="264">
        <f t="shared" si="440"/>
        <v>0</v>
      </c>
      <c r="DS95" s="265">
        <f t="shared" si="441"/>
        <v>0</v>
      </c>
      <c r="DT95" s="264">
        <f t="shared" si="442"/>
        <v>0</v>
      </c>
      <c r="DU95" s="264">
        <f t="shared" si="443"/>
        <v>0</v>
      </c>
      <c r="DV95" s="265">
        <f t="shared" si="444"/>
        <v>0</v>
      </c>
      <c r="DW95" s="264">
        <f t="shared" si="445"/>
        <v>0</v>
      </c>
      <c r="DX95" s="264">
        <f t="shared" si="446"/>
        <v>0</v>
      </c>
      <c r="DY95" s="265">
        <f t="shared" si="447"/>
        <v>0</v>
      </c>
      <c r="DZ95" s="264">
        <f t="shared" si="448"/>
        <v>0</v>
      </c>
      <c r="EA95" s="264">
        <f t="shared" si="449"/>
        <v>0</v>
      </c>
      <c r="EB95" s="265">
        <f t="shared" si="450"/>
        <v>0</v>
      </c>
      <c r="EC95" s="264">
        <f t="shared" si="451"/>
        <v>0</v>
      </c>
      <c r="ED95" s="264">
        <f t="shared" si="452"/>
        <v>0</v>
      </c>
      <c r="EE95" s="265">
        <f t="shared" si="453"/>
        <v>0</v>
      </c>
      <c r="EF95" s="264">
        <f t="shared" si="454"/>
        <v>0</v>
      </c>
      <c r="EG95" s="264">
        <f t="shared" si="455"/>
        <v>0</v>
      </c>
      <c r="EH95" s="265">
        <f t="shared" si="456"/>
        <v>0</v>
      </c>
      <c r="EI95" s="264">
        <f t="shared" si="457"/>
        <v>0</v>
      </c>
      <c r="EJ95" s="264">
        <f t="shared" si="458"/>
        <v>0</v>
      </c>
      <c r="EK95" s="265">
        <f t="shared" si="459"/>
        <v>0</v>
      </c>
      <c r="EL95" s="264">
        <f t="shared" si="460"/>
        <v>0</v>
      </c>
      <c r="EM95" s="264">
        <f t="shared" si="461"/>
        <v>0</v>
      </c>
      <c r="EN95" s="265">
        <f t="shared" si="462"/>
        <v>0</v>
      </c>
      <c r="EO95" s="264">
        <f t="shared" si="463"/>
        <v>0</v>
      </c>
      <c r="EP95" s="264">
        <f t="shared" si="464"/>
        <v>0</v>
      </c>
      <c r="EQ95" s="265">
        <f t="shared" si="465"/>
        <v>0</v>
      </c>
      <c r="ER95" s="264">
        <f t="shared" si="466"/>
        <v>0</v>
      </c>
      <c r="ES95" s="264">
        <f t="shared" si="467"/>
        <v>0</v>
      </c>
      <c r="ET95" s="265">
        <f t="shared" si="468"/>
        <v>0</v>
      </c>
      <c r="EU95" s="264">
        <f t="shared" si="469"/>
        <v>0</v>
      </c>
      <c r="EV95" s="264">
        <f>IF(AND(BM95="Yes",OR(BN95="No",AND(BN95="Yes",Inputs!$J$8=Inputs!$J$17+75))),EU95,0)</f>
        <v>0</v>
      </c>
      <c r="EW95" s="265">
        <f t="shared" si="470"/>
        <v>0</v>
      </c>
      <c r="EX95" s="264">
        <f t="shared" si="471"/>
        <v>0</v>
      </c>
      <c r="EY95" s="264">
        <f t="shared" si="472"/>
        <v>0</v>
      </c>
      <c r="EZ95" s="265">
        <f t="shared" si="473"/>
        <v>0</v>
      </c>
      <c r="FA95" s="264">
        <f t="shared" si="474"/>
        <v>0</v>
      </c>
      <c r="FB95" s="264">
        <f t="shared" si="475"/>
        <v>0</v>
      </c>
      <c r="FC95" s="265">
        <f t="shared" si="476"/>
        <v>0</v>
      </c>
      <c r="FD95" s="264">
        <f t="shared" si="477"/>
        <v>0</v>
      </c>
      <c r="FE95" s="264">
        <f t="shared" si="478"/>
        <v>0</v>
      </c>
      <c r="FF95" s="265">
        <f t="shared" si="479"/>
        <v>0</v>
      </c>
      <c r="FG95" s="264">
        <f t="shared" si="480"/>
        <v>0</v>
      </c>
      <c r="FH95" s="264">
        <f t="shared" si="481"/>
        <v>0</v>
      </c>
      <c r="FI95" s="264">
        <f t="shared" si="482"/>
        <v>0</v>
      </c>
      <c r="FJ95" s="264">
        <f t="shared" si="483"/>
        <v>0</v>
      </c>
      <c r="FK95" s="264">
        <f t="shared" si="484"/>
        <v>0</v>
      </c>
      <c r="FL95" s="264">
        <f t="shared" si="485"/>
        <v>0</v>
      </c>
      <c r="FM95" s="264">
        <f t="shared" si="486"/>
        <v>0</v>
      </c>
      <c r="FN95" s="264">
        <f t="shared" si="487"/>
        <v>0</v>
      </c>
      <c r="FO95" s="264">
        <f t="shared" si="488"/>
        <v>0</v>
      </c>
      <c r="FP95" s="264">
        <f t="shared" si="489"/>
        <v>0</v>
      </c>
      <c r="FQ95" s="264">
        <f t="shared" si="490"/>
        <v>0</v>
      </c>
      <c r="FR95" s="265">
        <f t="shared" si="491"/>
        <v>0</v>
      </c>
      <c r="FS95" s="264">
        <f t="shared" si="492"/>
        <v>0</v>
      </c>
      <c r="FT95" s="264">
        <f t="shared" si="493"/>
        <v>0</v>
      </c>
      <c r="FU95" s="265">
        <f t="shared" si="494"/>
        <v>0</v>
      </c>
      <c r="FV95" s="264">
        <f t="shared" si="495"/>
        <v>0</v>
      </c>
      <c r="FW95" s="264">
        <f t="shared" si="496"/>
        <v>0</v>
      </c>
      <c r="FX95" s="264">
        <f t="shared" si="497"/>
        <v>0</v>
      </c>
      <c r="FY95" s="264">
        <f t="shared" si="498"/>
        <v>0</v>
      </c>
      <c r="FZ95" s="264">
        <f t="shared" si="499"/>
        <v>0</v>
      </c>
      <c r="GA95" s="265">
        <f t="shared" si="500"/>
        <v>0</v>
      </c>
      <c r="GB95" s="264">
        <f t="shared" si="501"/>
        <v>0</v>
      </c>
      <c r="GC95" s="264">
        <f t="shared" si="502"/>
        <v>0</v>
      </c>
      <c r="GD95" s="266">
        <f t="shared" si="503"/>
        <v>0</v>
      </c>
      <c r="GE95" s="138">
        <f t="shared" si="504"/>
        <v>0</v>
      </c>
      <c r="GF95" s="267">
        <f t="shared" si="505"/>
        <v>1</v>
      </c>
      <c r="GG95" s="264">
        <f t="array" ref="GG95">IF(SUM(IF(IC$9:IC94=IC95,1,0))&gt;0,0,SUMIF($IC$10:$IC$406,IC95,$FJ$10:$FJ$406))</f>
        <v>0</v>
      </c>
      <c r="GH95" s="268">
        <f t="shared" si="506"/>
        <v>0</v>
      </c>
      <c r="GI95" s="137">
        <f t="shared" si="126"/>
        <v>86</v>
      </c>
      <c r="GJ95" s="269">
        <f t="shared" si="507"/>
        <v>0</v>
      </c>
      <c r="GK95" s="269">
        <f t="shared" si="508"/>
        <v>0</v>
      </c>
      <c r="GL95" s="163">
        <f t="shared" si="509"/>
        <v>0</v>
      </c>
      <c r="GM95" s="137">
        <f t="array" ref="GM95">IF(GJ95=0,0,LARGE(IF($GG$10:$GG$406=GJ95,$GF$10:$GF$406,0),COUNTIF($GJ$10:$GJ$406,GJ95)-COUNTIF(GJ$9:GJ94,GJ95)))</f>
        <v>0</v>
      </c>
      <c r="GN95" s="270">
        <f t="shared" si="510"/>
        <v>0</v>
      </c>
      <c r="GP95" s="137">
        <f>IF(C95="","",IF(ISERROR(MATCH(C95,C$10:C94,0)),MAX(GP$10:GP94)+1,INDEX(GP$10:GP94,MATCH(C95,C$10:C94,0))))</f>
        <v>68</v>
      </c>
      <c r="GQ95" s="264">
        <f>IF(COUNTIF($A$10:A95,A95)&lt;=1,SUMIF($A$10:$A$406,A95,$FH$10:$FH$406),0)</f>
        <v>4825000</v>
      </c>
      <c r="GR95" s="137">
        <f t="shared" si="130"/>
        <v>86</v>
      </c>
      <c r="GS95" s="269">
        <f t="shared" si="554"/>
        <v>2283660.7400000002</v>
      </c>
      <c r="GT95" s="269">
        <f t="shared" si="555"/>
        <v>50964284.172430128</v>
      </c>
      <c r="GU95" s="163">
        <f t="shared" si="556"/>
        <v>0</v>
      </c>
      <c r="GV95" s="137">
        <f t="array" ref="GV95">IF(GS95=0,0,LARGE(IF($GQ$10:$GQ$406=GS95,$GP$10:$GP$406,0),COUNTIF($GS$10:$GS$406,GS95)-COUNTIF(GS$9:GS94,GS95)))</f>
        <v>36</v>
      </c>
      <c r="GW95" s="270">
        <f t="shared" si="557"/>
        <v>0</v>
      </c>
      <c r="GX95" s="270"/>
      <c r="GY95" s="137">
        <f>IF(C95="","",IF(ISERROR(MATCH(C95,C$10:C94,0)),MAX(GP$10:GP94)+1,INDEX(GP$10:GP94,MATCH(C95,C$10:C94,0))))</f>
        <v>68</v>
      </c>
      <c r="GZ95" s="264">
        <f>IF(COUNTIF($A$10:A95,A95)&lt;=1,SUMIF($A$10:$A$406,A95,$FH$10:$FH$406),0)</f>
        <v>4825000</v>
      </c>
      <c r="HA95" s="137">
        <f t="shared" si="134"/>
        <v>86</v>
      </c>
      <c r="HB95" s="269">
        <f t="shared" si="515"/>
        <v>2283660.7400000002</v>
      </c>
      <c r="HC95" s="414" t="s">
        <v>622</v>
      </c>
      <c r="HD95" s="163">
        <f t="shared" si="516"/>
        <v>0</v>
      </c>
      <c r="HE95" s="137">
        <f t="array" ref="HE95">IF(HB95=0,0,LARGE(IF($GZ$10:$GZ$406=HB95,$GY$10:$GY$406,0),COUNTIF($HB$10:$HB$406,HB95)-COUNTIF(HB$9:HB94,HB95)))</f>
        <v>36</v>
      </c>
      <c r="HF95" s="270">
        <f t="shared" si="517"/>
        <v>0</v>
      </c>
      <c r="HG95" s="270"/>
      <c r="HH95" s="268">
        <f t="shared" si="518"/>
        <v>0</v>
      </c>
      <c r="HI95" s="271">
        <v>0</v>
      </c>
      <c r="HJ95" s="264">
        <f t="shared" si="519"/>
        <v>0</v>
      </c>
      <c r="HL95" s="137">
        <f t="shared" si="520"/>
        <v>86</v>
      </c>
      <c r="HM95" s="264">
        <f t="shared" si="521"/>
        <v>0</v>
      </c>
      <c r="HN95"/>
      <c r="HO95" s="199">
        <f t="shared" si="522"/>
        <v>0</v>
      </c>
      <c r="HP95" s="199">
        <f t="shared" si="523"/>
        <v>9969773.1400000006</v>
      </c>
      <c r="HQ95" s="199" t="str">
        <f t="shared" si="524"/>
        <v/>
      </c>
      <c r="HR95" s="199" t="str">
        <f t="shared" si="525"/>
        <v/>
      </c>
      <c r="HS95" s="199" t="str">
        <f t="shared" si="539"/>
        <v/>
      </c>
      <c r="HT95" s="199">
        <f t="shared" si="526"/>
        <v>0</v>
      </c>
      <c r="HU95" s="199" t="str">
        <f t="shared" si="527"/>
        <v/>
      </c>
      <c r="HV95" s="200">
        <f t="shared" si="528"/>
        <v>0</v>
      </c>
      <c r="HW95" s="272">
        <f t="shared" si="540"/>
        <v>1</v>
      </c>
      <c r="HX95" s="200" t="str">
        <f t="shared" si="529"/>
        <v/>
      </c>
      <c r="HY95" s="200">
        <f t="shared" si="530"/>
        <v>0</v>
      </c>
      <c r="HZ95" s="200" t="str">
        <f t="shared" si="535"/>
        <v/>
      </c>
      <c r="IA95" s="200" t="str">
        <f t="shared" si="531"/>
        <v/>
      </c>
      <c r="IB95" s="200" t="str">
        <f t="shared" si="532"/>
        <v/>
      </c>
      <c r="IC95" s="273">
        <f>IF(C95="","",INDEX(Lookups!$E$2:$E$69,MATCH('Loan List'!BE95,Lookups!$F$2:$F$69,0)))</f>
        <v>1</v>
      </c>
      <c r="ID95" t="b">
        <f t="shared" si="533"/>
        <v>1</v>
      </c>
      <c r="IF95" s="346"/>
    </row>
    <row r="96" spans="1:240" ht="15" customHeight="1">
      <c r="A96" t="s">
        <v>596</v>
      </c>
      <c r="B96" s="242">
        <f t="shared" si="541"/>
        <v>87</v>
      </c>
      <c r="C96" s="242">
        <f>IF(COUNTIF($A$10:A95,A96)&gt;0,C95,C95+1)</f>
        <v>68</v>
      </c>
      <c r="D96" s="431" t="s">
        <v>762</v>
      </c>
      <c r="E96" s="428" t="s">
        <v>532</v>
      </c>
      <c r="F96" s="429"/>
      <c r="G96" s="430">
        <v>4825000</v>
      </c>
      <c r="H96" s="430">
        <v>4825000</v>
      </c>
      <c r="I96" s="244">
        <f>IF(B96="","",VLOOKUP(BF96,Inputs!$A$12:$J$15,10,FALSE))</f>
        <v>1</v>
      </c>
      <c r="J96" s="245">
        <f t="shared" si="542"/>
        <v>4825000</v>
      </c>
      <c r="K96" s="245">
        <f t="shared" si="543"/>
        <v>4825000</v>
      </c>
      <c r="L96" s="245">
        <f t="shared" si="544"/>
        <v>4825000</v>
      </c>
      <c r="M96" s="245">
        <f t="shared" si="545"/>
        <v>4825000</v>
      </c>
      <c r="N96" s="246" t="s">
        <v>246</v>
      </c>
      <c r="O96" s="246" t="s">
        <v>245</v>
      </c>
      <c r="P96" s="247">
        <f>IF(B96="","",IF(OR(O96="N/A",O96=""),0,YEARFRAC('Borrowing Base'!$J$4,'Loan List'!O96)*12))</f>
        <v>0</v>
      </c>
      <c r="Q96" s="246" t="s">
        <v>246</v>
      </c>
      <c r="R96" s="275">
        <v>0.99286410000000003</v>
      </c>
      <c r="S96" s="249" t="str">
        <f t="shared" si="546"/>
        <v>No</v>
      </c>
      <c r="T96" s="275">
        <v>0.99199999951052054</v>
      </c>
      <c r="U96" s="250">
        <f t="shared" si="547"/>
        <v>0.5</v>
      </c>
      <c r="V96" s="250">
        <f t="shared" si="548"/>
        <v>0.61728930377481561</v>
      </c>
      <c r="W96" s="251">
        <f t="shared" si="385"/>
        <v>4825000</v>
      </c>
      <c r="X96" s="246" t="s">
        <v>64</v>
      </c>
      <c r="Y96" s="252" t="s">
        <v>483</v>
      </c>
      <c r="Z96" s="252" t="s">
        <v>484</v>
      </c>
      <c r="AA96" s="253" t="s">
        <v>407</v>
      </c>
      <c r="AB96" s="253" t="s">
        <v>713</v>
      </c>
      <c r="AC96" s="254">
        <v>1.25</v>
      </c>
      <c r="AD96" s="254">
        <v>1.3635056976614077</v>
      </c>
      <c r="AE96" s="254">
        <v>2.0317430170430328</v>
      </c>
      <c r="AF96" s="254">
        <v>0.53510000000000002</v>
      </c>
      <c r="AG96" s="256">
        <v>6.3133839482842724</v>
      </c>
      <c r="AH96" s="256">
        <v>6.3133839482842724</v>
      </c>
      <c r="AI96" s="256">
        <v>6.3133839482842724</v>
      </c>
      <c r="AJ96" s="256">
        <v>6.3133839482842724</v>
      </c>
      <c r="AK96" s="257">
        <v>83872978</v>
      </c>
      <c r="AL96" s="257">
        <v>83872978</v>
      </c>
      <c r="AM96" s="258">
        <v>45838</v>
      </c>
      <c r="AN96" s="245" t="str">
        <f t="shared" si="549"/>
        <v>Tier 1</v>
      </c>
      <c r="AO96" s="243">
        <v>46615</v>
      </c>
      <c r="AP96" s="259">
        <f>IF(C96="","",DAYS360(Inputs!$J$8,AO96)/360)</f>
        <v>1.9777777777777779</v>
      </c>
      <c r="AQ96" s="259">
        <f t="shared" si="550"/>
        <v>1.9777777777777779</v>
      </c>
      <c r="AR96" s="246" t="s">
        <v>246</v>
      </c>
      <c r="AS96" s="276">
        <v>0</v>
      </c>
      <c r="AT96" s="246" t="s">
        <v>64</v>
      </c>
      <c r="AU96" s="248">
        <v>0.01</v>
      </c>
      <c r="AV96" s="248">
        <v>4.7500000000000001E-2</v>
      </c>
      <c r="AW96" s="248">
        <v>4.1660000000000003E-2</v>
      </c>
      <c r="AX96" s="260">
        <f t="shared" si="551"/>
        <v>4.1660000000000003E-2</v>
      </c>
      <c r="AY96" s="248">
        <v>0</v>
      </c>
      <c r="AZ96" s="248">
        <v>0</v>
      </c>
      <c r="BA96" s="248">
        <v>0</v>
      </c>
      <c r="BB96" s="407">
        <f t="shared" si="536"/>
        <v>4.7500000000000001E-2</v>
      </c>
      <c r="BC96" s="407" t="str">
        <f t="shared" si="537"/>
        <v/>
      </c>
      <c r="BD96" s="252" t="s">
        <v>247</v>
      </c>
      <c r="BE96" s="261" t="s">
        <v>324</v>
      </c>
      <c r="BF96" s="252" t="s">
        <v>7</v>
      </c>
      <c r="BG96" s="252" t="s">
        <v>460</v>
      </c>
      <c r="BH96" s="246" t="s">
        <v>246</v>
      </c>
      <c r="BI96" s="408" t="str">
        <f t="shared" si="534"/>
        <v>No</v>
      </c>
      <c r="BJ96" s="408" t="str">
        <f t="shared" si="538"/>
        <v>No</v>
      </c>
      <c r="BK96" s="246" t="s">
        <v>246</v>
      </c>
      <c r="BL96" s="246" t="s">
        <v>246</v>
      </c>
      <c r="BM96" s="246" t="s">
        <v>64</v>
      </c>
      <c r="BN96" s="246" t="s">
        <v>64</v>
      </c>
      <c r="BO96" s="246" t="s">
        <v>246</v>
      </c>
      <c r="BP96" s="246" t="s">
        <v>246</v>
      </c>
      <c r="BQ96" s="246" t="s">
        <v>246</v>
      </c>
      <c r="BR96" s="246" t="s">
        <v>246</v>
      </c>
      <c r="BS96" s="246" t="s">
        <v>246</v>
      </c>
      <c r="BT96" s="246" t="s">
        <v>246</v>
      </c>
      <c r="BU96" s="246" t="s">
        <v>246</v>
      </c>
      <c r="BV96" s="246" t="s">
        <v>246</v>
      </c>
      <c r="BW96" s="246" t="s">
        <v>246</v>
      </c>
      <c r="BX96" s="246" t="s">
        <v>246</v>
      </c>
      <c r="BY96" s="246" t="s">
        <v>246</v>
      </c>
      <c r="BZ96" s="246" t="s">
        <v>246</v>
      </c>
      <c r="CA96" s="246" t="s">
        <v>246</v>
      </c>
      <c r="CB96" s="246" t="s">
        <v>64</v>
      </c>
      <c r="CC96" s="262">
        <f t="shared" si="552"/>
        <v>221648.92</v>
      </c>
      <c r="CD96" s="262">
        <f t="shared" si="553"/>
        <v>0</v>
      </c>
      <c r="CE96" s="263"/>
      <c r="CF96" s="263">
        <f t="shared" si="403"/>
        <v>0</v>
      </c>
      <c r="CG96" s="263">
        <f t="shared" si="404"/>
        <v>0</v>
      </c>
      <c r="CH96" s="263">
        <f t="shared" si="405"/>
        <v>0</v>
      </c>
      <c r="CI96" s="263">
        <f t="shared" si="406"/>
        <v>0</v>
      </c>
      <c r="CJ96" s="263">
        <f t="shared" si="407"/>
        <v>0</v>
      </c>
      <c r="CK96" s="263">
        <f t="shared" si="408"/>
        <v>0</v>
      </c>
      <c r="CL96" s="263">
        <f t="shared" si="409"/>
        <v>0</v>
      </c>
      <c r="CM96" s="263">
        <f t="shared" si="410"/>
        <v>0</v>
      </c>
      <c r="CN96" s="263">
        <f t="shared" si="411"/>
        <v>0</v>
      </c>
      <c r="CO96" s="263">
        <f t="shared" si="412"/>
        <v>0</v>
      </c>
      <c r="CP96" s="263">
        <f t="shared" si="413"/>
        <v>0</v>
      </c>
      <c r="CQ96" s="263">
        <f t="shared" si="414"/>
        <v>0</v>
      </c>
      <c r="CR96" s="263">
        <f t="shared" si="415"/>
        <v>0</v>
      </c>
      <c r="CS96" s="263">
        <f t="shared" si="416"/>
        <v>0</v>
      </c>
      <c r="CT96" s="263">
        <f t="shared" si="417"/>
        <v>0</v>
      </c>
      <c r="CU96" s="263">
        <f t="shared" si="418"/>
        <v>0</v>
      </c>
      <c r="CV96" s="263">
        <f t="shared" si="419"/>
        <v>0</v>
      </c>
      <c r="CW96" s="263">
        <f t="shared" si="420"/>
        <v>0</v>
      </c>
      <c r="CX96" s="263">
        <f t="shared" si="421"/>
        <v>0</v>
      </c>
      <c r="CY96" s="263">
        <f t="shared" si="422"/>
        <v>0</v>
      </c>
      <c r="CZ96" s="263">
        <f t="shared" si="423"/>
        <v>0</v>
      </c>
      <c r="DA96" s="263">
        <f t="shared" si="424"/>
        <v>0</v>
      </c>
      <c r="DB96" s="263">
        <f t="shared" si="425"/>
        <v>0</v>
      </c>
      <c r="DC96" s="263">
        <f t="shared" si="426"/>
        <v>0</v>
      </c>
      <c r="DD96" s="263">
        <f t="shared" si="427"/>
        <v>0</v>
      </c>
      <c r="DE96" s="263">
        <f t="shared" si="428"/>
        <v>0</v>
      </c>
      <c r="DF96" s="263">
        <f t="shared" si="429"/>
        <v>4825000</v>
      </c>
      <c r="DG96" s="263">
        <f t="shared" si="430"/>
        <v>0</v>
      </c>
      <c r="DH96" s="263">
        <f t="shared" si="431"/>
        <v>4825000</v>
      </c>
      <c r="DI96" s="263">
        <f t="shared" si="432"/>
        <v>4825000</v>
      </c>
      <c r="DJ96" s="263">
        <f t="shared" si="433"/>
        <v>0</v>
      </c>
      <c r="DK96" s="263">
        <f t="shared" si="434"/>
        <v>0</v>
      </c>
      <c r="DL96" s="263">
        <f t="shared" si="435"/>
        <v>0</v>
      </c>
      <c r="DM96" s="263">
        <f t="shared" si="436"/>
        <v>0</v>
      </c>
      <c r="DO96" s="264">
        <f t="shared" si="437"/>
        <v>0</v>
      </c>
      <c r="DP96" s="265">
        <f t="shared" si="438"/>
        <v>0</v>
      </c>
      <c r="DQ96" s="264">
        <f t="shared" si="439"/>
        <v>4825000</v>
      </c>
      <c r="DR96" s="264">
        <f t="shared" si="440"/>
        <v>0</v>
      </c>
      <c r="DS96" s="265">
        <f t="shared" si="441"/>
        <v>0</v>
      </c>
      <c r="DT96" s="264">
        <f t="shared" si="442"/>
        <v>4825000</v>
      </c>
      <c r="DU96" s="264">
        <f t="shared" si="443"/>
        <v>0</v>
      </c>
      <c r="DV96" s="265">
        <f t="shared" si="444"/>
        <v>0</v>
      </c>
      <c r="DW96" s="264">
        <f t="shared" si="445"/>
        <v>4825000</v>
      </c>
      <c r="DX96" s="264">
        <f t="shared" si="446"/>
        <v>0</v>
      </c>
      <c r="DY96" s="265">
        <f t="shared" si="447"/>
        <v>0</v>
      </c>
      <c r="DZ96" s="264">
        <f t="shared" si="448"/>
        <v>4825000</v>
      </c>
      <c r="EA96" s="264">
        <f t="shared" si="449"/>
        <v>0</v>
      </c>
      <c r="EB96" s="265">
        <f t="shared" si="450"/>
        <v>0</v>
      </c>
      <c r="EC96" s="264">
        <f t="shared" si="451"/>
        <v>4825000</v>
      </c>
      <c r="ED96" s="264">
        <f t="shared" si="452"/>
        <v>0</v>
      </c>
      <c r="EE96" s="265">
        <f t="shared" si="453"/>
        <v>0</v>
      </c>
      <c r="EF96" s="264">
        <f t="shared" si="454"/>
        <v>4825000</v>
      </c>
      <c r="EG96" s="264">
        <f t="shared" si="455"/>
        <v>0</v>
      </c>
      <c r="EH96" s="265">
        <f t="shared" si="456"/>
        <v>0</v>
      </c>
      <c r="EI96" s="264">
        <f t="shared" si="457"/>
        <v>4825000</v>
      </c>
      <c r="EJ96" s="264">
        <f t="shared" si="458"/>
        <v>0</v>
      </c>
      <c r="EK96" s="265">
        <f t="shared" si="459"/>
        <v>0</v>
      </c>
      <c r="EL96" s="264">
        <f t="shared" si="460"/>
        <v>4825000</v>
      </c>
      <c r="EM96" s="264">
        <f t="shared" si="461"/>
        <v>0</v>
      </c>
      <c r="EN96" s="265">
        <f t="shared" si="462"/>
        <v>0</v>
      </c>
      <c r="EO96" s="264">
        <f t="shared" si="463"/>
        <v>4825000</v>
      </c>
      <c r="EP96" s="264">
        <f t="shared" si="464"/>
        <v>0</v>
      </c>
      <c r="EQ96" s="265">
        <f t="shared" si="465"/>
        <v>0</v>
      </c>
      <c r="ER96" s="264">
        <f t="shared" si="466"/>
        <v>4825000</v>
      </c>
      <c r="ES96" s="264">
        <f t="shared" si="467"/>
        <v>0</v>
      </c>
      <c r="ET96" s="265">
        <f t="shared" si="468"/>
        <v>0</v>
      </c>
      <c r="EU96" s="264">
        <f t="shared" si="469"/>
        <v>4825000</v>
      </c>
      <c r="EV96" s="264">
        <f>IF(AND(BM96="Yes",OR(BN96="No",AND(BN96="Yes",Inputs!$J$8=Inputs!$J$17+75))),EU96,0)</f>
        <v>0</v>
      </c>
      <c r="EW96" s="265">
        <f t="shared" si="470"/>
        <v>0</v>
      </c>
      <c r="EX96" s="264">
        <f t="shared" si="471"/>
        <v>4825000</v>
      </c>
      <c r="EY96" s="264">
        <f t="shared" si="472"/>
        <v>0</v>
      </c>
      <c r="EZ96" s="265">
        <f t="shared" si="473"/>
        <v>0</v>
      </c>
      <c r="FA96" s="264">
        <f t="shared" si="474"/>
        <v>4825000</v>
      </c>
      <c r="FB96" s="264">
        <f t="shared" si="475"/>
        <v>0</v>
      </c>
      <c r="FC96" s="265">
        <f t="shared" si="476"/>
        <v>0</v>
      </c>
      <c r="FD96" s="264">
        <f t="shared" si="477"/>
        <v>4825000</v>
      </c>
      <c r="FE96" s="264">
        <f t="shared" si="478"/>
        <v>0</v>
      </c>
      <c r="FF96" s="265">
        <f t="shared" si="479"/>
        <v>0</v>
      </c>
      <c r="FG96" s="264">
        <f t="shared" si="480"/>
        <v>4825000</v>
      </c>
      <c r="FH96" s="264">
        <f t="shared" si="481"/>
        <v>4825000</v>
      </c>
      <c r="FI96" s="264">
        <f t="shared" si="482"/>
        <v>0</v>
      </c>
      <c r="FJ96" s="264">
        <f t="shared" si="483"/>
        <v>4825000</v>
      </c>
      <c r="FK96" s="264">
        <f t="shared" si="484"/>
        <v>4825000</v>
      </c>
      <c r="FL96" s="264">
        <f t="shared" si="485"/>
        <v>0</v>
      </c>
      <c r="FM96" s="264">
        <f t="shared" si="486"/>
        <v>4825000</v>
      </c>
      <c r="FN96" s="264">
        <f t="shared" si="487"/>
        <v>4825000</v>
      </c>
      <c r="FO96" s="264">
        <f t="shared" si="488"/>
        <v>0</v>
      </c>
      <c r="FP96" s="264">
        <f t="shared" si="489"/>
        <v>4825000</v>
      </c>
      <c r="FQ96" s="264">
        <f t="shared" si="490"/>
        <v>0</v>
      </c>
      <c r="FR96" s="265">
        <f t="shared" si="491"/>
        <v>0</v>
      </c>
      <c r="FS96" s="264">
        <f t="shared" si="492"/>
        <v>4825000</v>
      </c>
      <c r="FT96" s="264">
        <f t="shared" si="493"/>
        <v>0</v>
      </c>
      <c r="FU96" s="265">
        <f t="shared" si="494"/>
        <v>0</v>
      </c>
      <c r="FV96" s="264">
        <f t="shared" si="495"/>
        <v>4825000</v>
      </c>
      <c r="FW96" s="264">
        <f t="shared" si="496"/>
        <v>0</v>
      </c>
      <c r="FX96" s="264">
        <f t="shared" si="497"/>
        <v>0</v>
      </c>
      <c r="FY96" s="264">
        <f t="shared" si="498"/>
        <v>4825000</v>
      </c>
      <c r="FZ96" s="264">
        <f t="shared" si="499"/>
        <v>4825000</v>
      </c>
      <c r="GA96" s="265">
        <f t="shared" si="500"/>
        <v>21618.146588217005</v>
      </c>
      <c r="GB96" s="264">
        <f t="shared" si="501"/>
        <v>4803381.8534117825</v>
      </c>
      <c r="GC96" s="264">
        <f t="shared" si="502"/>
        <v>4803381.8534117825</v>
      </c>
      <c r="GD96" s="266">
        <f t="shared" si="503"/>
        <v>2965076.2400571425</v>
      </c>
      <c r="GE96" s="138">
        <f t="shared" si="504"/>
        <v>0.61452357306883776</v>
      </c>
      <c r="GF96" s="267">
        <f t="shared" si="505"/>
        <v>1</v>
      </c>
      <c r="GG96" s="264">
        <f t="array" ref="GG96">IF(SUM(IF(IC$9:IC95=IC96,1,0))&gt;0,0,SUMIF($IC$10:$IC$406,IC96,$FJ$10:$FJ$406))</f>
        <v>0</v>
      </c>
      <c r="GH96" s="268">
        <f t="shared" si="506"/>
        <v>0</v>
      </c>
      <c r="GI96" s="137">
        <f t="shared" si="126"/>
        <v>87</v>
      </c>
      <c r="GJ96" s="269">
        <f t="shared" si="507"/>
        <v>0</v>
      </c>
      <c r="GK96" s="269">
        <f t="shared" si="508"/>
        <v>0</v>
      </c>
      <c r="GL96" s="163">
        <f t="shared" si="509"/>
        <v>0</v>
      </c>
      <c r="GM96" s="137">
        <f t="array" ref="GM96">IF(GJ96=0,0,LARGE(IF($GG$10:$GG$406=GJ96,$GF$10:$GF$406,0),COUNTIF($GJ$10:$GJ$406,GJ96)-COUNTIF(GJ$9:GJ95,GJ96)))</f>
        <v>0</v>
      </c>
      <c r="GN96" s="270">
        <f t="shared" si="510"/>
        <v>0</v>
      </c>
      <c r="GP96" s="137">
        <f>IF(C96="","",IF(ISERROR(MATCH(C96,C$10:C95,0)),MAX(GP$10:GP95)+1,INDEX(GP$10:GP95,MATCH(C96,C$10:C95,0))))</f>
        <v>68</v>
      </c>
      <c r="GQ96" s="264">
        <f>IF(COUNTIF($A$10:A96,A96)&lt;=1,SUMIF($A$10:$A$406,A96,$FH$10:$FH$406),0)</f>
        <v>0</v>
      </c>
      <c r="GR96" s="137">
        <f t="shared" si="130"/>
        <v>87</v>
      </c>
      <c r="GS96" s="269">
        <f t="shared" si="554"/>
        <v>2216250</v>
      </c>
      <c r="GT96" s="269">
        <f t="shared" si="555"/>
        <v>50964284.172430128</v>
      </c>
      <c r="GU96" s="163">
        <f t="shared" si="556"/>
        <v>0</v>
      </c>
      <c r="GV96" s="137">
        <f t="array" ref="GV96">IF(GS96=0,0,LARGE(IF($GQ$10:$GQ$406=GS96,$GP$10:$GP$406,0),COUNTIF($GS$10:$GS$406,GS96)-COUNTIF(GS$9:GS95,GS96)))</f>
        <v>95</v>
      </c>
      <c r="GW96" s="270">
        <f t="shared" si="557"/>
        <v>0</v>
      </c>
      <c r="GX96" s="270"/>
      <c r="GY96" s="137">
        <f>IF(C96="","",IF(ISERROR(MATCH(C96,C$10:C95,0)),MAX(GP$10:GP95)+1,INDEX(GP$10:GP95,MATCH(C96,C$10:C95,0))))</f>
        <v>68</v>
      </c>
      <c r="GZ96" s="264">
        <f>IF(COUNTIF($A$10:A96,A96)&lt;=1,SUMIF($A$10:$A$406,A96,$FH$10:$FH$406),0)</f>
        <v>0</v>
      </c>
      <c r="HA96" s="137">
        <f t="shared" si="134"/>
        <v>87</v>
      </c>
      <c r="HB96" s="269">
        <f t="shared" si="515"/>
        <v>2216250</v>
      </c>
      <c r="HC96" s="414" t="s">
        <v>622</v>
      </c>
      <c r="HD96" s="163">
        <f t="shared" si="516"/>
        <v>0</v>
      </c>
      <c r="HE96" s="137">
        <f t="array" ref="HE96">IF(HB96=0,0,LARGE(IF($GZ$10:$GZ$406=HB96,$GY$10:$GY$406,0),COUNTIF($HB$10:$HB$406,HB96)-COUNTIF(HB$9:HB95,HB96)))</f>
        <v>95</v>
      </c>
      <c r="HF96" s="270">
        <f t="shared" si="517"/>
        <v>0</v>
      </c>
      <c r="HG96" s="270"/>
      <c r="HH96" s="268">
        <f t="shared" si="518"/>
        <v>21618.146588217467</v>
      </c>
      <c r="HI96" s="271">
        <v>0</v>
      </c>
      <c r="HJ96" s="264">
        <f t="shared" si="519"/>
        <v>0</v>
      </c>
      <c r="HL96" s="137">
        <f t="shared" si="520"/>
        <v>87</v>
      </c>
      <c r="HM96" s="264">
        <f t="shared" si="521"/>
        <v>2508546.21</v>
      </c>
      <c r="HN96"/>
      <c r="HO96" s="199">
        <f t="shared" si="522"/>
        <v>4825000</v>
      </c>
      <c r="HP96" s="199">
        <f t="shared" si="523"/>
        <v>4825000</v>
      </c>
      <c r="HQ96" s="199" t="str">
        <f t="shared" si="524"/>
        <v/>
      </c>
      <c r="HR96" s="199" t="str">
        <f t="shared" si="525"/>
        <v/>
      </c>
      <c r="HS96" s="199" t="str">
        <f t="shared" si="539"/>
        <v/>
      </c>
      <c r="HT96" s="199" t="str">
        <f t="shared" si="526"/>
        <v/>
      </c>
      <c r="HU96" s="199" t="str">
        <f t="shared" si="527"/>
        <v/>
      </c>
      <c r="HV96" s="200">
        <f t="shared" si="528"/>
        <v>0</v>
      </c>
      <c r="HW96" s="272">
        <f t="shared" si="540"/>
        <v>1</v>
      </c>
      <c r="HX96" s="200" t="str">
        <f t="shared" si="529"/>
        <v/>
      </c>
      <c r="HY96" s="200">
        <f t="shared" si="530"/>
        <v>0</v>
      </c>
      <c r="HZ96" s="200" t="str">
        <f t="shared" si="535"/>
        <v/>
      </c>
      <c r="IA96" s="200" t="str">
        <f t="shared" si="531"/>
        <v/>
      </c>
      <c r="IB96" s="200" t="str">
        <f t="shared" si="532"/>
        <v/>
      </c>
      <c r="IC96" s="273">
        <f>IF(C96="","",INDEX(Lookups!$E$2:$E$69,MATCH('Loan List'!BE96,Lookups!$F$2:$F$69,0)))</f>
        <v>1</v>
      </c>
      <c r="ID96" t="b">
        <f t="shared" si="533"/>
        <v>1</v>
      </c>
      <c r="IF96" s="346"/>
    </row>
    <row r="97" spans="1:240" ht="15" customHeight="1">
      <c r="A97" t="s">
        <v>763</v>
      </c>
      <c r="B97" s="242">
        <f t="shared" si="541"/>
        <v>88</v>
      </c>
      <c r="C97" s="242">
        <f>IF(COUNTIF($A$10:A96,A97)&gt;0,C96,C96+1)</f>
        <v>69</v>
      </c>
      <c r="D97" s="431" t="s">
        <v>763</v>
      </c>
      <c r="E97" s="428" t="s">
        <v>831</v>
      </c>
      <c r="F97" s="429"/>
      <c r="G97" s="430">
        <v>1958656</v>
      </c>
      <c r="H97" s="430">
        <v>1958656</v>
      </c>
      <c r="I97" s="244">
        <f>IF(B97="","",VLOOKUP(BF97,Inputs!$A$12:$J$15,10,FALSE))</f>
        <v>1</v>
      </c>
      <c r="J97" s="245">
        <f t="shared" si="542"/>
        <v>1958656</v>
      </c>
      <c r="K97" s="245">
        <f t="shared" si="543"/>
        <v>1958656</v>
      </c>
      <c r="L97" s="245">
        <f t="shared" si="544"/>
        <v>1958656</v>
      </c>
      <c r="M97" s="245">
        <f t="shared" si="545"/>
        <v>1958656</v>
      </c>
      <c r="N97" s="246" t="s">
        <v>246</v>
      </c>
      <c r="O97" s="246" t="s">
        <v>245</v>
      </c>
      <c r="P97" s="247">
        <f>IF(B97="","",IF(OR(O97="N/A",O97=""),0,YEARFRAC('Borrowing Base'!$J$4,'Loan List'!O97)*12))</f>
        <v>0</v>
      </c>
      <c r="Q97" s="246" t="s">
        <v>246</v>
      </c>
      <c r="R97" s="275">
        <v>0.93689999999999996</v>
      </c>
      <c r="S97" s="249" t="str">
        <f t="shared" si="546"/>
        <v>Yes</v>
      </c>
      <c r="T97" s="275">
        <v>0.93689999999999996</v>
      </c>
      <c r="U97" s="250">
        <f t="shared" si="547"/>
        <v>0.5</v>
      </c>
      <c r="V97" s="250">
        <f t="shared" si="548"/>
        <v>0.64709507042253511</v>
      </c>
      <c r="W97" s="251">
        <f t="shared" si="385"/>
        <v>1835064.8063999999</v>
      </c>
      <c r="X97" s="246" t="s">
        <v>64</v>
      </c>
      <c r="Y97" s="252" t="s">
        <v>483</v>
      </c>
      <c r="Z97" s="252" t="s">
        <v>484</v>
      </c>
      <c r="AA97" s="253" t="s">
        <v>407</v>
      </c>
      <c r="AB97" s="253" t="s">
        <v>713</v>
      </c>
      <c r="AC97" s="254">
        <v>1.1399999999999999</v>
      </c>
      <c r="AD97" s="254">
        <v>1.1399999999999999</v>
      </c>
      <c r="AE97" s="254">
        <v>1.5</v>
      </c>
      <c r="AF97" s="254">
        <v>0.45800000000000002</v>
      </c>
      <c r="AG97" s="256">
        <v>4.71</v>
      </c>
      <c r="AH97" s="256">
        <v>5.68</v>
      </c>
      <c r="AI97" s="256">
        <v>4.71</v>
      </c>
      <c r="AJ97" s="256">
        <v>5.68</v>
      </c>
      <c r="AK97" s="257">
        <v>403962000</v>
      </c>
      <c r="AL97" s="257">
        <v>403962000</v>
      </c>
      <c r="AM97" s="258">
        <v>45747</v>
      </c>
      <c r="AN97" s="245" t="str">
        <f t="shared" si="549"/>
        <v>Tier 1</v>
      </c>
      <c r="AO97" s="243">
        <v>46356</v>
      </c>
      <c r="AP97" s="259">
        <f>IF(C97="","",DAYS360(Inputs!$J$8,AO97)/360)</f>
        <v>1.2666666666666666</v>
      </c>
      <c r="AQ97" s="259">
        <f t="shared" si="550"/>
        <v>1.2666666666666666</v>
      </c>
      <c r="AR97" s="246" t="s">
        <v>246</v>
      </c>
      <c r="AS97" s="276">
        <v>0</v>
      </c>
      <c r="AT97" s="246" t="s">
        <v>64</v>
      </c>
      <c r="AU97" s="248">
        <v>0.01</v>
      </c>
      <c r="AV97" s="248">
        <v>4.7500000000000001E-2</v>
      </c>
      <c r="AW97" s="248">
        <v>4.1660000000000003E-2</v>
      </c>
      <c r="AX97" s="260">
        <f t="shared" si="551"/>
        <v>4.1660000000000003E-2</v>
      </c>
      <c r="AY97" s="248">
        <v>0</v>
      </c>
      <c r="AZ97" s="248">
        <v>0</v>
      </c>
      <c r="BA97" s="248">
        <v>0</v>
      </c>
      <c r="BB97" s="407">
        <f t="shared" si="536"/>
        <v>4.7500000000000001E-2</v>
      </c>
      <c r="BC97" s="407" t="str">
        <f t="shared" si="537"/>
        <v/>
      </c>
      <c r="BD97" s="252" t="s">
        <v>247</v>
      </c>
      <c r="BE97" s="261" t="s">
        <v>462</v>
      </c>
      <c r="BF97" s="252" t="s">
        <v>7</v>
      </c>
      <c r="BG97" s="252" t="s">
        <v>460</v>
      </c>
      <c r="BH97" s="246" t="s">
        <v>246</v>
      </c>
      <c r="BI97" s="408" t="str">
        <f t="shared" si="534"/>
        <v>No</v>
      </c>
      <c r="BJ97" s="408" t="str">
        <f t="shared" si="538"/>
        <v>No</v>
      </c>
      <c r="BK97" s="246" t="s">
        <v>246</v>
      </c>
      <c r="BL97" s="246" t="s">
        <v>246</v>
      </c>
      <c r="BM97" s="246" t="s">
        <v>64</v>
      </c>
      <c r="BN97" s="246" t="s">
        <v>64</v>
      </c>
      <c r="BO97" s="246" t="s">
        <v>246</v>
      </c>
      <c r="BP97" s="246" t="s">
        <v>246</v>
      </c>
      <c r="BQ97" s="246" t="s">
        <v>246</v>
      </c>
      <c r="BR97" s="246" t="s">
        <v>246</v>
      </c>
      <c r="BS97" s="246" t="s">
        <v>246</v>
      </c>
      <c r="BT97" s="246" t="s">
        <v>246</v>
      </c>
      <c r="BU97" s="246" t="s">
        <v>246</v>
      </c>
      <c r="BV97" s="246" t="s">
        <v>246</v>
      </c>
      <c r="BW97" s="246" t="s">
        <v>246</v>
      </c>
      <c r="BX97" s="246" t="s">
        <v>246</v>
      </c>
      <c r="BY97" s="246" t="s">
        <v>246</v>
      </c>
      <c r="BZ97" s="246" t="s">
        <v>246</v>
      </c>
      <c r="CA97" s="246" t="s">
        <v>246</v>
      </c>
      <c r="CB97" s="246" t="s">
        <v>64</v>
      </c>
      <c r="CC97" s="262">
        <f t="shared" si="552"/>
        <v>89975.955865600001</v>
      </c>
      <c r="CD97" s="262">
        <f t="shared" si="553"/>
        <v>0</v>
      </c>
      <c r="CE97" s="263"/>
      <c r="CF97" s="263">
        <f t="shared" si="403"/>
        <v>0</v>
      </c>
      <c r="CG97" s="263">
        <f t="shared" si="404"/>
        <v>0</v>
      </c>
      <c r="CH97" s="263">
        <f t="shared" si="405"/>
        <v>0</v>
      </c>
      <c r="CI97" s="263">
        <f t="shared" si="406"/>
        <v>0</v>
      </c>
      <c r="CJ97" s="263">
        <f t="shared" si="407"/>
        <v>0</v>
      </c>
      <c r="CK97" s="263">
        <f t="shared" si="408"/>
        <v>0</v>
      </c>
      <c r="CL97" s="263">
        <f t="shared" si="409"/>
        <v>0</v>
      </c>
      <c r="CM97" s="263">
        <f t="shared" si="410"/>
        <v>0</v>
      </c>
      <c r="CN97" s="263">
        <f t="shared" si="411"/>
        <v>0</v>
      </c>
      <c r="CO97" s="263">
        <f t="shared" si="412"/>
        <v>0</v>
      </c>
      <c r="CP97" s="263">
        <f t="shared" si="413"/>
        <v>0</v>
      </c>
      <c r="CQ97" s="263">
        <f t="shared" si="414"/>
        <v>0</v>
      </c>
      <c r="CR97" s="263">
        <f t="shared" si="415"/>
        <v>0</v>
      </c>
      <c r="CS97" s="263">
        <f t="shared" si="416"/>
        <v>0</v>
      </c>
      <c r="CT97" s="263">
        <f t="shared" si="417"/>
        <v>0</v>
      </c>
      <c r="CU97" s="263">
        <f t="shared" si="418"/>
        <v>0</v>
      </c>
      <c r="CV97" s="263">
        <f t="shared" si="419"/>
        <v>0</v>
      </c>
      <c r="CW97" s="263">
        <f t="shared" si="420"/>
        <v>0</v>
      </c>
      <c r="CX97" s="263">
        <f t="shared" si="421"/>
        <v>0</v>
      </c>
      <c r="CY97" s="263">
        <f t="shared" si="422"/>
        <v>0</v>
      </c>
      <c r="CZ97" s="263">
        <f t="shared" si="423"/>
        <v>0</v>
      </c>
      <c r="DA97" s="263">
        <f t="shared" si="424"/>
        <v>0</v>
      </c>
      <c r="DB97" s="263">
        <f t="shared" si="425"/>
        <v>0</v>
      </c>
      <c r="DC97" s="263">
        <f t="shared" si="426"/>
        <v>0</v>
      </c>
      <c r="DD97" s="263">
        <f t="shared" si="427"/>
        <v>0</v>
      </c>
      <c r="DE97" s="263">
        <f t="shared" si="428"/>
        <v>0</v>
      </c>
      <c r="DF97" s="263">
        <f t="shared" si="429"/>
        <v>1835064.8063999999</v>
      </c>
      <c r="DG97" s="263">
        <f t="shared" si="430"/>
        <v>0</v>
      </c>
      <c r="DH97" s="263">
        <f t="shared" si="431"/>
        <v>1835064.8063999999</v>
      </c>
      <c r="DI97" s="263">
        <f t="shared" si="432"/>
        <v>1958656</v>
      </c>
      <c r="DJ97" s="263">
        <f t="shared" si="433"/>
        <v>0</v>
      </c>
      <c r="DK97" s="263">
        <f t="shared" si="434"/>
        <v>0</v>
      </c>
      <c r="DL97" s="263">
        <f t="shared" si="435"/>
        <v>0</v>
      </c>
      <c r="DM97" s="263">
        <f t="shared" si="436"/>
        <v>0</v>
      </c>
      <c r="DO97" s="264">
        <f t="shared" si="437"/>
        <v>0</v>
      </c>
      <c r="DP97" s="265">
        <f t="shared" si="438"/>
        <v>0</v>
      </c>
      <c r="DQ97" s="264">
        <f t="shared" si="439"/>
        <v>1835064.8063999999</v>
      </c>
      <c r="DR97" s="264">
        <f t="shared" si="440"/>
        <v>0</v>
      </c>
      <c r="DS97" s="265">
        <f t="shared" si="441"/>
        <v>0</v>
      </c>
      <c r="DT97" s="264">
        <f t="shared" si="442"/>
        <v>1835064.8063999999</v>
      </c>
      <c r="DU97" s="264">
        <f t="shared" si="443"/>
        <v>0</v>
      </c>
      <c r="DV97" s="265">
        <f t="shared" si="444"/>
        <v>0</v>
      </c>
      <c r="DW97" s="264">
        <f t="shared" si="445"/>
        <v>1835064.8063999999</v>
      </c>
      <c r="DX97" s="264">
        <f t="shared" si="446"/>
        <v>0</v>
      </c>
      <c r="DY97" s="265">
        <f t="shared" si="447"/>
        <v>0</v>
      </c>
      <c r="DZ97" s="264">
        <f t="shared" si="448"/>
        <v>1835064.8063999999</v>
      </c>
      <c r="EA97" s="264">
        <f t="shared" si="449"/>
        <v>0</v>
      </c>
      <c r="EB97" s="265">
        <f t="shared" si="450"/>
        <v>0</v>
      </c>
      <c r="EC97" s="264">
        <f t="shared" si="451"/>
        <v>1835064.8063999999</v>
      </c>
      <c r="ED97" s="264">
        <f t="shared" si="452"/>
        <v>0</v>
      </c>
      <c r="EE97" s="265">
        <f t="shared" si="453"/>
        <v>0</v>
      </c>
      <c r="EF97" s="264">
        <f t="shared" si="454"/>
        <v>1835064.8063999999</v>
      </c>
      <c r="EG97" s="264">
        <f t="shared" si="455"/>
        <v>1835064.8063999999</v>
      </c>
      <c r="EH97" s="265">
        <f t="shared" si="456"/>
        <v>0</v>
      </c>
      <c r="EI97" s="264">
        <f t="shared" si="457"/>
        <v>1835064.8063999999</v>
      </c>
      <c r="EJ97" s="264">
        <f t="shared" si="458"/>
        <v>0</v>
      </c>
      <c r="EK97" s="265">
        <f t="shared" si="459"/>
        <v>0</v>
      </c>
      <c r="EL97" s="264">
        <f t="shared" si="460"/>
        <v>1835064.8063999999</v>
      </c>
      <c r="EM97" s="264">
        <f t="shared" si="461"/>
        <v>0</v>
      </c>
      <c r="EN97" s="265">
        <f t="shared" si="462"/>
        <v>0</v>
      </c>
      <c r="EO97" s="264">
        <f t="shared" si="463"/>
        <v>1835064.8063999999</v>
      </c>
      <c r="EP97" s="264">
        <f t="shared" si="464"/>
        <v>0</v>
      </c>
      <c r="EQ97" s="265">
        <f t="shared" si="465"/>
        <v>0</v>
      </c>
      <c r="ER97" s="264">
        <f t="shared" si="466"/>
        <v>1835064.8063999999</v>
      </c>
      <c r="ES97" s="264">
        <f t="shared" si="467"/>
        <v>0</v>
      </c>
      <c r="ET97" s="265">
        <f t="shared" si="468"/>
        <v>0</v>
      </c>
      <c r="EU97" s="264">
        <f t="shared" si="469"/>
        <v>1835064.8063999999</v>
      </c>
      <c r="EV97" s="264">
        <f>IF(AND(BM97="Yes",OR(BN97="No",AND(BN97="Yes",Inputs!$J$8=Inputs!$J$17+75))),EU97,0)</f>
        <v>0</v>
      </c>
      <c r="EW97" s="265">
        <f t="shared" si="470"/>
        <v>0</v>
      </c>
      <c r="EX97" s="264">
        <f t="shared" si="471"/>
        <v>1835064.8063999999</v>
      </c>
      <c r="EY97" s="264">
        <f t="shared" si="472"/>
        <v>0</v>
      </c>
      <c r="EZ97" s="265">
        <f t="shared" si="473"/>
        <v>0</v>
      </c>
      <c r="FA97" s="264">
        <f t="shared" si="474"/>
        <v>1835064.8063999999</v>
      </c>
      <c r="FB97" s="264">
        <f t="shared" si="475"/>
        <v>0</v>
      </c>
      <c r="FC97" s="265">
        <f t="shared" si="476"/>
        <v>0</v>
      </c>
      <c r="FD97" s="264">
        <f t="shared" si="477"/>
        <v>1835064.8063999999</v>
      </c>
      <c r="FE97" s="264">
        <f t="shared" si="478"/>
        <v>0</v>
      </c>
      <c r="FF97" s="265">
        <f t="shared" si="479"/>
        <v>0</v>
      </c>
      <c r="FG97" s="264">
        <f t="shared" si="480"/>
        <v>1835064.8063999999</v>
      </c>
      <c r="FH97" s="264">
        <f t="shared" si="481"/>
        <v>1835064.8063999999</v>
      </c>
      <c r="FI97" s="264">
        <f t="shared" si="482"/>
        <v>0</v>
      </c>
      <c r="FJ97" s="264">
        <f t="shared" si="483"/>
        <v>1835064.8063999999</v>
      </c>
      <c r="FK97" s="264">
        <f t="shared" si="484"/>
        <v>1835064.8063999999</v>
      </c>
      <c r="FL97" s="264">
        <f t="shared" si="485"/>
        <v>0</v>
      </c>
      <c r="FM97" s="264">
        <f t="shared" si="486"/>
        <v>1835064.8063999999</v>
      </c>
      <c r="FN97" s="264">
        <f t="shared" si="487"/>
        <v>1835064.8063999999</v>
      </c>
      <c r="FO97" s="264">
        <f t="shared" si="488"/>
        <v>0</v>
      </c>
      <c r="FP97" s="264">
        <f t="shared" si="489"/>
        <v>1835064.8063999999</v>
      </c>
      <c r="FQ97" s="264">
        <f t="shared" si="490"/>
        <v>0</v>
      </c>
      <c r="FR97" s="265">
        <f t="shared" si="491"/>
        <v>0</v>
      </c>
      <c r="FS97" s="264">
        <f t="shared" si="492"/>
        <v>1835064.8063999999</v>
      </c>
      <c r="FT97" s="264">
        <f t="shared" si="493"/>
        <v>0</v>
      </c>
      <c r="FU97" s="265">
        <f t="shared" si="494"/>
        <v>0</v>
      </c>
      <c r="FV97" s="264">
        <f t="shared" si="495"/>
        <v>1835064.8063999999</v>
      </c>
      <c r="FW97" s="264">
        <f t="shared" si="496"/>
        <v>0</v>
      </c>
      <c r="FX97" s="264">
        <f t="shared" si="497"/>
        <v>0</v>
      </c>
      <c r="FY97" s="264">
        <f t="shared" si="498"/>
        <v>0</v>
      </c>
      <c r="FZ97" s="264">
        <f t="shared" si="499"/>
        <v>0</v>
      </c>
      <c r="GA97" s="265">
        <f t="shared" si="500"/>
        <v>0</v>
      </c>
      <c r="GB97" s="264">
        <f t="shared" si="501"/>
        <v>1835064.8063999999</v>
      </c>
      <c r="GC97" s="264">
        <f t="shared" si="502"/>
        <v>1835064.8063999999</v>
      </c>
      <c r="GD97" s="266">
        <f t="shared" si="503"/>
        <v>1187461.3901273238</v>
      </c>
      <c r="GE97" s="138">
        <f t="shared" si="504"/>
        <v>0.60626337147887321</v>
      </c>
      <c r="GF97" s="267">
        <f t="shared" si="505"/>
        <v>59</v>
      </c>
      <c r="GG97" s="264">
        <f t="array" ref="GG97">IF(SUM(IF(IC$9:IC96=IC97,1,0))&gt;0,0,SUMIF($IC$10:$IC$406,IC97,$FJ$10:$FJ$406))</f>
        <v>0</v>
      </c>
      <c r="GH97" s="268">
        <f t="shared" si="506"/>
        <v>0</v>
      </c>
      <c r="GI97" s="137">
        <f t="shared" si="126"/>
        <v>88</v>
      </c>
      <c r="GJ97" s="269">
        <f t="shared" si="507"/>
        <v>0</v>
      </c>
      <c r="GK97" s="269">
        <f t="shared" si="508"/>
        <v>0</v>
      </c>
      <c r="GL97" s="163">
        <f t="shared" si="509"/>
        <v>0</v>
      </c>
      <c r="GM97" s="137">
        <f t="array" ref="GM97">IF(GJ97=0,0,LARGE(IF($GG$10:$GG$406=GJ97,$GF$10:$GF$406,0),COUNTIF($GJ$10:$GJ$406,GJ97)-COUNTIF(GJ$9:GJ96,GJ97)))</f>
        <v>0</v>
      </c>
      <c r="GN97" s="270">
        <f t="shared" si="510"/>
        <v>0</v>
      </c>
      <c r="GP97" s="137">
        <f>IF(C97="","",IF(ISERROR(MATCH(C97,C$10:C96,0)),MAX(GP$10:GP96)+1,INDEX(GP$10:GP96,MATCH(C97,C$10:C96,0))))</f>
        <v>69</v>
      </c>
      <c r="GQ97" s="264">
        <f>IF(COUNTIF($A$10:A97,A97)&lt;=1,SUMIF($A$10:$A$406,A97,$FH$10:$FH$406),0)</f>
        <v>1835064.8063999999</v>
      </c>
      <c r="GR97" s="137">
        <f t="shared" si="130"/>
        <v>88</v>
      </c>
      <c r="GS97" s="269">
        <f t="shared" si="554"/>
        <v>2095575.5</v>
      </c>
      <c r="GT97" s="269">
        <f t="shared" si="555"/>
        <v>50964284.172430128</v>
      </c>
      <c r="GU97" s="163">
        <f t="shared" si="556"/>
        <v>0</v>
      </c>
      <c r="GV97" s="137">
        <f t="array" ref="GV97">IF(GS97=0,0,LARGE(IF($GQ$10:$GQ$406=GS97,$GP$10:$GP$406,0),COUNTIF($GS$10:$GS$406,GS97)-COUNTIF(GS$9:GS96,GS97)))</f>
        <v>50</v>
      </c>
      <c r="GW97" s="270">
        <f t="shared" si="557"/>
        <v>0</v>
      </c>
      <c r="GX97" s="270"/>
      <c r="GY97" s="137">
        <f>IF(C97="","",IF(ISERROR(MATCH(C97,C$10:C96,0)),MAX(GP$10:GP96)+1,INDEX(GP$10:GP96,MATCH(C97,C$10:C96,0))))</f>
        <v>69</v>
      </c>
      <c r="GZ97" s="264">
        <f>IF(COUNTIF($A$10:A97,A97)&lt;=1,SUMIF($A$10:$A$406,A97,$FH$10:$FH$406),0)</f>
        <v>1835064.8063999999</v>
      </c>
      <c r="HA97" s="137">
        <f t="shared" si="134"/>
        <v>88</v>
      </c>
      <c r="HB97" s="269">
        <f t="shared" si="515"/>
        <v>2095575.5</v>
      </c>
      <c r="HC97" s="414" t="s">
        <v>622</v>
      </c>
      <c r="HD97" s="163">
        <f t="shared" si="516"/>
        <v>0</v>
      </c>
      <c r="HE97" s="137">
        <f t="array" ref="HE97">IF(HB97=0,0,LARGE(IF($GZ$10:$GZ$406=HB97,$GY$10:$GY$406,0),COUNTIF($HB$10:$HB$406,HB97)-COUNTIF(HB$9:HB96,HB97)))</f>
        <v>50</v>
      </c>
      <c r="HF97" s="270">
        <f t="shared" si="517"/>
        <v>0</v>
      </c>
      <c r="HG97" s="270"/>
      <c r="HH97" s="268">
        <f t="shared" si="518"/>
        <v>0</v>
      </c>
      <c r="HI97" s="271">
        <v>0</v>
      </c>
      <c r="HJ97" s="264">
        <f t="shared" si="519"/>
        <v>0</v>
      </c>
      <c r="HL97" s="137">
        <f t="shared" si="520"/>
        <v>88</v>
      </c>
      <c r="HM97" s="264">
        <f t="shared" si="521"/>
        <v>7082250</v>
      </c>
      <c r="HN97"/>
      <c r="HO97" s="199">
        <f t="shared" si="522"/>
        <v>1835064.8063999999</v>
      </c>
      <c r="HP97" s="199">
        <f t="shared" si="523"/>
        <v>1958656</v>
      </c>
      <c r="HQ97" s="199" t="str">
        <f t="shared" si="524"/>
        <v/>
      </c>
      <c r="HR97" s="199">
        <f t="shared" si="525"/>
        <v>1835064.8063999999</v>
      </c>
      <c r="HS97" s="199" t="str">
        <f t="shared" si="539"/>
        <v/>
      </c>
      <c r="HT97" s="199" t="str">
        <f t="shared" si="526"/>
        <v/>
      </c>
      <c r="HU97" s="199" t="str">
        <f t="shared" si="527"/>
        <v/>
      </c>
      <c r="HV97" s="200">
        <f t="shared" si="528"/>
        <v>0</v>
      </c>
      <c r="HW97" s="272" t="str">
        <f t="shared" si="540"/>
        <v/>
      </c>
      <c r="HX97" s="200">
        <f t="shared" si="529"/>
        <v>0</v>
      </c>
      <c r="HY97" s="200">
        <f t="shared" si="530"/>
        <v>0</v>
      </c>
      <c r="HZ97" s="200">
        <f t="shared" si="535"/>
        <v>0</v>
      </c>
      <c r="IA97" s="200">
        <f t="shared" si="531"/>
        <v>1835064.8063999999</v>
      </c>
      <c r="IB97" s="200">
        <f t="shared" si="532"/>
        <v>0</v>
      </c>
      <c r="IC97" s="273">
        <f>IF(C97="","",INDEX(Lookups!$E$2:$E$69,MATCH('Loan List'!BE97,Lookups!$F$2:$F$69,0)))</f>
        <v>59</v>
      </c>
      <c r="ID97" t="b">
        <f t="shared" si="533"/>
        <v>1</v>
      </c>
      <c r="IF97" s="346"/>
    </row>
    <row r="98" spans="1:240" ht="15" customHeight="1">
      <c r="A98" t="s">
        <v>558</v>
      </c>
      <c r="B98" s="242">
        <f t="shared" si="541"/>
        <v>89</v>
      </c>
      <c r="C98" s="242">
        <f>IF(COUNTIF($A$10:A97,A98)&gt;0,C97,C97+1)</f>
        <v>70</v>
      </c>
      <c r="D98" s="428" t="s">
        <v>558</v>
      </c>
      <c r="E98" s="428" t="s">
        <v>557</v>
      </c>
      <c r="F98" s="429"/>
      <c r="G98" s="430">
        <v>32577126.5</v>
      </c>
      <c r="H98" s="430">
        <v>32577126.5</v>
      </c>
      <c r="I98" s="244">
        <f>IF(B98="","",VLOOKUP(BF98,Inputs!$A$12:$J$15,10,FALSE))</f>
        <v>1</v>
      </c>
      <c r="J98" s="245">
        <f t="shared" si="542"/>
        <v>32577126.5</v>
      </c>
      <c r="K98" s="245">
        <f t="shared" si="543"/>
        <v>32577126.5</v>
      </c>
      <c r="L98" s="245">
        <f t="shared" si="544"/>
        <v>32577126.5</v>
      </c>
      <c r="M98" s="245">
        <f t="shared" si="545"/>
        <v>32577126.5</v>
      </c>
      <c r="N98" s="246" t="s">
        <v>246</v>
      </c>
      <c r="O98" s="246" t="s">
        <v>245</v>
      </c>
      <c r="P98" s="247">
        <f>IF(B98="","",IF(OR(O98="N/A",O98=""),0,YEARFRAC('Borrowing Base'!$J$4,'Loan List'!O98)*12))</f>
        <v>0</v>
      </c>
      <c r="Q98" s="246" t="s">
        <v>246</v>
      </c>
      <c r="R98" s="275">
        <v>0.98534367949053547</v>
      </c>
      <c r="S98" s="249" t="str">
        <f t="shared" si="546"/>
        <v>No</v>
      </c>
      <c r="T98" s="275">
        <v>0.99500000008748457</v>
      </c>
      <c r="U98" s="250">
        <f t="shared" si="547"/>
        <v>0.5</v>
      </c>
      <c r="V98" s="250">
        <f t="shared" si="548"/>
        <v>0.72499999999999998</v>
      </c>
      <c r="W98" s="251">
        <f t="shared" si="385"/>
        <v>32577126.5</v>
      </c>
      <c r="X98" s="246" t="s">
        <v>246</v>
      </c>
      <c r="Y98" s="252" t="s">
        <v>483</v>
      </c>
      <c r="Z98" s="252" t="s">
        <v>484</v>
      </c>
      <c r="AA98" s="253" t="s">
        <v>407</v>
      </c>
      <c r="AB98" s="253" t="s">
        <v>713</v>
      </c>
      <c r="AC98" s="254">
        <v>1.53</v>
      </c>
      <c r="AD98" s="254">
        <v>1.9303170137034118</v>
      </c>
      <c r="AE98" s="254">
        <v>2.1649237263743646</v>
      </c>
      <c r="AF98" s="254">
        <v>0.35799999999999998</v>
      </c>
      <c r="AG98" s="256">
        <v>3.2481751824817522</v>
      </c>
      <c r="AH98" s="256">
        <v>4.2846715328467155</v>
      </c>
      <c r="AI98" s="256">
        <v>3.7634425894195749</v>
      </c>
      <c r="AJ98" s="256">
        <v>4.4327849449083434</v>
      </c>
      <c r="AK98" s="257">
        <v>13700000</v>
      </c>
      <c r="AL98" s="257">
        <v>23007658</v>
      </c>
      <c r="AM98" s="258">
        <v>45838</v>
      </c>
      <c r="AN98" s="245" t="str">
        <f t="shared" si="549"/>
        <v>Tier 2</v>
      </c>
      <c r="AO98" s="243">
        <v>46904</v>
      </c>
      <c r="AP98" s="259">
        <f>IF(C98="","",DAYS360(Inputs!$J$8,AO98)/360)</f>
        <v>2.7694444444444444</v>
      </c>
      <c r="AQ98" s="259">
        <f t="shared" si="550"/>
        <v>2.7694444444444444</v>
      </c>
      <c r="AR98" s="246" t="s">
        <v>246</v>
      </c>
      <c r="AS98" s="276">
        <v>0</v>
      </c>
      <c r="AT98" s="246" t="s">
        <v>64</v>
      </c>
      <c r="AU98" s="248">
        <v>0.01</v>
      </c>
      <c r="AV98" s="248">
        <v>5.5E-2</v>
      </c>
      <c r="AW98" s="248">
        <v>4.2956000000000001E-2</v>
      </c>
      <c r="AX98" s="260">
        <f t="shared" si="551"/>
        <v>4.2956000000000001E-2</v>
      </c>
      <c r="AY98" s="248">
        <v>0</v>
      </c>
      <c r="AZ98" s="248">
        <v>0</v>
      </c>
      <c r="BA98" s="248">
        <v>0</v>
      </c>
      <c r="BB98" s="407">
        <f t="shared" si="536"/>
        <v>5.5E-2</v>
      </c>
      <c r="BC98" s="407" t="str">
        <f t="shared" si="537"/>
        <v/>
      </c>
      <c r="BD98" s="252" t="s">
        <v>247</v>
      </c>
      <c r="BE98" s="261" t="s">
        <v>451</v>
      </c>
      <c r="BF98" s="252" t="s">
        <v>7</v>
      </c>
      <c r="BG98" s="252" t="s">
        <v>460</v>
      </c>
      <c r="BH98" s="246" t="s">
        <v>246</v>
      </c>
      <c r="BI98" s="408" t="str">
        <f t="shared" si="534"/>
        <v>No</v>
      </c>
      <c r="BJ98" s="408" t="str">
        <f t="shared" si="538"/>
        <v>No</v>
      </c>
      <c r="BK98" s="246" t="s">
        <v>246</v>
      </c>
      <c r="BL98" s="246" t="s">
        <v>246</v>
      </c>
      <c r="BM98" s="246" t="s">
        <v>246</v>
      </c>
      <c r="BN98" s="246" t="s">
        <v>246</v>
      </c>
      <c r="BO98" s="246" t="s">
        <v>246</v>
      </c>
      <c r="BP98" s="246" t="s">
        <v>246</v>
      </c>
      <c r="BQ98" s="246" t="s">
        <v>246</v>
      </c>
      <c r="BR98" s="246" t="s">
        <v>246</v>
      </c>
      <c r="BS98" s="246" t="s">
        <v>246</v>
      </c>
      <c r="BT98" s="246" t="s">
        <v>246</v>
      </c>
      <c r="BU98" s="246" t="s">
        <v>246</v>
      </c>
      <c r="BV98" s="246" t="s">
        <v>246</v>
      </c>
      <c r="BW98" s="246" t="s">
        <v>246</v>
      </c>
      <c r="BX98" s="246" t="s">
        <v>246</v>
      </c>
      <c r="BY98" s="246" t="s">
        <v>246</v>
      </c>
      <c r="BZ98" s="246" t="s">
        <v>246</v>
      </c>
      <c r="CA98" s="246" t="s">
        <v>246</v>
      </c>
      <c r="CB98" s="246" t="s">
        <v>64</v>
      </c>
      <c r="CC98" s="262">
        <f t="shared" si="552"/>
        <v>1783063.4110004001</v>
      </c>
      <c r="CD98" s="262">
        <f t="shared" si="553"/>
        <v>0</v>
      </c>
      <c r="CE98" s="263"/>
      <c r="CF98" s="263">
        <f t="shared" si="403"/>
        <v>0</v>
      </c>
      <c r="CG98" s="263">
        <f t="shared" si="404"/>
        <v>0</v>
      </c>
      <c r="CH98" s="263">
        <f t="shared" si="405"/>
        <v>0</v>
      </c>
      <c r="CI98" s="263">
        <f t="shared" si="406"/>
        <v>0</v>
      </c>
      <c r="CJ98" s="263">
        <f t="shared" si="407"/>
        <v>0</v>
      </c>
      <c r="CK98" s="263">
        <f t="shared" si="408"/>
        <v>0</v>
      </c>
      <c r="CL98" s="263">
        <f t="shared" si="409"/>
        <v>0</v>
      </c>
      <c r="CM98" s="263">
        <f t="shared" si="410"/>
        <v>0</v>
      </c>
      <c r="CN98" s="263">
        <f t="shared" si="411"/>
        <v>0</v>
      </c>
      <c r="CO98" s="263">
        <f t="shared" si="412"/>
        <v>0</v>
      </c>
      <c r="CP98" s="263">
        <f t="shared" si="413"/>
        <v>0</v>
      </c>
      <c r="CQ98" s="263">
        <f t="shared" si="414"/>
        <v>0</v>
      </c>
      <c r="CR98" s="263">
        <f t="shared" si="415"/>
        <v>0</v>
      </c>
      <c r="CS98" s="263">
        <f t="shared" si="416"/>
        <v>0</v>
      </c>
      <c r="CT98" s="263">
        <f t="shared" si="417"/>
        <v>0</v>
      </c>
      <c r="CU98" s="263">
        <f t="shared" si="418"/>
        <v>0</v>
      </c>
      <c r="CV98" s="263">
        <f t="shared" si="419"/>
        <v>0</v>
      </c>
      <c r="CW98" s="263">
        <f t="shared" si="420"/>
        <v>0</v>
      </c>
      <c r="CX98" s="263">
        <f t="shared" si="421"/>
        <v>0</v>
      </c>
      <c r="CY98" s="263">
        <f t="shared" si="422"/>
        <v>0</v>
      </c>
      <c r="CZ98" s="263">
        <f t="shared" si="423"/>
        <v>0</v>
      </c>
      <c r="DA98" s="263">
        <f t="shared" si="424"/>
        <v>0</v>
      </c>
      <c r="DB98" s="263">
        <f t="shared" si="425"/>
        <v>0</v>
      </c>
      <c r="DC98" s="263">
        <f t="shared" si="426"/>
        <v>0</v>
      </c>
      <c r="DD98" s="263">
        <f t="shared" si="427"/>
        <v>0</v>
      </c>
      <c r="DE98" s="263">
        <f t="shared" si="428"/>
        <v>0</v>
      </c>
      <c r="DF98" s="263">
        <f t="shared" si="429"/>
        <v>32577126.5</v>
      </c>
      <c r="DG98" s="263">
        <f t="shared" si="430"/>
        <v>0</v>
      </c>
      <c r="DH98" s="263">
        <f t="shared" si="431"/>
        <v>32577126.5</v>
      </c>
      <c r="DI98" s="263">
        <f t="shared" si="432"/>
        <v>32577126.5</v>
      </c>
      <c r="DJ98" s="263">
        <f t="shared" si="433"/>
        <v>0</v>
      </c>
      <c r="DK98" s="263">
        <f t="shared" si="434"/>
        <v>0</v>
      </c>
      <c r="DL98" s="263">
        <f t="shared" si="435"/>
        <v>0</v>
      </c>
      <c r="DM98" s="263">
        <f t="shared" si="436"/>
        <v>0</v>
      </c>
      <c r="DO98" s="264">
        <f t="shared" si="437"/>
        <v>0</v>
      </c>
      <c r="DP98" s="265">
        <f t="shared" si="438"/>
        <v>0</v>
      </c>
      <c r="DQ98" s="264">
        <f t="shared" si="439"/>
        <v>32577126.5</v>
      </c>
      <c r="DR98" s="264">
        <f t="shared" si="440"/>
        <v>0</v>
      </c>
      <c r="DS98" s="265">
        <f t="shared" si="441"/>
        <v>0</v>
      </c>
      <c r="DT98" s="264">
        <f t="shared" si="442"/>
        <v>32577126.5</v>
      </c>
      <c r="DU98" s="264">
        <f t="shared" si="443"/>
        <v>0</v>
      </c>
      <c r="DV98" s="265">
        <f t="shared" si="444"/>
        <v>0</v>
      </c>
      <c r="DW98" s="264">
        <f t="shared" si="445"/>
        <v>32577126.5</v>
      </c>
      <c r="DX98" s="264">
        <f t="shared" si="446"/>
        <v>0</v>
      </c>
      <c r="DY98" s="265">
        <f t="shared" si="447"/>
        <v>0</v>
      </c>
      <c r="DZ98" s="264">
        <f t="shared" si="448"/>
        <v>32577126.5</v>
      </c>
      <c r="EA98" s="264">
        <f t="shared" si="449"/>
        <v>0</v>
      </c>
      <c r="EB98" s="265">
        <f t="shared" si="450"/>
        <v>0</v>
      </c>
      <c r="EC98" s="264">
        <f t="shared" si="451"/>
        <v>32577126.5</v>
      </c>
      <c r="ED98" s="264">
        <f t="shared" si="452"/>
        <v>0</v>
      </c>
      <c r="EE98" s="265">
        <f t="shared" si="453"/>
        <v>0</v>
      </c>
      <c r="EF98" s="264">
        <f t="shared" si="454"/>
        <v>32577126.5</v>
      </c>
      <c r="EG98" s="264">
        <f t="shared" si="455"/>
        <v>0</v>
      </c>
      <c r="EH98" s="265">
        <f t="shared" si="456"/>
        <v>0</v>
      </c>
      <c r="EI98" s="264">
        <f t="shared" si="457"/>
        <v>32577126.5</v>
      </c>
      <c r="EJ98" s="264">
        <f t="shared" si="458"/>
        <v>0</v>
      </c>
      <c r="EK98" s="265">
        <f t="shared" si="459"/>
        <v>0</v>
      </c>
      <c r="EL98" s="264">
        <f t="shared" si="460"/>
        <v>32577126.5</v>
      </c>
      <c r="EM98" s="264">
        <f t="shared" si="461"/>
        <v>0</v>
      </c>
      <c r="EN98" s="265">
        <f t="shared" si="462"/>
        <v>0</v>
      </c>
      <c r="EO98" s="264">
        <f t="shared" si="463"/>
        <v>32577126.5</v>
      </c>
      <c r="EP98" s="264">
        <f t="shared" si="464"/>
        <v>0</v>
      </c>
      <c r="EQ98" s="265">
        <f t="shared" si="465"/>
        <v>0</v>
      </c>
      <c r="ER98" s="264">
        <f t="shared" si="466"/>
        <v>32577126.5</v>
      </c>
      <c r="ES98" s="264">
        <f t="shared" si="467"/>
        <v>0</v>
      </c>
      <c r="ET98" s="265">
        <f t="shared" si="468"/>
        <v>0</v>
      </c>
      <c r="EU98" s="264">
        <f t="shared" si="469"/>
        <v>32577126.5</v>
      </c>
      <c r="EV98" s="264">
        <f>IF(AND(BM98="Yes",OR(BN98="No",AND(BN98="Yes",Inputs!$J$8=Inputs!$J$17+75))),EU98,0)</f>
        <v>0</v>
      </c>
      <c r="EW98" s="265">
        <f t="shared" si="470"/>
        <v>0</v>
      </c>
      <c r="EX98" s="264">
        <f t="shared" si="471"/>
        <v>32577126.5</v>
      </c>
      <c r="EY98" s="264">
        <f t="shared" si="472"/>
        <v>0</v>
      </c>
      <c r="EZ98" s="265">
        <f t="shared" si="473"/>
        <v>0</v>
      </c>
      <c r="FA98" s="264">
        <f t="shared" si="474"/>
        <v>32577126.5</v>
      </c>
      <c r="FB98" s="264">
        <f t="shared" si="475"/>
        <v>0</v>
      </c>
      <c r="FC98" s="265">
        <f t="shared" si="476"/>
        <v>0</v>
      </c>
      <c r="FD98" s="264">
        <f t="shared" si="477"/>
        <v>32577126.5</v>
      </c>
      <c r="FE98" s="264">
        <f t="shared" si="478"/>
        <v>0</v>
      </c>
      <c r="FF98" s="265">
        <f t="shared" si="479"/>
        <v>0</v>
      </c>
      <c r="FG98" s="264">
        <f t="shared" si="480"/>
        <v>32577126.5</v>
      </c>
      <c r="FH98" s="264">
        <f t="shared" si="481"/>
        <v>32577126.5</v>
      </c>
      <c r="FI98" s="264">
        <f t="shared" si="482"/>
        <v>0</v>
      </c>
      <c r="FJ98" s="264">
        <f t="shared" si="483"/>
        <v>32577126.5</v>
      </c>
      <c r="FK98" s="264">
        <f t="shared" si="484"/>
        <v>32577126.5</v>
      </c>
      <c r="FL98" s="264">
        <f t="shared" si="485"/>
        <v>0</v>
      </c>
      <c r="FM98" s="264">
        <f t="shared" si="486"/>
        <v>32577126.5</v>
      </c>
      <c r="FN98" s="264">
        <f t="shared" si="487"/>
        <v>32577126.5</v>
      </c>
      <c r="FO98" s="264">
        <f t="shared" si="488"/>
        <v>0</v>
      </c>
      <c r="FP98" s="264">
        <f t="shared" si="489"/>
        <v>32577126.5</v>
      </c>
      <c r="FQ98" s="264">
        <f t="shared" si="490"/>
        <v>0</v>
      </c>
      <c r="FR98" s="265">
        <f t="shared" si="491"/>
        <v>0</v>
      </c>
      <c r="FS98" s="264">
        <f t="shared" si="492"/>
        <v>32577126.5</v>
      </c>
      <c r="FT98" s="264">
        <f t="shared" si="493"/>
        <v>0</v>
      </c>
      <c r="FU98" s="265">
        <f t="shared" si="494"/>
        <v>0</v>
      </c>
      <c r="FV98" s="264">
        <f t="shared" si="495"/>
        <v>32577126.5</v>
      </c>
      <c r="FW98" s="264">
        <f t="shared" si="496"/>
        <v>0</v>
      </c>
      <c r="FX98" s="264">
        <f t="shared" si="497"/>
        <v>0</v>
      </c>
      <c r="FY98" s="264">
        <f t="shared" si="498"/>
        <v>0</v>
      </c>
      <c r="FZ98" s="264">
        <f t="shared" si="499"/>
        <v>0</v>
      </c>
      <c r="GA98" s="265">
        <f t="shared" si="500"/>
        <v>0</v>
      </c>
      <c r="GB98" s="264">
        <f t="shared" si="501"/>
        <v>32577126.5</v>
      </c>
      <c r="GC98" s="264">
        <f t="shared" si="502"/>
        <v>32577126.5</v>
      </c>
      <c r="GD98" s="266">
        <f t="shared" si="503"/>
        <v>23618416.712499999</v>
      </c>
      <c r="GE98" s="138">
        <f t="shared" si="504"/>
        <v>0.72499999999999998</v>
      </c>
      <c r="GF98" s="267">
        <f t="shared" si="505"/>
        <v>53</v>
      </c>
      <c r="GG98" s="264">
        <f t="array" ref="GG98">IF(SUM(IF(IC$9:IC97=IC98,1,0))&gt;0,0,SUMIF($IC$10:$IC$406,IC98,$FJ$10:$FJ$406))</f>
        <v>0</v>
      </c>
      <c r="GH98" s="268">
        <f t="shared" si="506"/>
        <v>0</v>
      </c>
      <c r="GI98" s="137">
        <f t="shared" si="126"/>
        <v>89</v>
      </c>
      <c r="GJ98" s="269">
        <f t="shared" si="507"/>
        <v>0</v>
      </c>
      <c r="GK98" s="269">
        <f t="shared" si="508"/>
        <v>0</v>
      </c>
      <c r="GL98" s="163">
        <f t="shared" si="509"/>
        <v>0</v>
      </c>
      <c r="GM98" s="137">
        <f t="array" ref="GM98">IF(GJ98=0,0,LARGE(IF($GG$10:$GG$406=GJ98,$GF$10:$GF$406,0),COUNTIF($GJ$10:$GJ$406,GJ98)-COUNTIF(GJ$9:GJ97,GJ98)))</f>
        <v>0</v>
      </c>
      <c r="GN98" s="270">
        <f t="shared" si="510"/>
        <v>0</v>
      </c>
      <c r="GP98" s="137">
        <f>IF(C98="","",IF(ISERROR(MATCH(C98,C$10:C97,0)),MAX(GP$10:GP97)+1,INDEX(GP$10:GP97,MATCH(C98,C$10:C97,0))))</f>
        <v>70</v>
      </c>
      <c r="GQ98" s="264">
        <f>IF(COUNTIF($A$10:A98,A98)&lt;=1,SUMIF($A$10:$A$406,A98,$FH$10:$FH$406),0)</f>
        <v>34155778.5</v>
      </c>
      <c r="GR98" s="137">
        <f t="shared" si="130"/>
        <v>89</v>
      </c>
      <c r="GS98" s="269">
        <f t="shared" si="554"/>
        <v>2066884.7000500003</v>
      </c>
      <c r="GT98" s="269">
        <f t="shared" si="555"/>
        <v>50964284.172430128</v>
      </c>
      <c r="GU98" s="163">
        <f t="shared" si="556"/>
        <v>0</v>
      </c>
      <c r="GV98" s="137">
        <f t="array" ref="GV98">IF(GS98=0,0,LARGE(IF($GQ$10:$GQ$406=GS98,$GP$10:$GP$406,0),COUNTIF($GS$10:$GS$406,GS98)-COUNTIF(GS$9:GS97,GS98)))</f>
        <v>106</v>
      </c>
      <c r="GW98" s="270">
        <f t="shared" si="557"/>
        <v>0</v>
      </c>
      <c r="GX98" s="270"/>
      <c r="GY98" s="137">
        <f>IF(C98="","",IF(ISERROR(MATCH(C98,C$10:C97,0)),MAX(GP$10:GP97)+1,INDEX(GP$10:GP97,MATCH(C98,C$10:C97,0))))</f>
        <v>70</v>
      </c>
      <c r="GZ98" s="264">
        <f>IF(COUNTIF($A$10:A98,A98)&lt;=1,SUMIF($A$10:$A$406,A98,$FH$10:$FH$406),0)</f>
        <v>34155778.5</v>
      </c>
      <c r="HA98" s="137">
        <f t="shared" si="134"/>
        <v>89</v>
      </c>
      <c r="HB98" s="269">
        <f t="shared" si="515"/>
        <v>2066884.7000500003</v>
      </c>
      <c r="HC98" s="414" t="s">
        <v>622</v>
      </c>
      <c r="HD98" s="163">
        <f t="shared" si="516"/>
        <v>0</v>
      </c>
      <c r="HE98" s="137">
        <f t="array" ref="HE98">IF(HB98=0,0,LARGE(IF($GZ$10:$GZ$406=HB98,$GY$10:$GY$406,0),COUNTIF($HB$10:$HB$406,HB98)-COUNTIF(HB$9:HB97,HB98)))</f>
        <v>106</v>
      </c>
      <c r="HF98" s="270">
        <f t="shared" si="517"/>
        <v>0</v>
      </c>
      <c r="HG98" s="270"/>
      <c r="HH98" s="268">
        <f t="shared" si="518"/>
        <v>0</v>
      </c>
      <c r="HI98" s="271">
        <v>0</v>
      </c>
      <c r="HJ98" s="264">
        <f t="shared" si="519"/>
        <v>0</v>
      </c>
      <c r="HL98" s="137">
        <f t="shared" si="520"/>
        <v>89</v>
      </c>
      <c r="HM98" s="264">
        <f t="shared" si="521"/>
        <v>4634449</v>
      </c>
      <c r="HN98"/>
      <c r="HO98" s="199">
        <f t="shared" si="522"/>
        <v>32577126.5</v>
      </c>
      <c r="HP98" s="199">
        <f t="shared" si="523"/>
        <v>32577126.5</v>
      </c>
      <c r="HQ98" s="199" t="str">
        <f t="shared" si="524"/>
        <v/>
      </c>
      <c r="HR98" s="199" t="str">
        <f t="shared" si="525"/>
        <v/>
      </c>
      <c r="HS98" s="199" t="str">
        <f t="shared" si="539"/>
        <v/>
      </c>
      <c r="HT98" s="199" t="str">
        <f t="shared" si="526"/>
        <v/>
      </c>
      <c r="HU98" s="199" t="str">
        <f t="shared" si="527"/>
        <v/>
      </c>
      <c r="HV98" s="200">
        <f t="shared" si="528"/>
        <v>0</v>
      </c>
      <c r="HW98" s="272">
        <f t="shared" si="540"/>
        <v>1</v>
      </c>
      <c r="HX98" s="200" t="str">
        <f t="shared" si="529"/>
        <v/>
      </c>
      <c r="HY98" s="200">
        <f t="shared" si="530"/>
        <v>0</v>
      </c>
      <c r="HZ98" s="200" t="str">
        <f t="shared" si="535"/>
        <v/>
      </c>
      <c r="IA98" s="200" t="str">
        <f t="shared" si="531"/>
        <v/>
      </c>
      <c r="IB98" s="200" t="str">
        <f t="shared" si="532"/>
        <v/>
      </c>
      <c r="IC98" s="273">
        <f>IF(C98="","",INDEX(Lookups!$E$2:$E$69,MATCH('Loan List'!BE98,Lookups!$F$2:$F$69,0)))</f>
        <v>53</v>
      </c>
      <c r="ID98" t="b">
        <f t="shared" si="533"/>
        <v>1</v>
      </c>
      <c r="IF98" s="346"/>
    </row>
    <row r="99" spans="1:240" ht="15" customHeight="1">
      <c r="A99" t="s">
        <v>558</v>
      </c>
      <c r="B99" s="242">
        <f t="shared" si="541"/>
        <v>90</v>
      </c>
      <c r="C99" s="242">
        <f>IF(COUNTIF($A$10:A98,A99)&gt;0,C98,C98+1)</f>
        <v>70</v>
      </c>
      <c r="D99" s="431" t="s">
        <v>764</v>
      </c>
      <c r="E99" s="428" t="s">
        <v>557</v>
      </c>
      <c r="F99" s="429"/>
      <c r="G99" s="430">
        <v>1578652</v>
      </c>
      <c r="H99" s="430">
        <v>1578652</v>
      </c>
      <c r="I99" s="244">
        <f>IF(B99="","",VLOOKUP(BF99,Inputs!$A$12:$J$15,10,FALSE))</f>
        <v>1</v>
      </c>
      <c r="J99" s="245">
        <f t="shared" si="542"/>
        <v>1578652</v>
      </c>
      <c r="K99" s="245">
        <f t="shared" si="543"/>
        <v>1578652</v>
      </c>
      <c r="L99" s="245">
        <f t="shared" si="544"/>
        <v>1578652</v>
      </c>
      <c r="M99" s="245">
        <f t="shared" si="545"/>
        <v>1578652</v>
      </c>
      <c r="N99" s="246" t="s">
        <v>246</v>
      </c>
      <c r="O99" s="246" t="s">
        <v>245</v>
      </c>
      <c r="P99" s="247">
        <f>IF(B99="","",IF(OR(O99="N/A",O99=""),0,YEARFRAC('Borrowing Base'!$J$4,'Loan List'!O99)*12))</f>
        <v>0</v>
      </c>
      <c r="Q99" s="246" t="s">
        <v>246</v>
      </c>
      <c r="R99" s="275">
        <v>0.98534367949053547</v>
      </c>
      <c r="S99" s="249" t="str">
        <f t="shared" si="546"/>
        <v>No</v>
      </c>
      <c r="T99" s="275">
        <v>0.99500000008748457</v>
      </c>
      <c r="U99" s="250">
        <f t="shared" si="547"/>
        <v>0.5</v>
      </c>
      <c r="V99" s="250">
        <f t="shared" si="548"/>
        <v>0.72499999999999998</v>
      </c>
      <c r="W99" s="251">
        <f t="shared" si="385"/>
        <v>1578652</v>
      </c>
      <c r="X99" s="246" t="s">
        <v>246</v>
      </c>
      <c r="Y99" s="252" t="s">
        <v>483</v>
      </c>
      <c r="Z99" s="252" t="s">
        <v>484</v>
      </c>
      <c r="AA99" s="253" t="s">
        <v>407</v>
      </c>
      <c r="AB99" s="253" t="s">
        <v>713</v>
      </c>
      <c r="AC99" s="254">
        <v>1.53</v>
      </c>
      <c r="AD99" s="254">
        <v>1.9303170137034118</v>
      </c>
      <c r="AE99" s="254">
        <v>2.1649237263743646</v>
      </c>
      <c r="AF99" s="254">
        <v>0.35799999999999998</v>
      </c>
      <c r="AG99" s="256">
        <v>3.7634425894195749</v>
      </c>
      <c r="AH99" s="256">
        <v>4.4327849449083434</v>
      </c>
      <c r="AI99" s="256">
        <v>3.7634425894195749</v>
      </c>
      <c r="AJ99" s="256">
        <v>4.4327849449083434</v>
      </c>
      <c r="AK99" s="257">
        <v>23007658</v>
      </c>
      <c r="AL99" s="257">
        <v>23007658</v>
      </c>
      <c r="AM99" s="258">
        <v>45838</v>
      </c>
      <c r="AN99" s="245" t="str">
        <f t="shared" si="549"/>
        <v>Tier 2</v>
      </c>
      <c r="AO99" s="243">
        <v>46904</v>
      </c>
      <c r="AP99" s="259">
        <f>IF(C99="","",DAYS360(Inputs!$J$8,AO99)/360)</f>
        <v>2.7694444444444444</v>
      </c>
      <c r="AQ99" s="259">
        <f t="shared" si="550"/>
        <v>2.7694444444444444</v>
      </c>
      <c r="AR99" s="246" t="s">
        <v>246</v>
      </c>
      <c r="AS99" s="276">
        <v>0</v>
      </c>
      <c r="AT99" s="246" t="s">
        <v>64</v>
      </c>
      <c r="AU99" s="248">
        <v>0.01</v>
      </c>
      <c r="AV99" s="248">
        <v>5.5E-2</v>
      </c>
      <c r="AW99" s="248">
        <v>4.2956000000000001E-2</v>
      </c>
      <c r="AX99" s="260">
        <f t="shared" si="551"/>
        <v>4.2956000000000001E-2</v>
      </c>
      <c r="AY99" s="248">
        <v>0</v>
      </c>
      <c r="AZ99" s="248">
        <v>0</v>
      </c>
      <c r="BA99" s="248">
        <v>0</v>
      </c>
      <c r="BB99" s="407">
        <f t="shared" si="536"/>
        <v>5.5E-2</v>
      </c>
      <c r="BC99" s="407" t="str">
        <f t="shared" si="537"/>
        <v/>
      </c>
      <c r="BD99" s="252" t="s">
        <v>247</v>
      </c>
      <c r="BE99" s="261" t="s">
        <v>451</v>
      </c>
      <c r="BF99" s="252" t="s">
        <v>7</v>
      </c>
      <c r="BG99" s="252" t="s">
        <v>460</v>
      </c>
      <c r="BH99" s="246" t="s">
        <v>246</v>
      </c>
      <c r="BI99" s="408" t="str">
        <f t="shared" si="534"/>
        <v>No</v>
      </c>
      <c r="BJ99" s="408" t="str">
        <f t="shared" si="538"/>
        <v>No</v>
      </c>
      <c r="BK99" s="246" t="s">
        <v>246</v>
      </c>
      <c r="BL99" s="246" t="s">
        <v>246</v>
      </c>
      <c r="BM99" s="246" t="s">
        <v>64</v>
      </c>
      <c r="BN99" s="246" t="s">
        <v>64</v>
      </c>
      <c r="BO99" s="246" t="s">
        <v>246</v>
      </c>
      <c r="BP99" s="246" t="s">
        <v>246</v>
      </c>
      <c r="BQ99" s="246" t="s">
        <v>246</v>
      </c>
      <c r="BR99" s="246" t="s">
        <v>246</v>
      </c>
      <c r="BS99" s="246" t="s">
        <v>246</v>
      </c>
      <c r="BT99" s="246" t="s">
        <v>246</v>
      </c>
      <c r="BU99" s="246" t="s">
        <v>246</v>
      </c>
      <c r="BV99" s="246" t="s">
        <v>246</v>
      </c>
      <c r="BW99" s="246" t="s">
        <v>246</v>
      </c>
      <c r="BX99" s="246" t="s">
        <v>246</v>
      </c>
      <c r="BY99" s="246" t="s">
        <v>246</v>
      </c>
      <c r="BZ99" s="246" t="s">
        <v>246</v>
      </c>
      <c r="CA99" s="246" t="s">
        <v>246</v>
      </c>
      <c r="CB99" s="246" t="s">
        <v>64</v>
      </c>
      <c r="CC99" s="262">
        <f t="shared" si="552"/>
        <v>86405.307107200002</v>
      </c>
      <c r="CD99" s="262">
        <f t="shared" si="553"/>
        <v>0</v>
      </c>
      <c r="CE99" s="263"/>
      <c r="CF99" s="263">
        <f t="shared" si="403"/>
        <v>0</v>
      </c>
      <c r="CG99" s="263">
        <f t="shared" si="404"/>
        <v>0</v>
      </c>
      <c r="CH99" s="263">
        <f t="shared" si="405"/>
        <v>0</v>
      </c>
      <c r="CI99" s="263">
        <f t="shared" si="406"/>
        <v>0</v>
      </c>
      <c r="CJ99" s="263">
        <f t="shared" si="407"/>
        <v>0</v>
      </c>
      <c r="CK99" s="263">
        <f t="shared" si="408"/>
        <v>0</v>
      </c>
      <c r="CL99" s="263">
        <f t="shared" si="409"/>
        <v>0</v>
      </c>
      <c r="CM99" s="263">
        <f t="shared" si="410"/>
        <v>0</v>
      </c>
      <c r="CN99" s="263">
        <f t="shared" si="411"/>
        <v>0</v>
      </c>
      <c r="CO99" s="263">
        <f t="shared" si="412"/>
        <v>0</v>
      </c>
      <c r="CP99" s="263">
        <f t="shared" si="413"/>
        <v>0</v>
      </c>
      <c r="CQ99" s="263">
        <f t="shared" si="414"/>
        <v>0</v>
      </c>
      <c r="CR99" s="263">
        <f t="shared" si="415"/>
        <v>0</v>
      </c>
      <c r="CS99" s="263">
        <f t="shared" si="416"/>
        <v>0</v>
      </c>
      <c r="CT99" s="263">
        <f t="shared" si="417"/>
        <v>0</v>
      </c>
      <c r="CU99" s="263">
        <f t="shared" si="418"/>
        <v>0</v>
      </c>
      <c r="CV99" s="263">
        <f t="shared" si="419"/>
        <v>0</v>
      </c>
      <c r="CW99" s="263">
        <f t="shared" si="420"/>
        <v>0</v>
      </c>
      <c r="CX99" s="263">
        <f t="shared" si="421"/>
        <v>0</v>
      </c>
      <c r="CY99" s="263">
        <f t="shared" si="422"/>
        <v>0</v>
      </c>
      <c r="CZ99" s="263">
        <f t="shared" si="423"/>
        <v>0</v>
      </c>
      <c r="DA99" s="263">
        <f t="shared" si="424"/>
        <v>0</v>
      </c>
      <c r="DB99" s="263">
        <f t="shared" si="425"/>
        <v>0</v>
      </c>
      <c r="DC99" s="263">
        <f t="shared" si="426"/>
        <v>0</v>
      </c>
      <c r="DD99" s="263">
        <f t="shared" si="427"/>
        <v>0</v>
      </c>
      <c r="DE99" s="263">
        <f t="shared" si="428"/>
        <v>0</v>
      </c>
      <c r="DF99" s="263">
        <f t="shared" si="429"/>
        <v>1578652</v>
      </c>
      <c r="DG99" s="263">
        <f t="shared" si="430"/>
        <v>0</v>
      </c>
      <c r="DH99" s="263">
        <f t="shared" si="431"/>
        <v>1578652</v>
      </c>
      <c r="DI99" s="263">
        <f t="shared" si="432"/>
        <v>1578652</v>
      </c>
      <c r="DJ99" s="263">
        <f t="shared" si="433"/>
        <v>0</v>
      </c>
      <c r="DK99" s="263">
        <f t="shared" si="434"/>
        <v>0</v>
      </c>
      <c r="DL99" s="263">
        <f t="shared" si="435"/>
        <v>0</v>
      </c>
      <c r="DM99" s="263">
        <f t="shared" si="436"/>
        <v>0</v>
      </c>
      <c r="DO99" s="264">
        <f t="shared" si="437"/>
        <v>0</v>
      </c>
      <c r="DP99" s="265">
        <f t="shared" si="438"/>
        <v>0</v>
      </c>
      <c r="DQ99" s="264">
        <f t="shared" si="439"/>
        <v>1578652</v>
      </c>
      <c r="DR99" s="264">
        <f t="shared" si="440"/>
        <v>0</v>
      </c>
      <c r="DS99" s="265">
        <f t="shared" si="441"/>
        <v>0</v>
      </c>
      <c r="DT99" s="264">
        <f t="shared" si="442"/>
        <v>1578652</v>
      </c>
      <c r="DU99" s="264">
        <f t="shared" si="443"/>
        <v>0</v>
      </c>
      <c r="DV99" s="265">
        <f t="shared" si="444"/>
        <v>0</v>
      </c>
      <c r="DW99" s="264">
        <f t="shared" si="445"/>
        <v>1578652</v>
      </c>
      <c r="DX99" s="264">
        <f t="shared" si="446"/>
        <v>0</v>
      </c>
      <c r="DY99" s="265">
        <f t="shared" si="447"/>
        <v>0</v>
      </c>
      <c r="DZ99" s="264">
        <f t="shared" si="448"/>
        <v>1578652</v>
      </c>
      <c r="EA99" s="264">
        <f t="shared" si="449"/>
        <v>0</v>
      </c>
      <c r="EB99" s="265">
        <f t="shared" si="450"/>
        <v>0</v>
      </c>
      <c r="EC99" s="264">
        <f t="shared" si="451"/>
        <v>1578652</v>
      </c>
      <c r="ED99" s="264">
        <f t="shared" si="452"/>
        <v>0</v>
      </c>
      <c r="EE99" s="265">
        <f t="shared" si="453"/>
        <v>0</v>
      </c>
      <c r="EF99" s="264">
        <f t="shared" si="454"/>
        <v>1578652</v>
      </c>
      <c r="EG99" s="264">
        <f t="shared" si="455"/>
        <v>0</v>
      </c>
      <c r="EH99" s="265">
        <f t="shared" si="456"/>
        <v>0</v>
      </c>
      <c r="EI99" s="264">
        <f t="shared" si="457"/>
        <v>1578652</v>
      </c>
      <c r="EJ99" s="264">
        <f t="shared" si="458"/>
        <v>0</v>
      </c>
      <c r="EK99" s="265">
        <f t="shared" si="459"/>
        <v>0</v>
      </c>
      <c r="EL99" s="264">
        <f t="shared" si="460"/>
        <v>1578652</v>
      </c>
      <c r="EM99" s="264">
        <f t="shared" si="461"/>
        <v>0</v>
      </c>
      <c r="EN99" s="265">
        <f t="shared" si="462"/>
        <v>0</v>
      </c>
      <c r="EO99" s="264">
        <f t="shared" si="463"/>
        <v>1578652</v>
      </c>
      <c r="EP99" s="264">
        <f t="shared" si="464"/>
        <v>0</v>
      </c>
      <c r="EQ99" s="265">
        <f t="shared" si="465"/>
        <v>0</v>
      </c>
      <c r="ER99" s="264">
        <f t="shared" si="466"/>
        <v>1578652</v>
      </c>
      <c r="ES99" s="264">
        <f t="shared" si="467"/>
        <v>0</v>
      </c>
      <c r="ET99" s="265">
        <f t="shared" si="468"/>
        <v>0</v>
      </c>
      <c r="EU99" s="264">
        <f t="shared" si="469"/>
        <v>1578652</v>
      </c>
      <c r="EV99" s="264">
        <f>IF(AND(BM99="Yes",OR(BN99="No",AND(BN99="Yes",Inputs!$J$8=Inputs!$J$17+75))),EU99,0)</f>
        <v>0</v>
      </c>
      <c r="EW99" s="265">
        <f t="shared" si="470"/>
        <v>0</v>
      </c>
      <c r="EX99" s="264">
        <f t="shared" si="471"/>
        <v>1578652</v>
      </c>
      <c r="EY99" s="264">
        <f t="shared" si="472"/>
        <v>0</v>
      </c>
      <c r="EZ99" s="265">
        <f t="shared" si="473"/>
        <v>0</v>
      </c>
      <c r="FA99" s="264">
        <f t="shared" si="474"/>
        <v>1578652</v>
      </c>
      <c r="FB99" s="264">
        <f t="shared" si="475"/>
        <v>0</v>
      </c>
      <c r="FC99" s="265">
        <f t="shared" si="476"/>
        <v>0</v>
      </c>
      <c r="FD99" s="264">
        <f t="shared" si="477"/>
        <v>1578652</v>
      </c>
      <c r="FE99" s="264">
        <f t="shared" si="478"/>
        <v>0</v>
      </c>
      <c r="FF99" s="265">
        <f t="shared" si="479"/>
        <v>0</v>
      </c>
      <c r="FG99" s="264">
        <f t="shared" si="480"/>
        <v>1578652</v>
      </c>
      <c r="FH99" s="264">
        <f t="shared" si="481"/>
        <v>1578652</v>
      </c>
      <c r="FI99" s="264">
        <f t="shared" si="482"/>
        <v>0</v>
      </c>
      <c r="FJ99" s="264">
        <f t="shared" si="483"/>
        <v>1578652</v>
      </c>
      <c r="FK99" s="264">
        <f t="shared" si="484"/>
        <v>1578652</v>
      </c>
      <c r="FL99" s="264">
        <f t="shared" si="485"/>
        <v>0</v>
      </c>
      <c r="FM99" s="264">
        <f t="shared" si="486"/>
        <v>1578652</v>
      </c>
      <c r="FN99" s="264">
        <f t="shared" si="487"/>
        <v>1578652</v>
      </c>
      <c r="FO99" s="264">
        <f t="shared" si="488"/>
        <v>0</v>
      </c>
      <c r="FP99" s="264">
        <f t="shared" si="489"/>
        <v>1578652</v>
      </c>
      <c r="FQ99" s="264">
        <f t="shared" si="490"/>
        <v>0</v>
      </c>
      <c r="FR99" s="265">
        <f t="shared" si="491"/>
        <v>0</v>
      </c>
      <c r="FS99" s="264">
        <f t="shared" si="492"/>
        <v>1578652</v>
      </c>
      <c r="FT99" s="264">
        <f t="shared" si="493"/>
        <v>0</v>
      </c>
      <c r="FU99" s="265">
        <f t="shared" si="494"/>
        <v>0</v>
      </c>
      <c r="FV99" s="264">
        <f t="shared" si="495"/>
        <v>1578652</v>
      </c>
      <c r="FW99" s="264">
        <f t="shared" si="496"/>
        <v>0</v>
      </c>
      <c r="FX99" s="264">
        <f t="shared" si="497"/>
        <v>0</v>
      </c>
      <c r="FY99" s="264">
        <f t="shared" si="498"/>
        <v>0</v>
      </c>
      <c r="FZ99" s="264">
        <f t="shared" si="499"/>
        <v>0</v>
      </c>
      <c r="GA99" s="265">
        <f t="shared" si="500"/>
        <v>0</v>
      </c>
      <c r="GB99" s="264">
        <f t="shared" si="501"/>
        <v>1578652</v>
      </c>
      <c r="GC99" s="264">
        <f t="shared" si="502"/>
        <v>1578652</v>
      </c>
      <c r="GD99" s="266">
        <f t="shared" si="503"/>
        <v>1144522.7</v>
      </c>
      <c r="GE99" s="138">
        <f t="shared" si="504"/>
        <v>0.72499999999999998</v>
      </c>
      <c r="GF99" s="267">
        <f t="shared" si="505"/>
        <v>53</v>
      </c>
      <c r="GG99" s="264">
        <f t="array" ref="GG99">IF(SUM(IF(IC$9:IC98=IC99,1,0))&gt;0,0,SUMIF($IC$10:$IC$406,IC99,$FJ$10:$FJ$406))</f>
        <v>0</v>
      </c>
      <c r="GH99" s="268">
        <f t="shared" si="506"/>
        <v>0</v>
      </c>
      <c r="GI99" s="137">
        <f t="shared" si="126"/>
        <v>90</v>
      </c>
      <c r="GJ99" s="269">
        <f t="shared" si="507"/>
        <v>0</v>
      </c>
      <c r="GK99" s="269">
        <f t="shared" si="508"/>
        <v>0</v>
      </c>
      <c r="GL99" s="163">
        <f t="shared" si="509"/>
        <v>0</v>
      </c>
      <c r="GM99" s="137">
        <f t="array" ref="GM99">IF(GJ99=0,0,LARGE(IF($GG$10:$GG$406=GJ99,$GF$10:$GF$406,0),COUNTIF($GJ$10:$GJ$406,GJ99)-COUNTIF(GJ$9:GJ98,GJ99)))</f>
        <v>0</v>
      </c>
      <c r="GN99" s="270">
        <f t="shared" si="510"/>
        <v>0</v>
      </c>
      <c r="GP99" s="137">
        <f>IF(C99="","",IF(ISERROR(MATCH(C99,C$10:C98,0)),MAX(GP$10:GP98)+1,INDEX(GP$10:GP98,MATCH(C99,C$10:C98,0))))</f>
        <v>70</v>
      </c>
      <c r="GQ99" s="264">
        <f>IF(COUNTIF($A$10:A99,A99)&lt;=1,SUMIF($A$10:$A$406,A99,$FH$10:$FH$406),0)</f>
        <v>0</v>
      </c>
      <c r="GR99" s="137">
        <f t="shared" si="130"/>
        <v>90</v>
      </c>
      <c r="GS99" s="269">
        <f t="shared" si="554"/>
        <v>1990000</v>
      </c>
      <c r="GT99" s="269">
        <f t="shared" si="555"/>
        <v>50964284.172430128</v>
      </c>
      <c r="GU99" s="163">
        <f t="shared" si="556"/>
        <v>0</v>
      </c>
      <c r="GV99" s="137">
        <f t="array" ref="GV99">IF(GS99=0,0,LARGE(IF($GQ$10:$GQ$406=GS99,$GP$10:$GP$406,0),COUNTIF($GS$10:$GS$406,GS99)-COUNTIF(GS$9:GS98,GS99)))</f>
        <v>114</v>
      </c>
      <c r="GW99" s="270">
        <f t="shared" si="557"/>
        <v>0</v>
      </c>
      <c r="GX99" s="270"/>
      <c r="GY99" s="137">
        <f>IF(C99="","",IF(ISERROR(MATCH(C99,C$10:C98,0)),MAX(GP$10:GP98)+1,INDEX(GP$10:GP98,MATCH(C99,C$10:C98,0))))</f>
        <v>70</v>
      </c>
      <c r="GZ99" s="264">
        <f>IF(COUNTIF($A$10:A99,A99)&lt;=1,SUMIF($A$10:$A$406,A99,$FH$10:$FH$406),0)</f>
        <v>0</v>
      </c>
      <c r="HA99" s="137">
        <f t="shared" si="134"/>
        <v>90</v>
      </c>
      <c r="HB99" s="269">
        <f t="shared" si="515"/>
        <v>1990000</v>
      </c>
      <c r="HC99" s="414" t="s">
        <v>622</v>
      </c>
      <c r="HD99" s="163">
        <f t="shared" si="516"/>
        <v>0</v>
      </c>
      <c r="HE99" s="137">
        <f t="array" ref="HE99">IF(HB99=0,0,LARGE(IF($GZ$10:$GZ$406=HB99,$GY$10:$GY$406,0),COUNTIF($HB$10:$HB$406,HB99)-COUNTIF(HB$9:HB98,HB99)))</f>
        <v>114</v>
      </c>
      <c r="HF99" s="270">
        <f t="shared" si="517"/>
        <v>0</v>
      </c>
      <c r="HG99" s="270"/>
      <c r="HH99" s="268">
        <f t="shared" si="518"/>
        <v>0</v>
      </c>
      <c r="HI99" s="271">
        <v>0</v>
      </c>
      <c r="HJ99" s="264">
        <f t="shared" si="519"/>
        <v>0</v>
      </c>
      <c r="HL99" s="137">
        <f t="shared" si="520"/>
        <v>90</v>
      </c>
      <c r="HM99" s="264">
        <f t="shared" si="521"/>
        <v>4567103.2099000001</v>
      </c>
      <c r="HN99"/>
      <c r="HO99" s="199">
        <f t="shared" si="522"/>
        <v>1578652</v>
      </c>
      <c r="HP99" s="199">
        <f t="shared" si="523"/>
        <v>1578652</v>
      </c>
      <c r="HQ99" s="199" t="str">
        <f t="shared" si="524"/>
        <v/>
      </c>
      <c r="HR99" s="199" t="str">
        <f t="shared" si="525"/>
        <v/>
      </c>
      <c r="HS99" s="199" t="str">
        <f t="shared" si="539"/>
        <v/>
      </c>
      <c r="HT99" s="199" t="str">
        <f t="shared" si="526"/>
        <v/>
      </c>
      <c r="HU99" s="199" t="str">
        <f t="shared" si="527"/>
        <v/>
      </c>
      <c r="HV99" s="200">
        <f t="shared" si="528"/>
        <v>0</v>
      </c>
      <c r="HW99" s="272">
        <f t="shared" si="540"/>
        <v>1</v>
      </c>
      <c r="HX99" s="200" t="str">
        <f t="shared" si="529"/>
        <v/>
      </c>
      <c r="HY99" s="200">
        <f t="shared" si="530"/>
        <v>0</v>
      </c>
      <c r="HZ99" s="200" t="str">
        <f t="shared" si="535"/>
        <v/>
      </c>
      <c r="IA99" s="200" t="str">
        <f t="shared" si="531"/>
        <v/>
      </c>
      <c r="IB99" s="200" t="str">
        <f t="shared" si="532"/>
        <v/>
      </c>
      <c r="IC99" s="273">
        <f>IF(C99="","",INDEX(Lookups!$E$2:$E$69,MATCH('Loan List'!BE99,Lookups!$F$2:$F$69,0)))</f>
        <v>53</v>
      </c>
      <c r="ID99" t="b">
        <f t="shared" si="533"/>
        <v>1</v>
      </c>
      <c r="IF99" s="346"/>
    </row>
    <row r="100" spans="1:240" ht="15" customHeight="1">
      <c r="A100" t="s">
        <v>680</v>
      </c>
      <c r="B100" s="242">
        <f t="shared" si="541"/>
        <v>91</v>
      </c>
      <c r="C100" s="242">
        <f>IF(COUNTIF($A$10:A99,A100)&gt;0,C99,C99+1)</f>
        <v>71</v>
      </c>
      <c r="D100" s="428" t="s">
        <v>680</v>
      </c>
      <c r="E100" s="428" t="s">
        <v>476</v>
      </c>
      <c r="F100" s="429"/>
      <c r="G100" s="430">
        <v>37406250</v>
      </c>
      <c r="H100" s="430">
        <v>37406250</v>
      </c>
      <c r="I100" s="244">
        <f>IF(B100="","",VLOOKUP(BF100,Inputs!$A$12:$J$15,10,FALSE))</f>
        <v>1</v>
      </c>
      <c r="J100" s="245">
        <f t="shared" si="542"/>
        <v>37406250</v>
      </c>
      <c r="K100" s="245">
        <f t="shared" si="543"/>
        <v>37406250</v>
      </c>
      <c r="L100" s="245">
        <f t="shared" si="544"/>
        <v>37406250</v>
      </c>
      <c r="M100" s="245">
        <f t="shared" si="545"/>
        <v>37406250</v>
      </c>
      <c r="N100" s="246" t="s">
        <v>246</v>
      </c>
      <c r="O100" s="246" t="s">
        <v>245</v>
      </c>
      <c r="P100" s="247">
        <f>IF(B100="","",IF(OR(O100="N/A",O100=""),0,YEARFRAC('Borrowing Base'!$J$4,'Loan List'!O100)*12))</f>
        <v>0</v>
      </c>
      <c r="Q100" s="246" t="s">
        <v>246</v>
      </c>
      <c r="R100" s="275">
        <v>0.99000541279999987</v>
      </c>
      <c r="S100" s="249" t="str">
        <f t="shared" si="546"/>
        <v>No</v>
      </c>
      <c r="T100" s="275">
        <v>1</v>
      </c>
      <c r="U100" s="250">
        <f t="shared" si="547"/>
        <v>0.5</v>
      </c>
      <c r="V100" s="250">
        <f t="shared" si="548"/>
        <v>0.6765970431911289</v>
      </c>
      <c r="W100" s="251">
        <f t="shared" si="385"/>
        <v>37406250</v>
      </c>
      <c r="X100" s="246" t="s">
        <v>64</v>
      </c>
      <c r="Y100" s="252" t="s">
        <v>483</v>
      </c>
      <c r="Z100" s="252" t="s">
        <v>484</v>
      </c>
      <c r="AA100" s="253" t="s">
        <v>407</v>
      </c>
      <c r="AB100" s="253" t="s">
        <v>713</v>
      </c>
      <c r="AC100" s="254">
        <v>1.8086083022719901</v>
      </c>
      <c r="AD100" s="254">
        <v>1.6597898778807927</v>
      </c>
      <c r="AE100" s="254">
        <v>1.8743114406779662</v>
      </c>
      <c r="AF100" s="254">
        <v>0.592529422933743</v>
      </c>
      <c r="AG100" s="256">
        <v>5.1669175676292101</v>
      </c>
      <c r="AH100" s="256">
        <v>5.1669175676292101</v>
      </c>
      <c r="AI100" s="256">
        <v>5.0929432340187697</v>
      </c>
      <c r="AJ100" s="256">
        <v>5.0929432340187697</v>
      </c>
      <c r="AK100" s="257">
        <v>21921000</v>
      </c>
      <c r="AL100" s="257">
        <v>23886225</v>
      </c>
      <c r="AM100" s="258">
        <v>45838</v>
      </c>
      <c r="AN100" s="245" t="str">
        <f t="shared" si="549"/>
        <v>Tier 2</v>
      </c>
      <c r="AO100" s="243">
        <v>47836</v>
      </c>
      <c r="AP100" s="259">
        <f>IF(C100="","",DAYS360(Inputs!$J$8,AO100)/360)</f>
        <v>5.3194444444444446</v>
      </c>
      <c r="AQ100" s="259">
        <f t="shared" si="550"/>
        <v>5.3194444444444446</v>
      </c>
      <c r="AR100" s="246" t="s">
        <v>246</v>
      </c>
      <c r="AS100" s="276">
        <v>0</v>
      </c>
      <c r="AT100" s="246" t="s">
        <v>64</v>
      </c>
      <c r="AU100" s="248">
        <v>0.01</v>
      </c>
      <c r="AV100" s="248">
        <v>5.2499999999999998E-2</v>
      </c>
      <c r="AW100" s="248">
        <v>4.2166000000000002E-2</v>
      </c>
      <c r="AX100" s="260">
        <f t="shared" si="551"/>
        <v>4.2166000000000002E-2</v>
      </c>
      <c r="AY100" s="248">
        <v>0</v>
      </c>
      <c r="AZ100" s="248">
        <v>0</v>
      </c>
      <c r="BA100" s="248">
        <v>0</v>
      </c>
      <c r="BB100" s="407">
        <f t="shared" si="536"/>
        <v>5.2499999999999998E-2</v>
      </c>
      <c r="BC100" s="407" t="str">
        <f t="shared" si="537"/>
        <v/>
      </c>
      <c r="BD100" s="252" t="s">
        <v>247</v>
      </c>
      <c r="BE100" s="261" t="s">
        <v>437</v>
      </c>
      <c r="BF100" s="252" t="s">
        <v>7</v>
      </c>
      <c r="BG100" s="252" t="s">
        <v>460</v>
      </c>
      <c r="BH100" s="246" t="s">
        <v>246</v>
      </c>
      <c r="BI100" s="408" t="str">
        <f t="shared" si="534"/>
        <v>No</v>
      </c>
      <c r="BJ100" s="408" t="str">
        <f t="shared" si="538"/>
        <v>No</v>
      </c>
      <c r="BK100" s="246" t="s">
        <v>246</v>
      </c>
      <c r="BL100" s="246" t="s">
        <v>246</v>
      </c>
      <c r="BM100" s="246" t="s">
        <v>246</v>
      </c>
      <c r="BN100" s="246" t="s">
        <v>246</v>
      </c>
      <c r="BO100" s="246" t="s">
        <v>246</v>
      </c>
      <c r="BP100" s="246" t="s">
        <v>246</v>
      </c>
      <c r="BQ100" s="246" t="s">
        <v>246</v>
      </c>
      <c r="BR100" s="246" t="s">
        <v>246</v>
      </c>
      <c r="BS100" s="246" t="s">
        <v>246</v>
      </c>
      <c r="BT100" s="246" t="s">
        <v>246</v>
      </c>
      <c r="BU100" s="246" t="s">
        <v>246</v>
      </c>
      <c r="BV100" s="246" t="s">
        <v>246</v>
      </c>
      <c r="BW100" s="246" t="s">
        <v>246</v>
      </c>
      <c r="BX100" s="246" t="s">
        <v>246</v>
      </c>
      <c r="BY100" s="246" t="s">
        <v>246</v>
      </c>
      <c r="BZ100" s="246" t="s">
        <v>246</v>
      </c>
      <c r="CA100" s="246" t="s">
        <v>246</v>
      </c>
      <c r="CB100" s="246" t="s">
        <v>64</v>
      </c>
      <c r="CC100" s="262">
        <f t="shared" si="552"/>
        <v>1924312.1624999999</v>
      </c>
      <c r="CD100" s="262">
        <f t="shared" si="553"/>
        <v>0</v>
      </c>
      <c r="CE100" s="263"/>
      <c r="CF100" s="263">
        <f t="shared" si="403"/>
        <v>0</v>
      </c>
      <c r="CG100" s="263">
        <f t="shared" si="404"/>
        <v>0</v>
      </c>
      <c r="CH100" s="263">
        <f t="shared" si="405"/>
        <v>0</v>
      </c>
      <c r="CI100" s="263">
        <f t="shared" si="406"/>
        <v>0</v>
      </c>
      <c r="CJ100" s="263">
        <f t="shared" si="407"/>
        <v>0</v>
      </c>
      <c r="CK100" s="263">
        <f t="shared" si="408"/>
        <v>0</v>
      </c>
      <c r="CL100" s="263">
        <f t="shared" si="409"/>
        <v>0</v>
      </c>
      <c r="CM100" s="263">
        <f t="shared" si="410"/>
        <v>0</v>
      </c>
      <c r="CN100" s="263">
        <f t="shared" si="411"/>
        <v>0</v>
      </c>
      <c r="CO100" s="263">
        <f t="shared" si="412"/>
        <v>0</v>
      </c>
      <c r="CP100" s="263">
        <f t="shared" si="413"/>
        <v>0</v>
      </c>
      <c r="CQ100" s="263">
        <f t="shared" si="414"/>
        <v>0</v>
      </c>
      <c r="CR100" s="263">
        <f t="shared" si="415"/>
        <v>0</v>
      </c>
      <c r="CS100" s="263">
        <f t="shared" si="416"/>
        <v>0</v>
      </c>
      <c r="CT100" s="263">
        <f t="shared" si="417"/>
        <v>0</v>
      </c>
      <c r="CU100" s="263">
        <f t="shared" si="418"/>
        <v>0</v>
      </c>
      <c r="CV100" s="263">
        <f t="shared" si="419"/>
        <v>0</v>
      </c>
      <c r="CW100" s="263">
        <f t="shared" si="420"/>
        <v>0</v>
      </c>
      <c r="CX100" s="263">
        <f t="shared" si="421"/>
        <v>0</v>
      </c>
      <c r="CY100" s="263">
        <f t="shared" si="422"/>
        <v>0</v>
      </c>
      <c r="CZ100" s="263">
        <f t="shared" si="423"/>
        <v>0</v>
      </c>
      <c r="DA100" s="263">
        <f t="shared" si="424"/>
        <v>0</v>
      </c>
      <c r="DB100" s="263">
        <f t="shared" si="425"/>
        <v>0</v>
      </c>
      <c r="DC100" s="263">
        <f t="shared" si="426"/>
        <v>0</v>
      </c>
      <c r="DD100" s="263">
        <f t="shared" si="427"/>
        <v>0</v>
      </c>
      <c r="DE100" s="263">
        <f t="shared" si="428"/>
        <v>0</v>
      </c>
      <c r="DF100" s="263">
        <f t="shared" si="429"/>
        <v>37406250</v>
      </c>
      <c r="DG100" s="263">
        <f t="shared" si="430"/>
        <v>0</v>
      </c>
      <c r="DH100" s="263">
        <f t="shared" si="431"/>
        <v>37406250</v>
      </c>
      <c r="DI100" s="263">
        <f t="shared" si="432"/>
        <v>37406250</v>
      </c>
      <c r="DJ100" s="263">
        <f t="shared" si="433"/>
        <v>0</v>
      </c>
      <c r="DK100" s="263">
        <f t="shared" si="434"/>
        <v>0</v>
      </c>
      <c r="DL100" s="263">
        <f t="shared" si="435"/>
        <v>0</v>
      </c>
      <c r="DM100" s="263">
        <f t="shared" si="436"/>
        <v>0</v>
      </c>
      <c r="DO100" s="264">
        <f t="shared" si="437"/>
        <v>0</v>
      </c>
      <c r="DP100" s="265">
        <f t="shared" si="438"/>
        <v>0</v>
      </c>
      <c r="DQ100" s="264">
        <f t="shared" si="439"/>
        <v>37406250</v>
      </c>
      <c r="DR100" s="264">
        <f t="shared" si="440"/>
        <v>0</v>
      </c>
      <c r="DS100" s="265">
        <f t="shared" si="441"/>
        <v>0</v>
      </c>
      <c r="DT100" s="264">
        <f t="shared" si="442"/>
        <v>37406250</v>
      </c>
      <c r="DU100" s="264">
        <f t="shared" si="443"/>
        <v>0</v>
      </c>
      <c r="DV100" s="265">
        <f t="shared" si="444"/>
        <v>0</v>
      </c>
      <c r="DW100" s="264">
        <f t="shared" si="445"/>
        <v>37406250</v>
      </c>
      <c r="DX100" s="264">
        <f t="shared" si="446"/>
        <v>0</v>
      </c>
      <c r="DY100" s="265">
        <f t="shared" si="447"/>
        <v>0</v>
      </c>
      <c r="DZ100" s="264">
        <f t="shared" si="448"/>
        <v>37406250</v>
      </c>
      <c r="EA100" s="264">
        <f t="shared" si="449"/>
        <v>0</v>
      </c>
      <c r="EB100" s="265">
        <f t="shared" si="450"/>
        <v>0</v>
      </c>
      <c r="EC100" s="264">
        <f t="shared" si="451"/>
        <v>37406250</v>
      </c>
      <c r="ED100" s="264">
        <f t="shared" si="452"/>
        <v>0</v>
      </c>
      <c r="EE100" s="265">
        <f t="shared" si="453"/>
        <v>0</v>
      </c>
      <c r="EF100" s="264">
        <f t="shared" si="454"/>
        <v>37406250</v>
      </c>
      <c r="EG100" s="264">
        <f t="shared" si="455"/>
        <v>0</v>
      </c>
      <c r="EH100" s="265">
        <f t="shared" si="456"/>
        <v>0</v>
      </c>
      <c r="EI100" s="264">
        <f t="shared" si="457"/>
        <v>37406250</v>
      </c>
      <c r="EJ100" s="264">
        <f t="shared" si="458"/>
        <v>0</v>
      </c>
      <c r="EK100" s="265">
        <f t="shared" si="459"/>
        <v>0</v>
      </c>
      <c r="EL100" s="264">
        <f t="shared" si="460"/>
        <v>37406250</v>
      </c>
      <c r="EM100" s="264">
        <f t="shared" si="461"/>
        <v>0</v>
      </c>
      <c r="EN100" s="265">
        <f t="shared" si="462"/>
        <v>0</v>
      </c>
      <c r="EO100" s="264">
        <f t="shared" si="463"/>
        <v>37406250</v>
      </c>
      <c r="EP100" s="264">
        <f t="shared" si="464"/>
        <v>0</v>
      </c>
      <c r="EQ100" s="265">
        <f t="shared" si="465"/>
        <v>0</v>
      </c>
      <c r="ER100" s="264">
        <f t="shared" si="466"/>
        <v>37406250</v>
      </c>
      <c r="ES100" s="264">
        <f t="shared" si="467"/>
        <v>0</v>
      </c>
      <c r="ET100" s="265">
        <f t="shared" si="468"/>
        <v>0</v>
      </c>
      <c r="EU100" s="264">
        <f t="shared" si="469"/>
        <v>37406250</v>
      </c>
      <c r="EV100" s="264">
        <f>IF(AND(BM100="Yes",OR(BN100="No",AND(BN100="Yes",Inputs!$J$8=Inputs!$J$17+75))),EU100,0)</f>
        <v>0</v>
      </c>
      <c r="EW100" s="265">
        <f t="shared" si="470"/>
        <v>0</v>
      </c>
      <c r="EX100" s="264">
        <f t="shared" si="471"/>
        <v>37406250</v>
      </c>
      <c r="EY100" s="264">
        <f t="shared" si="472"/>
        <v>0</v>
      </c>
      <c r="EZ100" s="265">
        <f t="shared" si="473"/>
        <v>0</v>
      </c>
      <c r="FA100" s="264">
        <f t="shared" si="474"/>
        <v>37406250</v>
      </c>
      <c r="FB100" s="264">
        <f t="shared" si="475"/>
        <v>0</v>
      </c>
      <c r="FC100" s="265">
        <f t="shared" si="476"/>
        <v>0</v>
      </c>
      <c r="FD100" s="264">
        <f t="shared" si="477"/>
        <v>37406250</v>
      </c>
      <c r="FE100" s="264">
        <f t="shared" si="478"/>
        <v>0</v>
      </c>
      <c r="FF100" s="265">
        <f t="shared" si="479"/>
        <v>0</v>
      </c>
      <c r="FG100" s="264">
        <f t="shared" si="480"/>
        <v>37406250</v>
      </c>
      <c r="FH100" s="264">
        <f t="shared" si="481"/>
        <v>37406250</v>
      </c>
      <c r="FI100" s="264">
        <f t="shared" si="482"/>
        <v>0</v>
      </c>
      <c r="FJ100" s="264">
        <f t="shared" si="483"/>
        <v>37406250</v>
      </c>
      <c r="FK100" s="264">
        <f t="shared" si="484"/>
        <v>37406250</v>
      </c>
      <c r="FL100" s="264">
        <f t="shared" si="485"/>
        <v>0</v>
      </c>
      <c r="FM100" s="264">
        <f t="shared" si="486"/>
        <v>37406250</v>
      </c>
      <c r="FN100" s="264">
        <f t="shared" si="487"/>
        <v>37406250</v>
      </c>
      <c r="FO100" s="264">
        <f t="shared" si="488"/>
        <v>0</v>
      </c>
      <c r="FP100" s="264">
        <f t="shared" si="489"/>
        <v>37406250</v>
      </c>
      <c r="FQ100" s="264">
        <f t="shared" si="490"/>
        <v>0</v>
      </c>
      <c r="FR100" s="265">
        <f t="shared" si="491"/>
        <v>0</v>
      </c>
      <c r="FS100" s="264">
        <f t="shared" si="492"/>
        <v>37406250</v>
      </c>
      <c r="FT100" s="264">
        <f t="shared" si="493"/>
        <v>0</v>
      </c>
      <c r="FU100" s="265">
        <f t="shared" si="494"/>
        <v>0</v>
      </c>
      <c r="FV100" s="264">
        <f t="shared" si="495"/>
        <v>37406250</v>
      </c>
      <c r="FW100" s="264">
        <f t="shared" si="496"/>
        <v>0</v>
      </c>
      <c r="FX100" s="264">
        <f t="shared" si="497"/>
        <v>0</v>
      </c>
      <c r="FY100" s="264">
        <f t="shared" si="498"/>
        <v>0</v>
      </c>
      <c r="FZ100" s="264">
        <f t="shared" si="499"/>
        <v>0</v>
      </c>
      <c r="GA100" s="265">
        <f t="shared" si="500"/>
        <v>0</v>
      </c>
      <c r="GB100" s="264">
        <f t="shared" si="501"/>
        <v>37406250</v>
      </c>
      <c r="GC100" s="264">
        <f t="shared" si="502"/>
        <v>37406250</v>
      </c>
      <c r="GD100" s="266">
        <f t="shared" si="503"/>
        <v>25308958.146868166</v>
      </c>
      <c r="GE100" s="138">
        <f t="shared" si="504"/>
        <v>0.6765970431911289</v>
      </c>
      <c r="GF100" s="267">
        <f t="shared" si="505"/>
        <v>46</v>
      </c>
      <c r="GG100" s="264">
        <f t="array" ref="GG100">IF(SUM(IF(IC$9:IC99=IC100,1,0))&gt;0,0,SUMIF($IC$10:$IC$406,IC100,$FJ$10:$FJ$406))</f>
        <v>0</v>
      </c>
      <c r="GH100" s="268">
        <f t="shared" si="506"/>
        <v>0</v>
      </c>
      <c r="GI100" s="137">
        <f t="shared" si="126"/>
        <v>91</v>
      </c>
      <c r="GJ100" s="269">
        <f t="shared" si="507"/>
        <v>0</v>
      </c>
      <c r="GK100" s="269">
        <f t="shared" si="508"/>
        <v>0</v>
      </c>
      <c r="GL100" s="163">
        <f t="shared" si="509"/>
        <v>0</v>
      </c>
      <c r="GM100" s="137">
        <f t="array" ref="GM100">IF(GJ100=0,0,LARGE(IF($GG$10:$GG$406=GJ100,$GF$10:$GF$406,0),COUNTIF($GJ$10:$GJ$406,GJ100)-COUNTIF(GJ$9:GJ99,GJ100)))</f>
        <v>0</v>
      </c>
      <c r="GN100" s="270">
        <f t="shared" si="510"/>
        <v>0</v>
      </c>
      <c r="GP100" s="137">
        <f>IF(C100="","",IF(ISERROR(MATCH(C100,C$10:C99,0)),MAX(GP$10:GP99)+1,INDEX(GP$10:GP99,MATCH(C100,C$10:C99,0))))</f>
        <v>71</v>
      </c>
      <c r="GQ100" s="264">
        <f>IF(COUNTIF($A$10:A100,A100)&lt;=1,SUMIF($A$10:$A$406,A100,$FH$10:$FH$406),0)</f>
        <v>37406250</v>
      </c>
      <c r="GR100" s="137">
        <f t="shared" si="130"/>
        <v>91</v>
      </c>
      <c r="GS100" s="269">
        <f t="shared" si="554"/>
        <v>1984831</v>
      </c>
      <c r="GT100" s="269">
        <f t="shared" si="555"/>
        <v>50964284.172430128</v>
      </c>
      <c r="GU100" s="163">
        <f t="shared" si="556"/>
        <v>0</v>
      </c>
      <c r="GV100" s="137">
        <f t="array" ref="GV100">IF(GS100=0,0,LARGE(IF($GQ$10:$GQ$406=GS100,$GP$10:$GP$406,0),COUNTIF($GS$10:$GS$406,GS100)-COUNTIF(GS$9:GS99,GS100)))</f>
        <v>41</v>
      </c>
      <c r="GW100" s="270">
        <f t="shared" si="557"/>
        <v>0</v>
      </c>
      <c r="GX100" s="270"/>
      <c r="GY100" s="137">
        <f>IF(C100="","",IF(ISERROR(MATCH(C100,C$10:C99,0)),MAX(GP$10:GP99)+1,INDEX(GP$10:GP99,MATCH(C100,C$10:C99,0))))</f>
        <v>71</v>
      </c>
      <c r="GZ100" s="264">
        <f>IF(COUNTIF($A$10:A100,A100)&lt;=1,SUMIF($A$10:$A$406,A100,$FH$10:$FH$406),0)</f>
        <v>37406250</v>
      </c>
      <c r="HA100" s="137">
        <f t="shared" si="134"/>
        <v>91</v>
      </c>
      <c r="HB100" s="269">
        <f t="shared" si="515"/>
        <v>1984831</v>
      </c>
      <c r="HC100" s="414" t="s">
        <v>622</v>
      </c>
      <c r="HD100" s="163">
        <f t="shared" si="516"/>
        <v>0</v>
      </c>
      <c r="HE100" s="137">
        <f t="array" ref="HE100">IF(HB100=0,0,LARGE(IF($GZ$10:$GZ$406=HB100,$GY$10:$GY$406,0),COUNTIF($HB$10:$HB$406,HB100)-COUNTIF(HB$9:HB99,HB100)))</f>
        <v>41</v>
      </c>
      <c r="HF100" s="270">
        <f t="shared" si="517"/>
        <v>0</v>
      </c>
      <c r="HG100" s="270"/>
      <c r="HH100" s="268">
        <f t="shared" si="518"/>
        <v>0</v>
      </c>
      <c r="HI100" s="271">
        <v>0</v>
      </c>
      <c r="HJ100" s="264">
        <f t="shared" si="519"/>
        <v>0</v>
      </c>
      <c r="HL100" s="137">
        <f t="shared" si="520"/>
        <v>91</v>
      </c>
      <c r="HM100" s="264">
        <f t="shared" si="521"/>
        <v>19189335.850000001</v>
      </c>
      <c r="HN100"/>
      <c r="HO100" s="199">
        <f t="shared" si="522"/>
        <v>37406250</v>
      </c>
      <c r="HP100" s="199">
        <f t="shared" si="523"/>
        <v>37406250</v>
      </c>
      <c r="HQ100" s="199" t="str">
        <f t="shared" si="524"/>
        <v/>
      </c>
      <c r="HR100" s="199" t="str">
        <f t="shared" si="525"/>
        <v/>
      </c>
      <c r="HS100" s="199" t="str">
        <f t="shared" si="539"/>
        <v/>
      </c>
      <c r="HT100" s="199" t="str">
        <f t="shared" si="526"/>
        <v/>
      </c>
      <c r="HU100" s="199" t="str">
        <f t="shared" si="527"/>
        <v/>
      </c>
      <c r="HV100" s="200">
        <f t="shared" si="528"/>
        <v>0</v>
      </c>
      <c r="HW100" s="272">
        <f t="shared" si="540"/>
        <v>1</v>
      </c>
      <c r="HX100" s="200" t="str">
        <f t="shared" si="529"/>
        <v/>
      </c>
      <c r="HY100" s="200">
        <f t="shared" si="530"/>
        <v>0</v>
      </c>
      <c r="HZ100" s="200" t="str">
        <f t="shared" si="535"/>
        <v/>
      </c>
      <c r="IA100" s="200" t="str">
        <f t="shared" si="531"/>
        <v/>
      </c>
      <c r="IB100" s="200" t="str">
        <f t="shared" si="532"/>
        <v/>
      </c>
      <c r="IC100" s="273">
        <f>IF(C100="","",INDEX(Lookups!$E$2:$E$69,MATCH('Loan List'!BE100,Lookups!$F$2:$F$69,0)))</f>
        <v>46</v>
      </c>
      <c r="ID100" t="b">
        <f t="shared" si="533"/>
        <v>1</v>
      </c>
      <c r="IF100" s="346"/>
    </row>
    <row r="101" spans="1:240" ht="15" customHeight="1">
      <c r="A101" t="s">
        <v>765</v>
      </c>
      <c r="B101" s="242">
        <f t="shared" si="541"/>
        <v>92</v>
      </c>
      <c r="C101" s="242">
        <f>IF(COUNTIF($A$10:A100,A101)&gt;0,C100,C100+1)</f>
        <v>72</v>
      </c>
      <c r="D101" s="431" t="s">
        <v>765</v>
      </c>
      <c r="E101" s="428" t="s">
        <v>832</v>
      </c>
      <c r="F101" s="429"/>
      <c r="G101" s="430">
        <v>5009979</v>
      </c>
      <c r="H101" s="430">
        <v>5009979</v>
      </c>
      <c r="I101" s="244">
        <f>IF(B101="","",VLOOKUP(BF101,Inputs!$A$12:$J$15,10,FALSE))</f>
        <v>1</v>
      </c>
      <c r="J101" s="245">
        <f t="shared" si="542"/>
        <v>5009979</v>
      </c>
      <c r="K101" s="245">
        <f t="shared" si="543"/>
        <v>5009979</v>
      </c>
      <c r="L101" s="245">
        <f t="shared" si="544"/>
        <v>5009979</v>
      </c>
      <c r="M101" s="245">
        <f t="shared" si="545"/>
        <v>5009979</v>
      </c>
      <c r="N101" s="246" t="s">
        <v>246</v>
      </c>
      <c r="O101" s="246" t="s">
        <v>245</v>
      </c>
      <c r="P101" s="247">
        <f>IF(B101="","",IF(OR(O101="N/A",O101=""),0,YEARFRAC('Borrowing Base'!$J$4,'Loan List'!O101)*12))</f>
        <v>0</v>
      </c>
      <c r="Q101" s="246" t="s">
        <v>246</v>
      </c>
      <c r="R101" s="275">
        <v>0.99080000000000013</v>
      </c>
      <c r="S101" s="249" t="str">
        <f t="shared" si="546"/>
        <v>No</v>
      </c>
      <c r="T101" s="275">
        <v>0.99080000000000001</v>
      </c>
      <c r="U101" s="250">
        <f t="shared" si="547"/>
        <v>0.5</v>
      </c>
      <c r="V101" s="250">
        <f t="shared" si="548"/>
        <v>0.72499999999999998</v>
      </c>
      <c r="W101" s="251">
        <f t="shared" si="385"/>
        <v>5009979</v>
      </c>
      <c r="X101" s="246" t="s">
        <v>246</v>
      </c>
      <c r="Y101" s="252" t="s">
        <v>483</v>
      </c>
      <c r="Z101" s="252" t="s">
        <v>484</v>
      </c>
      <c r="AA101" s="253" t="s">
        <v>371</v>
      </c>
      <c r="AB101" s="253" t="s">
        <v>715</v>
      </c>
      <c r="AC101" s="254">
        <v>2.33</v>
      </c>
      <c r="AD101" s="254">
        <v>1.21</v>
      </c>
      <c r="AE101" s="254">
        <v>1.7397796632018159</v>
      </c>
      <c r="AF101" s="254">
        <v>0.44500000000000001</v>
      </c>
      <c r="AG101" s="256">
        <v>4.3667763157894735</v>
      </c>
      <c r="AH101" s="256">
        <v>4.3667763157894735</v>
      </c>
      <c r="AI101" s="256">
        <v>5.0632806653500033</v>
      </c>
      <c r="AJ101" s="256">
        <v>5.0632806653500033</v>
      </c>
      <c r="AK101" s="257">
        <v>60800000</v>
      </c>
      <c r="AL101" s="257">
        <v>65903479.000000007</v>
      </c>
      <c r="AM101" s="258">
        <v>45838</v>
      </c>
      <c r="AN101" s="245" t="str">
        <f t="shared" si="549"/>
        <v>Tier 1</v>
      </c>
      <c r="AO101" s="243">
        <v>46478</v>
      </c>
      <c r="AP101" s="259">
        <f>IF(C101="","",DAYS360(Inputs!$J$8,AO101)/360)</f>
        <v>1.6027777777777779</v>
      </c>
      <c r="AQ101" s="259">
        <f t="shared" si="550"/>
        <v>1.6027777777777779</v>
      </c>
      <c r="AR101" s="246" t="s">
        <v>246</v>
      </c>
      <c r="AS101" s="276">
        <v>0</v>
      </c>
      <c r="AT101" s="246" t="s">
        <v>64</v>
      </c>
      <c r="AU101" s="248">
        <v>0.01</v>
      </c>
      <c r="AV101" s="248">
        <v>5.5E-2</v>
      </c>
      <c r="AW101" s="248">
        <v>4.2999999999999997E-2</v>
      </c>
      <c r="AX101" s="260">
        <f t="shared" si="551"/>
        <v>4.2999999999999997E-2</v>
      </c>
      <c r="AY101" s="248">
        <v>0</v>
      </c>
      <c r="AZ101" s="248">
        <v>0</v>
      </c>
      <c r="BA101" s="248">
        <v>0</v>
      </c>
      <c r="BB101" s="407">
        <f t="shared" si="536"/>
        <v>5.5E-2</v>
      </c>
      <c r="BC101" s="407" t="str">
        <f t="shared" si="537"/>
        <v/>
      </c>
      <c r="BD101" s="252" t="s">
        <v>247</v>
      </c>
      <c r="BE101" s="261" t="s">
        <v>324</v>
      </c>
      <c r="BF101" s="252" t="s">
        <v>7</v>
      </c>
      <c r="BG101" s="252" t="s">
        <v>460</v>
      </c>
      <c r="BH101" s="246" t="s">
        <v>246</v>
      </c>
      <c r="BI101" s="408" t="str">
        <f t="shared" si="534"/>
        <v>No</v>
      </c>
      <c r="BJ101" s="408" t="str">
        <f t="shared" si="538"/>
        <v>No</v>
      </c>
      <c r="BK101" s="246" t="s">
        <v>246</v>
      </c>
      <c r="BL101" s="246" t="s">
        <v>246</v>
      </c>
      <c r="BM101" s="246" t="s">
        <v>64</v>
      </c>
      <c r="BN101" s="246" t="s">
        <v>64</v>
      </c>
      <c r="BO101" s="246" t="s">
        <v>246</v>
      </c>
      <c r="BP101" s="246" t="s">
        <v>246</v>
      </c>
      <c r="BQ101" s="246" t="s">
        <v>246</v>
      </c>
      <c r="BR101" s="246" t="s">
        <v>246</v>
      </c>
      <c r="BS101" s="246" t="s">
        <v>246</v>
      </c>
      <c r="BT101" s="246" t="s">
        <v>246</v>
      </c>
      <c r="BU101" s="246" t="s">
        <v>246</v>
      </c>
      <c r="BV101" s="246" t="s">
        <v>246</v>
      </c>
      <c r="BW101" s="246" t="s">
        <v>246</v>
      </c>
      <c r="BX101" s="246" t="s">
        <v>246</v>
      </c>
      <c r="BY101" s="246" t="s">
        <v>246</v>
      </c>
      <c r="BZ101" s="246" t="s">
        <v>246</v>
      </c>
      <c r="CA101" s="246" t="s">
        <v>246</v>
      </c>
      <c r="CB101" s="246" t="s">
        <v>64</v>
      </c>
      <c r="CC101" s="262">
        <f t="shared" si="552"/>
        <v>274434.62567040004</v>
      </c>
      <c r="CD101" s="262">
        <f t="shared" si="553"/>
        <v>0</v>
      </c>
      <c r="CE101" s="263"/>
      <c r="CF101" s="263">
        <f t="shared" si="403"/>
        <v>0</v>
      </c>
      <c r="CG101" s="263">
        <f t="shared" si="404"/>
        <v>0</v>
      </c>
      <c r="CH101" s="263">
        <f t="shared" si="405"/>
        <v>0</v>
      </c>
      <c r="CI101" s="263">
        <f t="shared" si="406"/>
        <v>0</v>
      </c>
      <c r="CJ101" s="263">
        <f t="shared" si="407"/>
        <v>0</v>
      </c>
      <c r="CK101" s="263">
        <f t="shared" si="408"/>
        <v>0</v>
      </c>
      <c r="CL101" s="263">
        <f t="shared" si="409"/>
        <v>0</v>
      </c>
      <c r="CM101" s="263">
        <f t="shared" si="410"/>
        <v>0</v>
      </c>
      <c r="CN101" s="263">
        <f t="shared" si="411"/>
        <v>0</v>
      </c>
      <c r="CO101" s="263">
        <f t="shared" si="412"/>
        <v>0</v>
      </c>
      <c r="CP101" s="263">
        <f t="shared" si="413"/>
        <v>0</v>
      </c>
      <c r="CQ101" s="263">
        <f t="shared" si="414"/>
        <v>0</v>
      </c>
      <c r="CR101" s="263">
        <f t="shared" si="415"/>
        <v>0</v>
      </c>
      <c r="CS101" s="263">
        <f t="shared" si="416"/>
        <v>0</v>
      </c>
      <c r="CT101" s="263">
        <f t="shared" si="417"/>
        <v>0</v>
      </c>
      <c r="CU101" s="263">
        <f t="shared" si="418"/>
        <v>0</v>
      </c>
      <c r="CV101" s="263">
        <f t="shared" si="419"/>
        <v>0</v>
      </c>
      <c r="CW101" s="263">
        <f t="shared" si="420"/>
        <v>0</v>
      </c>
      <c r="CX101" s="263">
        <f t="shared" si="421"/>
        <v>0</v>
      </c>
      <c r="CY101" s="263">
        <f t="shared" si="422"/>
        <v>0</v>
      </c>
      <c r="CZ101" s="263">
        <f t="shared" si="423"/>
        <v>0</v>
      </c>
      <c r="DA101" s="263">
        <f t="shared" si="424"/>
        <v>0</v>
      </c>
      <c r="DB101" s="263">
        <f t="shared" si="425"/>
        <v>0</v>
      </c>
      <c r="DC101" s="263">
        <f t="shared" si="426"/>
        <v>0</v>
      </c>
      <c r="DD101" s="263">
        <f t="shared" si="427"/>
        <v>0</v>
      </c>
      <c r="DE101" s="263">
        <f t="shared" si="428"/>
        <v>0</v>
      </c>
      <c r="DF101" s="263">
        <f t="shared" si="429"/>
        <v>5009979</v>
      </c>
      <c r="DG101" s="263">
        <f t="shared" si="430"/>
        <v>0</v>
      </c>
      <c r="DH101" s="263">
        <f t="shared" si="431"/>
        <v>5009979</v>
      </c>
      <c r="DI101" s="263">
        <f t="shared" si="432"/>
        <v>5009979</v>
      </c>
      <c r="DJ101" s="263">
        <f t="shared" si="433"/>
        <v>0</v>
      </c>
      <c r="DK101" s="263">
        <f t="shared" si="434"/>
        <v>0</v>
      </c>
      <c r="DL101" s="263">
        <f t="shared" si="435"/>
        <v>0</v>
      </c>
      <c r="DM101" s="263">
        <f t="shared" si="436"/>
        <v>0</v>
      </c>
      <c r="DO101" s="264">
        <f t="shared" si="437"/>
        <v>0</v>
      </c>
      <c r="DP101" s="265">
        <f t="shared" si="438"/>
        <v>0</v>
      </c>
      <c r="DQ101" s="264">
        <f t="shared" si="439"/>
        <v>5009979</v>
      </c>
      <c r="DR101" s="264">
        <f t="shared" si="440"/>
        <v>0</v>
      </c>
      <c r="DS101" s="265">
        <f t="shared" si="441"/>
        <v>0</v>
      </c>
      <c r="DT101" s="264">
        <f t="shared" si="442"/>
        <v>5009979</v>
      </c>
      <c r="DU101" s="264">
        <f t="shared" si="443"/>
        <v>0</v>
      </c>
      <c r="DV101" s="265">
        <f t="shared" si="444"/>
        <v>0</v>
      </c>
      <c r="DW101" s="264">
        <f t="shared" si="445"/>
        <v>5009979</v>
      </c>
      <c r="DX101" s="264">
        <f t="shared" si="446"/>
        <v>0</v>
      </c>
      <c r="DY101" s="265">
        <f t="shared" si="447"/>
        <v>0</v>
      </c>
      <c r="DZ101" s="264">
        <f t="shared" si="448"/>
        <v>5009979</v>
      </c>
      <c r="EA101" s="264">
        <f t="shared" si="449"/>
        <v>0</v>
      </c>
      <c r="EB101" s="265">
        <f t="shared" si="450"/>
        <v>0</v>
      </c>
      <c r="EC101" s="264">
        <f t="shared" si="451"/>
        <v>5009979</v>
      </c>
      <c r="ED101" s="264">
        <f t="shared" si="452"/>
        <v>0</v>
      </c>
      <c r="EE101" s="265">
        <f t="shared" si="453"/>
        <v>0</v>
      </c>
      <c r="EF101" s="264">
        <f t="shared" si="454"/>
        <v>5009979</v>
      </c>
      <c r="EG101" s="264">
        <f t="shared" si="455"/>
        <v>0</v>
      </c>
      <c r="EH101" s="265">
        <f t="shared" si="456"/>
        <v>0</v>
      </c>
      <c r="EI101" s="264">
        <f t="shared" si="457"/>
        <v>5009979</v>
      </c>
      <c r="EJ101" s="264">
        <f t="shared" si="458"/>
        <v>0</v>
      </c>
      <c r="EK101" s="265">
        <f t="shared" si="459"/>
        <v>0</v>
      </c>
      <c r="EL101" s="264">
        <f t="shared" si="460"/>
        <v>5009979</v>
      </c>
      <c r="EM101" s="264">
        <f t="shared" si="461"/>
        <v>0</v>
      </c>
      <c r="EN101" s="265">
        <f t="shared" si="462"/>
        <v>0</v>
      </c>
      <c r="EO101" s="264">
        <f t="shared" si="463"/>
        <v>5009979</v>
      </c>
      <c r="EP101" s="264">
        <f t="shared" si="464"/>
        <v>0</v>
      </c>
      <c r="EQ101" s="265">
        <f t="shared" si="465"/>
        <v>0</v>
      </c>
      <c r="ER101" s="264">
        <f t="shared" si="466"/>
        <v>5009979</v>
      </c>
      <c r="ES101" s="264">
        <f t="shared" si="467"/>
        <v>0</v>
      </c>
      <c r="ET101" s="265">
        <f t="shared" si="468"/>
        <v>0</v>
      </c>
      <c r="EU101" s="264">
        <f t="shared" si="469"/>
        <v>5009979</v>
      </c>
      <c r="EV101" s="264">
        <f>IF(AND(BM101="Yes",OR(BN101="No",AND(BN101="Yes",Inputs!$J$8=Inputs!$J$17+75))),EU101,0)</f>
        <v>0</v>
      </c>
      <c r="EW101" s="265">
        <f t="shared" si="470"/>
        <v>0</v>
      </c>
      <c r="EX101" s="264">
        <f t="shared" si="471"/>
        <v>5009979</v>
      </c>
      <c r="EY101" s="264">
        <f t="shared" si="472"/>
        <v>0</v>
      </c>
      <c r="EZ101" s="265">
        <f t="shared" si="473"/>
        <v>0</v>
      </c>
      <c r="FA101" s="264">
        <f t="shared" si="474"/>
        <v>5009979</v>
      </c>
      <c r="FB101" s="264">
        <f t="shared" si="475"/>
        <v>0</v>
      </c>
      <c r="FC101" s="265">
        <f t="shared" si="476"/>
        <v>0</v>
      </c>
      <c r="FD101" s="264">
        <f t="shared" si="477"/>
        <v>5009979</v>
      </c>
      <c r="FE101" s="264">
        <f t="shared" si="478"/>
        <v>0</v>
      </c>
      <c r="FF101" s="265">
        <f t="shared" si="479"/>
        <v>0</v>
      </c>
      <c r="FG101" s="264">
        <f t="shared" si="480"/>
        <v>5009979</v>
      </c>
      <c r="FH101" s="264">
        <f t="shared" si="481"/>
        <v>5009979</v>
      </c>
      <c r="FI101" s="264">
        <f t="shared" si="482"/>
        <v>0</v>
      </c>
      <c r="FJ101" s="264">
        <f t="shared" si="483"/>
        <v>5009979</v>
      </c>
      <c r="FK101" s="264">
        <f t="shared" si="484"/>
        <v>5009979</v>
      </c>
      <c r="FL101" s="264">
        <f t="shared" si="485"/>
        <v>0</v>
      </c>
      <c r="FM101" s="264">
        <f t="shared" si="486"/>
        <v>5009979</v>
      </c>
      <c r="FN101" s="264">
        <f t="shared" si="487"/>
        <v>5009979</v>
      </c>
      <c r="FO101" s="264">
        <f t="shared" si="488"/>
        <v>0</v>
      </c>
      <c r="FP101" s="264">
        <f t="shared" si="489"/>
        <v>5009979</v>
      </c>
      <c r="FQ101" s="264">
        <f t="shared" si="490"/>
        <v>0</v>
      </c>
      <c r="FR101" s="265">
        <f t="shared" si="491"/>
        <v>0</v>
      </c>
      <c r="FS101" s="264">
        <f t="shared" si="492"/>
        <v>5009979</v>
      </c>
      <c r="FT101" s="264">
        <f t="shared" si="493"/>
        <v>0</v>
      </c>
      <c r="FU101" s="265">
        <f t="shared" si="494"/>
        <v>0</v>
      </c>
      <c r="FV101" s="264">
        <f t="shared" si="495"/>
        <v>5009979</v>
      </c>
      <c r="FW101" s="264">
        <f t="shared" si="496"/>
        <v>5009979</v>
      </c>
      <c r="FX101" s="264">
        <f t="shared" si="497"/>
        <v>0</v>
      </c>
      <c r="FY101" s="264">
        <f t="shared" si="498"/>
        <v>0</v>
      </c>
      <c r="FZ101" s="264">
        <f t="shared" si="499"/>
        <v>5009979</v>
      </c>
      <c r="GA101" s="265">
        <f t="shared" si="500"/>
        <v>22446.934803293025</v>
      </c>
      <c r="GB101" s="264">
        <f t="shared" si="501"/>
        <v>4987532.0651967069</v>
      </c>
      <c r="GC101" s="264">
        <f t="shared" si="502"/>
        <v>4987532.0651967069</v>
      </c>
      <c r="GD101" s="266">
        <f t="shared" si="503"/>
        <v>3615960.7472676123</v>
      </c>
      <c r="GE101" s="138">
        <f t="shared" si="504"/>
        <v>0.72175167745565649</v>
      </c>
      <c r="GF101" s="267">
        <f t="shared" si="505"/>
        <v>1</v>
      </c>
      <c r="GG101" s="264">
        <f t="array" ref="GG101">IF(SUM(IF(IC$9:IC100=IC101,1,0))&gt;0,0,SUMIF($IC$10:$IC$406,IC101,$FJ$10:$FJ$406))</f>
        <v>0</v>
      </c>
      <c r="GH101" s="268">
        <f t="shared" si="506"/>
        <v>0</v>
      </c>
      <c r="GI101" s="137">
        <f t="shared" si="126"/>
        <v>92</v>
      </c>
      <c r="GJ101" s="269">
        <f t="shared" si="507"/>
        <v>0</v>
      </c>
      <c r="GK101" s="269">
        <f t="shared" si="508"/>
        <v>0</v>
      </c>
      <c r="GL101" s="163">
        <f t="shared" si="509"/>
        <v>0</v>
      </c>
      <c r="GM101" s="137">
        <f t="array" ref="GM101">IF(GJ101=0,0,LARGE(IF($GG$10:$GG$406=GJ101,$GF$10:$GF$406,0),COUNTIF($GJ$10:$GJ$406,GJ101)-COUNTIF(GJ$9:GJ100,GJ101)))</f>
        <v>0</v>
      </c>
      <c r="GN101" s="270">
        <f t="shared" si="510"/>
        <v>0</v>
      </c>
      <c r="GP101" s="137">
        <f>IF(C101="","",IF(ISERROR(MATCH(C101,C$10:C100,0)),MAX(GP$10:GP100)+1,INDEX(GP$10:GP100,MATCH(C101,C$10:C100,0))))</f>
        <v>72</v>
      </c>
      <c r="GQ101" s="264">
        <f>IF(COUNTIF($A$10:A101,A101)&lt;=1,SUMIF($A$10:$A$406,A101,$FH$10:$FH$406),0)</f>
        <v>5009979</v>
      </c>
      <c r="GR101" s="137">
        <f t="shared" si="130"/>
        <v>92</v>
      </c>
      <c r="GS101" s="269">
        <f t="shared" si="554"/>
        <v>1984733</v>
      </c>
      <c r="GT101" s="269">
        <f t="shared" si="555"/>
        <v>50964284.172430128</v>
      </c>
      <c r="GU101" s="163">
        <f t="shared" si="556"/>
        <v>0</v>
      </c>
      <c r="GV101" s="137">
        <f t="array" ref="GV101">IF(GS101=0,0,LARGE(IF($GQ$10:$GQ$406=GS101,$GP$10:$GP$406,0),COUNTIF($GS$10:$GS$406,GS101)-COUNTIF(GS$9:GS100,GS101)))</f>
        <v>113</v>
      </c>
      <c r="GW101" s="270">
        <f t="shared" si="557"/>
        <v>0</v>
      </c>
      <c r="GX101" s="270"/>
      <c r="GY101" s="137">
        <f>IF(C101="","",IF(ISERROR(MATCH(C101,C$10:C100,0)),MAX(GP$10:GP100)+1,INDEX(GP$10:GP100,MATCH(C101,C$10:C100,0))))</f>
        <v>72</v>
      </c>
      <c r="GZ101" s="264">
        <f>IF(COUNTIF($A$10:A101,A101)&lt;=1,SUMIF($A$10:$A$406,A101,$FH$10:$FH$406),0)</f>
        <v>5009979</v>
      </c>
      <c r="HA101" s="137">
        <f t="shared" si="134"/>
        <v>92</v>
      </c>
      <c r="HB101" s="269">
        <f t="shared" si="515"/>
        <v>1984733</v>
      </c>
      <c r="HC101" s="414" t="s">
        <v>622</v>
      </c>
      <c r="HD101" s="163">
        <f t="shared" si="516"/>
        <v>0</v>
      </c>
      <c r="HE101" s="137">
        <f t="array" ref="HE101">IF(HB101=0,0,LARGE(IF($GZ$10:$GZ$406=HB101,$GY$10:$GY$406,0),COUNTIF($HB$10:$HB$406,HB101)-COUNTIF(HB$9:HB100,HB101)))</f>
        <v>113</v>
      </c>
      <c r="HF101" s="270">
        <f t="shared" si="517"/>
        <v>0</v>
      </c>
      <c r="HG101" s="270"/>
      <c r="HH101" s="268">
        <f t="shared" si="518"/>
        <v>22446.934803293087</v>
      </c>
      <c r="HI101" s="271">
        <v>0</v>
      </c>
      <c r="HJ101" s="264">
        <f t="shared" si="519"/>
        <v>0</v>
      </c>
      <c r="HL101" s="137">
        <f t="shared" si="520"/>
        <v>92</v>
      </c>
      <c r="HM101" s="264">
        <f t="shared" si="521"/>
        <v>8000000</v>
      </c>
      <c r="HN101"/>
      <c r="HO101" s="199">
        <f t="shared" si="522"/>
        <v>5009979</v>
      </c>
      <c r="HP101" s="199">
        <f t="shared" si="523"/>
        <v>5009979</v>
      </c>
      <c r="HQ101" s="199" t="str">
        <f t="shared" si="524"/>
        <v/>
      </c>
      <c r="HR101" s="199" t="str">
        <f t="shared" si="525"/>
        <v/>
      </c>
      <c r="HS101" s="199" t="str">
        <f t="shared" si="539"/>
        <v/>
      </c>
      <c r="HT101" s="199" t="str">
        <f t="shared" si="526"/>
        <v/>
      </c>
      <c r="HU101" s="199" t="str">
        <f t="shared" si="527"/>
        <v/>
      </c>
      <c r="HV101" s="200">
        <f t="shared" si="528"/>
        <v>0</v>
      </c>
      <c r="HW101" s="272">
        <f t="shared" si="540"/>
        <v>1</v>
      </c>
      <c r="HX101" s="200" t="str">
        <f t="shared" si="529"/>
        <v/>
      </c>
      <c r="HY101" s="200">
        <f t="shared" si="530"/>
        <v>0</v>
      </c>
      <c r="HZ101" s="200" t="str">
        <f t="shared" si="535"/>
        <v/>
      </c>
      <c r="IA101" s="200" t="str">
        <f t="shared" si="531"/>
        <v/>
      </c>
      <c r="IB101" s="200" t="str">
        <f t="shared" si="532"/>
        <v/>
      </c>
      <c r="IC101" s="273">
        <f>IF(C101="","",INDEX(Lookups!$E$2:$E$69,MATCH('Loan List'!BE101,Lookups!$F$2:$F$69,0)))</f>
        <v>1</v>
      </c>
      <c r="ID101" t="b">
        <f t="shared" si="533"/>
        <v>1</v>
      </c>
      <c r="IF101" s="346"/>
    </row>
    <row r="102" spans="1:240" ht="15" customHeight="1">
      <c r="A102" t="s">
        <v>766</v>
      </c>
      <c r="B102" s="242">
        <f t="shared" si="541"/>
        <v>93</v>
      </c>
      <c r="C102" s="242">
        <f>IF(COUNTIF($A$10:A101,A102)&gt;0,C101,C101+1)</f>
        <v>73</v>
      </c>
      <c r="D102" s="431" t="s">
        <v>766</v>
      </c>
      <c r="E102" s="428" t="s">
        <v>833</v>
      </c>
      <c r="F102" s="429"/>
      <c r="G102" s="430">
        <v>5145694</v>
      </c>
      <c r="H102" s="430">
        <v>5145694</v>
      </c>
      <c r="I102" s="244">
        <f>IF(B102="","",VLOOKUP(BF102,Inputs!$A$12:$J$15,10,FALSE))</f>
        <v>1</v>
      </c>
      <c r="J102" s="245">
        <f t="shared" si="542"/>
        <v>5145694</v>
      </c>
      <c r="K102" s="245">
        <f t="shared" si="543"/>
        <v>5145694</v>
      </c>
      <c r="L102" s="245">
        <f t="shared" si="544"/>
        <v>5145694</v>
      </c>
      <c r="M102" s="245">
        <f t="shared" si="545"/>
        <v>5145694</v>
      </c>
      <c r="N102" s="246" t="s">
        <v>246</v>
      </c>
      <c r="O102" s="246" t="s">
        <v>245</v>
      </c>
      <c r="P102" s="247">
        <f>IF(B102="","",IF(OR(O102="N/A",O102=""),0,YEARFRAC('Borrowing Base'!$J$4,'Loan List'!O102)*12))</f>
        <v>0</v>
      </c>
      <c r="Q102" s="246" t="s">
        <v>246</v>
      </c>
      <c r="R102" s="275">
        <v>1</v>
      </c>
      <c r="S102" s="249" t="str">
        <f t="shared" si="546"/>
        <v>No</v>
      </c>
      <c r="T102" s="275">
        <v>1</v>
      </c>
      <c r="U102" s="250">
        <f t="shared" si="547"/>
        <v>0.5</v>
      </c>
      <c r="V102" s="250">
        <f t="shared" si="548"/>
        <v>0.64369691798375994</v>
      </c>
      <c r="W102" s="251">
        <f t="shared" si="385"/>
        <v>5145694</v>
      </c>
      <c r="X102" s="246" t="s">
        <v>64</v>
      </c>
      <c r="Y102" s="252" t="s">
        <v>483</v>
      </c>
      <c r="Z102" s="252" t="s">
        <v>484</v>
      </c>
      <c r="AA102" s="253" t="s">
        <v>407</v>
      </c>
      <c r="AB102" s="253" t="s">
        <v>713</v>
      </c>
      <c r="AC102" s="254">
        <v>1.6351546477914358</v>
      </c>
      <c r="AD102" s="254">
        <v>1.0906672664211199</v>
      </c>
      <c r="AE102" s="254">
        <v>1.547613576209159</v>
      </c>
      <c r="AF102" s="254">
        <v>0.52333606197563631</v>
      </c>
      <c r="AG102" s="256">
        <v>5.7457191297230787</v>
      </c>
      <c r="AH102" s="256">
        <v>5.7457191297230787</v>
      </c>
      <c r="AI102" s="256">
        <v>5.2452879029851296</v>
      </c>
      <c r="AJ102" s="256">
        <v>5.2452879029851296</v>
      </c>
      <c r="AK102" s="257">
        <v>45784695.363742702</v>
      </c>
      <c r="AL102" s="257">
        <v>57830887</v>
      </c>
      <c r="AM102" s="258">
        <v>45838</v>
      </c>
      <c r="AN102" s="245" t="str">
        <f t="shared" si="549"/>
        <v>Tier 2</v>
      </c>
      <c r="AO102" s="243">
        <v>46493</v>
      </c>
      <c r="AP102" s="259">
        <f>IF(C102="","",DAYS360(Inputs!$J$8,AO102)/360)</f>
        <v>1.6444444444444444</v>
      </c>
      <c r="AQ102" s="259">
        <f t="shared" si="550"/>
        <v>1.6444444444444444</v>
      </c>
      <c r="AR102" s="246" t="s">
        <v>246</v>
      </c>
      <c r="AS102" s="276">
        <v>0</v>
      </c>
      <c r="AT102" s="246" t="s">
        <v>64</v>
      </c>
      <c r="AU102" s="248">
        <v>0.01</v>
      </c>
      <c r="AV102" s="248">
        <v>0.05</v>
      </c>
      <c r="AW102" s="248">
        <v>4.2999999999999997E-2</v>
      </c>
      <c r="AX102" s="260">
        <f t="shared" si="551"/>
        <v>4.2999999999999997E-2</v>
      </c>
      <c r="AY102" s="248">
        <v>0</v>
      </c>
      <c r="AZ102" s="248">
        <v>0</v>
      </c>
      <c r="BA102" s="248">
        <v>0</v>
      </c>
      <c r="BB102" s="407">
        <f t="shared" si="536"/>
        <v>0.05</v>
      </c>
      <c r="BC102" s="407" t="str">
        <f t="shared" si="537"/>
        <v/>
      </c>
      <c r="BD102" s="252" t="s">
        <v>247</v>
      </c>
      <c r="BE102" s="261" t="s">
        <v>437</v>
      </c>
      <c r="BF102" s="252" t="s">
        <v>7</v>
      </c>
      <c r="BG102" s="252" t="s">
        <v>460</v>
      </c>
      <c r="BH102" s="246" t="s">
        <v>246</v>
      </c>
      <c r="BI102" s="408" t="str">
        <f t="shared" si="534"/>
        <v>No</v>
      </c>
      <c r="BJ102" s="408" t="str">
        <f t="shared" si="538"/>
        <v>No</v>
      </c>
      <c r="BK102" s="246" t="s">
        <v>246</v>
      </c>
      <c r="BL102" s="246" t="s">
        <v>246</v>
      </c>
      <c r="BM102" s="246" t="s">
        <v>64</v>
      </c>
      <c r="BN102" s="246" t="s">
        <v>64</v>
      </c>
      <c r="BO102" s="246" t="s">
        <v>246</v>
      </c>
      <c r="BP102" s="246" t="s">
        <v>246</v>
      </c>
      <c r="BQ102" s="246" t="s">
        <v>246</v>
      </c>
      <c r="BR102" s="246" t="s">
        <v>246</v>
      </c>
      <c r="BS102" s="246" t="s">
        <v>246</v>
      </c>
      <c r="BT102" s="246" t="s">
        <v>246</v>
      </c>
      <c r="BU102" s="246" t="s">
        <v>246</v>
      </c>
      <c r="BV102" s="246" t="s">
        <v>246</v>
      </c>
      <c r="BW102" s="246" t="s">
        <v>246</v>
      </c>
      <c r="BX102" s="246" t="s">
        <v>246</v>
      </c>
      <c r="BY102" s="246" t="s">
        <v>246</v>
      </c>
      <c r="BZ102" s="246" t="s">
        <v>246</v>
      </c>
      <c r="CA102" s="246" t="s">
        <v>246</v>
      </c>
      <c r="CB102" s="246" t="s">
        <v>64</v>
      </c>
      <c r="CC102" s="262">
        <f t="shared" si="552"/>
        <v>256140.2976544</v>
      </c>
      <c r="CD102" s="262">
        <f t="shared" si="553"/>
        <v>0</v>
      </c>
      <c r="CE102" s="263"/>
      <c r="CF102" s="263">
        <f t="shared" si="403"/>
        <v>0</v>
      </c>
      <c r="CG102" s="263">
        <f t="shared" si="404"/>
        <v>0</v>
      </c>
      <c r="CH102" s="263">
        <f t="shared" si="405"/>
        <v>0</v>
      </c>
      <c r="CI102" s="263">
        <f t="shared" si="406"/>
        <v>0</v>
      </c>
      <c r="CJ102" s="263">
        <f t="shared" si="407"/>
        <v>0</v>
      </c>
      <c r="CK102" s="263">
        <f t="shared" si="408"/>
        <v>0</v>
      </c>
      <c r="CL102" s="263">
        <f t="shared" si="409"/>
        <v>0</v>
      </c>
      <c r="CM102" s="263">
        <f t="shared" si="410"/>
        <v>0</v>
      </c>
      <c r="CN102" s="263">
        <f t="shared" si="411"/>
        <v>0</v>
      </c>
      <c r="CO102" s="263">
        <f t="shared" si="412"/>
        <v>0</v>
      </c>
      <c r="CP102" s="263">
        <f t="shared" si="413"/>
        <v>0</v>
      </c>
      <c r="CQ102" s="263">
        <f t="shared" si="414"/>
        <v>0</v>
      </c>
      <c r="CR102" s="263">
        <f t="shared" si="415"/>
        <v>0</v>
      </c>
      <c r="CS102" s="263">
        <f t="shared" si="416"/>
        <v>0</v>
      </c>
      <c r="CT102" s="263">
        <f t="shared" si="417"/>
        <v>0</v>
      </c>
      <c r="CU102" s="263">
        <f t="shared" si="418"/>
        <v>0</v>
      </c>
      <c r="CV102" s="263">
        <f t="shared" si="419"/>
        <v>0</v>
      </c>
      <c r="CW102" s="263">
        <f t="shared" si="420"/>
        <v>0</v>
      </c>
      <c r="CX102" s="263">
        <f t="shared" si="421"/>
        <v>0</v>
      </c>
      <c r="CY102" s="263">
        <f t="shared" si="422"/>
        <v>0</v>
      </c>
      <c r="CZ102" s="263">
        <f t="shared" si="423"/>
        <v>0</v>
      </c>
      <c r="DA102" s="263">
        <f t="shared" si="424"/>
        <v>0</v>
      </c>
      <c r="DB102" s="263">
        <f t="shared" si="425"/>
        <v>0</v>
      </c>
      <c r="DC102" s="263">
        <f t="shared" si="426"/>
        <v>0</v>
      </c>
      <c r="DD102" s="263">
        <f t="shared" si="427"/>
        <v>0</v>
      </c>
      <c r="DE102" s="263">
        <f t="shared" si="428"/>
        <v>0</v>
      </c>
      <c r="DF102" s="263">
        <f t="shared" si="429"/>
        <v>5145694</v>
      </c>
      <c r="DG102" s="263">
        <f t="shared" si="430"/>
        <v>0</v>
      </c>
      <c r="DH102" s="263">
        <f t="shared" si="431"/>
        <v>5145694</v>
      </c>
      <c r="DI102" s="263">
        <f t="shared" si="432"/>
        <v>5145694</v>
      </c>
      <c r="DJ102" s="263">
        <f t="shared" si="433"/>
        <v>0</v>
      </c>
      <c r="DK102" s="263">
        <f t="shared" si="434"/>
        <v>0</v>
      </c>
      <c r="DL102" s="263">
        <f t="shared" si="435"/>
        <v>0</v>
      </c>
      <c r="DM102" s="263">
        <f t="shared" si="436"/>
        <v>0</v>
      </c>
      <c r="DO102" s="264">
        <f t="shared" si="437"/>
        <v>0</v>
      </c>
      <c r="DP102" s="265">
        <f t="shared" si="438"/>
        <v>0</v>
      </c>
      <c r="DQ102" s="264">
        <f t="shared" si="439"/>
        <v>5145694</v>
      </c>
      <c r="DR102" s="264">
        <f t="shared" si="440"/>
        <v>0</v>
      </c>
      <c r="DS102" s="265">
        <f t="shared" si="441"/>
        <v>0</v>
      </c>
      <c r="DT102" s="264">
        <f t="shared" si="442"/>
        <v>5145694</v>
      </c>
      <c r="DU102" s="264">
        <f t="shared" si="443"/>
        <v>0</v>
      </c>
      <c r="DV102" s="265">
        <f t="shared" si="444"/>
        <v>0</v>
      </c>
      <c r="DW102" s="264">
        <f t="shared" si="445"/>
        <v>5145694</v>
      </c>
      <c r="DX102" s="264">
        <f t="shared" si="446"/>
        <v>0</v>
      </c>
      <c r="DY102" s="265">
        <f t="shared" si="447"/>
        <v>0</v>
      </c>
      <c r="DZ102" s="264">
        <f t="shared" si="448"/>
        <v>5145694</v>
      </c>
      <c r="EA102" s="264">
        <f t="shared" si="449"/>
        <v>0</v>
      </c>
      <c r="EB102" s="265">
        <f t="shared" si="450"/>
        <v>0</v>
      </c>
      <c r="EC102" s="264">
        <f t="shared" si="451"/>
        <v>5145694</v>
      </c>
      <c r="ED102" s="264">
        <f t="shared" si="452"/>
        <v>0</v>
      </c>
      <c r="EE102" s="265">
        <f t="shared" si="453"/>
        <v>0</v>
      </c>
      <c r="EF102" s="264">
        <f t="shared" si="454"/>
        <v>5145694</v>
      </c>
      <c r="EG102" s="264">
        <f t="shared" si="455"/>
        <v>0</v>
      </c>
      <c r="EH102" s="265">
        <f t="shared" si="456"/>
        <v>0</v>
      </c>
      <c r="EI102" s="264">
        <f t="shared" si="457"/>
        <v>5145694</v>
      </c>
      <c r="EJ102" s="264">
        <f t="shared" si="458"/>
        <v>0</v>
      </c>
      <c r="EK102" s="265">
        <f t="shared" si="459"/>
        <v>0</v>
      </c>
      <c r="EL102" s="264">
        <f t="shared" si="460"/>
        <v>5145694</v>
      </c>
      <c r="EM102" s="264">
        <f t="shared" si="461"/>
        <v>0</v>
      </c>
      <c r="EN102" s="265">
        <f t="shared" si="462"/>
        <v>0</v>
      </c>
      <c r="EO102" s="264">
        <f t="shared" si="463"/>
        <v>5145694</v>
      </c>
      <c r="EP102" s="264">
        <f t="shared" si="464"/>
        <v>0</v>
      </c>
      <c r="EQ102" s="265">
        <f t="shared" si="465"/>
        <v>0</v>
      </c>
      <c r="ER102" s="264">
        <f t="shared" si="466"/>
        <v>5145694</v>
      </c>
      <c r="ES102" s="264">
        <f t="shared" si="467"/>
        <v>0</v>
      </c>
      <c r="ET102" s="265">
        <f t="shared" si="468"/>
        <v>0</v>
      </c>
      <c r="EU102" s="264">
        <f t="shared" si="469"/>
        <v>5145694</v>
      </c>
      <c r="EV102" s="264">
        <f>IF(AND(BM102="Yes",OR(BN102="No",AND(BN102="Yes",Inputs!$J$8=Inputs!$J$17+75))),EU102,0)</f>
        <v>0</v>
      </c>
      <c r="EW102" s="265">
        <f t="shared" si="470"/>
        <v>0</v>
      </c>
      <c r="EX102" s="264">
        <f t="shared" si="471"/>
        <v>5145694</v>
      </c>
      <c r="EY102" s="264">
        <f t="shared" si="472"/>
        <v>0</v>
      </c>
      <c r="EZ102" s="265">
        <f t="shared" si="473"/>
        <v>0</v>
      </c>
      <c r="FA102" s="264">
        <f t="shared" si="474"/>
        <v>5145694</v>
      </c>
      <c r="FB102" s="264">
        <f t="shared" si="475"/>
        <v>0</v>
      </c>
      <c r="FC102" s="265">
        <f t="shared" si="476"/>
        <v>0</v>
      </c>
      <c r="FD102" s="264">
        <f t="shared" si="477"/>
        <v>5145694</v>
      </c>
      <c r="FE102" s="264">
        <f t="shared" si="478"/>
        <v>0</v>
      </c>
      <c r="FF102" s="265">
        <f t="shared" si="479"/>
        <v>0</v>
      </c>
      <c r="FG102" s="264">
        <f t="shared" si="480"/>
        <v>5145694</v>
      </c>
      <c r="FH102" s="264">
        <f t="shared" si="481"/>
        <v>5145694</v>
      </c>
      <c r="FI102" s="264">
        <f t="shared" si="482"/>
        <v>0</v>
      </c>
      <c r="FJ102" s="264">
        <f t="shared" si="483"/>
        <v>5145694</v>
      </c>
      <c r="FK102" s="264">
        <f t="shared" si="484"/>
        <v>5145694</v>
      </c>
      <c r="FL102" s="264">
        <f t="shared" si="485"/>
        <v>0</v>
      </c>
      <c r="FM102" s="264">
        <f t="shared" si="486"/>
        <v>5145694</v>
      </c>
      <c r="FN102" s="264">
        <f t="shared" si="487"/>
        <v>5145694</v>
      </c>
      <c r="FO102" s="264">
        <f t="shared" si="488"/>
        <v>0</v>
      </c>
      <c r="FP102" s="264">
        <f t="shared" si="489"/>
        <v>5145694</v>
      </c>
      <c r="FQ102" s="264">
        <f t="shared" si="490"/>
        <v>0</v>
      </c>
      <c r="FR102" s="265">
        <f t="shared" si="491"/>
        <v>0</v>
      </c>
      <c r="FS102" s="264">
        <f t="shared" si="492"/>
        <v>5145694</v>
      </c>
      <c r="FT102" s="264">
        <f t="shared" si="493"/>
        <v>0</v>
      </c>
      <c r="FU102" s="265">
        <f t="shared" si="494"/>
        <v>0</v>
      </c>
      <c r="FV102" s="264">
        <f t="shared" si="495"/>
        <v>5145694</v>
      </c>
      <c r="FW102" s="264">
        <f t="shared" si="496"/>
        <v>0</v>
      </c>
      <c r="FX102" s="264">
        <f t="shared" si="497"/>
        <v>0</v>
      </c>
      <c r="FY102" s="264">
        <f t="shared" si="498"/>
        <v>0</v>
      </c>
      <c r="FZ102" s="264">
        <f t="shared" si="499"/>
        <v>0</v>
      </c>
      <c r="GA102" s="265">
        <f t="shared" si="500"/>
        <v>0</v>
      </c>
      <c r="GB102" s="264">
        <f t="shared" si="501"/>
        <v>5145694</v>
      </c>
      <c r="GC102" s="264">
        <f t="shared" si="502"/>
        <v>5145694</v>
      </c>
      <c r="GD102" s="266">
        <f t="shared" si="503"/>
        <v>3312267.3686875259</v>
      </c>
      <c r="GE102" s="138">
        <f t="shared" si="504"/>
        <v>0.64369691798375994</v>
      </c>
      <c r="GF102" s="267">
        <f t="shared" si="505"/>
        <v>46</v>
      </c>
      <c r="GG102" s="264">
        <f t="array" ref="GG102">IF(SUM(IF(IC$9:IC101=IC102,1,0))&gt;0,0,SUMIF($IC$10:$IC$406,IC102,$FJ$10:$FJ$406))</f>
        <v>0</v>
      </c>
      <c r="GH102" s="268">
        <f t="shared" si="506"/>
        <v>0</v>
      </c>
      <c r="GI102" s="137">
        <f t="shared" si="126"/>
        <v>93</v>
      </c>
      <c r="GJ102" s="269">
        <f t="shared" si="507"/>
        <v>0</v>
      </c>
      <c r="GK102" s="269">
        <f t="shared" si="508"/>
        <v>0</v>
      </c>
      <c r="GL102" s="163">
        <f t="shared" si="509"/>
        <v>0</v>
      </c>
      <c r="GM102" s="137">
        <f t="array" ref="GM102">IF(GJ102=0,0,LARGE(IF($GG$10:$GG$406=GJ102,$GF$10:$GF$406,0),COUNTIF($GJ$10:$GJ$406,GJ102)-COUNTIF(GJ$9:GJ101,GJ102)))</f>
        <v>0</v>
      </c>
      <c r="GN102" s="270">
        <f t="shared" si="510"/>
        <v>0</v>
      </c>
      <c r="GP102" s="137">
        <f>IF(C102="","",IF(ISERROR(MATCH(C102,C$10:C101,0)),MAX(GP$10:GP101)+1,INDEX(GP$10:GP101,MATCH(C102,C$10:C101,0))))</f>
        <v>73</v>
      </c>
      <c r="GQ102" s="264">
        <f>IF(COUNTIF($A$10:A102,A102)&lt;=1,SUMIF($A$10:$A$406,A102,$FH$10:$FH$406),0)</f>
        <v>5145694</v>
      </c>
      <c r="GR102" s="137">
        <f t="shared" si="130"/>
        <v>93</v>
      </c>
      <c r="GS102" s="269">
        <f t="shared" si="554"/>
        <v>1984732.82</v>
      </c>
      <c r="GT102" s="269">
        <f t="shared" si="555"/>
        <v>50964284.172430128</v>
      </c>
      <c r="GU102" s="163">
        <f t="shared" si="556"/>
        <v>0</v>
      </c>
      <c r="GV102" s="137">
        <f t="array" ref="GV102">IF(GS102=0,0,LARGE(IF($GQ$10:$GQ$406=GS102,$GP$10:$GP$406,0),COUNTIF($GS$10:$GS$406,GS102)-COUNTIF(GS$9:GS101,GS102)))</f>
        <v>7</v>
      </c>
      <c r="GW102" s="270">
        <f t="shared" si="557"/>
        <v>0</v>
      </c>
      <c r="GX102" s="270"/>
      <c r="GY102" s="137">
        <f>IF(C102="","",IF(ISERROR(MATCH(C102,C$10:C101,0)),MAX(GP$10:GP101)+1,INDEX(GP$10:GP101,MATCH(C102,C$10:C101,0))))</f>
        <v>73</v>
      </c>
      <c r="GZ102" s="264">
        <f>IF(COUNTIF($A$10:A102,A102)&lt;=1,SUMIF($A$10:$A$406,A102,$FH$10:$FH$406),0)</f>
        <v>5145694</v>
      </c>
      <c r="HA102" s="137">
        <f t="shared" si="134"/>
        <v>93</v>
      </c>
      <c r="HB102" s="269">
        <f t="shared" si="515"/>
        <v>1984732.82</v>
      </c>
      <c r="HC102" s="414" t="s">
        <v>622</v>
      </c>
      <c r="HD102" s="163">
        <f t="shared" si="516"/>
        <v>0</v>
      </c>
      <c r="HE102" s="137">
        <f t="array" ref="HE102">IF(HB102=0,0,LARGE(IF($GZ$10:$GZ$406=HB102,$GY$10:$GY$406,0),COUNTIF($HB$10:$HB$406,HB102)-COUNTIF(HB$9:HB101,HB102)))</f>
        <v>7</v>
      </c>
      <c r="HF102" s="270">
        <f t="shared" si="517"/>
        <v>0</v>
      </c>
      <c r="HG102" s="270"/>
      <c r="HH102" s="268">
        <f t="shared" si="518"/>
        <v>0</v>
      </c>
      <c r="HI102" s="271">
        <v>0</v>
      </c>
      <c r="HJ102" s="264">
        <f t="shared" si="519"/>
        <v>0</v>
      </c>
      <c r="HL102" s="137">
        <f t="shared" si="520"/>
        <v>93</v>
      </c>
      <c r="HM102" s="264">
        <f t="shared" si="521"/>
        <v>1231250</v>
      </c>
      <c r="HN102"/>
      <c r="HO102" s="199">
        <f t="shared" si="522"/>
        <v>5145694</v>
      </c>
      <c r="HP102" s="199">
        <f t="shared" si="523"/>
        <v>5145694</v>
      </c>
      <c r="HQ102" s="199" t="str">
        <f t="shared" si="524"/>
        <v/>
      </c>
      <c r="HR102" s="199" t="str">
        <f t="shared" si="525"/>
        <v/>
      </c>
      <c r="HS102" s="199" t="str">
        <f t="shared" si="539"/>
        <v/>
      </c>
      <c r="HT102" s="199" t="str">
        <f t="shared" si="526"/>
        <v/>
      </c>
      <c r="HU102" s="199" t="str">
        <f t="shared" si="527"/>
        <v/>
      </c>
      <c r="HV102" s="200">
        <f t="shared" si="528"/>
        <v>0</v>
      </c>
      <c r="HW102" s="272">
        <f t="shared" si="540"/>
        <v>1</v>
      </c>
      <c r="HX102" s="200" t="str">
        <f t="shared" si="529"/>
        <v/>
      </c>
      <c r="HY102" s="200">
        <f t="shared" si="530"/>
        <v>0</v>
      </c>
      <c r="HZ102" s="200" t="str">
        <f t="shared" si="535"/>
        <v/>
      </c>
      <c r="IA102" s="200" t="str">
        <f t="shared" si="531"/>
        <v/>
      </c>
      <c r="IB102" s="200" t="str">
        <f t="shared" si="532"/>
        <v/>
      </c>
      <c r="IC102" s="273">
        <f>IF(C102="","",INDEX(Lookups!$E$2:$E$69,MATCH('Loan List'!BE102,Lookups!$F$2:$F$69,0)))</f>
        <v>46</v>
      </c>
      <c r="ID102" t="b">
        <f t="shared" si="533"/>
        <v>1</v>
      </c>
      <c r="IF102" s="346"/>
    </row>
    <row r="103" spans="1:240" ht="15" customHeight="1">
      <c r="A103" t="s">
        <v>767</v>
      </c>
      <c r="B103" s="242">
        <f t="shared" si="541"/>
        <v>94</v>
      </c>
      <c r="C103" s="242">
        <f>IF(COUNTIF($A$10:A102,A103)&gt;0,C102,C102+1)</f>
        <v>74</v>
      </c>
      <c r="D103" s="431" t="s">
        <v>767</v>
      </c>
      <c r="E103" s="428" t="s">
        <v>834</v>
      </c>
      <c r="F103" s="429"/>
      <c r="G103" s="430">
        <v>2412500</v>
      </c>
      <c r="H103" s="430">
        <v>2412500</v>
      </c>
      <c r="I103" s="244">
        <f>IF(B103="","",VLOOKUP(BF103,Inputs!$A$12:$J$15,10,FALSE))</f>
        <v>1</v>
      </c>
      <c r="J103" s="245">
        <f t="shared" si="542"/>
        <v>2412500</v>
      </c>
      <c r="K103" s="245">
        <f t="shared" si="543"/>
        <v>2412500</v>
      </c>
      <c r="L103" s="245">
        <f t="shared" si="544"/>
        <v>2412500</v>
      </c>
      <c r="M103" s="245">
        <f t="shared" si="545"/>
        <v>2412500</v>
      </c>
      <c r="N103" s="246" t="s">
        <v>246</v>
      </c>
      <c r="O103" s="246" t="s">
        <v>245</v>
      </c>
      <c r="P103" s="247">
        <f>IF(B103="","",IF(OR(O103="N/A",O103=""),0,YEARFRAC('Borrowing Base'!$J$4,'Loan List'!O103)*12))</f>
        <v>0</v>
      </c>
      <c r="Q103" s="246" t="s">
        <v>246</v>
      </c>
      <c r="R103" s="275">
        <v>0.98499999999999999</v>
      </c>
      <c r="S103" s="249" t="str">
        <f t="shared" si="546"/>
        <v>No</v>
      </c>
      <c r="T103" s="275">
        <v>0.98499999999999999</v>
      </c>
      <c r="U103" s="250">
        <f t="shared" si="547"/>
        <v>0.5</v>
      </c>
      <c r="V103" s="250">
        <f t="shared" si="548"/>
        <v>0.72499999999999998</v>
      </c>
      <c r="W103" s="251">
        <f t="shared" si="385"/>
        <v>0</v>
      </c>
      <c r="X103" s="246" t="s">
        <v>246</v>
      </c>
      <c r="Y103" s="252" t="s">
        <v>483</v>
      </c>
      <c r="Z103" s="252" t="s">
        <v>484</v>
      </c>
      <c r="AA103" s="253" t="s">
        <v>407</v>
      </c>
      <c r="AB103" s="253" t="s">
        <v>713</v>
      </c>
      <c r="AC103" s="254">
        <v>1.61</v>
      </c>
      <c r="AD103" s="254">
        <v>1.61</v>
      </c>
      <c r="AE103" s="254">
        <v>1.81</v>
      </c>
      <c r="AF103" s="254">
        <v>0.47</v>
      </c>
      <c r="AG103" s="256">
        <v>4.8</v>
      </c>
      <c r="AH103" s="256">
        <v>4.8</v>
      </c>
      <c r="AI103" s="256">
        <v>4.8</v>
      </c>
      <c r="AJ103" s="256">
        <v>4.8</v>
      </c>
      <c r="AK103" s="257">
        <v>13697439</v>
      </c>
      <c r="AL103" s="257">
        <v>13697439</v>
      </c>
      <c r="AM103" s="258">
        <v>45838</v>
      </c>
      <c r="AN103" s="245" t="str">
        <f t="shared" si="549"/>
        <v>Tier 2</v>
      </c>
      <c r="AO103" s="243">
        <v>46742</v>
      </c>
      <c r="AP103" s="259">
        <f>IF(C103="","",DAYS360(Inputs!$J$8,AO103)/360)</f>
        <v>2.3250000000000002</v>
      </c>
      <c r="AQ103" s="259">
        <f t="shared" si="550"/>
        <v>2.3250000000000002</v>
      </c>
      <c r="AR103" s="246" t="s">
        <v>246</v>
      </c>
      <c r="AS103" s="276">
        <v>0</v>
      </c>
      <c r="AT103" s="246" t="s">
        <v>64</v>
      </c>
      <c r="AU103" s="248">
        <v>0.01</v>
      </c>
      <c r="AV103" s="248">
        <v>5.7500000000000002E-2</v>
      </c>
      <c r="AW103" s="248">
        <v>4.2999999999999997E-2</v>
      </c>
      <c r="AX103" s="260">
        <f t="shared" si="551"/>
        <v>4.2999999999999997E-2</v>
      </c>
      <c r="AY103" s="248">
        <v>0</v>
      </c>
      <c r="AZ103" s="248">
        <v>0</v>
      </c>
      <c r="BA103" s="248">
        <v>0</v>
      </c>
      <c r="BB103" s="407">
        <f t="shared" si="536"/>
        <v>5.7500000000000002E-2</v>
      </c>
      <c r="BC103" s="407" t="str">
        <f t="shared" si="537"/>
        <v/>
      </c>
      <c r="BD103" s="252" t="s">
        <v>247</v>
      </c>
      <c r="BE103" s="261" t="s">
        <v>457</v>
      </c>
      <c r="BF103" s="252" t="s">
        <v>7</v>
      </c>
      <c r="BG103" s="252" t="s">
        <v>460</v>
      </c>
      <c r="BH103" s="246" t="s">
        <v>246</v>
      </c>
      <c r="BI103" s="408" t="str">
        <f t="shared" si="534"/>
        <v>No</v>
      </c>
      <c r="BJ103" s="408" t="str">
        <f t="shared" si="538"/>
        <v>No</v>
      </c>
      <c r="BK103" s="246" t="s">
        <v>246</v>
      </c>
      <c r="BL103" s="246" t="s">
        <v>246</v>
      </c>
      <c r="BM103" s="246" t="s">
        <v>64</v>
      </c>
      <c r="BN103" s="246" t="s">
        <v>64</v>
      </c>
      <c r="BO103" s="246" t="s">
        <v>246</v>
      </c>
      <c r="BP103" s="246" t="s">
        <v>246</v>
      </c>
      <c r="BQ103" s="246" t="s">
        <v>246</v>
      </c>
      <c r="BR103" s="246" t="s">
        <v>246</v>
      </c>
      <c r="BS103" s="246" t="s">
        <v>246</v>
      </c>
      <c r="BT103" s="246" t="s">
        <v>246</v>
      </c>
      <c r="BU103" s="246" t="s">
        <v>246</v>
      </c>
      <c r="BV103" s="246" t="s">
        <v>246</v>
      </c>
      <c r="BW103" s="246" t="s">
        <v>246</v>
      </c>
      <c r="BX103" s="246" t="s">
        <v>246</v>
      </c>
      <c r="BY103" s="246" t="s">
        <v>246</v>
      </c>
      <c r="BZ103" s="246" t="s">
        <v>246</v>
      </c>
      <c r="CA103" s="246" t="s">
        <v>246</v>
      </c>
      <c r="CB103" s="246" t="s">
        <v>64</v>
      </c>
      <c r="CC103" s="262">
        <f t="shared" si="552"/>
        <v>138182.21000000002</v>
      </c>
      <c r="CD103" s="262">
        <f t="shared" si="553"/>
        <v>0</v>
      </c>
      <c r="CE103" s="263"/>
      <c r="CF103" s="263">
        <f t="shared" si="403"/>
        <v>0</v>
      </c>
      <c r="CG103" s="263">
        <f t="shared" si="404"/>
        <v>0</v>
      </c>
      <c r="CH103" s="263">
        <f t="shared" si="405"/>
        <v>0</v>
      </c>
      <c r="CI103" s="263">
        <f t="shared" si="406"/>
        <v>0</v>
      </c>
      <c r="CJ103" s="263">
        <f t="shared" si="407"/>
        <v>0</v>
      </c>
      <c r="CK103" s="263">
        <f t="shared" si="408"/>
        <v>0</v>
      </c>
      <c r="CL103" s="263">
        <f t="shared" si="409"/>
        <v>0</v>
      </c>
      <c r="CM103" s="263">
        <f t="shared" si="410"/>
        <v>0</v>
      </c>
      <c r="CN103" s="263">
        <f t="shared" si="411"/>
        <v>0</v>
      </c>
      <c r="CO103" s="263">
        <f t="shared" si="412"/>
        <v>0</v>
      </c>
      <c r="CP103" s="263">
        <f t="shared" si="413"/>
        <v>0</v>
      </c>
      <c r="CQ103" s="263">
        <f t="shared" si="414"/>
        <v>0</v>
      </c>
      <c r="CR103" s="263">
        <f t="shared" si="415"/>
        <v>0</v>
      </c>
      <c r="CS103" s="263">
        <f t="shared" si="416"/>
        <v>0</v>
      </c>
      <c r="CT103" s="263">
        <f t="shared" si="417"/>
        <v>0</v>
      </c>
      <c r="CU103" s="263">
        <f t="shared" si="418"/>
        <v>0</v>
      </c>
      <c r="CV103" s="263">
        <f t="shared" si="419"/>
        <v>0</v>
      </c>
      <c r="CW103" s="263">
        <f t="shared" si="420"/>
        <v>0</v>
      </c>
      <c r="CX103" s="263">
        <f t="shared" si="421"/>
        <v>0</v>
      </c>
      <c r="CY103" s="263">
        <f t="shared" si="422"/>
        <v>0</v>
      </c>
      <c r="CZ103" s="263">
        <f t="shared" si="423"/>
        <v>0</v>
      </c>
      <c r="DA103" s="263">
        <f t="shared" si="424"/>
        <v>1</v>
      </c>
      <c r="DB103" s="263">
        <f t="shared" si="425"/>
        <v>0</v>
      </c>
      <c r="DC103" s="263">
        <f t="shared" si="426"/>
        <v>0</v>
      </c>
      <c r="DD103" s="263">
        <f t="shared" si="427"/>
        <v>0</v>
      </c>
      <c r="DE103" s="263">
        <f t="shared" si="428"/>
        <v>0</v>
      </c>
      <c r="DF103" s="263">
        <f t="shared" si="429"/>
        <v>0</v>
      </c>
      <c r="DG103" s="263">
        <f t="shared" si="430"/>
        <v>0</v>
      </c>
      <c r="DH103" s="263">
        <f t="shared" si="431"/>
        <v>0</v>
      </c>
      <c r="DI103" s="263">
        <f t="shared" si="432"/>
        <v>2412500</v>
      </c>
      <c r="DJ103" s="263">
        <f t="shared" si="433"/>
        <v>0</v>
      </c>
      <c r="DK103" s="263">
        <f t="shared" si="434"/>
        <v>0</v>
      </c>
      <c r="DL103" s="263">
        <f t="shared" si="435"/>
        <v>0</v>
      </c>
      <c r="DM103" s="263">
        <f t="shared" si="436"/>
        <v>0</v>
      </c>
      <c r="DO103" s="264">
        <f t="shared" si="437"/>
        <v>0</v>
      </c>
      <c r="DP103" s="265">
        <f t="shared" si="438"/>
        <v>0</v>
      </c>
      <c r="DQ103" s="264">
        <f t="shared" si="439"/>
        <v>0</v>
      </c>
      <c r="DR103" s="264">
        <f t="shared" si="440"/>
        <v>0</v>
      </c>
      <c r="DS103" s="265">
        <f t="shared" si="441"/>
        <v>0</v>
      </c>
      <c r="DT103" s="264">
        <f t="shared" si="442"/>
        <v>0</v>
      </c>
      <c r="DU103" s="264">
        <f t="shared" si="443"/>
        <v>0</v>
      </c>
      <c r="DV103" s="265">
        <f t="shared" si="444"/>
        <v>0</v>
      </c>
      <c r="DW103" s="264">
        <f t="shared" si="445"/>
        <v>0</v>
      </c>
      <c r="DX103" s="264">
        <f t="shared" si="446"/>
        <v>0</v>
      </c>
      <c r="DY103" s="265">
        <f t="shared" si="447"/>
        <v>0</v>
      </c>
      <c r="DZ103" s="264">
        <f t="shared" si="448"/>
        <v>0</v>
      </c>
      <c r="EA103" s="264">
        <f t="shared" si="449"/>
        <v>0</v>
      </c>
      <c r="EB103" s="265">
        <f t="shared" si="450"/>
        <v>0</v>
      </c>
      <c r="EC103" s="264">
        <f t="shared" si="451"/>
        <v>0</v>
      </c>
      <c r="ED103" s="264">
        <f t="shared" si="452"/>
        <v>0</v>
      </c>
      <c r="EE103" s="265">
        <f t="shared" si="453"/>
        <v>0</v>
      </c>
      <c r="EF103" s="264">
        <f t="shared" si="454"/>
        <v>0</v>
      </c>
      <c r="EG103" s="264">
        <f t="shared" si="455"/>
        <v>0</v>
      </c>
      <c r="EH103" s="265">
        <f t="shared" si="456"/>
        <v>0</v>
      </c>
      <c r="EI103" s="264">
        <f t="shared" si="457"/>
        <v>0</v>
      </c>
      <c r="EJ103" s="264">
        <f t="shared" si="458"/>
        <v>0</v>
      </c>
      <c r="EK103" s="265">
        <f t="shared" si="459"/>
        <v>0</v>
      </c>
      <c r="EL103" s="264">
        <f t="shared" si="460"/>
        <v>0</v>
      </c>
      <c r="EM103" s="264">
        <f t="shared" si="461"/>
        <v>0</v>
      </c>
      <c r="EN103" s="265">
        <f t="shared" si="462"/>
        <v>0</v>
      </c>
      <c r="EO103" s="264">
        <f t="shared" si="463"/>
        <v>0</v>
      </c>
      <c r="EP103" s="264">
        <f t="shared" si="464"/>
        <v>0</v>
      </c>
      <c r="EQ103" s="265">
        <f t="shared" si="465"/>
        <v>0</v>
      </c>
      <c r="ER103" s="264">
        <f t="shared" si="466"/>
        <v>0</v>
      </c>
      <c r="ES103" s="264">
        <f t="shared" si="467"/>
        <v>0</v>
      </c>
      <c r="ET103" s="265">
        <f t="shared" si="468"/>
        <v>0</v>
      </c>
      <c r="EU103" s="264">
        <f t="shared" si="469"/>
        <v>0</v>
      </c>
      <c r="EV103" s="264">
        <f>IF(AND(BM103="Yes",OR(BN103="No",AND(BN103="Yes",Inputs!$J$8=Inputs!$J$17+75))),EU103,0)</f>
        <v>0</v>
      </c>
      <c r="EW103" s="265">
        <f t="shared" si="470"/>
        <v>0</v>
      </c>
      <c r="EX103" s="264">
        <f t="shared" si="471"/>
        <v>0</v>
      </c>
      <c r="EY103" s="264">
        <f t="shared" si="472"/>
        <v>0</v>
      </c>
      <c r="EZ103" s="265">
        <f t="shared" si="473"/>
        <v>0</v>
      </c>
      <c r="FA103" s="264">
        <f t="shared" si="474"/>
        <v>0</v>
      </c>
      <c r="FB103" s="264">
        <f t="shared" si="475"/>
        <v>0</v>
      </c>
      <c r="FC103" s="265">
        <f t="shared" si="476"/>
        <v>0</v>
      </c>
      <c r="FD103" s="264">
        <f t="shared" si="477"/>
        <v>0</v>
      </c>
      <c r="FE103" s="264">
        <f t="shared" si="478"/>
        <v>0</v>
      </c>
      <c r="FF103" s="265">
        <f t="shared" si="479"/>
        <v>0</v>
      </c>
      <c r="FG103" s="264">
        <f t="shared" si="480"/>
        <v>0</v>
      </c>
      <c r="FH103" s="264">
        <f t="shared" si="481"/>
        <v>0</v>
      </c>
      <c r="FI103" s="264">
        <f t="shared" si="482"/>
        <v>0</v>
      </c>
      <c r="FJ103" s="264">
        <f t="shared" si="483"/>
        <v>0</v>
      </c>
      <c r="FK103" s="264">
        <f t="shared" si="484"/>
        <v>0</v>
      </c>
      <c r="FL103" s="264">
        <f t="shared" si="485"/>
        <v>0</v>
      </c>
      <c r="FM103" s="264">
        <f t="shared" si="486"/>
        <v>0</v>
      </c>
      <c r="FN103" s="264">
        <f t="shared" si="487"/>
        <v>0</v>
      </c>
      <c r="FO103" s="264">
        <f t="shared" si="488"/>
        <v>0</v>
      </c>
      <c r="FP103" s="264">
        <f t="shared" si="489"/>
        <v>0</v>
      </c>
      <c r="FQ103" s="264">
        <f t="shared" si="490"/>
        <v>0</v>
      </c>
      <c r="FR103" s="265">
        <f t="shared" si="491"/>
        <v>0</v>
      </c>
      <c r="FS103" s="264">
        <f t="shared" si="492"/>
        <v>0</v>
      </c>
      <c r="FT103" s="264">
        <f t="shared" si="493"/>
        <v>0</v>
      </c>
      <c r="FU103" s="265">
        <f t="shared" si="494"/>
        <v>0</v>
      </c>
      <c r="FV103" s="264">
        <f t="shared" si="495"/>
        <v>0</v>
      </c>
      <c r="FW103" s="264">
        <f t="shared" si="496"/>
        <v>0</v>
      </c>
      <c r="FX103" s="264">
        <f t="shared" si="497"/>
        <v>0</v>
      </c>
      <c r="FY103" s="264">
        <f t="shared" si="498"/>
        <v>0</v>
      </c>
      <c r="FZ103" s="264">
        <f t="shared" si="499"/>
        <v>0</v>
      </c>
      <c r="GA103" s="265">
        <f t="shared" si="500"/>
        <v>0</v>
      </c>
      <c r="GB103" s="264">
        <f t="shared" si="501"/>
        <v>0</v>
      </c>
      <c r="GC103" s="264">
        <f t="shared" si="502"/>
        <v>0</v>
      </c>
      <c r="GD103" s="266">
        <f t="shared" si="503"/>
        <v>0</v>
      </c>
      <c r="GE103" s="138">
        <f t="shared" si="504"/>
        <v>0</v>
      </c>
      <c r="GF103" s="267">
        <f t="shared" si="505"/>
        <v>56</v>
      </c>
      <c r="GG103" s="264">
        <f t="array" ref="GG103">IF(SUM(IF(IC$9:IC102=IC103,1,0))&gt;0,0,SUMIF($IC$10:$IC$406,IC103,$FJ$10:$FJ$406))</f>
        <v>0</v>
      </c>
      <c r="GH103" s="268">
        <f t="shared" si="506"/>
        <v>0</v>
      </c>
      <c r="GI103" s="137">
        <f t="shared" si="126"/>
        <v>94</v>
      </c>
      <c r="GJ103" s="269">
        <f t="shared" si="507"/>
        <v>0</v>
      </c>
      <c r="GK103" s="269">
        <f t="shared" si="508"/>
        <v>0</v>
      </c>
      <c r="GL103" s="163">
        <f t="shared" si="509"/>
        <v>0</v>
      </c>
      <c r="GM103" s="137">
        <f t="array" ref="GM103">IF(GJ103=0,0,LARGE(IF($GG$10:$GG$406=GJ103,$GF$10:$GF$406,0),COUNTIF($GJ$10:$GJ$406,GJ103)-COUNTIF(GJ$9:GJ102,GJ103)))</f>
        <v>0</v>
      </c>
      <c r="GN103" s="270">
        <f t="shared" si="510"/>
        <v>0</v>
      </c>
      <c r="GP103" s="137">
        <f>IF(C103="","",IF(ISERROR(MATCH(C103,C$10:C102,0)),MAX(GP$10:GP102)+1,INDEX(GP$10:GP102,MATCH(C103,C$10:C102,0))))</f>
        <v>74</v>
      </c>
      <c r="GQ103" s="264">
        <f>IF(COUNTIF($A$10:A103,A103)&lt;=1,SUMIF($A$10:$A$406,A103,$FH$10:$FH$406),0)</f>
        <v>0</v>
      </c>
      <c r="GR103" s="137">
        <f t="shared" si="130"/>
        <v>94</v>
      </c>
      <c r="GS103" s="269">
        <f t="shared" si="554"/>
        <v>1984314</v>
      </c>
      <c r="GT103" s="269">
        <f t="shared" si="555"/>
        <v>50964284.172430128</v>
      </c>
      <c r="GU103" s="163">
        <f t="shared" si="556"/>
        <v>0</v>
      </c>
      <c r="GV103" s="137">
        <f t="array" ref="GV103">IF(GS103=0,0,LARGE(IF($GQ$10:$GQ$406=GS103,$GP$10:$GP$406,0),COUNTIF($GS$10:$GS$406,GS103)-COUNTIF(GS$9:GS102,GS103)))</f>
        <v>28</v>
      </c>
      <c r="GW103" s="270">
        <f t="shared" si="557"/>
        <v>0</v>
      </c>
      <c r="GX103" s="270"/>
      <c r="GY103" s="137">
        <f>IF(C103="","",IF(ISERROR(MATCH(C103,C$10:C102,0)),MAX(GP$10:GP102)+1,INDEX(GP$10:GP102,MATCH(C103,C$10:C102,0))))</f>
        <v>74</v>
      </c>
      <c r="GZ103" s="264">
        <f>IF(COUNTIF($A$10:A103,A103)&lt;=1,SUMIF($A$10:$A$406,A103,$FH$10:$FH$406),0)</f>
        <v>0</v>
      </c>
      <c r="HA103" s="137">
        <f t="shared" si="134"/>
        <v>94</v>
      </c>
      <c r="HB103" s="269">
        <f t="shared" si="515"/>
        <v>1984314</v>
      </c>
      <c r="HC103" s="414" t="s">
        <v>622</v>
      </c>
      <c r="HD103" s="163">
        <f t="shared" si="516"/>
        <v>0</v>
      </c>
      <c r="HE103" s="137">
        <f t="array" ref="HE103">IF(HB103=0,0,LARGE(IF($GZ$10:$GZ$406=HB103,$GY$10:$GY$406,0),COUNTIF($HB$10:$HB$406,HB103)-COUNTIF(HB$9:HB102,HB103)))</f>
        <v>28</v>
      </c>
      <c r="HF103" s="270">
        <f t="shared" si="517"/>
        <v>0</v>
      </c>
      <c r="HG103" s="270"/>
      <c r="HH103" s="268">
        <f t="shared" si="518"/>
        <v>0</v>
      </c>
      <c r="HI103" s="271">
        <v>0</v>
      </c>
      <c r="HJ103" s="264">
        <f t="shared" si="519"/>
        <v>0</v>
      </c>
      <c r="HL103" s="137">
        <f t="shared" si="520"/>
        <v>94</v>
      </c>
      <c r="HM103" s="264">
        <f t="shared" si="521"/>
        <v>6886239.5199999996</v>
      </c>
      <c r="HN103"/>
      <c r="HO103" s="199">
        <f t="shared" si="522"/>
        <v>0</v>
      </c>
      <c r="HP103" s="199">
        <f t="shared" si="523"/>
        <v>2412500</v>
      </c>
      <c r="HQ103" s="199" t="str">
        <f t="shared" si="524"/>
        <v/>
      </c>
      <c r="HR103" s="199" t="str">
        <f t="shared" si="525"/>
        <v/>
      </c>
      <c r="HS103" s="199" t="str">
        <f t="shared" si="539"/>
        <v/>
      </c>
      <c r="HT103" s="199">
        <f t="shared" si="526"/>
        <v>0</v>
      </c>
      <c r="HU103" s="199" t="str">
        <f t="shared" si="527"/>
        <v/>
      </c>
      <c r="HV103" s="200">
        <f t="shared" si="528"/>
        <v>0</v>
      </c>
      <c r="HW103" s="272">
        <f t="shared" si="540"/>
        <v>1</v>
      </c>
      <c r="HX103" s="200" t="str">
        <f t="shared" si="529"/>
        <v/>
      </c>
      <c r="HY103" s="200">
        <f t="shared" si="530"/>
        <v>0</v>
      </c>
      <c r="HZ103" s="200" t="str">
        <f t="shared" si="535"/>
        <v/>
      </c>
      <c r="IA103" s="200" t="str">
        <f t="shared" si="531"/>
        <v/>
      </c>
      <c r="IB103" s="200" t="str">
        <f t="shared" si="532"/>
        <v/>
      </c>
      <c r="IC103" s="273">
        <f>IF(C103="","",INDEX(Lookups!$E$2:$E$69,MATCH('Loan List'!BE103,Lookups!$F$2:$F$69,0)))</f>
        <v>56</v>
      </c>
      <c r="ID103" t="b">
        <f t="shared" si="533"/>
        <v>1</v>
      </c>
      <c r="IF103" s="346"/>
    </row>
    <row r="104" spans="1:240" ht="15" customHeight="1">
      <c r="A104" t="s">
        <v>768</v>
      </c>
      <c r="B104" s="242">
        <f t="shared" si="541"/>
        <v>95</v>
      </c>
      <c r="C104" s="242">
        <f>IF(COUNTIF($A$10:A103,A104)&gt;0,C103,C103+1)</f>
        <v>75</v>
      </c>
      <c r="D104" s="431" t="s">
        <v>768</v>
      </c>
      <c r="E104" s="428" t="s">
        <v>835</v>
      </c>
      <c r="F104" s="429"/>
      <c r="G104" s="430">
        <v>3314311</v>
      </c>
      <c r="H104" s="430">
        <v>3314311</v>
      </c>
      <c r="I104" s="244">
        <f>IF(B104="","",VLOOKUP(BF104,Inputs!$A$12:$J$15,10,FALSE))</f>
        <v>1</v>
      </c>
      <c r="J104" s="245">
        <f t="shared" si="542"/>
        <v>3314311</v>
      </c>
      <c r="K104" s="245">
        <f t="shared" si="543"/>
        <v>3314311</v>
      </c>
      <c r="L104" s="245">
        <f t="shared" si="544"/>
        <v>3314311</v>
      </c>
      <c r="M104" s="245">
        <f t="shared" si="545"/>
        <v>3314311</v>
      </c>
      <c r="N104" s="246" t="s">
        <v>246</v>
      </c>
      <c r="O104" s="246" t="s">
        <v>245</v>
      </c>
      <c r="P104" s="247">
        <f>IF(B104="","",IF(OR(O104="N/A",O104=""),0,YEARFRAC('Borrowing Base'!$J$4,'Loan List'!O104)*12))</f>
        <v>0</v>
      </c>
      <c r="Q104" s="246" t="s">
        <v>246</v>
      </c>
      <c r="R104" s="275">
        <v>1.0024999999999999</v>
      </c>
      <c r="S104" s="249" t="str">
        <f t="shared" si="546"/>
        <v>No</v>
      </c>
      <c r="T104" s="275">
        <v>1.0024999999999999</v>
      </c>
      <c r="U104" s="250">
        <f t="shared" si="547"/>
        <v>0.5</v>
      </c>
      <c r="V104" s="250">
        <f t="shared" si="548"/>
        <v>0.72499999999999998</v>
      </c>
      <c r="W104" s="251">
        <f t="shared" si="385"/>
        <v>3314311</v>
      </c>
      <c r="X104" s="246" t="s">
        <v>246</v>
      </c>
      <c r="Y104" s="252" t="s">
        <v>483</v>
      </c>
      <c r="Z104" s="252" t="s">
        <v>484</v>
      </c>
      <c r="AA104" s="253" t="s">
        <v>407</v>
      </c>
      <c r="AB104" s="253" t="s">
        <v>713</v>
      </c>
      <c r="AC104" s="254">
        <v>1.6782922180620572</v>
      </c>
      <c r="AD104" s="254">
        <v>1.9064202772569254</v>
      </c>
      <c r="AE104" s="254">
        <v>2.1060024589714801</v>
      </c>
      <c r="AF104" s="254">
        <v>0.33379999999999999</v>
      </c>
      <c r="AG104" s="256">
        <v>4.4155941187988308</v>
      </c>
      <c r="AH104" s="256">
        <v>4.4155941187988308</v>
      </c>
      <c r="AI104" s="256">
        <v>3.5530081628539758</v>
      </c>
      <c r="AJ104" s="256">
        <v>3.5530081628539758</v>
      </c>
      <c r="AK104" s="257">
        <v>17619373.046262648</v>
      </c>
      <c r="AL104" s="257">
        <v>19846000</v>
      </c>
      <c r="AM104" s="258">
        <v>45838</v>
      </c>
      <c r="AN104" s="245" t="str">
        <f t="shared" si="549"/>
        <v>Tier 2</v>
      </c>
      <c r="AO104" s="243">
        <v>47046</v>
      </c>
      <c r="AP104" s="259">
        <f>IF(C104="","",DAYS360(Inputs!$J$8,AO104)/360)</f>
        <v>3.1555555555555554</v>
      </c>
      <c r="AQ104" s="259">
        <f t="shared" si="550"/>
        <v>3.1555555555555554</v>
      </c>
      <c r="AR104" s="246" t="s">
        <v>246</v>
      </c>
      <c r="AS104" s="276">
        <v>0</v>
      </c>
      <c r="AT104" s="246" t="s">
        <v>64</v>
      </c>
      <c r="AU104" s="248">
        <v>0.01</v>
      </c>
      <c r="AV104" s="248">
        <v>6.25E-2</v>
      </c>
      <c r="AW104" s="248">
        <v>4.2999999999999997E-2</v>
      </c>
      <c r="AX104" s="260">
        <f t="shared" si="551"/>
        <v>4.2999999999999997E-2</v>
      </c>
      <c r="AY104" s="248">
        <v>0</v>
      </c>
      <c r="AZ104" s="248">
        <v>0</v>
      </c>
      <c r="BA104" s="248">
        <v>0</v>
      </c>
      <c r="BB104" s="407">
        <f t="shared" si="536"/>
        <v>6.25E-2</v>
      </c>
      <c r="BC104" s="407" t="str">
        <f t="shared" si="537"/>
        <v/>
      </c>
      <c r="BD104" s="252" t="s">
        <v>247</v>
      </c>
      <c r="BE104" s="261" t="s">
        <v>408</v>
      </c>
      <c r="BF104" s="252" t="s">
        <v>7</v>
      </c>
      <c r="BG104" s="252" t="s">
        <v>460</v>
      </c>
      <c r="BH104" s="246" t="s">
        <v>246</v>
      </c>
      <c r="BI104" s="408" t="str">
        <f t="shared" si="534"/>
        <v>No</v>
      </c>
      <c r="BJ104" s="408" t="str">
        <f t="shared" si="538"/>
        <v>No</v>
      </c>
      <c r="BK104" s="246" t="s">
        <v>246</v>
      </c>
      <c r="BL104" s="246" t="s">
        <v>246</v>
      </c>
      <c r="BM104" s="246" t="s">
        <v>64</v>
      </c>
      <c r="BN104" s="246" t="s">
        <v>64</v>
      </c>
      <c r="BO104" s="246" t="s">
        <v>246</v>
      </c>
      <c r="BP104" s="246" t="s">
        <v>246</v>
      </c>
      <c r="BQ104" s="246" t="s">
        <v>246</v>
      </c>
      <c r="BR104" s="246" t="s">
        <v>246</v>
      </c>
      <c r="BS104" s="246" t="s">
        <v>246</v>
      </c>
      <c r="BT104" s="246" t="s">
        <v>246</v>
      </c>
      <c r="BU104" s="246" t="s">
        <v>246</v>
      </c>
      <c r="BV104" s="246" t="s">
        <v>246</v>
      </c>
      <c r="BW104" s="246" t="s">
        <v>246</v>
      </c>
      <c r="BX104" s="246" t="s">
        <v>246</v>
      </c>
      <c r="BY104" s="246" t="s">
        <v>246</v>
      </c>
      <c r="BZ104" s="246" t="s">
        <v>246</v>
      </c>
      <c r="CA104" s="246" t="s">
        <v>246</v>
      </c>
      <c r="CB104" s="246" t="s">
        <v>64</v>
      </c>
      <c r="CC104" s="262">
        <f t="shared" si="552"/>
        <v>206407.33473359997</v>
      </c>
      <c r="CD104" s="262">
        <f t="shared" si="553"/>
        <v>0</v>
      </c>
      <c r="CE104" s="263"/>
      <c r="CF104" s="263">
        <f t="shared" si="403"/>
        <v>0</v>
      </c>
      <c r="CG104" s="263">
        <f t="shared" si="404"/>
        <v>0</v>
      </c>
      <c r="CH104" s="263">
        <f t="shared" si="405"/>
        <v>0</v>
      </c>
      <c r="CI104" s="263">
        <f t="shared" si="406"/>
        <v>0</v>
      </c>
      <c r="CJ104" s="263">
        <f t="shared" si="407"/>
        <v>0</v>
      </c>
      <c r="CK104" s="263">
        <f t="shared" si="408"/>
        <v>0</v>
      </c>
      <c r="CL104" s="263">
        <f t="shared" si="409"/>
        <v>0</v>
      </c>
      <c r="CM104" s="263">
        <f t="shared" si="410"/>
        <v>0</v>
      </c>
      <c r="CN104" s="263">
        <f t="shared" si="411"/>
        <v>0</v>
      </c>
      <c r="CO104" s="263">
        <f t="shared" si="412"/>
        <v>0</v>
      </c>
      <c r="CP104" s="263">
        <f t="shared" si="413"/>
        <v>0</v>
      </c>
      <c r="CQ104" s="263">
        <f t="shared" si="414"/>
        <v>0</v>
      </c>
      <c r="CR104" s="263">
        <f t="shared" si="415"/>
        <v>0</v>
      </c>
      <c r="CS104" s="263">
        <f t="shared" si="416"/>
        <v>0</v>
      </c>
      <c r="CT104" s="263">
        <f t="shared" si="417"/>
        <v>0</v>
      </c>
      <c r="CU104" s="263">
        <f t="shared" si="418"/>
        <v>0</v>
      </c>
      <c r="CV104" s="263">
        <f t="shared" si="419"/>
        <v>0</v>
      </c>
      <c r="CW104" s="263">
        <f t="shared" si="420"/>
        <v>0</v>
      </c>
      <c r="CX104" s="263">
        <f t="shared" si="421"/>
        <v>0</v>
      </c>
      <c r="CY104" s="263">
        <f t="shared" si="422"/>
        <v>0</v>
      </c>
      <c r="CZ104" s="263">
        <f t="shared" si="423"/>
        <v>0</v>
      </c>
      <c r="DA104" s="263">
        <f t="shared" si="424"/>
        <v>0</v>
      </c>
      <c r="DB104" s="263">
        <f t="shared" si="425"/>
        <v>0</v>
      </c>
      <c r="DC104" s="263">
        <f t="shared" si="426"/>
        <v>0</v>
      </c>
      <c r="DD104" s="263">
        <f t="shared" si="427"/>
        <v>0</v>
      </c>
      <c r="DE104" s="263">
        <f t="shared" si="428"/>
        <v>0</v>
      </c>
      <c r="DF104" s="263">
        <f t="shared" si="429"/>
        <v>3314311</v>
      </c>
      <c r="DG104" s="263">
        <f t="shared" si="430"/>
        <v>0</v>
      </c>
      <c r="DH104" s="263">
        <f t="shared" si="431"/>
        <v>3314311</v>
      </c>
      <c r="DI104" s="263">
        <f t="shared" si="432"/>
        <v>3314311</v>
      </c>
      <c r="DJ104" s="263">
        <f t="shared" si="433"/>
        <v>0</v>
      </c>
      <c r="DK104" s="263">
        <f t="shared" si="434"/>
        <v>0</v>
      </c>
      <c r="DL104" s="263">
        <f t="shared" si="435"/>
        <v>0</v>
      </c>
      <c r="DM104" s="263">
        <f t="shared" si="436"/>
        <v>0</v>
      </c>
      <c r="DO104" s="264">
        <f t="shared" si="437"/>
        <v>0</v>
      </c>
      <c r="DP104" s="265">
        <f t="shared" si="438"/>
        <v>0</v>
      </c>
      <c r="DQ104" s="264">
        <f t="shared" si="439"/>
        <v>3314311</v>
      </c>
      <c r="DR104" s="264">
        <f t="shared" si="440"/>
        <v>0</v>
      </c>
      <c r="DS104" s="265">
        <f t="shared" si="441"/>
        <v>0</v>
      </c>
      <c r="DT104" s="264">
        <f t="shared" si="442"/>
        <v>3314311</v>
      </c>
      <c r="DU104" s="264">
        <f t="shared" si="443"/>
        <v>0</v>
      </c>
      <c r="DV104" s="265">
        <f t="shared" si="444"/>
        <v>0</v>
      </c>
      <c r="DW104" s="264">
        <f t="shared" si="445"/>
        <v>3314311</v>
      </c>
      <c r="DX104" s="264">
        <f t="shared" si="446"/>
        <v>0</v>
      </c>
      <c r="DY104" s="265">
        <f t="shared" si="447"/>
        <v>0</v>
      </c>
      <c r="DZ104" s="264">
        <f t="shared" si="448"/>
        <v>3314311</v>
      </c>
      <c r="EA104" s="264">
        <f t="shared" si="449"/>
        <v>0</v>
      </c>
      <c r="EB104" s="265">
        <f t="shared" si="450"/>
        <v>0</v>
      </c>
      <c r="EC104" s="264">
        <f t="shared" si="451"/>
        <v>3314311</v>
      </c>
      <c r="ED104" s="264">
        <f t="shared" si="452"/>
        <v>0</v>
      </c>
      <c r="EE104" s="265">
        <f t="shared" si="453"/>
        <v>0</v>
      </c>
      <c r="EF104" s="264">
        <f t="shared" si="454"/>
        <v>3314311</v>
      </c>
      <c r="EG104" s="264">
        <f t="shared" si="455"/>
        <v>0</v>
      </c>
      <c r="EH104" s="265">
        <f t="shared" si="456"/>
        <v>0</v>
      </c>
      <c r="EI104" s="264">
        <f t="shared" si="457"/>
        <v>3314311</v>
      </c>
      <c r="EJ104" s="264">
        <f t="shared" si="458"/>
        <v>0</v>
      </c>
      <c r="EK104" s="265">
        <f t="shared" si="459"/>
        <v>0</v>
      </c>
      <c r="EL104" s="264">
        <f t="shared" si="460"/>
        <v>3314311</v>
      </c>
      <c r="EM104" s="264">
        <f t="shared" si="461"/>
        <v>0</v>
      </c>
      <c r="EN104" s="265">
        <f t="shared" si="462"/>
        <v>0</v>
      </c>
      <c r="EO104" s="264">
        <f t="shared" si="463"/>
        <v>3314311</v>
      </c>
      <c r="EP104" s="264">
        <f t="shared" si="464"/>
        <v>0</v>
      </c>
      <c r="EQ104" s="265">
        <f t="shared" si="465"/>
        <v>0</v>
      </c>
      <c r="ER104" s="264">
        <f t="shared" si="466"/>
        <v>3314311</v>
      </c>
      <c r="ES104" s="264">
        <f t="shared" si="467"/>
        <v>0</v>
      </c>
      <c r="ET104" s="265">
        <f t="shared" si="468"/>
        <v>0</v>
      </c>
      <c r="EU104" s="264">
        <f t="shared" si="469"/>
        <v>3314311</v>
      </c>
      <c r="EV104" s="264">
        <f>IF(AND(BM104="Yes",OR(BN104="No",AND(BN104="Yes",Inputs!$J$8=Inputs!$J$17+75))),EU104,0)</f>
        <v>0</v>
      </c>
      <c r="EW104" s="265">
        <f t="shared" si="470"/>
        <v>0</v>
      </c>
      <c r="EX104" s="264">
        <f t="shared" si="471"/>
        <v>3314311</v>
      </c>
      <c r="EY104" s="264">
        <f t="shared" si="472"/>
        <v>0</v>
      </c>
      <c r="EZ104" s="265">
        <f t="shared" si="473"/>
        <v>0</v>
      </c>
      <c r="FA104" s="264">
        <f t="shared" si="474"/>
        <v>3314311</v>
      </c>
      <c r="FB104" s="264">
        <f t="shared" si="475"/>
        <v>0</v>
      </c>
      <c r="FC104" s="265">
        <f t="shared" si="476"/>
        <v>0</v>
      </c>
      <c r="FD104" s="264">
        <f t="shared" si="477"/>
        <v>3314311</v>
      </c>
      <c r="FE104" s="264">
        <f t="shared" si="478"/>
        <v>0</v>
      </c>
      <c r="FF104" s="265">
        <f t="shared" si="479"/>
        <v>0</v>
      </c>
      <c r="FG104" s="264">
        <f t="shared" si="480"/>
        <v>3314311</v>
      </c>
      <c r="FH104" s="264">
        <f t="shared" si="481"/>
        <v>3314311</v>
      </c>
      <c r="FI104" s="264">
        <f t="shared" si="482"/>
        <v>0</v>
      </c>
      <c r="FJ104" s="264">
        <f t="shared" si="483"/>
        <v>3314311</v>
      </c>
      <c r="FK104" s="264">
        <f t="shared" si="484"/>
        <v>3314311</v>
      </c>
      <c r="FL104" s="264">
        <f t="shared" si="485"/>
        <v>0</v>
      </c>
      <c r="FM104" s="264">
        <f t="shared" si="486"/>
        <v>3314311</v>
      </c>
      <c r="FN104" s="264">
        <f t="shared" si="487"/>
        <v>3314311</v>
      </c>
      <c r="FO104" s="264">
        <f t="shared" si="488"/>
        <v>0</v>
      </c>
      <c r="FP104" s="264">
        <f t="shared" si="489"/>
        <v>3314311</v>
      </c>
      <c r="FQ104" s="264">
        <f t="shared" si="490"/>
        <v>0</v>
      </c>
      <c r="FR104" s="265">
        <f t="shared" si="491"/>
        <v>0</v>
      </c>
      <c r="FS104" s="264">
        <f t="shared" si="492"/>
        <v>3314311</v>
      </c>
      <c r="FT104" s="264">
        <f t="shared" si="493"/>
        <v>0</v>
      </c>
      <c r="FU104" s="265">
        <f t="shared" si="494"/>
        <v>0</v>
      </c>
      <c r="FV104" s="264">
        <f t="shared" si="495"/>
        <v>3314311</v>
      </c>
      <c r="FW104" s="264">
        <f t="shared" si="496"/>
        <v>0</v>
      </c>
      <c r="FX104" s="264">
        <f t="shared" si="497"/>
        <v>0</v>
      </c>
      <c r="FY104" s="264">
        <f t="shared" si="498"/>
        <v>0</v>
      </c>
      <c r="FZ104" s="264">
        <f t="shared" si="499"/>
        <v>0</v>
      </c>
      <c r="GA104" s="265">
        <f t="shared" si="500"/>
        <v>0</v>
      </c>
      <c r="GB104" s="264">
        <f t="shared" si="501"/>
        <v>3314311</v>
      </c>
      <c r="GC104" s="264">
        <f t="shared" si="502"/>
        <v>3314311</v>
      </c>
      <c r="GD104" s="266">
        <f t="shared" si="503"/>
        <v>2402875.4750000001</v>
      </c>
      <c r="GE104" s="138">
        <f t="shared" si="504"/>
        <v>0.72499999999999998</v>
      </c>
      <c r="GF104" s="267">
        <f t="shared" si="505"/>
        <v>31</v>
      </c>
      <c r="GG104" s="264">
        <f t="array" ref="GG104">IF(SUM(IF(IC$9:IC103=IC104,1,0))&gt;0,0,SUMIF($IC$10:$IC$406,IC104,$FJ$10:$FJ$406))</f>
        <v>0</v>
      </c>
      <c r="GH104" s="268">
        <f t="shared" si="506"/>
        <v>0</v>
      </c>
      <c r="GI104" s="137">
        <f t="shared" si="126"/>
        <v>95</v>
      </c>
      <c r="GJ104" s="269">
        <f t="shared" si="507"/>
        <v>0</v>
      </c>
      <c r="GK104" s="269">
        <f t="shared" si="508"/>
        <v>0</v>
      </c>
      <c r="GL104" s="163">
        <f t="shared" si="509"/>
        <v>0</v>
      </c>
      <c r="GM104" s="137">
        <f t="array" ref="GM104">IF(GJ104=0,0,LARGE(IF($GG$10:$GG$406=GJ104,$GF$10:$GF$406,0),COUNTIF($GJ$10:$GJ$406,GJ104)-COUNTIF(GJ$9:GJ103,GJ104)))</f>
        <v>0</v>
      </c>
      <c r="GN104" s="270">
        <f t="shared" si="510"/>
        <v>0</v>
      </c>
      <c r="GP104" s="137">
        <f>IF(C104="","",IF(ISERROR(MATCH(C104,C$10:C103,0)),MAX(GP$10:GP103)+1,INDEX(GP$10:GP103,MATCH(C104,C$10:C103,0))))</f>
        <v>75</v>
      </c>
      <c r="GQ104" s="264">
        <f>IF(COUNTIF($A$10:A104,A104)&lt;=1,SUMIF($A$10:$A$406,A104,$FH$10:$FH$406),0)</f>
        <v>3314311</v>
      </c>
      <c r="GR104" s="137">
        <f t="shared" si="130"/>
        <v>95</v>
      </c>
      <c r="GS104" s="269">
        <f t="shared" si="554"/>
        <v>1835064.8063999999</v>
      </c>
      <c r="GT104" s="269">
        <f t="shared" si="555"/>
        <v>50964284.172430128</v>
      </c>
      <c r="GU104" s="163">
        <f t="shared" si="556"/>
        <v>0</v>
      </c>
      <c r="GV104" s="137">
        <f t="array" ref="GV104">IF(GS104=0,0,LARGE(IF($GQ$10:$GQ$406=GS104,$GP$10:$GP$406,0),COUNTIF($GS$10:$GS$406,GS104)-COUNTIF(GS$9:GS103,GS104)))</f>
        <v>69</v>
      </c>
      <c r="GW104" s="270">
        <f t="shared" si="557"/>
        <v>0</v>
      </c>
      <c r="GX104" s="270"/>
      <c r="GY104" s="137">
        <f>IF(C104="","",IF(ISERROR(MATCH(C104,C$10:C103,0)),MAX(GP$10:GP103)+1,INDEX(GP$10:GP103,MATCH(C104,C$10:C103,0))))</f>
        <v>75</v>
      </c>
      <c r="GZ104" s="264">
        <f>IF(COUNTIF($A$10:A104,A104)&lt;=1,SUMIF($A$10:$A$406,A104,$FH$10:$FH$406),0)</f>
        <v>3314311</v>
      </c>
      <c r="HA104" s="137">
        <f t="shared" si="134"/>
        <v>95</v>
      </c>
      <c r="HB104" s="269">
        <f t="shared" si="515"/>
        <v>1835064.8063999999</v>
      </c>
      <c r="HC104" s="414" t="s">
        <v>622</v>
      </c>
      <c r="HD104" s="163">
        <f t="shared" si="516"/>
        <v>0</v>
      </c>
      <c r="HE104" s="137">
        <f t="array" ref="HE104">IF(HB104=0,0,LARGE(IF($GZ$10:$GZ$406=HB104,$GY$10:$GY$406,0),COUNTIF($HB$10:$HB$406,HB104)-COUNTIF(HB$9:HB103,HB104)))</f>
        <v>69</v>
      </c>
      <c r="HF104" s="270">
        <f t="shared" si="517"/>
        <v>0</v>
      </c>
      <c r="HG104" s="270"/>
      <c r="HH104" s="268">
        <f t="shared" si="518"/>
        <v>0</v>
      </c>
      <c r="HI104" s="271">
        <v>0</v>
      </c>
      <c r="HJ104" s="264">
        <f t="shared" si="519"/>
        <v>0</v>
      </c>
      <c r="HL104" s="137">
        <f t="shared" si="520"/>
        <v>95</v>
      </c>
      <c r="HM104" s="264">
        <f t="shared" si="521"/>
        <v>2216250</v>
      </c>
      <c r="HN104"/>
      <c r="HO104" s="199">
        <f t="shared" si="522"/>
        <v>3314311</v>
      </c>
      <c r="HP104" s="199">
        <f t="shared" si="523"/>
        <v>3314311</v>
      </c>
      <c r="HQ104" s="199" t="str">
        <f t="shared" si="524"/>
        <v/>
      </c>
      <c r="HR104" s="199" t="str">
        <f t="shared" si="525"/>
        <v/>
      </c>
      <c r="HS104" s="199" t="str">
        <f t="shared" si="539"/>
        <v/>
      </c>
      <c r="HT104" s="199" t="str">
        <f t="shared" si="526"/>
        <v/>
      </c>
      <c r="HU104" s="199" t="str">
        <f t="shared" si="527"/>
        <v/>
      </c>
      <c r="HV104" s="200">
        <f t="shared" si="528"/>
        <v>0</v>
      </c>
      <c r="HW104" s="272">
        <f t="shared" si="540"/>
        <v>1</v>
      </c>
      <c r="HX104" s="200" t="str">
        <f t="shared" si="529"/>
        <v/>
      </c>
      <c r="HY104" s="200">
        <f t="shared" si="530"/>
        <v>0</v>
      </c>
      <c r="HZ104" s="200" t="str">
        <f t="shared" si="535"/>
        <v/>
      </c>
      <c r="IA104" s="200" t="str">
        <f t="shared" si="531"/>
        <v/>
      </c>
      <c r="IB104" s="200" t="str">
        <f t="shared" si="532"/>
        <v/>
      </c>
      <c r="IC104" s="273">
        <f>IF(C104="","",INDEX(Lookups!$E$2:$E$69,MATCH('Loan List'!BE104,Lookups!$F$2:$F$69,0)))</f>
        <v>31</v>
      </c>
      <c r="ID104" t="b">
        <f t="shared" si="533"/>
        <v>1</v>
      </c>
      <c r="IF104" s="346"/>
    </row>
    <row r="105" spans="1:240" ht="15" customHeight="1">
      <c r="A105" t="s">
        <v>769</v>
      </c>
      <c r="B105" s="242">
        <f t="shared" si="541"/>
        <v>96</v>
      </c>
      <c r="C105" s="242">
        <f>IF(COUNTIF($A$10:A104,A105)&gt;0,C104,C104+1)</f>
        <v>76</v>
      </c>
      <c r="D105" s="431" t="s">
        <v>769</v>
      </c>
      <c r="E105" s="428" t="s">
        <v>836</v>
      </c>
      <c r="F105" s="429"/>
      <c r="G105" s="430">
        <v>2962500</v>
      </c>
      <c r="H105" s="430">
        <v>2962500</v>
      </c>
      <c r="I105" s="244">
        <f>IF(B105="","",VLOOKUP(BF105,Inputs!$A$12:$J$15,10,FALSE))</f>
        <v>1</v>
      </c>
      <c r="J105" s="245">
        <f t="shared" si="542"/>
        <v>2962500</v>
      </c>
      <c r="K105" s="245">
        <f t="shared" si="543"/>
        <v>2962500</v>
      </c>
      <c r="L105" s="245">
        <f t="shared" si="544"/>
        <v>2962500</v>
      </c>
      <c r="M105" s="245">
        <f t="shared" si="545"/>
        <v>2962500</v>
      </c>
      <c r="N105" s="246" t="s">
        <v>246</v>
      </c>
      <c r="O105" s="246" t="s">
        <v>245</v>
      </c>
      <c r="P105" s="247">
        <f>IF(B105="","",IF(OR(O105="N/A",O105=""),0,YEARFRAC('Borrowing Base'!$J$4,'Loan List'!O105)*12))</f>
        <v>0</v>
      </c>
      <c r="Q105" s="246" t="s">
        <v>246</v>
      </c>
      <c r="R105" s="275">
        <v>0.92300000000000004</v>
      </c>
      <c r="S105" s="249" t="str">
        <f t="shared" si="546"/>
        <v>Yes</v>
      </c>
      <c r="T105" s="275">
        <v>0.92299999999999993</v>
      </c>
      <c r="U105" s="250">
        <f t="shared" si="547"/>
        <v>0.5</v>
      </c>
      <c r="V105" s="250">
        <f t="shared" si="548"/>
        <v>0.72499999999999998</v>
      </c>
      <c r="W105" s="251">
        <f t="shared" si="385"/>
        <v>1481250</v>
      </c>
      <c r="X105" s="246" t="s">
        <v>246</v>
      </c>
      <c r="Y105" s="252" t="s">
        <v>483</v>
      </c>
      <c r="Z105" s="252" t="s">
        <v>484</v>
      </c>
      <c r="AA105" s="253" t="s">
        <v>407</v>
      </c>
      <c r="AB105" s="253" t="s">
        <v>713</v>
      </c>
      <c r="AC105" s="254">
        <v>1.221244635193133</v>
      </c>
      <c r="AD105" s="254">
        <v>1.1019043342911878</v>
      </c>
      <c r="AE105" s="254">
        <v>1.3672242550967066</v>
      </c>
      <c r="AF105" s="254">
        <v>0.45415640854145006</v>
      </c>
      <c r="AG105" s="256">
        <v>4.8953569991214207</v>
      </c>
      <c r="AH105" s="256">
        <v>4.8953569991214207</v>
      </c>
      <c r="AI105" s="256">
        <v>6.6734372012999428</v>
      </c>
      <c r="AJ105" s="256">
        <v>6.6734372012999428</v>
      </c>
      <c r="AK105" s="257">
        <v>28455000</v>
      </c>
      <c r="AL105" s="257">
        <v>20924000</v>
      </c>
      <c r="AM105" s="258">
        <v>45808</v>
      </c>
      <c r="AN105" s="245" t="str">
        <f t="shared" si="549"/>
        <v>Tier 2</v>
      </c>
      <c r="AO105" s="243">
        <v>47543</v>
      </c>
      <c r="AP105" s="259">
        <f>IF(C105="","",DAYS360(Inputs!$J$8,AO105)/360)</f>
        <v>4.5194444444444448</v>
      </c>
      <c r="AQ105" s="259">
        <f t="shared" si="550"/>
        <v>4.5194444444444448</v>
      </c>
      <c r="AR105" s="246" t="s">
        <v>246</v>
      </c>
      <c r="AS105" s="276">
        <v>0</v>
      </c>
      <c r="AT105" s="246" t="s">
        <v>64</v>
      </c>
      <c r="AU105" s="248">
        <v>0.01</v>
      </c>
      <c r="AV105" s="248">
        <v>5.5E-2</v>
      </c>
      <c r="AW105" s="248">
        <v>4.2999999999999997E-2</v>
      </c>
      <c r="AX105" s="260">
        <f t="shared" si="551"/>
        <v>4.2999999999999997E-2</v>
      </c>
      <c r="AY105" s="248">
        <v>0</v>
      </c>
      <c r="AZ105" s="248">
        <v>0</v>
      </c>
      <c r="BA105" s="248">
        <v>0</v>
      </c>
      <c r="BB105" s="407">
        <f t="shared" si="536"/>
        <v>5.5E-2</v>
      </c>
      <c r="BC105" s="407" t="str">
        <f t="shared" si="537"/>
        <v/>
      </c>
      <c r="BD105" s="252" t="s">
        <v>247</v>
      </c>
      <c r="BE105" s="261" t="s">
        <v>391</v>
      </c>
      <c r="BF105" s="252" t="s">
        <v>7</v>
      </c>
      <c r="BG105" s="252" t="s">
        <v>460</v>
      </c>
      <c r="BH105" s="246" t="s">
        <v>246</v>
      </c>
      <c r="BI105" s="408" t="str">
        <f t="shared" si="534"/>
        <v>No</v>
      </c>
      <c r="BJ105" s="408" t="str">
        <f t="shared" si="538"/>
        <v>No</v>
      </c>
      <c r="BK105" s="246" t="s">
        <v>246</v>
      </c>
      <c r="BL105" s="246" t="s">
        <v>246</v>
      </c>
      <c r="BM105" s="246" t="s">
        <v>64</v>
      </c>
      <c r="BN105" s="246" t="s">
        <v>64</v>
      </c>
      <c r="BO105" s="246" t="s">
        <v>246</v>
      </c>
      <c r="BP105" s="246" t="s">
        <v>246</v>
      </c>
      <c r="BQ105" s="246" t="s">
        <v>246</v>
      </c>
      <c r="BR105" s="246" t="s">
        <v>246</v>
      </c>
      <c r="BS105" s="246" t="s">
        <v>246</v>
      </c>
      <c r="BT105" s="246" t="s">
        <v>246</v>
      </c>
      <c r="BU105" s="246" t="s">
        <v>246</v>
      </c>
      <c r="BV105" s="246" t="s">
        <v>246</v>
      </c>
      <c r="BW105" s="246" t="s">
        <v>246</v>
      </c>
      <c r="BX105" s="246" t="s">
        <v>246</v>
      </c>
      <c r="BY105" s="246" t="s">
        <v>246</v>
      </c>
      <c r="BZ105" s="246" t="s">
        <v>246</v>
      </c>
      <c r="CA105" s="246" t="s">
        <v>246</v>
      </c>
      <c r="CB105" s="246" t="s">
        <v>64</v>
      </c>
      <c r="CC105" s="262">
        <f t="shared" si="552"/>
        <v>162278.64000000001</v>
      </c>
      <c r="CD105" s="262">
        <f t="shared" si="553"/>
        <v>0</v>
      </c>
      <c r="CE105" s="263"/>
      <c r="CF105" s="263">
        <f t="shared" si="403"/>
        <v>0</v>
      </c>
      <c r="CG105" s="263">
        <f t="shared" si="404"/>
        <v>0</v>
      </c>
      <c r="CH105" s="263">
        <f t="shared" si="405"/>
        <v>0</v>
      </c>
      <c r="CI105" s="263">
        <f t="shared" si="406"/>
        <v>0</v>
      </c>
      <c r="CJ105" s="263">
        <f t="shared" si="407"/>
        <v>0</v>
      </c>
      <c r="CK105" s="263">
        <f t="shared" si="408"/>
        <v>0</v>
      </c>
      <c r="CL105" s="263">
        <f t="shared" si="409"/>
        <v>0</v>
      </c>
      <c r="CM105" s="263">
        <f t="shared" si="410"/>
        <v>0</v>
      </c>
      <c r="CN105" s="263">
        <f t="shared" si="411"/>
        <v>0</v>
      </c>
      <c r="CO105" s="263">
        <f t="shared" si="412"/>
        <v>0</v>
      </c>
      <c r="CP105" s="263">
        <f t="shared" si="413"/>
        <v>0</v>
      </c>
      <c r="CQ105" s="263">
        <f t="shared" si="414"/>
        <v>0</v>
      </c>
      <c r="CR105" s="263">
        <f t="shared" si="415"/>
        <v>0</v>
      </c>
      <c r="CS105" s="263">
        <f t="shared" si="416"/>
        <v>0</v>
      </c>
      <c r="CT105" s="263">
        <f t="shared" si="417"/>
        <v>0</v>
      </c>
      <c r="CU105" s="263">
        <f t="shared" si="418"/>
        <v>0</v>
      </c>
      <c r="CV105" s="263">
        <f t="shared" si="419"/>
        <v>0</v>
      </c>
      <c r="CW105" s="263">
        <f t="shared" si="420"/>
        <v>0</v>
      </c>
      <c r="CX105" s="263">
        <f t="shared" si="421"/>
        <v>0</v>
      </c>
      <c r="CY105" s="263">
        <f t="shared" si="422"/>
        <v>0</v>
      </c>
      <c r="CZ105" s="263">
        <f t="shared" si="423"/>
        <v>0</v>
      </c>
      <c r="DA105" s="263">
        <f t="shared" si="424"/>
        <v>0</v>
      </c>
      <c r="DB105" s="263">
        <f t="shared" si="425"/>
        <v>0</v>
      </c>
      <c r="DC105" s="263">
        <f t="shared" si="426"/>
        <v>0</v>
      </c>
      <c r="DD105" s="263">
        <f t="shared" si="427"/>
        <v>1</v>
      </c>
      <c r="DE105" s="263">
        <f t="shared" si="428"/>
        <v>0</v>
      </c>
      <c r="DF105" s="263">
        <f t="shared" si="429"/>
        <v>1481250</v>
      </c>
      <c r="DG105" s="263">
        <f t="shared" si="430"/>
        <v>0</v>
      </c>
      <c r="DH105" s="263">
        <f t="shared" si="431"/>
        <v>1481250</v>
      </c>
      <c r="DI105" s="263">
        <f t="shared" si="432"/>
        <v>2962500</v>
      </c>
      <c r="DJ105" s="263">
        <f t="shared" si="433"/>
        <v>0</v>
      </c>
      <c r="DK105" s="263">
        <f t="shared" si="434"/>
        <v>0</v>
      </c>
      <c r="DL105" s="263">
        <f t="shared" si="435"/>
        <v>0</v>
      </c>
      <c r="DM105" s="263">
        <f t="shared" si="436"/>
        <v>0</v>
      </c>
      <c r="DO105" s="264">
        <f t="shared" si="437"/>
        <v>0</v>
      </c>
      <c r="DP105" s="265">
        <f t="shared" si="438"/>
        <v>0</v>
      </c>
      <c r="DQ105" s="264">
        <f t="shared" si="439"/>
        <v>1481250</v>
      </c>
      <c r="DR105" s="264">
        <f t="shared" si="440"/>
        <v>0</v>
      </c>
      <c r="DS105" s="265">
        <f t="shared" si="441"/>
        <v>0</v>
      </c>
      <c r="DT105" s="264">
        <f t="shared" si="442"/>
        <v>1481250</v>
      </c>
      <c r="DU105" s="264">
        <f t="shared" si="443"/>
        <v>0</v>
      </c>
      <c r="DV105" s="265">
        <f t="shared" si="444"/>
        <v>0</v>
      </c>
      <c r="DW105" s="264">
        <f t="shared" si="445"/>
        <v>1481250</v>
      </c>
      <c r="DX105" s="264">
        <f t="shared" si="446"/>
        <v>0</v>
      </c>
      <c r="DY105" s="265">
        <f t="shared" si="447"/>
        <v>0</v>
      </c>
      <c r="DZ105" s="264">
        <f t="shared" si="448"/>
        <v>1481250</v>
      </c>
      <c r="EA105" s="264">
        <f t="shared" si="449"/>
        <v>0</v>
      </c>
      <c r="EB105" s="265">
        <f t="shared" si="450"/>
        <v>0</v>
      </c>
      <c r="EC105" s="264">
        <f t="shared" si="451"/>
        <v>1481250</v>
      </c>
      <c r="ED105" s="264">
        <f t="shared" si="452"/>
        <v>0</v>
      </c>
      <c r="EE105" s="265">
        <f t="shared" si="453"/>
        <v>0</v>
      </c>
      <c r="EF105" s="264">
        <f t="shared" si="454"/>
        <v>1481250</v>
      </c>
      <c r="EG105" s="264">
        <f t="shared" si="455"/>
        <v>1481250</v>
      </c>
      <c r="EH105" s="265">
        <f t="shared" si="456"/>
        <v>0</v>
      </c>
      <c r="EI105" s="264">
        <f t="shared" si="457"/>
        <v>1481250</v>
      </c>
      <c r="EJ105" s="264">
        <f t="shared" si="458"/>
        <v>0</v>
      </c>
      <c r="EK105" s="265">
        <f t="shared" si="459"/>
        <v>0</v>
      </c>
      <c r="EL105" s="264">
        <f t="shared" si="460"/>
        <v>1481250</v>
      </c>
      <c r="EM105" s="264">
        <f t="shared" si="461"/>
        <v>0</v>
      </c>
      <c r="EN105" s="265">
        <f t="shared" si="462"/>
        <v>0</v>
      </c>
      <c r="EO105" s="264">
        <f t="shared" si="463"/>
        <v>1481250</v>
      </c>
      <c r="EP105" s="264">
        <f t="shared" si="464"/>
        <v>0</v>
      </c>
      <c r="EQ105" s="265">
        <f t="shared" si="465"/>
        <v>0</v>
      </c>
      <c r="ER105" s="264">
        <f t="shared" si="466"/>
        <v>1481250</v>
      </c>
      <c r="ES105" s="264">
        <f t="shared" si="467"/>
        <v>0</v>
      </c>
      <c r="ET105" s="265">
        <f t="shared" si="468"/>
        <v>0</v>
      </c>
      <c r="EU105" s="264">
        <f t="shared" si="469"/>
        <v>1481250</v>
      </c>
      <c r="EV105" s="264">
        <f>IF(AND(BM105="Yes",OR(BN105="No",AND(BN105="Yes",Inputs!$J$8=Inputs!$J$17+75))),EU105,0)</f>
        <v>0</v>
      </c>
      <c r="EW105" s="265">
        <f t="shared" si="470"/>
        <v>0</v>
      </c>
      <c r="EX105" s="264">
        <f t="shared" si="471"/>
        <v>1481250</v>
      </c>
      <c r="EY105" s="264">
        <f t="shared" si="472"/>
        <v>0</v>
      </c>
      <c r="EZ105" s="265">
        <f t="shared" si="473"/>
        <v>0</v>
      </c>
      <c r="FA105" s="264">
        <f t="shared" si="474"/>
        <v>1481250</v>
      </c>
      <c r="FB105" s="264">
        <f t="shared" si="475"/>
        <v>0</v>
      </c>
      <c r="FC105" s="265">
        <f t="shared" si="476"/>
        <v>0</v>
      </c>
      <c r="FD105" s="264">
        <f t="shared" si="477"/>
        <v>1481250</v>
      </c>
      <c r="FE105" s="264">
        <f t="shared" si="478"/>
        <v>0</v>
      </c>
      <c r="FF105" s="265">
        <f t="shared" si="479"/>
        <v>0</v>
      </c>
      <c r="FG105" s="264">
        <f t="shared" si="480"/>
        <v>1481250</v>
      </c>
      <c r="FH105" s="264">
        <f t="shared" si="481"/>
        <v>1481250</v>
      </c>
      <c r="FI105" s="264">
        <f t="shared" si="482"/>
        <v>0</v>
      </c>
      <c r="FJ105" s="264">
        <f t="shared" si="483"/>
        <v>1481250</v>
      </c>
      <c r="FK105" s="264">
        <f t="shared" si="484"/>
        <v>1481250</v>
      </c>
      <c r="FL105" s="264">
        <f t="shared" si="485"/>
        <v>0</v>
      </c>
      <c r="FM105" s="264">
        <f t="shared" si="486"/>
        <v>1481250</v>
      </c>
      <c r="FN105" s="264">
        <f t="shared" si="487"/>
        <v>1481250</v>
      </c>
      <c r="FO105" s="264">
        <f t="shared" si="488"/>
        <v>0</v>
      </c>
      <c r="FP105" s="264">
        <f t="shared" si="489"/>
        <v>1481250</v>
      </c>
      <c r="FQ105" s="264">
        <f t="shared" si="490"/>
        <v>0</v>
      </c>
      <c r="FR105" s="265">
        <f t="shared" si="491"/>
        <v>0</v>
      </c>
      <c r="FS105" s="264">
        <f t="shared" si="492"/>
        <v>1481250</v>
      </c>
      <c r="FT105" s="264">
        <f t="shared" si="493"/>
        <v>0</v>
      </c>
      <c r="FU105" s="265">
        <f t="shared" si="494"/>
        <v>0</v>
      </c>
      <c r="FV105" s="264">
        <f t="shared" si="495"/>
        <v>1481250</v>
      </c>
      <c r="FW105" s="264">
        <f t="shared" si="496"/>
        <v>0</v>
      </c>
      <c r="FX105" s="264">
        <f t="shared" si="497"/>
        <v>0</v>
      </c>
      <c r="FY105" s="264">
        <f t="shared" si="498"/>
        <v>0</v>
      </c>
      <c r="FZ105" s="264">
        <f t="shared" si="499"/>
        <v>0</v>
      </c>
      <c r="GA105" s="265">
        <f t="shared" si="500"/>
        <v>0</v>
      </c>
      <c r="GB105" s="264">
        <f t="shared" si="501"/>
        <v>1481250</v>
      </c>
      <c r="GC105" s="264">
        <f t="shared" si="502"/>
        <v>1481250</v>
      </c>
      <c r="GD105" s="266">
        <f t="shared" si="503"/>
        <v>1073906.25</v>
      </c>
      <c r="GE105" s="138">
        <f t="shared" si="504"/>
        <v>0.36249999999999999</v>
      </c>
      <c r="GF105" s="267">
        <f t="shared" si="505"/>
        <v>24</v>
      </c>
      <c r="GG105" s="264">
        <f t="array" ref="GG105">IF(SUM(IF(IC$9:IC104=IC105,1,0))&gt;0,0,SUMIF($IC$10:$IC$406,IC105,$FJ$10:$FJ$406))</f>
        <v>0</v>
      </c>
      <c r="GH105" s="268">
        <f t="shared" si="506"/>
        <v>0</v>
      </c>
      <c r="GI105" s="137">
        <f t="shared" si="126"/>
        <v>96</v>
      </c>
      <c r="GJ105" s="269">
        <f t="shared" si="507"/>
        <v>0</v>
      </c>
      <c r="GK105" s="269">
        <f t="shared" si="508"/>
        <v>0</v>
      </c>
      <c r="GL105" s="163">
        <f t="shared" si="509"/>
        <v>0</v>
      </c>
      <c r="GM105" s="137">
        <f t="array" ref="GM105">IF(GJ105=0,0,LARGE(IF($GG$10:$GG$406=GJ105,$GF$10:$GF$406,0),COUNTIF($GJ$10:$GJ$406,GJ105)-COUNTIF(GJ$9:GJ104,GJ105)))</f>
        <v>0</v>
      </c>
      <c r="GN105" s="270">
        <f t="shared" si="510"/>
        <v>0</v>
      </c>
      <c r="GP105" s="137">
        <f>IF(C105="","",IF(ISERROR(MATCH(C105,C$10:C104,0)),MAX(GP$10:GP104)+1,INDEX(GP$10:GP104,MATCH(C105,C$10:C104,0))))</f>
        <v>76</v>
      </c>
      <c r="GQ105" s="264">
        <f>IF(COUNTIF($A$10:A105,A105)&lt;=1,SUMIF($A$10:$A$406,A105,$FH$10:$FH$406),0)</f>
        <v>1481250</v>
      </c>
      <c r="GR105" s="137">
        <f t="shared" si="130"/>
        <v>96</v>
      </c>
      <c r="GS105" s="269">
        <f t="shared" si="554"/>
        <v>1786294.8</v>
      </c>
      <c r="GT105" s="269">
        <f t="shared" si="555"/>
        <v>50964284.172430128</v>
      </c>
      <c r="GU105" s="163">
        <f t="shared" si="556"/>
        <v>0</v>
      </c>
      <c r="GV105" s="137">
        <f t="array" ref="GV105">IF(GS105=0,0,LARGE(IF($GQ$10:$GQ$406=GS105,$GP$10:$GP$406,0),COUNTIF($GS$10:$GS$406,GS105)-COUNTIF(GS$9:GS104,GS105)))</f>
        <v>59</v>
      </c>
      <c r="GW105" s="270">
        <f t="shared" si="557"/>
        <v>0</v>
      </c>
      <c r="GX105" s="270"/>
      <c r="GY105" s="137">
        <f>IF(C105="","",IF(ISERROR(MATCH(C105,C$10:C104,0)),MAX(GP$10:GP104)+1,INDEX(GP$10:GP104,MATCH(C105,C$10:C104,0))))</f>
        <v>76</v>
      </c>
      <c r="GZ105" s="264">
        <f>IF(COUNTIF($A$10:A105,A105)&lt;=1,SUMIF($A$10:$A$406,A105,$FH$10:$FH$406),0)</f>
        <v>1481250</v>
      </c>
      <c r="HA105" s="137">
        <f t="shared" si="134"/>
        <v>96</v>
      </c>
      <c r="HB105" s="269">
        <f t="shared" si="515"/>
        <v>1786294.8</v>
      </c>
      <c r="HC105" s="414" t="s">
        <v>622</v>
      </c>
      <c r="HD105" s="163">
        <f t="shared" si="516"/>
        <v>0</v>
      </c>
      <c r="HE105" s="137">
        <f t="array" ref="HE105">IF(HB105=0,0,LARGE(IF($GZ$10:$GZ$406=HB105,$GY$10:$GY$406,0),COUNTIF($HB$10:$HB$406,HB105)-COUNTIF(HB$9:HB104,HB105)))</f>
        <v>59</v>
      </c>
      <c r="HF105" s="270">
        <f t="shared" si="517"/>
        <v>0</v>
      </c>
      <c r="HG105" s="270"/>
      <c r="HH105" s="268">
        <f t="shared" si="518"/>
        <v>0</v>
      </c>
      <c r="HI105" s="271">
        <v>0</v>
      </c>
      <c r="HJ105" s="264">
        <f t="shared" si="519"/>
        <v>0</v>
      </c>
      <c r="HL105" s="137">
        <f t="shared" si="520"/>
        <v>96</v>
      </c>
      <c r="HM105" s="264">
        <f t="shared" si="521"/>
        <v>2621867</v>
      </c>
      <c r="HN105"/>
      <c r="HO105" s="199">
        <f t="shared" si="522"/>
        <v>1481250</v>
      </c>
      <c r="HP105" s="199">
        <f t="shared" si="523"/>
        <v>2962500</v>
      </c>
      <c r="HQ105" s="199" t="str">
        <f t="shared" si="524"/>
        <v/>
      </c>
      <c r="HR105" s="199">
        <f t="shared" si="525"/>
        <v>2734387.5</v>
      </c>
      <c r="HS105" s="199" t="str">
        <f t="shared" si="539"/>
        <v/>
      </c>
      <c r="HT105" s="199">
        <f t="shared" si="526"/>
        <v>1481250</v>
      </c>
      <c r="HU105" s="199" t="str">
        <f t="shared" si="527"/>
        <v/>
      </c>
      <c r="HV105" s="200">
        <f t="shared" si="528"/>
        <v>0</v>
      </c>
      <c r="HW105" s="272" t="str">
        <f t="shared" si="540"/>
        <v/>
      </c>
      <c r="HX105" s="200">
        <f t="shared" si="529"/>
        <v>0</v>
      </c>
      <c r="HY105" s="200">
        <f t="shared" si="530"/>
        <v>1481250</v>
      </c>
      <c r="HZ105" s="200">
        <f t="shared" si="535"/>
        <v>0</v>
      </c>
      <c r="IA105" s="200">
        <f t="shared" si="531"/>
        <v>0</v>
      </c>
      <c r="IB105" s="200">
        <f t="shared" si="532"/>
        <v>0</v>
      </c>
      <c r="IC105" s="273">
        <f>IF(C105="","",INDEX(Lookups!$E$2:$E$69,MATCH('Loan List'!BE105,Lookups!$F$2:$F$69,0)))</f>
        <v>24</v>
      </c>
      <c r="ID105" t="b">
        <f t="shared" si="533"/>
        <v>1</v>
      </c>
      <c r="IF105" s="346"/>
    </row>
    <row r="106" spans="1:240" ht="15" customHeight="1">
      <c r="A106" t="s">
        <v>770</v>
      </c>
      <c r="B106" s="242">
        <f t="shared" si="541"/>
        <v>97</v>
      </c>
      <c r="C106" s="242">
        <f>IF(COUNTIF($A$10:A105,A106)&gt;0,C105,C105+1)</f>
        <v>77</v>
      </c>
      <c r="D106" s="431" t="s">
        <v>770</v>
      </c>
      <c r="E106" s="428" t="s">
        <v>837</v>
      </c>
      <c r="F106" s="429"/>
      <c r="G106" s="430">
        <v>4361018</v>
      </c>
      <c r="H106" s="430">
        <v>4361018</v>
      </c>
      <c r="I106" s="244">
        <f>IF(B106="","",VLOOKUP(BF106,Inputs!$A$12:$J$15,10,FALSE))</f>
        <v>1</v>
      </c>
      <c r="J106" s="245">
        <f t="shared" si="542"/>
        <v>4361018</v>
      </c>
      <c r="K106" s="245">
        <f t="shared" si="543"/>
        <v>4361018</v>
      </c>
      <c r="L106" s="245">
        <f t="shared" si="544"/>
        <v>4361018</v>
      </c>
      <c r="M106" s="245">
        <f t="shared" si="545"/>
        <v>4361018</v>
      </c>
      <c r="N106" s="246" t="s">
        <v>246</v>
      </c>
      <c r="O106" s="246" t="s">
        <v>245</v>
      </c>
      <c r="P106" s="247">
        <f>IF(B106="","",IF(OR(O106="N/A",O106=""),0,YEARFRAC('Borrowing Base'!$J$4,'Loan List'!O106)*12))</f>
        <v>0</v>
      </c>
      <c r="Q106" s="246" t="s">
        <v>246</v>
      </c>
      <c r="R106" s="275">
        <v>1</v>
      </c>
      <c r="S106" s="249" t="str">
        <f t="shared" si="546"/>
        <v>No</v>
      </c>
      <c r="T106" s="275">
        <v>1</v>
      </c>
      <c r="U106" s="250">
        <f t="shared" si="547"/>
        <v>0.5</v>
      </c>
      <c r="V106" s="250">
        <f t="shared" si="548"/>
        <v>0.72499999999999998</v>
      </c>
      <c r="W106" s="251">
        <f t="shared" si="385"/>
        <v>4361018</v>
      </c>
      <c r="X106" s="246" t="s">
        <v>246</v>
      </c>
      <c r="Y106" s="252" t="s">
        <v>483</v>
      </c>
      <c r="Z106" s="252" t="s">
        <v>484</v>
      </c>
      <c r="AA106" s="253" t="s">
        <v>407</v>
      </c>
      <c r="AB106" s="253" t="s">
        <v>713</v>
      </c>
      <c r="AC106" s="254">
        <v>2.4839648788254838</v>
      </c>
      <c r="AD106" s="254">
        <v>2.5156519178970767</v>
      </c>
      <c r="AE106" s="254">
        <v>3.1116402779864445</v>
      </c>
      <c r="AF106" s="254">
        <v>0.33350158638592442</v>
      </c>
      <c r="AG106" s="256">
        <v>4.2388415360645224</v>
      </c>
      <c r="AH106" s="256">
        <v>4.2388415360645224</v>
      </c>
      <c r="AI106" s="256">
        <v>3.112471909341219</v>
      </c>
      <c r="AJ106" s="256">
        <v>3.112471909341219</v>
      </c>
      <c r="AK106" s="257">
        <v>21822000</v>
      </c>
      <c r="AL106" s="257">
        <v>42706323.100000001</v>
      </c>
      <c r="AM106" s="258">
        <v>45838</v>
      </c>
      <c r="AN106" s="245" t="str">
        <f t="shared" si="549"/>
        <v>Tier 2</v>
      </c>
      <c r="AO106" s="243">
        <v>46661</v>
      </c>
      <c r="AP106" s="259">
        <f>IF(C106="","",DAYS360(Inputs!$J$8,AO106)/360)</f>
        <v>2.1027777777777779</v>
      </c>
      <c r="AQ106" s="259">
        <f t="shared" si="550"/>
        <v>2.1027777777777779</v>
      </c>
      <c r="AR106" s="246" t="s">
        <v>246</v>
      </c>
      <c r="AS106" s="276">
        <v>0</v>
      </c>
      <c r="AT106" s="246" t="s">
        <v>64</v>
      </c>
      <c r="AU106" s="248">
        <v>0.01</v>
      </c>
      <c r="AV106" s="248">
        <v>0.05</v>
      </c>
      <c r="AW106" s="248">
        <v>4.2999999999999997E-2</v>
      </c>
      <c r="AX106" s="260">
        <f t="shared" si="551"/>
        <v>4.2999999999999997E-2</v>
      </c>
      <c r="AY106" s="248">
        <v>0</v>
      </c>
      <c r="AZ106" s="248">
        <v>0</v>
      </c>
      <c r="BA106" s="248">
        <v>0</v>
      </c>
      <c r="BB106" s="407">
        <f t="shared" si="536"/>
        <v>0.05</v>
      </c>
      <c r="BC106" s="407" t="str">
        <f t="shared" si="537"/>
        <v/>
      </c>
      <c r="BD106" s="252" t="s">
        <v>247</v>
      </c>
      <c r="BE106" s="261" t="s">
        <v>375</v>
      </c>
      <c r="BF106" s="252" t="s">
        <v>7</v>
      </c>
      <c r="BG106" s="252" t="s">
        <v>460</v>
      </c>
      <c r="BH106" s="246" t="s">
        <v>246</v>
      </c>
      <c r="BI106" s="408" t="str">
        <f t="shared" si="534"/>
        <v>No</v>
      </c>
      <c r="BJ106" s="408" t="str">
        <f t="shared" si="538"/>
        <v>No</v>
      </c>
      <c r="BK106" s="246" t="s">
        <v>246</v>
      </c>
      <c r="BL106" s="246" t="s">
        <v>246</v>
      </c>
      <c r="BM106" s="246" t="s">
        <v>64</v>
      </c>
      <c r="BN106" s="246" t="s">
        <v>64</v>
      </c>
      <c r="BO106" s="246" t="s">
        <v>246</v>
      </c>
      <c r="BP106" s="246" t="s">
        <v>246</v>
      </c>
      <c r="BQ106" s="246" t="s">
        <v>246</v>
      </c>
      <c r="BR106" s="246" t="s">
        <v>246</v>
      </c>
      <c r="BS106" s="246" t="s">
        <v>246</v>
      </c>
      <c r="BT106" s="246" t="s">
        <v>246</v>
      </c>
      <c r="BU106" s="246" t="s">
        <v>246</v>
      </c>
      <c r="BV106" s="246" t="s">
        <v>246</v>
      </c>
      <c r="BW106" s="246" t="s">
        <v>246</v>
      </c>
      <c r="BX106" s="246" t="s">
        <v>246</v>
      </c>
      <c r="BY106" s="246" t="s">
        <v>246</v>
      </c>
      <c r="BZ106" s="246" t="s">
        <v>246</v>
      </c>
      <c r="CA106" s="246" t="s">
        <v>246</v>
      </c>
      <c r="CB106" s="246" t="s">
        <v>64</v>
      </c>
      <c r="CC106" s="262">
        <f t="shared" si="552"/>
        <v>217081.0095968</v>
      </c>
      <c r="CD106" s="262">
        <f t="shared" si="553"/>
        <v>0</v>
      </c>
      <c r="CE106" s="263"/>
      <c r="CF106" s="263">
        <f t="shared" si="403"/>
        <v>0</v>
      </c>
      <c r="CG106" s="263">
        <f t="shared" si="404"/>
        <v>0</v>
      </c>
      <c r="CH106" s="263">
        <f t="shared" si="405"/>
        <v>0</v>
      </c>
      <c r="CI106" s="263">
        <f t="shared" si="406"/>
        <v>0</v>
      </c>
      <c r="CJ106" s="263">
        <f t="shared" si="407"/>
        <v>0</v>
      </c>
      <c r="CK106" s="263">
        <f t="shared" si="408"/>
        <v>0</v>
      </c>
      <c r="CL106" s="263">
        <f t="shared" si="409"/>
        <v>0</v>
      </c>
      <c r="CM106" s="263">
        <f t="shared" si="410"/>
        <v>0</v>
      </c>
      <c r="CN106" s="263">
        <f t="shared" si="411"/>
        <v>0</v>
      </c>
      <c r="CO106" s="263">
        <f t="shared" si="412"/>
        <v>0</v>
      </c>
      <c r="CP106" s="263">
        <f t="shared" si="413"/>
        <v>0</v>
      </c>
      <c r="CQ106" s="263">
        <f t="shared" si="414"/>
        <v>0</v>
      </c>
      <c r="CR106" s="263">
        <f t="shared" si="415"/>
        <v>0</v>
      </c>
      <c r="CS106" s="263">
        <f t="shared" si="416"/>
        <v>0</v>
      </c>
      <c r="CT106" s="263">
        <f t="shared" si="417"/>
        <v>0</v>
      </c>
      <c r="CU106" s="263">
        <f t="shared" si="418"/>
        <v>0</v>
      </c>
      <c r="CV106" s="263">
        <f t="shared" si="419"/>
        <v>0</v>
      </c>
      <c r="CW106" s="263">
        <f t="shared" si="420"/>
        <v>0</v>
      </c>
      <c r="CX106" s="263">
        <f t="shared" si="421"/>
        <v>0</v>
      </c>
      <c r="CY106" s="263">
        <f t="shared" si="422"/>
        <v>0</v>
      </c>
      <c r="CZ106" s="263">
        <f t="shared" si="423"/>
        <v>0</v>
      </c>
      <c r="DA106" s="263">
        <f t="shared" si="424"/>
        <v>0</v>
      </c>
      <c r="DB106" s="263">
        <f t="shared" si="425"/>
        <v>0</v>
      </c>
      <c r="DC106" s="263">
        <f t="shared" si="426"/>
        <v>0</v>
      </c>
      <c r="DD106" s="263">
        <f t="shared" si="427"/>
        <v>0</v>
      </c>
      <c r="DE106" s="263">
        <f t="shared" si="428"/>
        <v>0</v>
      </c>
      <c r="DF106" s="263">
        <f t="shared" si="429"/>
        <v>4361018</v>
      </c>
      <c r="DG106" s="263">
        <f t="shared" si="430"/>
        <v>0</v>
      </c>
      <c r="DH106" s="263">
        <f t="shared" si="431"/>
        <v>4361018</v>
      </c>
      <c r="DI106" s="263">
        <f t="shared" si="432"/>
        <v>4361018</v>
      </c>
      <c r="DJ106" s="263">
        <f t="shared" si="433"/>
        <v>0</v>
      </c>
      <c r="DK106" s="263">
        <f t="shared" si="434"/>
        <v>0</v>
      </c>
      <c r="DL106" s="263">
        <f t="shared" si="435"/>
        <v>0</v>
      </c>
      <c r="DM106" s="263">
        <f t="shared" si="436"/>
        <v>0</v>
      </c>
      <c r="DO106" s="264">
        <f t="shared" si="437"/>
        <v>0</v>
      </c>
      <c r="DP106" s="265">
        <f t="shared" si="438"/>
        <v>0</v>
      </c>
      <c r="DQ106" s="264">
        <f t="shared" si="439"/>
        <v>4361018</v>
      </c>
      <c r="DR106" s="264">
        <f t="shared" si="440"/>
        <v>0</v>
      </c>
      <c r="DS106" s="265">
        <f t="shared" si="441"/>
        <v>0</v>
      </c>
      <c r="DT106" s="264">
        <f t="shared" si="442"/>
        <v>4361018</v>
      </c>
      <c r="DU106" s="264">
        <f t="shared" si="443"/>
        <v>0</v>
      </c>
      <c r="DV106" s="265">
        <f t="shared" si="444"/>
        <v>0</v>
      </c>
      <c r="DW106" s="264">
        <f t="shared" si="445"/>
        <v>4361018</v>
      </c>
      <c r="DX106" s="264">
        <f t="shared" si="446"/>
        <v>0</v>
      </c>
      <c r="DY106" s="265">
        <f t="shared" si="447"/>
        <v>0</v>
      </c>
      <c r="DZ106" s="264">
        <f t="shared" si="448"/>
        <v>4361018</v>
      </c>
      <c r="EA106" s="264">
        <f t="shared" si="449"/>
        <v>0</v>
      </c>
      <c r="EB106" s="265">
        <f t="shared" si="450"/>
        <v>0</v>
      </c>
      <c r="EC106" s="264">
        <f t="shared" si="451"/>
        <v>4361018</v>
      </c>
      <c r="ED106" s="264">
        <f t="shared" si="452"/>
        <v>0</v>
      </c>
      <c r="EE106" s="265">
        <f t="shared" si="453"/>
        <v>0</v>
      </c>
      <c r="EF106" s="264">
        <f t="shared" si="454"/>
        <v>4361018</v>
      </c>
      <c r="EG106" s="264">
        <f t="shared" si="455"/>
        <v>0</v>
      </c>
      <c r="EH106" s="265">
        <f t="shared" si="456"/>
        <v>0</v>
      </c>
      <c r="EI106" s="264">
        <f t="shared" si="457"/>
        <v>4361018</v>
      </c>
      <c r="EJ106" s="264">
        <f t="shared" si="458"/>
        <v>0</v>
      </c>
      <c r="EK106" s="265">
        <f t="shared" si="459"/>
        <v>0</v>
      </c>
      <c r="EL106" s="264">
        <f t="shared" si="460"/>
        <v>4361018</v>
      </c>
      <c r="EM106" s="264">
        <f t="shared" si="461"/>
        <v>0</v>
      </c>
      <c r="EN106" s="265">
        <f t="shared" si="462"/>
        <v>0</v>
      </c>
      <c r="EO106" s="264">
        <f t="shared" si="463"/>
        <v>4361018</v>
      </c>
      <c r="EP106" s="264">
        <f t="shared" si="464"/>
        <v>0</v>
      </c>
      <c r="EQ106" s="265">
        <f t="shared" si="465"/>
        <v>0</v>
      </c>
      <c r="ER106" s="264">
        <f t="shared" si="466"/>
        <v>4361018</v>
      </c>
      <c r="ES106" s="264">
        <f t="shared" si="467"/>
        <v>0</v>
      </c>
      <c r="ET106" s="265">
        <f t="shared" si="468"/>
        <v>0</v>
      </c>
      <c r="EU106" s="264">
        <f t="shared" si="469"/>
        <v>4361018</v>
      </c>
      <c r="EV106" s="264">
        <f>IF(AND(BM106="Yes",OR(BN106="No",AND(BN106="Yes",Inputs!$J$8=Inputs!$J$17+75))),EU106,0)</f>
        <v>0</v>
      </c>
      <c r="EW106" s="265">
        <f t="shared" si="470"/>
        <v>0</v>
      </c>
      <c r="EX106" s="264">
        <f t="shared" si="471"/>
        <v>4361018</v>
      </c>
      <c r="EY106" s="264">
        <f t="shared" si="472"/>
        <v>0</v>
      </c>
      <c r="EZ106" s="265">
        <f t="shared" si="473"/>
        <v>0</v>
      </c>
      <c r="FA106" s="264">
        <f t="shared" si="474"/>
        <v>4361018</v>
      </c>
      <c r="FB106" s="264">
        <f t="shared" si="475"/>
        <v>0</v>
      </c>
      <c r="FC106" s="265">
        <f t="shared" si="476"/>
        <v>0</v>
      </c>
      <c r="FD106" s="264">
        <f t="shared" si="477"/>
        <v>4361018</v>
      </c>
      <c r="FE106" s="264">
        <f t="shared" si="478"/>
        <v>0</v>
      </c>
      <c r="FF106" s="265">
        <f t="shared" si="479"/>
        <v>0</v>
      </c>
      <c r="FG106" s="264">
        <f t="shared" si="480"/>
        <v>4361018</v>
      </c>
      <c r="FH106" s="264">
        <f t="shared" si="481"/>
        <v>4361018</v>
      </c>
      <c r="FI106" s="264">
        <f t="shared" si="482"/>
        <v>0</v>
      </c>
      <c r="FJ106" s="264">
        <f t="shared" si="483"/>
        <v>4361018</v>
      </c>
      <c r="FK106" s="264">
        <f t="shared" si="484"/>
        <v>4361018</v>
      </c>
      <c r="FL106" s="264">
        <f t="shared" si="485"/>
        <v>0</v>
      </c>
      <c r="FM106" s="264">
        <f t="shared" si="486"/>
        <v>4361018</v>
      </c>
      <c r="FN106" s="264">
        <f t="shared" si="487"/>
        <v>4361018</v>
      </c>
      <c r="FO106" s="264">
        <f t="shared" si="488"/>
        <v>0</v>
      </c>
      <c r="FP106" s="264">
        <f t="shared" si="489"/>
        <v>4361018</v>
      </c>
      <c r="FQ106" s="264">
        <f t="shared" si="490"/>
        <v>0</v>
      </c>
      <c r="FR106" s="265">
        <f t="shared" si="491"/>
        <v>0</v>
      </c>
      <c r="FS106" s="264">
        <f t="shared" si="492"/>
        <v>4361018</v>
      </c>
      <c r="FT106" s="264">
        <f t="shared" si="493"/>
        <v>0</v>
      </c>
      <c r="FU106" s="265">
        <f t="shared" si="494"/>
        <v>0</v>
      </c>
      <c r="FV106" s="264">
        <f t="shared" si="495"/>
        <v>4361018</v>
      </c>
      <c r="FW106" s="264">
        <f t="shared" si="496"/>
        <v>0</v>
      </c>
      <c r="FX106" s="264">
        <f t="shared" si="497"/>
        <v>0</v>
      </c>
      <c r="FY106" s="264">
        <f t="shared" si="498"/>
        <v>0</v>
      </c>
      <c r="FZ106" s="264">
        <f t="shared" si="499"/>
        <v>0</v>
      </c>
      <c r="GA106" s="265">
        <f t="shared" si="500"/>
        <v>0</v>
      </c>
      <c r="GB106" s="264">
        <f t="shared" si="501"/>
        <v>4361018</v>
      </c>
      <c r="GC106" s="264">
        <f t="shared" si="502"/>
        <v>4361018</v>
      </c>
      <c r="GD106" s="266">
        <f t="shared" si="503"/>
        <v>3161738.05</v>
      </c>
      <c r="GE106" s="138">
        <f t="shared" si="504"/>
        <v>0.72499999999999998</v>
      </c>
      <c r="GF106" s="267">
        <f t="shared" si="505"/>
        <v>18</v>
      </c>
      <c r="GG106" s="264">
        <f t="array" ref="GG106">IF(SUM(IF(IC$9:IC105=IC106,1,0))&gt;0,0,SUMIF($IC$10:$IC$406,IC106,$FJ$10:$FJ$406))</f>
        <v>0</v>
      </c>
      <c r="GH106" s="268">
        <f t="shared" si="506"/>
        <v>0</v>
      </c>
      <c r="GI106" s="137">
        <f t="shared" si="126"/>
        <v>97</v>
      </c>
      <c r="GJ106" s="269">
        <f t="shared" si="507"/>
        <v>0</v>
      </c>
      <c r="GK106" s="269">
        <f t="shared" si="508"/>
        <v>0</v>
      </c>
      <c r="GL106" s="163">
        <f t="shared" si="509"/>
        <v>0</v>
      </c>
      <c r="GM106" s="137">
        <f t="array" ref="GM106">IF(GJ106=0,0,LARGE(IF($GG$10:$GG$406=GJ106,$GF$10:$GF$406,0),COUNTIF($GJ$10:$GJ$406,GJ106)-COUNTIF(GJ$9:GJ105,GJ106)))</f>
        <v>0</v>
      </c>
      <c r="GN106" s="270">
        <f t="shared" si="510"/>
        <v>0</v>
      </c>
      <c r="GP106" s="137">
        <f>IF(C106="","",IF(ISERROR(MATCH(C106,C$10:C105,0)),MAX(GP$10:GP105)+1,INDEX(GP$10:GP105,MATCH(C106,C$10:C105,0))))</f>
        <v>77</v>
      </c>
      <c r="GQ106" s="264">
        <f>IF(COUNTIF($A$10:A106,A106)&lt;=1,SUMIF($A$10:$A$406,A106,$FH$10:$FH$406),0)</f>
        <v>4361018</v>
      </c>
      <c r="GR106" s="137">
        <f t="shared" si="130"/>
        <v>97</v>
      </c>
      <c r="GS106" s="269">
        <f t="shared" si="554"/>
        <v>1481250</v>
      </c>
      <c r="GT106" s="269">
        <f t="shared" si="555"/>
        <v>50964284.172430128</v>
      </c>
      <c r="GU106" s="163">
        <f t="shared" si="556"/>
        <v>0</v>
      </c>
      <c r="GV106" s="137">
        <f t="array" ref="GV106">IF(GS106=0,0,LARGE(IF($GQ$10:$GQ$406=GS106,$GP$10:$GP$406,0),COUNTIF($GS$10:$GS$406,GS106)-COUNTIF(GS$9:GS105,GS106)))</f>
        <v>76</v>
      </c>
      <c r="GW106" s="270">
        <f t="shared" si="557"/>
        <v>0</v>
      </c>
      <c r="GX106" s="270"/>
      <c r="GY106" s="137">
        <f>IF(C106="","",IF(ISERROR(MATCH(C106,C$10:C105,0)),MAX(GP$10:GP105)+1,INDEX(GP$10:GP105,MATCH(C106,C$10:C105,0))))</f>
        <v>77</v>
      </c>
      <c r="GZ106" s="264">
        <f>IF(COUNTIF($A$10:A106,A106)&lt;=1,SUMIF($A$10:$A$406,A106,$FH$10:$FH$406),0)</f>
        <v>4361018</v>
      </c>
      <c r="HA106" s="137">
        <f t="shared" si="134"/>
        <v>97</v>
      </c>
      <c r="HB106" s="269">
        <f t="shared" si="515"/>
        <v>1481250</v>
      </c>
      <c r="HC106" s="414" t="s">
        <v>622</v>
      </c>
      <c r="HD106" s="163">
        <f t="shared" si="516"/>
        <v>0</v>
      </c>
      <c r="HE106" s="137">
        <f t="array" ref="HE106">IF(HB106=0,0,LARGE(IF($GZ$10:$GZ$406=HB106,$GY$10:$GY$406,0),COUNTIF($HB$10:$HB$406,HB106)-COUNTIF(HB$9:HB105,HB106)))</f>
        <v>76</v>
      </c>
      <c r="HF106" s="270">
        <f t="shared" si="517"/>
        <v>0</v>
      </c>
      <c r="HG106" s="270"/>
      <c r="HH106" s="268">
        <f t="shared" si="518"/>
        <v>0</v>
      </c>
      <c r="HI106" s="271">
        <v>0</v>
      </c>
      <c r="HJ106" s="264">
        <f t="shared" si="519"/>
        <v>0</v>
      </c>
      <c r="HL106" s="137">
        <f t="shared" si="520"/>
        <v>97</v>
      </c>
      <c r="HM106" s="264">
        <f t="shared" si="521"/>
        <v>0</v>
      </c>
      <c r="HN106"/>
      <c r="HO106" s="199">
        <f t="shared" si="522"/>
        <v>4361018</v>
      </c>
      <c r="HP106" s="199">
        <f t="shared" si="523"/>
        <v>4361018</v>
      </c>
      <c r="HQ106" s="199" t="str">
        <f t="shared" si="524"/>
        <v/>
      </c>
      <c r="HR106" s="199" t="str">
        <f t="shared" si="525"/>
        <v/>
      </c>
      <c r="HS106" s="199" t="str">
        <f t="shared" si="539"/>
        <v/>
      </c>
      <c r="HT106" s="199" t="str">
        <f t="shared" si="526"/>
        <v/>
      </c>
      <c r="HU106" s="199" t="str">
        <f t="shared" si="527"/>
        <v/>
      </c>
      <c r="HV106" s="200">
        <f t="shared" si="528"/>
        <v>0</v>
      </c>
      <c r="HW106" s="272">
        <f t="shared" si="540"/>
        <v>1</v>
      </c>
      <c r="HX106" s="200" t="str">
        <f t="shared" si="529"/>
        <v/>
      </c>
      <c r="HY106" s="200">
        <f t="shared" si="530"/>
        <v>0</v>
      </c>
      <c r="HZ106" s="200" t="str">
        <f t="shared" si="535"/>
        <v/>
      </c>
      <c r="IA106" s="200" t="str">
        <f t="shared" si="531"/>
        <v/>
      </c>
      <c r="IB106" s="200" t="str">
        <f t="shared" si="532"/>
        <v/>
      </c>
      <c r="IC106" s="273">
        <f>IF(C106="","",INDEX(Lookups!$E$2:$E$69,MATCH('Loan List'!BE106,Lookups!$F$2:$F$69,0)))</f>
        <v>18</v>
      </c>
      <c r="ID106" t="b">
        <f t="shared" si="533"/>
        <v>1</v>
      </c>
      <c r="IF106" s="346"/>
    </row>
    <row r="107" spans="1:240" ht="15" customHeight="1">
      <c r="A107" t="s">
        <v>771</v>
      </c>
      <c r="B107" s="242">
        <f t="shared" si="541"/>
        <v>98</v>
      </c>
      <c r="C107" s="242">
        <f>IF(COUNTIF($A$10:A106,A107)&gt;0,C106,C106+1)</f>
        <v>78</v>
      </c>
      <c r="D107" s="431" t="s">
        <v>771</v>
      </c>
      <c r="E107" s="428" t="s">
        <v>838</v>
      </c>
      <c r="F107" s="429"/>
      <c r="G107" s="430">
        <v>50000000</v>
      </c>
      <c r="H107" s="430">
        <v>50000000</v>
      </c>
      <c r="I107" s="244">
        <f>IF(B107="","",VLOOKUP(BF107,Inputs!$A$12:$J$15,10,FALSE))</f>
        <v>1</v>
      </c>
      <c r="J107" s="245">
        <f t="shared" si="542"/>
        <v>50000000</v>
      </c>
      <c r="K107" s="245">
        <f t="shared" si="543"/>
        <v>50000000</v>
      </c>
      <c r="L107" s="245">
        <f t="shared" si="544"/>
        <v>50000000</v>
      </c>
      <c r="M107" s="245">
        <f t="shared" si="545"/>
        <v>50000000</v>
      </c>
      <c r="N107" s="246" t="s">
        <v>246</v>
      </c>
      <c r="O107" s="246" t="s">
        <v>245</v>
      </c>
      <c r="P107" s="247">
        <f>IF(B107="","",IF(OR(O107="N/A",O107=""),0,YEARFRAC('Borrowing Base'!$J$4,'Loan List'!O107)*12))</f>
        <v>0</v>
      </c>
      <c r="Q107" s="246" t="s">
        <v>246</v>
      </c>
      <c r="R107" s="275">
        <v>0.99</v>
      </c>
      <c r="S107" s="249" t="str">
        <f t="shared" si="546"/>
        <v>No</v>
      </c>
      <c r="T107" s="275">
        <v>0.99</v>
      </c>
      <c r="U107" s="250">
        <f t="shared" si="547"/>
        <v>0.5</v>
      </c>
      <c r="V107" s="250">
        <f t="shared" si="548"/>
        <v>0.72499999999999998</v>
      </c>
      <c r="W107" s="251">
        <f t="shared" si="385"/>
        <v>50000000</v>
      </c>
      <c r="X107" s="246" t="s">
        <v>246</v>
      </c>
      <c r="Y107" s="252" t="s">
        <v>483</v>
      </c>
      <c r="Z107" s="252" t="s">
        <v>484</v>
      </c>
      <c r="AA107" s="253" t="s">
        <v>407</v>
      </c>
      <c r="AB107" s="253" t="s">
        <v>713</v>
      </c>
      <c r="AC107" s="254">
        <v>1.57</v>
      </c>
      <c r="AD107" s="254">
        <v>1.57</v>
      </c>
      <c r="AE107" s="254">
        <v>2.3199999999999998</v>
      </c>
      <c r="AF107" s="254">
        <v>0.57599999999999996</v>
      </c>
      <c r="AG107" s="256">
        <v>4.67</v>
      </c>
      <c r="AH107" s="256">
        <v>4.67</v>
      </c>
      <c r="AI107" s="256">
        <v>4.67</v>
      </c>
      <c r="AJ107" s="256">
        <v>4.67</v>
      </c>
      <c r="AK107" s="257">
        <v>144500000</v>
      </c>
      <c r="AL107" s="257">
        <v>144500000</v>
      </c>
      <c r="AM107" s="258">
        <v>45838</v>
      </c>
      <c r="AN107" s="245" t="str">
        <f t="shared" si="549"/>
        <v>Tier 1</v>
      </c>
      <c r="AO107" s="243">
        <v>48089</v>
      </c>
      <c r="AP107" s="259">
        <f>IF(C107="","",DAYS360(Inputs!$J$8,AO107)/360)</f>
        <v>6.0138888888888893</v>
      </c>
      <c r="AQ107" s="259">
        <f t="shared" si="550"/>
        <v>6.0138888888888893</v>
      </c>
      <c r="AR107" s="246" t="s">
        <v>246</v>
      </c>
      <c r="AS107" s="276">
        <v>0</v>
      </c>
      <c r="AT107" s="246">
        <v>0</v>
      </c>
      <c r="AU107" s="248" t="s">
        <v>487</v>
      </c>
      <c r="AV107" s="248">
        <v>4.7500000000000001E-2</v>
      </c>
      <c r="AW107" s="248">
        <v>4.0405999999999991E-2</v>
      </c>
      <c r="AX107" s="260">
        <f t="shared" si="551"/>
        <v>4.0405999999999991E-2</v>
      </c>
      <c r="AY107" s="248">
        <v>0</v>
      </c>
      <c r="AZ107" s="248">
        <v>0</v>
      </c>
      <c r="BA107" s="248">
        <v>0</v>
      </c>
      <c r="BB107" s="407">
        <f t="shared" si="536"/>
        <v>4.7500000000000001E-2</v>
      </c>
      <c r="BC107" s="407" t="str">
        <f t="shared" si="537"/>
        <v/>
      </c>
      <c r="BD107" s="252" t="s">
        <v>247</v>
      </c>
      <c r="BE107" s="261" t="s">
        <v>459</v>
      </c>
      <c r="BF107" s="252" t="s">
        <v>7</v>
      </c>
      <c r="BG107" s="252" t="s">
        <v>460</v>
      </c>
      <c r="BH107" s="246" t="s">
        <v>246</v>
      </c>
      <c r="BI107" s="408" t="str">
        <f t="shared" si="534"/>
        <v>No</v>
      </c>
      <c r="BJ107" s="408" t="str">
        <f t="shared" si="538"/>
        <v>No</v>
      </c>
      <c r="BK107" s="246" t="s">
        <v>246</v>
      </c>
      <c r="BL107" s="246" t="s">
        <v>246</v>
      </c>
      <c r="BM107" s="246" t="s">
        <v>64</v>
      </c>
      <c r="BN107" s="246" t="s">
        <v>64</v>
      </c>
      <c r="BO107" s="246" t="s">
        <v>246</v>
      </c>
      <c r="BP107" s="246" t="s">
        <v>246</v>
      </c>
      <c r="BQ107" s="246" t="s">
        <v>246</v>
      </c>
      <c r="BR107" s="246" t="s">
        <v>246</v>
      </c>
      <c r="BS107" s="246" t="s">
        <v>246</v>
      </c>
      <c r="BT107" s="246" t="s">
        <v>246</v>
      </c>
      <c r="BU107" s="246" t="s">
        <v>246</v>
      </c>
      <c r="BV107" s="246" t="s">
        <v>246</v>
      </c>
      <c r="BW107" s="246" t="s">
        <v>246</v>
      </c>
      <c r="BX107" s="246" t="s">
        <v>246</v>
      </c>
      <c r="BY107" s="246" t="s">
        <v>246</v>
      </c>
      <c r="BZ107" s="246" t="s">
        <v>246</v>
      </c>
      <c r="CA107" s="246" t="s">
        <v>246</v>
      </c>
      <c r="CB107" s="246" t="s">
        <v>64</v>
      </c>
      <c r="CC107" s="262">
        <f t="shared" si="552"/>
        <v>2234179.9999999991</v>
      </c>
      <c r="CD107" s="262">
        <f t="shared" si="553"/>
        <v>0</v>
      </c>
      <c r="CE107" s="263"/>
      <c r="CF107" s="263">
        <f t="shared" si="403"/>
        <v>0</v>
      </c>
      <c r="CG107" s="263">
        <f t="shared" si="404"/>
        <v>0</v>
      </c>
      <c r="CH107" s="263">
        <f t="shared" si="405"/>
        <v>0</v>
      </c>
      <c r="CI107" s="263">
        <f t="shared" si="406"/>
        <v>0</v>
      </c>
      <c r="CJ107" s="263">
        <f t="shared" si="407"/>
        <v>0</v>
      </c>
      <c r="CK107" s="263">
        <f t="shared" si="408"/>
        <v>0</v>
      </c>
      <c r="CL107" s="263">
        <f t="shared" si="409"/>
        <v>0</v>
      </c>
      <c r="CM107" s="263">
        <f t="shared" si="410"/>
        <v>0</v>
      </c>
      <c r="CN107" s="263">
        <f t="shared" si="411"/>
        <v>0</v>
      </c>
      <c r="CO107" s="263">
        <f t="shared" si="412"/>
        <v>0</v>
      </c>
      <c r="CP107" s="263">
        <f t="shared" si="413"/>
        <v>0</v>
      </c>
      <c r="CQ107" s="263">
        <f t="shared" si="414"/>
        <v>0</v>
      </c>
      <c r="CR107" s="263">
        <f t="shared" si="415"/>
        <v>0</v>
      </c>
      <c r="CS107" s="263">
        <f t="shared" si="416"/>
        <v>0</v>
      </c>
      <c r="CT107" s="263">
        <f t="shared" si="417"/>
        <v>0</v>
      </c>
      <c r="CU107" s="263">
        <f t="shared" si="418"/>
        <v>0</v>
      </c>
      <c r="CV107" s="263">
        <f t="shared" si="419"/>
        <v>0</v>
      </c>
      <c r="CW107" s="263">
        <f t="shared" si="420"/>
        <v>0</v>
      </c>
      <c r="CX107" s="263">
        <f t="shared" si="421"/>
        <v>0</v>
      </c>
      <c r="CY107" s="263">
        <f t="shared" si="422"/>
        <v>0</v>
      </c>
      <c r="CZ107" s="263">
        <f t="shared" si="423"/>
        <v>0</v>
      </c>
      <c r="DA107" s="263">
        <f t="shared" si="424"/>
        <v>0</v>
      </c>
      <c r="DB107" s="263">
        <f t="shared" si="425"/>
        <v>0</v>
      </c>
      <c r="DC107" s="263">
        <f t="shared" si="426"/>
        <v>0</v>
      </c>
      <c r="DD107" s="263">
        <f t="shared" si="427"/>
        <v>0</v>
      </c>
      <c r="DE107" s="263">
        <f t="shared" si="428"/>
        <v>0</v>
      </c>
      <c r="DF107" s="263">
        <f t="shared" si="429"/>
        <v>50000000</v>
      </c>
      <c r="DG107" s="263">
        <f t="shared" si="430"/>
        <v>0</v>
      </c>
      <c r="DH107" s="263">
        <f t="shared" si="431"/>
        <v>50000000</v>
      </c>
      <c r="DI107" s="263">
        <f t="shared" si="432"/>
        <v>50000000</v>
      </c>
      <c r="DJ107" s="263">
        <f t="shared" si="433"/>
        <v>0</v>
      </c>
      <c r="DK107" s="263">
        <f t="shared" si="434"/>
        <v>0</v>
      </c>
      <c r="DL107" s="263">
        <f t="shared" si="435"/>
        <v>0</v>
      </c>
      <c r="DM107" s="263">
        <f t="shared" si="436"/>
        <v>0</v>
      </c>
      <c r="DO107" s="264">
        <f t="shared" si="437"/>
        <v>0</v>
      </c>
      <c r="DP107" s="265">
        <f t="shared" si="438"/>
        <v>0</v>
      </c>
      <c r="DQ107" s="264">
        <f t="shared" si="439"/>
        <v>50000000</v>
      </c>
      <c r="DR107" s="264">
        <f t="shared" si="440"/>
        <v>0</v>
      </c>
      <c r="DS107" s="265">
        <f t="shared" si="441"/>
        <v>0</v>
      </c>
      <c r="DT107" s="264">
        <f t="shared" si="442"/>
        <v>50000000</v>
      </c>
      <c r="DU107" s="264">
        <f t="shared" si="443"/>
        <v>0</v>
      </c>
      <c r="DV107" s="265">
        <f t="shared" si="444"/>
        <v>0</v>
      </c>
      <c r="DW107" s="264">
        <f t="shared" si="445"/>
        <v>50000000</v>
      </c>
      <c r="DX107" s="264">
        <f t="shared" si="446"/>
        <v>0</v>
      </c>
      <c r="DY107" s="265">
        <f t="shared" si="447"/>
        <v>0</v>
      </c>
      <c r="DZ107" s="264">
        <f t="shared" si="448"/>
        <v>50000000</v>
      </c>
      <c r="EA107" s="264">
        <f t="shared" si="449"/>
        <v>0</v>
      </c>
      <c r="EB107" s="265">
        <f t="shared" si="450"/>
        <v>0</v>
      </c>
      <c r="EC107" s="264">
        <f t="shared" si="451"/>
        <v>50000000</v>
      </c>
      <c r="ED107" s="264">
        <f t="shared" si="452"/>
        <v>0</v>
      </c>
      <c r="EE107" s="265">
        <f t="shared" si="453"/>
        <v>0</v>
      </c>
      <c r="EF107" s="264">
        <f t="shared" si="454"/>
        <v>50000000</v>
      </c>
      <c r="EG107" s="264">
        <f t="shared" si="455"/>
        <v>0</v>
      </c>
      <c r="EH107" s="265">
        <f t="shared" si="456"/>
        <v>0</v>
      </c>
      <c r="EI107" s="264">
        <f t="shared" si="457"/>
        <v>50000000</v>
      </c>
      <c r="EJ107" s="264">
        <f t="shared" si="458"/>
        <v>0</v>
      </c>
      <c r="EK107" s="265">
        <f t="shared" si="459"/>
        <v>0</v>
      </c>
      <c r="EL107" s="264">
        <f t="shared" si="460"/>
        <v>50000000</v>
      </c>
      <c r="EM107" s="264">
        <f t="shared" si="461"/>
        <v>0</v>
      </c>
      <c r="EN107" s="265">
        <f t="shared" si="462"/>
        <v>0</v>
      </c>
      <c r="EO107" s="264">
        <f t="shared" si="463"/>
        <v>50000000</v>
      </c>
      <c r="EP107" s="264">
        <f t="shared" si="464"/>
        <v>0</v>
      </c>
      <c r="EQ107" s="265">
        <f t="shared" si="465"/>
        <v>0</v>
      </c>
      <c r="ER107" s="264">
        <f t="shared" si="466"/>
        <v>50000000</v>
      </c>
      <c r="ES107" s="264">
        <f t="shared" si="467"/>
        <v>0</v>
      </c>
      <c r="ET107" s="265">
        <f t="shared" si="468"/>
        <v>0</v>
      </c>
      <c r="EU107" s="264">
        <f t="shared" si="469"/>
        <v>50000000</v>
      </c>
      <c r="EV107" s="264">
        <f>IF(AND(BM107="Yes",OR(BN107="No",AND(BN107="Yes",Inputs!$J$8=Inputs!$J$17+75))),EU107,0)</f>
        <v>0</v>
      </c>
      <c r="EW107" s="265">
        <f t="shared" si="470"/>
        <v>0</v>
      </c>
      <c r="EX107" s="264">
        <f t="shared" si="471"/>
        <v>50000000</v>
      </c>
      <c r="EY107" s="264">
        <f t="shared" si="472"/>
        <v>0</v>
      </c>
      <c r="EZ107" s="265">
        <f t="shared" si="473"/>
        <v>0</v>
      </c>
      <c r="FA107" s="264">
        <f t="shared" si="474"/>
        <v>50000000</v>
      </c>
      <c r="FB107" s="264">
        <f t="shared" si="475"/>
        <v>0</v>
      </c>
      <c r="FC107" s="265">
        <f t="shared" si="476"/>
        <v>0</v>
      </c>
      <c r="FD107" s="264">
        <f t="shared" si="477"/>
        <v>50000000</v>
      </c>
      <c r="FE107" s="264">
        <f t="shared" si="478"/>
        <v>0</v>
      </c>
      <c r="FF107" s="265">
        <f t="shared" si="479"/>
        <v>0</v>
      </c>
      <c r="FG107" s="264">
        <f t="shared" si="480"/>
        <v>50000000</v>
      </c>
      <c r="FH107" s="264">
        <f t="shared" si="481"/>
        <v>50000000</v>
      </c>
      <c r="FI107" s="264">
        <f t="shared" si="482"/>
        <v>0</v>
      </c>
      <c r="FJ107" s="264">
        <f t="shared" si="483"/>
        <v>50000000</v>
      </c>
      <c r="FK107" s="264">
        <f t="shared" si="484"/>
        <v>50000000</v>
      </c>
      <c r="FL107" s="264">
        <f t="shared" si="485"/>
        <v>0</v>
      </c>
      <c r="FM107" s="264">
        <f t="shared" si="486"/>
        <v>50000000</v>
      </c>
      <c r="FN107" s="264">
        <f t="shared" si="487"/>
        <v>50000000</v>
      </c>
      <c r="FO107" s="264">
        <f t="shared" si="488"/>
        <v>0</v>
      </c>
      <c r="FP107" s="264">
        <f t="shared" si="489"/>
        <v>50000000</v>
      </c>
      <c r="FQ107" s="264">
        <f t="shared" si="490"/>
        <v>0</v>
      </c>
      <c r="FR107" s="265">
        <f t="shared" si="491"/>
        <v>0</v>
      </c>
      <c r="FS107" s="264">
        <f t="shared" si="492"/>
        <v>50000000</v>
      </c>
      <c r="FT107" s="264">
        <f t="shared" si="493"/>
        <v>0</v>
      </c>
      <c r="FU107" s="265">
        <f t="shared" si="494"/>
        <v>0</v>
      </c>
      <c r="FV107" s="264">
        <f t="shared" si="495"/>
        <v>50000000</v>
      </c>
      <c r="FW107" s="264">
        <f t="shared" si="496"/>
        <v>0</v>
      </c>
      <c r="FX107" s="264">
        <f t="shared" si="497"/>
        <v>0</v>
      </c>
      <c r="FY107" s="264">
        <f t="shared" si="498"/>
        <v>0</v>
      </c>
      <c r="FZ107" s="264">
        <f t="shared" si="499"/>
        <v>0</v>
      </c>
      <c r="GA107" s="265">
        <f t="shared" si="500"/>
        <v>0</v>
      </c>
      <c r="GB107" s="264">
        <f t="shared" si="501"/>
        <v>50000000</v>
      </c>
      <c r="GC107" s="264">
        <f t="shared" si="502"/>
        <v>50000000</v>
      </c>
      <c r="GD107" s="266">
        <f t="shared" si="503"/>
        <v>36250000</v>
      </c>
      <c r="GE107" s="138">
        <f t="shared" si="504"/>
        <v>0.72499999999999998</v>
      </c>
      <c r="GF107" s="267">
        <f t="shared" si="505"/>
        <v>57</v>
      </c>
      <c r="GG107" s="264">
        <f t="array" ref="GG107">IF(SUM(IF(IC$9:IC106=IC107,1,0))&gt;0,0,SUMIF($IC$10:$IC$406,IC107,$FJ$10:$FJ$406))</f>
        <v>50000000</v>
      </c>
      <c r="GH107" s="268">
        <f t="shared" si="506"/>
        <v>50000000</v>
      </c>
      <c r="GI107" s="137">
        <f t="shared" si="126"/>
        <v>98</v>
      </c>
      <c r="GJ107" s="269">
        <f t="shared" si="507"/>
        <v>0</v>
      </c>
      <c r="GK107" s="269">
        <f t="shared" si="508"/>
        <v>0</v>
      </c>
      <c r="GL107" s="163">
        <f t="shared" si="509"/>
        <v>0</v>
      </c>
      <c r="GM107" s="137">
        <f t="array" ref="GM107">IF(GJ107=0,0,LARGE(IF($GG$10:$GG$406=GJ107,$GF$10:$GF$406,0),COUNTIF($GJ$10:$GJ$406,GJ107)-COUNTIF(GJ$9:GJ106,GJ107)))</f>
        <v>0</v>
      </c>
      <c r="GN107" s="270">
        <f t="shared" si="510"/>
        <v>0</v>
      </c>
      <c r="GP107" s="137">
        <f>IF(C107="","",IF(ISERROR(MATCH(C107,C$10:C106,0)),MAX(GP$10:GP106)+1,INDEX(GP$10:GP106,MATCH(C107,C$10:C106,0))))</f>
        <v>78</v>
      </c>
      <c r="GQ107" s="264">
        <f>IF(COUNTIF($A$10:A107,A107)&lt;=1,SUMIF($A$10:$A$406,A107,$FH$10:$FH$406),0)</f>
        <v>50000000</v>
      </c>
      <c r="GR107" s="137">
        <f t="shared" si="130"/>
        <v>98</v>
      </c>
      <c r="GS107" s="269">
        <f t="shared" si="554"/>
        <v>1231250</v>
      </c>
      <c r="GT107" s="269">
        <f t="shared" si="555"/>
        <v>50964284.172430128</v>
      </c>
      <c r="GU107" s="163">
        <f t="shared" si="556"/>
        <v>0</v>
      </c>
      <c r="GV107" s="137">
        <f t="array" ref="GV107">IF(GS107=0,0,LARGE(IF($GQ$10:$GQ$406=GS107,$GP$10:$GP$406,0),COUNTIF($GS$10:$GS$406,GS107)-COUNTIF(GS$9:GS106,GS107)))</f>
        <v>93</v>
      </c>
      <c r="GW107" s="270">
        <f t="shared" si="557"/>
        <v>0</v>
      </c>
      <c r="GX107" s="270"/>
      <c r="GY107" s="137">
        <f>IF(C107="","",IF(ISERROR(MATCH(C107,C$10:C106,0)),MAX(GP$10:GP106)+1,INDEX(GP$10:GP106,MATCH(C107,C$10:C106,0))))</f>
        <v>78</v>
      </c>
      <c r="GZ107" s="264">
        <f>IF(COUNTIF($A$10:A107,A107)&lt;=1,SUMIF($A$10:$A$406,A107,$FH$10:$FH$406),0)</f>
        <v>50000000</v>
      </c>
      <c r="HA107" s="137">
        <f t="shared" si="134"/>
        <v>98</v>
      </c>
      <c r="HB107" s="269">
        <f t="shared" si="515"/>
        <v>1231250</v>
      </c>
      <c r="HC107" s="414" t="s">
        <v>622</v>
      </c>
      <c r="HD107" s="163">
        <f t="shared" si="516"/>
        <v>0</v>
      </c>
      <c r="HE107" s="137">
        <f t="array" ref="HE107">IF(HB107=0,0,LARGE(IF($GZ$10:$GZ$406=HB107,$GY$10:$GY$406,0),COUNTIF($HB$10:$HB$406,HB107)-COUNTIF(HB$9:HB106,HB107)))</f>
        <v>93</v>
      </c>
      <c r="HF107" s="270">
        <f t="shared" si="517"/>
        <v>0</v>
      </c>
      <c r="HG107" s="270"/>
      <c r="HH107" s="268">
        <f t="shared" si="518"/>
        <v>0</v>
      </c>
      <c r="HI107" s="271">
        <v>0</v>
      </c>
      <c r="HJ107" s="264">
        <f t="shared" si="519"/>
        <v>0</v>
      </c>
      <c r="HL107" s="137">
        <f t="shared" si="520"/>
        <v>98</v>
      </c>
      <c r="HM107" s="264">
        <f t="shared" si="521"/>
        <v>11464651.42</v>
      </c>
      <c r="HN107"/>
      <c r="HO107" s="199">
        <f t="shared" si="522"/>
        <v>50000000</v>
      </c>
      <c r="HP107" s="199">
        <f t="shared" si="523"/>
        <v>50000000</v>
      </c>
      <c r="HQ107" s="199" t="str">
        <f t="shared" si="524"/>
        <v/>
      </c>
      <c r="HR107" s="199" t="str">
        <f t="shared" si="525"/>
        <v/>
      </c>
      <c r="HS107" s="199" t="str">
        <f t="shared" si="539"/>
        <v/>
      </c>
      <c r="HT107" s="199" t="str">
        <f t="shared" si="526"/>
        <v/>
      </c>
      <c r="HU107" s="199" t="str">
        <f t="shared" si="527"/>
        <v/>
      </c>
      <c r="HV107" s="200">
        <f t="shared" si="528"/>
        <v>0</v>
      </c>
      <c r="HW107" s="272">
        <f t="shared" si="540"/>
        <v>1</v>
      </c>
      <c r="HX107" s="200" t="str">
        <f t="shared" si="529"/>
        <v/>
      </c>
      <c r="HY107" s="200">
        <f t="shared" si="530"/>
        <v>0</v>
      </c>
      <c r="HZ107" s="200" t="str">
        <f t="shared" si="535"/>
        <v/>
      </c>
      <c r="IA107" s="200" t="str">
        <f t="shared" si="531"/>
        <v/>
      </c>
      <c r="IB107" s="200" t="str">
        <f t="shared" si="532"/>
        <v/>
      </c>
      <c r="IC107" s="273">
        <f>IF(C107="","",INDEX(Lookups!$E$2:$E$69,MATCH('Loan List'!BE107,Lookups!$F$2:$F$69,0)))</f>
        <v>57</v>
      </c>
      <c r="ID107" t="b">
        <f t="shared" si="533"/>
        <v>1</v>
      </c>
      <c r="IF107" s="346"/>
    </row>
    <row r="108" spans="1:240" ht="15" customHeight="1">
      <c r="A108" t="s">
        <v>685</v>
      </c>
      <c r="B108" s="242">
        <f t="shared" si="541"/>
        <v>99</v>
      </c>
      <c r="C108" s="242">
        <f>IF(COUNTIF($A$10:A107,A108)&gt;0,C107,C107+1)</f>
        <v>79</v>
      </c>
      <c r="D108" s="428" t="s">
        <v>685</v>
      </c>
      <c r="E108" s="428" t="s">
        <v>682</v>
      </c>
      <c r="F108" s="429"/>
      <c r="G108" s="430">
        <v>3073360.02</v>
      </c>
      <c r="H108" s="430">
        <v>3073360.02</v>
      </c>
      <c r="I108" s="244">
        <f>IF(B108="","",VLOOKUP(BF108,Inputs!$A$12:$J$15,10,FALSE))</f>
        <v>1</v>
      </c>
      <c r="J108" s="245">
        <f t="shared" si="542"/>
        <v>3073360.02</v>
      </c>
      <c r="K108" s="245">
        <f t="shared" si="543"/>
        <v>3073360.02</v>
      </c>
      <c r="L108" s="245">
        <f t="shared" si="544"/>
        <v>3073360.02</v>
      </c>
      <c r="M108" s="245">
        <f t="shared" si="545"/>
        <v>3073360.02</v>
      </c>
      <c r="N108" s="246" t="s">
        <v>246</v>
      </c>
      <c r="O108" s="246" t="s">
        <v>245</v>
      </c>
      <c r="P108" s="247">
        <f>IF(B108="","",IF(OR(O108="N/A",O108=""),0,YEARFRAC('Borrowing Base'!$J$4,'Loan List'!O108)*12))</f>
        <v>0</v>
      </c>
      <c r="Q108" s="246" t="s">
        <v>246</v>
      </c>
      <c r="R108" s="275">
        <v>1</v>
      </c>
      <c r="S108" s="249" t="str">
        <f t="shared" si="546"/>
        <v>No</v>
      </c>
      <c r="T108" s="275">
        <v>0.99000000006507538</v>
      </c>
      <c r="U108" s="250">
        <f t="shared" si="547"/>
        <v>0.5</v>
      </c>
      <c r="V108" s="250">
        <f t="shared" si="548"/>
        <v>0.72499999999999998</v>
      </c>
      <c r="W108" s="251">
        <f t="shared" si="385"/>
        <v>0</v>
      </c>
      <c r="X108" s="246" t="s">
        <v>246</v>
      </c>
      <c r="Y108" s="252" t="s">
        <v>483</v>
      </c>
      <c r="Z108" s="252" t="s">
        <v>484</v>
      </c>
      <c r="AA108" s="253" t="s">
        <v>407</v>
      </c>
      <c r="AB108" s="253" t="s">
        <v>713</v>
      </c>
      <c r="AC108" s="254">
        <v>1.7</v>
      </c>
      <c r="AD108" s="254">
        <v>0.90837512785209729</v>
      </c>
      <c r="AE108" s="254">
        <v>1.4900901965420141</v>
      </c>
      <c r="AF108" s="254">
        <v>0.45800000000000002</v>
      </c>
      <c r="AG108" s="256">
        <v>6.02</v>
      </c>
      <c r="AH108" s="256">
        <v>6.02</v>
      </c>
      <c r="AI108" s="256">
        <v>4.9183791840301527</v>
      </c>
      <c r="AJ108" s="256">
        <v>4.9183791840301527</v>
      </c>
      <c r="AK108" s="257">
        <v>16100000.000000002</v>
      </c>
      <c r="AL108" s="257">
        <v>36502035.865101844</v>
      </c>
      <c r="AM108" s="258">
        <v>45808</v>
      </c>
      <c r="AN108" s="245" t="str">
        <f t="shared" si="549"/>
        <v>Tier 2</v>
      </c>
      <c r="AO108" s="243">
        <v>46959</v>
      </c>
      <c r="AP108" s="259">
        <f>IF(C108="","",DAYS360(Inputs!$J$8,AO108)/360)</f>
        <v>2.9194444444444443</v>
      </c>
      <c r="AQ108" s="259">
        <f t="shared" si="550"/>
        <v>2.9194444444444443</v>
      </c>
      <c r="AR108" s="246" t="s">
        <v>246</v>
      </c>
      <c r="AS108" s="276">
        <v>0</v>
      </c>
      <c r="AT108" s="246" t="s">
        <v>64</v>
      </c>
      <c r="AU108" s="248">
        <v>0.01</v>
      </c>
      <c r="AV108" s="248">
        <v>4.7500000000000001E-2</v>
      </c>
      <c r="AW108" s="248">
        <v>4.2956000000000008E-2</v>
      </c>
      <c r="AX108" s="260">
        <f t="shared" si="551"/>
        <v>4.2956000000000008E-2</v>
      </c>
      <c r="AY108" s="248">
        <v>0</v>
      </c>
      <c r="AZ108" s="248">
        <v>0</v>
      </c>
      <c r="BA108" s="248">
        <v>0</v>
      </c>
      <c r="BB108" s="407">
        <f t="shared" si="536"/>
        <v>4.7500000000000001E-2</v>
      </c>
      <c r="BC108" s="407" t="str">
        <f t="shared" si="537"/>
        <v/>
      </c>
      <c r="BD108" s="252" t="s">
        <v>247</v>
      </c>
      <c r="BE108" s="261" t="s">
        <v>375</v>
      </c>
      <c r="BF108" s="252" t="s">
        <v>7</v>
      </c>
      <c r="BG108" s="252" t="s">
        <v>460</v>
      </c>
      <c r="BH108" s="246" t="s">
        <v>246</v>
      </c>
      <c r="BI108" s="408" t="str">
        <f t="shared" si="534"/>
        <v>No</v>
      </c>
      <c r="BJ108" s="408" t="str">
        <f t="shared" si="538"/>
        <v>No</v>
      </c>
      <c r="BK108" s="246" t="s">
        <v>246</v>
      </c>
      <c r="BL108" s="246" t="s">
        <v>246</v>
      </c>
      <c r="BM108" s="246" t="s">
        <v>246</v>
      </c>
      <c r="BN108" s="246" t="s">
        <v>246</v>
      </c>
      <c r="BO108" s="246" t="s">
        <v>246</v>
      </c>
      <c r="BP108" s="246" t="s">
        <v>246</v>
      </c>
      <c r="BQ108" s="246" t="s">
        <v>246</v>
      </c>
      <c r="BR108" s="246" t="s">
        <v>246</v>
      </c>
      <c r="BS108" s="246" t="s">
        <v>246</v>
      </c>
      <c r="BT108" s="246" t="s">
        <v>246</v>
      </c>
      <c r="BU108" s="246" t="s">
        <v>246</v>
      </c>
      <c r="BV108" s="246" t="s">
        <v>246</v>
      </c>
      <c r="BW108" s="246" t="s">
        <v>246</v>
      </c>
      <c r="BX108" s="246" t="s">
        <v>246</v>
      </c>
      <c r="BY108" s="246" t="s">
        <v>246</v>
      </c>
      <c r="BZ108" s="246" t="s">
        <v>246</v>
      </c>
      <c r="CA108" s="246" t="s">
        <v>246</v>
      </c>
      <c r="CB108" s="246" t="s">
        <v>64</v>
      </c>
      <c r="CC108" s="262">
        <f t="shared" si="552"/>
        <v>145165.85784067202</v>
      </c>
      <c r="CD108" s="262">
        <f t="shared" si="553"/>
        <v>0</v>
      </c>
      <c r="CE108" s="263"/>
      <c r="CF108" s="263">
        <f t="shared" si="403"/>
        <v>0</v>
      </c>
      <c r="CG108" s="263">
        <f t="shared" si="404"/>
        <v>0</v>
      </c>
      <c r="CH108" s="263">
        <f t="shared" si="405"/>
        <v>0</v>
      </c>
      <c r="CI108" s="263">
        <f t="shared" si="406"/>
        <v>0</v>
      </c>
      <c r="CJ108" s="263">
        <f t="shared" si="407"/>
        <v>0</v>
      </c>
      <c r="CK108" s="263">
        <f t="shared" si="408"/>
        <v>0</v>
      </c>
      <c r="CL108" s="263">
        <f t="shared" si="409"/>
        <v>0</v>
      </c>
      <c r="CM108" s="263">
        <f t="shared" si="410"/>
        <v>0</v>
      </c>
      <c r="CN108" s="263">
        <f t="shared" si="411"/>
        <v>0</v>
      </c>
      <c r="CO108" s="263">
        <f t="shared" si="412"/>
        <v>0</v>
      </c>
      <c r="CP108" s="263">
        <f t="shared" si="413"/>
        <v>0</v>
      </c>
      <c r="CQ108" s="263">
        <f t="shared" si="414"/>
        <v>0</v>
      </c>
      <c r="CR108" s="263">
        <f t="shared" si="415"/>
        <v>0</v>
      </c>
      <c r="CS108" s="263">
        <f t="shared" si="416"/>
        <v>0</v>
      </c>
      <c r="CT108" s="263">
        <f t="shared" si="417"/>
        <v>0</v>
      </c>
      <c r="CU108" s="263">
        <f t="shared" si="418"/>
        <v>0</v>
      </c>
      <c r="CV108" s="263">
        <f t="shared" si="419"/>
        <v>0</v>
      </c>
      <c r="CW108" s="263">
        <f t="shared" si="420"/>
        <v>0</v>
      </c>
      <c r="CX108" s="263">
        <f t="shared" si="421"/>
        <v>0</v>
      </c>
      <c r="CY108" s="263">
        <f t="shared" si="422"/>
        <v>0</v>
      </c>
      <c r="CZ108" s="263">
        <f t="shared" si="423"/>
        <v>0</v>
      </c>
      <c r="DA108" s="263">
        <f t="shared" si="424"/>
        <v>1</v>
      </c>
      <c r="DB108" s="263">
        <f t="shared" si="425"/>
        <v>0</v>
      </c>
      <c r="DC108" s="263">
        <f t="shared" si="426"/>
        <v>0</v>
      </c>
      <c r="DD108" s="263">
        <f t="shared" si="427"/>
        <v>0</v>
      </c>
      <c r="DE108" s="263">
        <f t="shared" si="428"/>
        <v>0</v>
      </c>
      <c r="DF108" s="263">
        <f t="shared" si="429"/>
        <v>0</v>
      </c>
      <c r="DG108" s="263">
        <f t="shared" si="430"/>
        <v>0</v>
      </c>
      <c r="DH108" s="263">
        <f t="shared" si="431"/>
        <v>0</v>
      </c>
      <c r="DI108" s="263">
        <f t="shared" si="432"/>
        <v>3073360.02</v>
      </c>
      <c r="DJ108" s="263">
        <f t="shared" si="433"/>
        <v>0</v>
      </c>
      <c r="DK108" s="263">
        <f t="shared" si="434"/>
        <v>0</v>
      </c>
      <c r="DL108" s="263">
        <f t="shared" si="435"/>
        <v>0</v>
      </c>
      <c r="DM108" s="263">
        <f t="shared" si="436"/>
        <v>0</v>
      </c>
      <c r="DO108" s="264">
        <f t="shared" si="437"/>
        <v>0</v>
      </c>
      <c r="DP108" s="265">
        <f t="shared" si="438"/>
        <v>0</v>
      </c>
      <c r="DQ108" s="264">
        <f t="shared" si="439"/>
        <v>0</v>
      </c>
      <c r="DR108" s="264">
        <f t="shared" si="440"/>
        <v>0</v>
      </c>
      <c r="DS108" s="265">
        <f t="shared" si="441"/>
        <v>0</v>
      </c>
      <c r="DT108" s="264">
        <f t="shared" si="442"/>
        <v>0</v>
      </c>
      <c r="DU108" s="264">
        <f t="shared" si="443"/>
        <v>0</v>
      </c>
      <c r="DV108" s="265">
        <f t="shared" si="444"/>
        <v>0</v>
      </c>
      <c r="DW108" s="264">
        <f t="shared" si="445"/>
        <v>0</v>
      </c>
      <c r="DX108" s="264">
        <f t="shared" si="446"/>
        <v>0</v>
      </c>
      <c r="DY108" s="265">
        <f t="shared" si="447"/>
        <v>0</v>
      </c>
      <c r="DZ108" s="264">
        <f t="shared" si="448"/>
        <v>0</v>
      </c>
      <c r="EA108" s="264">
        <f t="shared" si="449"/>
        <v>0</v>
      </c>
      <c r="EB108" s="265">
        <f t="shared" si="450"/>
        <v>0</v>
      </c>
      <c r="EC108" s="264">
        <f t="shared" si="451"/>
        <v>0</v>
      </c>
      <c r="ED108" s="264">
        <f t="shared" si="452"/>
        <v>0</v>
      </c>
      <c r="EE108" s="265">
        <f t="shared" si="453"/>
        <v>0</v>
      </c>
      <c r="EF108" s="264">
        <f t="shared" si="454"/>
        <v>0</v>
      </c>
      <c r="EG108" s="264">
        <f t="shared" si="455"/>
        <v>0</v>
      </c>
      <c r="EH108" s="265">
        <f t="shared" si="456"/>
        <v>0</v>
      </c>
      <c r="EI108" s="264">
        <f t="shared" si="457"/>
        <v>0</v>
      </c>
      <c r="EJ108" s="264">
        <f t="shared" si="458"/>
        <v>0</v>
      </c>
      <c r="EK108" s="265">
        <f t="shared" si="459"/>
        <v>0</v>
      </c>
      <c r="EL108" s="264">
        <f t="shared" si="460"/>
        <v>0</v>
      </c>
      <c r="EM108" s="264">
        <f t="shared" si="461"/>
        <v>0</v>
      </c>
      <c r="EN108" s="265">
        <f t="shared" si="462"/>
        <v>0</v>
      </c>
      <c r="EO108" s="264">
        <f t="shared" si="463"/>
        <v>0</v>
      </c>
      <c r="EP108" s="264">
        <f t="shared" si="464"/>
        <v>0</v>
      </c>
      <c r="EQ108" s="265">
        <f t="shared" si="465"/>
        <v>0</v>
      </c>
      <c r="ER108" s="264">
        <f t="shared" si="466"/>
        <v>0</v>
      </c>
      <c r="ES108" s="264">
        <f t="shared" si="467"/>
        <v>0</v>
      </c>
      <c r="ET108" s="265">
        <f t="shared" si="468"/>
        <v>0</v>
      </c>
      <c r="EU108" s="264">
        <f t="shared" si="469"/>
        <v>0</v>
      </c>
      <c r="EV108" s="264">
        <f>IF(AND(BM108="Yes",OR(BN108="No",AND(BN108="Yes",Inputs!$J$8=Inputs!$J$17+75))),EU108,0)</f>
        <v>0</v>
      </c>
      <c r="EW108" s="265">
        <f t="shared" si="470"/>
        <v>0</v>
      </c>
      <c r="EX108" s="264">
        <f t="shared" si="471"/>
        <v>0</v>
      </c>
      <c r="EY108" s="264">
        <f t="shared" si="472"/>
        <v>0</v>
      </c>
      <c r="EZ108" s="265">
        <f t="shared" si="473"/>
        <v>0</v>
      </c>
      <c r="FA108" s="264">
        <f t="shared" si="474"/>
        <v>0</v>
      </c>
      <c r="FB108" s="264">
        <f t="shared" si="475"/>
        <v>0</v>
      </c>
      <c r="FC108" s="265">
        <f t="shared" si="476"/>
        <v>0</v>
      </c>
      <c r="FD108" s="264">
        <f t="shared" si="477"/>
        <v>0</v>
      </c>
      <c r="FE108" s="264">
        <f t="shared" si="478"/>
        <v>0</v>
      </c>
      <c r="FF108" s="265">
        <f t="shared" si="479"/>
        <v>0</v>
      </c>
      <c r="FG108" s="264">
        <f t="shared" si="480"/>
        <v>0</v>
      </c>
      <c r="FH108" s="264">
        <f t="shared" si="481"/>
        <v>0</v>
      </c>
      <c r="FI108" s="264">
        <f t="shared" si="482"/>
        <v>0</v>
      </c>
      <c r="FJ108" s="264">
        <f t="shared" si="483"/>
        <v>0</v>
      </c>
      <c r="FK108" s="264">
        <f t="shared" si="484"/>
        <v>0</v>
      </c>
      <c r="FL108" s="264">
        <f t="shared" si="485"/>
        <v>0</v>
      </c>
      <c r="FM108" s="264">
        <f t="shared" si="486"/>
        <v>0</v>
      </c>
      <c r="FN108" s="264">
        <f t="shared" si="487"/>
        <v>0</v>
      </c>
      <c r="FO108" s="264">
        <f t="shared" si="488"/>
        <v>0</v>
      </c>
      <c r="FP108" s="264">
        <f t="shared" si="489"/>
        <v>0</v>
      </c>
      <c r="FQ108" s="264">
        <f t="shared" si="490"/>
        <v>0</v>
      </c>
      <c r="FR108" s="265">
        <f t="shared" si="491"/>
        <v>0</v>
      </c>
      <c r="FS108" s="264">
        <f t="shared" si="492"/>
        <v>0</v>
      </c>
      <c r="FT108" s="264">
        <f t="shared" si="493"/>
        <v>0</v>
      </c>
      <c r="FU108" s="265">
        <f t="shared" si="494"/>
        <v>0</v>
      </c>
      <c r="FV108" s="264">
        <f t="shared" si="495"/>
        <v>0</v>
      </c>
      <c r="FW108" s="264">
        <f t="shared" si="496"/>
        <v>0</v>
      </c>
      <c r="FX108" s="264">
        <f t="shared" si="497"/>
        <v>0</v>
      </c>
      <c r="FY108" s="264">
        <f t="shared" si="498"/>
        <v>0</v>
      </c>
      <c r="FZ108" s="264">
        <f t="shared" si="499"/>
        <v>0</v>
      </c>
      <c r="GA108" s="265">
        <f t="shared" si="500"/>
        <v>0</v>
      </c>
      <c r="GB108" s="264">
        <f t="shared" si="501"/>
        <v>0</v>
      </c>
      <c r="GC108" s="264">
        <f t="shared" si="502"/>
        <v>0</v>
      </c>
      <c r="GD108" s="266">
        <f t="shared" si="503"/>
        <v>0</v>
      </c>
      <c r="GE108" s="138">
        <f t="shared" si="504"/>
        <v>0</v>
      </c>
      <c r="GF108" s="267">
        <f t="shared" si="505"/>
        <v>18</v>
      </c>
      <c r="GG108" s="264">
        <f t="array" ref="GG108">IF(SUM(IF(IC$9:IC107=IC108,1,0))&gt;0,0,SUMIF($IC$10:$IC$406,IC108,$FJ$10:$FJ$406))</f>
        <v>0</v>
      </c>
      <c r="GH108" s="268">
        <f t="shared" si="506"/>
        <v>0</v>
      </c>
      <c r="GI108" s="137">
        <f t="shared" si="126"/>
        <v>99</v>
      </c>
      <c r="GJ108" s="269">
        <f t="shared" si="507"/>
        <v>0</v>
      </c>
      <c r="GK108" s="269">
        <f t="shared" si="508"/>
        <v>0</v>
      </c>
      <c r="GL108" s="163">
        <f t="shared" si="509"/>
        <v>0</v>
      </c>
      <c r="GM108" s="137">
        <f t="array" ref="GM108">IF(GJ108=0,0,LARGE(IF($GG$10:$GG$406=GJ108,$GF$10:$GF$406,0),COUNTIF($GJ$10:$GJ$406,GJ108)-COUNTIF(GJ$9:GJ107,GJ108)))</f>
        <v>0</v>
      </c>
      <c r="GN108" s="270">
        <f t="shared" si="510"/>
        <v>0</v>
      </c>
      <c r="GP108" s="137">
        <f>IF(C108="","",IF(ISERROR(MATCH(C108,C$10:C107,0)),MAX(GP$10:GP107)+1,INDEX(GP$10:GP107,MATCH(C108,C$10:C107,0))))</f>
        <v>79</v>
      </c>
      <c r="GQ108" s="264">
        <f>IF(COUNTIF($A$10:A108,A108)&lt;=1,SUMIF($A$10:$A$406,A108,$FH$10:$FH$406),0)</f>
        <v>0</v>
      </c>
      <c r="GR108" s="137">
        <f t="shared" si="130"/>
        <v>99</v>
      </c>
      <c r="GS108" s="269">
        <f t="shared" si="554"/>
        <v>980000</v>
      </c>
      <c r="GT108" s="269">
        <f t="shared" si="555"/>
        <v>50964284.172430128</v>
      </c>
      <c r="GU108" s="163">
        <f t="shared" si="556"/>
        <v>0</v>
      </c>
      <c r="GV108" s="137">
        <f t="array" ref="GV108">IF(GS108=0,0,LARGE(IF($GQ$10:$GQ$406=GS108,$GP$10:$GP$406,0),COUNTIF($GS$10:$GS$406,GS108)-COUNTIF(GS$9:GS107,GS108)))</f>
        <v>42</v>
      </c>
      <c r="GW108" s="270">
        <f t="shared" si="557"/>
        <v>0</v>
      </c>
      <c r="GX108" s="270"/>
      <c r="GY108" s="137">
        <f>IF(C108="","",IF(ISERROR(MATCH(C108,C$10:C107,0)),MAX(GP$10:GP107)+1,INDEX(GP$10:GP107,MATCH(C108,C$10:C107,0))))</f>
        <v>79</v>
      </c>
      <c r="GZ108" s="264">
        <f>IF(COUNTIF($A$10:A108,A108)&lt;=1,SUMIF($A$10:$A$406,A108,$FH$10:$FH$406),0)</f>
        <v>0</v>
      </c>
      <c r="HA108" s="137">
        <f t="shared" si="134"/>
        <v>99</v>
      </c>
      <c r="HB108" s="269">
        <f t="shared" si="515"/>
        <v>980000</v>
      </c>
      <c r="HC108" s="414" t="s">
        <v>622</v>
      </c>
      <c r="HD108" s="163">
        <f t="shared" si="516"/>
        <v>0</v>
      </c>
      <c r="HE108" s="137">
        <f t="array" ref="HE108">IF(HB108=0,0,LARGE(IF($GZ$10:$GZ$406=HB108,$GY$10:$GY$406,0),COUNTIF($HB$10:$HB$406,HB108)-COUNTIF(HB$9:HB107,HB108)))</f>
        <v>42</v>
      </c>
      <c r="HF108" s="270">
        <f t="shared" si="517"/>
        <v>0</v>
      </c>
      <c r="HG108" s="270"/>
      <c r="HH108" s="268">
        <f t="shared" si="518"/>
        <v>0</v>
      </c>
      <c r="HI108" s="271">
        <v>0</v>
      </c>
      <c r="HJ108" s="264">
        <f t="shared" si="519"/>
        <v>0</v>
      </c>
      <c r="HL108" s="137">
        <f t="shared" si="520"/>
        <v>99</v>
      </c>
      <c r="HM108" s="264">
        <f t="shared" si="521"/>
        <v>27620404</v>
      </c>
      <c r="HN108"/>
      <c r="HO108" s="199">
        <f t="shared" si="522"/>
        <v>0</v>
      </c>
      <c r="HP108" s="199">
        <f t="shared" si="523"/>
        <v>3073360.02</v>
      </c>
      <c r="HQ108" s="199" t="str">
        <f t="shared" si="524"/>
        <v/>
      </c>
      <c r="HR108" s="199" t="str">
        <f t="shared" si="525"/>
        <v/>
      </c>
      <c r="HS108" s="199" t="str">
        <f t="shared" si="539"/>
        <v/>
      </c>
      <c r="HT108" s="199">
        <f t="shared" si="526"/>
        <v>0</v>
      </c>
      <c r="HU108" s="199" t="str">
        <f t="shared" si="527"/>
        <v/>
      </c>
      <c r="HV108" s="200">
        <f t="shared" si="528"/>
        <v>0</v>
      </c>
      <c r="HW108" s="272">
        <f t="shared" si="540"/>
        <v>1</v>
      </c>
      <c r="HX108" s="200" t="str">
        <f t="shared" si="529"/>
        <v/>
      </c>
      <c r="HY108" s="200">
        <f t="shared" si="530"/>
        <v>0</v>
      </c>
      <c r="HZ108" s="200" t="str">
        <f t="shared" si="535"/>
        <v/>
      </c>
      <c r="IA108" s="200" t="str">
        <f t="shared" si="531"/>
        <v/>
      </c>
      <c r="IB108" s="200" t="str">
        <f t="shared" si="532"/>
        <v/>
      </c>
      <c r="IC108" s="273">
        <f>IF(C108="","",INDEX(Lookups!$E$2:$E$69,MATCH('Loan List'!BE108,Lookups!$F$2:$F$69,0)))</f>
        <v>18</v>
      </c>
      <c r="ID108" t="b">
        <f t="shared" si="533"/>
        <v>1</v>
      </c>
      <c r="IF108" s="346"/>
    </row>
    <row r="109" spans="1:240" ht="15" customHeight="1">
      <c r="A109" t="s">
        <v>543</v>
      </c>
      <c r="B109" s="242">
        <f t="shared" si="541"/>
        <v>100</v>
      </c>
      <c r="C109" s="242">
        <f>IF(COUNTIF($A$10:A108,A109)&gt;0,C108,C108+1)</f>
        <v>80</v>
      </c>
      <c r="D109" s="428" t="s">
        <v>543</v>
      </c>
      <c r="E109" s="428" t="s">
        <v>477</v>
      </c>
      <c r="F109" s="429"/>
      <c r="G109" s="430">
        <v>12088121.479999999</v>
      </c>
      <c r="H109" s="430">
        <v>12088121.479999999</v>
      </c>
      <c r="I109" s="244">
        <f>IF(B109="","",VLOOKUP(BF109,Inputs!$A$12:$J$15,10,FALSE))</f>
        <v>1</v>
      </c>
      <c r="J109" s="245">
        <f t="shared" si="542"/>
        <v>12088121.479999999</v>
      </c>
      <c r="K109" s="245">
        <f t="shared" si="543"/>
        <v>12088121.479999999</v>
      </c>
      <c r="L109" s="245">
        <f t="shared" si="544"/>
        <v>12088121.479999999</v>
      </c>
      <c r="M109" s="245">
        <f t="shared" si="545"/>
        <v>12088121.479999999</v>
      </c>
      <c r="N109" s="246" t="s">
        <v>246</v>
      </c>
      <c r="O109" s="246" t="s">
        <v>245</v>
      </c>
      <c r="P109" s="247">
        <f>IF(B109="","",IF(OR(O109="N/A",O109=""),0,YEARFRAC('Borrowing Base'!$J$4,'Loan List'!O109)*12))</f>
        <v>0</v>
      </c>
      <c r="Q109" s="246" t="s">
        <v>246</v>
      </c>
      <c r="R109" s="275">
        <v>0.98665433173030237</v>
      </c>
      <c r="S109" s="249" t="str">
        <f t="shared" si="546"/>
        <v>No</v>
      </c>
      <c r="T109" s="275">
        <v>1</v>
      </c>
      <c r="U109" s="250">
        <f t="shared" si="547"/>
        <v>0.5</v>
      </c>
      <c r="V109" s="250">
        <f t="shared" si="548"/>
        <v>0.68900340909090896</v>
      </c>
      <c r="W109" s="251">
        <f t="shared" si="385"/>
        <v>12088121.479999999</v>
      </c>
      <c r="X109" s="246" t="s">
        <v>64</v>
      </c>
      <c r="Y109" s="252" t="s">
        <v>483</v>
      </c>
      <c r="Z109" s="252" t="s">
        <v>484</v>
      </c>
      <c r="AA109" s="253" t="s">
        <v>407</v>
      </c>
      <c r="AB109" s="253" t="s">
        <v>713</v>
      </c>
      <c r="AC109" s="254">
        <v>1.25</v>
      </c>
      <c r="AD109" s="254">
        <v>1.1089064920983125</v>
      </c>
      <c r="AE109" s="254">
        <v>2.0310945940519214</v>
      </c>
      <c r="AF109" s="254">
        <v>0.41400075272864134</v>
      </c>
      <c r="AG109" s="256">
        <v>4.9778260476061185</v>
      </c>
      <c r="AH109" s="256">
        <v>4.9778260476061185</v>
      </c>
      <c r="AI109" s="256">
        <v>4.3684680044987321</v>
      </c>
      <c r="AJ109" s="256">
        <v>4.37094152084771</v>
      </c>
      <c r="AK109" s="257">
        <v>11049000</v>
      </c>
      <c r="AL109" s="257">
        <v>27463736</v>
      </c>
      <c r="AM109" s="258">
        <v>45838</v>
      </c>
      <c r="AN109" s="245" t="str">
        <f t="shared" si="549"/>
        <v>Tier 2</v>
      </c>
      <c r="AO109" s="243">
        <v>46203</v>
      </c>
      <c r="AP109" s="259">
        <f>IF(C109="","",DAYS360(Inputs!$J$8,AO109)/360)</f>
        <v>0.85</v>
      </c>
      <c r="AQ109" s="259">
        <f t="shared" si="550"/>
        <v>0.85</v>
      </c>
      <c r="AR109" s="246" t="s">
        <v>246</v>
      </c>
      <c r="AS109" s="276">
        <v>0</v>
      </c>
      <c r="AT109" s="246" t="s">
        <v>64</v>
      </c>
      <c r="AU109" s="248">
        <v>0.01</v>
      </c>
      <c r="AV109" s="248">
        <v>5.8999999999999997E-2</v>
      </c>
      <c r="AW109" s="248">
        <v>4.2956000000000008E-2</v>
      </c>
      <c r="AX109" s="260">
        <f t="shared" si="551"/>
        <v>4.2956000000000008E-2</v>
      </c>
      <c r="AY109" s="248">
        <v>0</v>
      </c>
      <c r="AZ109" s="248">
        <v>0</v>
      </c>
      <c r="BA109" s="248">
        <v>0</v>
      </c>
      <c r="BB109" s="407">
        <f t="shared" si="536"/>
        <v>5.8999999999999997E-2</v>
      </c>
      <c r="BC109" s="407" t="str">
        <f t="shared" si="537"/>
        <v/>
      </c>
      <c r="BD109" s="252" t="s">
        <v>247</v>
      </c>
      <c r="BE109" s="261" t="s">
        <v>437</v>
      </c>
      <c r="BF109" s="252" t="s">
        <v>7</v>
      </c>
      <c r="BG109" s="252" t="s">
        <v>460</v>
      </c>
      <c r="BH109" s="246" t="s">
        <v>246</v>
      </c>
      <c r="BI109" s="408" t="str">
        <f t="shared" si="534"/>
        <v>No</v>
      </c>
      <c r="BJ109" s="408" t="str">
        <f t="shared" si="538"/>
        <v>No</v>
      </c>
      <c r="BK109" s="246" t="s">
        <v>246</v>
      </c>
      <c r="BL109" s="246" t="s">
        <v>246</v>
      </c>
      <c r="BM109" s="246" t="s">
        <v>246</v>
      </c>
      <c r="BN109" s="246" t="s">
        <v>246</v>
      </c>
      <c r="BO109" s="246" t="s">
        <v>246</v>
      </c>
      <c r="BP109" s="246" t="s">
        <v>246</v>
      </c>
      <c r="BQ109" s="246" t="s">
        <v>246</v>
      </c>
      <c r="BR109" s="246" t="s">
        <v>246</v>
      </c>
      <c r="BS109" s="246" t="s">
        <v>246</v>
      </c>
      <c r="BT109" s="246" t="s">
        <v>246</v>
      </c>
      <c r="BU109" s="246" t="s">
        <v>246</v>
      </c>
      <c r="BV109" s="246" t="s">
        <v>246</v>
      </c>
      <c r="BW109" s="246" t="s">
        <v>246</v>
      </c>
      <c r="BX109" s="246" t="s">
        <v>246</v>
      </c>
      <c r="BY109" s="246" t="s">
        <v>246</v>
      </c>
      <c r="BZ109" s="246" t="s">
        <v>246</v>
      </c>
      <c r="CA109" s="246" t="s">
        <v>246</v>
      </c>
      <c r="CB109" s="246" t="s">
        <v>64</v>
      </c>
      <c r="CC109" s="262">
        <f t="shared" si="552"/>
        <v>709978.89175772795</v>
      </c>
      <c r="CD109" s="262">
        <f t="shared" si="553"/>
        <v>0</v>
      </c>
      <c r="CE109" s="263"/>
      <c r="CF109" s="263">
        <f t="shared" si="403"/>
        <v>0</v>
      </c>
      <c r="CG109" s="263">
        <f t="shared" si="404"/>
        <v>0</v>
      </c>
      <c r="CH109" s="263">
        <f t="shared" si="405"/>
        <v>0</v>
      </c>
      <c r="CI109" s="263">
        <f t="shared" si="406"/>
        <v>0</v>
      </c>
      <c r="CJ109" s="263">
        <f t="shared" si="407"/>
        <v>0</v>
      </c>
      <c r="CK109" s="263">
        <f t="shared" si="408"/>
        <v>0</v>
      </c>
      <c r="CL109" s="263">
        <f t="shared" si="409"/>
        <v>0</v>
      </c>
      <c r="CM109" s="263">
        <f t="shared" si="410"/>
        <v>0</v>
      </c>
      <c r="CN109" s="263">
        <f t="shared" si="411"/>
        <v>0</v>
      </c>
      <c r="CO109" s="263">
        <f t="shared" si="412"/>
        <v>0</v>
      </c>
      <c r="CP109" s="263">
        <f t="shared" si="413"/>
        <v>0</v>
      </c>
      <c r="CQ109" s="263">
        <f t="shared" si="414"/>
        <v>0</v>
      </c>
      <c r="CR109" s="263">
        <f t="shared" si="415"/>
        <v>0</v>
      </c>
      <c r="CS109" s="263">
        <f t="shared" si="416"/>
        <v>0</v>
      </c>
      <c r="CT109" s="263">
        <f t="shared" si="417"/>
        <v>0</v>
      </c>
      <c r="CU109" s="263">
        <f t="shared" si="418"/>
        <v>0</v>
      </c>
      <c r="CV109" s="263">
        <f t="shared" si="419"/>
        <v>0</v>
      </c>
      <c r="CW109" s="263">
        <f t="shared" si="420"/>
        <v>0</v>
      </c>
      <c r="CX109" s="263">
        <f t="shared" si="421"/>
        <v>0</v>
      </c>
      <c r="CY109" s="263">
        <f t="shared" si="422"/>
        <v>0</v>
      </c>
      <c r="CZ109" s="263">
        <f t="shared" si="423"/>
        <v>0</v>
      </c>
      <c r="DA109" s="263">
        <f t="shared" si="424"/>
        <v>0</v>
      </c>
      <c r="DB109" s="263">
        <f t="shared" si="425"/>
        <v>0</v>
      </c>
      <c r="DC109" s="263">
        <f t="shared" si="426"/>
        <v>0</v>
      </c>
      <c r="DD109" s="263">
        <f t="shared" si="427"/>
        <v>0</v>
      </c>
      <c r="DE109" s="263">
        <f t="shared" si="428"/>
        <v>0</v>
      </c>
      <c r="DF109" s="263">
        <f t="shared" si="429"/>
        <v>12088121.479999999</v>
      </c>
      <c r="DG109" s="263">
        <f t="shared" si="430"/>
        <v>0</v>
      </c>
      <c r="DH109" s="263">
        <f t="shared" si="431"/>
        <v>12088121.479999999</v>
      </c>
      <c r="DI109" s="263">
        <f t="shared" si="432"/>
        <v>12088121.479999999</v>
      </c>
      <c r="DJ109" s="263">
        <f t="shared" si="433"/>
        <v>0</v>
      </c>
      <c r="DK109" s="263">
        <f t="shared" si="434"/>
        <v>0</v>
      </c>
      <c r="DL109" s="263">
        <f t="shared" si="435"/>
        <v>0</v>
      </c>
      <c r="DM109" s="263">
        <f t="shared" si="436"/>
        <v>0</v>
      </c>
      <c r="DO109" s="264">
        <f t="shared" si="437"/>
        <v>0</v>
      </c>
      <c r="DP109" s="265">
        <f t="shared" si="438"/>
        <v>0</v>
      </c>
      <c r="DQ109" s="264">
        <f t="shared" si="439"/>
        <v>12088121.479999999</v>
      </c>
      <c r="DR109" s="264">
        <f t="shared" si="440"/>
        <v>0</v>
      </c>
      <c r="DS109" s="265">
        <f t="shared" si="441"/>
        <v>0</v>
      </c>
      <c r="DT109" s="264">
        <f t="shared" si="442"/>
        <v>12088121.479999999</v>
      </c>
      <c r="DU109" s="264">
        <f t="shared" si="443"/>
        <v>0</v>
      </c>
      <c r="DV109" s="265">
        <f t="shared" si="444"/>
        <v>0</v>
      </c>
      <c r="DW109" s="264">
        <f t="shared" si="445"/>
        <v>12088121.479999999</v>
      </c>
      <c r="DX109" s="264">
        <f t="shared" si="446"/>
        <v>0</v>
      </c>
      <c r="DY109" s="265">
        <f t="shared" si="447"/>
        <v>0</v>
      </c>
      <c r="DZ109" s="264">
        <f t="shared" si="448"/>
        <v>12088121.479999999</v>
      </c>
      <c r="EA109" s="264">
        <f t="shared" si="449"/>
        <v>0</v>
      </c>
      <c r="EB109" s="265">
        <f t="shared" si="450"/>
        <v>0</v>
      </c>
      <c r="EC109" s="264">
        <f t="shared" si="451"/>
        <v>12088121.479999999</v>
      </c>
      <c r="ED109" s="264">
        <f t="shared" si="452"/>
        <v>0</v>
      </c>
      <c r="EE109" s="265">
        <f t="shared" si="453"/>
        <v>0</v>
      </c>
      <c r="EF109" s="264">
        <f t="shared" si="454"/>
        <v>12088121.479999999</v>
      </c>
      <c r="EG109" s="264">
        <f t="shared" si="455"/>
        <v>0</v>
      </c>
      <c r="EH109" s="265">
        <f t="shared" si="456"/>
        <v>0</v>
      </c>
      <c r="EI109" s="264">
        <f t="shared" si="457"/>
        <v>12088121.479999999</v>
      </c>
      <c r="EJ109" s="264">
        <f t="shared" si="458"/>
        <v>0</v>
      </c>
      <c r="EK109" s="265">
        <f t="shared" si="459"/>
        <v>0</v>
      </c>
      <c r="EL109" s="264">
        <f t="shared" si="460"/>
        <v>12088121.479999999</v>
      </c>
      <c r="EM109" s="264">
        <f t="shared" si="461"/>
        <v>0</v>
      </c>
      <c r="EN109" s="265">
        <f t="shared" si="462"/>
        <v>0</v>
      </c>
      <c r="EO109" s="264">
        <f t="shared" si="463"/>
        <v>12088121.479999999</v>
      </c>
      <c r="EP109" s="264">
        <f t="shared" si="464"/>
        <v>0</v>
      </c>
      <c r="EQ109" s="265">
        <f t="shared" si="465"/>
        <v>0</v>
      </c>
      <c r="ER109" s="264">
        <f t="shared" si="466"/>
        <v>12088121.479999999</v>
      </c>
      <c r="ES109" s="264">
        <f t="shared" si="467"/>
        <v>0</v>
      </c>
      <c r="ET109" s="265">
        <f t="shared" si="468"/>
        <v>0</v>
      </c>
      <c r="EU109" s="264">
        <f t="shared" si="469"/>
        <v>12088121.479999999</v>
      </c>
      <c r="EV109" s="264">
        <f>IF(AND(BM109="Yes",OR(BN109="No",AND(BN109="Yes",Inputs!$J$8=Inputs!$J$17+75))),EU109,0)</f>
        <v>0</v>
      </c>
      <c r="EW109" s="265">
        <f t="shared" si="470"/>
        <v>0</v>
      </c>
      <c r="EX109" s="264">
        <f t="shared" si="471"/>
        <v>12088121.479999999</v>
      </c>
      <c r="EY109" s="264">
        <f t="shared" si="472"/>
        <v>0</v>
      </c>
      <c r="EZ109" s="265">
        <f t="shared" si="473"/>
        <v>0</v>
      </c>
      <c r="FA109" s="264">
        <f t="shared" si="474"/>
        <v>12088121.479999999</v>
      </c>
      <c r="FB109" s="264">
        <f t="shared" si="475"/>
        <v>0</v>
      </c>
      <c r="FC109" s="265">
        <f t="shared" si="476"/>
        <v>0</v>
      </c>
      <c r="FD109" s="264">
        <f t="shared" si="477"/>
        <v>12088121.479999999</v>
      </c>
      <c r="FE109" s="264">
        <f t="shared" si="478"/>
        <v>0</v>
      </c>
      <c r="FF109" s="265">
        <f t="shared" si="479"/>
        <v>0</v>
      </c>
      <c r="FG109" s="264">
        <f t="shared" si="480"/>
        <v>12088121.479999999</v>
      </c>
      <c r="FH109" s="264">
        <f t="shared" si="481"/>
        <v>12088121.479999999</v>
      </c>
      <c r="FI109" s="264">
        <f t="shared" si="482"/>
        <v>0</v>
      </c>
      <c r="FJ109" s="264">
        <f t="shared" si="483"/>
        <v>12088121.479999999</v>
      </c>
      <c r="FK109" s="264">
        <f t="shared" si="484"/>
        <v>12088121.479999999</v>
      </c>
      <c r="FL109" s="264">
        <f t="shared" si="485"/>
        <v>0</v>
      </c>
      <c r="FM109" s="264">
        <f t="shared" si="486"/>
        <v>12088121.479999999</v>
      </c>
      <c r="FN109" s="264">
        <f t="shared" si="487"/>
        <v>12088121.479999999</v>
      </c>
      <c r="FO109" s="264">
        <f t="shared" si="488"/>
        <v>0</v>
      </c>
      <c r="FP109" s="264">
        <f t="shared" si="489"/>
        <v>12088121.479999999</v>
      </c>
      <c r="FQ109" s="264">
        <f t="shared" si="490"/>
        <v>0</v>
      </c>
      <c r="FR109" s="265">
        <f t="shared" si="491"/>
        <v>0</v>
      </c>
      <c r="FS109" s="264">
        <f t="shared" si="492"/>
        <v>12088121.479999999</v>
      </c>
      <c r="FT109" s="264">
        <f t="shared" si="493"/>
        <v>0</v>
      </c>
      <c r="FU109" s="265">
        <f t="shared" si="494"/>
        <v>0</v>
      </c>
      <c r="FV109" s="264">
        <f t="shared" si="495"/>
        <v>12088121.479999999</v>
      </c>
      <c r="FW109" s="264">
        <f t="shared" si="496"/>
        <v>0</v>
      </c>
      <c r="FX109" s="264">
        <f t="shared" si="497"/>
        <v>0</v>
      </c>
      <c r="FY109" s="264">
        <f t="shared" si="498"/>
        <v>0</v>
      </c>
      <c r="FZ109" s="264">
        <f t="shared" si="499"/>
        <v>0</v>
      </c>
      <c r="GA109" s="265">
        <f t="shared" si="500"/>
        <v>0</v>
      </c>
      <c r="GB109" s="264">
        <f t="shared" si="501"/>
        <v>12088121.479999999</v>
      </c>
      <c r="GC109" s="264">
        <f t="shared" si="502"/>
        <v>12088121.479999999</v>
      </c>
      <c r="GD109" s="266">
        <f t="shared" si="503"/>
        <v>8328756.9092250429</v>
      </c>
      <c r="GE109" s="138">
        <f t="shared" si="504"/>
        <v>0.68900340909090896</v>
      </c>
      <c r="GF109" s="267">
        <f t="shared" si="505"/>
        <v>46</v>
      </c>
      <c r="GG109" s="264">
        <f t="array" ref="GG109">IF(SUM(IF(IC$9:IC108=IC109,1,0))&gt;0,0,SUMIF($IC$10:$IC$406,IC109,$FJ$10:$FJ$406))</f>
        <v>0</v>
      </c>
      <c r="GH109" s="268">
        <f t="shared" si="506"/>
        <v>0</v>
      </c>
      <c r="GI109" s="137">
        <f t="shared" si="126"/>
        <v>100</v>
      </c>
      <c r="GJ109" s="269">
        <f t="shared" si="507"/>
        <v>0</v>
      </c>
      <c r="GK109" s="269">
        <f t="shared" si="508"/>
        <v>0</v>
      </c>
      <c r="GL109" s="163">
        <f t="shared" si="509"/>
        <v>0</v>
      </c>
      <c r="GM109" s="137">
        <f t="array" ref="GM109">IF(GJ109=0,0,LARGE(IF($GG$10:$GG$406=GJ109,$GF$10:$GF$406,0),COUNTIF($GJ$10:$GJ$406,GJ109)-COUNTIF(GJ$9:GJ108,GJ109)))</f>
        <v>0</v>
      </c>
      <c r="GN109" s="270">
        <f t="shared" si="510"/>
        <v>0</v>
      </c>
      <c r="GP109" s="137">
        <f>IF(C109="","",IF(ISERROR(MATCH(C109,C$10:C108,0)),MAX(GP$10:GP108)+1,INDEX(GP$10:GP108,MATCH(C109,C$10:C108,0))))</f>
        <v>80</v>
      </c>
      <c r="GQ109" s="264">
        <f>IF(COUNTIF($A$10:A109,A109)&lt;=1,SUMIF($A$10:$A$406,A109,$FH$10:$FH$406),0)</f>
        <v>12088121.479999999</v>
      </c>
      <c r="GR109" s="137">
        <f t="shared" si="130"/>
        <v>100</v>
      </c>
      <c r="GS109" s="269">
        <f t="shared" si="554"/>
        <v>893147.4</v>
      </c>
      <c r="GT109" s="269">
        <f t="shared" si="555"/>
        <v>50964284.172430128</v>
      </c>
      <c r="GU109" s="163">
        <f t="shared" si="556"/>
        <v>0</v>
      </c>
      <c r="GV109" s="137">
        <f t="array" ref="GV109">IF(GS109=0,0,LARGE(IF($GQ$10:$GQ$406=GS109,$GP$10:$GP$406,0),COUNTIF($GS$10:$GS$406,GS109)-COUNTIF(GS$9:GS108,GS109)))</f>
        <v>13</v>
      </c>
      <c r="GW109" s="270">
        <f t="shared" si="557"/>
        <v>0</v>
      </c>
      <c r="GX109" s="270"/>
      <c r="GY109" s="137">
        <f>IF(C109="","",IF(ISERROR(MATCH(C109,C$10:C108,0)),MAX(GP$10:GP108)+1,INDEX(GP$10:GP108,MATCH(C109,C$10:C108,0))))</f>
        <v>80</v>
      </c>
      <c r="GZ109" s="264">
        <f>IF(COUNTIF($A$10:A109,A109)&lt;=1,SUMIF($A$10:$A$406,A109,$FH$10:$FH$406),0)</f>
        <v>12088121.479999999</v>
      </c>
      <c r="HA109" s="137">
        <f t="shared" si="134"/>
        <v>100</v>
      </c>
      <c r="HB109" s="269">
        <f t="shared" si="515"/>
        <v>893147.4</v>
      </c>
      <c r="HC109" s="414" t="s">
        <v>622</v>
      </c>
      <c r="HD109" s="163">
        <f t="shared" si="516"/>
        <v>0</v>
      </c>
      <c r="HE109" s="137">
        <f t="array" ref="HE109">IF(HB109=0,0,LARGE(IF($GZ$10:$GZ$406=HB109,$GY$10:$GY$406,0),COUNTIF($HB$10:$HB$406,HB109)-COUNTIF(HB$9:HB108,HB109)))</f>
        <v>13</v>
      </c>
      <c r="HF109" s="270">
        <f t="shared" si="517"/>
        <v>0</v>
      </c>
      <c r="HG109" s="270"/>
      <c r="HH109" s="268">
        <f t="shared" si="518"/>
        <v>0</v>
      </c>
      <c r="HI109" s="271">
        <v>0</v>
      </c>
      <c r="HJ109" s="264">
        <f t="shared" si="519"/>
        <v>0</v>
      </c>
      <c r="HL109" s="137">
        <f t="shared" si="520"/>
        <v>100</v>
      </c>
      <c r="HM109" s="264">
        <f t="shared" si="521"/>
        <v>11940000</v>
      </c>
      <c r="HN109"/>
      <c r="HO109" s="199">
        <f t="shared" si="522"/>
        <v>12088121.479999999</v>
      </c>
      <c r="HP109" s="199">
        <f t="shared" si="523"/>
        <v>12088121.479999999</v>
      </c>
      <c r="HQ109" s="199" t="str">
        <f t="shared" si="524"/>
        <v/>
      </c>
      <c r="HR109" s="199" t="str">
        <f t="shared" si="525"/>
        <v/>
      </c>
      <c r="HS109" s="199" t="str">
        <f t="shared" si="539"/>
        <v/>
      </c>
      <c r="HT109" s="199" t="str">
        <f t="shared" si="526"/>
        <v/>
      </c>
      <c r="HU109" s="199" t="str">
        <f t="shared" si="527"/>
        <v/>
      </c>
      <c r="HV109" s="200">
        <f t="shared" si="528"/>
        <v>0</v>
      </c>
      <c r="HW109" s="272">
        <f t="shared" si="540"/>
        <v>1</v>
      </c>
      <c r="HX109" s="200" t="str">
        <f t="shared" si="529"/>
        <v/>
      </c>
      <c r="HY109" s="200">
        <f t="shared" si="530"/>
        <v>0</v>
      </c>
      <c r="HZ109" s="200" t="str">
        <f t="shared" si="535"/>
        <v/>
      </c>
      <c r="IA109" s="200" t="str">
        <f t="shared" si="531"/>
        <v/>
      </c>
      <c r="IB109" s="200" t="str">
        <f t="shared" si="532"/>
        <v/>
      </c>
      <c r="IC109" s="273">
        <f>IF(C109="","",INDEX(Lookups!$E$2:$E$69,MATCH('Loan List'!BE109,Lookups!$F$2:$F$69,0)))</f>
        <v>46</v>
      </c>
      <c r="ID109" t="b">
        <f t="shared" si="533"/>
        <v>1</v>
      </c>
      <c r="IF109" s="346"/>
    </row>
    <row r="110" spans="1:240" ht="15" customHeight="1">
      <c r="A110" t="s">
        <v>695</v>
      </c>
      <c r="B110" s="242">
        <f t="shared" si="541"/>
        <v>101</v>
      </c>
      <c r="C110" s="242">
        <f>IF(COUNTIF($A$10:A109,A110)&gt;0,C109,C109+1)</f>
        <v>81</v>
      </c>
      <c r="D110" s="428" t="s">
        <v>695</v>
      </c>
      <c r="E110" s="428" t="s">
        <v>649</v>
      </c>
      <c r="F110" s="429"/>
      <c r="G110" s="430">
        <v>25304386.32</v>
      </c>
      <c r="H110" s="430">
        <v>25304386.32</v>
      </c>
      <c r="I110" s="244">
        <f>IF(B110="","",VLOOKUP(BF110,Inputs!$A$12:$J$15,10,FALSE))</f>
        <v>1</v>
      </c>
      <c r="J110" s="245">
        <f t="shared" si="542"/>
        <v>25304386.32</v>
      </c>
      <c r="K110" s="245">
        <f t="shared" si="543"/>
        <v>25304386.32</v>
      </c>
      <c r="L110" s="245">
        <f t="shared" si="544"/>
        <v>25304386.32</v>
      </c>
      <c r="M110" s="245">
        <f t="shared" si="545"/>
        <v>25304386.32</v>
      </c>
      <c r="N110" s="246" t="s">
        <v>246</v>
      </c>
      <c r="O110" s="246" t="s">
        <v>245</v>
      </c>
      <c r="P110" s="247">
        <f>IF(B110="","",IF(OR(O110="N/A",O110=""),0,YEARFRAC('Borrowing Base'!$J$4,'Loan List'!O110)*12))</f>
        <v>0</v>
      </c>
      <c r="Q110" s="246" t="s">
        <v>246</v>
      </c>
      <c r="R110" s="275">
        <v>0.9925248775211799</v>
      </c>
      <c r="S110" s="249" t="str">
        <f t="shared" si="546"/>
        <v>No</v>
      </c>
      <c r="T110" s="275">
        <v>1</v>
      </c>
      <c r="U110" s="250">
        <f t="shared" si="547"/>
        <v>0.5</v>
      </c>
      <c r="V110" s="250">
        <f t="shared" si="548"/>
        <v>0.72499999999999998</v>
      </c>
      <c r="W110" s="251">
        <f t="shared" si="385"/>
        <v>25304386.32</v>
      </c>
      <c r="X110" s="246" t="s">
        <v>246</v>
      </c>
      <c r="Y110" s="252" t="s">
        <v>483</v>
      </c>
      <c r="Z110" s="252" t="s">
        <v>484</v>
      </c>
      <c r="AA110" s="253" t="s">
        <v>407</v>
      </c>
      <c r="AB110" s="253" t="s">
        <v>713</v>
      </c>
      <c r="AC110" s="254">
        <v>1.8784215785394407</v>
      </c>
      <c r="AD110" s="254">
        <v>2.2056017215822394</v>
      </c>
      <c r="AE110" s="254">
        <v>2.8747782082481734</v>
      </c>
      <c r="AF110" s="254">
        <v>0.38283368082487135</v>
      </c>
      <c r="AG110" s="256">
        <v>5.2701072093643164</v>
      </c>
      <c r="AH110" s="256">
        <v>5.2701072093643164</v>
      </c>
      <c r="AI110" s="256">
        <v>3.4362807011936263</v>
      </c>
      <c r="AJ110" s="256">
        <v>3.4362807011936263</v>
      </c>
      <c r="AK110" s="257">
        <v>10208520.977410892</v>
      </c>
      <c r="AL110" s="257">
        <v>22710747.845160574</v>
      </c>
      <c r="AM110" s="258">
        <v>45777</v>
      </c>
      <c r="AN110" s="245" t="str">
        <f t="shared" si="549"/>
        <v>Tier 2</v>
      </c>
      <c r="AO110" s="243">
        <v>47749</v>
      </c>
      <c r="AP110" s="259">
        <f>IF(C110="","",DAYS360(Inputs!$J$8,AO110)/360)</f>
        <v>5.0805555555555557</v>
      </c>
      <c r="AQ110" s="259">
        <f t="shared" si="550"/>
        <v>5.0805555555555557</v>
      </c>
      <c r="AR110" s="246" t="s">
        <v>246</v>
      </c>
      <c r="AS110" s="276">
        <v>0</v>
      </c>
      <c r="AT110" s="246" t="s">
        <v>64</v>
      </c>
      <c r="AU110" s="248">
        <v>0.01</v>
      </c>
      <c r="AV110" s="248">
        <v>4.4999999999999998E-2</v>
      </c>
      <c r="AW110" s="248">
        <v>4.2956000000000008E-2</v>
      </c>
      <c r="AX110" s="260">
        <f t="shared" si="551"/>
        <v>4.2956000000000008E-2</v>
      </c>
      <c r="AY110" s="248">
        <v>0</v>
      </c>
      <c r="AZ110" s="248">
        <v>0</v>
      </c>
      <c r="BA110" s="248">
        <v>0</v>
      </c>
      <c r="BB110" s="407">
        <f t="shared" si="536"/>
        <v>4.4999999999999998E-2</v>
      </c>
      <c r="BC110" s="407" t="str">
        <f t="shared" si="537"/>
        <v/>
      </c>
      <c r="BD110" s="252" t="s">
        <v>247</v>
      </c>
      <c r="BE110" s="261" t="s">
        <v>455</v>
      </c>
      <c r="BF110" s="252" t="s">
        <v>7</v>
      </c>
      <c r="BG110" s="252" t="s">
        <v>460</v>
      </c>
      <c r="BH110" s="246" t="s">
        <v>246</v>
      </c>
      <c r="BI110" s="408" t="str">
        <f t="shared" si="534"/>
        <v>No</v>
      </c>
      <c r="BJ110" s="408" t="str">
        <f t="shared" si="538"/>
        <v>No</v>
      </c>
      <c r="BK110" s="246" t="s">
        <v>246</v>
      </c>
      <c r="BL110" s="246" t="s">
        <v>246</v>
      </c>
      <c r="BM110" s="246" t="s">
        <v>246</v>
      </c>
      <c r="BN110" s="246" t="s">
        <v>246</v>
      </c>
      <c r="BO110" s="246" t="s">
        <v>246</v>
      </c>
      <c r="BP110" s="246" t="s">
        <v>246</v>
      </c>
      <c r="BQ110" s="246" t="s">
        <v>246</v>
      </c>
      <c r="BR110" s="246" t="s">
        <v>246</v>
      </c>
      <c r="BS110" s="246" t="s">
        <v>246</v>
      </c>
      <c r="BT110" s="246" t="s">
        <v>246</v>
      </c>
      <c r="BU110" s="246" t="s">
        <v>246</v>
      </c>
      <c r="BV110" s="246" t="s">
        <v>246</v>
      </c>
      <c r="BW110" s="246" t="s">
        <v>246</v>
      </c>
      <c r="BX110" s="246" t="s">
        <v>246</v>
      </c>
      <c r="BY110" s="246" t="s">
        <v>246</v>
      </c>
      <c r="BZ110" s="246" t="s">
        <v>246</v>
      </c>
      <c r="CA110" s="246" t="s">
        <v>246</v>
      </c>
      <c r="CB110" s="246" t="s">
        <v>64</v>
      </c>
      <c r="CC110" s="262">
        <f t="shared" si="552"/>
        <v>1131956.2958843522</v>
      </c>
      <c r="CD110" s="262">
        <f t="shared" si="553"/>
        <v>0</v>
      </c>
      <c r="CE110" s="263"/>
      <c r="CF110" s="263">
        <f t="shared" si="403"/>
        <v>0</v>
      </c>
      <c r="CG110" s="263">
        <f t="shared" si="404"/>
        <v>0</v>
      </c>
      <c r="CH110" s="263">
        <f t="shared" si="405"/>
        <v>0</v>
      </c>
      <c r="CI110" s="263">
        <f t="shared" si="406"/>
        <v>0</v>
      </c>
      <c r="CJ110" s="263">
        <f t="shared" si="407"/>
        <v>0</v>
      </c>
      <c r="CK110" s="263">
        <f t="shared" si="408"/>
        <v>0</v>
      </c>
      <c r="CL110" s="263">
        <f t="shared" si="409"/>
        <v>0</v>
      </c>
      <c r="CM110" s="263">
        <f t="shared" si="410"/>
        <v>0</v>
      </c>
      <c r="CN110" s="263">
        <f t="shared" si="411"/>
        <v>0</v>
      </c>
      <c r="CO110" s="263">
        <f t="shared" si="412"/>
        <v>0</v>
      </c>
      <c r="CP110" s="263">
        <f t="shared" si="413"/>
        <v>0</v>
      </c>
      <c r="CQ110" s="263">
        <f t="shared" si="414"/>
        <v>0</v>
      </c>
      <c r="CR110" s="263">
        <f t="shared" si="415"/>
        <v>0</v>
      </c>
      <c r="CS110" s="263">
        <f t="shared" si="416"/>
        <v>0</v>
      </c>
      <c r="CT110" s="263">
        <f t="shared" si="417"/>
        <v>0</v>
      </c>
      <c r="CU110" s="263">
        <f t="shared" si="418"/>
        <v>0</v>
      </c>
      <c r="CV110" s="263">
        <f t="shared" si="419"/>
        <v>0</v>
      </c>
      <c r="CW110" s="263">
        <f t="shared" si="420"/>
        <v>0</v>
      </c>
      <c r="CX110" s="263">
        <f t="shared" si="421"/>
        <v>0</v>
      </c>
      <c r="CY110" s="263">
        <f t="shared" si="422"/>
        <v>0</v>
      </c>
      <c r="CZ110" s="263">
        <f t="shared" si="423"/>
        <v>0</v>
      </c>
      <c r="DA110" s="263">
        <f t="shared" si="424"/>
        <v>0</v>
      </c>
      <c r="DB110" s="263">
        <f t="shared" si="425"/>
        <v>0</v>
      </c>
      <c r="DC110" s="263">
        <f t="shared" si="426"/>
        <v>0</v>
      </c>
      <c r="DD110" s="263">
        <f t="shared" si="427"/>
        <v>0</v>
      </c>
      <c r="DE110" s="263">
        <f t="shared" si="428"/>
        <v>0</v>
      </c>
      <c r="DF110" s="263">
        <f t="shared" si="429"/>
        <v>25304386.32</v>
      </c>
      <c r="DG110" s="263">
        <f t="shared" si="430"/>
        <v>0</v>
      </c>
      <c r="DH110" s="263">
        <f t="shared" si="431"/>
        <v>25304386.32</v>
      </c>
      <c r="DI110" s="263">
        <f t="shared" si="432"/>
        <v>25304386.32</v>
      </c>
      <c r="DJ110" s="263">
        <f t="shared" si="433"/>
        <v>0</v>
      </c>
      <c r="DK110" s="263">
        <f t="shared" si="434"/>
        <v>0</v>
      </c>
      <c r="DL110" s="263">
        <f t="shared" si="435"/>
        <v>0</v>
      </c>
      <c r="DM110" s="263">
        <f t="shared" si="436"/>
        <v>0</v>
      </c>
      <c r="DO110" s="264">
        <f t="shared" si="437"/>
        <v>0</v>
      </c>
      <c r="DP110" s="265">
        <f t="shared" si="438"/>
        <v>0</v>
      </c>
      <c r="DQ110" s="264">
        <f t="shared" si="439"/>
        <v>25304386.32</v>
      </c>
      <c r="DR110" s="264">
        <f t="shared" si="440"/>
        <v>0</v>
      </c>
      <c r="DS110" s="265">
        <f t="shared" si="441"/>
        <v>0</v>
      </c>
      <c r="DT110" s="264">
        <f t="shared" si="442"/>
        <v>25304386.32</v>
      </c>
      <c r="DU110" s="264">
        <f t="shared" si="443"/>
        <v>0</v>
      </c>
      <c r="DV110" s="265">
        <f t="shared" si="444"/>
        <v>0</v>
      </c>
      <c r="DW110" s="264">
        <f t="shared" si="445"/>
        <v>25304386.32</v>
      </c>
      <c r="DX110" s="264">
        <f t="shared" si="446"/>
        <v>0</v>
      </c>
      <c r="DY110" s="265">
        <f t="shared" si="447"/>
        <v>0</v>
      </c>
      <c r="DZ110" s="264">
        <f t="shared" si="448"/>
        <v>25304386.32</v>
      </c>
      <c r="EA110" s="264">
        <f t="shared" si="449"/>
        <v>0</v>
      </c>
      <c r="EB110" s="265">
        <f t="shared" si="450"/>
        <v>0</v>
      </c>
      <c r="EC110" s="264">
        <f t="shared" si="451"/>
        <v>25304386.32</v>
      </c>
      <c r="ED110" s="264">
        <f t="shared" si="452"/>
        <v>0</v>
      </c>
      <c r="EE110" s="265">
        <f t="shared" si="453"/>
        <v>0</v>
      </c>
      <c r="EF110" s="264">
        <f t="shared" si="454"/>
        <v>25304386.32</v>
      </c>
      <c r="EG110" s="264">
        <f t="shared" si="455"/>
        <v>0</v>
      </c>
      <c r="EH110" s="265">
        <f t="shared" si="456"/>
        <v>0</v>
      </c>
      <c r="EI110" s="264">
        <f t="shared" si="457"/>
        <v>25304386.32</v>
      </c>
      <c r="EJ110" s="264">
        <f t="shared" si="458"/>
        <v>0</v>
      </c>
      <c r="EK110" s="265">
        <f t="shared" si="459"/>
        <v>0</v>
      </c>
      <c r="EL110" s="264">
        <f t="shared" si="460"/>
        <v>25304386.32</v>
      </c>
      <c r="EM110" s="264">
        <f t="shared" si="461"/>
        <v>0</v>
      </c>
      <c r="EN110" s="265">
        <f t="shared" si="462"/>
        <v>0</v>
      </c>
      <c r="EO110" s="264">
        <f t="shared" si="463"/>
        <v>25304386.32</v>
      </c>
      <c r="EP110" s="264">
        <f t="shared" si="464"/>
        <v>0</v>
      </c>
      <c r="EQ110" s="265">
        <f t="shared" si="465"/>
        <v>0</v>
      </c>
      <c r="ER110" s="264">
        <f t="shared" si="466"/>
        <v>25304386.32</v>
      </c>
      <c r="ES110" s="264">
        <f t="shared" si="467"/>
        <v>0</v>
      </c>
      <c r="ET110" s="265">
        <f t="shared" si="468"/>
        <v>0</v>
      </c>
      <c r="EU110" s="264">
        <f t="shared" si="469"/>
        <v>25304386.32</v>
      </c>
      <c r="EV110" s="264">
        <f>IF(AND(BM110="Yes",OR(BN110="No",AND(BN110="Yes",Inputs!$J$8=Inputs!$J$17+75))),EU110,0)</f>
        <v>0</v>
      </c>
      <c r="EW110" s="265">
        <f t="shared" si="470"/>
        <v>0</v>
      </c>
      <c r="EX110" s="264">
        <f t="shared" si="471"/>
        <v>25304386.32</v>
      </c>
      <c r="EY110" s="264">
        <f t="shared" si="472"/>
        <v>0</v>
      </c>
      <c r="EZ110" s="265">
        <f t="shared" si="473"/>
        <v>0</v>
      </c>
      <c r="FA110" s="264">
        <f t="shared" si="474"/>
        <v>25304386.32</v>
      </c>
      <c r="FB110" s="264">
        <f t="shared" si="475"/>
        <v>0</v>
      </c>
      <c r="FC110" s="265">
        <f t="shared" si="476"/>
        <v>0</v>
      </c>
      <c r="FD110" s="264">
        <f t="shared" si="477"/>
        <v>25304386.32</v>
      </c>
      <c r="FE110" s="264">
        <f t="shared" si="478"/>
        <v>0</v>
      </c>
      <c r="FF110" s="265">
        <f t="shared" si="479"/>
        <v>0</v>
      </c>
      <c r="FG110" s="264">
        <f t="shared" si="480"/>
        <v>25304386.32</v>
      </c>
      <c r="FH110" s="264">
        <f t="shared" si="481"/>
        <v>25304386.32</v>
      </c>
      <c r="FI110" s="264">
        <f t="shared" si="482"/>
        <v>0</v>
      </c>
      <c r="FJ110" s="264">
        <f t="shared" si="483"/>
        <v>25304386.32</v>
      </c>
      <c r="FK110" s="264">
        <f t="shared" si="484"/>
        <v>25304386.32</v>
      </c>
      <c r="FL110" s="264">
        <f t="shared" si="485"/>
        <v>0</v>
      </c>
      <c r="FM110" s="264">
        <f t="shared" si="486"/>
        <v>25304386.32</v>
      </c>
      <c r="FN110" s="264">
        <f t="shared" si="487"/>
        <v>25304386.32</v>
      </c>
      <c r="FO110" s="264">
        <f t="shared" si="488"/>
        <v>0</v>
      </c>
      <c r="FP110" s="264">
        <f t="shared" si="489"/>
        <v>25304386.32</v>
      </c>
      <c r="FQ110" s="264">
        <f t="shared" si="490"/>
        <v>0</v>
      </c>
      <c r="FR110" s="265">
        <f t="shared" si="491"/>
        <v>0</v>
      </c>
      <c r="FS110" s="264">
        <f t="shared" si="492"/>
        <v>25304386.32</v>
      </c>
      <c r="FT110" s="264">
        <f t="shared" si="493"/>
        <v>0</v>
      </c>
      <c r="FU110" s="265">
        <f t="shared" si="494"/>
        <v>0</v>
      </c>
      <c r="FV110" s="264">
        <f t="shared" si="495"/>
        <v>25304386.32</v>
      </c>
      <c r="FW110" s="264">
        <f t="shared" si="496"/>
        <v>0</v>
      </c>
      <c r="FX110" s="264">
        <f t="shared" si="497"/>
        <v>0</v>
      </c>
      <c r="FY110" s="264">
        <f t="shared" si="498"/>
        <v>0</v>
      </c>
      <c r="FZ110" s="264">
        <f t="shared" si="499"/>
        <v>0</v>
      </c>
      <c r="GA110" s="265">
        <f t="shared" si="500"/>
        <v>0</v>
      </c>
      <c r="GB110" s="264">
        <f t="shared" si="501"/>
        <v>25304386.32</v>
      </c>
      <c r="GC110" s="264">
        <f t="shared" si="502"/>
        <v>25304386.32</v>
      </c>
      <c r="GD110" s="266">
        <f t="shared" si="503"/>
        <v>18345680.081999999</v>
      </c>
      <c r="GE110" s="138">
        <f t="shared" si="504"/>
        <v>0.72499999999999998</v>
      </c>
      <c r="GF110" s="267">
        <f t="shared" si="505"/>
        <v>55</v>
      </c>
      <c r="GG110" s="264">
        <f t="array" ref="GG110">IF(SUM(IF(IC$9:IC109=IC110,1,0))&gt;0,0,SUMIF($IC$10:$IC$406,IC110,$FJ$10:$FJ$406))</f>
        <v>0</v>
      </c>
      <c r="GH110" s="268">
        <f t="shared" si="506"/>
        <v>0</v>
      </c>
      <c r="GI110" s="137">
        <f t="shared" si="126"/>
        <v>101</v>
      </c>
      <c r="GJ110" s="269">
        <f t="shared" si="507"/>
        <v>0</v>
      </c>
      <c r="GK110" s="269">
        <f t="shared" si="508"/>
        <v>0</v>
      </c>
      <c r="GL110" s="163">
        <f t="shared" si="509"/>
        <v>0</v>
      </c>
      <c r="GM110" s="137">
        <f t="array" ref="GM110">IF(GJ110=0,0,LARGE(IF($GG$10:$GG$406=GJ110,$GF$10:$GF$406,0),COUNTIF($GJ$10:$GJ$406,GJ110)-COUNTIF(GJ$9:GJ109,GJ110)))</f>
        <v>0</v>
      </c>
      <c r="GN110" s="270">
        <f t="shared" si="510"/>
        <v>0</v>
      </c>
      <c r="GP110" s="137">
        <f>IF(C110="","",IF(ISERROR(MATCH(C110,C$10:C109,0)),MAX(GP$10:GP109)+1,INDEX(GP$10:GP109,MATCH(C110,C$10:C109,0))))</f>
        <v>81</v>
      </c>
      <c r="GQ110" s="264">
        <f>IF(COUNTIF($A$10:A110,A110)&lt;=1,SUMIF($A$10:$A$406,A110,$FH$10:$FH$406),0)</f>
        <v>25304386.32</v>
      </c>
      <c r="GR110" s="137">
        <f t="shared" si="130"/>
        <v>101</v>
      </c>
      <c r="GS110" s="269">
        <f t="shared" si="554"/>
        <v>760638.88</v>
      </c>
      <c r="GT110" s="269">
        <f t="shared" si="555"/>
        <v>50964284.172430128</v>
      </c>
      <c r="GU110" s="163">
        <f t="shared" si="556"/>
        <v>0</v>
      </c>
      <c r="GV110" s="137">
        <f t="array" ref="GV110">IF(GS110=0,0,LARGE(IF($GQ$10:$GQ$406=GS110,$GP$10:$GP$406,0),COUNTIF($GS$10:$GS$406,GS110)-COUNTIF(GS$9:GS109,GS110)))</f>
        <v>67</v>
      </c>
      <c r="GW110" s="270">
        <f t="shared" si="557"/>
        <v>0</v>
      </c>
      <c r="GX110" s="270"/>
      <c r="GY110" s="137">
        <f>IF(C110="","",IF(ISERROR(MATCH(C110,C$10:C109,0)),MAX(GP$10:GP109)+1,INDEX(GP$10:GP109,MATCH(C110,C$10:C109,0))))</f>
        <v>81</v>
      </c>
      <c r="GZ110" s="264">
        <f>IF(COUNTIF($A$10:A110,A110)&lt;=1,SUMIF($A$10:$A$406,A110,$FH$10:$FH$406),0)</f>
        <v>25304386.32</v>
      </c>
      <c r="HA110" s="137">
        <f t="shared" si="134"/>
        <v>101</v>
      </c>
      <c r="HB110" s="269">
        <f t="shared" si="515"/>
        <v>760638.88</v>
      </c>
      <c r="HC110" s="414" t="s">
        <v>622</v>
      </c>
      <c r="HD110" s="163">
        <f t="shared" si="516"/>
        <v>0</v>
      </c>
      <c r="HE110" s="137">
        <f t="array" ref="HE110">IF(HB110=0,0,LARGE(IF($GZ$10:$GZ$406=HB110,$GY$10:$GY$406,0),COUNTIF($HB$10:$HB$406,HB110)-COUNTIF(HB$9:HB109,HB110)))</f>
        <v>67</v>
      </c>
      <c r="HF110" s="270">
        <f t="shared" si="517"/>
        <v>0</v>
      </c>
      <c r="HG110" s="270"/>
      <c r="HH110" s="268">
        <f t="shared" si="518"/>
        <v>0</v>
      </c>
      <c r="HI110" s="271">
        <v>0</v>
      </c>
      <c r="HJ110" s="264">
        <f t="shared" si="519"/>
        <v>0</v>
      </c>
      <c r="HL110" s="137">
        <f t="shared" si="520"/>
        <v>101</v>
      </c>
      <c r="HM110" s="264">
        <f t="shared" si="521"/>
        <v>534333</v>
      </c>
      <c r="HN110"/>
      <c r="HO110" s="199">
        <f t="shared" si="522"/>
        <v>25304386.32</v>
      </c>
      <c r="HP110" s="199">
        <f t="shared" si="523"/>
        <v>25304386.32</v>
      </c>
      <c r="HQ110" s="199" t="str">
        <f t="shared" si="524"/>
        <v/>
      </c>
      <c r="HR110" s="199" t="str">
        <f t="shared" si="525"/>
        <v/>
      </c>
      <c r="HS110" s="199" t="str">
        <f t="shared" si="539"/>
        <v/>
      </c>
      <c r="HT110" s="199" t="str">
        <f t="shared" si="526"/>
        <v/>
      </c>
      <c r="HU110" s="199" t="str">
        <f t="shared" si="527"/>
        <v/>
      </c>
      <c r="HV110" s="200">
        <f t="shared" si="528"/>
        <v>0</v>
      </c>
      <c r="HW110" s="272">
        <f t="shared" si="540"/>
        <v>1</v>
      </c>
      <c r="HX110" s="200" t="str">
        <f t="shared" si="529"/>
        <v/>
      </c>
      <c r="HY110" s="200">
        <f t="shared" si="530"/>
        <v>0</v>
      </c>
      <c r="HZ110" s="200" t="str">
        <f t="shared" si="535"/>
        <v/>
      </c>
      <c r="IA110" s="200" t="str">
        <f t="shared" si="531"/>
        <v/>
      </c>
      <c r="IB110" s="200" t="str">
        <f t="shared" si="532"/>
        <v/>
      </c>
      <c r="IC110" s="273">
        <f>IF(C110="","",INDEX(Lookups!$E$2:$E$69,MATCH('Loan List'!BE110,Lookups!$F$2:$F$69,0)))</f>
        <v>55</v>
      </c>
      <c r="ID110" t="b">
        <f t="shared" si="533"/>
        <v>1</v>
      </c>
      <c r="IF110" s="346"/>
    </row>
    <row r="111" spans="1:240" ht="15" customHeight="1">
      <c r="A111" t="s">
        <v>772</v>
      </c>
      <c r="B111" s="242">
        <f t="shared" si="541"/>
        <v>102</v>
      </c>
      <c r="C111" s="242">
        <f>IF(COUNTIF($A$10:A110,A111)&gt;0,C110,C110+1)</f>
        <v>82</v>
      </c>
      <c r="D111" s="431" t="s">
        <v>772</v>
      </c>
      <c r="E111" s="428" t="s">
        <v>839</v>
      </c>
      <c r="F111" s="429"/>
      <c r="G111" s="430">
        <v>2570570</v>
      </c>
      <c r="H111" s="430">
        <v>2570570</v>
      </c>
      <c r="I111" s="244">
        <f>IF(B111="","",VLOOKUP(BF111,Inputs!$A$12:$J$15,10,FALSE))</f>
        <v>1</v>
      </c>
      <c r="J111" s="245">
        <f t="shared" si="542"/>
        <v>2570570</v>
      </c>
      <c r="K111" s="245">
        <f t="shared" si="543"/>
        <v>2570570</v>
      </c>
      <c r="L111" s="245">
        <f t="shared" si="544"/>
        <v>2570570</v>
      </c>
      <c r="M111" s="245">
        <f t="shared" si="545"/>
        <v>2570570</v>
      </c>
      <c r="N111" s="246" t="s">
        <v>246</v>
      </c>
      <c r="O111" s="246" t="s">
        <v>245</v>
      </c>
      <c r="P111" s="247">
        <f>IF(B111="","",IF(OR(O111="N/A",O111=""),0,YEARFRAC('Borrowing Base'!$J$4,'Loan List'!O111)*12))</f>
        <v>0</v>
      </c>
      <c r="Q111" s="246" t="s">
        <v>246</v>
      </c>
      <c r="R111" s="275">
        <v>1</v>
      </c>
      <c r="S111" s="249" t="str">
        <f t="shared" si="546"/>
        <v>No</v>
      </c>
      <c r="T111" s="275">
        <v>1</v>
      </c>
      <c r="U111" s="250">
        <f t="shared" si="547"/>
        <v>0.5</v>
      </c>
      <c r="V111" s="250">
        <f t="shared" si="548"/>
        <v>0.72499999999999998</v>
      </c>
      <c r="W111" s="251">
        <f t="shared" si="385"/>
        <v>2570570</v>
      </c>
      <c r="X111" s="246" t="s">
        <v>64</v>
      </c>
      <c r="Y111" s="252" t="s">
        <v>483</v>
      </c>
      <c r="Z111" s="252" t="s">
        <v>484</v>
      </c>
      <c r="AA111" s="253" t="s">
        <v>407</v>
      </c>
      <c r="AB111" s="253" t="s">
        <v>713</v>
      </c>
      <c r="AC111" s="254">
        <v>3.4078715476614025</v>
      </c>
      <c r="AD111" s="254">
        <v>1.5828801880307029</v>
      </c>
      <c r="AE111" s="254">
        <v>1.6379964923597297</v>
      </c>
      <c r="AF111" s="254">
        <v>0.48602327381870009</v>
      </c>
      <c r="AG111" s="256">
        <v>4.4558003510918676</v>
      </c>
      <c r="AH111" s="256">
        <v>4.4558003510918676</v>
      </c>
      <c r="AI111" s="256">
        <v>4.7059740650289026</v>
      </c>
      <c r="AJ111" s="256">
        <v>4.7059740650289026</v>
      </c>
      <c r="AK111" s="257">
        <v>21248000</v>
      </c>
      <c r="AL111" s="257">
        <v>14380431.68</v>
      </c>
      <c r="AM111" s="258">
        <v>45838</v>
      </c>
      <c r="AN111" s="245" t="str">
        <f t="shared" si="549"/>
        <v>Tier 2</v>
      </c>
      <c r="AO111" s="243">
        <v>46253</v>
      </c>
      <c r="AP111" s="259">
        <f>IF(C111="","",DAYS360(Inputs!$J$8,AO111)/360)</f>
        <v>0.98611111111111116</v>
      </c>
      <c r="AQ111" s="259">
        <f t="shared" si="550"/>
        <v>0.98611111111111116</v>
      </c>
      <c r="AR111" s="246" t="s">
        <v>246</v>
      </c>
      <c r="AS111" s="276">
        <v>0</v>
      </c>
      <c r="AT111" s="246" t="s">
        <v>64</v>
      </c>
      <c r="AU111" s="248">
        <v>0.01</v>
      </c>
      <c r="AV111" s="248">
        <v>5.5E-2</v>
      </c>
      <c r="AW111" s="248">
        <v>4.3170000000000007E-2</v>
      </c>
      <c r="AX111" s="260">
        <f t="shared" si="551"/>
        <v>4.3170000000000007E-2</v>
      </c>
      <c r="AY111" s="248">
        <v>0</v>
      </c>
      <c r="AZ111" s="248">
        <v>0</v>
      </c>
      <c r="BA111" s="248">
        <v>0</v>
      </c>
      <c r="BB111" s="407">
        <f t="shared" si="536"/>
        <v>5.5E-2</v>
      </c>
      <c r="BC111" s="407" t="str">
        <f t="shared" si="537"/>
        <v/>
      </c>
      <c r="BD111" s="252" t="s">
        <v>247</v>
      </c>
      <c r="BE111" s="261" t="s">
        <v>408</v>
      </c>
      <c r="BF111" s="252" t="s">
        <v>7</v>
      </c>
      <c r="BG111" s="252" t="s">
        <v>460</v>
      </c>
      <c r="BH111" s="246" t="s">
        <v>246</v>
      </c>
      <c r="BI111" s="408" t="str">
        <f t="shared" si="534"/>
        <v>No</v>
      </c>
      <c r="BJ111" s="408" t="str">
        <f t="shared" si="538"/>
        <v>No</v>
      </c>
      <c r="BK111" s="246" t="s">
        <v>246</v>
      </c>
      <c r="BL111" s="246" t="s">
        <v>246</v>
      </c>
      <c r="BM111" s="246" t="s">
        <v>64</v>
      </c>
      <c r="BN111" s="246" t="s">
        <v>64</v>
      </c>
      <c r="BO111" s="246" t="s">
        <v>246</v>
      </c>
      <c r="BP111" s="246" t="s">
        <v>246</v>
      </c>
      <c r="BQ111" s="246" t="s">
        <v>246</v>
      </c>
      <c r="BR111" s="246" t="s">
        <v>246</v>
      </c>
      <c r="BS111" s="246" t="s">
        <v>246</v>
      </c>
      <c r="BT111" s="246" t="s">
        <v>246</v>
      </c>
      <c r="BU111" s="246" t="s">
        <v>246</v>
      </c>
      <c r="BV111" s="246" t="s">
        <v>246</v>
      </c>
      <c r="BW111" s="246" t="s">
        <v>246</v>
      </c>
      <c r="BX111" s="246" t="s">
        <v>246</v>
      </c>
      <c r="BY111" s="246" t="s">
        <v>246</v>
      </c>
      <c r="BZ111" s="246" t="s">
        <v>246</v>
      </c>
      <c r="CA111" s="246" t="s">
        <v>246</v>
      </c>
      <c r="CB111" s="246" t="s">
        <v>64</v>
      </c>
      <c r="CC111" s="262">
        <f t="shared" si="552"/>
        <v>141246.65213200002</v>
      </c>
      <c r="CD111" s="262">
        <f t="shared" si="553"/>
        <v>0</v>
      </c>
      <c r="CE111" s="263"/>
      <c r="CF111" s="263">
        <f t="shared" si="403"/>
        <v>0</v>
      </c>
      <c r="CG111" s="263">
        <f t="shared" si="404"/>
        <v>0</v>
      </c>
      <c r="CH111" s="263">
        <f t="shared" si="405"/>
        <v>0</v>
      </c>
      <c r="CI111" s="263">
        <f t="shared" si="406"/>
        <v>0</v>
      </c>
      <c r="CJ111" s="263">
        <f t="shared" si="407"/>
        <v>0</v>
      </c>
      <c r="CK111" s="263">
        <f t="shared" si="408"/>
        <v>0</v>
      </c>
      <c r="CL111" s="263">
        <f t="shared" si="409"/>
        <v>0</v>
      </c>
      <c r="CM111" s="263">
        <f t="shared" si="410"/>
        <v>0</v>
      </c>
      <c r="CN111" s="263">
        <f t="shared" si="411"/>
        <v>0</v>
      </c>
      <c r="CO111" s="263">
        <f t="shared" si="412"/>
        <v>0</v>
      </c>
      <c r="CP111" s="263">
        <f t="shared" si="413"/>
        <v>0</v>
      </c>
      <c r="CQ111" s="263">
        <f t="shared" si="414"/>
        <v>0</v>
      </c>
      <c r="CR111" s="263">
        <f t="shared" si="415"/>
        <v>0</v>
      </c>
      <c r="CS111" s="263">
        <f t="shared" si="416"/>
        <v>0</v>
      </c>
      <c r="CT111" s="263">
        <f t="shared" si="417"/>
        <v>0</v>
      </c>
      <c r="CU111" s="263">
        <f t="shared" si="418"/>
        <v>0</v>
      </c>
      <c r="CV111" s="263">
        <f t="shared" si="419"/>
        <v>0</v>
      </c>
      <c r="CW111" s="263">
        <f t="shared" si="420"/>
        <v>0</v>
      </c>
      <c r="CX111" s="263">
        <f t="shared" si="421"/>
        <v>0</v>
      </c>
      <c r="CY111" s="263">
        <f t="shared" si="422"/>
        <v>0</v>
      </c>
      <c r="CZ111" s="263">
        <f t="shared" si="423"/>
        <v>0</v>
      </c>
      <c r="DA111" s="263">
        <f t="shared" si="424"/>
        <v>0</v>
      </c>
      <c r="DB111" s="263">
        <f t="shared" si="425"/>
        <v>0</v>
      </c>
      <c r="DC111" s="263">
        <f t="shared" si="426"/>
        <v>0</v>
      </c>
      <c r="DD111" s="263">
        <f t="shared" si="427"/>
        <v>0</v>
      </c>
      <c r="DE111" s="263">
        <f t="shared" si="428"/>
        <v>0</v>
      </c>
      <c r="DF111" s="263">
        <f t="shared" si="429"/>
        <v>2570570</v>
      </c>
      <c r="DG111" s="263">
        <f t="shared" si="430"/>
        <v>0</v>
      </c>
      <c r="DH111" s="263">
        <f t="shared" si="431"/>
        <v>2570570</v>
      </c>
      <c r="DI111" s="263">
        <f t="shared" si="432"/>
        <v>2570570</v>
      </c>
      <c r="DJ111" s="263">
        <f t="shared" si="433"/>
        <v>0</v>
      </c>
      <c r="DK111" s="263">
        <f t="shared" si="434"/>
        <v>0</v>
      </c>
      <c r="DL111" s="263">
        <f t="shared" si="435"/>
        <v>0</v>
      </c>
      <c r="DM111" s="263">
        <f t="shared" si="436"/>
        <v>0</v>
      </c>
      <c r="DO111" s="264">
        <f t="shared" si="437"/>
        <v>0</v>
      </c>
      <c r="DP111" s="265">
        <f t="shared" si="438"/>
        <v>0</v>
      </c>
      <c r="DQ111" s="264">
        <f t="shared" si="439"/>
        <v>2570570</v>
      </c>
      <c r="DR111" s="264">
        <f t="shared" si="440"/>
        <v>0</v>
      </c>
      <c r="DS111" s="265">
        <f t="shared" si="441"/>
        <v>0</v>
      </c>
      <c r="DT111" s="264">
        <f t="shared" si="442"/>
        <v>2570570</v>
      </c>
      <c r="DU111" s="264">
        <f t="shared" si="443"/>
        <v>0</v>
      </c>
      <c r="DV111" s="265">
        <f t="shared" si="444"/>
        <v>0</v>
      </c>
      <c r="DW111" s="264">
        <f t="shared" si="445"/>
        <v>2570570</v>
      </c>
      <c r="DX111" s="264">
        <f t="shared" si="446"/>
        <v>0</v>
      </c>
      <c r="DY111" s="265">
        <f t="shared" si="447"/>
        <v>0</v>
      </c>
      <c r="DZ111" s="264">
        <f t="shared" si="448"/>
        <v>2570570</v>
      </c>
      <c r="EA111" s="264">
        <f t="shared" si="449"/>
        <v>0</v>
      </c>
      <c r="EB111" s="265">
        <f t="shared" si="450"/>
        <v>0</v>
      </c>
      <c r="EC111" s="264">
        <f t="shared" si="451"/>
        <v>2570570</v>
      </c>
      <c r="ED111" s="264">
        <f t="shared" si="452"/>
        <v>0</v>
      </c>
      <c r="EE111" s="265">
        <f t="shared" si="453"/>
        <v>0</v>
      </c>
      <c r="EF111" s="264">
        <f t="shared" si="454"/>
        <v>2570570</v>
      </c>
      <c r="EG111" s="264">
        <f t="shared" si="455"/>
        <v>0</v>
      </c>
      <c r="EH111" s="265">
        <f t="shared" si="456"/>
        <v>0</v>
      </c>
      <c r="EI111" s="264">
        <f t="shared" si="457"/>
        <v>2570570</v>
      </c>
      <c r="EJ111" s="264">
        <f t="shared" si="458"/>
        <v>0</v>
      </c>
      <c r="EK111" s="265">
        <f t="shared" si="459"/>
        <v>0</v>
      </c>
      <c r="EL111" s="264">
        <f t="shared" si="460"/>
        <v>2570570</v>
      </c>
      <c r="EM111" s="264">
        <f t="shared" si="461"/>
        <v>0</v>
      </c>
      <c r="EN111" s="265">
        <f t="shared" si="462"/>
        <v>0</v>
      </c>
      <c r="EO111" s="264">
        <f t="shared" si="463"/>
        <v>2570570</v>
      </c>
      <c r="EP111" s="264">
        <f t="shared" si="464"/>
        <v>0</v>
      </c>
      <c r="EQ111" s="265">
        <f t="shared" si="465"/>
        <v>0</v>
      </c>
      <c r="ER111" s="264">
        <f t="shared" si="466"/>
        <v>2570570</v>
      </c>
      <c r="ES111" s="264">
        <f t="shared" si="467"/>
        <v>0</v>
      </c>
      <c r="ET111" s="265">
        <f t="shared" si="468"/>
        <v>0</v>
      </c>
      <c r="EU111" s="264">
        <f t="shared" si="469"/>
        <v>2570570</v>
      </c>
      <c r="EV111" s="264">
        <f>IF(AND(BM111="Yes",OR(BN111="No",AND(BN111="Yes",Inputs!$J$8=Inputs!$J$17+75))),EU111,0)</f>
        <v>0</v>
      </c>
      <c r="EW111" s="265">
        <f t="shared" si="470"/>
        <v>0</v>
      </c>
      <c r="EX111" s="264">
        <f t="shared" si="471"/>
        <v>2570570</v>
      </c>
      <c r="EY111" s="264">
        <f t="shared" si="472"/>
        <v>0</v>
      </c>
      <c r="EZ111" s="265">
        <f t="shared" si="473"/>
        <v>0</v>
      </c>
      <c r="FA111" s="264">
        <f t="shared" si="474"/>
        <v>2570570</v>
      </c>
      <c r="FB111" s="264">
        <f t="shared" si="475"/>
        <v>0</v>
      </c>
      <c r="FC111" s="265">
        <f t="shared" si="476"/>
        <v>0</v>
      </c>
      <c r="FD111" s="264">
        <f t="shared" si="477"/>
        <v>2570570</v>
      </c>
      <c r="FE111" s="264">
        <f t="shared" si="478"/>
        <v>0</v>
      </c>
      <c r="FF111" s="265">
        <f t="shared" si="479"/>
        <v>0</v>
      </c>
      <c r="FG111" s="264">
        <f t="shared" si="480"/>
        <v>2570570</v>
      </c>
      <c r="FH111" s="264">
        <f t="shared" si="481"/>
        <v>2570570</v>
      </c>
      <c r="FI111" s="264">
        <f t="shared" si="482"/>
        <v>0</v>
      </c>
      <c r="FJ111" s="264">
        <f t="shared" si="483"/>
        <v>2570570</v>
      </c>
      <c r="FK111" s="264">
        <f t="shared" si="484"/>
        <v>2570570</v>
      </c>
      <c r="FL111" s="264">
        <f t="shared" si="485"/>
        <v>0</v>
      </c>
      <c r="FM111" s="264">
        <f t="shared" si="486"/>
        <v>2570570</v>
      </c>
      <c r="FN111" s="264">
        <f t="shared" si="487"/>
        <v>2570570</v>
      </c>
      <c r="FO111" s="264">
        <f t="shared" si="488"/>
        <v>0</v>
      </c>
      <c r="FP111" s="264">
        <f t="shared" si="489"/>
        <v>2570570</v>
      </c>
      <c r="FQ111" s="264">
        <f t="shared" si="490"/>
        <v>0</v>
      </c>
      <c r="FR111" s="265">
        <f t="shared" si="491"/>
        <v>0</v>
      </c>
      <c r="FS111" s="264">
        <f t="shared" si="492"/>
        <v>2570570</v>
      </c>
      <c r="FT111" s="264">
        <f t="shared" si="493"/>
        <v>2570570</v>
      </c>
      <c r="FU111" s="265">
        <f t="shared" si="494"/>
        <v>0</v>
      </c>
      <c r="FV111" s="264">
        <f t="shared" si="495"/>
        <v>2570570</v>
      </c>
      <c r="FW111" s="264">
        <f t="shared" si="496"/>
        <v>0</v>
      </c>
      <c r="FX111" s="264">
        <f t="shared" si="497"/>
        <v>0</v>
      </c>
      <c r="FY111" s="264">
        <f t="shared" si="498"/>
        <v>0</v>
      </c>
      <c r="FZ111" s="264">
        <f t="shared" si="499"/>
        <v>0</v>
      </c>
      <c r="GA111" s="265">
        <f t="shared" si="500"/>
        <v>0</v>
      </c>
      <c r="GB111" s="264">
        <f t="shared" si="501"/>
        <v>2570570</v>
      </c>
      <c r="GC111" s="264">
        <f t="shared" si="502"/>
        <v>2570570</v>
      </c>
      <c r="GD111" s="266">
        <f t="shared" si="503"/>
        <v>1863663.25</v>
      </c>
      <c r="GE111" s="138">
        <f t="shared" si="504"/>
        <v>0.72499999999999998</v>
      </c>
      <c r="GF111" s="267">
        <f t="shared" si="505"/>
        <v>31</v>
      </c>
      <c r="GG111" s="264">
        <f t="array" ref="GG111">IF(SUM(IF(IC$9:IC110=IC111,1,0))&gt;0,0,SUMIF($IC$10:$IC$406,IC111,$FJ$10:$FJ$406))</f>
        <v>0</v>
      </c>
      <c r="GH111" s="268">
        <f t="shared" si="506"/>
        <v>0</v>
      </c>
      <c r="GI111" s="137">
        <f t="shared" si="126"/>
        <v>102</v>
      </c>
      <c r="GJ111" s="269">
        <f t="shared" si="507"/>
        <v>0</v>
      </c>
      <c r="GK111" s="269">
        <f t="shared" si="508"/>
        <v>0</v>
      </c>
      <c r="GL111" s="163">
        <f t="shared" si="509"/>
        <v>0</v>
      </c>
      <c r="GM111" s="137">
        <f t="array" ref="GM111">IF(GJ111=0,0,LARGE(IF($GG$10:$GG$406=GJ111,$GF$10:$GF$406,0),COUNTIF($GJ$10:$GJ$406,GJ111)-COUNTIF(GJ$9:GJ110,GJ111)))</f>
        <v>0</v>
      </c>
      <c r="GN111" s="270">
        <f t="shared" si="510"/>
        <v>0</v>
      </c>
      <c r="GP111" s="137">
        <f>IF(C111="","",IF(ISERROR(MATCH(C111,C$10:C110,0)),MAX(GP$10:GP110)+1,INDEX(GP$10:GP110,MATCH(C111,C$10:C110,0))))</f>
        <v>82</v>
      </c>
      <c r="GQ111" s="264">
        <f>IF(COUNTIF($A$10:A111,A111)&lt;=1,SUMIF($A$10:$A$406,A111,$FH$10:$FH$406),0)</f>
        <v>2570570</v>
      </c>
      <c r="GR111" s="137">
        <f t="shared" si="130"/>
        <v>102</v>
      </c>
      <c r="GS111" s="269">
        <f t="shared" si="554"/>
        <v>736580.70000000007</v>
      </c>
      <c r="GT111" s="269">
        <f t="shared" si="555"/>
        <v>50964284.172430128</v>
      </c>
      <c r="GU111" s="163">
        <f t="shared" si="556"/>
        <v>0</v>
      </c>
      <c r="GV111" s="137">
        <f t="array" ref="GV111">IF(GS111=0,0,LARGE(IF($GQ$10:$GQ$406=GS111,$GP$10:$GP$406,0),COUNTIF($GS$10:$GS$406,GS111)-COUNTIF(GS$9:GS110,GS111)))</f>
        <v>57</v>
      </c>
      <c r="GW111" s="270">
        <f t="shared" si="557"/>
        <v>0</v>
      </c>
      <c r="GX111" s="270"/>
      <c r="GY111" s="137">
        <f>IF(C111="","",IF(ISERROR(MATCH(C111,C$10:C110,0)),MAX(GP$10:GP110)+1,INDEX(GP$10:GP110,MATCH(C111,C$10:C110,0))))</f>
        <v>82</v>
      </c>
      <c r="GZ111" s="264">
        <f>IF(COUNTIF($A$10:A111,A111)&lt;=1,SUMIF($A$10:$A$406,A111,$FH$10:$FH$406),0)</f>
        <v>2570570</v>
      </c>
      <c r="HA111" s="137">
        <f t="shared" si="134"/>
        <v>102</v>
      </c>
      <c r="HB111" s="269">
        <f t="shared" si="515"/>
        <v>736580.70000000007</v>
      </c>
      <c r="HC111" s="414" t="s">
        <v>622</v>
      </c>
      <c r="HD111" s="163">
        <f t="shared" si="516"/>
        <v>0</v>
      </c>
      <c r="HE111" s="137">
        <f t="array" ref="HE111">IF(HB111=0,0,LARGE(IF($GZ$10:$GZ$406=HB111,$GY$10:$GY$406,0),COUNTIF($HB$10:$HB$406,HB111)-COUNTIF(HB$9:HB110,HB111)))</f>
        <v>57</v>
      </c>
      <c r="HF111" s="270">
        <f t="shared" si="517"/>
        <v>0</v>
      </c>
      <c r="HG111" s="270"/>
      <c r="HH111" s="268">
        <f t="shared" si="518"/>
        <v>0</v>
      </c>
      <c r="HI111" s="271">
        <v>0</v>
      </c>
      <c r="HJ111" s="264">
        <f t="shared" si="519"/>
        <v>0</v>
      </c>
      <c r="HL111" s="137">
        <f t="shared" si="520"/>
        <v>102</v>
      </c>
      <c r="HM111" s="264">
        <f t="shared" si="521"/>
        <v>341094</v>
      </c>
      <c r="HN111"/>
      <c r="HO111" s="199">
        <f t="shared" si="522"/>
        <v>2570570</v>
      </c>
      <c r="HP111" s="199">
        <f t="shared" si="523"/>
        <v>2570570</v>
      </c>
      <c r="HQ111" s="199" t="str">
        <f t="shared" si="524"/>
        <v/>
      </c>
      <c r="HR111" s="199" t="str">
        <f t="shared" si="525"/>
        <v/>
      </c>
      <c r="HS111" s="199" t="str">
        <f t="shared" si="539"/>
        <v/>
      </c>
      <c r="HT111" s="199" t="str">
        <f t="shared" si="526"/>
        <v/>
      </c>
      <c r="HU111" s="199" t="str">
        <f t="shared" si="527"/>
        <v/>
      </c>
      <c r="HV111" s="200">
        <f t="shared" si="528"/>
        <v>0</v>
      </c>
      <c r="HW111" s="272">
        <f t="shared" si="540"/>
        <v>1</v>
      </c>
      <c r="HX111" s="200" t="str">
        <f t="shared" si="529"/>
        <v/>
      </c>
      <c r="HY111" s="200">
        <f t="shared" si="530"/>
        <v>0</v>
      </c>
      <c r="HZ111" s="200" t="str">
        <f t="shared" si="535"/>
        <v/>
      </c>
      <c r="IA111" s="200" t="str">
        <f t="shared" si="531"/>
        <v/>
      </c>
      <c r="IB111" s="200" t="str">
        <f t="shared" si="532"/>
        <v/>
      </c>
      <c r="IC111" s="273">
        <f>IF(C111="","",INDEX(Lookups!$E$2:$E$69,MATCH('Loan List'!BE111,Lookups!$F$2:$F$69,0)))</f>
        <v>31</v>
      </c>
      <c r="ID111" t="b">
        <f t="shared" si="533"/>
        <v>1</v>
      </c>
      <c r="IF111" s="346"/>
    </row>
    <row r="112" spans="1:240" ht="15" customHeight="1">
      <c r="A112" t="s">
        <v>773</v>
      </c>
      <c r="B112" s="242">
        <f t="shared" si="541"/>
        <v>103</v>
      </c>
      <c r="C112" s="242">
        <f>IF(COUNTIF($A$10:A111,A112)&gt;0,C111,C111+1)</f>
        <v>83</v>
      </c>
      <c r="D112" s="431" t="s">
        <v>773</v>
      </c>
      <c r="E112" s="428" t="s">
        <v>840</v>
      </c>
      <c r="F112" s="429"/>
      <c r="G112" s="430">
        <v>1146410</v>
      </c>
      <c r="H112" s="430">
        <v>1146410</v>
      </c>
      <c r="I112" s="244">
        <f>IF(B112="","",VLOOKUP(BF112,Inputs!$A$12:$J$15,10,FALSE))</f>
        <v>1</v>
      </c>
      <c r="J112" s="245">
        <f t="shared" si="542"/>
        <v>1146410</v>
      </c>
      <c r="K112" s="245">
        <f t="shared" si="543"/>
        <v>1146410</v>
      </c>
      <c r="L112" s="245">
        <f t="shared" si="544"/>
        <v>1146410</v>
      </c>
      <c r="M112" s="245">
        <f t="shared" si="545"/>
        <v>1146410</v>
      </c>
      <c r="N112" s="246" t="s">
        <v>246</v>
      </c>
      <c r="O112" s="246" t="s">
        <v>245</v>
      </c>
      <c r="P112" s="247">
        <f>IF(B112="","",IF(OR(O112="N/A",O112=""),0,YEARFRAC('Borrowing Base'!$J$4,'Loan List'!O112)*12))</f>
        <v>0</v>
      </c>
      <c r="Q112" s="246" t="s">
        <v>246</v>
      </c>
      <c r="R112" s="275">
        <v>0.99250000000000016</v>
      </c>
      <c r="S112" s="249" t="str">
        <f t="shared" si="546"/>
        <v>No</v>
      </c>
      <c r="T112" s="275">
        <v>0.99250000000000005</v>
      </c>
      <c r="U112" s="250">
        <f t="shared" si="547"/>
        <v>0.5</v>
      </c>
      <c r="V112" s="250">
        <f t="shared" si="548"/>
        <v>0.72499999999999998</v>
      </c>
      <c r="W112" s="251">
        <f t="shared" si="385"/>
        <v>0</v>
      </c>
      <c r="X112" s="246" t="s">
        <v>64</v>
      </c>
      <c r="Y112" s="252" t="s">
        <v>483</v>
      </c>
      <c r="Z112" s="252" t="s">
        <v>484</v>
      </c>
      <c r="AA112" s="253" t="s">
        <v>407</v>
      </c>
      <c r="AB112" s="253" t="s">
        <v>713</v>
      </c>
      <c r="AC112" s="254">
        <v>1.5643692606757984</v>
      </c>
      <c r="AD112" s="254">
        <v>0.76511842248341</v>
      </c>
      <c r="AE112" s="254">
        <v>1.4971746297804529</v>
      </c>
      <c r="AF112" s="254">
        <v>0.32477654376627774</v>
      </c>
      <c r="AG112" s="256">
        <v>3.6631322735702212</v>
      </c>
      <c r="AH112" s="256">
        <v>3.6764069121723724</v>
      </c>
      <c r="AI112" s="256">
        <v>5.4216125560790074</v>
      </c>
      <c r="AJ112" s="256">
        <v>5.7555060409511638</v>
      </c>
      <c r="AK112" s="257">
        <v>21293252.379330102</v>
      </c>
      <c r="AL112" s="257">
        <v>14159418.389999999</v>
      </c>
      <c r="AM112" s="258">
        <v>45808</v>
      </c>
      <c r="AN112" s="245" t="str">
        <f t="shared" si="549"/>
        <v>Tier 2</v>
      </c>
      <c r="AO112" s="243">
        <v>47361</v>
      </c>
      <c r="AP112" s="259">
        <f>IF(C112="","",DAYS360(Inputs!$J$8,AO112)/360)</f>
        <v>4.0194444444444448</v>
      </c>
      <c r="AQ112" s="259">
        <f t="shared" si="550"/>
        <v>4.0194444444444448</v>
      </c>
      <c r="AR112" s="246" t="s">
        <v>246</v>
      </c>
      <c r="AS112" s="276">
        <v>0</v>
      </c>
      <c r="AT112" s="246" t="s">
        <v>64</v>
      </c>
      <c r="AU112" s="248">
        <v>0.01</v>
      </c>
      <c r="AV112" s="248">
        <v>6.25E-2</v>
      </c>
      <c r="AW112" s="248">
        <v>4.3170000000000007E-2</v>
      </c>
      <c r="AX112" s="260">
        <f t="shared" si="551"/>
        <v>4.3170000000000007E-2</v>
      </c>
      <c r="AY112" s="248">
        <v>0</v>
      </c>
      <c r="AZ112" s="248">
        <v>0</v>
      </c>
      <c r="BA112" s="248">
        <v>0</v>
      </c>
      <c r="BB112" s="407">
        <f t="shared" si="536"/>
        <v>6.25E-2</v>
      </c>
      <c r="BC112" s="407" t="str">
        <f t="shared" si="537"/>
        <v/>
      </c>
      <c r="BD112" s="252" t="s">
        <v>247</v>
      </c>
      <c r="BE112" s="261" t="s">
        <v>408</v>
      </c>
      <c r="BF112" s="252" t="s">
        <v>7</v>
      </c>
      <c r="BG112" s="252" t="s">
        <v>460</v>
      </c>
      <c r="BH112" s="246" t="s">
        <v>246</v>
      </c>
      <c r="BI112" s="408" t="str">
        <f t="shared" si="534"/>
        <v>No</v>
      </c>
      <c r="BJ112" s="408" t="str">
        <f t="shared" si="538"/>
        <v>No</v>
      </c>
      <c r="BK112" s="246" t="s">
        <v>246</v>
      </c>
      <c r="BL112" s="246" t="s">
        <v>246</v>
      </c>
      <c r="BM112" s="246" t="s">
        <v>64</v>
      </c>
      <c r="BN112" s="246" t="s">
        <v>64</v>
      </c>
      <c r="BO112" s="246" t="s">
        <v>246</v>
      </c>
      <c r="BP112" s="246" t="s">
        <v>246</v>
      </c>
      <c r="BQ112" s="246" t="s">
        <v>246</v>
      </c>
      <c r="BR112" s="246" t="s">
        <v>246</v>
      </c>
      <c r="BS112" s="246" t="s">
        <v>246</v>
      </c>
      <c r="BT112" s="246" t="s">
        <v>246</v>
      </c>
      <c r="BU112" s="246" t="s">
        <v>246</v>
      </c>
      <c r="BV112" s="246" t="s">
        <v>246</v>
      </c>
      <c r="BW112" s="246" t="s">
        <v>246</v>
      </c>
      <c r="BX112" s="246" t="s">
        <v>246</v>
      </c>
      <c r="BY112" s="246" t="s">
        <v>246</v>
      </c>
      <c r="BZ112" s="246" t="s">
        <v>246</v>
      </c>
      <c r="CA112" s="246" t="s">
        <v>246</v>
      </c>
      <c r="CB112" s="246" t="s">
        <v>64</v>
      </c>
      <c r="CC112" s="262">
        <f t="shared" si="552"/>
        <v>71590.55311600001</v>
      </c>
      <c r="CD112" s="262">
        <f t="shared" si="553"/>
        <v>0</v>
      </c>
      <c r="CE112" s="263"/>
      <c r="CF112" s="263">
        <f t="shared" si="403"/>
        <v>0</v>
      </c>
      <c r="CG112" s="263">
        <f t="shared" si="404"/>
        <v>0</v>
      </c>
      <c r="CH112" s="263">
        <f t="shared" si="405"/>
        <v>0</v>
      </c>
      <c r="CI112" s="263">
        <f t="shared" si="406"/>
        <v>0</v>
      </c>
      <c r="CJ112" s="263">
        <f t="shared" si="407"/>
        <v>0</v>
      </c>
      <c r="CK112" s="263">
        <f t="shared" si="408"/>
        <v>0</v>
      </c>
      <c r="CL112" s="263">
        <f t="shared" si="409"/>
        <v>0</v>
      </c>
      <c r="CM112" s="263">
        <f t="shared" si="410"/>
        <v>0</v>
      </c>
      <c r="CN112" s="263">
        <f t="shared" si="411"/>
        <v>0</v>
      </c>
      <c r="CO112" s="263">
        <f t="shared" si="412"/>
        <v>0</v>
      </c>
      <c r="CP112" s="263">
        <f t="shared" si="413"/>
        <v>0</v>
      </c>
      <c r="CQ112" s="263">
        <f t="shared" si="414"/>
        <v>0</v>
      </c>
      <c r="CR112" s="263">
        <f t="shared" si="415"/>
        <v>0</v>
      </c>
      <c r="CS112" s="263">
        <f t="shared" si="416"/>
        <v>0</v>
      </c>
      <c r="CT112" s="263">
        <f t="shared" si="417"/>
        <v>0</v>
      </c>
      <c r="CU112" s="263">
        <f t="shared" si="418"/>
        <v>0</v>
      </c>
      <c r="CV112" s="263">
        <f t="shared" si="419"/>
        <v>0</v>
      </c>
      <c r="CW112" s="263">
        <f t="shared" si="420"/>
        <v>0</v>
      </c>
      <c r="CX112" s="263">
        <f t="shared" si="421"/>
        <v>0</v>
      </c>
      <c r="CY112" s="263">
        <f t="shared" si="422"/>
        <v>0</v>
      </c>
      <c r="CZ112" s="263">
        <f t="shared" si="423"/>
        <v>0</v>
      </c>
      <c r="DA112" s="263">
        <f t="shared" si="424"/>
        <v>1</v>
      </c>
      <c r="DB112" s="263">
        <f t="shared" si="425"/>
        <v>0</v>
      </c>
      <c r="DC112" s="263">
        <f t="shared" si="426"/>
        <v>0</v>
      </c>
      <c r="DD112" s="263">
        <f t="shared" si="427"/>
        <v>0</v>
      </c>
      <c r="DE112" s="263">
        <f t="shared" si="428"/>
        <v>0</v>
      </c>
      <c r="DF112" s="263">
        <f t="shared" si="429"/>
        <v>0</v>
      </c>
      <c r="DG112" s="263">
        <f t="shared" si="430"/>
        <v>0</v>
      </c>
      <c r="DH112" s="263">
        <f t="shared" si="431"/>
        <v>0</v>
      </c>
      <c r="DI112" s="263">
        <f t="shared" si="432"/>
        <v>1146410</v>
      </c>
      <c r="DJ112" s="263">
        <f t="shared" si="433"/>
        <v>0</v>
      </c>
      <c r="DK112" s="263">
        <f t="shared" si="434"/>
        <v>0</v>
      </c>
      <c r="DL112" s="263">
        <f t="shared" si="435"/>
        <v>0</v>
      </c>
      <c r="DM112" s="263">
        <f t="shared" si="436"/>
        <v>0</v>
      </c>
      <c r="DO112" s="264">
        <f t="shared" si="437"/>
        <v>0</v>
      </c>
      <c r="DP112" s="265">
        <f t="shared" si="438"/>
        <v>0</v>
      </c>
      <c r="DQ112" s="264">
        <f t="shared" si="439"/>
        <v>0</v>
      </c>
      <c r="DR112" s="264">
        <f t="shared" si="440"/>
        <v>0</v>
      </c>
      <c r="DS112" s="265">
        <f t="shared" si="441"/>
        <v>0</v>
      </c>
      <c r="DT112" s="264">
        <f t="shared" si="442"/>
        <v>0</v>
      </c>
      <c r="DU112" s="264">
        <f t="shared" si="443"/>
        <v>0</v>
      </c>
      <c r="DV112" s="265">
        <f t="shared" si="444"/>
        <v>0</v>
      </c>
      <c r="DW112" s="264">
        <f t="shared" si="445"/>
        <v>0</v>
      </c>
      <c r="DX112" s="264">
        <f t="shared" si="446"/>
        <v>0</v>
      </c>
      <c r="DY112" s="265">
        <f t="shared" si="447"/>
        <v>0</v>
      </c>
      <c r="DZ112" s="264">
        <f t="shared" si="448"/>
        <v>0</v>
      </c>
      <c r="EA112" s="264">
        <f t="shared" si="449"/>
        <v>0</v>
      </c>
      <c r="EB112" s="265">
        <f t="shared" si="450"/>
        <v>0</v>
      </c>
      <c r="EC112" s="264">
        <f t="shared" si="451"/>
        <v>0</v>
      </c>
      <c r="ED112" s="264">
        <f t="shared" si="452"/>
        <v>0</v>
      </c>
      <c r="EE112" s="265">
        <f t="shared" si="453"/>
        <v>0</v>
      </c>
      <c r="EF112" s="264">
        <f t="shared" si="454"/>
        <v>0</v>
      </c>
      <c r="EG112" s="264">
        <f t="shared" si="455"/>
        <v>0</v>
      </c>
      <c r="EH112" s="265">
        <f t="shared" si="456"/>
        <v>0</v>
      </c>
      <c r="EI112" s="264">
        <f t="shared" si="457"/>
        <v>0</v>
      </c>
      <c r="EJ112" s="264">
        <f t="shared" si="458"/>
        <v>0</v>
      </c>
      <c r="EK112" s="265">
        <f t="shared" si="459"/>
        <v>0</v>
      </c>
      <c r="EL112" s="264">
        <f t="shared" si="460"/>
        <v>0</v>
      </c>
      <c r="EM112" s="264">
        <f t="shared" si="461"/>
        <v>0</v>
      </c>
      <c r="EN112" s="265">
        <f t="shared" si="462"/>
        <v>0</v>
      </c>
      <c r="EO112" s="264">
        <f t="shared" si="463"/>
        <v>0</v>
      </c>
      <c r="EP112" s="264">
        <f t="shared" si="464"/>
        <v>0</v>
      </c>
      <c r="EQ112" s="265">
        <f t="shared" si="465"/>
        <v>0</v>
      </c>
      <c r="ER112" s="264">
        <f t="shared" si="466"/>
        <v>0</v>
      </c>
      <c r="ES112" s="264">
        <f t="shared" si="467"/>
        <v>0</v>
      </c>
      <c r="ET112" s="265">
        <f t="shared" si="468"/>
        <v>0</v>
      </c>
      <c r="EU112" s="264">
        <f t="shared" si="469"/>
        <v>0</v>
      </c>
      <c r="EV112" s="264">
        <f>IF(AND(BM112="Yes",OR(BN112="No",AND(BN112="Yes",Inputs!$J$8=Inputs!$J$17+75))),EU112,0)</f>
        <v>0</v>
      </c>
      <c r="EW112" s="265">
        <f t="shared" si="470"/>
        <v>0</v>
      </c>
      <c r="EX112" s="264">
        <f t="shared" si="471"/>
        <v>0</v>
      </c>
      <c r="EY112" s="264">
        <f t="shared" si="472"/>
        <v>0</v>
      </c>
      <c r="EZ112" s="265">
        <f t="shared" si="473"/>
        <v>0</v>
      </c>
      <c r="FA112" s="264">
        <f t="shared" si="474"/>
        <v>0</v>
      </c>
      <c r="FB112" s="264">
        <f t="shared" si="475"/>
        <v>0</v>
      </c>
      <c r="FC112" s="265">
        <f t="shared" si="476"/>
        <v>0</v>
      </c>
      <c r="FD112" s="264">
        <f t="shared" si="477"/>
        <v>0</v>
      </c>
      <c r="FE112" s="264">
        <f t="shared" si="478"/>
        <v>0</v>
      </c>
      <c r="FF112" s="265">
        <f t="shared" si="479"/>
        <v>0</v>
      </c>
      <c r="FG112" s="264">
        <f t="shared" si="480"/>
        <v>0</v>
      </c>
      <c r="FH112" s="264">
        <f t="shared" si="481"/>
        <v>0</v>
      </c>
      <c r="FI112" s="264">
        <f t="shared" si="482"/>
        <v>0</v>
      </c>
      <c r="FJ112" s="264">
        <f t="shared" si="483"/>
        <v>0</v>
      </c>
      <c r="FK112" s="264">
        <f t="shared" si="484"/>
        <v>0</v>
      </c>
      <c r="FL112" s="264">
        <f t="shared" si="485"/>
        <v>0</v>
      </c>
      <c r="FM112" s="264">
        <f t="shared" si="486"/>
        <v>0</v>
      </c>
      <c r="FN112" s="264">
        <f t="shared" si="487"/>
        <v>0</v>
      </c>
      <c r="FO112" s="264">
        <f t="shared" si="488"/>
        <v>0</v>
      </c>
      <c r="FP112" s="264">
        <f t="shared" si="489"/>
        <v>0</v>
      </c>
      <c r="FQ112" s="264">
        <f t="shared" si="490"/>
        <v>0</v>
      </c>
      <c r="FR112" s="265">
        <f t="shared" si="491"/>
        <v>0</v>
      </c>
      <c r="FS112" s="264">
        <f t="shared" si="492"/>
        <v>0</v>
      </c>
      <c r="FT112" s="264">
        <f t="shared" si="493"/>
        <v>0</v>
      </c>
      <c r="FU112" s="265">
        <f t="shared" si="494"/>
        <v>0</v>
      </c>
      <c r="FV112" s="264">
        <f t="shared" si="495"/>
        <v>0</v>
      </c>
      <c r="FW112" s="264">
        <f t="shared" si="496"/>
        <v>0</v>
      </c>
      <c r="FX112" s="264">
        <f t="shared" si="497"/>
        <v>0</v>
      </c>
      <c r="FY112" s="264">
        <f t="shared" si="498"/>
        <v>0</v>
      </c>
      <c r="FZ112" s="264">
        <f t="shared" si="499"/>
        <v>0</v>
      </c>
      <c r="GA112" s="265">
        <f t="shared" si="500"/>
        <v>0</v>
      </c>
      <c r="GB112" s="264">
        <f t="shared" si="501"/>
        <v>0</v>
      </c>
      <c r="GC112" s="264">
        <f t="shared" si="502"/>
        <v>0</v>
      </c>
      <c r="GD112" s="266">
        <f t="shared" si="503"/>
        <v>0</v>
      </c>
      <c r="GE112" s="138">
        <f t="shared" si="504"/>
        <v>0</v>
      </c>
      <c r="GF112" s="267">
        <f t="shared" si="505"/>
        <v>31</v>
      </c>
      <c r="GG112" s="264">
        <f t="array" ref="GG112">IF(SUM(IF(IC$9:IC111=IC112,1,0))&gt;0,0,SUMIF($IC$10:$IC$406,IC112,$FJ$10:$FJ$406))</f>
        <v>0</v>
      </c>
      <c r="GH112" s="268">
        <f t="shared" si="506"/>
        <v>0</v>
      </c>
      <c r="GI112" s="137">
        <f t="shared" si="126"/>
        <v>103</v>
      </c>
      <c r="GJ112" s="269">
        <f t="shared" si="507"/>
        <v>0</v>
      </c>
      <c r="GK112" s="269">
        <f t="shared" si="508"/>
        <v>0</v>
      </c>
      <c r="GL112" s="163">
        <f t="shared" si="509"/>
        <v>0</v>
      </c>
      <c r="GM112" s="137">
        <f t="array" ref="GM112">IF(GJ112=0,0,LARGE(IF($GG$10:$GG$406=GJ112,$GF$10:$GF$406,0),COUNTIF($GJ$10:$GJ$406,GJ112)-COUNTIF(GJ$9:GJ111,GJ112)))</f>
        <v>0</v>
      </c>
      <c r="GN112" s="270">
        <f t="shared" si="510"/>
        <v>0</v>
      </c>
      <c r="GP112" s="137">
        <f>IF(C112="","",IF(ISERROR(MATCH(C112,C$10:C111,0)),MAX(GP$10:GP111)+1,INDEX(GP$10:GP111,MATCH(C112,C$10:C111,0))))</f>
        <v>83</v>
      </c>
      <c r="GQ112" s="264">
        <f>IF(COUNTIF($A$10:A112,A112)&lt;=1,SUMIF($A$10:$A$406,A112,$FH$10:$FH$406),0)</f>
        <v>0</v>
      </c>
      <c r="GR112" s="137">
        <f t="shared" si="130"/>
        <v>103</v>
      </c>
      <c r="GS112" s="269">
        <f t="shared" si="554"/>
        <v>611276</v>
      </c>
      <c r="GT112" s="269">
        <f t="shared" si="555"/>
        <v>50964284.172430128</v>
      </c>
      <c r="GU112" s="163">
        <f t="shared" si="556"/>
        <v>0</v>
      </c>
      <c r="GV112" s="137">
        <f t="array" ref="GV112">IF(GS112=0,0,LARGE(IF($GQ$10:$GQ$406=GS112,$GP$10:$GP$406,0),COUNTIF($GS$10:$GS$406,GS112)-COUNTIF(GS$9:GS111,GS112)))</f>
        <v>111</v>
      </c>
      <c r="GW112" s="270">
        <f t="shared" si="557"/>
        <v>0</v>
      </c>
      <c r="GX112" s="270"/>
      <c r="GY112" s="137">
        <f>IF(C112="","",IF(ISERROR(MATCH(C112,C$10:C111,0)),MAX(GP$10:GP111)+1,INDEX(GP$10:GP111,MATCH(C112,C$10:C111,0))))</f>
        <v>83</v>
      </c>
      <c r="GZ112" s="264">
        <f>IF(COUNTIF($A$10:A112,A112)&lt;=1,SUMIF($A$10:$A$406,A112,$FH$10:$FH$406),0)</f>
        <v>0</v>
      </c>
      <c r="HA112" s="137">
        <f t="shared" si="134"/>
        <v>103</v>
      </c>
      <c r="HB112" s="269">
        <f t="shared" si="515"/>
        <v>611276</v>
      </c>
      <c r="HC112" s="414" t="s">
        <v>622</v>
      </c>
      <c r="HD112" s="163">
        <f t="shared" si="516"/>
        <v>0</v>
      </c>
      <c r="HE112" s="137">
        <f t="array" ref="HE112">IF(HB112=0,0,LARGE(IF($GZ$10:$GZ$406=HB112,$GY$10:$GY$406,0),COUNTIF($HB$10:$HB$406,HB112)-COUNTIF(HB$9:HB111,HB112)))</f>
        <v>111</v>
      </c>
      <c r="HF112" s="270">
        <f t="shared" si="517"/>
        <v>0</v>
      </c>
      <c r="HG112" s="270"/>
      <c r="HH112" s="268">
        <f t="shared" si="518"/>
        <v>0</v>
      </c>
      <c r="HI112" s="271">
        <v>0</v>
      </c>
      <c r="HJ112" s="264">
        <f t="shared" si="519"/>
        <v>0</v>
      </c>
      <c r="HL112" s="137">
        <f t="shared" si="520"/>
        <v>103</v>
      </c>
      <c r="HM112" s="264">
        <f t="shared" si="521"/>
        <v>11943153.16</v>
      </c>
      <c r="HN112"/>
      <c r="HO112" s="199">
        <f t="shared" si="522"/>
        <v>0</v>
      </c>
      <c r="HP112" s="199">
        <f t="shared" si="523"/>
        <v>1146410</v>
      </c>
      <c r="HQ112" s="199" t="str">
        <f t="shared" si="524"/>
        <v/>
      </c>
      <c r="HR112" s="199" t="str">
        <f t="shared" si="525"/>
        <v/>
      </c>
      <c r="HS112" s="199" t="str">
        <f t="shared" si="539"/>
        <v/>
      </c>
      <c r="HT112" s="199">
        <f t="shared" si="526"/>
        <v>0</v>
      </c>
      <c r="HU112" s="199" t="str">
        <f t="shared" si="527"/>
        <v/>
      </c>
      <c r="HV112" s="200">
        <f t="shared" si="528"/>
        <v>0</v>
      </c>
      <c r="HW112" s="272">
        <f t="shared" si="540"/>
        <v>1</v>
      </c>
      <c r="HX112" s="200" t="str">
        <f t="shared" si="529"/>
        <v/>
      </c>
      <c r="HY112" s="200">
        <f t="shared" si="530"/>
        <v>0</v>
      </c>
      <c r="HZ112" s="200" t="str">
        <f t="shared" si="535"/>
        <v/>
      </c>
      <c r="IA112" s="200" t="str">
        <f t="shared" si="531"/>
        <v/>
      </c>
      <c r="IB112" s="200" t="str">
        <f t="shared" si="532"/>
        <v/>
      </c>
      <c r="IC112" s="273">
        <f>IF(C112="","",INDEX(Lookups!$E$2:$E$69,MATCH('Loan List'!BE112,Lookups!$F$2:$F$69,0)))</f>
        <v>31</v>
      </c>
      <c r="ID112" t="b">
        <f t="shared" si="533"/>
        <v>1</v>
      </c>
      <c r="IF112" s="346"/>
    </row>
    <row r="113" spans="1:240" ht="15" customHeight="1">
      <c r="A113" t="s">
        <v>610</v>
      </c>
      <c r="B113" s="242">
        <f t="shared" si="541"/>
        <v>104</v>
      </c>
      <c r="C113" s="242">
        <f>IF(COUNTIF($A$10:A112,A113)&gt;0,C112,C112+1)</f>
        <v>84</v>
      </c>
      <c r="D113" s="428" t="s">
        <v>610</v>
      </c>
      <c r="E113" s="428" t="s">
        <v>579</v>
      </c>
      <c r="F113" s="429"/>
      <c r="G113" s="430">
        <v>9164597.4299999997</v>
      </c>
      <c r="H113" s="430">
        <v>9164597.4299999997</v>
      </c>
      <c r="I113" s="244">
        <f>IF(B113="","",VLOOKUP(BF113,Inputs!$A$12:$J$15,10,FALSE))</f>
        <v>1</v>
      </c>
      <c r="J113" s="245">
        <f t="shared" si="542"/>
        <v>9164597.4299999997</v>
      </c>
      <c r="K113" s="245">
        <f t="shared" si="543"/>
        <v>9164597.4299999997</v>
      </c>
      <c r="L113" s="245">
        <f t="shared" si="544"/>
        <v>9164597.4299999997</v>
      </c>
      <c r="M113" s="245">
        <f t="shared" si="545"/>
        <v>9164597.4299999997</v>
      </c>
      <c r="N113" s="246" t="s">
        <v>246</v>
      </c>
      <c r="O113" s="246" t="s">
        <v>245</v>
      </c>
      <c r="P113" s="247">
        <f>IF(B113="","",IF(OR(O113="N/A",O113=""),0,YEARFRAC('Borrowing Base'!$J$4,'Loan List'!O113)*12))</f>
        <v>0</v>
      </c>
      <c r="Q113" s="246" t="s">
        <v>246</v>
      </c>
      <c r="R113" s="275">
        <v>0.99124999999999996</v>
      </c>
      <c r="S113" s="249" t="str">
        <f t="shared" si="546"/>
        <v>No</v>
      </c>
      <c r="T113" s="275">
        <v>0.99000000046919689</v>
      </c>
      <c r="U113" s="250">
        <f t="shared" si="547"/>
        <v>0.5</v>
      </c>
      <c r="V113" s="250">
        <f t="shared" si="548"/>
        <v>0.72499999999999998</v>
      </c>
      <c r="W113" s="251">
        <f t="shared" si="385"/>
        <v>9164597.4299999997</v>
      </c>
      <c r="X113" s="246" t="s">
        <v>246</v>
      </c>
      <c r="Y113" s="252" t="s">
        <v>483</v>
      </c>
      <c r="Z113" s="252" t="s">
        <v>484</v>
      </c>
      <c r="AA113" s="253" t="s">
        <v>407</v>
      </c>
      <c r="AB113" s="253" t="s">
        <v>713</v>
      </c>
      <c r="AC113" s="254">
        <v>1.8834951456310678</v>
      </c>
      <c r="AD113" s="254">
        <v>1.9824193066200024</v>
      </c>
      <c r="AE113" s="254">
        <v>2.7559559901362953</v>
      </c>
      <c r="AF113" s="254">
        <v>0.19255697693414683</v>
      </c>
      <c r="AG113" s="256">
        <v>2.0689655172413794</v>
      </c>
      <c r="AH113" s="256">
        <v>2.0689655172413794</v>
      </c>
      <c r="AI113" s="256">
        <v>4.0064688521840264</v>
      </c>
      <c r="AJ113" s="256">
        <v>4.0064688521840264</v>
      </c>
      <c r="AK113" s="257">
        <v>14500000</v>
      </c>
      <c r="AL113" s="257">
        <v>31489766.344052702</v>
      </c>
      <c r="AM113" s="258">
        <v>45808</v>
      </c>
      <c r="AN113" s="245" t="str">
        <f t="shared" si="549"/>
        <v>Tier 2</v>
      </c>
      <c r="AO113" s="243">
        <v>47483</v>
      </c>
      <c r="AP113" s="259">
        <f>IF(C113="","",DAYS360(Inputs!$J$8,AO113)/360)</f>
        <v>4.3527777777777779</v>
      </c>
      <c r="AQ113" s="259">
        <f t="shared" si="550"/>
        <v>4.3527777777777779</v>
      </c>
      <c r="AR113" s="246" t="s">
        <v>246</v>
      </c>
      <c r="AS113" s="276">
        <v>0</v>
      </c>
      <c r="AT113" s="246" t="s">
        <v>64</v>
      </c>
      <c r="AU113" s="248">
        <v>0.01</v>
      </c>
      <c r="AV113" s="248">
        <v>5.2499999999999998E-2</v>
      </c>
      <c r="AW113" s="248">
        <v>4.2956000000000001E-2</v>
      </c>
      <c r="AX113" s="260">
        <f t="shared" si="551"/>
        <v>4.2956000000000001E-2</v>
      </c>
      <c r="AY113" s="248">
        <v>0</v>
      </c>
      <c r="AZ113" s="248">
        <v>0</v>
      </c>
      <c r="BA113" s="248">
        <v>0</v>
      </c>
      <c r="BB113" s="407">
        <f t="shared" si="536"/>
        <v>5.2499999999999998E-2</v>
      </c>
      <c r="BC113" s="407" t="str">
        <f t="shared" si="537"/>
        <v/>
      </c>
      <c r="BD113" s="252" t="s">
        <v>247</v>
      </c>
      <c r="BE113" s="261" t="s">
        <v>378</v>
      </c>
      <c r="BF113" s="252" t="s">
        <v>7</v>
      </c>
      <c r="BG113" s="252" t="s">
        <v>460</v>
      </c>
      <c r="BH113" s="246" t="s">
        <v>246</v>
      </c>
      <c r="BI113" s="408" t="str">
        <f t="shared" si="534"/>
        <v>No</v>
      </c>
      <c r="BJ113" s="408" t="str">
        <f t="shared" si="538"/>
        <v>No</v>
      </c>
      <c r="BK113" s="246" t="s">
        <v>246</v>
      </c>
      <c r="BL113" s="246" t="s">
        <v>246</v>
      </c>
      <c r="BM113" s="246" t="s">
        <v>246</v>
      </c>
      <c r="BN113" s="246" t="s">
        <v>246</v>
      </c>
      <c r="BO113" s="246" t="s">
        <v>246</v>
      </c>
      <c r="BP113" s="246" t="s">
        <v>246</v>
      </c>
      <c r="BQ113" s="246" t="s">
        <v>246</v>
      </c>
      <c r="BR113" s="246" t="s">
        <v>246</v>
      </c>
      <c r="BS113" s="246" t="s">
        <v>246</v>
      </c>
      <c r="BT113" s="246" t="s">
        <v>246</v>
      </c>
      <c r="BU113" s="246" t="s">
        <v>246</v>
      </c>
      <c r="BV113" s="246" t="s">
        <v>246</v>
      </c>
      <c r="BW113" s="246" t="s">
        <v>246</v>
      </c>
      <c r="BX113" s="246" t="s">
        <v>246</v>
      </c>
      <c r="BY113" s="246" t="s">
        <v>246</v>
      </c>
      <c r="BZ113" s="246" t="s">
        <v>246</v>
      </c>
      <c r="CA113" s="246" t="s">
        <v>246</v>
      </c>
      <c r="CB113" s="246" t="s">
        <v>64</v>
      </c>
      <c r="CC113" s="262">
        <f t="shared" si="552"/>
        <v>478699.91631964798</v>
      </c>
      <c r="CD113" s="262">
        <f t="shared" si="553"/>
        <v>0</v>
      </c>
      <c r="CE113" s="263"/>
      <c r="CF113" s="263">
        <f t="shared" si="403"/>
        <v>0</v>
      </c>
      <c r="CG113" s="263">
        <f t="shared" si="404"/>
        <v>0</v>
      </c>
      <c r="CH113" s="263">
        <f t="shared" si="405"/>
        <v>0</v>
      </c>
      <c r="CI113" s="263">
        <f t="shared" si="406"/>
        <v>0</v>
      </c>
      <c r="CJ113" s="263">
        <f t="shared" si="407"/>
        <v>0</v>
      </c>
      <c r="CK113" s="263">
        <f t="shared" si="408"/>
        <v>0</v>
      </c>
      <c r="CL113" s="263">
        <f t="shared" si="409"/>
        <v>0</v>
      </c>
      <c r="CM113" s="263">
        <f t="shared" si="410"/>
        <v>0</v>
      </c>
      <c r="CN113" s="263">
        <f t="shared" si="411"/>
        <v>0</v>
      </c>
      <c r="CO113" s="263">
        <f t="shared" si="412"/>
        <v>0</v>
      </c>
      <c r="CP113" s="263">
        <f t="shared" si="413"/>
        <v>0</v>
      </c>
      <c r="CQ113" s="263">
        <f t="shared" si="414"/>
        <v>0</v>
      </c>
      <c r="CR113" s="263">
        <f t="shared" si="415"/>
        <v>0</v>
      </c>
      <c r="CS113" s="263">
        <f t="shared" si="416"/>
        <v>0</v>
      </c>
      <c r="CT113" s="263">
        <f t="shared" si="417"/>
        <v>0</v>
      </c>
      <c r="CU113" s="263">
        <f t="shared" si="418"/>
        <v>0</v>
      </c>
      <c r="CV113" s="263">
        <f t="shared" si="419"/>
        <v>0</v>
      </c>
      <c r="CW113" s="263">
        <f t="shared" si="420"/>
        <v>0</v>
      </c>
      <c r="CX113" s="263">
        <f t="shared" si="421"/>
        <v>0</v>
      </c>
      <c r="CY113" s="263">
        <f t="shared" si="422"/>
        <v>0</v>
      </c>
      <c r="CZ113" s="263">
        <f t="shared" si="423"/>
        <v>0</v>
      </c>
      <c r="DA113" s="263">
        <f t="shared" si="424"/>
        <v>0</v>
      </c>
      <c r="DB113" s="263">
        <f t="shared" si="425"/>
        <v>0</v>
      </c>
      <c r="DC113" s="263">
        <f t="shared" si="426"/>
        <v>0</v>
      </c>
      <c r="DD113" s="263">
        <f t="shared" si="427"/>
        <v>0</v>
      </c>
      <c r="DE113" s="263">
        <f t="shared" si="428"/>
        <v>0</v>
      </c>
      <c r="DF113" s="263">
        <f t="shared" si="429"/>
        <v>9164597.4299999997</v>
      </c>
      <c r="DG113" s="263">
        <f t="shared" si="430"/>
        <v>0</v>
      </c>
      <c r="DH113" s="263">
        <f t="shared" si="431"/>
        <v>9164597.4299999997</v>
      </c>
      <c r="DI113" s="263">
        <f t="shared" si="432"/>
        <v>9164597.4299999997</v>
      </c>
      <c r="DJ113" s="263">
        <f t="shared" si="433"/>
        <v>0</v>
      </c>
      <c r="DK113" s="263">
        <f t="shared" si="434"/>
        <v>0</v>
      </c>
      <c r="DL113" s="263">
        <f t="shared" si="435"/>
        <v>0</v>
      </c>
      <c r="DM113" s="263">
        <f t="shared" si="436"/>
        <v>0</v>
      </c>
      <c r="DO113" s="264">
        <f t="shared" si="437"/>
        <v>0</v>
      </c>
      <c r="DP113" s="265">
        <f t="shared" si="438"/>
        <v>0</v>
      </c>
      <c r="DQ113" s="264">
        <f t="shared" si="439"/>
        <v>9164597.4299999997</v>
      </c>
      <c r="DR113" s="264">
        <f t="shared" si="440"/>
        <v>0</v>
      </c>
      <c r="DS113" s="265">
        <f t="shared" si="441"/>
        <v>0</v>
      </c>
      <c r="DT113" s="264">
        <f t="shared" si="442"/>
        <v>9164597.4299999997</v>
      </c>
      <c r="DU113" s="264">
        <f t="shared" si="443"/>
        <v>0</v>
      </c>
      <c r="DV113" s="265">
        <f t="shared" si="444"/>
        <v>0</v>
      </c>
      <c r="DW113" s="264">
        <f t="shared" si="445"/>
        <v>9164597.4299999997</v>
      </c>
      <c r="DX113" s="264">
        <f t="shared" si="446"/>
        <v>0</v>
      </c>
      <c r="DY113" s="265">
        <f t="shared" si="447"/>
        <v>0</v>
      </c>
      <c r="DZ113" s="264">
        <f t="shared" si="448"/>
        <v>9164597.4299999997</v>
      </c>
      <c r="EA113" s="264">
        <f t="shared" si="449"/>
        <v>0</v>
      </c>
      <c r="EB113" s="265">
        <f t="shared" si="450"/>
        <v>0</v>
      </c>
      <c r="EC113" s="264">
        <f t="shared" si="451"/>
        <v>9164597.4299999997</v>
      </c>
      <c r="ED113" s="264">
        <f t="shared" si="452"/>
        <v>0</v>
      </c>
      <c r="EE113" s="265">
        <f t="shared" si="453"/>
        <v>0</v>
      </c>
      <c r="EF113" s="264">
        <f t="shared" si="454"/>
        <v>9164597.4299999997</v>
      </c>
      <c r="EG113" s="264">
        <f t="shared" si="455"/>
        <v>0</v>
      </c>
      <c r="EH113" s="265">
        <f t="shared" si="456"/>
        <v>0</v>
      </c>
      <c r="EI113" s="264">
        <f t="shared" si="457"/>
        <v>9164597.4299999997</v>
      </c>
      <c r="EJ113" s="264">
        <f t="shared" si="458"/>
        <v>0</v>
      </c>
      <c r="EK113" s="265">
        <f t="shared" si="459"/>
        <v>0</v>
      </c>
      <c r="EL113" s="264">
        <f t="shared" si="460"/>
        <v>9164597.4299999997</v>
      </c>
      <c r="EM113" s="264">
        <f t="shared" si="461"/>
        <v>0</v>
      </c>
      <c r="EN113" s="265">
        <f t="shared" si="462"/>
        <v>0</v>
      </c>
      <c r="EO113" s="264">
        <f t="shared" si="463"/>
        <v>9164597.4299999997</v>
      </c>
      <c r="EP113" s="264">
        <f t="shared" si="464"/>
        <v>0</v>
      </c>
      <c r="EQ113" s="265">
        <f t="shared" si="465"/>
        <v>0</v>
      </c>
      <c r="ER113" s="264">
        <f t="shared" si="466"/>
        <v>9164597.4299999997</v>
      </c>
      <c r="ES113" s="264">
        <f t="shared" si="467"/>
        <v>0</v>
      </c>
      <c r="ET113" s="265">
        <f t="shared" si="468"/>
        <v>0</v>
      </c>
      <c r="EU113" s="264">
        <f t="shared" si="469"/>
        <v>9164597.4299999997</v>
      </c>
      <c r="EV113" s="264">
        <f>IF(AND(BM113="Yes",OR(BN113="No",AND(BN113="Yes",Inputs!$J$8=Inputs!$J$17+75))),EU113,0)</f>
        <v>0</v>
      </c>
      <c r="EW113" s="265">
        <f t="shared" si="470"/>
        <v>0</v>
      </c>
      <c r="EX113" s="264">
        <f t="shared" si="471"/>
        <v>9164597.4299999997</v>
      </c>
      <c r="EY113" s="264">
        <f t="shared" si="472"/>
        <v>0</v>
      </c>
      <c r="EZ113" s="265">
        <f t="shared" si="473"/>
        <v>0</v>
      </c>
      <c r="FA113" s="264">
        <f t="shared" si="474"/>
        <v>9164597.4299999997</v>
      </c>
      <c r="FB113" s="264">
        <f t="shared" si="475"/>
        <v>0</v>
      </c>
      <c r="FC113" s="265">
        <f t="shared" si="476"/>
        <v>0</v>
      </c>
      <c r="FD113" s="264">
        <f t="shared" si="477"/>
        <v>9164597.4299999997</v>
      </c>
      <c r="FE113" s="264">
        <f t="shared" si="478"/>
        <v>0</v>
      </c>
      <c r="FF113" s="265">
        <f t="shared" si="479"/>
        <v>0</v>
      </c>
      <c r="FG113" s="264">
        <f t="shared" si="480"/>
        <v>9164597.4299999997</v>
      </c>
      <c r="FH113" s="264">
        <f t="shared" si="481"/>
        <v>9164597.4299999997</v>
      </c>
      <c r="FI113" s="264">
        <f t="shared" si="482"/>
        <v>0</v>
      </c>
      <c r="FJ113" s="264">
        <f t="shared" si="483"/>
        <v>9164597.4299999997</v>
      </c>
      <c r="FK113" s="264">
        <f t="shared" si="484"/>
        <v>9164597.4299999997</v>
      </c>
      <c r="FL113" s="264">
        <f t="shared" si="485"/>
        <v>0</v>
      </c>
      <c r="FM113" s="264">
        <f t="shared" si="486"/>
        <v>9164597.4299999997</v>
      </c>
      <c r="FN113" s="264">
        <f t="shared" si="487"/>
        <v>9164597.4299999997</v>
      </c>
      <c r="FO113" s="264">
        <f t="shared" si="488"/>
        <v>0</v>
      </c>
      <c r="FP113" s="264">
        <f t="shared" si="489"/>
        <v>9164597.4299999997</v>
      </c>
      <c r="FQ113" s="264">
        <f t="shared" si="490"/>
        <v>0</v>
      </c>
      <c r="FR113" s="265">
        <f t="shared" si="491"/>
        <v>0</v>
      </c>
      <c r="FS113" s="264">
        <f t="shared" si="492"/>
        <v>9164597.4299999997</v>
      </c>
      <c r="FT113" s="264">
        <f t="shared" si="493"/>
        <v>0</v>
      </c>
      <c r="FU113" s="265">
        <f t="shared" si="494"/>
        <v>0</v>
      </c>
      <c r="FV113" s="264">
        <f t="shared" si="495"/>
        <v>9164597.4299999997</v>
      </c>
      <c r="FW113" s="264">
        <f t="shared" si="496"/>
        <v>0</v>
      </c>
      <c r="FX113" s="264">
        <f t="shared" si="497"/>
        <v>0</v>
      </c>
      <c r="FY113" s="264">
        <f t="shared" si="498"/>
        <v>0</v>
      </c>
      <c r="FZ113" s="264">
        <f t="shared" si="499"/>
        <v>0</v>
      </c>
      <c r="GA113" s="265">
        <f t="shared" si="500"/>
        <v>0</v>
      </c>
      <c r="GB113" s="264">
        <f t="shared" si="501"/>
        <v>9164597.4299999997</v>
      </c>
      <c r="GC113" s="264">
        <f t="shared" si="502"/>
        <v>9164597.4299999997</v>
      </c>
      <c r="GD113" s="266">
        <f t="shared" si="503"/>
        <v>6644333.1367499996</v>
      </c>
      <c r="GE113" s="138">
        <f t="shared" si="504"/>
        <v>0.72499999999999998</v>
      </c>
      <c r="GF113" s="267">
        <f t="shared" si="505"/>
        <v>19</v>
      </c>
      <c r="GG113" s="264">
        <f t="array" ref="GG113">IF(SUM(IF(IC$9:IC112=IC113,1,0))&gt;0,0,SUMIF($IC$10:$IC$406,IC113,$FJ$10:$FJ$406))</f>
        <v>0</v>
      </c>
      <c r="GH113" s="268">
        <f t="shared" si="506"/>
        <v>0</v>
      </c>
      <c r="GI113" s="137">
        <f t="shared" si="126"/>
        <v>104</v>
      </c>
      <c r="GJ113" s="269">
        <f t="shared" si="507"/>
        <v>0</v>
      </c>
      <c r="GK113" s="269">
        <f t="shared" si="508"/>
        <v>0</v>
      </c>
      <c r="GL113" s="163">
        <f t="shared" si="509"/>
        <v>0</v>
      </c>
      <c r="GM113" s="137">
        <f t="array" ref="GM113">IF(GJ113=0,0,LARGE(IF($GG$10:$GG$406=GJ113,$GF$10:$GF$406,0),COUNTIF($GJ$10:$GJ$406,GJ113)-COUNTIF(GJ$9:GJ112,GJ113)))</f>
        <v>0</v>
      </c>
      <c r="GN113" s="270">
        <f t="shared" si="510"/>
        <v>0</v>
      </c>
      <c r="GP113" s="137">
        <f>IF(C113="","",IF(ISERROR(MATCH(C113,C$10:C112,0)),MAX(GP$10:GP112)+1,INDEX(GP$10:GP112,MATCH(C113,C$10:C112,0))))</f>
        <v>84</v>
      </c>
      <c r="GQ113" s="264">
        <f>IF(COUNTIF($A$10:A113,A113)&lt;=1,SUMIF($A$10:$A$406,A113,$FH$10:$FH$406),0)</f>
        <v>9164597.4299999997</v>
      </c>
      <c r="GR113" s="137">
        <f t="shared" si="130"/>
        <v>104</v>
      </c>
      <c r="GS113" s="269">
        <f t="shared" si="554"/>
        <v>539171.005</v>
      </c>
      <c r="GT113" s="269">
        <f t="shared" si="555"/>
        <v>50964284.172430128</v>
      </c>
      <c r="GU113" s="163">
        <f t="shared" si="556"/>
        <v>0</v>
      </c>
      <c r="GV113" s="137">
        <f t="array" ref="GV113">IF(GS113=0,0,LARGE(IF($GQ$10:$GQ$406=GS113,$GP$10:$GP$406,0),COUNTIF($GS$10:$GS$406,GS113)-COUNTIF(GS$9:GS112,GS113)))</f>
        <v>47</v>
      </c>
      <c r="GW113" s="270">
        <f t="shared" si="557"/>
        <v>0</v>
      </c>
      <c r="GX113" s="270"/>
      <c r="GY113" s="137">
        <f>IF(C113="","",IF(ISERROR(MATCH(C113,C$10:C112,0)),MAX(GP$10:GP112)+1,INDEX(GP$10:GP112,MATCH(C113,C$10:C112,0))))</f>
        <v>84</v>
      </c>
      <c r="GZ113" s="264">
        <f>IF(COUNTIF($A$10:A113,A113)&lt;=1,SUMIF($A$10:$A$406,A113,$FH$10:$FH$406),0)</f>
        <v>9164597.4299999997</v>
      </c>
      <c r="HA113" s="137">
        <f t="shared" si="134"/>
        <v>104</v>
      </c>
      <c r="HB113" s="269">
        <f t="shared" si="515"/>
        <v>539171.005</v>
      </c>
      <c r="HC113" s="414" t="s">
        <v>622</v>
      </c>
      <c r="HD113" s="163">
        <f t="shared" si="516"/>
        <v>0</v>
      </c>
      <c r="HE113" s="137">
        <f t="array" ref="HE113">IF(HB113=0,0,LARGE(IF($GZ$10:$GZ$406=HB113,$GY$10:$GY$406,0),COUNTIF($HB$10:$HB$406,HB113)-COUNTIF(HB$9:HB112,HB113)))</f>
        <v>47</v>
      </c>
      <c r="HF113" s="270">
        <f t="shared" si="517"/>
        <v>0</v>
      </c>
      <c r="HG113" s="270"/>
      <c r="HH113" s="268">
        <f t="shared" si="518"/>
        <v>0</v>
      </c>
      <c r="HI113" s="271">
        <v>0</v>
      </c>
      <c r="HJ113" s="264">
        <f t="shared" si="519"/>
        <v>0</v>
      </c>
      <c r="HL113" s="137">
        <f t="shared" si="520"/>
        <v>104</v>
      </c>
      <c r="HM113" s="264">
        <f t="shared" si="521"/>
        <v>3178701.8148999969</v>
      </c>
      <c r="HN113"/>
      <c r="HO113" s="199">
        <f t="shared" si="522"/>
        <v>9164597.4299999997</v>
      </c>
      <c r="HP113" s="199">
        <f t="shared" si="523"/>
        <v>9164597.4299999997</v>
      </c>
      <c r="HQ113" s="199" t="str">
        <f t="shared" si="524"/>
        <v/>
      </c>
      <c r="HR113" s="199" t="str">
        <f t="shared" si="525"/>
        <v/>
      </c>
      <c r="HS113" s="199" t="str">
        <f t="shared" si="539"/>
        <v/>
      </c>
      <c r="HT113" s="199" t="str">
        <f t="shared" si="526"/>
        <v/>
      </c>
      <c r="HU113" s="199" t="str">
        <f t="shared" si="527"/>
        <v/>
      </c>
      <c r="HV113" s="200">
        <f t="shared" si="528"/>
        <v>0</v>
      </c>
      <c r="HW113" s="272">
        <f t="shared" si="540"/>
        <v>1</v>
      </c>
      <c r="HX113" s="200" t="str">
        <f t="shared" si="529"/>
        <v/>
      </c>
      <c r="HY113" s="200">
        <f t="shared" si="530"/>
        <v>0</v>
      </c>
      <c r="HZ113" s="200" t="str">
        <f t="shared" si="535"/>
        <v/>
      </c>
      <c r="IA113" s="200" t="str">
        <f t="shared" si="531"/>
        <v/>
      </c>
      <c r="IB113" s="200" t="str">
        <f t="shared" si="532"/>
        <v/>
      </c>
      <c r="IC113" s="273">
        <f>IF(C113="","",INDEX(Lookups!$E$2:$E$69,MATCH('Loan List'!BE113,Lookups!$F$2:$F$69,0)))</f>
        <v>19</v>
      </c>
      <c r="ID113" t="b">
        <f t="shared" si="533"/>
        <v>1</v>
      </c>
      <c r="IF113" s="346"/>
    </row>
    <row r="114" spans="1:240" ht="15" customHeight="1">
      <c r="A114" t="s">
        <v>601</v>
      </c>
      <c r="B114" s="242">
        <f t="shared" si="541"/>
        <v>105</v>
      </c>
      <c r="C114" s="242">
        <f>IF(COUNTIF($A$10:A113,A114)&gt;0,C113,C113+1)</f>
        <v>85</v>
      </c>
      <c r="D114" s="428" t="s">
        <v>601</v>
      </c>
      <c r="E114" s="428" t="s">
        <v>526</v>
      </c>
      <c r="F114" s="429"/>
      <c r="G114" s="430">
        <v>4530808.2599999988</v>
      </c>
      <c r="H114" s="430">
        <v>4530808.2599999988</v>
      </c>
      <c r="I114" s="244">
        <f>IF(B114="","",VLOOKUP(BF114,Inputs!$A$12:$J$15,10,FALSE))</f>
        <v>1</v>
      </c>
      <c r="J114" s="245">
        <f t="shared" si="542"/>
        <v>4530808.2599999988</v>
      </c>
      <c r="K114" s="245">
        <f t="shared" si="543"/>
        <v>4530808.2599999988</v>
      </c>
      <c r="L114" s="245">
        <f t="shared" si="544"/>
        <v>0</v>
      </c>
      <c r="M114" s="245">
        <f t="shared" si="545"/>
        <v>0</v>
      </c>
      <c r="N114" s="246" t="s">
        <v>246</v>
      </c>
      <c r="O114" s="246" t="s">
        <v>245</v>
      </c>
      <c r="P114" s="247">
        <f>IF(B114="","",IF(OR(O114="N/A",O114=""),0,YEARFRAC('Borrowing Base'!$J$4,'Loan List'!O114)*12))</f>
        <v>0</v>
      </c>
      <c r="Q114" s="246" t="s">
        <v>246</v>
      </c>
      <c r="R114" s="275">
        <v>0.78</v>
      </c>
      <c r="S114" s="249" t="str">
        <f t="shared" si="546"/>
        <v>Yes</v>
      </c>
      <c r="T114" s="275">
        <v>0.89999999979566725</v>
      </c>
      <c r="U114" s="250">
        <f t="shared" si="547"/>
        <v>0.5</v>
      </c>
      <c r="V114" s="250">
        <f t="shared" si="548"/>
        <v>0.72499999999999998</v>
      </c>
      <c r="W114" s="251">
        <f t="shared" si="385"/>
        <v>0</v>
      </c>
      <c r="X114" s="246" t="s">
        <v>64</v>
      </c>
      <c r="Y114" s="252" t="s">
        <v>483</v>
      </c>
      <c r="Z114" s="252" t="s">
        <v>484</v>
      </c>
      <c r="AA114" s="253" t="s">
        <v>407</v>
      </c>
      <c r="AB114" s="253" t="s">
        <v>713</v>
      </c>
      <c r="AC114" s="254">
        <v>2.2459816399975088</v>
      </c>
      <c r="AD114" s="254">
        <v>0.32263103777943974</v>
      </c>
      <c r="AE114" s="254">
        <v>0.70770169685075524</v>
      </c>
      <c r="AF114" s="254">
        <v>0.5374065997664349</v>
      </c>
      <c r="AG114" s="256">
        <v>4.4499999422783665</v>
      </c>
      <c r="AH114" s="256">
        <v>4.4499999422783665</v>
      </c>
      <c r="AI114" s="256">
        <v>17.497222294077556</v>
      </c>
      <c r="AJ114" s="256">
        <v>17.497222294077556</v>
      </c>
      <c r="AK114" s="257">
        <v>11685393.41</v>
      </c>
      <c r="AL114" s="257">
        <v>2787622.3100000015</v>
      </c>
      <c r="AM114" s="258">
        <v>45838</v>
      </c>
      <c r="AN114" s="245" t="str">
        <f t="shared" si="549"/>
        <v>Tier 2</v>
      </c>
      <c r="AO114" s="243">
        <v>46633</v>
      </c>
      <c r="AP114" s="259">
        <f>IF(C114="","",DAYS360(Inputs!$J$8,AO114)/360)</f>
        <v>2.0249999999999999</v>
      </c>
      <c r="AQ114" s="259">
        <f t="shared" si="550"/>
        <v>2.0249999999999999</v>
      </c>
      <c r="AR114" s="246" t="s">
        <v>246</v>
      </c>
      <c r="AS114" s="276">
        <v>0</v>
      </c>
      <c r="AT114" s="246" t="s">
        <v>64</v>
      </c>
      <c r="AU114" s="248">
        <v>0.01</v>
      </c>
      <c r="AV114" s="248">
        <v>9.2499999999999999E-2</v>
      </c>
      <c r="AW114" s="248">
        <v>2.2956000000000004E-2</v>
      </c>
      <c r="AX114" s="260">
        <f t="shared" si="551"/>
        <v>2.2956000000000004E-2</v>
      </c>
      <c r="AY114" s="248">
        <v>0</v>
      </c>
      <c r="AZ114" s="248">
        <v>7.4999999999999997E-2</v>
      </c>
      <c r="BA114" s="248">
        <v>0</v>
      </c>
      <c r="BB114" s="407">
        <f t="shared" si="536"/>
        <v>1.7500000000000002E-2</v>
      </c>
      <c r="BC114" s="407" t="str">
        <f t="shared" si="537"/>
        <v/>
      </c>
      <c r="BD114" s="252" t="s">
        <v>247</v>
      </c>
      <c r="BE114" s="261" t="s">
        <v>369</v>
      </c>
      <c r="BF114" s="252" t="s">
        <v>7</v>
      </c>
      <c r="BG114" s="252" t="s">
        <v>460</v>
      </c>
      <c r="BH114" s="246" t="s">
        <v>246</v>
      </c>
      <c r="BI114" s="408" t="str">
        <f t="shared" si="534"/>
        <v>No</v>
      </c>
      <c r="BJ114" s="408" t="str">
        <f t="shared" si="538"/>
        <v>Yes</v>
      </c>
      <c r="BK114" s="246" t="s">
        <v>246</v>
      </c>
      <c r="BL114" s="246" t="s">
        <v>246</v>
      </c>
      <c r="BM114" s="246" t="s">
        <v>246</v>
      </c>
      <c r="BN114" s="246" t="s">
        <v>246</v>
      </c>
      <c r="BO114" s="246" t="s">
        <v>246</v>
      </c>
      <c r="BP114" s="246" t="s">
        <v>246</v>
      </c>
      <c r="BQ114" s="246" t="s">
        <v>246</v>
      </c>
      <c r="BR114" s="246" t="s">
        <v>246</v>
      </c>
      <c r="BS114" s="246" t="s">
        <v>246</v>
      </c>
      <c r="BT114" s="246" t="s">
        <v>246</v>
      </c>
      <c r="BU114" s="246" t="s">
        <v>246</v>
      </c>
      <c r="BV114" s="246" t="s">
        <v>246</v>
      </c>
      <c r="BW114" s="246" t="s">
        <v>246</v>
      </c>
      <c r="BX114" s="246" t="s">
        <v>246</v>
      </c>
      <c r="BY114" s="246" t="s">
        <v>246</v>
      </c>
      <c r="BZ114" s="246" t="s">
        <v>246</v>
      </c>
      <c r="CA114" s="246" t="s">
        <v>246</v>
      </c>
      <c r="CB114" s="246" t="s">
        <v>64</v>
      </c>
      <c r="CC114" s="262">
        <f t="shared" si="552"/>
        <v>0</v>
      </c>
      <c r="CD114" s="262">
        <f t="shared" si="553"/>
        <v>0</v>
      </c>
      <c r="CE114" s="263"/>
      <c r="CF114" s="263">
        <f t="shared" si="403"/>
        <v>1</v>
      </c>
      <c r="CG114" s="263">
        <f t="shared" si="404"/>
        <v>0</v>
      </c>
      <c r="CH114" s="263">
        <f t="shared" si="405"/>
        <v>0</v>
      </c>
      <c r="CI114" s="263">
        <f t="shared" si="406"/>
        <v>0</v>
      </c>
      <c r="CJ114" s="263">
        <f t="shared" si="407"/>
        <v>0</v>
      </c>
      <c r="CK114" s="263">
        <f t="shared" si="408"/>
        <v>0</v>
      </c>
      <c r="CL114" s="263">
        <f t="shared" si="409"/>
        <v>0</v>
      </c>
      <c r="CM114" s="263">
        <f t="shared" si="410"/>
        <v>0</v>
      </c>
      <c r="CN114" s="263">
        <f t="shared" si="411"/>
        <v>0</v>
      </c>
      <c r="CO114" s="263">
        <f t="shared" si="412"/>
        <v>1</v>
      </c>
      <c r="CP114" s="263">
        <f t="shared" si="413"/>
        <v>0</v>
      </c>
      <c r="CQ114" s="263">
        <f t="shared" si="414"/>
        <v>0</v>
      </c>
      <c r="CR114" s="263">
        <f t="shared" si="415"/>
        <v>0</v>
      </c>
      <c r="CS114" s="263">
        <f t="shared" si="416"/>
        <v>0</v>
      </c>
      <c r="CT114" s="263">
        <f t="shared" si="417"/>
        <v>0</v>
      </c>
      <c r="CU114" s="263">
        <f t="shared" si="418"/>
        <v>0</v>
      </c>
      <c r="CV114" s="263">
        <f t="shared" si="419"/>
        <v>0</v>
      </c>
      <c r="CW114" s="263">
        <f t="shared" si="420"/>
        <v>0</v>
      </c>
      <c r="CX114" s="263">
        <f t="shared" si="421"/>
        <v>0</v>
      </c>
      <c r="CY114" s="263">
        <f t="shared" si="422"/>
        <v>0</v>
      </c>
      <c r="CZ114" s="263">
        <f t="shared" si="423"/>
        <v>1</v>
      </c>
      <c r="DA114" s="263">
        <f t="shared" si="424"/>
        <v>0</v>
      </c>
      <c r="DB114" s="263">
        <f t="shared" si="425"/>
        <v>0</v>
      </c>
      <c r="DC114" s="263">
        <f t="shared" si="426"/>
        <v>0</v>
      </c>
      <c r="DD114" s="263">
        <f t="shared" si="427"/>
        <v>1</v>
      </c>
      <c r="DE114" s="263">
        <f>IF((SUM(CF114:CY114)=0),0,W114)</f>
        <v>0</v>
      </c>
      <c r="DF114" s="263">
        <f t="shared" si="429"/>
        <v>0</v>
      </c>
      <c r="DG114" s="263">
        <f t="shared" si="430"/>
        <v>0</v>
      </c>
      <c r="DH114" s="263">
        <f t="shared" si="431"/>
        <v>0</v>
      </c>
      <c r="DI114" s="263">
        <f t="shared" si="432"/>
        <v>0</v>
      </c>
      <c r="DJ114" s="263">
        <f t="shared" si="433"/>
        <v>0</v>
      </c>
      <c r="DK114" s="263">
        <f t="shared" si="434"/>
        <v>0</v>
      </c>
      <c r="DL114" s="263">
        <f t="shared" si="435"/>
        <v>0</v>
      </c>
      <c r="DM114" s="263">
        <f t="shared" si="436"/>
        <v>0</v>
      </c>
      <c r="DO114" s="264">
        <f t="shared" si="437"/>
        <v>0</v>
      </c>
      <c r="DP114" s="265">
        <f t="shared" si="438"/>
        <v>0</v>
      </c>
      <c r="DQ114" s="264">
        <f t="shared" si="439"/>
        <v>0</v>
      </c>
      <c r="DR114" s="264">
        <f t="shared" si="440"/>
        <v>0</v>
      </c>
      <c r="DS114" s="265">
        <f t="shared" si="441"/>
        <v>0</v>
      </c>
      <c r="DT114" s="264">
        <f t="shared" si="442"/>
        <v>0</v>
      </c>
      <c r="DU114" s="264">
        <f t="shared" si="443"/>
        <v>0</v>
      </c>
      <c r="DV114" s="265">
        <f t="shared" si="444"/>
        <v>0</v>
      </c>
      <c r="DW114" s="264">
        <f t="shared" si="445"/>
        <v>0</v>
      </c>
      <c r="DX114" s="264">
        <f t="shared" si="446"/>
        <v>0</v>
      </c>
      <c r="DY114" s="265">
        <f t="shared" si="447"/>
        <v>0</v>
      </c>
      <c r="DZ114" s="264">
        <f t="shared" si="448"/>
        <v>0</v>
      </c>
      <c r="EA114" s="264">
        <f t="shared" si="449"/>
        <v>0</v>
      </c>
      <c r="EB114" s="265">
        <f t="shared" si="450"/>
        <v>0</v>
      </c>
      <c r="EC114" s="264">
        <f t="shared" si="451"/>
        <v>0</v>
      </c>
      <c r="ED114" s="264">
        <f t="shared" si="452"/>
        <v>0</v>
      </c>
      <c r="EE114" s="265">
        <f t="shared" si="453"/>
        <v>0</v>
      </c>
      <c r="EF114" s="264">
        <f t="shared" si="454"/>
        <v>0</v>
      </c>
      <c r="EG114" s="264">
        <f t="shared" si="455"/>
        <v>0</v>
      </c>
      <c r="EH114" s="265">
        <f t="shared" si="456"/>
        <v>0</v>
      </c>
      <c r="EI114" s="264">
        <f t="shared" si="457"/>
        <v>0</v>
      </c>
      <c r="EJ114" s="264">
        <f t="shared" si="458"/>
        <v>0</v>
      </c>
      <c r="EK114" s="265">
        <f t="shared" si="459"/>
        <v>0</v>
      </c>
      <c r="EL114" s="264">
        <f t="shared" si="460"/>
        <v>0</v>
      </c>
      <c r="EM114" s="264">
        <f t="shared" si="461"/>
        <v>0</v>
      </c>
      <c r="EN114" s="265">
        <f t="shared" si="462"/>
        <v>0</v>
      </c>
      <c r="EO114" s="264">
        <f t="shared" si="463"/>
        <v>0</v>
      </c>
      <c r="EP114" s="264">
        <f t="shared" si="464"/>
        <v>0</v>
      </c>
      <c r="EQ114" s="265">
        <f t="shared" si="465"/>
        <v>0</v>
      </c>
      <c r="ER114" s="264">
        <f t="shared" si="466"/>
        <v>0</v>
      </c>
      <c r="ES114" s="264">
        <f t="shared" si="467"/>
        <v>0</v>
      </c>
      <c r="ET114" s="265">
        <f t="shared" si="468"/>
        <v>0</v>
      </c>
      <c r="EU114" s="264">
        <f t="shared" si="469"/>
        <v>0</v>
      </c>
      <c r="EV114" s="264">
        <f>IF(AND(BM114="Yes",OR(BN114="No",AND(BN114="Yes",Inputs!$J$8=Inputs!$J$17+75))),EU114,0)</f>
        <v>0</v>
      </c>
      <c r="EW114" s="265">
        <f t="shared" si="470"/>
        <v>0</v>
      </c>
      <c r="EX114" s="264">
        <f t="shared" si="471"/>
        <v>0</v>
      </c>
      <c r="EY114" s="264">
        <f t="shared" si="472"/>
        <v>0</v>
      </c>
      <c r="EZ114" s="265">
        <f t="shared" si="473"/>
        <v>0</v>
      </c>
      <c r="FA114" s="264">
        <f t="shared" si="474"/>
        <v>0</v>
      </c>
      <c r="FB114" s="264">
        <f t="shared" si="475"/>
        <v>0</v>
      </c>
      <c r="FC114" s="265">
        <f t="shared" si="476"/>
        <v>0</v>
      </c>
      <c r="FD114" s="264">
        <f t="shared" si="477"/>
        <v>0</v>
      </c>
      <c r="FE114" s="264">
        <f t="shared" si="478"/>
        <v>0</v>
      </c>
      <c r="FF114" s="265">
        <f t="shared" si="479"/>
        <v>0</v>
      </c>
      <c r="FG114" s="264">
        <f t="shared" si="480"/>
        <v>0</v>
      </c>
      <c r="FH114" s="264">
        <f t="shared" si="481"/>
        <v>0</v>
      </c>
      <c r="FI114" s="264">
        <f t="shared" si="482"/>
        <v>0</v>
      </c>
      <c r="FJ114" s="264">
        <f t="shared" si="483"/>
        <v>0</v>
      </c>
      <c r="FK114" s="264">
        <f t="shared" si="484"/>
        <v>0</v>
      </c>
      <c r="FL114" s="264">
        <f t="shared" si="485"/>
        <v>0</v>
      </c>
      <c r="FM114" s="264">
        <f t="shared" si="486"/>
        <v>0</v>
      </c>
      <c r="FN114" s="264">
        <f t="shared" si="487"/>
        <v>0</v>
      </c>
      <c r="FO114" s="264">
        <f t="shared" si="488"/>
        <v>0</v>
      </c>
      <c r="FP114" s="264">
        <f t="shared" si="489"/>
        <v>0</v>
      </c>
      <c r="FQ114" s="264">
        <f t="shared" si="490"/>
        <v>0</v>
      </c>
      <c r="FR114" s="265">
        <f t="shared" si="491"/>
        <v>0</v>
      </c>
      <c r="FS114" s="264">
        <f t="shared" si="492"/>
        <v>0</v>
      </c>
      <c r="FT114" s="264">
        <f t="shared" si="493"/>
        <v>0</v>
      </c>
      <c r="FU114" s="265">
        <f t="shared" si="494"/>
        <v>0</v>
      </c>
      <c r="FV114" s="264">
        <f t="shared" si="495"/>
        <v>0</v>
      </c>
      <c r="FW114" s="264">
        <f t="shared" si="496"/>
        <v>0</v>
      </c>
      <c r="FX114" s="264">
        <f t="shared" si="497"/>
        <v>0</v>
      </c>
      <c r="FY114" s="264">
        <f t="shared" si="498"/>
        <v>0</v>
      </c>
      <c r="FZ114" s="264">
        <f t="shared" si="499"/>
        <v>0</v>
      </c>
      <c r="GA114" s="265">
        <f t="shared" si="500"/>
        <v>0</v>
      </c>
      <c r="GB114" s="264">
        <f t="shared" si="501"/>
        <v>0</v>
      </c>
      <c r="GC114" s="264">
        <f t="shared" si="502"/>
        <v>0</v>
      </c>
      <c r="GD114" s="266">
        <f t="shared" si="503"/>
        <v>0</v>
      </c>
      <c r="GE114" s="138">
        <f t="shared" si="504"/>
        <v>0</v>
      </c>
      <c r="GF114" s="267">
        <f t="shared" si="505"/>
        <v>16</v>
      </c>
      <c r="GG114" s="264">
        <f t="array" ref="GG114">IF(SUM(IF(IC$9:IC113=IC114,1,0))&gt;0,0,SUMIF($IC$10:$IC$406,IC114,$FJ$10:$FJ$406))</f>
        <v>0</v>
      </c>
      <c r="GH114" s="268">
        <f t="shared" si="506"/>
        <v>0</v>
      </c>
      <c r="GI114" s="137">
        <f t="shared" si="126"/>
        <v>105</v>
      </c>
      <c r="GJ114" s="269">
        <f t="shared" si="507"/>
        <v>0</v>
      </c>
      <c r="GK114" s="269">
        <f t="shared" si="508"/>
        <v>0</v>
      </c>
      <c r="GL114" s="163">
        <f t="shared" si="509"/>
        <v>0</v>
      </c>
      <c r="GM114" s="137">
        <f t="array" ref="GM114">IF(GJ114=0,0,LARGE(IF($GG$10:$GG$406=GJ114,$GF$10:$GF$406,0),COUNTIF($GJ$10:$GJ$406,GJ114)-COUNTIF(GJ$9:GJ113,GJ114)))</f>
        <v>0</v>
      </c>
      <c r="GN114" s="270">
        <f t="shared" si="510"/>
        <v>0</v>
      </c>
      <c r="GP114" s="137">
        <f>IF(C114="","",IF(ISERROR(MATCH(C114,C$10:C113,0)),MAX(GP$10:GP113)+1,INDEX(GP$10:GP113,MATCH(C114,C$10:C113,0))))</f>
        <v>85</v>
      </c>
      <c r="GQ114" s="264">
        <f>IF(COUNTIF($A$10:A114,A114)&lt;=1,SUMIF($A$10:$A$406,A114,$FH$10:$FH$406),0)</f>
        <v>0</v>
      </c>
      <c r="GR114" s="137">
        <f t="shared" si="130"/>
        <v>105</v>
      </c>
      <c r="GS114" s="269">
        <f t="shared" si="554"/>
        <v>534333</v>
      </c>
      <c r="GT114" s="269">
        <f t="shared" si="555"/>
        <v>50964284.172430128</v>
      </c>
      <c r="GU114" s="163">
        <f t="shared" si="556"/>
        <v>0</v>
      </c>
      <c r="GV114" s="137">
        <f t="array" ref="GV114">IF(GS114=0,0,LARGE(IF($GQ$10:$GQ$406=GS114,$GP$10:$GP$406,0),COUNTIF($GS$10:$GS$406,GS114)-COUNTIF(GS$9:GS113,GS114)))</f>
        <v>101</v>
      </c>
      <c r="GW114" s="270">
        <f t="shared" si="557"/>
        <v>0</v>
      </c>
      <c r="GX114" s="270"/>
      <c r="GY114" s="137">
        <f>IF(C114="","",IF(ISERROR(MATCH(C114,C$10:C113,0)),MAX(GP$10:GP113)+1,INDEX(GP$10:GP113,MATCH(C114,C$10:C113,0))))</f>
        <v>85</v>
      </c>
      <c r="GZ114" s="264">
        <f>IF(COUNTIF($A$10:A114,A114)&lt;=1,SUMIF($A$10:$A$406,A114,$FH$10:$FH$406),0)</f>
        <v>0</v>
      </c>
      <c r="HA114" s="137">
        <f t="shared" si="134"/>
        <v>105</v>
      </c>
      <c r="HB114" s="269">
        <f t="shared" si="515"/>
        <v>534333</v>
      </c>
      <c r="HC114" s="414" t="s">
        <v>622</v>
      </c>
      <c r="HD114" s="163">
        <f t="shared" si="516"/>
        <v>0</v>
      </c>
      <c r="HE114" s="137">
        <f t="array" ref="HE114">IF(HB114=0,0,LARGE(IF($GZ$10:$GZ$406=HB114,$GY$10:$GY$406,0),COUNTIF($HB$10:$HB$406,HB114)-COUNTIF(HB$9:HB113,HB114)))</f>
        <v>101</v>
      </c>
      <c r="HF114" s="270">
        <f t="shared" si="517"/>
        <v>0</v>
      </c>
      <c r="HG114" s="270"/>
      <c r="HH114" s="268">
        <f t="shared" si="518"/>
        <v>0</v>
      </c>
      <c r="HI114" s="271">
        <v>0</v>
      </c>
      <c r="HJ114" s="264">
        <f t="shared" si="519"/>
        <v>0</v>
      </c>
      <c r="HL114" s="137">
        <f t="shared" si="520"/>
        <v>105</v>
      </c>
      <c r="HM114" s="264">
        <f t="shared" si="521"/>
        <v>0</v>
      </c>
      <c r="HN114"/>
      <c r="HO114" s="199">
        <f t="shared" si="522"/>
        <v>0</v>
      </c>
      <c r="HP114" s="199">
        <f t="shared" si="523"/>
        <v>0</v>
      </c>
      <c r="HQ114" s="199" t="str">
        <f t="shared" si="524"/>
        <v/>
      </c>
      <c r="HR114" s="199">
        <f t="shared" si="525"/>
        <v>0</v>
      </c>
      <c r="HS114" s="199" t="str">
        <f t="shared" si="539"/>
        <v/>
      </c>
      <c r="HT114" s="199">
        <f t="shared" si="526"/>
        <v>0</v>
      </c>
      <c r="HU114" s="199" t="str">
        <f t="shared" si="527"/>
        <v/>
      </c>
      <c r="HV114" s="200">
        <f t="shared" si="528"/>
        <v>0</v>
      </c>
      <c r="HW114" s="272">
        <f t="shared" si="540"/>
        <v>1</v>
      </c>
      <c r="HX114" s="200" t="str">
        <f t="shared" si="529"/>
        <v/>
      </c>
      <c r="HY114" s="200">
        <f t="shared" si="530"/>
        <v>0</v>
      </c>
      <c r="HZ114" s="200" t="str">
        <f t="shared" si="535"/>
        <v/>
      </c>
      <c r="IA114" s="200">
        <f t="shared" si="531"/>
        <v>0</v>
      </c>
      <c r="IB114" s="200" t="str">
        <f t="shared" si="532"/>
        <v/>
      </c>
      <c r="IC114" s="273">
        <f>IF(C114="","",INDEX(Lookups!$E$2:$E$69,MATCH('Loan List'!BE114,Lookups!$F$2:$F$69,0)))</f>
        <v>16</v>
      </c>
      <c r="ID114" t="b">
        <f t="shared" si="533"/>
        <v>1</v>
      </c>
      <c r="IF114" s="346" t="str">
        <f t="shared" ref="IF114:IF115" si="558">IF(B114="","",IF(AND(Y114="Second Lien",OR(DA114=1,DB114=1,DC114=1)),50%,IF(DA114=1,90%,IF(DB114=1,80%,IF(DC114=1,65%,"No Initial Haircut")))))</f>
        <v>No Initial Haircut</v>
      </c>
    </row>
    <row r="115" spans="1:240" ht="15" customHeight="1">
      <c r="A115" t="s">
        <v>601</v>
      </c>
      <c r="B115" s="242">
        <f t="shared" si="541"/>
        <v>106</v>
      </c>
      <c r="C115" s="242">
        <f>IF(COUNTIF($A$10:A114,A115)&gt;0,C114,C114+1)</f>
        <v>85</v>
      </c>
      <c r="D115" s="431" t="s">
        <v>774</v>
      </c>
      <c r="E115" s="428" t="s">
        <v>526</v>
      </c>
      <c r="F115" s="429"/>
      <c r="G115" s="430">
        <v>2775553</v>
      </c>
      <c r="H115" s="430">
        <v>2775553</v>
      </c>
      <c r="I115" s="244">
        <f>IF(B115="","",VLOOKUP(BF115,Inputs!$A$12:$J$15,10,FALSE))</f>
        <v>1</v>
      </c>
      <c r="J115" s="245">
        <f t="shared" si="542"/>
        <v>2775553</v>
      </c>
      <c r="K115" s="245">
        <f t="shared" si="543"/>
        <v>2775553</v>
      </c>
      <c r="L115" s="245">
        <f t="shared" si="544"/>
        <v>0</v>
      </c>
      <c r="M115" s="245">
        <f t="shared" si="545"/>
        <v>0</v>
      </c>
      <c r="N115" s="246" t="s">
        <v>246</v>
      </c>
      <c r="O115" s="246" t="s">
        <v>245</v>
      </c>
      <c r="P115" s="247">
        <f>IF(B115="","",IF(OR(O115="N/A",O115=""),0,YEARFRAC('Borrowing Base'!$J$4,'Loan List'!O115)*12))</f>
        <v>0</v>
      </c>
      <c r="Q115" s="246" t="s">
        <v>246</v>
      </c>
      <c r="R115" s="275">
        <v>0.78</v>
      </c>
      <c r="S115" s="249" t="str">
        <f t="shared" si="546"/>
        <v>Yes</v>
      </c>
      <c r="T115" s="275">
        <v>0.89999999979566725</v>
      </c>
      <c r="U115" s="250">
        <f t="shared" si="547"/>
        <v>0.5</v>
      </c>
      <c r="V115" s="250">
        <f t="shared" si="548"/>
        <v>0.64999999999999991</v>
      </c>
      <c r="W115" s="251">
        <f t="shared" si="385"/>
        <v>0</v>
      </c>
      <c r="X115" s="246" t="s">
        <v>64</v>
      </c>
      <c r="Y115" s="252" t="s">
        <v>483</v>
      </c>
      <c r="Z115" s="252" t="s">
        <v>484</v>
      </c>
      <c r="AA115" s="253" t="s">
        <v>407</v>
      </c>
      <c r="AB115" s="253" t="s">
        <v>713</v>
      </c>
      <c r="AC115" s="254">
        <v>2.2459816399975088</v>
      </c>
      <c r="AD115" s="254">
        <v>0.32263103777943974</v>
      </c>
      <c r="AE115" s="254">
        <v>0.70770169685075524</v>
      </c>
      <c r="AF115" s="254">
        <v>0.5374065997664349</v>
      </c>
      <c r="AG115" s="256">
        <v>17.497222294077556</v>
      </c>
      <c r="AH115" s="256">
        <v>17.497222294077556</v>
      </c>
      <c r="AI115" s="256">
        <v>17.497222294077556</v>
      </c>
      <c r="AJ115" s="256">
        <v>17.497222294077556</v>
      </c>
      <c r="AK115" s="257">
        <v>2787622.3100000015</v>
      </c>
      <c r="AL115" s="257">
        <v>2787622.3100000015</v>
      </c>
      <c r="AM115" s="258">
        <v>45838</v>
      </c>
      <c r="AN115" s="245" t="str">
        <f t="shared" si="549"/>
        <v>Tier 3</v>
      </c>
      <c r="AO115" s="243">
        <v>46633</v>
      </c>
      <c r="AP115" s="259">
        <f>IF(C115="","",DAYS360(Inputs!$J$8,AO115)/360)</f>
        <v>2.0249999999999999</v>
      </c>
      <c r="AQ115" s="259">
        <f t="shared" si="550"/>
        <v>2.0249999999999999</v>
      </c>
      <c r="AR115" s="246" t="s">
        <v>246</v>
      </c>
      <c r="AS115" s="276">
        <v>0</v>
      </c>
      <c r="AT115" s="246" t="s">
        <v>64</v>
      </c>
      <c r="AU115" s="248">
        <v>0.01</v>
      </c>
      <c r="AV115" s="248">
        <v>9.2499999999999999E-2</v>
      </c>
      <c r="AW115" s="248">
        <v>2.2956000000000004E-2</v>
      </c>
      <c r="AX115" s="260">
        <f t="shared" si="551"/>
        <v>2.2956000000000004E-2</v>
      </c>
      <c r="AY115" s="248">
        <v>0</v>
      </c>
      <c r="AZ115" s="248">
        <v>7.4999999999999997E-2</v>
      </c>
      <c r="BA115" s="248">
        <v>0</v>
      </c>
      <c r="BB115" s="407">
        <f t="shared" si="536"/>
        <v>1.7500000000000002E-2</v>
      </c>
      <c r="BC115" s="407" t="str">
        <f t="shared" si="537"/>
        <v/>
      </c>
      <c r="BD115" s="252" t="s">
        <v>247</v>
      </c>
      <c r="BE115" s="261" t="s">
        <v>369</v>
      </c>
      <c r="BF115" s="252" t="s">
        <v>7</v>
      </c>
      <c r="BG115" s="252" t="s">
        <v>460</v>
      </c>
      <c r="BH115" s="246" t="s">
        <v>246</v>
      </c>
      <c r="BI115" s="408" t="str">
        <f t="shared" si="534"/>
        <v>No</v>
      </c>
      <c r="BJ115" s="408" t="str">
        <f t="shared" si="538"/>
        <v>Yes</v>
      </c>
      <c r="BK115" s="246" t="s">
        <v>246</v>
      </c>
      <c r="BL115" s="246" t="s">
        <v>246</v>
      </c>
      <c r="BM115" s="246" t="s">
        <v>64</v>
      </c>
      <c r="BN115" s="246" t="s">
        <v>64</v>
      </c>
      <c r="BO115" s="246" t="s">
        <v>246</v>
      </c>
      <c r="BP115" s="246" t="s">
        <v>246</v>
      </c>
      <c r="BQ115" s="246" t="s">
        <v>246</v>
      </c>
      <c r="BR115" s="246" t="s">
        <v>246</v>
      </c>
      <c r="BS115" s="246" t="s">
        <v>246</v>
      </c>
      <c r="BT115" s="246" t="s">
        <v>246</v>
      </c>
      <c r="BU115" s="246" t="s">
        <v>246</v>
      </c>
      <c r="BV115" s="246" t="s">
        <v>246</v>
      </c>
      <c r="BW115" s="246" t="s">
        <v>246</v>
      </c>
      <c r="BX115" s="246" t="s">
        <v>246</v>
      </c>
      <c r="BY115" s="246" t="s">
        <v>246</v>
      </c>
      <c r="BZ115" s="246" t="s">
        <v>246</v>
      </c>
      <c r="CA115" s="246" t="s">
        <v>246</v>
      </c>
      <c r="CB115" s="246" t="s">
        <v>64</v>
      </c>
      <c r="CC115" s="262">
        <f t="shared" si="552"/>
        <v>0</v>
      </c>
      <c r="CD115" s="262">
        <f t="shared" si="553"/>
        <v>0</v>
      </c>
      <c r="CE115" s="263"/>
      <c r="CF115" s="263">
        <f t="shared" si="403"/>
        <v>1</v>
      </c>
      <c r="CG115" s="263">
        <f t="shared" si="404"/>
        <v>0</v>
      </c>
      <c r="CH115" s="263">
        <f t="shared" si="405"/>
        <v>0</v>
      </c>
      <c r="CI115" s="263">
        <f t="shared" si="406"/>
        <v>0</v>
      </c>
      <c r="CJ115" s="263">
        <f t="shared" si="407"/>
        <v>0</v>
      </c>
      <c r="CK115" s="263">
        <f t="shared" si="408"/>
        <v>0</v>
      </c>
      <c r="CL115" s="263">
        <f t="shared" si="409"/>
        <v>0</v>
      </c>
      <c r="CM115" s="263">
        <f t="shared" si="410"/>
        <v>0</v>
      </c>
      <c r="CN115" s="263">
        <f t="shared" si="411"/>
        <v>0</v>
      </c>
      <c r="CO115" s="263">
        <f t="shared" si="412"/>
        <v>1</v>
      </c>
      <c r="CP115" s="263">
        <f t="shared" si="413"/>
        <v>0</v>
      </c>
      <c r="CQ115" s="263">
        <f t="shared" si="414"/>
        <v>0</v>
      </c>
      <c r="CR115" s="263">
        <f t="shared" si="415"/>
        <v>0</v>
      </c>
      <c r="CS115" s="263">
        <f t="shared" si="416"/>
        <v>0</v>
      </c>
      <c r="CT115" s="263">
        <f t="shared" si="417"/>
        <v>0</v>
      </c>
      <c r="CU115" s="263">
        <f t="shared" si="418"/>
        <v>0</v>
      </c>
      <c r="CV115" s="263">
        <f t="shared" si="419"/>
        <v>0</v>
      </c>
      <c r="CW115" s="263">
        <f t="shared" si="420"/>
        <v>0</v>
      </c>
      <c r="CX115" s="263">
        <f t="shared" si="421"/>
        <v>0</v>
      </c>
      <c r="CY115" s="263">
        <f t="shared" si="422"/>
        <v>1</v>
      </c>
      <c r="CZ115" s="263">
        <f t="shared" si="423"/>
        <v>1</v>
      </c>
      <c r="DA115" s="263">
        <f t="shared" si="424"/>
        <v>0</v>
      </c>
      <c r="DB115" s="263">
        <f t="shared" si="425"/>
        <v>0</v>
      </c>
      <c r="DC115" s="263">
        <f t="shared" si="426"/>
        <v>0</v>
      </c>
      <c r="DD115" s="263">
        <f t="shared" si="427"/>
        <v>1</v>
      </c>
      <c r="DE115" s="263">
        <f>IF((SUM(CF115:CY115)=0),0,W115)</f>
        <v>0</v>
      </c>
      <c r="DF115" s="263">
        <f t="shared" si="429"/>
        <v>0</v>
      </c>
      <c r="DG115" s="263">
        <f t="shared" si="430"/>
        <v>0</v>
      </c>
      <c r="DH115" s="263">
        <f t="shared" si="431"/>
        <v>0</v>
      </c>
      <c r="DI115" s="263">
        <f t="shared" si="432"/>
        <v>0</v>
      </c>
      <c r="DJ115" s="263">
        <f t="shared" si="433"/>
        <v>0</v>
      </c>
      <c r="DK115" s="263">
        <f t="shared" si="434"/>
        <v>0</v>
      </c>
      <c r="DL115" s="263">
        <f t="shared" si="435"/>
        <v>0</v>
      </c>
      <c r="DM115" s="263">
        <f t="shared" si="436"/>
        <v>0</v>
      </c>
      <c r="DO115" s="264">
        <f t="shared" si="437"/>
        <v>0</v>
      </c>
      <c r="DP115" s="265">
        <f t="shared" si="438"/>
        <v>0</v>
      </c>
      <c r="DQ115" s="264">
        <f t="shared" si="439"/>
        <v>0</v>
      </c>
      <c r="DR115" s="264">
        <f t="shared" si="440"/>
        <v>0</v>
      </c>
      <c r="DS115" s="265">
        <f t="shared" si="441"/>
        <v>0</v>
      </c>
      <c r="DT115" s="264">
        <f t="shared" si="442"/>
        <v>0</v>
      </c>
      <c r="DU115" s="264">
        <f t="shared" si="443"/>
        <v>0</v>
      </c>
      <c r="DV115" s="265">
        <f t="shared" si="444"/>
        <v>0</v>
      </c>
      <c r="DW115" s="264">
        <f t="shared" si="445"/>
        <v>0</v>
      </c>
      <c r="DX115" s="264">
        <f t="shared" si="446"/>
        <v>0</v>
      </c>
      <c r="DY115" s="265">
        <f t="shared" si="447"/>
        <v>0</v>
      </c>
      <c r="DZ115" s="264">
        <f t="shared" si="448"/>
        <v>0</v>
      </c>
      <c r="EA115" s="264">
        <f t="shared" si="449"/>
        <v>0</v>
      </c>
      <c r="EB115" s="265">
        <f t="shared" si="450"/>
        <v>0</v>
      </c>
      <c r="EC115" s="264">
        <f t="shared" si="451"/>
        <v>0</v>
      </c>
      <c r="ED115" s="264">
        <f t="shared" si="452"/>
        <v>0</v>
      </c>
      <c r="EE115" s="265">
        <f t="shared" si="453"/>
        <v>0</v>
      </c>
      <c r="EF115" s="264">
        <f t="shared" si="454"/>
        <v>0</v>
      </c>
      <c r="EG115" s="264">
        <f t="shared" si="455"/>
        <v>0</v>
      </c>
      <c r="EH115" s="265">
        <f t="shared" si="456"/>
        <v>0</v>
      </c>
      <c r="EI115" s="264">
        <f t="shared" si="457"/>
        <v>0</v>
      </c>
      <c r="EJ115" s="264">
        <f t="shared" si="458"/>
        <v>0</v>
      </c>
      <c r="EK115" s="265">
        <f t="shared" si="459"/>
        <v>0</v>
      </c>
      <c r="EL115" s="264">
        <f t="shared" si="460"/>
        <v>0</v>
      </c>
      <c r="EM115" s="264">
        <f t="shared" si="461"/>
        <v>0</v>
      </c>
      <c r="EN115" s="265">
        <f t="shared" si="462"/>
        <v>0</v>
      </c>
      <c r="EO115" s="264">
        <f t="shared" si="463"/>
        <v>0</v>
      </c>
      <c r="EP115" s="264">
        <f t="shared" si="464"/>
        <v>0</v>
      </c>
      <c r="EQ115" s="265">
        <f t="shared" si="465"/>
        <v>0</v>
      </c>
      <c r="ER115" s="264">
        <f t="shared" si="466"/>
        <v>0</v>
      </c>
      <c r="ES115" s="264">
        <f t="shared" si="467"/>
        <v>0</v>
      </c>
      <c r="ET115" s="265">
        <f t="shared" si="468"/>
        <v>0</v>
      </c>
      <c r="EU115" s="264">
        <f t="shared" si="469"/>
        <v>0</v>
      </c>
      <c r="EV115" s="264">
        <f>IF(AND(BM115="Yes",OR(BN115="No",AND(BN115="Yes",Inputs!$J$8=Inputs!$J$17+75))),EU115,0)</f>
        <v>0</v>
      </c>
      <c r="EW115" s="265">
        <f t="shared" si="470"/>
        <v>0</v>
      </c>
      <c r="EX115" s="264">
        <f t="shared" si="471"/>
        <v>0</v>
      </c>
      <c r="EY115" s="264">
        <f t="shared" si="472"/>
        <v>0</v>
      </c>
      <c r="EZ115" s="265">
        <f t="shared" si="473"/>
        <v>0</v>
      </c>
      <c r="FA115" s="264">
        <f t="shared" si="474"/>
        <v>0</v>
      </c>
      <c r="FB115" s="264">
        <f t="shared" si="475"/>
        <v>0</v>
      </c>
      <c r="FC115" s="265">
        <f t="shared" si="476"/>
        <v>0</v>
      </c>
      <c r="FD115" s="264">
        <f t="shared" si="477"/>
        <v>0</v>
      </c>
      <c r="FE115" s="264">
        <f t="shared" si="478"/>
        <v>0</v>
      </c>
      <c r="FF115" s="265">
        <f t="shared" si="479"/>
        <v>0</v>
      </c>
      <c r="FG115" s="264">
        <f t="shared" si="480"/>
        <v>0</v>
      </c>
      <c r="FH115" s="264">
        <f t="shared" si="481"/>
        <v>0</v>
      </c>
      <c r="FI115" s="264">
        <f t="shared" si="482"/>
        <v>0</v>
      </c>
      <c r="FJ115" s="264">
        <f t="shared" si="483"/>
        <v>0</v>
      </c>
      <c r="FK115" s="264">
        <f t="shared" si="484"/>
        <v>0</v>
      </c>
      <c r="FL115" s="264">
        <f t="shared" si="485"/>
        <v>0</v>
      </c>
      <c r="FM115" s="264">
        <f t="shared" si="486"/>
        <v>0</v>
      </c>
      <c r="FN115" s="264">
        <f t="shared" si="487"/>
        <v>0</v>
      </c>
      <c r="FO115" s="264">
        <f t="shared" si="488"/>
        <v>0</v>
      </c>
      <c r="FP115" s="264">
        <f t="shared" si="489"/>
        <v>0</v>
      </c>
      <c r="FQ115" s="264">
        <f t="shared" si="490"/>
        <v>0</v>
      </c>
      <c r="FR115" s="265">
        <f t="shared" si="491"/>
        <v>0</v>
      </c>
      <c r="FS115" s="264">
        <f t="shared" si="492"/>
        <v>0</v>
      </c>
      <c r="FT115" s="264">
        <f t="shared" si="493"/>
        <v>0</v>
      </c>
      <c r="FU115" s="265">
        <f t="shared" si="494"/>
        <v>0</v>
      </c>
      <c r="FV115" s="264">
        <f t="shared" si="495"/>
        <v>0</v>
      </c>
      <c r="FW115" s="264">
        <f t="shared" si="496"/>
        <v>0</v>
      </c>
      <c r="FX115" s="264">
        <f t="shared" si="497"/>
        <v>0</v>
      </c>
      <c r="FY115" s="264">
        <f t="shared" si="498"/>
        <v>0</v>
      </c>
      <c r="FZ115" s="264">
        <f t="shared" si="499"/>
        <v>0</v>
      </c>
      <c r="GA115" s="265">
        <f t="shared" si="500"/>
        <v>0</v>
      </c>
      <c r="GB115" s="264">
        <f t="shared" si="501"/>
        <v>0</v>
      </c>
      <c r="GC115" s="264">
        <f t="shared" si="502"/>
        <v>0</v>
      </c>
      <c r="GD115" s="266">
        <f t="shared" si="503"/>
        <v>0</v>
      </c>
      <c r="GE115" s="138">
        <f t="shared" si="504"/>
        <v>0</v>
      </c>
      <c r="GF115" s="267">
        <f t="shared" si="505"/>
        <v>16</v>
      </c>
      <c r="GG115" s="264">
        <f t="array" ref="GG115">IF(SUM(IF(IC$9:IC114=IC115,1,0))&gt;0,0,SUMIF($IC$10:$IC$406,IC115,$FJ$10:$FJ$406))</f>
        <v>0</v>
      </c>
      <c r="GH115" s="268">
        <f t="shared" si="506"/>
        <v>0</v>
      </c>
      <c r="GI115" s="137">
        <f t="shared" si="126"/>
        <v>106</v>
      </c>
      <c r="GJ115" s="269">
        <f t="shared" si="507"/>
        <v>0</v>
      </c>
      <c r="GK115" s="269">
        <f t="shared" si="508"/>
        <v>0</v>
      </c>
      <c r="GL115" s="163">
        <f t="shared" si="509"/>
        <v>0</v>
      </c>
      <c r="GM115" s="137">
        <f t="array" ref="GM115">IF(GJ115=0,0,LARGE(IF($GG$10:$GG$406=GJ115,$GF$10:$GF$406,0),COUNTIF($GJ$10:$GJ$406,GJ115)-COUNTIF(GJ$9:GJ114,GJ115)))</f>
        <v>0</v>
      </c>
      <c r="GN115" s="270">
        <f t="shared" si="510"/>
        <v>0</v>
      </c>
      <c r="GP115" s="137">
        <f>IF(C115="","",IF(ISERROR(MATCH(C115,C$10:C114,0)),MAX(GP$10:GP114)+1,INDEX(GP$10:GP114,MATCH(C115,C$10:C114,0))))</f>
        <v>85</v>
      </c>
      <c r="GQ115" s="264">
        <f>IF(COUNTIF($A$10:A115,A115)&lt;=1,SUMIF($A$10:$A$406,A115,$FH$10:$FH$406),0)</f>
        <v>0</v>
      </c>
      <c r="GR115" s="137">
        <f t="shared" si="130"/>
        <v>106</v>
      </c>
      <c r="GS115" s="269">
        <f t="shared" si="554"/>
        <v>341094</v>
      </c>
      <c r="GT115" s="269">
        <f t="shared" si="555"/>
        <v>50964284.172430128</v>
      </c>
      <c r="GU115" s="163">
        <f t="shared" si="556"/>
        <v>0</v>
      </c>
      <c r="GV115" s="137">
        <f t="array" ref="GV115">IF(GS115=0,0,LARGE(IF($GQ$10:$GQ$406=GS115,$GP$10:$GP$406,0),COUNTIF($GS$10:$GS$406,GS115)-COUNTIF(GS$9:GS114,GS115)))</f>
        <v>102</v>
      </c>
      <c r="GW115" s="270">
        <f t="shared" si="557"/>
        <v>0</v>
      </c>
      <c r="GY115" s="137">
        <f>IF(C115="","",IF(ISERROR(MATCH(C115,C$10:C114,0)),MAX(GP$10:GP114)+1,INDEX(GP$10:GP114,MATCH(C115,C$10:C114,0))))</f>
        <v>85</v>
      </c>
      <c r="GZ115" s="264">
        <f>IF(COUNTIF($A$10:A115,A115)&lt;=1,SUMIF($A$10:$A$406,A115,$FH$10:$FH$406),0)</f>
        <v>0</v>
      </c>
      <c r="HA115" s="137">
        <f t="shared" si="134"/>
        <v>106</v>
      </c>
      <c r="HB115" s="269">
        <f t="shared" si="515"/>
        <v>341094</v>
      </c>
      <c r="HC115" s="414" t="s">
        <v>622</v>
      </c>
      <c r="HD115" s="163">
        <f t="shared" si="516"/>
        <v>0</v>
      </c>
      <c r="HE115" s="137">
        <f t="array" ref="HE115">IF(HB115=0,0,LARGE(IF($GZ$10:$GZ$406=HB115,$GY$10:$GY$406,0),COUNTIF($HB$10:$HB$406,HB115)-COUNTIF(HB$9:HB114,HB115)))</f>
        <v>102</v>
      </c>
      <c r="HF115" s="270">
        <f t="shared" si="517"/>
        <v>0</v>
      </c>
      <c r="HG115" s="270"/>
      <c r="HH115" s="268">
        <f t="shared" si="518"/>
        <v>0</v>
      </c>
      <c r="HI115" s="271">
        <v>0</v>
      </c>
      <c r="HJ115" s="264">
        <f t="shared" si="519"/>
        <v>0</v>
      </c>
      <c r="HL115" s="137">
        <f t="shared" si="520"/>
        <v>106</v>
      </c>
      <c r="HM115" s="264">
        <f t="shared" si="521"/>
        <v>2066884.7000500003</v>
      </c>
      <c r="HN115"/>
      <c r="HO115" s="199">
        <f t="shared" si="522"/>
        <v>0</v>
      </c>
      <c r="HP115" s="199">
        <f t="shared" si="523"/>
        <v>0</v>
      </c>
      <c r="HQ115" s="199" t="str">
        <f t="shared" si="524"/>
        <v/>
      </c>
      <c r="HR115" s="199">
        <f t="shared" si="525"/>
        <v>0</v>
      </c>
      <c r="HS115" s="199" t="str">
        <f t="shared" si="539"/>
        <v/>
      </c>
      <c r="HT115" s="199">
        <f t="shared" si="526"/>
        <v>0</v>
      </c>
      <c r="HU115" s="199" t="str">
        <f t="shared" si="527"/>
        <v/>
      </c>
      <c r="HV115" s="200">
        <f t="shared" si="528"/>
        <v>0</v>
      </c>
      <c r="HW115" s="272">
        <f t="shared" si="540"/>
        <v>1</v>
      </c>
      <c r="HX115" s="200" t="str">
        <f t="shared" si="529"/>
        <v/>
      </c>
      <c r="HY115" s="200">
        <f t="shared" si="530"/>
        <v>0</v>
      </c>
      <c r="HZ115" s="200" t="str">
        <f t="shared" si="535"/>
        <v/>
      </c>
      <c r="IA115" s="200">
        <f t="shared" si="531"/>
        <v>0</v>
      </c>
      <c r="IB115" s="200" t="str">
        <f t="shared" si="532"/>
        <v/>
      </c>
      <c r="IC115" s="273">
        <f>IF(C115="","",INDEX(Lookups!$E$2:$E$69,MATCH('Loan List'!BE115,Lookups!$F$2:$F$69,0)))</f>
        <v>16</v>
      </c>
      <c r="ID115" t="b">
        <f t="shared" si="533"/>
        <v>1</v>
      </c>
      <c r="IF115" s="346" t="str">
        <f t="shared" si="558"/>
        <v>No Initial Haircut</v>
      </c>
    </row>
    <row r="116" spans="1:240" ht="15" customHeight="1">
      <c r="A116" t="s">
        <v>609</v>
      </c>
      <c r="B116" s="242">
        <f t="shared" si="541"/>
        <v>107</v>
      </c>
      <c r="C116" s="242">
        <f>IF(COUNTIF($A$10:A115,A116)&gt;0,C115,C115+1)</f>
        <v>86</v>
      </c>
      <c r="D116" s="428" t="s">
        <v>609</v>
      </c>
      <c r="E116" s="428" t="s">
        <v>569</v>
      </c>
      <c r="F116" s="429"/>
      <c r="G116" s="430">
        <v>19771741.260000002</v>
      </c>
      <c r="H116" s="430">
        <v>19771741.260000002</v>
      </c>
      <c r="I116" s="244">
        <f>IF(B116="","",VLOOKUP(BF116,Inputs!$A$12:$J$15,10,FALSE))</f>
        <v>1</v>
      </c>
      <c r="J116" s="245">
        <f t="shared" si="542"/>
        <v>19771741.260000002</v>
      </c>
      <c r="K116" s="245">
        <f t="shared" si="543"/>
        <v>19771741.260000002</v>
      </c>
      <c r="L116" s="245">
        <f t="shared" si="544"/>
        <v>19771741.260000002</v>
      </c>
      <c r="M116" s="245">
        <f t="shared" si="545"/>
        <v>19771741.260000002</v>
      </c>
      <c r="N116" s="246" t="s">
        <v>246</v>
      </c>
      <c r="O116" s="246" t="s">
        <v>245</v>
      </c>
      <c r="P116" s="247">
        <f>IF(B116="","",IF(OR(O116="N/A",O116=""),0,YEARFRAC('Borrowing Base'!$J$4,'Loan List'!O116)*12))</f>
        <v>0</v>
      </c>
      <c r="Q116" s="246" t="s">
        <v>246</v>
      </c>
      <c r="R116" s="275">
        <v>0.99124999999999996</v>
      </c>
      <c r="S116" s="249" t="str">
        <f t="shared" si="546"/>
        <v>No</v>
      </c>
      <c r="T116" s="275">
        <v>0.98400000000809218</v>
      </c>
      <c r="U116" s="250">
        <f t="shared" si="547"/>
        <v>0.5</v>
      </c>
      <c r="V116" s="250">
        <f t="shared" si="548"/>
        <v>0.72499999999999998</v>
      </c>
      <c r="W116" s="251">
        <f t="shared" si="385"/>
        <v>0</v>
      </c>
      <c r="X116" s="246" t="s">
        <v>246</v>
      </c>
      <c r="Y116" s="252" t="s">
        <v>483</v>
      </c>
      <c r="Z116" s="252" t="s">
        <v>484</v>
      </c>
      <c r="AA116" s="253" t="s">
        <v>407</v>
      </c>
      <c r="AB116" s="253" t="s">
        <v>713</v>
      </c>
      <c r="AC116" s="254">
        <v>1.87</v>
      </c>
      <c r="AD116" s="254">
        <v>1.7307692307692304</v>
      </c>
      <c r="AE116" s="254">
        <v>2.4014639639639639</v>
      </c>
      <c r="AF116" s="254">
        <v>0.19800000000000001</v>
      </c>
      <c r="AG116" s="256">
        <v>2.81</v>
      </c>
      <c r="AH116" s="256">
        <v>2.81</v>
      </c>
      <c r="AI116" s="256">
        <v>4.8957796014067991</v>
      </c>
      <c r="AJ116" s="256">
        <v>4.8957796014067991</v>
      </c>
      <c r="AK116" s="257">
        <v>7151620.3608031394</v>
      </c>
      <c r="AL116" s="257">
        <v>17060000</v>
      </c>
      <c r="AM116" s="258">
        <v>45838</v>
      </c>
      <c r="AN116" s="245" t="str">
        <f t="shared" si="549"/>
        <v>Tier 2</v>
      </c>
      <c r="AO116" s="243">
        <v>47469</v>
      </c>
      <c r="AP116" s="259">
        <f>IF(C116="","",DAYS360(Inputs!$J$8,AO116)/360)</f>
        <v>4.3138888888888891</v>
      </c>
      <c r="AQ116" s="259">
        <f t="shared" si="550"/>
        <v>4.3138888888888891</v>
      </c>
      <c r="AR116" s="246" t="s">
        <v>246</v>
      </c>
      <c r="AS116" s="276">
        <v>0</v>
      </c>
      <c r="AT116" s="246" t="s">
        <v>64</v>
      </c>
      <c r="AU116" s="248">
        <v>0.01</v>
      </c>
      <c r="AV116" s="248">
        <v>5.7500000000000002E-2</v>
      </c>
      <c r="AW116" s="248">
        <v>4.3169999999999993E-2</v>
      </c>
      <c r="AX116" s="260">
        <f t="shared" si="551"/>
        <v>4.3169999999999993E-2</v>
      </c>
      <c r="AY116" s="248">
        <v>0</v>
      </c>
      <c r="AZ116" s="248">
        <v>0</v>
      </c>
      <c r="BA116" s="248">
        <v>0</v>
      </c>
      <c r="BB116" s="407">
        <f t="shared" si="536"/>
        <v>5.7500000000000002E-2</v>
      </c>
      <c r="BC116" s="407" t="str">
        <f t="shared" si="537"/>
        <v/>
      </c>
      <c r="BD116" s="252" t="s">
        <v>247</v>
      </c>
      <c r="BE116" s="261" t="s">
        <v>324</v>
      </c>
      <c r="BF116" s="252" t="s">
        <v>7</v>
      </c>
      <c r="BG116" s="252" t="s">
        <v>460</v>
      </c>
      <c r="BH116" s="246" t="s">
        <v>246</v>
      </c>
      <c r="BI116" s="408" t="str">
        <f t="shared" si="534"/>
        <v>No</v>
      </c>
      <c r="BJ116" s="408" t="str">
        <f t="shared" si="538"/>
        <v>No</v>
      </c>
      <c r="BK116" s="246" t="s">
        <v>246</v>
      </c>
      <c r="BL116" s="246" t="s">
        <v>246</v>
      </c>
      <c r="BM116" s="246" t="s">
        <v>246</v>
      </c>
      <c r="BN116" s="246" t="s">
        <v>246</v>
      </c>
      <c r="BO116" s="246" t="s">
        <v>246</v>
      </c>
      <c r="BP116" s="246" t="s">
        <v>246</v>
      </c>
      <c r="BQ116" s="246" t="s">
        <v>246</v>
      </c>
      <c r="BR116" s="246" t="s">
        <v>246</v>
      </c>
      <c r="BS116" s="246" t="s">
        <v>246</v>
      </c>
      <c r="BT116" s="246" t="s">
        <v>246</v>
      </c>
      <c r="BU116" s="246" t="s">
        <v>246</v>
      </c>
      <c r="BV116" s="246" t="s">
        <v>246</v>
      </c>
      <c r="BW116" s="246" t="s">
        <v>246</v>
      </c>
      <c r="BX116" s="246" t="s">
        <v>246</v>
      </c>
      <c r="BY116" s="246" t="s">
        <v>246</v>
      </c>
      <c r="BZ116" s="246" t="s">
        <v>246</v>
      </c>
      <c r="CA116" s="246" t="s">
        <v>246</v>
      </c>
      <c r="CB116" s="246" t="s">
        <v>64</v>
      </c>
      <c r="CC116" s="262">
        <f t="shared" si="552"/>
        <v>1135839.0832079761</v>
      </c>
      <c r="CD116" s="262">
        <f t="shared" si="553"/>
        <v>0</v>
      </c>
      <c r="CE116" s="263"/>
      <c r="CF116" s="263">
        <f t="shared" si="403"/>
        <v>0</v>
      </c>
      <c r="CG116" s="263">
        <f t="shared" si="404"/>
        <v>0</v>
      </c>
      <c r="CH116" s="263">
        <f t="shared" si="405"/>
        <v>0</v>
      </c>
      <c r="CI116" s="263">
        <f t="shared" si="406"/>
        <v>0</v>
      </c>
      <c r="CJ116" s="263">
        <f t="shared" si="407"/>
        <v>0</v>
      </c>
      <c r="CK116" s="263">
        <f t="shared" si="408"/>
        <v>0</v>
      </c>
      <c r="CL116" s="263">
        <f t="shared" si="409"/>
        <v>0</v>
      </c>
      <c r="CM116" s="263">
        <f t="shared" si="410"/>
        <v>0</v>
      </c>
      <c r="CN116" s="263">
        <f t="shared" si="411"/>
        <v>0</v>
      </c>
      <c r="CO116" s="263">
        <f t="shared" si="412"/>
        <v>0</v>
      </c>
      <c r="CP116" s="263">
        <f t="shared" si="413"/>
        <v>0</v>
      </c>
      <c r="CQ116" s="263">
        <f t="shared" si="414"/>
        <v>0</v>
      </c>
      <c r="CR116" s="263">
        <f t="shared" si="415"/>
        <v>0</v>
      </c>
      <c r="CS116" s="263">
        <f t="shared" si="416"/>
        <v>0</v>
      </c>
      <c r="CT116" s="263">
        <f t="shared" si="417"/>
        <v>0</v>
      </c>
      <c r="CU116" s="263">
        <f t="shared" si="418"/>
        <v>0</v>
      </c>
      <c r="CV116" s="263">
        <f t="shared" si="419"/>
        <v>0</v>
      </c>
      <c r="CW116" s="263">
        <f t="shared" si="420"/>
        <v>0</v>
      </c>
      <c r="CX116" s="263">
        <f t="shared" si="421"/>
        <v>0</v>
      </c>
      <c r="CY116" s="263">
        <f t="shared" si="422"/>
        <v>0</v>
      </c>
      <c r="CZ116" s="263">
        <f t="shared" si="423"/>
        <v>0</v>
      </c>
      <c r="DA116" s="263">
        <f t="shared" si="424"/>
        <v>1</v>
      </c>
      <c r="DB116" s="263">
        <f t="shared" si="425"/>
        <v>0</v>
      </c>
      <c r="DC116" s="263">
        <f t="shared" si="426"/>
        <v>0</v>
      </c>
      <c r="DD116" s="263">
        <f t="shared" si="427"/>
        <v>0</v>
      </c>
      <c r="DE116" s="263">
        <f t="shared" si="428"/>
        <v>0</v>
      </c>
      <c r="DF116" s="263">
        <f t="shared" si="429"/>
        <v>0</v>
      </c>
      <c r="DG116" s="263">
        <f t="shared" si="430"/>
        <v>0</v>
      </c>
      <c r="DH116" s="263">
        <f t="shared" si="431"/>
        <v>0</v>
      </c>
      <c r="DI116" s="263">
        <f t="shared" si="432"/>
        <v>19771741.260000002</v>
      </c>
      <c r="DJ116" s="263">
        <f t="shared" si="433"/>
        <v>0</v>
      </c>
      <c r="DK116" s="263">
        <f t="shared" si="434"/>
        <v>0</v>
      </c>
      <c r="DL116" s="263">
        <f t="shared" si="435"/>
        <v>0</v>
      </c>
      <c r="DM116" s="263">
        <f t="shared" si="436"/>
        <v>0</v>
      </c>
      <c r="DO116" s="264">
        <f t="shared" si="437"/>
        <v>0</v>
      </c>
      <c r="DP116" s="265">
        <f t="shared" si="438"/>
        <v>0</v>
      </c>
      <c r="DQ116" s="264">
        <f t="shared" si="439"/>
        <v>0</v>
      </c>
      <c r="DR116" s="264">
        <f t="shared" si="440"/>
        <v>0</v>
      </c>
      <c r="DS116" s="265">
        <f t="shared" si="441"/>
        <v>0</v>
      </c>
      <c r="DT116" s="264">
        <f t="shared" si="442"/>
        <v>0</v>
      </c>
      <c r="DU116" s="264">
        <f t="shared" si="443"/>
        <v>0</v>
      </c>
      <c r="DV116" s="265">
        <f t="shared" si="444"/>
        <v>0</v>
      </c>
      <c r="DW116" s="264">
        <f t="shared" si="445"/>
        <v>0</v>
      </c>
      <c r="DX116" s="264">
        <f t="shared" si="446"/>
        <v>0</v>
      </c>
      <c r="DY116" s="265">
        <f t="shared" si="447"/>
        <v>0</v>
      </c>
      <c r="DZ116" s="264">
        <f t="shared" si="448"/>
        <v>0</v>
      </c>
      <c r="EA116" s="264">
        <f t="shared" si="449"/>
        <v>0</v>
      </c>
      <c r="EB116" s="265">
        <f t="shared" si="450"/>
        <v>0</v>
      </c>
      <c r="EC116" s="264">
        <f t="shared" si="451"/>
        <v>0</v>
      </c>
      <c r="ED116" s="264">
        <f t="shared" si="452"/>
        <v>0</v>
      </c>
      <c r="EE116" s="265">
        <f t="shared" si="453"/>
        <v>0</v>
      </c>
      <c r="EF116" s="264">
        <f t="shared" si="454"/>
        <v>0</v>
      </c>
      <c r="EG116" s="264">
        <f t="shared" si="455"/>
        <v>0</v>
      </c>
      <c r="EH116" s="265">
        <f t="shared" si="456"/>
        <v>0</v>
      </c>
      <c r="EI116" s="264">
        <f t="shared" si="457"/>
        <v>0</v>
      </c>
      <c r="EJ116" s="264">
        <f t="shared" si="458"/>
        <v>0</v>
      </c>
      <c r="EK116" s="265">
        <f t="shared" si="459"/>
        <v>0</v>
      </c>
      <c r="EL116" s="264">
        <f t="shared" si="460"/>
        <v>0</v>
      </c>
      <c r="EM116" s="264">
        <f t="shared" si="461"/>
        <v>0</v>
      </c>
      <c r="EN116" s="265">
        <f t="shared" si="462"/>
        <v>0</v>
      </c>
      <c r="EO116" s="264">
        <f t="shared" si="463"/>
        <v>0</v>
      </c>
      <c r="EP116" s="264">
        <f t="shared" si="464"/>
        <v>0</v>
      </c>
      <c r="EQ116" s="265">
        <f t="shared" si="465"/>
        <v>0</v>
      </c>
      <c r="ER116" s="264">
        <f t="shared" si="466"/>
        <v>0</v>
      </c>
      <c r="ES116" s="264">
        <f t="shared" si="467"/>
        <v>0</v>
      </c>
      <c r="ET116" s="265">
        <f t="shared" si="468"/>
        <v>0</v>
      </c>
      <c r="EU116" s="264">
        <f t="shared" si="469"/>
        <v>0</v>
      </c>
      <c r="EV116" s="264">
        <f>IF(AND(BM116="Yes",OR(BN116="No",AND(BN116="Yes",Inputs!$J$8=Inputs!$J$17+75))),EU116,0)</f>
        <v>0</v>
      </c>
      <c r="EW116" s="265">
        <f t="shared" si="470"/>
        <v>0</v>
      </c>
      <c r="EX116" s="264">
        <f t="shared" si="471"/>
        <v>0</v>
      </c>
      <c r="EY116" s="264">
        <f t="shared" si="472"/>
        <v>0</v>
      </c>
      <c r="EZ116" s="265">
        <f t="shared" si="473"/>
        <v>0</v>
      </c>
      <c r="FA116" s="264">
        <f t="shared" si="474"/>
        <v>0</v>
      </c>
      <c r="FB116" s="264">
        <f t="shared" si="475"/>
        <v>0</v>
      </c>
      <c r="FC116" s="265">
        <f t="shared" si="476"/>
        <v>0</v>
      </c>
      <c r="FD116" s="264">
        <f t="shared" si="477"/>
        <v>0</v>
      </c>
      <c r="FE116" s="264">
        <f t="shared" si="478"/>
        <v>0</v>
      </c>
      <c r="FF116" s="265">
        <f t="shared" si="479"/>
        <v>0</v>
      </c>
      <c r="FG116" s="264">
        <f t="shared" si="480"/>
        <v>0</v>
      </c>
      <c r="FH116" s="264">
        <f t="shared" si="481"/>
        <v>0</v>
      </c>
      <c r="FI116" s="264">
        <f t="shared" si="482"/>
        <v>0</v>
      </c>
      <c r="FJ116" s="264">
        <f t="shared" si="483"/>
        <v>0</v>
      </c>
      <c r="FK116" s="264">
        <f t="shared" si="484"/>
        <v>0</v>
      </c>
      <c r="FL116" s="264">
        <f t="shared" si="485"/>
        <v>0</v>
      </c>
      <c r="FM116" s="264">
        <f t="shared" si="486"/>
        <v>0</v>
      </c>
      <c r="FN116" s="264">
        <f t="shared" si="487"/>
        <v>0</v>
      </c>
      <c r="FO116" s="264">
        <f t="shared" si="488"/>
        <v>0</v>
      </c>
      <c r="FP116" s="264">
        <f t="shared" si="489"/>
        <v>0</v>
      </c>
      <c r="FQ116" s="264">
        <f t="shared" si="490"/>
        <v>0</v>
      </c>
      <c r="FR116" s="265">
        <f t="shared" si="491"/>
        <v>0</v>
      </c>
      <c r="FS116" s="264">
        <f t="shared" si="492"/>
        <v>0</v>
      </c>
      <c r="FT116" s="264">
        <f t="shared" si="493"/>
        <v>0</v>
      </c>
      <c r="FU116" s="265">
        <f t="shared" si="494"/>
        <v>0</v>
      </c>
      <c r="FV116" s="264">
        <f t="shared" si="495"/>
        <v>0</v>
      </c>
      <c r="FW116" s="264">
        <f t="shared" si="496"/>
        <v>0</v>
      </c>
      <c r="FX116" s="264">
        <f t="shared" si="497"/>
        <v>0</v>
      </c>
      <c r="FY116" s="264">
        <f t="shared" si="498"/>
        <v>0</v>
      </c>
      <c r="FZ116" s="264">
        <f t="shared" si="499"/>
        <v>0</v>
      </c>
      <c r="GA116" s="265">
        <f t="shared" si="500"/>
        <v>0</v>
      </c>
      <c r="GB116" s="264">
        <f t="shared" si="501"/>
        <v>0</v>
      </c>
      <c r="GC116" s="264">
        <f t="shared" si="502"/>
        <v>0</v>
      </c>
      <c r="GD116" s="266">
        <f t="shared" si="503"/>
        <v>0</v>
      </c>
      <c r="GE116" s="138">
        <f t="shared" si="504"/>
        <v>0</v>
      </c>
      <c r="GF116" s="267">
        <f t="shared" si="505"/>
        <v>1</v>
      </c>
      <c r="GG116" s="264">
        <f t="array" ref="GG116">IF(SUM(IF(IC$9:IC115=IC116,1,0))&gt;0,0,SUMIF($IC$10:$IC$406,IC116,$FJ$10:$FJ$406))</f>
        <v>0</v>
      </c>
      <c r="GH116" s="268">
        <f t="shared" si="506"/>
        <v>0</v>
      </c>
      <c r="GI116" s="137">
        <f t="shared" si="126"/>
        <v>107</v>
      </c>
      <c r="GJ116" s="269">
        <f t="shared" si="507"/>
        <v>0</v>
      </c>
      <c r="GK116" s="269">
        <f t="shared" si="508"/>
        <v>0</v>
      </c>
      <c r="GL116" s="163">
        <f t="shared" si="509"/>
        <v>0</v>
      </c>
      <c r="GM116" s="137">
        <f t="array" ref="GM116">IF(GJ116=0,0,LARGE(IF($GG$10:$GG$406=GJ116,$GF$10:$GF$406,0),COUNTIF($GJ$10:$GJ$406,GJ116)-COUNTIF(GJ$9:GJ115,GJ116)))</f>
        <v>0</v>
      </c>
      <c r="GN116" s="270">
        <f t="shared" si="510"/>
        <v>0</v>
      </c>
      <c r="GP116" s="137">
        <f>IF(C116="","",IF(ISERROR(MATCH(C116,C$10:C115,0)),MAX(GP$10:GP115)+1,INDEX(GP$10:GP115,MATCH(C116,C$10:C115,0))))</f>
        <v>86</v>
      </c>
      <c r="GQ116" s="264">
        <f>IF(COUNTIF($A$10:A116,A116)&lt;=1,SUMIF($A$10:$A$406,A116,$FH$10:$FH$406),0)</f>
        <v>0</v>
      </c>
      <c r="GR116" s="137">
        <f t="shared" si="130"/>
        <v>107</v>
      </c>
      <c r="GS116" s="269">
        <f t="shared" si="554"/>
        <v>0</v>
      </c>
      <c r="GT116" s="269">
        <f t="shared" si="555"/>
        <v>0</v>
      </c>
      <c r="GU116" s="163">
        <f t="shared" si="556"/>
        <v>0</v>
      </c>
      <c r="GV116" s="137">
        <f t="array" ref="GV116">IF(GS116=0,0,LARGE(IF($GQ$10:$GQ$406=GS116,$GP$10:$GP$406,0),COUNTIF($GS$10:$GS$406,GS116)-COUNTIF(GS$9:GS115,GS116)))</f>
        <v>0</v>
      </c>
      <c r="GW116" s="270">
        <f t="shared" si="557"/>
        <v>0</v>
      </c>
      <c r="GY116" s="137">
        <f>IF(C116="","",IF(ISERROR(MATCH(C116,C$10:C115,0)),MAX(GP$10:GP115)+1,INDEX(GP$10:GP115,MATCH(C116,C$10:C115,0))))</f>
        <v>86</v>
      </c>
      <c r="GZ116" s="264">
        <f>IF(COUNTIF($A$10:A116,A116)&lt;=1,SUMIF($A$10:$A$406,A116,$FH$10:$FH$406),0)</f>
        <v>0</v>
      </c>
      <c r="HA116" s="137">
        <f t="shared" si="134"/>
        <v>107</v>
      </c>
      <c r="HB116" s="269">
        <f t="shared" si="515"/>
        <v>0</v>
      </c>
      <c r="HC116" s="414" t="s">
        <v>622</v>
      </c>
      <c r="HD116" s="163">
        <f t="shared" si="516"/>
        <v>0</v>
      </c>
      <c r="HE116" s="137">
        <f t="array" ref="HE116">IF(HB116=0,0,LARGE(IF($GZ$10:$GZ$406=HB116,$GY$10:$GY$406,0),COUNTIF($HB$10:$HB$406,HB116)-COUNTIF(HB$9:HB115,HB116)))</f>
        <v>0</v>
      </c>
      <c r="HF116" s="270">
        <f t="shared" si="517"/>
        <v>0</v>
      </c>
      <c r="HG116" s="270"/>
      <c r="HH116" s="268">
        <f t="shared" si="518"/>
        <v>0</v>
      </c>
      <c r="HI116" s="271">
        <v>0</v>
      </c>
      <c r="HJ116" s="264">
        <f t="shared" si="519"/>
        <v>0</v>
      </c>
      <c r="HL116" s="137">
        <f t="shared" si="520"/>
        <v>107</v>
      </c>
      <c r="HM116" s="264">
        <f t="shared" si="521"/>
        <v>0</v>
      </c>
      <c r="HN116"/>
      <c r="HO116" s="199">
        <f t="shared" si="522"/>
        <v>0</v>
      </c>
      <c r="HP116" s="199">
        <f t="shared" si="523"/>
        <v>19771741.260000002</v>
      </c>
      <c r="HQ116" s="199" t="str">
        <f t="shared" si="524"/>
        <v/>
      </c>
      <c r="HR116" s="199" t="str">
        <f t="shared" si="525"/>
        <v/>
      </c>
      <c r="HS116" s="199" t="str">
        <f t="shared" si="539"/>
        <v/>
      </c>
      <c r="HT116" s="199">
        <f t="shared" si="526"/>
        <v>0</v>
      </c>
      <c r="HU116" s="199" t="str">
        <f t="shared" si="527"/>
        <v/>
      </c>
      <c r="HV116" s="200">
        <f t="shared" si="528"/>
        <v>0</v>
      </c>
      <c r="HW116" s="272">
        <f t="shared" si="540"/>
        <v>1</v>
      </c>
      <c r="HX116" s="200" t="str">
        <f t="shared" si="529"/>
        <v/>
      </c>
      <c r="HY116" s="200">
        <f t="shared" si="530"/>
        <v>0</v>
      </c>
      <c r="HZ116" s="200" t="str">
        <f t="shared" si="535"/>
        <v/>
      </c>
      <c r="IA116" s="200" t="str">
        <f t="shared" si="531"/>
        <v/>
      </c>
      <c r="IB116" s="200" t="str">
        <f t="shared" si="532"/>
        <v/>
      </c>
      <c r="IC116" s="273">
        <f>IF(C116="","",INDEX(Lookups!$E$2:$E$69,MATCH('Loan List'!BE116,Lookups!$F$2:$F$69,0)))</f>
        <v>1</v>
      </c>
      <c r="ID116" t="b">
        <f t="shared" si="533"/>
        <v>1</v>
      </c>
      <c r="IF116" s="346"/>
    </row>
    <row r="117" spans="1:240" ht="15" customHeight="1">
      <c r="A117" t="s">
        <v>609</v>
      </c>
      <c r="B117" s="242">
        <f t="shared" si="541"/>
        <v>108</v>
      </c>
      <c r="C117" s="242">
        <f>IF(COUNTIF($A$10:A116,A117)&gt;0,C116,C116+1)</f>
        <v>86</v>
      </c>
      <c r="D117" s="428" t="s">
        <v>775</v>
      </c>
      <c r="E117" s="428" t="s">
        <v>569</v>
      </c>
      <c r="F117" s="429"/>
      <c r="G117" s="430">
        <v>1477500</v>
      </c>
      <c r="H117" s="430">
        <v>1477500</v>
      </c>
      <c r="I117" s="244">
        <f>IF(B117="","",VLOOKUP(BF117,Inputs!$A$12:$J$15,10,FALSE))</f>
        <v>1</v>
      </c>
      <c r="J117" s="245">
        <f t="shared" si="542"/>
        <v>1477500</v>
      </c>
      <c r="K117" s="245">
        <f t="shared" si="543"/>
        <v>1477500</v>
      </c>
      <c r="L117" s="245">
        <f t="shared" si="544"/>
        <v>1477500</v>
      </c>
      <c r="M117" s="245">
        <f t="shared" si="545"/>
        <v>1477500</v>
      </c>
      <c r="N117" s="432" t="s">
        <v>246</v>
      </c>
      <c r="O117" s="432" t="s">
        <v>245</v>
      </c>
      <c r="P117" s="433">
        <f>IF(B117="","",IF(OR(O117="N/A",O117=""),0,YEARFRAC('Borrowing Base'!$J$4,'Loan List'!O117)*12))</f>
        <v>0</v>
      </c>
      <c r="Q117" s="432" t="s">
        <v>246</v>
      </c>
      <c r="R117" s="434">
        <v>0.99124999999999996</v>
      </c>
      <c r="S117" s="435" t="str">
        <f t="shared" si="546"/>
        <v>No</v>
      </c>
      <c r="T117" s="434">
        <v>0.98400000000809218</v>
      </c>
      <c r="U117" s="436">
        <f t="shared" si="547"/>
        <v>0.5</v>
      </c>
      <c r="V117" s="436">
        <f t="shared" si="548"/>
        <v>0.72499999999999998</v>
      </c>
      <c r="W117" s="251">
        <f t="shared" si="385"/>
        <v>0</v>
      </c>
      <c r="X117" s="432" t="s">
        <v>246</v>
      </c>
      <c r="Y117" s="437" t="s">
        <v>483</v>
      </c>
      <c r="Z117" s="437" t="s">
        <v>484</v>
      </c>
      <c r="AA117" s="438" t="s">
        <v>407</v>
      </c>
      <c r="AB117" s="438" t="s">
        <v>713</v>
      </c>
      <c r="AC117" s="439">
        <v>1.87</v>
      </c>
      <c r="AD117" s="439">
        <v>1.7307692307692304</v>
      </c>
      <c r="AE117" s="439">
        <v>2.4014639639639639</v>
      </c>
      <c r="AF117" s="439">
        <v>0.19800000000000001</v>
      </c>
      <c r="AG117" s="440">
        <v>2.81</v>
      </c>
      <c r="AH117" s="440">
        <v>2.81</v>
      </c>
      <c r="AI117" s="440">
        <v>4.8957796014067991</v>
      </c>
      <c r="AJ117" s="440">
        <v>4.8957796014067991</v>
      </c>
      <c r="AK117" s="441">
        <v>7151620.3608031394</v>
      </c>
      <c r="AL117" s="441">
        <v>17060000</v>
      </c>
      <c r="AM117" s="258">
        <v>45838</v>
      </c>
      <c r="AN117" s="442" t="str">
        <f t="shared" si="549"/>
        <v>Tier 2</v>
      </c>
      <c r="AO117" s="443">
        <v>47469</v>
      </c>
      <c r="AP117" s="444">
        <f>IF(C117="","",DAYS360(Inputs!$J$8,AO117)/360)</f>
        <v>4.3138888888888891</v>
      </c>
      <c r="AQ117" s="444">
        <f t="shared" si="550"/>
        <v>4.3138888888888891</v>
      </c>
      <c r="AR117" s="432" t="s">
        <v>246</v>
      </c>
      <c r="AS117" s="445">
        <v>0</v>
      </c>
      <c r="AT117" s="432" t="s">
        <v>64</v>
      </c>
      <c r="AU117" s="446">
        <v>0.01</v>
      </c>
      <c r="AV117" s="446">
        <v>5.7500000000000002E-2</v>
      </c>
      <c r="AW117" s="446">
        <v>4.3169999999999993E-2</v>
      </c>
      <c r="AX117" s="260">
        <f t="shared" si="551"/>
        <v>4.3169999999999993E-2</v>
      </c>
      <c r="AY117" s="446">
        <v>0</v>
      </c>
      <c r="AZ117" s="446">
        <v>0</v>
      </c>
      <c r="BA117" s="446">
        <v>0</v>
      </c>
      <c r="BB117" s="447">
        <f t="shared" si="536"/>
        <v>5.7500000000000002E-2</v>
      </c>
      <c r="BC117" s="447" t="str">
        <f t="shared" si="537"/>
        <v/>
      </c>
      <c r="BD117" s="437" t="s">
        <v>247</v>
      </c>
      <c r="BE117" s="448" t="s">
        <v>324</v>
      </c>
      <c r="BF117" s="437" t="s">
        <v>7</v>
      </c>
      <c r="BG117" s="437" t="s">
        <v>460</v>
      </c>
      <c r="BH117" s="432" t="s">
        <v>246</v>
      </c>
      <c r="BI117" s="449" t="str">
        <f t="shared" si="534"/>
        <v>No</v>
      </c>
      <c r="BJ117" s="449" t="str">
        <f t="shared" si="538"/>
        <v>No</v>
      </c>
      <c r="BK117" s="432" t="s">
        <v>246</v>
      </c>
      <c r="BL117" s="432" t="s">
        <v>246</v>
      </c>
      <c r="BM117" s="432" t="s">
        <v>246</v>
      </c>
      <c r="BN117" s="432" t="s">
        <v>246</v>
      </c>
      <c r="BO117" s="432" t="s">
        <v>246</v>
      </c>
      <c r="BP117" s="432" t="s">
        <v>246</v>
      </c>
      <c r="BQ117" s="432" t="s">
        <v>246</v>
      </c>
      <c r="BR117" s="432" t="s">
        <v>246</v>
      </c>
      <c r="BS117" s="432" t="s">
        <v>246</v>
      </c>
      <c r="BT117" s="432" t="s">
        <v>246</v>
      </c>
      <c r="BU117" s="432" t="s">
        <v>246</v>
      </c>
      <c r="BV117" s="432" t="s">
        <v>246</v>
      </c>
      <c r="BW117" s="432" t="s">
        <v>246</v>
      </c>
      <c r="BX117" s="432" t="s">
        <v>246</v>
      </c>
      <c r="BY117" s="432" t="s">
        <v>246</v>
      </c>
      <c r="BZ117" s="432" t="s">
        <v>246</v>
      </c>
      <c r="CA117" s="432" t="s">
        <v>246</v>
      </c>
      <c r="CB117" s="432" t="s">
        <v>64</v>
      </c>
      <c r="CC117" s="450">
        <f t="shared" si="552"/>
        <v>84878.828999999998</v>
      </c>
      <c r="CD117" s="450">
        <f t="shared" si="553"/>
        <v>0</v>
      </c>
      <c r="CE117" s="263"/>
      <c r="CF117" s="263">
        <f t="shared" si="403"/>
        <v>0</v>
      </c>
      <c r="CG117" s="263">
        <f t="shared" si="404"/>
        <v>0</v>
      </c>
      <c r="CH117" s="263">
        <f t="shared" si="405"/>
        <v>0</v>
      </c>
      <c r="CI117" s="263">
        <f t="shared" si="406"/>
        <v>0</v>
      </c>
      <c r="CJ117" s="263">
        <f t="shared" si="407"/>
        <v>0</v>
      </c>
      <c r="CK117" s="263">
        <f t="shared" si="408"/>
        <v>0</v>
      </c>
      <c r="CL117" s="263">
        <f t="shared" si="409"/>
        <v>0</v>
      </c>
      <c r="CM117" s="263">
        <f t="shared" si="410"/>
        <v>0</v>
      </c>
      <c r="CN117" s="263">
        <f t="shared" si="411"/>
        <v>0</v>
      </c>
      <c r="CO117" s="263">
        <f t="shared" si="412"/>
        <v>0</v>
      </c>
      <c r="CP117" s="263">
        <f t="shared" si="413"/>
        <v>0</v>
      </c>
      <c r="CQ117" s="263">
        <f t="shared" si="414"/>
        <v>0</v>
      </c>
      <c r="CR117" s="263">
        <f t="shared" si="415"/>
        <v>0</v>
      </c>
      <c r="CS117" s="263">
        <f t="shared" si="416"/>
        <v>0</v>
      </c>
      <c r="CT117" s="263">
        <f t="shared" si="417"/>
        <v>0</v>
      </c>
      <c r="CU117" s="263">
        <f t="shared" si="418"/>
        <v>0</v>
      </c>
      <c r="CV117" s="263">
        <f t="shared" si="419"/>
        <v>0</v>
      </c>
      <c r="CW117" s="263">
        <f t="shared" si="420"/>
        <v>0</v>
      </c>
      <c r="CX117" s="263">
        <f t="shared" si="421"/>
        <v>0</v>
      </c>
      <c r="CY117" s="263">
        <f t="shared" si="422"/>
        <v>0</v>
      </c>
      <c r="CZ117" s="263">
        <f t="shared" si="423"/>
        <v>0</v>
      </c>
      <c r="DA117" s="263">
        <f t="shared" si="424"/>
        <v>1</v>
      </c>
      <c r="DB117" s="263">
        <f t="shared" si="425"/>
        <v>0</v>
      </c>
      <c r="DC117" s="263">
        <f t="shared" si="426"/>
        <v>0</v>
      </c>
      <c r="DD117" s="263">
        <f t="shared" si="427"/>
        <v>0</v>
      </c>
      <c r="DE117" s="263">
        <f t="shared" si="428"/>
        <v>0</v>
      </c>
      <c r="DF117" s="263">
        <f t="shared" si="429"/>
        <v>0</v>
      </c>
      <c r="DG117" s="263">
        <f t="shared" si="430"/>
        <v>0</v>
      </c>
      <c r="DH117" s="263">
        <f t="shared" si="431"/>
        <v>0</v>
      </c>
      <c r="DI117" s="263">
        <f t="shared" si="432"/>
        <v>1477500</v>
      </c>
      <c r="DJ117" s="263">
        <f t="shared" si="433"/>
        <v>0</v>
      </c>
      <c r="DK117" s="263">
        <f t="shared" si="434"/>
        <v>0</v>
      </c>
      <c r="DL117" s="263">
        <f t="shared" si="435"/>
        <v>0</v>
      </c>
      <c r="DM117" s="263">
        <f t="shared" si="436"/>
        <v>0</v>
      </c>
      <c r="DO117" s="264">
        <f t="shared" si="437"/>
        <v>0</v>
      </c>
      <c r="DP117" s="265">
        <f t="shared" si="438"/>
        <v>0</v>
      </c>
      <c r="DQ117" s="264">
        <f t="shared" si="439"/>
        <v>0</v>
      </c>
      <c r="DR117" s="264">
        <f t="shared" si="440"/>
        <v>0</v>
      </c>
      <c r="DS117" s="265">
        <f t="shared" si="441"/>
        <v>0</v>
      </c>
      <c r="DT117" s="264">
        <f t="shared" si="442"/>
        <v>0</v>
      </c>
      <c r="DU117" s="264">
        <f t="shared" si="443"/>
        <v>0</v>
      </c>
      <c r="DV117" s="265">
        <f t="shared" si="444"/>
        <v>0</v>
      </c>
      <c r="DW117" s="264">
        <f t="shared" si="445"/>
        <v>0</v>
      </c>
      <c r="DX117" s="264">
        <f t="shared" si="446"/>
        <v>0</v>
      </c>
      <c r="DY117" s="265">
        <f t="shared" si="447"/>
        <v>0</v>
      </c>
      <c r="DZ117" s="264">
        <f t="shared" si="448"/>
        <v>0</v>
      </c>
      <c r="EA117" s="264">
        <f t="shared" si="449"/>
        <v>0</v>
      </c>
      <c r="EB117" s="265">
        <f t="shared" si="450"/>
        <v>0</v>
      </c>
      <c r="EC117" s="264">
        <f t="shared" si="451"/>
        <v>0</v>
      </c>
      <c r="ED117" s="264">
        <f t="shared" si="452"/>
        <v>0</v>
      </c>
      <c r="EE117" s="265">
        <f t="shared" si="453"/>
        <v>0</v>
      </c>
      <c r="EF117" s="264">
        <f t="shared" si="454"/>
        <v>0</v>
      </c>
      <c r="EG117" s="264">
        <f t="shared" si="455"/>
        <v>0</v>
      </c>
      <c r="EH117" s="265">
        <f t="shared" si="456"/>
        <v>0</v>
      </c>
      <c r="EI117" s="264">
        <f t="shared" si="457"/>
        <v>0</v>
      </c>
      <c r="EJ117" s="264">
        <f t="shared" si="458"/>
        <v>0</v>
      </c>
      <c r="EK117" s="265">
        <f t="shared" si="459"/>
        <v>0</v>
      </c>
      <c r="EL117" s="264">
        <f t="shared" si="460"/>
        <v>0</v>
      </c>
      <c r="EM117" s="264">
        <f t="shared" si="461"/>
        <v>0</v>
      </c>
      <c r="EN117" s="265">
        <f t="shared" si="462"/>
        <v>0</v>
      </c>
      <c r="EO117" s="264">
        <f t="shared" si="463"/>
        <v>0</v>
      </c>
      <c r="EP117" s="264">
        <f t="shared" si="464"/>
        <v>0</v>
      </c>
      <c r="EQ117" s="265">
        <f t="shared" si="465"/>
        <v>0</v>
      </c>
      <c r="ER117" s="264">
        <f t="shared" si="466"/>
        <v>0</v>
      </c>
      <c r="ES117" s="264">
        <f t="shared" si="467"/>
        <v>0</v>
      </c>
      <c r="ET117" s="265">
        <f t="shared" si="468"/>
        <v>0</v>
      </c>
      <c r="EU117" s="264">
        <f t="shared" si="469"/>
        <v>0</v>
      </c>
      <c r="EV117" s="264">
        <f>IF(AND(BM117="Yes",OR(BN117="No",AND(BN117="Yes",Inputs!$J$8=Inputs!$J$17+75))),EU117,0)</f>
        <v>0</v>
      </c>
      <c r="EW117" s="265">
        <f t="shared" si="470"/>
        <v>0</v>
      </c>
      <c r="EX117" s="264">
        <f t="shared" si="471"/>
        <v>0</v>
      </c>
      <c r="EY117" s="264">
        <f t="shared" si="472"/>
        <v>0</v>
      </c>
      <c r="EZ117" s="265">
        <f t="shared" si="473"/>
        <v>0</v>
      </c>
      <c r="FA117" s="264">
        <f t="shared" si="474"/>
        <v>0</v>
      </c>
      <c r="FB117" s="264">
        <f t="shared" si="475"/>
        <v>0</v>
      </c>
      <c r="FC117" s="265">
        <f t="shared" si="476"/>
        <v>0</v>
      </c>
      <c r="FD117" s="264">
        <f t="shared" si="477"/>
        <v>0</v>
      </c>
      <c r="FE117" s="264">
        <f t="shared" si="478"/>
        <v>0</v>
      </c>
      <c r="FF117" s="265">
        <f t="shared" si="479"/>
        <v>0</v>
      </c>
      <c r="FG117" s="264">
        <f t="shared" si="480"/>
        <v>0</v>
      </c>
      <c r="FH117" s="264">
        <f t="shared" si="481"/>
        <v>0</v>
      </c>
      <c r="FI117" s="264">
        <f t="shared" si="482"/>
        <v>0</v>
      </c>
      <c r="FJ117" s="264">
        <f t="shared" si="483"/>
        <v>0</v>
      </c>
      <c r="FK117" s="264">
        <f t="shared" si="484"/>
        <v>0</v>
      </c>
      <c r="FL117" s="264">
        <f t="shared" si="485"/>
        <v>0</v>
      </c>
      <c r="FM117" s="264">
        <f t="shared" si="486"/>
        <v>0</v>
      </c>
      <c r="FN117" s="264">
        <f t="shared" si="487"/>
        <v>0</v>
      </c>
      <c r="FO117" s="264">
        <f t="shared" si="488"/>
        <v>0</v>
      </c>
      <c r="FP117" s="264">
        <f t="shared" si="489"/>
        <v>0</v>
      </c>
      <c r="FQ117" s="264">
        <f t="shared" si="490"/>
        <v>0</v>
      </c>
      <c r="FR117" s="265">
        <f t="shared" si="491"/>
        <v>0</v>
      </c>
      <c r="FS117" s="264">
        <f t="shared" si="492"/>
        <v>0</v>
      </c>
      <c r="FT117" s="264">
        <f t="shared" si="493"/>
        <v>0</v>
      </c>
      <c r="FU117" s="265">
        <f t="shared" si="494"/>
        <v>0</v>
      </c>
      <c r="FV117" s="264">
        <f t="shared" si="495"/>
        <v>0</v>
      </c>
      <c r="FW117" s="264">
        <f t="shared" si="496"/>
        <v>0</v>
      </c>
      <c r="FX117" s="264">
        <f t="shared" si="497"/>
        <v>0</v>
      </c>
      <c r="FY117" s="264">
        <f t="shared" si="498"/>
        <v>0</v>
      </c>
      <c r="FZ117" s="264">
        <f t="shared" si="499"/>
        <v>0</v>
      </c>
      <c r="GA117" s="265">
        <f t="shared" si="500"/>
        <v>0</v>
      </c>
      <c r="GB117" s="264">
        <f t="shared" si="501"/>
        <v>0</v>
      </c>
      <c r="GC117" s="264">
        <f t="shared" si="502"/>
        <v>0</v>
      </c>
      <c r="GD117" s="266">
        <f t="shared" si="503"/>
        <v>0</v>
      </c>
      <c r="GE117" s="138">
        <f t="shared" si="504"/>
        <v>0</v>
      </c>
      <c r="GF117" s="267">
        <f t="shared" si="505"/>
        <v>1</v>
      </c>
      <c r="GG117" s="264">
        <f t="array" ref="GG117">IF(SUM(IF(IC$9:IC116=IC117,1,0))&gt;0,0,SUMIF($IC$10:$IC$406,IC117,$FJ$10:$FJ$406))</f>
        <v>0</v>
      </c>
      <c r="GH117" s="268">
        <f t="shared" si="506"/>
        <v>0</v>
      </c>
      <c r="GI117" s="137">
        <f t="shared" si="126"/>
        <v>108</v>
      </c>
      <c r="GJ117" s="269">
        <f t="shared" si="507"/>
        <v>0</v>
      </c>
      <c r="GK117" s="269">
        <f t="shared" si="508"/>
        <v>0</v>
      </c>
      <c r="GL117" s="163">
        <f t="shared" si="509"/>
        <v>0</v>
      </c>
      <c r="GM117" s="137">
        <f t="array" ref="GM117">IF(GJ117=0,0,LARGE(IF($GG$10:$GG$406=GJ117,$GF$10:$GF$406,0),COUNTIF($GJ$10:$GJ$406,GJ117)-COUNTIF(GJ$9:GJ116,GJ117)))</f>
        <v>0</v>
      </c>
      <c r="GN117" s="270">
        <f t="shared" si="510"/>
        <v>0</v>
      </c>
      <c r="GP117" s="137">
        <f>IF(C117="","",IF(ISERROR(MATCH(C117,C$10:C116,0)),MAX(GP$10:GP116)+1,INDEX(GP$10:GP116,MATCH(C117,C$10:C116,0))))</f>
        <v>86</v>
      </c>
      <c r="GQ117" s="264">
        <f>IF(COUNTIF($A$10:A117,A117)&lt;=1,SUMIF($A$10:$A$406,A117,$FH$10:$FH$406),0)</f>
        <v>0</v>
      </c>
      <c r="GR117" s="137">
        <f t="shared" si="130"/>
        <v>108</v>
      </c>
      <c r="GS117" s="269">
        <f t="shared" si="554"/>
        <v>0</v>
      </c>
      <c r="GT117" s="269">
        <f t="shared" si="555"/>
        <v>0</v>
      </c>
      <c r="GU117" s="163">
        <f t="shared" si="556"/>
        <v>0</v>
      </c>
      <c r="GV117" s="137">
        <f t="array" ref="GV117">IF(GS117=0,0,LARGE(IF($GQ$10:$GQ$406=GS117,$GP$10:$GP$406,0),COUNTIF($GS$10:$GS$406,GS117)-COUNTIF(GS$9:GS116,GS117)))</f>
        <v>0</v>
      </c>
      <c r="GW117" s="270">
        <f t="shared" si="557"/>
        <v>0</v>
      </c>
      <c r="GY117" s="137">
        <f>IF(C117="","",IF(ISERROR(MATCH(C117,C$10:C116,0)),MAX(GP$10:GP116)+1,INDEX(GP$10:GP116,MATCH(C117,C$10:C116,0))))</f>
        <v>86</v>
      </c>
      <c r="GZ117" s="264">
        <f>IF(COUNTIF($A$10:A117,A117)&lt;=1,SUMIF($A$10:$A$406,A117,$FH$10:$FH$406),0)</f>
        <v>0</v>
      </c>
      <c r="HA117" s="137">
        <f t="shared" si="134"/>
        <v>108</v>
      </c>
      <c r="HB117" s="269">
        <f t="shared" si="515"/>
        <v>0</v>
      </c>
      <c r="HC117" s="414" t="s">
        <v>622</v>
      </c>
      <c r="HD117" s="163">
        <f t="shared" si="516"/>
        <v>0</v>
      </c>
      <c r="HE117" s="137">
        <f t="array" ref="HE117">IF(HB117=0,0,LARGE(IF($GZ$10:$GZ$406=HB117,$GY$10:$GY$406,0),COUNTIF($HB$10:$HB$406,HB117)-COUNTIF(HB$9:HB116,HB117)))</f>
        <v>0</v>
      </c>
      <c r="HF117" s="270">
        <f t="shared" si="517"/>
        <v>0</v>
      </c>
      <c r="HG117" s="270"/>
      <c r="HH117" s="268">
        <f t="shared" si="518"/>
        <v>0</v>
      </c>
      <c r="HI117" s="271">
        <v>0</v>
      </c>
      <c r="HJ117" s="264">
        <f t="shared" si="519"/>
        <v>0</v>
      </c>
      <c r="HL117" s="137">
        <f t="shared" si="520"/>
        <v>108</v>
      </c>
      <c r="HM117" s="264">
        <f t="shared" si="521"/>
        <v>2456406</v>
      </c>
      <c r="HN117"/>
      <c r="HO117" s="199">
        <f t="shared" si="522"/>
        <v>0</v>
      </c>
      <c r="HP117" s="199">
        <f t="shared" si="523"/>
        <v>1477500</v>
      </c>
      <c r="HQ117" s="199" t="str">
        <f t="shared" si="524"/>
        <v/>
      </c>
      <c r="HR117" s="199" t="str">
        <f t="shared" si="525"/>
        <v/>
      </c>
      <c r="HS117" s="199" t="str">
        <f t="shared" si="539"/>
        <v/>
      </c>
      <c r="HT117" s="199">
        <f t="shared" si="526"/>
        <v>0</v>
      </c>
      <c r="HU117" s="199" t="str">
        <f t="shared" si="527"/>
        <v/>
      </c>
      <c r="HV117" s="200">
        <f t="shared" si="528"/>
        <v>0</v>
      </c>
      <c r="HW117" s="272">
        <f t="shared" si="540"/>
        <v>1</v>
      </c>
      <c r="HX117" s="200" t="str">
        <f t="shared" si="529"/>
        <v/>
      </c>
      <c r="HY117" s="200">
        <f t="shared" si="530"/>
        <v>0</v>
      </c>
      <c r="HZ117" s="200" t="str">
        <f t="shared" si="535"/>
        <v/>
      </c>
      <c r="IA117" s="200" t="str">
        <f t="shared" si="531"/>
        <v/>
      </c>
      <c r="IB117" s="200" t="str">
        <f t="shared" si="532"/>
        <v/>
      </c>
      <c r="IC117" s="273">
        <f>IF(C117="","",INDEX(Lookups!$E$2:$E$69,MATCH('Loan List'!BE117,Lookups!$F$2:$F$69,0)))</f>
        <v>1</v>
      </c>
      <c r="ID117" t="b">
        <f t="shared" si="533"/>
        <v>1</v>
      </c>
      <c r="IF117" s="346"/>
    </row>
    <row r="118" spans="1:240">
      <c r="A118" t="s">
        <v>509</v>
      </c>
      <c r="B118" s="242">
        <f t="shared" si="541"/>
        <v>109</v>
      </c>
      <c r="C118" s="242">
        <f>IF(COUNTIF($A$10:A117,A118)&gt;0,C117,C117+1)</f>
        <v>87</v>
      </c>
      <c r="D118" s="428" t="s">
        <v>576</v>
      </c>
      <c r="E118" s="428" t="s">
        <v>583</v>
      </c>
      <c r="F118" s="429"/>
      <c r="G118" s="430">
        <v>521421.96</v>
      </c>
      <c r="H118" s="430">
        <v>521421.96</v>
      </c>
      <c r="I118" s="244">
        <f>IF(B118="","",VLOOKUP(BF118,Inputs!$A$12:$J$15,10,FALSE))</f>
        <v>1</v>
      </c>
      <c r="J118" s="245">
        <f t="shared" si="542"/>
        <v>521421.96</v>
      </c>
      <c r="K118" s="245">
        <f t="shared" si="543"/>
        <v>521421.96</v>
      </c>
      <c r="L118" s="245">
        <f t="shared" si="544"/>
        <v>521421.96</v>
      </c>
      <c r="M118" s="245">
        <f t="shared" si="545"/>
        <v>521421.96</v>
      </c>
      <c r="N118" s="432" t="s">
        <v>246</v>
      </c>
      <c r="O118" s="432" t="s">
        <v>245</v>
      </c>
      <c r="P118" s="433">
        <f>IF(B118="","",IF(OR(O118="N/A",O118=""),0,YEARFRAC('Borrowing Base'!$J$4,'Loan List'!O118)*12))</f>
        <v>0</v>
      </c>
      <c r="Q118" s="432" t="s">
        <v>246</v>
      </c>
      <c r="R118" s="434">
        <v>1</v>
      </c>
      <c r="S118" s="435" t="str">
        <f t="shared" si="546"/>
        <v>No</v>
      </c>
      <c r="T118" s="434">
        <v>1</v>
      </c>
      <c r="U118" s="436">
        <f t="shared" si="547"/>
        <v>0.5</v>
      </c>
      <c r="V118" s="436">
        <f t="shared" si="548"/>
        <v>0.72499999999999998</v>
      </c>
      <c r="W118" s="251">
        <f t="shared" si="385"/>
        <v>521421.96</v>
      </c>
      <c r="X118" s="432" t="s">
        <v>246</v>
      </c>
      <c r="Y118" s="437" t="s">
        <v>483</v>
      </c>
      <c r="Z118" s="437" t="s">
        <v>484</v>
      </c>
      <c r="AA118" s="438" t="s">
        <v>374</v>
      </c>
      <c r="AB118" s="438" t="s">
        <v>715</v>
      </c>
      <c r="AC118" s="439">
        <v>1.3</v>
      </c>
      <c r="AD118" s="439">
        <v>1.8240168113187472</v>
      </c>
      <c r="AE118" s="439">
        <v>2.3430169762186179</v>
      </c>
      <c r="AF118" s="439">
        <v>0.74339999999999995</v>
      </c>
      <c r="AG118" s="440">
        <v>3.99</v>
      </c>
      <c r="AH118" s="440">
        <v>5.2</v>
      </c>
      <c r="AI118" s="440">
        <v>3.4913904671646621</v>
      </c>
      <c r="AJ118" s="440">
        <v>3.4913904671646621</v>
      </c>
      <c r="AK118" s="441">
        <v>52980000</v>
      </c>
      <c r="AL118" s="441">
        <v>50331825</v>
      </c>
      <c r="AM118" s="258">
        <v>45838</v>
      </c>
      <c r="AN118" s="442" t="str">
        <f t="shared" si="549"/>
        <v>Tier 1</v>
      </c>
      <c r="AO118" s="443">
        <v>47087</v>
      </c>
      <c r="AP118" s="444">
        <f>IF(C118="","",DAYS360(Inputs!$J$8,AO118)/360)</f>
        <v>3.2666666666666666</v>
      </c>
      <c r="AQ118" s="444">
        <f t="shared" si="550"/>
        <v>3.2666666666666666</v>
      </c>
      <c r="AR118" s="432" t="s">
        <v>246</v>
      </c>
      <c r="AS118" s="445">
        <v>0</v>
      </c>
      <c r="AT118" s="432" t="s">
        <v>246</v>
      </c>
      <c r="AU118" s="446" t="s">
        <v>487</v>
      </c>
      <c r="AV118" s="446">
        <v>8.4282599999999999E-2</v>
      </c>
      <c r="AW118" s="446">
        <v>4.2850399999999997E-2</v>
      </c>
      <c r="AX118" s="260">
        <f t="shared" si="551"/>
        <v>4.2850399999999997E-2</v>
      </c>
      <c r="AY118" s="446">
        <v>0</v>
      </c>
      <c r="AZ118" s="446">
        <v>0</v>
      </c>
      <c r="BA118" s="446">
        <v>0</v>
      </c>
      <c r="BB118" s="447">
        <f t="shared" si="536"/>
        <v>8.4282599999999999E-2</v>
      </c>
      <c r="BC118" s="447" t="str">
        <f t="shared" si="537"/>
        <v/>
      </c>
      <c r="BD118" s="437" t="s">
        <v>249</v>
      </c>
      <c r="BE118" s="448" t="s">
        <v>455</v>
      </c>
      <c r="BF118" s="437" t="s">
        <v>7</v>
      </c>
      <c r="BG118" s="437" t="s">
        <v>460</v>
      </c>
      <c r="BH118" s="432" t="s">
        <v>246</v>
      </c>
      <c r="BI118" s="449" t="str">
        <f t="shared" ref="BI118:BI167" si="559">IF(B118="","",IF(OR(AND(AZ118&gt;0,BB118&gt;=2.5%,BB118&lt;4%),AND(BA118&gt;0,BC118&gt;=6%,BC118&lt;8%)),"Yes","No"))</f>
        <v>No</v>
      </c>
      <c r="BJ118" s="449" t="str">
        <f t="shared" ref="BJ118:BJ167" si="560">IF(B118="","",IF(OR(AND(AZ118&gt;0,BB118&lt;2.5%),AND(BA118&gt;0,BC118&lt;6%)),"Yes","No"))</f>
        <v>No</v>
      </c>
      <c r="BK118" s="432" t="s">
        <v>246</v>
      </c>
      <c r="BL118" s="432" t="s">
        <v>246</v>
      </c>
      <c r="BM118" s="432" t="s">
        <v>246</v>
      </c>
      <c r="BN118" s="432" t="s">
        <v>246</v>
      </c>
      <c r="BO118" s="432" t="s">
        <v>246</v>
      </c>
      <c r="BP118" s="432" t="s">
        <v>246</v>
      </c>
      <c r="BQ118" s="432" t="s">
        <v>246</v>
      </c>
      <c r="BR118" s="432" t="s">
        <v>246</v>
      </c>
      <c r="BS118" s="432" t="s">
        <v>246</v>
      </c>
      <c r="BT118" s="432" t="s">
        <v>246</v>
      </c>
      <c r="BU118" s="432" t="s">
        <v>246</v>
      </c>
      <c r="BV118" s="432" t="s">
        <v>246</v>
      </c>
      <c r="BW118" s="432" t="s">
        <v>246</v>
      </c>
      <c r="BX118" s="432" t="s">
        <v>246</v>
      </c>
      <c r="BY118" s="432" t="s">
        <v>246</v>
      </c>
      <c r="BZ118" s="432" t="s">
        <v>246</v>
      </c>
      <c r="CA118" s="432" t="s">
        <v>246</v>
      </c>
      <c r="CB118" s="432" t="s">
        <v>64</v>
      </c>
      <c r="CC118" s="450">
        <f t="shared" si="552"/>
        <v>43752.829516776001</v>
      </c>
      <c r="CD118" s="450">
        <f t="shared" si="553"/>
        <v>0</v>
      </c>
      <c r="CF118" s="263">
        <f t="shared" si="403"/>
        <v>0</v>
      </c>
      <c r="CG118" s="263">
        <f t="shared" si="404"/>
        <v>0</v>
      </c>
      <c r="CH118" s="263">
        <f t="shared" si="405"/>
        <v>0</v>
      </c>
      <c r="CI118" s="263">
        <f t="shared" si="406"/>
        <v>0</v>
      </c>
      <c r="CJ118" s="263">
        <f t="shared" si="407"/>
        <v>0</v>
      </c>
      <c r="CK118" s="263">
        <f t="shared" si="408"/>
        <v>0</v>
      </c>
      <c r="CL118" s="263">
        <f t="shared" si="409"/>
        <v>0</v>
      </c>
      <c r="CM118" s="263">
        <f t="shared" si="410"/>
        <v>0</v>
      </c>
      <c r="CN118" s="263">
        <f t="shared" si="411"/>
        <v>0</v>
      </c>
      <c r="CO118" s="263">
        <f t="shared" si="412"/>
        <v>0</v>
      </c>
      <c r="CP118" s="263">
        <f t="shared" si="413"/>
        <v>0</v>
      </c>
      <c r="CQ118" s="263">
        <f t="shared" si="414"/>
        <v>0</v>
      </c>
      <c r="CR118" s="263">
        <f t="shared" si="415"/>
        <v>0</v>
      </c>
      <c r="CS118" s="263">
        <f t="shared" si="416"/>
        <v>0</v>
      </c>
      <c r="CT118" s="263">
        <f t="shared" si="417"/>
        <v>0</v>
      </c>
      <c r="CU118" s="263">
        <f t="shared" si="418"/>
        <v>0</v>
      </c>
      <c r="CV118" s="263">
        <f t="shared" si="419"/>
        <v>0</v>
      </c>
      <c r="CW118" s="263">
        <f t="shared" si="420"/>
        <v>0</v>
      </c>
      <c r="CX118" s="263">
        <f t="shared" si="421"/>
        <v>0</v>
      </c>
      <c r="CY118" s="263">
        <f t="shared" si="422"/>
        <v>0</v>
      </c>
      <c r="CZ118" s="263">
        <f t="shared" si="423"/>
        <v>0</v>
      </c>
      <c r="DA118" s="263">
        <f t="shared" si="424"/>
        <v>0</v>
      </c>
      <c r="DB118" s="263">
        <f t="shared" si="425"/>
        <v>0</v>
      </c>
      <c r="DC118" s="263">
        <f t="shared" si="426"/>
        <v>0</v>
      </c>
      <c r="DD118" s="263">
        <f t="shared" si="427"/>
        <v>0</v>
      </c>
      <c r="DE118" s="263">
        <f t="shared" si="428"/>
        <v>0</v>
      </c>
      <c r="DF118" s="263">
        <f t="shared" si="429"/>
        <v>521421.96</v>
      </c>
      <c r="DG118" s="263">
        <f t="shared" si="430"/>
        <v>0</v>
      </c>
      <c r="DH118" s="263">
        <f t="shared" si="431"/>
        <v>521421.96</v>
      </c>
      <c r="DI118" s="263">
        <f t="shared" si="432"/>
        <v>521421.96</v>
      </c>
      <c r="DJ118" s="263">
        <f t="shared" si="433"/>
        <v>0</v>
      </c>
      <c r="DK118" s="263">
        <f t="shared" si="434"/>
        <v>0</v>
      </c>
      <c r="DL118" s="263">
        <f t="shared" si="435"/>
        <v>0</v>
      </c>
      <c r="DM118" s="263">
        <f t="shared" si="436"/>
        <v>0</v>
      </c>
      <c r="DO118" s="264">
        <f t="shared" si="437"/>
        <v>0</v>
      </c>
      <c r="DP118" s="265">
        <f t="shared" si="438"/>
        <v>0</v>
      </c>
      <c r="DQ118" s="264">
        <f t="shared" si="439"/>
        <v>521421.96</v>
      </c>
      <c r="DR118" s="264">
        <f t="shared" si="440"/>
        <v>0</v>
      </c>
      <c r="DS118" s="265">
        <f t="shared" si="441"/>
        <v>0</v>
      </c>
      <c r="DT118" s="264">
        <f t="shared" si="442"/>
        <v>521421.96</v>
      </c>
      <c r="DU118" s="264">
        <f t="shared" si="443"/>
        <v>0</v>
      </c>
      <c r="DV118" s="265">
        <f t="shared" si="444"/>
        <v>0</v>
      </c>
      <c r="DW118" s="264">
        <f t="shared" si="445"/>
        <v>521421.96</v>
      </c>
      <c r="DX118" s="264">
        <f t="shared" si="446"/>
        <v>0</v>
      </c>
      <c r="DY118" s="265">
        <f t="shared" si="447"/>
        <v>0</v>
      </c>
      <c r="DZ118" s="264">
        <f t="shared" si="448"/>
        <v>521421.96</v>
      </c>
      <c r="EA118" s="264">
        <f t="shared" si="449"/>
        <v>0</v>
      </c>
      <c r="EB118" s="265">
        <f t="shared" si="450"/>
        <v>0</v>
      </c>
      <c r="EC118" s="264">
        <f t="shared" si="451"/>
        <v>521421.96</v>
      </c>
      <c r="ED118" s="264">
        <f t="shared" si="452"/>
        <v>0</v>
      </c>
      <c r="EE118" s="265">
        <f t="shared" si="453"/>
        <v>0</v>
      </c>
      <c r="EF118" s="264">
        <f t="shared" si="454"/>
        <v>521421.96</v>
      </c>
      <c r="EG118" s="264">
        <f t="shared" si="455"/>
        <v>0</v>
      </c>
      <c r="EH118" s="265">
        <f t="shared" si="456"/>
        <v>0</v>
      </c>
      <c r="EI118" s="264">
        <f t="shared" si="457"/>
        <v>521421.96</v>
      </c>
      <c r="EJ118" s="264">
        <f t="shared" si="458"/>
        <v>0</v>
      </c>
      <c r="EK118" s="265">
        <f t="shared" si="459"/>
        <v>0</v>
      </c>
      <c r="EL118" s="264">
        <f t="shared" si="460"/>
        <v>521421.96</v>
      </c>
      <c r="EM118" s="264">
        <f t="shared" si="461"/>
        <v>0</v>
      </c>
      <c r="EN118" s="265">
        <f t="shared" si="462"/>
        <v>0</v>
      </c>
      <c r="EO118" s="264">
        <f t="shared" si="463"/>
        <v>521421.96</v>
      </c>
      <c r="EP118" s="264">
        <f t="shared" si="464"/>
        <v>0</v>
      </c>
      <c r="EQ118" s="265">
        <f t="shared" si="465"/>
        <v>0</v>
      </c>
      <c r="ER118" s="264">
        <f t="shared" si="466"/>
        <v>521421.96</v>
      </c>
      <c r="ES118" s="264">
        <f t="shared" si="467"/>
        <v>0</v>
      </c>
      <c r="ET118" s="265">
        <f t="shared" si="468"/>
        <v>0</v>
      </c>
      <c r="EU118" s="264">
        <f t="shared" si="469"/>
        <v>521421.96</v>
      </c>
      <c r="EV118" s="264">
        <f>IF(AND(BM118="Yes",OR(BN118="No",AND(BN118="Yes",Inputs!$J$8=Inputs!$J$17+75))),EU118,0)</f>
        <v>0</v>
      </c>
      <c r="EW118" s="265">
        <f t="shared" si="470"/>
        <v>0</v>
      </c>
      <c r="EX118" s="264">
        <f t="shared" si="471"/>
        <v>521421.96</v>
      </c>
      <c r="EY118" s="264">
        <f t="shared" si="472"/>
        <v>0</v>
      </c>
      <c r="EZ118" s="265">
        <f t="shared" si="473"/>
        <v>0</v>
      </c>
      <c r="FA118" s="264">
        <f t="shared" si="474"/>
        <v>521421.96</v>
      </c>
      <c r="FB118" s="264">
        <f t="shared" si="475"/>
        <v>0</v>
      </c>
      <c r="FC118" s="265">
        <f t="shared" si="476"/>
        <v>0</v>
      </c>
      <c r="FD118" s="264">
        <f t="shared" si="477"/>
        <v>521421.96</v>
      </c>
      <c r="FE118" s="264">
        <f t="shared" si="478"/>
        <v>0</v>
      </c>
      <c r="FF118" s="265">
        <f t="shared" si="479"/>
        <v>0</v>
      </c>
      <c r="FG118" s="264">
        <f t="shared" si="480"/>
        <v>521421.96</v>
      </c>
      <c r="FH118" s="264">
        <f t="shared" si="481"/>
        <v>521421.96</v>
      </c>
      <c r="FI118" s="264">
        <f t="shared" si="482"/>
        <v>0</v>
      </c>
      <c r="FJ118" s="264">
        <f t="shared" si="483"/>
        <v>521421.96</v>
      </c>
      <c r="FK118" s="264">
        <f t="shared" si="484"/>
        <v>521421.96</v>
      </c>
      <c r="FL118" s="264">
        <f t="shared" si="485"/>
        <v>0</v>
      </c>
      <c r="FM118" s="264">
        <f t="shared" si="486"/>
        <v>521421.96</v>
      </c>
      <c r="FN118" s="264">
        <f t="shared" si="487"/>
        <v>521421.96</v>
      </c>
      <c r="FO118" s="264">
        <f t="shared" si="488"/>
        <v>0</v>
      </c>
      <c r="FP118" s="264">
        <f t="shared" si="489"/>
        <v>521421.96</v>
      </c>
      <c r="FQ118" s="264">
        <f t="shared" si="490"/>
        <v>0</v>
      </c>
      <c r="FR118" s="265">
        <f t="shared" si="491"/>
        <v>0</v>
      </c>
      <c r="FS118" s="264">
        <f t="shared" si="492"/>
        <v>521421.96</v>
      </c>
      <c r="FT118" s="264">
        <f t="shared" si="493"/>
        <v>0</v>
      </c>
      <c r="FU118" s="265">
        <f t="shared" si="494"/>
        <v>0</v>
      </c>
      <c r="FV118" s="264">
        <f t="shared" si="495"/>
        <v>521421.96</v>
      </c>
      <c r="FW118" s="264">
        <f t="shared" si="496"/>
        <v>0</v>
      </c>
      <c r="FX118" s="264">
        <f t="shared" si="497"/>
        <v>0</v>
      </c>
      <c r="FY118" s="264">
        <f t="shared" si="498"/>
        <v>0</v>
      </c>
      <c r="FZ118" s="264">
        <f t="shared" si="499"/>
        <v>0</v>
      </c>
      <c r="GA118" s="265">
        <f t="shared" si="500"/>
        <v>0</v>
      </c>
      <c r="GB118" s="264">
        <f t="shared" si="501"/>
        <v>521421.96</v>
      </c>
      <c r="GC118" s="264">
        <f t="shared" si="502"/>
        <v>521421.96</v>
      </c>
      <c r="GD118" s="266">
        <f t="shared" si="503"/>
        <v>378030.92100000003</v>
      </c>
      <c r="GE118" s="138">
        <f t="shared" si="504"/>
        <v>0.72499999999999998</v>
      </c>
      <c r="GF118" s="267">
        <f t="shared" si="505"/>
        <v>55</v>
      </c>
      <c r="GG118" s="264">
        <f t="array" ref="GG118">IF(SUM(IF(IC$9:IC117=IC118,1,0))&gt;0,0,SUMIF($IC$10:$IC$406,IC118,$FJ$10:$FJ$406))</f>
        <v>0</v>
      </c>
      <c r="GH118" s="268">
        <f t="shared" si="506"/>
        <v>0</v>
      </c>
      <c r="GI118" s="137">
        <f t="shared" si="126"/>
        <v>109</v>
      </c>
      <c r="GJ118" s="269">
        <f t="shared" si="507"/>
        <v>0</v>
      </c>
      <c r="GK118" s="269">
        <f t="shared" si="508"/>
        <v>0</v>
      </c>
      <c r="GL118" s="163">
        <f t="shared" si="509"/>
        <v>0</v>
      </c>
      <c r="GM118" s="137">
        <f t="array" ref="GM118">IF(GJ118=0,0,LARGE(IF($GG$10:$GG$406=GJ118,$GF$10:$GF$406,0),COUNTIF($GJ$10:$GJ$406,GJ118)-COUNTIF(GJ$9:GJ117,GJ118)))</f>
        <v>0</v>
      </c>
      <c r="GN118" s="270">
        <f t="shared" si="510"/>
        <v>0</v>
      </c>
      <c r="GP118" s="137">
        <f>IF(C118="","",IF(ISERROR(MATCH(C118,C$10:C117,0)),MAX(GP$10:GP117)+1,INDEX(GP$10:GP117,MATCH(C118,C$10:C117,0))))</f>
        <v>87</v>
      </c>
      <c r="GQ118" s="264">
        <f>IF(COUNTIF($A$10:A118,A118)&lt;=1,SUMIF($A$10:$A$406,A118,$FH$10:$FH$406),0)</f>
        <v>2508546.21</v>
      </c>
      <c r="GR118" s="137">
        <f t="shared" si="130"/>
        <v>109</v>
      </c>
      <c r="GS118" s="269">
        <f t="shared" si="554"/>
        <v>0</v>
      </c>
      <c r="GT118" s="269">
        <f t="shared" si="555"/>
        <v>0</v>
      </c>
      <c r="GU118" s="163">
        <f t="shared" si="556"/>
        <v>0</v>
      </c>
      <c r="GV118" s="137">
        <f t="array" ref="GV118">IF(GS118=0,0,LARGE(IF($GQ$10:$GQ$406=GS118,$GP$10:$GP$406,0),COUNTIF($GS$10:$GS$406,GS118)-COUNTIF(GS$9:GS117,GS118)))</f>
        <v>0</v>
      </c>
      <c r="GW118" s="270">
        <f t="shared" si="557"/>
        <v>0</v>
      </c>
      <c r="GY118" s="137">
        <f>IF(C118="","",IF(ISERROR(MATCH(C118,C$10:C117,0)),MAX(GP$10:GP117)+1,INDEX(GP$10:GP117,MATCH(C118,C$10:C117,0))))</f>
        <v>87</v>
      </c>
      <c r="GZ118" s="264">
        <f>IF(COUNTIF($A$10:A118,A118)&lt;=1,SUMIF($A$10:$A$406,A118,$FH$10:$FH$406),0)</f>
        <v>2508546.21</v>
      </c>
      <c r="HA118" s="137">
        <f>HA117+1</f>
        <v>109</v>
      </c>
      <c r="HB118" s="269">
        <f t="shared" si="515"/>
        <v>0</v>
      </c>
      <c r="HC118" s="414" t="s">
        <v>622</v>
      </c>
      <c r="HD118" s="163">
        <f t="shared" si="516"/>
        <v>0</v>
      </c>
      <c r="HE118" s="137">
        <f t="array" ref="HE118">IF(HB118=0,0,LARGE(IF($GZ$10:$GZ$406=HB118,$GY$10:$GY$406,0),COUNTIF($HB$10:$HB$406,HB118)-COUNTIF(HB$9:HB117,HB118)))</f>
        <v>0</v>
      </c>
      <c r="HF118" s="270">
        <f t="shared" si="517"/>
        <v>0</v>
      </c>
      <c r="HH118" s="268">
        <f t="shared" si="518"/>
        <v>0</v>
      </c>
      <c r="HI118" s="271">
        <v>0</v>
      </c>
      <c r="HJ118" s="264">
        <f t="shared" si="519"/>
        <v>0</v>
      </c>
      <c r="HL118" s="137">
        <f t="shared" si="520"/>
        <v>109</v>
      </c>
      <c r="HM118" s="264">
        <f t="shared" si="521"/>
        <v>5580611</v>
      </c>
      <c r="HO118" s="199">
        <f t="shared" si="522"/>
        <v>521421.96</v>
      </c>
      <c r="HP118" s="199">
        <f t="shared" si="523"/>
        <v>521421.96</v>
      </c>
      <c r="HQ118" s="199" t="str">
        <f t="shared" si="524"/>
        <v/>
      </c>
      <c r="HR118" s="199" t="str">
        <f t="shared" si="525"/>
        <v/>
      </c>
      <c r="HS118" s="199" t="str">
        <f t="shared" si="539"/>
        <v/>
      </c>
      <c r="HT118" s="199" t="str">
        <f t="shared" si="526"/>
        <v/>
      </c>
      <c r="HU118" s="199" t="str">
        <f t="shared" si="527"/>
        <v/>
      </c>
      <c r="HV118" s="200">
        <f t="shared" si="528"/>
        <v>0</v>
      </c>
      <c r="HW118" s="272">
        <f t="shared" si="540"/>
        <v>1</v>
      </c>
      <c r="HX118" s="200" t="str">
        <f t="shared" si="529"/>
        <v/>
      </c>
      <c r="HY118" s="200">
        <f t="shared" si="530"/>
        <v>0</v>
      </c>
      <c r="HZ118" s="200" t="str">
        <f t="shared" si="535"/>
        <v/>
      </c>
      <c r="IA118" s="200" t="str">
        <f t="shared" si="531"/>
        <v/>
      </c>
      <c r="IB118" s="200" t="str">
        <f t="shared" si="532"/>
        <v/>
      </c>
      <c r="IC118" s="273">
        <f>IF(C118="","",INDEX(Lookups!$E$2:$E$69,MATCH('Loan List'!BE118,Lookups!$F$2:$F$69,0)))</f>
        <v>55</v>
      </c>
      <c r="ID118" t="b">
        <f t="shared" si="533"/>
        <v>1</v>
      </c>
      <c r="IF118" s="346" t="str">
        <f>IF(B118="","",IF(Y118="Second Lien",50%,IF(DA118=1,90%,IF(DB118=1,80%,IF(DC118=1,65%,"No Initial Haircut")))))</f>
        <v>No Initial Haircut</v>
      </c>
    </row>
    <row r="119" spans="1:240">
      <c r="A119" t="s">
        <v>509</v>
      </c>
      <c r="B119" s="242">
        <f t="shared" si="541"/>
        <v>110</v>
      </c>
      <c r="C119" s="242">
        <f>IF(COUNTIF($A$10:A118,A119)&gt;0,C118,C118+1)</f>
        <v>87</v>
      </c>
      <c r="D119" s="431" t="s">
        <v>776</v>
      </c>
      <c r="E119" s="428" t="s">
        <v>583</v>
      </c>
      <c r="F119" s="429"/>
      <c r="G119" s="430">
        <v>306324</v>
      </c>
      <c r="H119" s="430">
        <v>306324</v>
      </c>
      <c r="I119" s="244">
        <f>IF(B119="","",VLOOKUP(BF119,Inputs!$A$12:$J$15,10,FALSE))</f>
        <v>1</v>
      </c>
      <c r="J119" s="245">
        <f t="shared" si="542"/>
        <v>306324</v>
      </c>
      <c r="K119" s="245">
        <f t="shared" si="543"/>
        <v>306324</v>
      </c>
      <c r="L119" s="245">
        <f t="shared" si="544"/>
        <v>306324</v>
      </c>
      <c r="M119" s="245">
        <f t="shared" si="545"/>
        <v>306324</v>
      </c>
      <c r="N119" s="432" t="s">
        <v>246</v>
      </c>
      <c r="O119" s="432" t="s">
        <v>245</v>
      </c>
      <c r="P119" s="433">
        <f>IF(B119="","",IF(OR(O119="N/A",O119=""),0,YEARFRAC('Borrowing Base'!$J$4,'Loan List'!O119)*12))</f>
        <v>0</v>
      </c>
      <c r="Q119" s="432" t="s">
        <v>246</v>
      </c>
      <c r="R119" s="434">
        <v>1</v>
      </c>
      <c r="S119" s="435" t="str">
        <f t="shared" si="546"/>
        <v>No</v>
      </c>
      <c r="T119" s="434">
        <v>1</v>
      </c>
      <c r="U119" s="436">
        <f t="shared" si="547"/>
        <v>0.5</v>
      </c>
      <c r="V119" s="436">
        <f t="shared" si="548"/>
        <v>0.72499999999999998</v>
      </c>
      <c r="W119" s="251">
        <f t="shared" si="385"/>
        <v>306324</v>
      </c>
      <c r="X119" s="432" t="s">
        <v>246</v>
      </c>
      <c r="Y119" s="437" t="s">
        <v>483</v>
      </c>
      <c r="Z119" s="437" t="s">
        <v>484</v>
      </c>
      <c r="AA119" s="438" t="s">
        <v>374</v>
      </c>
      <c r="AB119" s="438" t="s">
        <v>715</v>
      </c>
      <c r="AC119" s="439">
        <v>1.3</v>
      </c>
      <c r="AD119" s="439">
        <v>1.8240168113187472</v>
      </c>
      <c r="AE119" s="439">
        <v>2.3430169762186179</v>
      </c>
      <c r="AF119" s="439">
        <v>0.74339999999999995</v>
      </c>
      <c r="AG119" s="440">
        <v>3.99</v>
      </c>
      <c r="AH119" s="440">
        <v>5.2</v>
      </c>
      <c r="AI119" s="440">
        <v>3.4913904671646621</v>
      </c>
      <c r="AJ119" s="440">
        <v>3.4913904671646621</v>
      </c>
      <c r="AK119" s="441">
        <v>52980000</v>
      </c>
      <c r="AL119" s="441">
        <v>50331825</v>
      </c>
      <c r="AM119" s="258">
        <v>45838</v>
      </c>
      <c r="AN119" s="442" t="str">
        <f t="shared" si="549"/>
        <v>Tier 1</v>
      </c>
      <c r="AO119" s="443">
        <v>47087</v>
      </c>
      <c r="AP119" s="444">
        <f>IF(C119="","",DAYS360(Inputs!$J$8,AO119)/360)</f>
        <v>3.2666666666666666</v>
      </c>
      <c r="AQ119" s="444">
        <f t="shared" si="550"/>
        <v>3.2666666666666666</v>
      </c>
      <c r="AR119" s="432" t="s">
        <v>246</v>
      </c>
      <c r="AS119" s="445">
        <v>0</v>
      </c>
      <c r="AT119" s="432" t="s">
        <v>246</v>
      </c>
      <c r="AU119" s="446" t="s">
        <v>487</v>
      </c>
      <c r="AV119" s="446">
        <v>8.4282599999999999E-2</v>
      </c>
      <c r="AW119" s="446">
        <v>4.2850399999999997E-2</v>
      </c>
      <c r="AX119" s="260">
        <f t="shared" si="551"/>
        <v>4.2850399999999997E-2</v>
      </c>
      <c r="AY119" s="446">
        <v>0</v>
      </c>
      <c r="AZ119" s="446">
        <v>0</v>
      </c>
      <c r="BA119" s="446">
        <v>0</v>
      </c>
      <c r="BB119" s="447">
        <f t="shared" si="536"/>
        <v>8.4282599999999999E-2</v>
      </c>
      <c r="BC119" s="447" t="str">
        <f t="shared" si="537"/>
        <v/>
      </c>
      <c r="BD119" s="437" t="s">
        <v>249</v>
      </c>
      <c r="BE119" s="448" t="s">
        <v>455</v>
      </c>
      <c r="BF119" s="437" t="s">
        <v>7</v>
      </c>
      <c r="BG119" s="437" t="s">
        <v>460</v>
      </c>
      <c r="BH119" s="432" t="s">
        <v>246</v>
      </c>
      <c r="BI119" s="449" t="str">
        <f t="shared" si="559"/>
        <v>No</v>
      </c>
      <c r="BJ119" s="449" t="str">
        <f t="shared" si="560"/>
        <v>No</v>
      </c>
      <c r="BK119" s="432" t="s">
        <v>246</v>
      </c>
      <c r="BL119" s="432" t="s">
        <v>246</v>
      </c>
      <c r="BM119" s="246" t="s">
        <v>64</v>
      </c>
      <c r="BN119" s="246" t="s">
        <v>64</v>
      </c>
      <c r="BO119" s="432" t="s">
        <v>246</v>
      </c>
      <c r="BP119" s="432" t="s">
        <v>246</v>
      </c>
      <c r="BQ119" s="432" t="s">
        <v>246</v>
      </c>
      <c r="BR119" s="432" t="s">
        <v>246</v>
      </c>
      <c r="BS119" s="432" t="s">
        <v>246</v>
      </c>
      <c r="BT119" s="432" t="s">
        <v>246</v>
      </c>
      <c r="BU119" s="432" t="s">
        <v>246</v>
      </c>
      <c r="BV119" s="432" t="s">
        <v>246</v>
      </c>
      <c r="BW119" s="432" t="s">
        <v>246</v>
      </c>
      <c r="BX119" s="432" t="s">
        <v>246</v>
      </c>
      <c r="BY119" s="432" t="s">
        <v>246</v>
      </c>
      <c r="BZ119" s="432" t="s">
        <v>246</v>
      </c>
      <c r="CA119" s="432" t="s">
        <v>246</v>
      </c>
      <c r="CB119" s="432" t="s">
        <v>64</v>
      </c>
      <c r="CC119" s="450">
        <f t="shared" si="552"/>
        <v>25703.830634400001</v>
      </c>
      <c r="CD119" s="450">
        <f t="shared" si="553"/>
        <v>0</v>
      </c>
      <c r="CF119" s="263">
        <f t="shared" si="403"/>
        <v>0</v>
      </c>
      <c r="CG119" s="263">
        <f t="shared" si="404"/>
        <v>0</v>
      </c>
      <c r="CH119" s="263">
        <f t="shared" si="405"/>
        <v>0</v>
      </c>
      <c r="CI119" s="263">
        <f t="shared" si="406"/>
        <v>0</v>
      </c>
      <c r="CJ119" s="263">
        <f t="shared" si="407"/>
        <v>0</v>
      </c>
      <c r="CK119" s="263">
        <f t="shared" si="408"/>
        <v>0</v>
      </c>
      <c r="CL119" s="263">
        <f t="shared" si="409"/>
        <v>0</v>
      </c>
      <c r="CM119" s="263">
        <f t="shared" si="410"/>
        <v>0</v>
      </c>
      <c r="CN119" s="263">
        <f t="shared" si="411"/>
        <v>0</v>
      </c>
      <c r="CO119" s="263">
        <f t="shared" si="412"/>
        <v>0</v>
      </c>
      <c r="CP119" s="263">
        <f t="shared" si="413"/>
        <v>0</v>
      </c>
      <c r="CQ119" s="263">
        <f t="shared" si="414"/>
        <v>0</v>
      </c>
      <c r="CR119" s="263">
        <f t="shared" si="415"/>
        <v>0</v>
      </c>
      <c r="CS119" s="263">
        <f t="shared" si="416"/>
        <v>0</v>
      </c>
      <c r="CT119" s="263">
        <f t="shared" si="417"/>
        <v>0</v>
      </c>
      <c r="CU119" s="263">
        <f t="shared" si="418"/>
        <v>0</v>
      </c>
      <c r="CV119" s="263">
        <f t="shared" si="419"/>
        <v>0</v>
      </c>
      <c r="CW119" s="263">
        <f t="shared" si="420"/>
        <v>0</v>
      </c>
      <c r="CX119" s="263">
        <f t="shared" si="421"/>
        <v>0</v>
      </c>
      <c r="CY119" s="263">
        <f t="shared" si="422"/>
        <v>0</v>
      </c>
      <c r="CZ119" s="263">
        <f t="shared" si="423"/>
        <v>0</v>
      </c>
      <c r="DA119" s="263">
        <f t="shared" si="424"/>
        <v>0</v>
      </c>
      <c r="DB119" s="263">
        <f t="shared" si="425"/>
        <v>0</v>
      </c>
      <c r="DC119" s="263">
        <f t="shared" si="426"/>
        <v>0</v>
      </c>
      <c r="DD119" s="263">
        <f t="shared" si="427"/>
        <v>0</v>
      </c>
      <c r="DE119" s="263">
        <f t="shared" si="428"/>
        <v>0</v>
      </c>
      <c r="DF119" s="263">
        <f t="shared" si="429"/>
        <v>306324</v>
      </c>
      <c r="DG119" s="263">
        <f t="shared" si="430"/>
        <v>0</v>
      </c>
      <c r="DH119" s="263">
        <f t="shared" si="431"/>
        <v>306324</v>
      </c>
      <c r="DI119" s="263">
        <f t="shared" si="432"/>
        <v>306324</v>
      </c>
      <c r="DJ119" s="263">
        <f t="shared" si="433"/>
        <v>0</v>
      </c>
      <c r="DK119" s="263">
        <f t="shared" si="434"/>
        <v>0</v>
      </c>
      <c r="DL119" s="263">
        <f t="shared" si="435"/>
        <v>0</v>
      </c>
      <c r="DM119" s="263">
        <f t="shared" si="436"/>
        <v>0</v>
      </c>
      <c r="DO119" s="264">
        <f t="shared" si="437"/>
        <v>0</v>
      </c>
      <c r="DP119" s="265">
        <f t="shared" si="438"/>
        <v>0</v>
      </c>
      <c r="DQ119" s="264">
        <f t="shared" si="439"/>
        <v>306324</v>
      </c>
      <c r="DR119" s="264">
        <f t="shared" si="440"/>
        <v>0</v>
      </c>
      <c r="DS119" s="265">
        <f t="shared" si="441"/>
        <v>0</v>
      </c>
      <c r="DT119" s="264">
        <f t="shared" si="442"/>
        <v>306324</v>
      </c>
      <c r="DU119" s="264">
        <f t="shared" si="443"/>
        <v>0</v>
      </c>
      <c r="DV119" s="265">
        <f t="shared" si="444"/>
        <v>0</v>
      </c>
      <c r="DW119" s="264">
        <f t="shared" si="445"/>
        <v>306324</v>
      </c>
      <c r="DX119" s="264">
        <f t="shared" si="446"/>
        <v>0</v>
      </c>
      <c r="DY119" s="265">
        <f t="shared" si="447"/>
        <v>0</v>
      </c>
      <c r="DZ119" s="264">
        <f t="shared" si="448"/>
        <v>306324</v>
      </c>
      <c r="EA119" s="264">
        <f t="shared" si="449"/>
        <v>0</v>
      </c>
      <c r="EB119" s="265">
        <f t="shared" si="450"/>
        <v>0</v>
      </c>
      <c r="EC119" s="264">
        <f t="shared" si="451"/>
        <v>306324</v>
      </c>
      <c r="ED119" s="264">
        <f t="shared" si="452"/>
        <v>0</v>
      </c>
      <c r="EE119" s="265">
        <f t="shared" si="453"/>
        <v>0</v>
      </c>
      <c r="EF119" s="264">
        <f t="shared" si="454"/>
        <v>306324</v>
      </c>
      <c r="EG119" s="264">
        <f t="shared" si="455"/>
        <v>0</v>
      </c>
      <c r="EH119" s="265">
        <f t="shared" si="456"/>
        <v>0</v>
      </c>
      <c r="EI119" s="264">
        <f t="shared" si="457"/>
        <v>306324</v>
      </c>
      <c r="EJ119" s="264">
        <f t="shared" si="458"/>
        <v>0</v>
      </c>
      <c r="EK119" s="265">
        <f t="shared" si="459"/>
        <v>0</v>
      </c>
      <c r="EL119" s="264">
        <f t="shared" si="460"/>
        <v>306324</v>
      </c>
      <c r="EM119" s="264">
        <f t="shared" si="461"/>
        <v>0</v>
      </c>
      <c r="EN119" s="265">
        <f t="shared" si="462"/>
        <v>0</v>
      </c>
      <c r="EO119" s="264">
        <f t="shared" si="463"/>
        <v>306324</v>
      </c>
      <c r="EP119" s="264">
        <f t="shared" si="464"/>
        <v>0</v>
      </c>
      <c r="EQ119" s="265">
        <f t="shared" si="465"/>
        <v>0</v>
      </c>
      <c r="ER119" s="264">
        <f t="shared" si="466"/>
        <v>306324</v>
      </c>
      <c r="ES119" s="264">
        <f t="shared" si="467"/>
        <v>0</v>
      </c>
      <c r="ET119" s="265">
        <f t="shared" si="468"/>
        <v>0</v>
      </c>
      <c r="EU119" s="264">
        <f t="shared" si="469"/>
        <v>306324</v>
      </c>
      <c r="EV119" s="264">
        <f>IF(AND(BM119="Yes",OR(BN119="No",AND(BN119="Yes",Inputs!$J$8=Inputs!$J$17+75))),EU119,0)</f>
        <v>0</v>
      </c>
      <c r="EW119" s="265">
        <f t="shared" si="470"/>
        <v>0</v>
      </c>
      <c r="EX119" s="264">
        <f t="shared" si="471"/>
        <v>306324</v>
      </c>
      <c r="EY119" s="264">
        <f t="shared" si="472"/>
        <v>0</v>
      </c>
      <c r="EZ119" s="265">
        <f t="shared" si="473"/>
        <v>0</v>
      </c>
      <c r="FA119" s="264">
        <f t="shared" si="474"/>
        <v>306324</v>
      </c>
      <c r="FB119" s="264">
        <f t="shared" si="475"/>
        <v>0</v>
      </c>
      <c r="FC119" s="265">
        <f t="shared" si="476"/>
        <v>0</v>
      </c>
      <c r="FD119" s="264">
        <f t="shared" si="477"/>
        <v>306324</v>
      </c>
      <c r="FE119" s="264">
        <f t="shared" si="478"/>
        <v>0</v>
      </c>
      <c r="FF119" s="265">
        <f t="shared" si="479"/>
        <v>0</v>
      </c>
      <c r="FG119" s="264">
        <f t="shared" si="480"/>
        <v>306324</v>
      </c>
      <c r="FH119" s="264">
        <f t="shared" si="481"/>
        <v>306324</v>
      </c>
      <c r="FI119" s="264">
        <f t="shared" si="482"/>
        <v>0</v>
      </c>
      <c r="FJ119" s="264">
        <f t="shared" si="483"/>
        <v>306324</v>
      </c>
      <c r="FK119" s="264">
        <f t="shared" si="484"/>
        <v>306324</v>
      </c>
      <c r="FL119" s="264">
        <f t="shared" si="485"/>
        <v>0</v>
      </c>
      <c r="FM119" s="264">
        <f t="shared" si="486"/>
        <v>306324</v>
      </c>
      <c r="FN119" s="264">
        <f t="shared" si="487"/>
        <v>306324</v>
      </c>
      <c r="FO119" s="264">
        <f t="shared" si="488"/>
        <v>0</v>
      </c>
      <c r="FP119" s="264">
        <f t="shared" si="489"/>
        <v>306324</v>
      </c>
      <c r="FQ119" s="264">
        <f t="shared" si="490"/>
        <v>0</v>
      </c>
      <c r="FR119" s="265">
        <f t="shared" si="491"/>
        <v>0</v>
      </c>
      <c r="FS119" s="264">
        <f t="shared" si="492"/>
        <v>306324</v>
      </c>
      <c r="FT119" s="264">
        <f t="shared" si="493"/>
        <v>0</v>
      </c>
      <c r="FU119" s="265">
        <f t="shared" si="494"/>
        <v>0</v>
      </c>
      <c r="FV119" s="264">
        <f t="shared" si="495"/>
        <v>306324</v>
      </c>
      <c r="FW119" s="264">
        <f t="shared" si="496"/>
        <v>0</v>
      </c>
      <c r="FX119" s="264">
        <f t="shared" si="497"/>
        <v>0</v>
      </c>
      <c r="FY119" s="264">
        <f t="shared" si="498"/>
        <v>0</v>
      </c>
      <c r="FZ119" s="264">
        <f t="shared" si="499"/>
        <v>0</v>
      </c>
      <c r="GA119" s="265">
        <f t="shared" si="500"/>
        <v>0</v>
      </c>
      <c r="GB119" s="264">
        <f t="shared" si="501"/>
        <v>306324</v>
      </c>
      <c r="GC119" s="264">
        <f t="shared" si="502"/>
        <v>306324</v>
      </c>
      <c r="GD119" s="266">
        <f t="shared" si="503"/>
        <v>222084.9</v>
      </c>
      <c r="GE119" s="138">
        <f t="shared" si="504"/>
        <v>0.72499999999999998</v>
      </c>
      <c r="GF119" s="267">
        <f t="shared" si="505"/>
        <v>55</v>
      </c>
      <c r="GG119" s="264">
        <f t="array" ref="GG119">IF(SUM(IF(IC$9:IC118=IC119,1,0))&gt;0,0,SUMIF($IC$10:$IC$406,IC119,$FJ$10:$FJ$406))</f>
        <v>0</v>
      </c>
      <c r="GH119" s="268">
        <f t="shared" si="506"/>
        <v>0</v>
      </c>
      <c r="GI119" s="137">
        <f t="shared" si="126"/>
        <v>110</v>
      </c>
      <c r="GJ119" s="269">
        <f t="shared" si="507"/>
        <v>0</v>
      </c>
      <c r="GK119" s="269">
        <f t="shared" si="508"/>
        <v>0</v>
      </c>
      <c r="GL119" s="163">
        <f t="shared" si="509"/>
        <v>0</v>
      </c>
      <c r="GM119" s="137">
        <f t="array" ref="GM119">IF(GJ119=0,0,LARGE(IF($GG$10:$GG$406=GJ119,$GF$10:$GF$406,0),COUNTIF($GJ$10:$GJ$406,GJ119)-COUNTIF(GJ$9:GJ118,GJ119)))</f>
        <v>0</v>
      </c>
      <c r="GN119" s="270">
        <f t="shared" si="510"/>
        <v>0</v>
      </c>
      <c r="GP119" s="137">
        <f>IF(C119="","",IF(ISERROR(MATCH(C119,C$10:C118,0)),MAX(GP$10:GP118)+1,INDEX(GP$10:GP118,MATCH(C119,C$10:C118,0))))</f>
        <v>87</v>
      </c>
      <c r="GQ119" s="264">
        <f>IF(COUNTIF($A$10:A119,A119)&lt;=1,SUMIF($A$10:$A$406,A119,$FH$10:$FH$406),0)</f>
        <v>0</v>
      </c>
      <c r="GR119" s="137">
        <f t="shared" si="130"/>
        <v>110</v>
      </c>
      <c r="GS119" s="269">
        <f t="shared" si="554"/>
        <v>0</v>
      </c>
      <c r="GT119" s="269">
        <f t="shared" si="555"/>
        <v>0</v>
      </c>
      <c r="GU119" s="163">
        <f t="shared" si="556"/>
        <v>0</v>
      </c>
      <c r="GV119" s="137">
        <f t="array" ref="GV119">IF(GS119=0,0,LARGE(IF($GQ$10:$GQ$406=GS119,$GP$10:$GP$406,0),COUNTIF($GS$10:$GS$406,GS119)-COUNTIF(GS$9:GS118,GS119)))</f>
        <v>0</v>
      </c>
      <c r="GW119" s="270">
        <f t="shared" si="557"/>
        <v>0</v>
      </c>
      <c r="GY119" s="137">
        <f>IF(C119="","",IF(ISERROR(MATCH(C119,C$10:C118,0)),MAX(GP$10:GP118)+1,INDEX(GP$10:GP118,MATCH(C119,C$10:C118,0))))</f>
        <v>87</v>
      </c>
      <c r="GZ119" s="264">
        <f>IF(COUNTIF($A$10:A119,A119)&lt;=1,SUMIF($A$10:$A$406,A119,$FH$10:$FH$406),0)</f>
        <v>0</v>
      </c>
      <c r="HA119" s="137">
        <f t="shared" si="134"/>
        <v>110</v>
      </c>
      <c r="HB119" s="269">
        <f t="shared" si="515"/>
        <v>0</v>
      </c>
      <c r="HC119" s="414" t="s">
        <v>622</v>
      </c>
      <c r="HD119" s="163">
        <f t="shared" si="516"/>
        <v>0</v>
      </c>
      <c r="HE119" s="137">
        <f t="array" ref="HE119">IF(HB119=0,0,LARGE(IF($GZ$10:$GZ$406=HB119,$GY$10:$GY$406,0),COUNTIF($HB$10:$HB$406,HB119)-COUNTIF(HB$9:HB118,HB119)))</f>
        <v>0</v>
      </c>
      <c r="HF119" s="270">
        <f t="shared" si="517"/>
        <v>0</v>
      </c>
      <c r="HH119" s="268">
        <f t="shared" si="518"/>
        <v>0</v>
      </c>
      <c r="HI119" s="271">
        <v>0</v>
      </c>
      <c r="HJ119" s="264">
        <f t="shared" si="519"/>
        <v>0</v>
      </c>
      <c r="HL119" s="137">
        <f t="shared" si="520"/>
        <v>110</v>
      </c>
      <c r="HM119" s="264">
        <f t="shared" si="521"/>
        <v>0</v>
      </c>
      <c r="HO119" s="199">
        <f t="shared" si="522"/>
        <v>306324</v>
      </c>
      <c r="HP119" s="199">
        <f t="shared" si="523"/>
        <v>306324</v>
      </c>
      <c r="HQ119" s="199" t="str">
        <f t="shared" si="524"/>
        <v/>
      </c>
      <c r="HR119" s="199" t="str">
        <f t="shared" si="525"/>
        <v/>
      </c>
      <c r="HS119" s="199" t="str">
        <f t="shared" si="539"/>
        <v/>
      </c>
      <c r="HT119" s="199" t="str">
        <f t="shared" si="526"/>
        <v/>
      </c>
      <c r="HU119" s="199" t="str">
        <f t="shared" si="527"/>
        <v/>
      </c>
      <c r="HV119" s="200">
        <f t="shared" si="528"/>
        <v>0</v>
      </c>
      <c r="HW119" s="272">
        <f t="shared" si="540"/>
        <v>1</v>
      </c>
      <c r="HX119" s="200" t="str">
        <f t="shared" si="529"/>
        <v/>
      </c>
      <c r="HY119" s="200">
        <f t="shared" si="530"/>
        <v>0</v>
      </c>
      <c r="HZ119" s="200" t="str">
        <f t="shared" si="535"/>
        <v/>
      </c>
      <c r="IA119" s="200" t="str">
        <f t="shared" si="531"/>
        <v/>
      </c>
      <c r="IB119" s="200" t="str">
        <f t="shared" si="532"/>
        <v/>
      </c>
      <c r="IC119" s="273">
        <f>IF(C119="","",INDEX(Lookups!$E$2:$E$69,MATCH('Loan List'!BE119,Lookups!$F$2:$F$69,0)))</f>
        <v>55</v>
      </c>
      <c r="ID119" t="b">
        <f t="shared" si="533"/>
        <v>1</v>
      </c>
      <c r="IF119" s="346" t="str">
        <f>IF(B119="","",IF(Y119="Second Lien",50%,IF(DA119=1,90%,IF(DB119=1,80%,IF(DC119=1,65%,"No Initial Haircut")))))</f>
        <v>No Initial Haircut</v>
      </c>
    </row>
    <row r="120" spans="1:240">
      <c r="A120" t="s">
        <v>509</v>
      </c>
      <c r="B120" s="242">
        <f t="shared" si="541"/>
        <v>111</v>
      </c>
      <c r="C120" s="242">
        <f>IF(COUNTIF($A$10:A119,A120)&gt;0,C119,C119+1)</f>
        <v>87</v>
      </c>
      <c r="D120" s="428" t="s">
        <v>577</v>
      </c>
      <c r="E120" s="428" t="s">
        <v>584</v>
      </c>
      <c r="F120" s="429"/>
      <c r="G120" s="430">
        <v>1057680.25</v>
      </c>
      <c r="H120" s="430">
        <v>1057680.25</v>
      </c>
      <c r="I120" s="244">
        <f>IF(B120="","",VLOOKUP(BF120,Inputs!$A$12:$J$15,10,FALSE))</f>
        <v>1</v>
      </c>
      <c r="J120" s="245">
        <f t="shared" si="542"/>
        <v>1057680.25</v>
      </c>
      <c r="K120" s="245">
        <f t="shared" si="543"/>
        <v>1057680.25</v>
      </c>
      <c r="L120" s="245">
        <f t="shared" si="544"/>
        <v>1057680.25</v>
      </c>
      <c r="M120" s="245">
        <f t="shared" si="545"/>
        <v>1057680.25</v>
      </c>
      <c r="N120" s="432" t="s">
        <v>246</v>
      </c>
      <c r="O120" s="432" t="s">
        <v>245</v>
      </c>
      <c r="P120" s="433">
        <f>IF(B120="","",IF(OR(O120="N/A",O120=""),0,YEARFRAC('Borrowing Base'!$J$4,'Loan List'!O120)*12))</f>
        <v>0</v>
      </c>
      <c r="Q120" s="432" t="s">
        <v>246</v>
      </c>
      <c r="R120" s="434">
        <v>1</v>
      </c>
      <c r="S120" s="435" t="str">
        <f t="shared" si="546"/>
        <v>No</v>
      </c>
      <c r="T120" s="434">
        <v>1</v>
      </c>
      <c r="U120" s="436">
        <f t="shared" si="547"/>
        <v>0.5</v>
      </c>
      <c r="V120" s="436">
        <f t="shared" si="548"/>
        <v>0.72499999999999998</v>
      </c>
      <c r="W120" s="251">
        <f t="shared" si="385"/>
        <v>1057680.25</v>
      </c>
      <c r="X120" s="432" t="s">
        <v>246</v>
      </c>
      <c r="Y120" s="437" t="s">
        <v>483</v>
      </c>
      <c r="Z120" s="437" t="s">
        <v>484</v>
      </c>
      <c r="AA120" s="438" t="s">
        <v>374</v>
      </c>
      <c r="AB120" s="438" t="s">
        <v>715</v>
      </c>
      <c r="AC120" s="439">
        <v>1.3</v>
      </c>
      <c r="AD120" s="439">
        <v>1.8240168113187472</v>
      </c>
      <c r="AE120" s="439">
        <v>2.3430169762186179</v>
      </c>
      <c r="AF120" s="439">
        <v>0.74339999999999995</v>
      </c>
      <c r="AG120" s="440">
        <v>3.99</v>
      </c>
      <c r="AH120" s="440">
        <v>5.2</v>
      </c>
      <c r="AI120" s="440">
        <v>3.4913904671646621</v>
      </c>
      <c r="AJ120" s="440">
        <v>3.4913904671646621</v>
      </c>
      <c r="AK120" s="441">
        <v>52980000</v>
      </c>
      <c r="AL120" s="441">
        <v>50331825</v>
      </c>
      <c r="AM120" s="258">
        <v>45838</v>
      </c>
      <c r="AN120" s="442" t="str">
        <f t="shared" si="549"/>
        <v>Tier 1</v>
      </c>
      <c r="AO120" s="443">
        <v>46903</v>
      </c>
      <c r="AP120" s="444">
        <f>IF(C120="","",DAYS360(Inputs!$J$8,AO120)/360)</f>
        <v>2.7666666666666666</v>
      </c>
      <c r="AQ120" s="444">
        <f t="shared" si="550"/>
        <v>2.7666666666666666</v>
      </c>
      <c r="AR120" s="432" t="s">
        <v>246</v>
      </c>
      <c r="AS120" s="445">
        <v>0</v>
      </c>
      <c r="AT120" s="432" t="s">
        <v>246</v>
      </c>
      <c r="AU120" s="446" t="s">
        <v>487</v>
      </c>
      <c r="AV120" s="446">
        <v>6.6782599999999998E-2</v>
      </c>
      <c r="AW120" s="446">
        <v>4.2850400000000011E-2</v>
      </c>
      <c r="AX120" s="260">
        <f t="shared" si="551"/>
        <v>4.2850400000000011E-2</v>
      </c>
      <c r="AY120" s="446">
        <v>0</v>
      </c>
      <c r="AZ120" s="446">
        <v>0</v>
      </c>
      <c r="BA120" s="446">
        <v>0</v>
      </c>
      <c r="BB120" s="447">
        <f t="shared" si="536"/>
        <v>6.6782599999999998E-2</v>
      </c>
      <c r="BC120" s="447" t="str">
        <f t="shared" si="537"/>
        <v/>
      </c>
      <c r="BD120" s="437" t="s">
        <v>249</v>
      </c>
      <c r="BE120" s="448" t="s">
        <v>455</v>
      </c>
      <c r="BF120" s="437" t="s">
        <v>7</v>
      </c>
      <c r="BG120" s="437" t="s">
        <v>460</v>
      </c>
      <c r="BH120" s="432" t="s">
        <v>246</v>
      </c>
      <c r="BI120" s="449" t="str">
        <f t="shared" si="559"/>
        <v>No</v>
      </c>
      <c r="BJ120" s="449" t="str">
        <f t="shared" si="560"/>
        <v>No</v>
      </c>
      <c r="BK120" s="432" t="s">
        <v>246</v>
      </c>
      <c r="BL120" s="432" t="s">
        <v>246</v>
      </c>
      <c r="BM120" s="432" t="s">
        <v>246</v>
      </c>
      <c r="BN120" s="432" t="s">
        <v>246</v>
      </c>
      <c r="BO120" s="432" t="s">
        <v>246</v>
      </c>
      <c r="BP120" s="432" t="s">
        <v>246</v>
      </c>
      <c r="BQ120" s="432" t="s">
        <v>246</v>
      </c>
      <c r="BR120" s="432" t="s">
        <v>246</v>
      </c>
      <c r="BS120" s="432" t="s">
        <v>246</v>
      </c>
      <c r="BT120" s="432" t="s">
        <v>246</v>
      </c>
      <c r="BU120" s="432" t="s">
        <v>246</v>
      </c>
      <c r="BV120" s="432" t="s">
        <v>246</v>
      </c>
      <c r="BW120" s="432" t="s">
        <v>246</v>
      </c>
      <c r="BX120" s="432" t="s">
        <v>246</v>
      </c>
      <c r="BY120" s="432" t="s">
        <v>246</v>
      </c>
      <c r="BZ120" s="432" t="s">
        <v>246</v>
      </c>
      <c r="CA120" s="432" t="s">
        <v>246</v>
      </c>
      <c r="CB120" s="432" t="s">
        <v>64</v>
      </c>
      <c r="CC120" s="450">
        <f t="shared" si="552"/>
        <v>70241.180010650016</v>
      </c>
      <c r="CD120" s="450">
        <f t="shared" si="553"/>
        <v>0</v>
      </c>
      <c r="CF120" s="263">
        <f t="shared" si="403"/>
        <v>0</v>
      </c>
      <c r="CG120" s="263">
        <f t="shared" si="404"/>
        <v>0</v>
      </c>
      <c r="CH120" s="263">
        <f t="shared" si="405"/>
        <v>0</v>
      </c>
      <c r="CI120" s="263">
        <f t="shared" si="406"/>
        <v>0</v>
      </c>
      <c r="CJ120" s="263">
        <f t="shared" si="407"/>
        <v>0</v>
      </c>
      <c r="CK120" s="263">
        <f t="shared" si="408"/>
        <v>0</v>
      </c>
      <c r="CL120" s="263">
        <f t="shared" si="409"/>
        <v>0</v>
      </c>
      <c r="CM120" s="263">
        <f t="shared" si="410"/>
        <v>0</v>
      </c>
      <c r="CN120" s="263">
        <f t="shared" si="411"/>
        <v>0</v>
      </c>
      <c r="CO120" s="263">
        <f t="shared" si="412"/>
        <v>0</v>
      </c>
      <c r="CP120" s="263">
        <f t="shared" si="413"/>
        <v>0</v>
      </c>
      <c r="CQ120" s="263">
        <f t="shared" si="414"/>
        <v>0</v>
      </c>
      <c r="CR120" s="263">
        <f t="shared" si="415"/>
        <v>0</v>
      </c>
      <c r="CS120" s="263">
        <f t="shared" si="416"/>
        <v>0</v>
      </c>
      <c r="CT120" s="263">
        <f t="shared" si="417"/>
        <v>0</v>
      </c>
      <c r="CU120" s="263">
        <f t="shared" si="418"/>
        <v>0</v>
      </c>
      <c r="CV120" s="263">
        <f t="shared" si="419"/>
        <v>0</v>
      </c>
      <c r="CW120" s="263">
        <f t="shared" si="420"/>
        <v>0</v>
      </c>
      <c r="CX120" s="263">
        <f t="shared" si="421"/>
        <v>0</v>
      </c>
      <c r="CY120" s="263">
        <f t="shared" si="422"/>
        <v>0</v>
      </c>
      <c r="CZ120" s="263">
        <f t="shared" si="423"/>
        <v>0</v>
      </c>
      <c r="DA120" s="263">
        <f t="shared" si="424"/>
        <v>0</v>
      </c>
      <c r="DB120" s="263">
        <f t="shared" si="425"/>
        <v>0</v>
      </c>
      <c r="DC120" s="263">
        <f t="shared" si="426"/>
        <v>0</v>
      </c>
      <c r="DD120" s="263">
        <f t="shared" si="427"/>
        <v>0</v>
      </c>
      <c r="DE120" s="263">
        <f t="shared" si="428"/>
        <v>0</v>
      </c>
      <c r="DF120" s="263">
        <f t="shared" si="429"/>
        <v>1057680.25</v>
      </c>
      <c r="DG120" s="263">
        <f t="shared" si="430"/>
        <v>0</v>
      </c>
      <c r="DH120" s="263">
        <f t="shared" si="431"/>
        <v>1057680.25</v>
      </c>
      <c r="DI120" s="263">
        <f t="shared" si="432"/>
        <v>1057680.25</v>
      </c>
      <c r="DJ120" s="263">
        <f t="shared" si="433"/>
        <v>0</v>
      </c>
      <c r="DK120" s="263">
        <f t="shared" si="434"/>
        <v>0</v>
      </c>
      <c r="DL120" s="263">
        <f t="shared" si="435"/>
        <v>0</v>
      </c>
      <c r="DM120" s="263">
        <f t="shared" si="436"/>
        <v>0</v>
      </c>
      <c r="DO120" s="264">
        <f t="shared" si="437"/>
        <v>0</v>
      </c>
      <c r="DP120" s="265">
        <f t="shared" si="438"/>
        <v>0</v>
      </c>
      <c r="DQ120" s="264">
        <f t="shared" si="439"/>
        <v>1057680.25</v>
      </c>
      <c r="DR120" s="264">
        <f t="shared" si="440"/>
        <v>0</v>
      </c>
      <c r="DS120" s="265">
        <f t="shared" si="441"/>
        <v>0</v>
      </c>
      <c r="DT120" s="264">
        <f t="shared" si="442"/>
        <v>1057680.25</v>
      </c>
      <c r="DU120" s="264">
        <f t="shared" si="443"/>
        <v>0</v>
      </c>
      <c r="DV120" s="265">
        <f t="shared" si="444"/>
        <v>0</v>
      </c>
      <c r="DW120" s="264">
        <f t="shared" si="445"/>
        <v>1057680.25</v>
      </c>
      <c r="DX120" s="264">
        <f t="shared" si="446"/>
        <v>0</v>
      </c>
      <c r="DY120" s="265">
        <f t="shared" si="447"/>
        <v>0</v>
      </c>
      <c r="DZ120" s="264">
        <f t="shared" si="448"/>
        <v>1057680.25</v>
      </c>
      <c r="EA120" s="264">
        <f t="shared" si="449"/>
        <v>0</v>
      </c>
      <c r="EB120" s="265">
        <f t="shared" si="450"/>
        <v>0</v>
      </c>
      <c r="EC120" s="264">
        <f t="shared" si="451"/>
        <v>1057680.25</v>
      </c>
      <c r="ED120" s="264">
        <f t="shared" si="452"/>
        <v>0</v>
      </c>
      <c r="EE120" s="265">
        <f t="shared" si="453"/>
        <v>0</v>
      </c>
      <c r="EF120" s="264">
        <f t="shared" si="454"/>
        <v>1057680.25</v>
      </c>
      <c r="EG120" s="264">
        <f t="shared" si="455"/>
        <v>0</v>
      </c>
      <c r="EH120" s="265">
        <f t="shared" si="456"/>
        <v>0</v>
      </c>
      <c r="EI120" s="264">
        <f t="shared" si="457"/>
        <v>1057680.25</v>
      </c>
      <c r="EJ120" s="264">
        <f t="shared" si="458"/>
        <v>0</v>
      </c>
      <c r="EK120" s="265">
        <f t="shared" si="459"/>
        <v>0</v>
      </c>
      <c r="EL120" s="264">
        <f t="shared" si="460"/>
        <v>1057680.25</v>
      </c>
      <c r="EM120" s="264">
        <f t="shared" si="461"/>
        <v>0</v>
      </c>
      <c r="EN120" s="265">
        <f t="shared" si="462"/>
        <v>0</v>
      </c>
      <c r="EO120" s="264">
        <f t="shared" si="463"/>
        <v>1057680.25</v>
      </c>
      <c r="EP120" s="264">
        <f t="shared" si="464"/>
        <v>0</v>
      </c>
      <c r="EQ120" s="265">
        <f t="shared" si="465"/>
        <v>0</v>
      </c>
      <c r="ER120" s="264">
        <f t="shared" si="466"/>
        <v>1057680.25</v>
      </c>
      <c r="ES120" s="264">
        <f t="shared" si="467"/>
        <v>0</v>
      </c>
      <c r="ET120" s="265">
        <f t="shared" si="468"/>
        <v>0</v>
      </c>
      <c r="EU120" s="264">
        <f t="shared" si="469"/>
        <v>1057680.25</v>
      </c>
      <c r="EV120" s="264">
        <f>IF(AND(BM120="Yes",OR(BN120="No",AND(BN120="Yes",Inputs!$J$8=Inputs!$J$17+75))),EU120,0)</f>
        <v>0</v>
      </c>
      <c r="EW120" s="265">
        <f t="shared" si="470"/>
        <v>0</v>
      </c>
      <c r="EX120" s="264">
        <f t="shared" si="471"/>
        <v>1057680.25</v>
      </c>
      <c r="EY120" s="264">
        <f t="shared" si="472"/>
        <v>0</v>
      </c>
      <c r="EZ120" s="265">
        <f t="shared" si="473"/>
        <v>0</v>
      </c>
      <c r="FA120" s="264">
        <f t="shared" si="474"/>
        <v>1057680.25</v>
      </c>
      <c r="FB120" s="264">
        <f t="shared" si="475"/>
        <v>0</v>
      </c>
      <c r="FC120" s="265">
        <f t="shared" si="476"/>
        <v>0</v>
      </c>
      <c r="FD120" s="264">
        <f t="shared" si="477"/>
        <v>1057680.25</v>
      </c>
      <c r="FE120" s="264">
        <f t="shared" si="478"/>
        <v>0</v>
      </c>
      <c r="FF120" s="265">
        <f t="shared" si="479"/>
        <v>0</v>
      </c>
      <c r="FG120" s="264">
        <f t="shared" si="480"/>
        <v>1057680.25</v>
      </c>
      <c r="FH120" s="264">
        <f t="shared" si="481"/>
        <v>1057680.25</v>
      </c>
      <c r="FI120" s="264">
        <f t="shared" si="482"/>
        <v>0</v>
      </c>
      <c r="FJ120" s="264">
        <f t="shared" si="483"/>
        <v>1057680.25</v>
      </c>
      <c r="FK120" s="264">
        <f t="shared" si="484"/>
        <v>1057680.25</v>
      </c>
      <c r="FL120" s="264">
        <f t="shared" si="485"/>
        <v>0</v>
      </c>
      <c r="FM120" s="264">
        <f t="shared" si="486"/>
        <v>1057680.25</v>
      </c>
      <c r="FN120" s="264">
        <f t="shared" si="487"/>
        <v>1057680.25</v>
      </c>
      <c r="FO120" s="264">
        <f t="shared" si="488"/>
        <v>0</v>
      </c>
      <c r="FP120" s="264">
        <f t="shared" si="489"/>
        <v>1057680.25</v>
      </c>
      <c r="FQ120" s="264">
        <f t="shared" si="490"/>
        <v>0</v>
      </c>
      <c r="FR120" s="265">
        <f t="shared" si="491"/>
        <v>0</v>
      </c>
      <c r="FS120" s="264">
        <f t="shared" si="492"/>
        <v>1057680.25</v>
      </c>
      <c r="FT120" s="264">
        <f t="shared" si="493"/>
        <v>0</v>
      </c>
      <c r="FU120" s="265">
        <f t="shared" si="494"/>
        <v>0</v>
      </c>
      <c r="FV120" s="264">
        <f t="shared" si="495"/>
        <v>1057680.25</v>
      </c>
      <c r="FW120" s="264">
        <f t="shared" si="496"/>
        <v>0</v>
      </c>
      <c r="FX120" s="264">
        <f t="shared" si="497"/>
        <v>0</v>
      </c>
      <c r="FY120" s="264">
        <f t="shared" si="498"/>
        <v>0</v>
      </c>
      <c r="FZ120" s="264">
        <f t="shared" si="499"/>
        <v>0</v>
      </c>
      <c r="GA120" s="265">
        <f t="shared" si="500"/>
        <v>0</v>
      </c>
      <c r="GB120" s="264">
        <f t="shared" si="501"/>
        <v>1057680.25</v>
      </c>
      <c r="GC120" s="264">
        <f t="shared" si="502"/>
        <v>1057680.25</v>
      </c>
      <c r="GD120" s="266">
        <f t="shared" si="503"/>
        <v>766818.18125000002</v>
      </c>
      <c r="GE120" s="138">
        <f t="shared" si="504"/>
        <v>0.72499999999999998</v>
      </c>
      <c r="GF120" s="267">
        <f t="shared" si="505"/>
        <v>55</v>
      </c>
      <c r="GG120" s="264">
        <f t="array" ref="GG120">IF(SUM(IF(IC$9:IC119=IC120,1,0))&gt;0,0,SUMIF($IC$10:$IC$406,IC120,$FJ$10:$FJ$406))</f>
        <v>0</v>
      </c>
      <c r="GH120" s="268">
        <f t="shared" si="506"/>
        <v>0</v>
      </c>
      <c r="GI120" s="137">
        <f t="shared" si="126"/>
        <v>111</v>
      </c>
      <c r="GJ120" s="269">
        <f t="shared" si="507"/>
        <v>0</v>
      </c>
      <c r="GK120" s="269">
        <f t="shared" si="508"/>
        <v>0</v>
      </c>
      <c r="GL120" s="163">
        <f t="shared" si="509"/>
        <v>0</v>
      </c>
      <c r="GM120" s="137">
        <f t="array" ref="GM120">IF(GJ120=0,0,LARGE(IF($GG$10:$GG$406=GJ120,$GF$10:$GF$406,0),COUNTIF($GJ$10:$GJ$406,GJ120)-COUNTIF(GJ$9:GJ119,GJ120)))</f>
        <v>0</v>
      </c>
      <c r="GN120" s="270">
        <f t="shared" si="510"/>
        <v>0</v>
      </c>
      <c r="GP120" s="137">
        <f>IF(C120="","",IF(ISERROR(MATCH(C120,C$10:C119,0)),MAX(GP$10:GP119)+1,INDEX(GP$10:GP119,MATCH(C120,C$10:C119,0))))</f>
        <v>87</v>
      </c>
      <c r="GQ120" s="264">
        <f>IF(COUNTIF($A$10:A120,A120)&lt;=1,SUMIF($A$10:$A$406,A120,$FH$10:$FH$406),0)</f>
        <v>0</v>
      </c>
      <c r="GR120" s="137">
        <f t="shared" si="130"/>
        <v>111</v>
      </c>
      <c r="GS120" s="269">
        <f t="shared" si="554"/>
        <v>0</v>
      </c>
      <c r="GT120" s="269">
        <f t="shared" si="555"/>
        <v>0</v>
      </c>
      <c r="GU120" s="163">
        <f t="shared" si="556"/>
        <v>0</v>
      </c>
      <c r="GV120" s="137">
        <f t="array" ref="GV120">IF(GS120=0,0,LARGE(IF($GQ$10:$GQ$406=GS120,$GP$10:$GP$406,0),COUNTIF($GS$10:$GS$406,GS120)-COUNTIF(GS$9:GS119,GS120)))</f>
        <v>0</v>
      </c>
      <c r="GW120" s="270">
        <f t="shared" si="557"/>
        <v>0</v>
      </c>
      <c r="GY120" s="137">
        <f>IF(C120="","",IF(ISERROR(MATCH(C120,C$10:C119,0)),MAX(GP$10:GP119)+1,INDEX(GP$10:GP119,MATCH(C120,C$10:C119,0))))</f>
        <v>87</v>
      </c>
      <c r="GZ120" s="264">
        <f>IF(COUNTIF($A$10:A120,A120)&lt;=1,SUMIF($A$10:$A$406,A120,$FH$10:$FH$406),0)</f>
        <v>0</v>
      </c>
      <c r="HA120" s="137">
        <f t="shared" si="134"/>
        <v>111</v>
      </c>
      <c r="HB120" s="269">
        <f t="shared" si="515"/>
        <v>0</v>
      </c>
      <c r="HC120" s="414" t="s">
        <v>622</v>
      </c>
      <c r="HD120" s="163">
        <f t="shared" si="516"/>
        <v>0</v>
      </c>
      <c r="HE120" s="137">
        <f t="array" ref="HE120">IF(HB120=0,0,LARGE(IF($GZ$10:$GZ$406=HB120,$GY$10:$GY$406,0),COUNTIF($HB$10:$HB$406,HB120)-COUNTIF(HB$9:HB119,HB120)))</f>
        <v>0</v>
      </c>
      <c r="HF120" s="270">
        <f t="shared" si="517"/>
        <v>0</v>
      </c>
      <c r="HH120" s="268">
        <f t="shared" si="518"/>
        <v>0</v>
      </c>
      <c r="HI120" s="271">
        <v>0</v>
      </c>
      <c r="HJ120" s="264">
        <f t="shared" si="519"/>
        <v>0</v>
      </c>
      <c r="HL120" s="137">
        <f t="shared" si="520"/>
        <v>111</v>
      </c>
      <c r="HM120" s="264">
        <f t="shared" si="521"/>
        <v>611276</v>
      </c>
      <c r="HO120" s="199">
        <f t="shared" si="522"/>
        <v>1057680.25</v>
      </c>
      <c r="HP120" s="199">
        <f t="shared" si="523"/>
        <v>1057680.25</v>
      </c>
      <c r="HQ120" s="199" t="str">
        <f t="shared" si="524"/>
        <v/>
      </c>
      <c r="HR120" s="199" t="str">
        <f t="shared" si="525"/>
        <v/>
      </c>
      <c r="HS120" s="199" t="str">
        <f t="shared" si="539"/>
        <v/>
      </c>
      <c r="HT120" s="199" t="str">
        <f t="shared" si="526"/>
        <v/>
      </c>
      <c r="HU120" s="199" t="str">
        <f t="shared" si="527"/>
        <v/>
      </c>
      <c r="HV120" s="200">
        <f t="shared" si="528"/>
        <v>0</v>
      </c>
      <c r="HW120" s="272">
        <f t="shared" si="540"/>
        <v>1</v>
      </c>
      <c r="HX120" s="200" t="str">
        <f t="shared" si="529"/>
        <v/>
      </c>
      <c r="HY120" s="200">
        <f t="shared" si="530"/>
        <v>0</v>
      </c>
      <c r="HZ120" s="200" t="str">
        <f t="shared" si="535"/>
        <v/>
      </c>
      <c r="IA120" s="200" t="str">
        <f t="shared" si="531"/>
        <v/>
      </c>
      <c r="IB120" s="200" t="str">
        <f t="shared" si="532"/>
        <v/>
      </c>
      <c r="IC120" s="273">
        <f>IF(C120="","",INDEX(Lookups!$E$2:$E$69,MATCH('Loan List'!BE120,Lookups!$F$2:$F$69,0)))</f>
        <v>55</v>
      </c>
      <c r="ID120" t="b">
        <f t="shared" si="533"/>
        <v>1</v>
      </c>
      <c r="IF120" s="346" t="str">
        <f>IF(B120="","",IF(Y120="Second Lien",50%,IF(DA120=1,90%,IF(DB120=1,80%,IF(DC120=1,65%,"No Initial Haircut")))))</f>
        <v>No Initial Haircut</v>
      </c>
    </row>
    <row r="121" spans="1:240">
      <c r="A121" t="s">
        <v>509</v>
      </c>
      <c r="B121" s="242">
        <f t="shared" si="541"/>
        <v>112</v>
      </c>
      <c r="C121" s="242">
        <f>IF(COUNTIF($A$10:A120,A121)&gt;0,C120,C120+1)</f>
        <v>87</v>
      </c>
      <c r="D121" s="431" t="s">
        <v>777</v>
      </c>
      <c r="E121" s="428" t="s">
        <v>584</v>
      </c>
      <c r="F121" s="429"/>
      <c r="G121" s="430">
        <v>623120</v>
      </c>
      <c r="H121" s="430">
        <v>623120</v>
      </c>
      <c r="I121" s="244">
        <f>IF(B121="","",VLOOKUP(BF121,Inputs!$A$12:$J$15,10,FALSE))</f>
        <v>1</v>
      </c>
      <c r="J121" s="245">
        <f t="shared" si="542"/>
        <v>623120</v>
      </c>
      <c r="K121" s="245">
        <f t="shared" si="543"/>
        <v>623120</v>
      </c>
      <c r="L121" s="245">
        <f t="shared" si="544"/>
        <v>623120</v>
      </c>
      <c r="M121" s="245">
        <f t="shared" si="545"/>
        <v>623120</v>
      </c>
      <c r="N121" s="432" t="s">
        <v>246</v>
      </c>
      <c r="O121" s="432" t="s">
        <v>245</v>
      </c>
      <c r="P121" s="433">
        <f>IF(B121="","",IF(OR(O121="N/A",O121=""),0,YEARFRAC('Borrowing Base'!$J$4,'Loan List'!O121)*12))</f>
        <v>0</v>
      </c>
      <c r="Q121" s="432" t="s">
        <v>246</v>
      </c>
      <c r="R121" s="434">
        <v>1</v>
      </c>
      <c r="S121" s="435" t="str">
        <f t="shared" si="546"/>
        <v>No</v>
      </c>
      <c r="T121" s="434">
        <v>1</v>
      </c>
      <c r="U121" s="436">
        <f t="shared" si="547"/>
        <v>0.5</v>
      </c>
      <c r="V121" s="436">
        <f t="shared" si="548"/>
        <v>0.72499999999999998</v>
      </c>
      <c r="W121" s="251">
        <f t="shared" si="385"/>
        <v>623120</v>
      </c>
      <c r="X121" s="432" t="s">
        <v>246</v>
      </c>
      <c r="Y121" s="437" t="s">
        <v>483</v>
      </c>
      <c r="Z121" s="437" t="s">
        <v>484</v>
      </c>
      <c r="AA121" s="438" t="s">
        <v>374</v>
      </c>
      <c r="AB121" s="438" t="s">
        <v>715</v>
      </c>
      <c r="AC121" s="439">
        <v>1.3</v>
      </c>
      <c r="AD121" s="439">
        <v>1.8240168113187472</v>
      </c>
      <c r="AE121" s="439">
        <v>2.3430169762186179</v>
      </c>
      <c r="AF121" s="439">
        <v>0.74339999999999995</v>
      </c>
      <c r="AG121" s="440">
        <v>3.99</v>
      </c>
      <c r="AH121" s="440">
        <v>5.2</v>
      </c>
      <c r="AI121" s="440">
        <v>3.4913904671646621</v>
      </c>
      <c r="AJ121" s="440">
        <v>3.4913904671646621</v>
      </c>
      <c r="AK121" s="441">
        <v>52980000</v>
      </c>
      <c r="AL121" s="441">
        <v>50331825</v>
      </c>
      <c r="AM121" s="258">
        <v>45838</v>
      </c>
      <c r="AN121" s="442" t="str">
        <f t="shared" si="549"/>
        <v>Tier 1</v>
      </c>
      <c r="AO121" s="443">
        <v>46903</v>
      </c>
      <c r="AP121" s="444">
        <f>IF(C121="","",DAYS360(Inputs!$J$8,AO121)/360)</f>
        <v>2.7666666666666666</v>
      </c>
      <c r="AQ121" s="444">
        <f t="shared" si="550"/>
        <v>2.7666666666666666</v>
      </c>
      <c r="AR121" s="432" t="s">
        <v>246</v>
      </c>
      <c r="AS121" s="445">
        <v>0</v>
      </c>
      <c r="AT121" s="432" t="s">
        <v>246</v>
      </c>
      <c r="AU121" s="446" t="s">
        <v>487</v>
      </c>
      <c r="AV121" s="446">
        <v>6.6782599999999998E-2</v>
      </c>
      <c r="AW121" s="446">
        <v>4.2850400000000011E-2</v>
      </c>
      <c r="AX121" s="260">
        <f t="shared" si="551"/>
        <v>4.2850400000000011E-2</v>
      </c>
      <c r="AY121" s="446">
        <v>0</v>
      </c>
      <c r="AZ121" s="446">
        <v>0</v>
      </c>
      <c r="BA121" s="446">
        <v>0</v>
      </c>
      <c r="BB121" s="447">
        <f t="shared" si="536"/>
        <v>6.6782599999999998E-2</v>
      </c>
      <c r="BC121" s="447" t="str">
        <f t="shared" si="537"/>
        <v/>
      </c>
      <c r="BD121" s="437" t="s">
        <v>249</v>
      </c>
      <c r="BE121" s="448" t="s">
        <v>455</v>
      </c>
      <c r="BF121" s="437" t="s">
        <v>7</v>
      </c>
      <c r="BG121" s="437" t="s">
        <v>460</v>
      </c>
      <c r="BH121" s="432" t="s">
        <v>246</v>
      </c>
      <c r="BI121" s="449" t="str">
        <f t="shared" si="559"/>
        <v>No</v>
      </c>
      <c r="BJ121" s="449" t="str">
        <f t="shared" si="560"/>
        <v>No</v>
      </c>
      <c r="BK121" s="432" t="s">
        <v>246</v>
      </c>
      <c r="BL121" s="432" t="s">
        <v>246</v>
      </c>
      <c r="BM121" s="246" t="s">
        <v>64</v>
      </c>
      <c r="BN121" s="246" t="s">
        <v>64</v>
      </c>
      <c r="BO121" s="432" t="s">
        <v>246</v>
      </c>
      <c r="BP121" s="432" t="s">
        <v>246</v>
      </c>
      <c r="BQ121" s="432" t="s">
        <v>246</v>
      </c>
      <c r="BR121" s="432" t="s">
        <v>246</v>
      </c>
      <c r="BS121" s="432" t="s">
        <v>246</v>
      </c>
      <c r="BT121" s="432" t="s">
        <v>246</v>
      </c>
      <c r="BU121" s="432" t="s">
        <v>246</v>
      </c>
      <c r="BV121" s="432" t="s">
        <v>246</v>
      </c>
      <c r="BW121" s="432" t="s">
        <v>246</v>
      </c>
      <c r="BX121" s="432" t="s">
        <v>246</v>
      </c>
      <c r="BY121" s="432" t="s">
        <v>246</v>
      </c>
      <c r="BZ121" s="432" t="s">
        <v>246</v>
      </c>
      <c r="CA121" s="432" t="s">
        <v>246</v>
      </c>
      <c r="CB121" s="432" t="s">
        <v>64</v>
      </c>
      <c r="CC121" s="450">
        <f t="shared" si="552"/>
        <v>41381.773072000011</v>
      </c>
      <c r="CD121" s="450">
        <f t="shared" si="553"/>
        <v>0</v>
      </c>
      <c r="CF121" s="263">
        <f t="shared" si="403"/>
        <v>0</v>
      </c>
      <c r="CG121" s="263">
        <f t="shared" si="404"/>
        <v>0</v>
      </c>
      <c r="CH121" s="263">
        <f t="shared" si="405"/>
        <v>0</v>
      </c>
      <c r="CI121" s="263">
        <f t="shared" si="406"/>
        <v>0</v>
      </c>
      <c r="CJ121" s="263">
        <f t="shared" si="407"/>
        <v>0</v>
      </c>
      <c r="CK121" s="263">
        <f t="shared" si="408"/>
        <v>0</v>
      </c>
      <c r="CL121" s="263">
        <f t="shared" si="409"/>
        <v>0</v>
      </c>
      <c r="CM121" s="263">
        <f t="shared" si="410"/>
        <v>0</v>
      </c>
      <c r="CN121" s="263">
        <f t="shared" si="411"/>
        <v>0</v>
      </c>
      <c r="CO121" s="263">
        <f t="shared" si="412"/>
        <v>0</v>
      </c>
      <c r="CP121" s="263">
        <f t="shared" si="413"/>
        <v>0</v>
      </c>
      <c r="CQ121" s="263">
        <f t="shared" si="414"/>
        <v>0</v>
      </c>
      <c r="CR121" s="263">
        <f t="shared" si="415"/>
        <v>0</v>
      </c>
      <c r="CS121" s="263">
        <f t="shared" si="416"/>
        <v>0</v>
      </c>
      <c r="CT121" s="263">
        <f t="shared" si="417"/>
        <v>0</v>
      </c>
      <c r="CU121" s="263">
        <f t="shared" si="418"/>
        <v>0</v>
      </c>
      <c r="CV121" s="263">
        <f t="shared" si="419"/>
        <v>0</v>
      </c>
      <c r="CW121" s="263">
        <f t="shared" si="420"/>
        <v>0</v>
      </c>
      <c r="CX121" s="263">
        <f t="shared" si="421"/>
        <v>0</v>
      </c>
      <c r="CY121" s="263">
        <f t="shared" si="422"/>
        <v>0</v>
      </c>
      <c r="CZ121" s="263">
        <f t="shared" si="423"/>
        <v>0</v>
      </c>
      <c r="DA121" s="263">
        <f t="shared" si="424"/>
        <v>0</v>
      </c>
      <c r="DB121" s="263">
        <f t="shared" si="425"/>
        <v>0</v>
      </c>
      <c r="DC121" s="263">
        <f t="shared" si="426"/>
        <v>0</v>
      </c>
      <c r="DD121" s="263">
        <f t="shared" si="427"/>
        <v>0</v>
      </c>
      <c r="DE121" s="263">
        <f t="shared" si="428"/>
        <v>0</v>
      </c>
      <c r="DF121" s="263">
        <f t="shared" si="429"/>
        <v>623120</v>
      </c>
      <c r="DG121" s="263">
        <f t="shared" si="430"/>
        <v>0</v>
      </c>
      <c r="DH121" s="263">
        <f t="shared" si="431"/>
        <v>623120</v>
      </c>
      <c r="DI121" s="263">
        <f t="shared" si="432"/>
        <v>623120</v>
      </c>
      <c r="DJ121" s="263">
        <f t="shared" si="433"/>
        <v>0</v>
      </c>
      <c r="DK121" s="263">
        <f t="shared" si="434"/>
        <v>0</v>
      </c>
      <c r="DL121" s="263">
        <f t="shared" si="435"/>
        <v>0</v>
      </c>
      <c r="DM121" s="263">
        <f t="shared" si="436"/>
        <v>0</v>
      </c>
      <c r="DO121" s="264">
        <f t="shared" si="437"/>
        <v>0</v>
      </c>
      <c r="DP121" s="265">
        <f t="shared" si="438"/>
        <v>0</v>
      </c>
      <c r="DQ121" s="264">
        <f t="shared" si="439"/>
        <v>623120</v>
      </c>
      <c r="DR121" s="264">
        <f t="shared" si="440"/>
        <v>0</v>
      </c>
      <c r="DS121" s="265">
        <f t="shared" si="441"/>
        <v>0</v>
      </c>
      <c r="DT121" s="264">
        <f t="shared" si="442"/>
        <v>623120</v>
      </c>
      <c r="DU121" s="264">
        <f t="shared" si="443"/>
        <v>0</v>
      </c>
      <c r="DV121" s="265">
        <f t="shared" si="444"/>
        <v>0</v>
      </c>
      <c r="DW121" s="264">
        <f t="shared" si="445"/>
        <v>623120</v>
      </c>
      <c r="DX121" s="264">
        <f t="shared" si="446"/>
        <v>0</v>
      </c>
      <c r="DY121" s="265">
        <f t="shared" si="447"/>
        <v>0</v>
      </c>
      <c r="DZ121" s="264">
        <f t="shared" si="448"/>
        <v>623120</v>
      </c>
      <c r="EA121" s="264">
        <f t="shared" si="449"/>
        <v>0</v>
      </c>
      <c r="EB121" s="265">
        <f t="shared" si="450"/>
        <v>0</v>
      </c>
      <c r="EC121" s="264">
        <f t="shared" si="451"/>
        <v>623120</v>
      </c>
      <c r="ED121" s="264">
        <f t="shared" si="452"/>
        <v>0</v>
      </c>
      <c r="EE121" s="265">
        <f t="shared" si="453"/>
        <v>0</v>
      </c>
      <c r="EF121" s="264">
        <f t="shared" si="454"/>
        <v>623120</v>
      </c>
      <c r="EG121" s="264">
        <f t="shared" si="455"/>
        <v>0</v>
      </c>
      <c r="EH121" s="265">
        <f t="shared" si="456"/>
        <v>0</v>
      </c>
      <c r="EI121" s="264">
        <f t="shared" si="457"/>
        <v>623120</v>
      </c>
      <c r="EJ121" s="264">
        <f t="shared" si="458"/>
        <v>0</v>
      </c>
      <c r="EK121" s="265">
        <f t="shared" si="459"/>
        <v>0</v>
      </c>
      <c r="EL121" s="264">
        <f t="shared" si="460"/>
        <v>623120</v>
      </c>
      <c r="EM121" s="264">
        <f t="shared" si="461"/>
        <v>0</v>
      </c>
      <c r="EN121" s="265">
        <f t="shared" si="462"/>
        <v>0</v>
      </c>
      <c r="EO121" s="264">
        <f t="shared" si="463"/>
        <v>623120</v>
      </c>
      <c r="EP121" s="264">
        <f t="shared" si="464"/>
        <v>0</v>
      </c>
      <c r="EQ121" s="265">
        <f t="shared" si="465"/>
        <v>0</v>
      </c>
      <c r="ER121" s="264">
        <f t="shared" si="466"/>
        <v>623120</v>
      </c>
      <c r="ES121" s="264">
        <f t="shared" si="467"/>
        <v>0</v>
      </c>
      <c r="ET121" s="265">
        <f t="shared" si="468"/>
        <v>0</v>
      </c>
      <c r="EU121" s="264">
        <f t="shared" si="469"/>
        <v>623120</v>
      </c>
      <c r="EV121" s="264">
        <f>IF(AND(BM121="Yes",OR(BN121="No",AND(BN121="Yes",Inputs!$J$8=Inputs!$J$17+75))),EU121,0)</f>
        <v>0</v>
      </c>
      <c r="EW121" s="265">
        <f t="shared" si="470"/>
        <v>0</v>
      </c>
      <c r="EX121" s="264">
        <f t="shared" si="471"/>
        <v>623120</v>
      </c>
      <c r="EY121" s="264">
        <f t="shared" si="472"/>
        <v>0</v>
      </c>
      <c r="EZ121" s="265">
        <f t="shared" si="473"/>
        <v>0</v>
      </c>
      <c r="FA121" s="264">
        <f t="shared" si="474"/>
        <v>623120</v>
      </c>
      <c r="FB121" s="264">
        <f t="shared" si="475"/>
        <v>0</v>
      </c>
      <c r="FC121" s="265">
        <f t="shared" si="476"/>
        <v>0</v>
      </c>
      <c r="FD121" s="264">
        <f t="shared" si="477"/>
        <v>623120</v>
      </c>
      <c r="FE121" s="264">
        <f t="shared" si="478"/>
        <v>0</v>
      </c>
      <c r="FF121" s="265">
        <f t="shared" si="479"/>
        <v>0</v>
      </c>
      <c r="FG121" s="264">
        <f t="shared" si="480"/>
        <v>623120</v>
      </c>
      <c r="FH121" s="264">
        <f t="shared" si="481"/>
        <v>623120</v>
      </c>
      <c r="FI121" s="264">
        <f t="shared" si="482"/>
        <v>0</v>
      </c>
      <c r="FJ121" s="264">
        <f t="shared" si="483"/>
        <v>623120</v>
      </c>
      <c r="FK121" s="264">
        <f t="shared" si="484"/>
        <v>623120</v>
      </c>
      <c r="FL121" s="264">
        <f t="shared" si="485"/>
        <v>0</v>
      </c>
      <c r="FM121" s="264">
        <f t="shared" si="486"/>
        <v>623120</v>
      </c>
      <c r="FN121" s="264">
        <f t="shared" si="487"/>
        <v>623120</v>
      </c>
      <c r="FO121" s="264">
        <f t="shared" si="488"/>
        <v>0</v>
      </c>
      <c r="FP121" s="264">
        <f t="shared" si="489"/>
        <v>623120</v>
      </c>
      <c r="FQ121" s="264">
        <f t="shared" si="490"/>
        <v>0</v>
      </c>
      <c r="FR121" s="265">
        <f t="shared" si="491"/>
        <v>0</v>
      </c>
      <c r="FS121" s="264">
        <f t="shared" si="492"/>
        <v>623120</v>
      </c>
      <c r="FT121" s="264">
        <f t="shared" si="493"/>
        <v>0</v>
      </c>
      <c r="FU121" s="265">
        <f t="shared" si="494"/>
        <v>0</v>
      </c>
      <c r="FV121" s="264">
        <f t="shared" si="495"/>
        <v>623120</v>
      </c>
      <c r="FW121" s="264">
        <f t="shared" si="496"/>
        <v>0</v>
      </c>
      <c r="FX121" s="264">
        <f t="shared" si="497"/>
        <v>0</v>
      </c>
      <c r="FY121" s="264">
        <f t="shared" si="498"/>
        <v>0</v>
      </c>
      <c r="FZ121" s="264">
        <f t="shared" si="499"/>
        <v>0</v>
      </c>
      <c r="GA121" s="265">
        <f t="shared" si="500"/>
        <v>0</v>
      </c>
      <c r="GB121" s="264">
        <f t="shared" si="501"/>
        <v>623120</v>
      </c>
      <c r="GC121" s="264">
        <f t="shared" si="502"/>
        <v>623120</v>
      </c>
      <c r="GD121" s="266">
        <f t="shared" si="503"/>
        <v>451762</v>
      </c>
      <c r="GE121" s="138">
        <f t="shared" si="504"/>
        <v>0.72499999999999998</v>
      </c>
      <c r="GF121" s="267">
        <f t="shared" si="505"/>
        <v>55</v>
      </c>
      <c r="GG121" s="264">
        <f t="array" ref="GG121">IF(SUM(IF(IC$9:IC120=IC121,1,0))&gt;0,0,SUMIF($IC$10:$IC$406,IC121,$FJ$10:$FJ$406))</f>
        <v>0</v>
      </c>
      <c r="GH121" s="268">
        <f t="shared" si="506"/>
        <v>0</v>
      </c>
      <c r="GI121" s="137">
        <f t="shared" si="126"/>
        <v>112</v>
      </c>
      <c r="GJ121" s="269">
        <f t="shared" si="507"/>
        <v>0</v>
      </c>
      <c r="GK121" s="269">
        <f t="shared" si="508"/>
        <v>0</v>
      </c>
      <c r="GL121" s="163">
        <f t="shared" si="509"/>
        <v>0</v>
      </c>
      <c r="GM121" s="137">
        <f t="array" ref="GM121">IF(GJ121=0,0,LARGE(IF($GG$10:$GG$406=GJ121,$GF$10:$GF$406,0),COUNTIF($GJ$10:$GJ$406,GJ121)-COUNTIF(GJ$9:GJ120,GJ121)))</f>
        <v>0</v>
      </c>
      <c r="GN121" s="270">
        <f t="shared" si="510"/>
        <v>0</v>
      </c>
      <c r="GP121" s="137">
        <f>IF(C121="","",IF(ISERROR(MATCH(C121,C$10:C120,0)),MAX(GP$10:GP120)+1,INDEX(GP$10:GP120,MATCH(C121,C$10:C120,0))))</f>
        <v>87</v>
      </c>
      <c r="GQ121" s="264">
        <f>IF(COUNTIF($A$10:A121,A121)&lt;=1,SUMIF($A$10:$A$406,A121,$FH$10:$FH$406),0)</f>
        <v>0</v>
      </c>
      <c r="GR121" s="137">
        <f t="shared" si="130"/>
        <v>112</v>
      </c>
      <c r="GS121" s="269">
        <f t="shared" si="554"/>
        <v>0</v>
      </c>
      <c r="GT121" s="269">
        <f t="shared" si="555"/>
        <v>0</v>
      </c>
      <c r="GU121" s="163">
        <f t="shared" si="556"/>
        <v>0</v>
      </c>
      <c r="GV121" s="137">
        <f t="array" ref="GV121">IF(GS121=0,0,LARGE(IF($GQ$10:$GQ$406=GS121,$GP$10:$GP$406,0),COUNTIF($GS$10:$GS$406,GS121)-COUNTIF(GS$9:GS120,GS121)))</f>
        <v>0</v>
      </c>
      <c r="GW121" s="270">
        <f t="shared" si="557"/>
        <v>0</v>
      </c>
      <c r="GY121" s="137">
        <f>IF(C121="","",IF(ISERROR(MATCH(C121,C$10:C120,0)),MAX(GP$10:GP120)+1,INDEX(GP$10:GP120,MATCH(C121,C$10:C120,0))))</f>
        <v>87</v>
      </c>
      <c r="GZ121" s="264">
        <f>IF(COUNTIF($A$10:A121,A121)&lt;=1,SUMIF($A$10:$A$406,A121,$FH$10:$FH$406),0)</f>
        <v>0</v>
      </c>
      <c r="HA121" s="137">
        <f t="shared" si="134"/>
        <v>112</v>
      </c>
      <c r="HB121" s="269">
        <f t="shared" si="515"/>
        <v>0</v>
      </c>
      <c r="HC121" s="414" t="s">
        <v>622</v>
      </c>
      <c r="HD121" s="163">
        <f t="shared" si="516"/>
        <v>0</v>
      </c>
      <c r="HE121" s="137">
        <f t="array" ref="HE121">IF(HB121=0,0,LARGE(IF($GZ$10:$GZ$406=HB121,$GY$10:$GY$406,0),COUNTIF($HB$10:$HB$406,HB121)-COUNTIF(HB$9:HB120,HB121)))</f>
        <v>0</v>
      </c>
      <c r="HF121" s="270">
        <f t="shared" si="517"/>
        <v>0</v>
      </c>
      <c r="HH121" s="268">
        <f t="shared" si="518"/>
        <v>0</v>
      </c>
      <c r="HI121" s="271">
        <v>0</v>
      </c>
      <c r="HJ121" s="264">
        <f t="shared" si="519"/>
        <v>0</v>
      </c>
      <c r="HL121" s="137">
        <f t="shared" si="520"/>
        <v>112</v>
      </c>
      <c r="HM121" s="264">
        <f t="shared" si="521"/>
        <v>4625535</v>
      </c>
      <c r="HO121" s="199">
        <f t="shared" si="522"/>
        <v>623120</v>
      </c>
      <c r="HP121" s="199">
        <f t="shared" si="523"/>
        <v>623120</v>
      </c>
      <c r="HQ121" s="199" t="str">
        <f t="shared" si="524"/>
        <v/>
      </c>
      <c r="HR121" s="199" t="str">
        <f t="shared" si="525"/>
        <v/>
      </c>
      <c r="HS121" s="199" t="str">
        <f t="shared" si="539"/>
        <v/>
      </c>
      <c r="HT121" s="199" t="str">
        <f t="shared" si="526"/>
        <v/>
      </c>
      <c r="HU121" s="199" t="str">
        <f t="shared" si="527"/>
        <v/>
      </c>
      <c r="HV121" s="200">
        <f t="shared" si="528"/>
        <v>0</v>
      </c>
      <c r="HW121" s="272">
        <f t="shared" si="540"/>
        <v>1</v>
      </c>
      <c r="HX121" s="200" t="str">
        <f t="shared" si="529"/>
        <v/>
      </c>
      <c r="HY121" s="200">
        <f t="shared" si="530"/>
        <v>0</v>
      </c>
      <c r="HZ121" s="200" t="str">
        <f t="shared" si="535"/>
        <v/>
      </c>
      <c r="IA121" s="200" t="str">
        <f t="shared" si="531"/>
        <v/>
      </c>
      <c r="IB121" s="200" t="str">
        <f t="shared" si="532"/>
        <v/>
      </c>
      <c r="IC121" s="273">
        <f>IF(C121="","",INDEX(Lookups!$E$2:$E$69,MATCH('Loan List'!BE121,Lookups!$F$2:$F$69,0)))</f>
        <v>55</v>
      </c>
      <c r="ID121" t="b">
        <f t="shared" si="533"/>
        <v>1</v>
      </c>
    </row>
    <row r="122" spans="1:240">
      <c r="A122" t="s">
        <v>689</v>
      </c>
      <c r="B122" s="242">
        <f t="shared" si="541"/>
        <v>113</v>
      </c>
      <c r="C122" s="242">
        <f>IF(COUNTIF($A$10:A121,A122)&gt;0,C121,C121+1)</f>
        <v>88</v>
      </c>
      <c r="D122" s="428" t="s">
        <v>689</v>
      </c>
      <c r="E122" s="428" t="s">
        <v>645</v>
      </c>
      <c r="F122" s="429"/>
      <c r="G122" s="430">
        <v>7082250</v>
      </c>
      <c r="H122" s="430">
        <v>7082250</v>
      </c>
      <c r="I122" s="244">
        <f>IF(B122="","",VLOOKUP(BF122,Inputs!$A$12:$J$15,10,FALSE))</f>
        <v>1</v>
      </c>
      <c r="J122" s="245">
        <f t="shared" si="542"/>
        <v>7082250</v>
      </c>
      <c r="K122" s="245">
        <f t="shared" si="543"/>
        <v>7082250</v>
      </c>
      <c r="L122" s="245">
        <f t="shared" si="544"/>
        <v>7082250</v>
      </c>
      <c r="M122" s="245">
        <f t="shared" si="545"/>
        <v>7082250</v>
      </c>
      <c r="N122" s="432" t="s">
        <v>246</v>
      </c>
      <c r="O122" s="432" t="s">
        <v>245</v>
      </c>
      <c r="P122" s="433">
        <f>IF(B122="","",IF(OR(O122="N/A",O122=""),0,YEARFRAC('Borrowing Base'!$J$4,'Loan List'!O122)*12))</f>
        <v>0</v>
      </c>
      <c r="Q122" s="432" t="s">
        <v>246</v>
      </c>
      <c r="R122" s="434">
        <v>0.99</v>
      </c>
      <c r="S122" s="435" t="str">
        <f t="shared" si="546"/>
        <v>No</v>
      </c>
      <c r="T122" s="434">
        <v>0.99</v>
      </c>
      <c r="U122" s="436">
        <f t="shared" si="547"/>
        <v>0.5</v>
      </c>
      <c r="V122" s="436">
        <f t="shared" si="548"/>
        <v>0.72499999999999998</v>
      </c>
      <c r="W122" s="251">
        <f t="shared" si="385"/>
        <v>7082250</v>
      </c>
      <c r="X122" s="432" t="s">
        <v>246</v>
      </c>
      <c r="Y122" s="437" t="s">
        <v>483</v>
      </c>
      <c r="Z122" s="437" t="s">
        <v>484</v>
      </c>
      <c r="AA122" s="438" t="s">
        <v>407</v>
      </c>
      <c r="AB122" s="438" t="s">
        <v>713</v>
      </c>
      <c r="AC122" s="439">
        <v>1.9483835616438352</v>
      </c>
      <c r="AD122" s="439">
        <v>1.7931578947368423</v>
      </c>
      <c r="AE122" s="439">
        <v>2.1995161290322582</v>
      </c>
      <c r="AF122" s="439">
        <v>0.27880873422525804</v>
      </c>
      <c r="AG122" s="440">
        <v>3.301648011699196</v>
      </c>
      <c r="AH122" s="440">
        <v>3.301648011699196</v>
      </c>
      <c r="AI122" s="440">
        <v>4.5546674488523866</v>
      </c>
      <c r="AJ122" s="440">
        <v>4.5546674488523866</v>
      </c>
      <c r="AK122" s="441">
        <v>17779000</v>
      </c>
      <c r="AL122" s="441">
        <v>34092500</v>
      </c>
      <c r="AM122" s="258">
        <v>45838</v>
      </c>
      <c r="AN122" s="442" t="str">
        <f t="shared" si="549"/>
        <v>Tier 2</v>
      </c>
      <c r="AO122" s="443">
        <v>47729</v>
      </c>
      <c r="AP122" s="444">
        <f>IF(C122="","",DAYS360(Inputs!$J$8,AO122)/360)</f>
        <v>5.0250000000000004</v>
      </c>
      <c r="AQ122" s="444">
        <f t="shared" si="550"/>
        <v>5.0250000000000004</v>
      </c>
      <c r="AR122" s="432" t="s">
        <v>246</v>
      </c>
      <c r="AS122" s="445">
        <v>0</v>
      </c>
      <c r="AT122" s="432" t="s">
        <v>246</v>
      </c>
      <c r="AU122" s="446" t="s">
        <v>487</v>
      </c>
      <c r="AV122" s="446">
        <v>5.0032649999999998E-2</v>
      </c>
      <c r="AW122" s="446">
        <v>4.3066350000000003E-2</v>
      </c>
      <c r="AX122" s="260">
        <f t="shared" si="551"/>
        <v>4.3066350000000003E-2</v>
      </c>
      <c r="AY122" s="446">
        <v>0</v>
      </c>
      <c r="AZ122" s="446">
        <v>0</v>
      </c>
      <c r="BA122" s="446">
        <v>0</v>
      </c>
      <c r="BB122" s="447">
        <f t="shared" si="536"/>
        <v>5.0032649999999998E-2</v>
      </c>
      <c r="BC122" s="447" t="str">
        <f t="shared" si="537"/>
        <v/>
      </c>
      <c r="BD122" s="437" t="s">
        <v>249</v>
      </c>
      <c r="BE122" s="448" t="s">
        <v>410</v>
      </c>
      <c r="BF122" s="437" t="s">
        <v>7</v>
      </c>
      <c r="BG122" s="437" t="s">
        <v>460</v>
      </c>
      <c r="BH122" s="432" t="s">
        <v>246</v>
      </c>
      <c r="BI122" s="449" t="str">
        <f t="shared" si="559"/>
        <v>No</v>
      </c>
      <c r="BJ122" s="449" t="str">
        <f t="shared" si="560"/>
        <v>No</v>
      </c>
      <c r="BK122" s="432" t="s">
        <v>246</v>
      </c>
      <c r="BL122" s="432" t="s">
        <v>246</v>
      </c>
      <c r="BM122" s="432" t="s">
        <v>246</v>
      </c>
      <c r="BN122" s="432" t="s">
        <v>246</v>
      </c>
      <c r="BO122" s="432" t="s">
        <v>246</v>
      </c>
      <c r="BP122" s="432" t="s">
        <v>246</v>
      </c>
      <c r="BQ122" s="432" t="s">
        <v>246</v>
      </c>
      <c r="BR122" s="432" t="s">
        <v>246</v>
      </c>
      <c r="BS122" s="432" t="s">
        <v>246</v>
      </c>
      <c r="BT122" s="432" t="s">
        <v>246</v>
      </c>
      <c r="BU122" s="432" t="s">
        <v>246</v>
      </c>
      <c r="BV122" s="432" t="s">
        <v>246</v>
      </c>
      <c r="BW122" s="432" t="s">
        <v>246</v>
      </c>
      <c r="BX122" s="432" t="s">
        <v>246</v>
      </c>
      <c r="BY122" s="432" t="s">
        <v>246</v>
      </c>
      <c r="BZ122" s="432" t="s">
        <v>246</v>
      </c>
      <c r="CA122" s="432" t="s">
        <v>246</v>
      </c>
      <c r="CB122" s="432" t="s">
        <v>64</v>
      </c>
      <c r="CC122" s="450">
        <f t="shared" si="552"/>
        <v>353238.55034999998</v>
      </c>
      <c r="CD122" s="450">
        <f t="shared" si="553"/>
        <v>0</v>
      </c>
      <c r="CF122" s="263">
        <f t="shared" si="403"/>
        <v>0</v>
      </c>
      <c r="CG122" s="263">
        <f t="shared" si="404"/>
        <v>0</v>
      </c>
      <c r="CH122" s="263">
        <f t="shared" si="405"/>
        <v>0</v>
      </c>
      <c r="CI122" s="263">
        <f t="shared" si="406"/>
        <v>0</v>
      </c>
      <c r="CJ122" s="263">
        <f t="shared" si="407"/>
        <v>0</v>
      </c>
      <c r="CK122" s="263">
        <f t="shared" si="408"/>
        <v>0</v>
      </c>
      <c r="CL122" s="263">
        <f t="shared" si="409"/>
        <v>0</v>
      </c>
      <c r="CM122" s="263">
        <f t="shared" si="410"/>
        <v>0</v>
      </c>
      <c r="CN122" s="263">
        <f t="shared" si="411"/>
        <v>0</v>
      </c>
      <c r="CO122" s="263">
        <f t="shared" si="412"/>
        <v>0</v>
      </c>
      <c r="CP122" s="263">
        <f t="shared" si="413"/>
        <v>0</v>
      </c>
      <c r="CQ122" s="263">
        <f t="shared" si="414"/>
        <v>0</v>
      </c>
      <c r="CR122" s="263">
        <f t="shared" si="415"/>
        <v>0</v>
      </c>
      <c r="CS122" s="263">
        <f t="shared" si="416"/>
        <v>0</v>
      </c>
      <c r="CT122" s="263">
        <f t="shared" si="417"/>
        <v>0</v>
      </c>
      <c r="CU122" s="263">
        <f t="shared" si="418"/>
        <v>0</v>
      </c>
      <c r="CV122" s="263">
        <f t="shared" si="419"/>
        <v>0</v>
      </c>
      <c r="CW122" s="263">
        <f t="shared" si="420"/>
        <v>0</v>
      </c>
      <c r="CX122" s="263">
        <f t="shared" si="421"/>
        <v>0</v>
      </c>
      <c r="CY122" s="263">
        <f t="shared" si="422"/>
        <v>0</v>
      </c>
      <c r="CZ122" s="263">
        <f t="shared" si="423"/>
        <v>0</v>
      </c>
      <c r="DA122" s="263">
        <f t="shared" si="424"/>
        <v>0</v>
      </c>
      <c r="DB122" s="263">
        <f t="shared" si="425"/>
        <v>0</v>
      </c>
      <c r="DC122" s="263">
        <f t="shared" si="426"/>
        <v>0</v>
      </c>
      <c r="DD122" s="263">
        <f t="shared" si="427"/>
        <v>0</v>
      </c>
      <c r="DE122" s="263">
        <f t="shared" si="428"/>
        <v>0</v>
      </c>
      <c r="DF122" s="263">
        <f t="shared" si="429"/>
        <v>7082250</v>
      </c>
      <c r="DG122" s="263">
        <f t="shared" si="430"/>
        <v>0</v>
      </c>
      <c r="DH122" s="263">
        <f t="shared" si="431"/>
        <v>7082250</v>
      </c>
      <c r="DI122" s="263">
        <f t="shared" si="432"/>
        <v>7082250</v>
      </c>
      <c r="DJ122" s="263">
        <f t="shared" si="433"/>
        <v>0</v>
      </c>
      <c r="DK122" s="263">
        <f t="shared" si="434"/>
        <v>0</v>
      </c>
      <c r="DL122" s="263">
        <f t="shared" si="435"/>
        <v>0</v>
      </c>
      <c r="DM122" s="263">
        <f t="shared" si="436"/>
        <v>0</v>
      </c>
      <c r="DO122" s="264">
        <f t="shared" si="437"/>
        <v>0</v>
      </c>
      <c r="DP122" s="265">
        <f t="shared" si="438"/>
        <v>0</v>
      </c>
      <c r="DQ122" s="264">
        <f t="shared" si="439"/>
        <v>7082250</v>
      </c>
      <c r="DR122" s="264">
        <f t="shared" si="440"/>
        <v>0</v>
      </c>
      <c r="DS122" s="265">
        <f t="shared" si="441"/>
        <v>0</v>
      </c>
      <c r="DT122" s="264">
        <f t="shared" si="442"/>
        <v>7082250</v>
      </c>
      <c r="DU122" s="264">
        <f t="shared" si="443"/>
        <v>0</v>
      </c>
      <c r="DV122" s="265">
        <f t="shared" si="444"/>
        <v>0</v>
      </c>
      <c r="DW122" s="264">
        <f t="shared" si="445"/>
        <v>7082250</v>
      </c>
      <c r="DX122" s="264">
        <f t="shared" si="446"/>
        <v>0</v>
      </c>
      <c r="DY122" s="265">
        <f t="shared" si="447"/>
        <v>0</v>
      </c>
      <c r="DZ122" s="264">
        <f t="shared" si="448"/>
        <v>7082250</v>
      </c>
      <c r="EA122" s="264">
        <f t="shared" si="449"/>
        <v>0</v>
      </c>
      <c r="EB122" s="265">
        <f t="shared" si="450"/>
        <v>0</v>
      </c>
      <c r="EC122" s="264">
        <f t="shared" si="451"/>
        <v>7082250</v>
      </c>
      <c r="ED122" s="264">
        <f t="shared" si="452"/>
        <v>0</v>
      </c>
      <c r="EE122" s="265">
        <f t="shared" si="453"/>
        <v>0</v>
      </c>
      <c r="EF122" s="264">
        <f t="shared" si="454"/>
        <v>7082250</v>
      </c>
      <c r="EG122" s="264">
        <f t="shared" si="455"/>
        <v>0</v>
      </c>
      <c r="EH122" s="265">
        <f t="shared" si="456"/>
        <v>0</v>
      </c>
      <c r="EI122" s="264">
        <f t="shared" si="457"/>
        <v>7082250</v>
      </c>
      <c r="EJ122" s="264">
        <f t="shared" si="458"/>
        <v>0</v>
      </c>
      <c r="EK122" s="265">
        <f t="shared" si="459"/>
        <v>0</v>
      </c>
      <c r="EL122" s="264">
        <f t="shared" si="460"/>
        <v>7082250</v>
      </c>
      <c r="EM122" s="264">
        <f t="shared" si="461"/>
        <v>0</v>
      </c>
      <c r="EN122" s="265">
        <f t="shared" si="462"/>
        <v>0</v>
      </c>
      <c r="EO122" s="264">
        <f t="shared" si="463"/>
        <v>7082250</v>
      </c>
      <c r="EP122" s="264">
        <f t="shared" si="464"/>
        <v>0</v>
      </c>
      <c r="EQ122" s="265">
        <f t="shared" si="465"/>
        <v>0</v>
      </c>
      <c r="ER122" s="264">
        <f t="shared" si="466"/>
        <v>7082250</v>
      </c>
      <c r="ES122" s="264">
        <f t="shared" si="467"/>
        <v>0</v>
      </c>
      <c r="ET122" s="265">
        <f t="shared" si="468"/>
        <v>0</v>
      </c>
      <c r="EU122" s="264">
        <f t="shared" si="469"/>
        <v>7082250</v>
      </c>
      <c r="EV122" s="264">
        <f>IF(AND(BM122="Yes",OR(BN122="No",AND(BN122="Yes",Inputs!$J$8=Inputs!$J$17+75))),EU122,0)</f>
        <v>0</v>
      </c>
      <c r="EW122" s="265">
        <f t="shared" si="470"/>
        <v>0</v>
      </c>
      <c r="EX122" s="264">
        <f t="shared" si="471"/>
        <v>7082250</v>
      </c>
      <c r="EY122" s="264">
        <f t="shared" si="472"/>
        <v>0</v>
      </c>
      <c r="EZ122" s="265">
        <f t="shared" si="473"/>
        <v>0</v>
      </c>
      <c r="FA122" s="264">
        <f t="shared" si="474"/>
        <v>7082250</v>
      </c>
      <c r="FB122" s="264">
        <f t="shared" si="475"/>
        <v>0</v>
      </c>
      <c r="FC122" s="265">
        <f t="shared" si="476"/>
        <v>0</v>
      </c>
      <c r="FD122" s="264">
        <f t="shared" si="477"/>
        <v>7082250</v>
      </c>
      <c r="FE122" s="264">
        <f t="shared" si="478"/>
        <v>0</v>
      </c>
      <c r="FF122" s="265">
        <f t="shared" si="479"/>
        <v>0</v>
      </c>
      <c r="FG122" s="264">
        <f t="shared" si="480"/>
        <v>7082250</v>
      </c>
      <c r="FH122" s="264">
        <f t="shared" si="481"/>
        <v>7082250</v>
      </c>
      <c r="FI122" s="264">
        <f t="shared" si="482"/>
        <v>0</v>
      </c>
      <c r="FJ122" s="264">
        <f t="shared" si="483"/>
        <v>7082250</v>
      </c>
      <c r="FK122" s="264">
        <f t="shared" si="484"/>
        <v>7082250</v>
      </c>
      <c r="FL122" s="264">
        <f t="shared" si="485"/>
        <v>0</v>
      </c>
      <c r="FM122" s="264">
        <f t="shared" si="486"/>
        <v>7082250</v>
      </c>
      <c r="FN122" s="264">
        <f t="shared" si="487"/>
        <v>7082250</v>
      </c>
      <c r="FO122" s="264">
        <f t="shared" si="488"/>
        <v>0</v>
      </c>
      <c r="FP122" s="264">
        <f t="shared" si="489"/>
        <v>7082250</v>
      </c>
      <c r="FQ122" s="264">
        <f t="shared" si="490"/>
        <v>0</v>
      </c>
      <c r="FR122" s="265">
        <f t="shared" si="491"/>
        <v>0</v>
      </c>
      <c r="FS122" s="264">
        <f t="shared" si="492"/>
        <v>7082250</v>
      </c>
      <c r="FT122" s="264">
        <f t="shared" si="493"/>
        <v>0</v>
      </c>
      <c r="FU122" s="265">
        <f t="shared" si="494"/>
        <v>0</v>
      </c>
      <c r="FV122" s="264">
        <f t="shared" si="495"/>
        <v>7082250</v>
      </c>
      <c r="FW122" s="264">
        <f t="shared" si="496"/>
        <v>7082250</v>
      </c>
      <c r="FX122" s="264">
        <f t="shared" si="497"/>
        <v>0</v>
      </c>
      <c r="FY122" s="264">
        <f t="shared" si="498"/>
        <v>0</v>
      </c>
      <c r="FZ122" s="264">
        <f t="shared" si="499"/>
        <v>7082250</v>
      </c>
      <c r="GA122" s="265">
        <f t="shared" si="500"/>
        <v>31731.630813347128</v>
      </c>
      <c r="GB122" s="264">
        <f t="shared" si="501"/>
        <v>7050518.3691866528</v>
      </c>
      <c r="GC122" s="264">
        <f t="shared" si="502"/>
        <v>7050518.3691866528</v>
      </c>
      <c r="GD122" s="266">
        <f t="shared" si="503"/>
        <v>5111625.8176603233</v>
      </c>
      <c r="GE122" s="138">
        <f t="shared" si="504"/>
        <v>0.72175167745565649</v>
      </c>
      <c r="GF122" s="267">
        <f t="shared" si="505"/>
        <v>32</v>
      </c>
      <c r="GG122" s="264">
        <f t="array" ref="GG122">IF(SUM(IF(IC$9:IC121=IC122,1,0))&gt;0,0,SUMIF($IC$10:$IC$406,IC122,$FJ$10:$FJ$406))</f>
        <v>0</v>
      </c>
      <c r="GH122" s="268">
        <f t="shared" si="506"/>
        <v>0</v>
      </c>
      <c r="GI122" s="137">
        <f t="shared" si="126"/>
        <v>113</v>
      </c>
      <c r="GJ122" s="269">
        <f t="shared" si="507"/>
        <v>0</v>
      </c>
      <c r="GK122" s="269">
        <f t="shared" si="508"/>
        <v>0</v>
      </c>
      <c r="GL122" s="163">
        <f t="shared" si="509"/>
        <v>0</v>
      </c>
      <c r="GM122" s="137">
        <f t="array" ref="GM122">IF(GJ122=0,0,LARGE(IF($GG$10:$GG$406=GJ122,$GF$10:$GF$406,0),COUNTIF($GJ$10:$GJ$406,GJ122)-COUNTIF(GJ$9:GJ121,GJ122)))</f>
        <v>0</v>
      </c>
      <c r="GN122" s="270">
        <f t="shared" si="510"/>
        <v>0</v>
      </c>
      <c r="GP122" s="137">
        <f>IF(C122="","",IF(ISERROR(MATCH(C122,C$10:C121,0)),MAX(GP$10:GP121)+1,INDEX(GP$10:GP121,MATCH(C122,C$10:C121,0))))</f>
        <v>88</v>
      </c>
      <c r="GQ122" s="264">
        <f>IF(COUNTIF($A$10:A122,A122)&lt;=1,SUMIF($A$10:$A$406,A122,$FH$10:$FH$406),0)</f>
        <v>7082250</v>
      </c>
      <c r="GR122" s="137">
        <f t="shared" si="130"/>
        <v>113</v>
      </c>
      <c r="GS122" s="269">
        <f t="shared" si="554"/>
        <v>0</v>
      </c>
      <c r="GT122" s="269">
        <f t="shared" si="555"/>
        <v>0</v>
      </c>
      <c r="GU122" s="163">
        <f t="shared" si="556"/>
        <v>0</v>
      </c>
      <c r="GV122" s="137">
        <f t="array" ref="GV122">IF(GS122=0,0,LARGE(IF($GQ$10:$GQ$406=GS122,$GP$10:$GP$406,0),COUNTIF($GS$10:$GS$406,GS122)-COUNTIF(GS$9:GS121,GS122)))</f>
        <v>0</v>
      </c>
      <c r="GW122" s="270">
        <f t="shared" si="557"/>
        <v>0</v>
      </c>
      <c r="GY122" s="137">
        <f>IF(C122="","",IF(ISERROR(MATCH(C122,C$10:C121,0)),MAX(GP$10:GP121)+1,INDEX(GP$10:GP121,MATCH(C122,C$10:C121,0))))</f>
        <v>88</v>
      </c>
      <c r="GZ122" s="264">
        <f>IF(COUNTIF($A$10:A122,A122)&lt;=1,SUMIF($A$10:$A$406,A122,$FH$10:$FH$406),0)</f>
        <v>7082250</v>
      </c>
      <c r="HA122" s="137">
        <f t="shared" si="134"/>
        <v>113</v>
      </c>
      <c r="HB122" s="269">
        <f t="shared" si="515"/>
        <v>0</v>
      </c>
      <c r="HC122" s="414" t="s">
        <v>622</v>
      </c>
      <c r="HD122" s="163">
        <f t="shared" si="516"/>
        <v>0</v>
      </c>
      <c r="HE122" s="137">
        <f t="array" ref="HE122">IF(HB122=0,0,LARGE(IF($GZ$10:$GZ$406=HB122,$GY$10:$GY$406,0),COUNTIF($HB$10:$HB$406,HB122)-COUNTIF(HB$9:HB121,HB122)))</f>
        <v>0</v>
      </c>
      <c r="HF122" s="270">
        <f t="shared" si="517"/>
        <v>0</v>
      </c>
      <c r="HH122" s="268">
        <f t="shared" si="518"/>
        <v>31731.630813347176</v>
      </c>
      <c r="HI122" s="271">
        <v>0</v>
      </c>
      <c r="HJ122" s="264">
        <f t="shared" si="519"/>
        <v>0</v>
      </c>
      <c r="HL122" s="137">
        <f t="shared" si="520"/>
        <v>113</v>
      </c>
      <c r="HM122" s="264">
        <f t="shared" si="521"/>
        <v>1984733</v>
      </c>
      <c r="HO122" s="199">
        <f t="shared" si="522"/>
        <v>7082250</v>
      </c>
      <c r="HP122" s="199">
        <f t="shared" si="523"/>
        <v>7082250</v>
      </c>
      <c r="HQ122" s="199" t="str">
        <f t="shared" si="524"/>
        <v/>
      </c>
      <c r="HR122" s="199" t="str">
        <f t="shared" si="525"/>
        <v/>
      </c>
      <c r="HS122" s="199" t="str">
        <f t="shared" si="539"/>
        <v/>
      </c>
      <c r="HT122" s="199" t="str">
        <f t="shared" si="526"/>
        <v/>
      </c>
      <c r="HU122" s="199" t="str">
        <f t="shared" si="527"/>
        <v/>
      </c>
      <c r="HV122" s="200">
        <f t="shared" si="528"/>
        <v>0</v>
      </c>
      <c r="HW122" s="272">
        <f t="shared" si="540"/>
        <v>1</v>
      </c>
      <c r="HX122" s="200" t="str">
        <f t="shared" si="529"/>
        <v/>
      </c>
      <c r="HY122" s="200">
        <f t="shared" si="530"/>
        <v>0</v>
      </c>
      <c r="HZ122" s="200" t="str">
        <f t="shared" si="535"/>
        <v/>
      </c>
      <c r="IA122" s="200" t="str">
        <f t="shared" si="531"/>
        <v/>
      </c>
      <c r="IB122" s="200" t="str">
        <f t="shared" si="532"/>
        <v/>
      </c>
      <c r="IC122" s="273">
        <f>IF(C122="","",INDEX(Lookups!$E$2:$E$69,MATCH('Loan List'!BE122,Lookups!$F$2:$F$69,0)))</f>
        <v>32</v>
      </c>
      <c r="ID122" t="b">
        <f t="shared" si="533"/>
        <v>1</v>
      </c>
    </row>
    <row r="123" spans="1:240">
      <c r="A123" t="s">
        <v>778</v>
      </c>
      <c r="B123" s="242">
        <f t="shared" si="541"/>
        <v>114</v>
      </c>
      <c r="C123" s="242">
        <f>IF(COUNTIF($A$10:A122,A123)&gt;0,C122,C122+1)</f>
        <v>89</v>
      </c>
      <c r="D123" s="431" t="s">
        <v>778</v>
      </c>
      <c r="E123" s="428" t="s">
        <v>841</v>
      </c>
      <c r="F123" s="429"/>
      <c r="G123" s="430">
        <v>4634449</v>
      </c>
      <c r="H123" s="430">
        <v>4634449</v>
      </c>
      <c r="I123" s="244">
        <f>IF(B123="","",VLOOKUP(BF123,Inputs!$A$12:$J$15,10,FALSE))</f>
        <v>1</v>
      </c>
      <c r="J123" s="245">
        <f t="shared" si="542"/>
        <v>4634449</v>
      </c>
      <c r="K123" s="245">
        <f t="shared" si="543"/>
        <v>4634449</v>
      </c>
      <c r="L123" s="245">
        <f t="shared" si="544"/>
        <v>4634449</v>
      </c>
      <c r="M123" s="245">
        <f t="shared" si="545"/>
        <v>4634449</v>
      </c>
      <c r="N123" s="432" t="s">
        <v>246</v>
      </c>
      <c r="O123" s="432" t="s">
        <v>245</v>
      </c>
      <c r="P123" s="433">
        <f>IF(B123="","",IF(OR(O123="N/A",O123=""),0,YEARFRAC('Borrowing Base'!$J$4,'Loan List'!O123)*12))</f>
        <v>0</v>
      </c>
      <c r="Q123" s="432" t="s">
        <v>246</v>
      </c>
      <c r="R123" s="434">
        <v>1</v>
      </c>
      <c r="S123" s="435" t="str">
        <f t="shared" si="546"/>
        <v>No</v>
      </c>
      <c r="T123" s="434">
        <v>0</v>
      </c>
      <c r="U123" s="436">
        <f t="shared" si="547"/>
        <v>0.5</v>
      </c>
      <c r="V123" s="436">
        <f t="shared" si="548"/>
        <v>0.72499999999999998</v>
      </c>
      <c r="W123" s="251">
        <f t="shared" si="385"/>
        <v>4634449</v>
      </c>
      <c r="X123" s="432" t="s">
        <v>64</v>
      </c>
      <c r="Y123" s="437" t="s">
        <v>483</v>
      </c>
      <c r="Z123" s="437" t="s">
        <v>484</v>
      </c>
      <c r="AA123" s="438" t="s">
        <v>407</v>
      </c>
      <c r="AB123" s="438" t="s">
        <v>713</v>
      </c>
      <c r="AC123" s="439">
        <v>1.8746470920383964</v>
      </c>
      <c r="AD123" s="439">
        <v>2.2832866617113634</v>
      </c>
      <c r="AE123" s="439">
        <v>2.7687895722201117</v>
      </c>
      <c r="AF123" s="439">
        <v>0.46076146076146074</v>
      </c>
      <c r="AG123" s="440">
        <v>4.1468531468531475</v>
      </c>
      <c r="AH123" s="440">
        <v>4.1468531468531475</v>
      </c>
      <c r="AI123" s="440">
        <v>3.2323019236425989</v>
      </c>
      <c r="AJ123" s="440">
        <v>3.2323019236425989</v>
      </c>
      <c r="AK123" s="441">
        <v>42900000</v>
      </c>
      <c r="AL123" s="441">
        <v>54159177</v>
      </c>
      <c r="AM123" s="258">
        <v>45838</v>
      </c>
      <c r="AN123" s="442" t="str">
        <f t="shared" si="549"/>
        <v>Tier 2</v>
      </c>
      <c r="AO123" s="443">
        <v>46514</v>
      </c>
      <c r="AP123" s="444">
        <f>IF(C123="","",DAYS360(Inputs!$J$8,AO123)/360)</f>
        <v>1.7027777777777777</v>
      </c>
      <c r="AQ123" s="444">
        <f t="shared" si="550"/>
        <v>1.7027777777777777</v>
      </c>
      <c r="AR123" s="432" t="s">
        <v>246</v>
      </c>
      <c r="AS123" s="445">
        <v>0</v>
      </c>
      <c r="AT123" s="432" t="s">
        <v>64</v>
      </c>
      <c r="AU123" s="446">
        <v>0.01</v>
      </c>
      <c r="AV123" s="446">
        <v>6.25E-2</v>
      </c>
      <c r="AW123" s="446">
        <v>4.2956000000000001E-2</v>
      </c>
      <c r="AX123" s="260">
        <f t="shared" si="551"/>
        <v>4.2956000000000001E-2</v>
      </c>
      <c r="AY123" s="446">
        <v>0</v>
      </c>
      <c r="AZ123" s="446">
        <v>0</v>
      </c>
      <c r="BA123" s="446">
        <v>0</v>
      </c>
      <c r="BB123" s="447">
        <f t="shared" si="536"/>
        <v>6.25E-2</v>
      </c>
      <c r="BC123" s="447" t="str">
        <f t="shared" si="537"/>
        <v/>
      </c>
      <c r="BD123" s="437" t="s">
        <v>249</v>
      </c>
      <c r="BE123" s="448" t="s">
        <v>327</v>
      </c>
      <c r="BF123" s="437" t="s">
        <v>7</v>
      </c>
      <c r="BG123" s="437" t="s">
        <v>460</v>
      </c>
      <c r="BH123" s="432" t="s">
        <v>246</v>
      </c>
      <c r="BI123" s="449" t="str">
        <f t="shared" si="559"/>
        <v>No</v>
      </c>
      <c r="BJ123" s="449" t="str">
        <f t="shared" si="560"/>
        <v>No</v>
      </c>
      <c r="BK123" s="432" t="s">
        <v>246</v>
      </c>
      <c r="BL123" s="432" t="s">
        <v>246</v>
      </c>
      <c r="BM123" s="246" t="s">
        <v>64</v>
      </c>
      <c r="BN123" s="246" t="s">
        <v>64</v>
      </c>
      <c r="BO123" s="432" t="s">
        <v>246</v>
      </c>
      <c r="BP123" s="432" t="s">
        <v>246</v>
      </c>
      <c r="BQ123" s="432" t="s">
        <v>246</v>
      </c>
      <c r="BR123" s="432" t="s">
        <v>246</v>
      </c>
      <c r="BS123" s="432" t="s">
        <v>246</v>
      </c>
      <c r="BT123" s="432" t="s">
        <v>246</v>
      </c>
      <c r="BU123" s="432" t="s">
        <v>246</v>
      </c>
      <c r="BV123" s="432" t="s">
        <v>246</v>
      </c>
      <c r="BW123" s="432" t="s">
        <v>246</v>
      </c>
      <c r="BX123" s="432" t="s">
        <v>246</v>
      </c>
      <c r="BY123" s="432" t="s">
        <v>246</v>
      </c>
      <c r="BZ123" s="432" t="s">
        <v>246</v>
      </c>
      <c r="CA123" s="432" t="s">
        <v>246</v>
      </c>
      <c r="CB123" s="432" t="s">
        <v>64</v>
      </c>
      <c r="CC123" s="450">
        <f t="shared" si="552"/>
        <v>288418.44528639998</v>
      </c>
      <c r="CD123" s="450">
        <f t="shared" si="553"/>
        <v>0</v>
      </c>
      <c r="CF123" s="263">
        <f t="shared" si="403"/>
        <v>0</v>
      </c>
      <c r="CG123" s="263">
        <f t="shared" si="404"/>
        <v>0</v>
      </c>
      <c r="CH123" s="263">
        <f t="shared" si="405"/>
        <v>0</v>
      </c>
      <c r="CI123" s="263">
        <f t="shared" si="406"/>
        <v>0</v>
      </c>
      <c r="CJ123" s="263">
        <f t="shared" si="407"/>
        <v>0</v>
      </c>
      <c r="CK123" s="263">
        <f t="shared" si="408"/>
        <v>0</v>
      </c>
      <c r="CL123" s="263">
        <f t="shared" si="409"/>
        <v>0</v>
      </c>
      <c r="CM123" s="263">
        <f t="shared" si="410"/>
        <v>0</v>
      </c>
      <c r="CN123" s="263">
        <f t="shared" si="411"/>
        <v>0</v>
      </c>
      <c r="CO123" s="263">
        <f t="shared" si="412"/>
        <v>0</v>
      </c>
      <c r="CP123" s="263">
        <f t="shared" si="413"/>
        <v>0</v>
      </c>
      <c r="CQ123" s="263">
        <f t="shared" si="414"/>
        <v>0</v>
      </c>
      <c r="CR123" s="263">
        <f t="shared" si="415"/>
        <v>0</v>
      </c>
      <c r="CS123" s="263">
        <f t="shared" si="416"/>
        <v>0</v>
      </c>
      <c r="CT123" s="263">
        <f t="shared" si="417"/>
        <v>0</v>
      </c>
      <c r="CU123" s="263">
        <f t="shared" si="418"/>
        <v>0</v>
      </c>
      <c r="CV123" s="263">
        <f t="shared" si="419"/>
        <v>0</v>
      </c>
      <c r="CW123" s="263">
        <f t="shared" si="420"/>
        <v>0</v>
      </c>
      <c r="CX123" s="263">
        <f t="shared" si="421"/>
        <v>0</v>
      </c>
      <c r="CY123" s="263">
        <f t="shared" si="422"/>
        <v>0</v>
      </c>
      <c r="CZ123" s="263">
        <f t="shared" si="423"/>
        <v>0</v>
      </c>
      <c r="DA123" s="263">
        <f t="shared" si="424"/>
        <v>0</v>
      </c>
      <c r="DB123" s="263">
        <f t="shared" si="425"/>
        <v>0</v>
      </c>
      <c r="DC123" s="263">
        <f t="shared" si="426"/>
        <v>0</v>
      </c>
      <c r="DD123" s="263">
        <f t="shared" si="427"/>
        <v>0</v>
      </c>
      <c r="DE123" s="263">
        <f t="shared" si="428"/>
        <v>0</v>
      </c>
      <c r="DF123" s="263">
        <f t="shared" si="429"/>
        <v>4634449</v>
      </c>
      <c r="DG123" s="263">
        <f t="shared" si="430"/>
        <v>0</v>
      </c>
      <c r="DH123" s="263">
        <f t="shared" si="431"/>
        <v>4634449</v>
      </c>
      <c r="DI123" s="263">
        <f t="shared" si="432"/>
        <v>4634449</v>
      </c>
      <c r="DJ123" s="263">
        <f t="shared" si="433"/>
        <v>0</v>
      </c>
      <c r="DK123" s="263">
        <f t="shared" si="434"/>
        <v>0</v>
      </c>
      <c r="DL123" s="263">
        <f t="shared" si="435"/>
        <v>0</v>
      </c>
      <c r="DM123" s="263">
        <f t="shared" si="436"/>
        <v>0</v>
      </c>
      <c r="DO123" s="264">
        <f t="shared" si="437"/>
        <v>0</v>
      </c>
      <c r="DP123" s="265">
        <f t="shared" si="438"/>
        <v>0</v>
      </c>
      <c r="DQ123" s="264">
        <f t="shared" si="439"/>
        <v>4634449</v>
      </c>
      <c r="DR123" s="264">
        <f t="shared" si="440"/>
        <v>0</v>
      </c>
      <c r="DS123" s="265">
        <f t="shared" si="441"/>
        <v>0</v>
      </c>
      <c r="DT123" s="264">
        <f t="shared" si="442"/>
        <v>4634449</v>
      </c>
      <c r="DU123" s="264">
        <f t="shared" si="443"/>
        <v>0</v>
      </c>
      <c r="DV123" s="265">
        <f t="shared" si="444"/>
        <v>0</v>
      </c>
      <c r="DW123" s="264">
        <f t="shared" si="445"/>
        <v>4634449</v>
      </c>
      <c r="DX123" s="264">
        <f t="shared" si="446"/>
        <v>0</v>
      </c>
      <c r="DY123" s="265">
        <f t="shared" si="447"/>
        <v>0</v>
      </c>
      <c r="DZ123" s="264">
        <f t="shared" si="448"/>
        <v>4634449</v>
      </c>
      <c r="EA123" s="264">
        <f t="shared" si="449"/>
        <v>0</v>
      </c>
      <c r="EB123" s="265">
        <f t="shared" si="450"/>
        <v>0</v>
      </c>
      <c r="EC123" s="264">
        <f t="shared" si="451"/>
        <v>4634449</v>
      </c>
      <c r="ED123" s="264">
        <f t="shared" si="452"/>
        <v>0</v>
      </c>
      <c r="EE123" s="265">
        <f t="shared" si="453"/>
        <v>0</v>
      </c>
      <c r="EF123" s="264">
        <f t="shared" si="454"/>
        <v>4634449</v>
      </c>
      <c r="EG123" s="264">
        <f t="shared" si="455"/>
        <v>0</v>
      </c>
      <c r="EH123" s="265">
        <f t="shared" si="456"/>
        <v>0</v>
      </c>
      <c r="EI123" s="264">
        <f t="shared" si="457"/>
        <v>4634449</v>
      </c>
      <c r="EJ123" s="264">
        <f t="shared" si="458"/>
        <v>0</v>
      </c>
      <c r="EK123" s="265">
        <f t="shared" si="459"/>
        <v>0</v>
      </c>
      <c r="EL123" s="264">
        <f t="shared" si="460"/>
        <v>4634449</v>
      </c>
      <c r="EM123" s="264">
        <f t="shared" si="461"/>
        <v>0</v>
      </c>
      <c r="EN123" s="265">
        <f t="shared" si="462"/>
        <v>0</v>
      </c>
      <c r="EO123" s="264">
        <f t="shared" si="463"/>
        <v>4634449</v>
      </c>
      <c r="EP123" s="264">
        <f t="shared" si="464"/>
        <v>0</v>
      </c>
      <c r="EQ123" s="265">
        <f t="shared" si="465"/>
        <v>0</v>
      </c>
      <c r="ER123" s="264">
        <f t="shared" si="466"/>
        <v>4634449</v>
      </c>
      <c r="ES123" s="264">
        <f t="shared" si="467"/>
        <v>0</v>
      </c>
      <c r="ET123" s="265">
        <f t="shared" si="468"/>
        <v>0</v>
      </c>
      <c r="EU123" s="264">
        <f t="shared" si="469"/>
        <v>4634449</v>
      </c>
      <c r="EV123" s="264">
        <f>IF(AND(BM123="Yes",OR(BN123="No",AND(BN123="Yes",Inputs!$J$8=Inputs!$J$17+75))),EU123,0)</f>
        <v>0</v>
      </c>
      <c r="EW123" s="265">
        <f t="shared" si="470"/>
        <v>0</v>
      </c>
      <c r="EX123" s="264">
        <f t="shared" si="471"/>
        <v>4634449</v>
      </c>
      <c r="EY123" s="264">
        <f t="shared" si="472"/>
        <v>0</v>
      </c>
      <c r="EZ123" s="265">
        <f t="shared" si="473"/>
        <v>0</v>
      </c>
      <c r="FA123" s="264">
        <f t="shared" si="474"/>
        <v>4634449</v>
      </c>
      <c r="FB123" s="264">
        <f t="shared" si="475"/>
        <v>0</v>
      </c>
      <c r="FC123" s="265">
        <f t="shared" si="476"/>
        <v>0</v>
      </c>
      <c r="FD123" s="264">
        <f t="shared" si="477"/>
        <v>4634449</v>
      </c>
      <c r="FE123" s="264">
        <f t="shared" si="478"/>
        <v>0</v>
      </c>
      <c r="FF123" s="265">
        <f t="shared" si="479"/>
        <v>0</v>
      </c>
      <c r="FG123" s="264">
        <f t="shared" si="480"/>
        <v>4634449</v>
      </c>
      <c r="FH123" s="264">
        <f t="shared" si="481"/>
        <v>4634449</v>
      </c>
      <c r="FI123" s="264">
        <f t="shared" si="482"/>
        <v>0</v>
      </c>
      <c r="FJ123" s="264">
        <f t="shared" si="483"/>
        <v>4634449</v>
      </c>
      <c r="FK123" s="264">
        <f t="shared" si="484"/>
        <v>4634449</v>
      </c>
      <c r="FL123" s="264">
        <f t="shared" si="485"/>
        <v>0</v>
      </c>
      <c r="FM123" s="264">
        <f t="shared" si="486"/>
        <v>4634449</v>
      </c>
      <c r="FN123" s="264">
        <f t="shared" si="487"/>
        <v>4634449</v>
      </c>
      <c r="FO123" s="264">
        <f t="shared" si="488"/>
        <v>0</v>
      </c>
      <c r="FP123" s="264">
        <f t="shared" si="489"/>
        <v>4634449</v>
      </c>
      <c r="FQ123" s="264">
        <f t="shared" si="490"/>
        <v>0</v>
      </c>
      <c r="FR123" s="265">
        <f t="shared" si="491"/>
        <v>0</v>
      </c>
      <c r="FS123" s="264">
        <f t="shared" si="492"/>
        <v>4634449</v>
      </c>
      <c r="FT123" s="264">
        <f t="shared" si="493"/>
        <v>0</v>
      </c>
      <c r="FU123" s="265">
        <f t="shared" si="494"/>
        <v>0</v>
      </c>
      <c r="FV123" s="264">
        <f t="shared" si="495"/>
        <v>4634449</v>
      </c>
      <c r="FW123" s="264">
        <f t="shared" si="496"/>
        <v>0</v>
      </c>
      <c r="FX123" s="264">
        <f t="shared" si="497"/>
        <v>0</v>
      </c>
      <c r="FY123" s="264">
        <f t="shared" si="498"/>
        <v>0</v>
      </c>
      <c r="FZ123" s="264">
        <f t="shared" si="499"/>
        <v>0</v>
      </c>
      <c r="GA123" s="265">
        <f t="shared" si="500"/>
        <v>0</v>
      </c>
      <c r="GB123" s="264">
        <f t="shared" si="501"/>
        <v>4634449</v>
      </c>
      <c r="GC123" s="264">
        <f t="shared" si="502"/>
        <v>4634449</v>
      </c>
      <c r="GD123" s="266">
        <f t="shared" si="503"/>
        <v>3359975.5249999999</v>
      </c>
      <c r="GE123" s="138">
        <f t="shared" si="504"/>
        <v>0.72499999999999998</v>
      </c>
      <c r="GF123" s="267">
        <f t="shared" si="505"/>
        <v>2</v>
      </c>
      <c r="GG123" s="264">
        <f t="array" ref="GG123">IF(SUM(IF(IC$9:IC122=IC123,1,0))&gt;0,0,SUMIF($IC$10:$IC$406,IC123,$FJ$10:$FJ$406))</f>
        <v>4634449</v>
      </c>
      <c r="GH123" s="268">
        <f t="shared" si="506"/>
        <v>4634449</v>
      </c>
      <c r="GI123" s="137">
        <f t="shared" si="126"/>
        <v>114</v>
      </c>
      <c r="GJ123" s="269">
        <f t="shared" si="507"/>
        <v>0</v>
      </c>
      <c r="GK123" s="269">
        <f t="shared" si="508"/>
        <v>0</v>
      </c>
      <c r="GL123" s="163">
        <f t="shared" si="509"/>
        <v>0</v>
      </c>
      <c r="GM123" s="137">
        <f t="array" ref="GM123">IF(GJ123=0,0,LARGE(IF($GG$10:$GG$406=GJ123,$GF$10:$GF$406,0),COUNTIF($GJ$10:$GJ$406,GJ123)-COUNTIF(GJ$9:GJ122,GJ123)))</f>
        <v>0</v>
      </c>
      <c r="GN123" s="270">
        <f t="shared" si="510"/>
        <v>0</v>
      </c>
      <c r="GP123" s="137">
        <f>IF(C123="","",IF(ISERROR(MATCH(C123,C$10:C122,0)),MAX(GP$10:GP122)+1,INDEX(GP$10:GP122,MATCH(C123,C$10:C122,0))))</f>
        <v>89</v>
      </c>
      <c r="GQ123" s="264">
        <f>IF(COUNTIF($A$10:A123,A123)&lt;=1,SUMIF($A$10:$A$406,A123,$FH$10:$FH$406),0)</f>
        <v>4634449</v>
      </c>
      <c r="GR123" s="137">
        <f t="shared" si="130"/>
        <v>114</v>
      </c>
      <c r="GS123" s="269">
        <f t="shared" si="554"/>
        <v>0</v>
      </c>
      <c r="GT123" s="269">
        <f t="shared" si="555"/>
        <v>0</v>
      </c>
      <c r="GU123" s="163">
        <f t="shared" si="556"/>
        <v>0</v>
      </c>
      <c r="GV123" s="137">
        <f t="array" ref="GV123">IF(GS123=0,0,LARGE(IF($GQ$10:$GQ$406=GS123,$GP$10:$GP$406,0),COUNTIF($GS$10:$GS$406,GS123)-COUNTIF(GS$9:GS122,GS123)))</f>
        <v>0</v>
      </c>
      <c r="GW123" s="270">
        <f t="shared" si="557"/>
        <v>0</v>
      </c>
      <c r="GY123" s="137">
        <f>IF(C123="","",IF(ISERROR(MATCH(C123,C$10:C122,0)),MAX(GP$10:GP122)+1,INDEX(GP$10:GP122,MATCH(C123,C$10:C122,0))))</f>
        <v>89</v>
      </c>
      <c r="GZ123" s="264">
        <f>IF(COUNTIF($A$10:A123,A123)&lt;=1,SUMIF($A$10:$A$406,A123,$FH$10:$FH$406),0)</f>
        <v>4634449</v>
      </c>
      <c r="HA123" s="137">
        <f t="shared" si="134"/>
        <v>114</v>
      </c>
      <c r="HB123" s="269">
        <f t="shared" si="515"/>
        <v>0</v>
      </c>
      <c r="HC123" s="414" t="s">
        <v>622</v>
      </c>
      <c r="HD123" s="163">
        <f t="shared" si="516"/>
        <v>0</v>
      </c>
      <c r="HE123" s="137">
        <f t="array" ref="HE123">IF(HB123=0,0,LARGE(IF($GZ$10:$GZ$406=HB123,$GY$10:$GY$406,0),COUNTIF($HB$10:$HB$406,HB123)-COUNTIF(HB$9:HB122,HB123)))</f>
        <v>0</v>
      </c>
      <c r="HF123" s="270">
        <f t="shared" si="517"/>
        <v>0</v>
      </c>
      <c r="HH123" s="268">
        <f t="shared" si="518"/>
        <v>0</v>
      </c>
      <c r="HI123" s="271">
        <v>0</v>
      </c>
      <c r="HJ123" s="264">
        <f t="shared" si="519"/>
        <v>0</v>
      </c>
      <c r="HL123" s="137">
        <f t="shared" si="520"/>
        <v>114</v>
      </c>
      <c r="HM123" s="264">
        <f t="shared" si="521"/>
        <v>1990000</v>
      </c>
      <c r="HO123" s="199">
        <f t="shared" si="522"/>
        <v>4634449</v>
      </c>
      <c r="HP123" s="199">
        <f t="shared" si="523"/>
        <v>4634449</v>
      </c>
      <c r="HQ123" s="199" t="str">
        <f t="shared" si="524"/>
        <v/>
      </c>
      <c r="HR123" s="199" t="str">
        <f t="shared" si="525"/>
        <v/>
      </c>
      <c r="HS123" s="199" t="str">
        <f t="shared" si="539"/>
        <v/>
      </c>
      <c r="HT123" s="199" t="str">
        <f t="shared" si="526"/>
        <v/>
      </c>
      <c r="HU123" s="199" t="str">
        <f t="shared" si="527"/>
        <v/>
      </c>
      <c r="HV123" s="200">
        <f t="shared" si="528"/>
        <v>0</v>
      </c>
      <c r="HW123" s="272">
        <f t="shared" si="540"/>
        <v>1</v>
      </c>
      <c r="HX123" s="200" t="str">
        <f t="shared" si="529"/>
        <v/>
      </c>
      <c r="HY123" s="200">
        <f t="shared" si="530"/>
        <v>0</v>
      </c>
      <c r="HZ123" s="200" t="str">
        <f t="shared" si="535"/>
        <v/>
      </c>
      <c r="IA123" s="200" t="str">
        <f t="shared" si="531"/>
        <v/>
      </c>
      <c r="IB123" s="200" t="str">
        <f t="shared" si="532"/>
        <v/>
      </c>
      <c r="IC123" s="273">
        <f>IF(C123="","",INDEX(Lookups!$E$2:$E$69,MATCH('Loan List'!BE123,Lookups!$F$2:$F$69,0)))</f>
        <v>2</v>
      </c>
      <c r="ID123" t="b">
        <f t="shared" si="533"/>
        <v>1</v>
      </c>
    </row>
    <row r="124" spans="1:240">
      <c r="A124" t="s">
        <v>536</v>
      </c>
      <c r="B124" s="242">
        <f t="shared" si="541"/>
        <v>115</v>
      </c>
      <c r="C124" s="242">
        <f>IF(COUNTIF($A$10:A123,A124)&gt;0,C123,C123+1)</f>
        <v>90</v>
      </c>
      <c r="D124" s="428" t="s">
        <v>536</v>
      </c>
      <c r="E124" s="428" t="s">
        <v>533</v>
      </c>
      <c r="F124" s="429"/>
      <c r="G124" s="430">
        <v>5547119.4198000003</v>
      </c>
      <c r="H124" s="430">
        <v>5547119.4198000003</v>
      </c>
      <c r="I124" s="244">
        <f>IF(B124="","",VLOOKUP(BF124,Inputs!$A$12:$J$15,10,FALSE))</f>
        <v>1</v>
      </c>
      <c r="J124" s="245">
        <f t="shared" si="542"/>
        <v>5547119.4198000003</v>
      </c>
      <c r="K124" s="245">
        <f t="shared" si="543"/>
        <v>5547119.4198000003</v>
      </c>
      <c r="L124" s="245">
        <f t="shared" si="544"/>
        <v>5547119.4198000003</v>
      </c>
      <c r="M124" s="245">
        <f t="shared" si="545"/>
        <v>5547119.4198000003</v>
      </c>
      <c r="N124" s="432" t="s">
        <v>246</v>
      </c>
      <c r="O124" s="432" t="s">
        <v>245</v>
      </c>
      <c r="P124" s="433">
        <f>IF(B124="","",IF(OR(O124="N/A",O124=""),0,YEARFRAC('Borrowing Base'!$J$4,'Loan List'!O124)*12))</f>
        <v>0</v>
      </c>
      <c r="Q124" s="432" t="s">
        <v>246</v>
      </c>
      <c r="R124" s="434">
        <v>0.97999999999999987</v>
      </c>
      <c r="S124" s="435" t="str">
        <f t="shared" si="546"/>
        <v>No</v>
      </c>
      <c r="T124" s="434">
        <v>0.61999999734085276</v>
      </c>
      <c r="U124" s="436">
        <f t="shared" si="547"/>
        <v>0.5</v>
      </c>
      <c r="V124" s="436">
        <f t="shared" si="548"/>
        <v>0.72499999999999998</v>
      </c>
      <c r="W124" s="251">
        <f t="shared" si="385"/>
        <v>2773559.7099000001</v>
      </c>
      <c r="X124" s="432" t="s">
        <v>64</v>
      </c>
      <c r="Y124" s="437" t="s">
        <v>483</v>
      </c>
      <c r="Z124" s="437" t="s">
        <v>484</v>
      </c>
      <c r="AA124" s="438" t="s">
        <v>407</v>
      </c>
      <c r="AB124" s="438" t="s">
        <v>713</v>
      </c>
      <c r="AC124" s="439">
        <v>3.22</v>
      </c>
      <c r="AD124" s="439" t="s">
        <v>409</v>
      </c>
      <c r="AE124" s="439" t="s">
        <v>515</v>
      </c>
      <c r="AF124" s="439">
        <v>0.20769780219780218</v>
      </c>
      <c r="AG124" s="440">
        <v>3.42</v>
      </c>
      <c r="AH124" s="440">
        <v>3.42</v>
      </c>
      <c r="AI124" s="440">
        <v>-11.048312270036794</v>
      </c>
      <c r="AJ124" s="440">
        <v>-11.048312270036794</v>
      </c>
      <c r="AK124" s="441">
        <v>22128888</v>
      </c>
      <c r="AL124" s="441">
        <v>-6251000</v>
      </c>
      <c r="AM124" s="258">
        <v>45808</v>
      </c>
      <c r="AN124" s="442" t="str">
        <f t="shared" si="549"/>
        <v>Tier 2</v>
      </c>
      <c r="AO124" s="443">
        <v>46700</v>
      </c>
      <c r="AP124" s="444">
        <f>IF(C124="","",DAYS360(Inputs!$J$8,AO124)/360)</f>
        <v>2.2083333333333335</v>
      </c>
      <c r="AQ124" s="444">
        <f t="shared" si="550"/>
        <v>2.2083333333333335</v>
      </c>
      <c r="AR124" s="432" t="s">
        <v>246</v>
      </c>
      <c r="AS124" s="445">
        <v>0</v>
      </c>
      <c r="AT124" s="432" t="s">
        <v>64</v>
      </c>
      <c r="AU124" s="446">
        <v>0.01</v>
      </c>
      <c r="AV124" s="446">
        <v>7.2499999999999995E-2</v>
      </c>
      <c r="AW124" s="446">
        <v>4.2515999999999998E-2</v>
      </c>
      <c r="AX124" s="260">
        <f t="shared" si="551"/>
        <v>4.2515999999999998E-2</v>
      </c>
      <c r="AY124" s="446">
        <v>0</v>
      </c>
      <c r="AZ124" s="446">
        <v>3.5000000000000003E-2</v>
      </c>
      <c r="BA124" s="446">
        <v>0</v>
      </c>
      <c r="BB124" s="447">
        <f t="shared" si="536"/>
        <v>3.7499999999999992E-2</v>
      </c>
      <c r="BC124" s="447" t="str">
        <f t="shared" si="537"/>
        <v/>
      </c>
      <c r="BD124" s="437" t="s">
        <v>247</v>
      </c>
      <c r="BE124" s="448" t="s">
        <v>465</v>
      </c>
      <c r="BF124" s="437" t="s">
        <v>7</v>
      </c>
      <c r="BG124" s="437" t="s">
        <v>460</v>
      </c>
      <c r="BH124" s="432" t="s">
        <v>246</v>
      </c>
      <c r="BI124" s="449" t="str">
        <f t="shared" si="559"/>
        <v>Yes</v>
      </c>
      <c r="BJ124" s="449" t="str">
        <f t="shared" si="560"/>
        <v>No</v>
      </c>
      <c r="BK124" s="432" t="s">
        <v>246</v>
      </c>
      <c r="BL124" s="432" t="s">
        <v>246</v>
      </c>
      <c r="BM124" s="432" t="s">
        <v>246</v>
      </c>
      <c r="BN124" s="432" t="s">
        <v>246</v>
      </c>
      <c r="BO124" s="432" t="s">
        <v>246</v>
      </c>
      <c r="BP124" s="432" t="s">
        <v>246</v>
      </c>
      <c r="BQ124" s="432" t="s">
        <v>246</v>
      </c>
      <c r="BR124" s="432" t="s">
        <v>246</v>
      </c>
      <c r="BS124" s="432" t="s">
        <v>246</v>
      </c>
      <c r="BT124" s="432" t="s">
        <v>246</v>
      </c>
      <c r="BU124" s="432" t="s">
        <v>246</v>
      </c>
      <c r="BV124" s="432" t="s">
        <v>246</v>
      </c>
      <c r="BW124" s="432" t="s">
        <v>246</v>
      </c>
      <c r="BX124" s="432" t="s">
        <v>246</v>
      </c>
      <c r="BY124" s="432" t="s">
        <v>246</v>
      </c>
      <c r="BZ124" s="432" t="s">
        <v>246</v>
      </c>
      <c r="CA124" s="432" t="s">
        <v>246</v>
      </c>
      <c r="CB124" s="432" t="s">
        <v>64</v>
      </c>
      <c r="CC124" s="450">
        <f t="shared" si="552"/>
        <v>204098.49308435322</v>
      </c>
      <c r="CD124" s="450">
        <f t="shared" si="553"/>
        <v>0</v>
      </c>
      <c r="CF124" s="263">
        <f t="shared" si="403"/>
        <v>0</v>
      </c>
      <c r="CG124" s="263">
        <f t="shared" si="404"/>
        <v>0</v>
      </c>
      <c r="CH124" s="263">
        <f t="shared" si="405"/>
        <v>0</v>
      </c>
      <c r="CI124" s="263">
        <f t="shared" si="406"/>
        <v>0</v>
      </c>
      <c r="CJ124" s="263">
        <f t="shared" si="407"/>
        <v>0</v>
      </c>
      <c r="CK124" s="263">
        <f t="shared" si="408"/>
        <v>0</v>
      </c>
      <c r="CL124" s="263">
        <f t="shared" si="409"/>
        <v>0</v>
      </c>
      <c r="CM124" s="263">
        <f t="shared" si="410"/>
        <v>0</v>
      </c>
      <c r="CN124" s="263">
        <f t="shared" si="411"/>
        <v>0</v>
      </c>
      <c r="CO124" s="263">
        <f t="shared" si="412"/>
        <v>0</v>
      </c>
      <c r="CP124" s="263">
        <f t="shared" si="413"/>
        <v>0</v>
      </c>
      <c r="CQ124" s="263">
        <f t="shared" si="414"/>
        <v>0</v>
      </c>
      <c r="CR124" s="263">
        <f t="shared" si="415"/>
        <v>0</v>
      </c>
      <c r="CS124" s="263">
        <f t="shared" si="416"/>
        <v>0</v>
      </c>
      <c r="CT124" s="263">
        <f t="shared" si="417"/>
        <v>0</v>
      </c>
      <c r="CU124" s="263">
        <f t="shared" si="418"/>
        <v>0</v>
      </c>
      <c r="CV124" s="263">
        <f t="shared" si="419"/>
        <v>0</v>
      </c>
      <c r="CW124" s="263">
        <f t="shared" si="420"/>
        <v>0</v>
      </c>
      <c r="CX124" s="263">
        <f t="shared" si="421"/>
        <v>0</v>
      </c>
      <c r="CY124" s="263">
        <f t="shared" si="422"/>
        <v>0</v>
      </c>
      <c r="CZ124" s="263">
        <f t="shared" si="423"/>
        <v>1</v>
      </c>
      <c r="DA124" s="263">
        <f t="shared" si="424"/>
        <v>0</v>
      </c>
      <c r="DB124" s="263">
        <f t="shared" si="425"/>
        <v>0</v>
      </c>
      <c r="DC124" s="263">
        <f t="shared" si="426"/>
        <v>0</v>
      </c>
      <c r="DD124" s="263">
        <f t="shared" si="427"/>
        <v>0</v>
      </c>
      <c r="DE124" s="263">
        <f t="shared" si="428"/>
        <v>0</v>
      </c>
      <c r="DF124" s="263">
        <f t="shared" si="429"/>
        <v>2773559.7099000001</v>
      </c>
      <c r="DG124" s="263">
        <f t="shared" si="430"/>
        <v>0</v>
      </c>
      <c r="DH124" s="263">
        <f t="shared" si="431"/>
        <v>2773559.7099000001</v>
      </c>
      <c r="DI124" s="263">
        <f t="shared" si="432"/>
        <v>5547119.4198000003</v>
      </c>
      <c r="DJ124" s="263">
        <f t="shared" si="433"/>
        <v>0</v>
      </c>
      <c r="DK124" s="263">
        <f t="shared" si="434"/>
        <v>0</v>
      </c>
      <c r="DL124" s="263">
        <f t="shared" si="435"/>
        <v>0</v>
      </c>
      <c r="DM124" s="263">
        <f t="shared" si="436"/>
        <v>0</v>
      </c>
      <c r="DO124" s="264">
        <f t="shared" si="437"/>
        <v>0</v>
      </c>
      <c r="DP124" s="265">
        <f t="shared" si="438"/>
        <v>0</v>
      </c>
      <c r="DQ124" s="264">
        <f t="shared" si="439"/>
        <v>2773559.7099000001</v>
      </c>
      <c r="DR124" s="264">
        <f t="shared" si="440"/>
        <v>0</v>
      </c>
      <c r="DS124" s="265">
        <f t="shared" si="441"/>
        <v>0</v>
      </c>
      <c r="DT124" s="264">
        <f t="shared" si="442"/>
        <v>2773559.7099000001</v>
      </c>
      <c r="DU124" s="264">
        <f t="shared" si="443"/>
        <v>0</v>
      </c>
      <c r="DV124" s="265">
        <f t="shared" si="444"/>
        <v>0</v>
      </c>
      <c r="DW124" s="264">
        <f t="shared" si="445"/>
        <v>2773559.7099000001</v>
      </c>
      <c r="DX124" s="264">
        <f t="shared" si="446"/>
        <v>0</v>
      </c>
      <c r="DY124" s="265">
        <f t="shared" si="447"/>
        <v>0</v>
      </c>
      <c r="DZ124" s="264">
        <f t="shared" si="448"/>
        <v>2773559.7099000001</v>
      </c>
      <c r="EA124" s="264">
        <f t="shared" si="449"/>
        <v>2773559.7099000001</v>
      </c>
      <c r="EB124" s="265">
        <f t="shared" si="450"/>
        <v>0</v>
      </c>
      <c r="EC124" s="264">
        <f t="shared" si="451"/>
        <v>2773559.7099000001</v>
      </c>
      <c r="ED124" s="264">
        <f t="shared" si="452"/>
        <v>0</v>
      </c>
      <c r="EE124" s="265">
        <f t="shared" si="453"/>
        <v>0</v>
      </c>
      <c r="EF124" s="264">
        <f t="shared" si="454"/>
        <v>2773559.7099000001</v>
      </c>
      <c r="EG124" s="264">
        <f t="shared" si="455"/>
        <v>0</v>
      </c>
      <c r="EH124" s="265">
        <f t="shared" si="456"/>
        <v>0</v>
      </c>
      <c r="EI124" s="264">
        <f t="shared" si="457"/>
        <v>2773559.7099000001</v>
      </c>
      <c r="EJ124" s="264">
        <f t="shared" si="458"/>
        <v>0</v>
      </c>
      <c r="EK124" s="265">
        <f t="shared" si="459"/>
        <v>0</v>
      </c>
      <c r="EL124" s="264">
        <f t="shared" si="460"/>
        <v>2773559.7099000001</v>
      </c>
      <c r="EM124" s="264">
        <f t="shared" si="461"/>
        <v>0</v>
      </c>
      <c r="EN124" s="265">
        <f t="shared" si="462"/>
        <v>0</v>
      </c>
      <c r="EO124" s="264">
        <f t="shared" si="463"/>
        <v>2773559.7099000001</v>
      </c>
      <c r="EP124" s="264">
        <f t="shared" si="464"/>
        <v>0</v>
      </c>
      <c r="EQ124" s="265">
        <f t="shared" si="465"/>
        <v>0</v>
      </c>
      <c r="ER124" s="264">
        <f t="shared" si="466"/>
        <v>2773559.7099000001</v>
      </c>
      <c r="ES124" s="264">
        <f t="shared" si="467"/>
        <v>0</v>
      </c>
      <c r="ET124" s="265">
        <f t="shared" si="468"/>
        <v>0</v>
      </c>
      <c r="EU124" s="264">
        <f t="shared" si="469"/>
        <v>2773559.7099000001</v>
      </c>
      <c r="EV124" s="264">
        <f>IF(AND(BM124="Yes",OR(BN124="No",AND(BN124="Yes",Inputs!$J$8=Inputs!$J$17+75))),EU124,0)</f>
        <v>0</v>
      </c>
      <c r="EW124" s="265">
        <f t="shared" si="470"/>
        <v>0</v>
      </c>
      <c r="EX124" s="264">
        <f t="shared" si="471"/>
        <v>2773559.7099000001</v>
      </c>
      <c r="EY124" s="264">
        <f t="shared" si="472"/>
        <v>0</v>
      </c>
      <c r="EZ124" s="265">
        <f t="shared" si="473"/>
        <v>0</v>
      </c>
      <c r="FA124" s="264">
        <f t="shared" si="474"/>
        <v>2773559.7099000001</v>
      </c>
      <c r="FB124" s="264">
        <f t="shared" si="475"/>
        <v>0</v>
      </c>
      <c r="FC124" s="265">
        <f t="shared" si="476"/>
        <v>0</v>
      </c>
      <c r="FD124" s="264">
        <f t="shared" si="477"/>
        <v>2773559.7099000001</v>
      </c>
      <c r="FE124" s="264">
        <f t="shared" si="478"/>
        <v>0</v>
      </c>
      <c r="FF124" s="265">
        <f t="shared" si="479"/>
        <v>0</v>
      </c>
      <c r="FG124" s="264">
        <f t="shared" si="480"/>
        <v>2773559.7099000001</v>
      </c>
      <c r="FH124" s="264">
        <f t="shared" si="481"/>
        <v>2773559.7099000001</v>
      </c>
      <c r="FI124" s="264">
        <f t="shared" si="482"/>
        <v>0</v>
      </c>
      <c r="FJ124" s="264">
        <f t="shared" si="483"/>
        <v>2773559.7099000001</v>
      </c>
      <c r="FK124" s="264">
        <f t="shared" si="484"/>
        <v>2773559.7099000001</v>
      </c>
      <c r="FL124" s="264">
        <f t="shared" si="485"/>
        <v>0</v>
      </c>
      <c r="FM124" s="264">
        <f t="shared" si="486"/>
        <v>2773559.7099000001</v>
      </c>
      <c r="FN124" s="264">
        <f t="shared" si="487"/>
        <v>2773559.7099000001</v>
      </c>
      <c r="FO124" s="264">
        <f t="shared" si="488"/>
        <v>0</v>
      </c>
      <c r="FP124" s="264">
        <f t="shared" si="489"/>
        <v>2773559.7099000001</v>
      </c>
      <c r="FQ124" s="264">
        <f t="shared" si="490"/>
        <v>0</v>
      </c>
      <c r="FR124" s="265">
        <f t="shared" si="491"/>
        <v>0</v>
      </c>
      <c r="FS124" s="264">
        <f t="shared" si="492"/>
        <v>2773559.7099000001</v>
      </c>
      <c r="FT124" s="264">
        <f t="shared" si="493"/>
        <v>0</v>
      </c>
      <c r="FU124" s="265">
        <f t="shared" si="494"/>
        <v>0</v>
      </c>
      <c r="FV124" s="264">
        <f t="shared" si="495"/>
        <v>2773559.7099000001</v>
      </c>
      <c r="FW124" s="264">
        <f t="shared" si="496"/>
        <v>0</v>
      </c>
      <c r="FX124" s="264">
        <f t="shared" si="497"/>
        <v>0</v>
      </c>
      <c r="FY124" s="264">
        <f t="shared" si="498"/>
        <v>0</v>
      </c>
      <c r="FZ124" s="264">
        <f t="shared" si="499"/>
        <v>0</v>
      </c>
      <c r="GA124" s="265">
        <f t="shared" si="500"/>
        <v>0</v>
      </c>
      <c r="GB124" s="264">
        <f t="shared" si="501"/>
        <v>2773559.7099000001</v>
      </c>
      <c r="GC124" s="264">
        <f t="shared" si="502"/>
        <v>2773559.7099000001</v>
      </c>
      <c r="GD124" s="266">
        <f t="shared" si="503"/>
        <v>2010830.7896775</v>
      </c>
      <c r="GE124" s="138">
        <f t="shared" si="504"/>
        <v>0.36249999999999999</v>
      </c>
      <c r="GF124" s="267">
        <f t="shared" si="505"/>
        <v>62</v>
      </c>
      <c r="GG124" s="264">
        <f t="array" ref="GG124">IF(SUM(IF(IC$9:IC123=IC124,1,0))&gt;0,0,SUMIF($IC$10:$IC$406,IC124,$FJ$10:$FJ$406))</f>
        <v>4567103.2099000001</v>
      </c>
      <c r="GH124" s="268">
        <f t="shared" si="506"/>
        <v>4567103.2099000001</v>
      </c>
      <c r="GI124" s="137">
        <f t="shared" si="126"/>
        <v>115</v>
      </c>
      <c r="GJ124" s="269">
        <f t="shared" si="507"/>
        <v>0</v>
      </c>
      <c r="GK124" s="269">
        <f t="shared" si="508"/>
        <v>0</v>
      </c>
      <c r="GL124" s="163">
        <f t="shared" si="509"/>
        <v>0</v>
      </c>
      <c r="GM124" s="137">
        <f t="array" ref="GM124">IF(GJ124=0,0,LARGE(IF($GG$10:$GG$406=GJ124,$GF$10:$GF$406,0),COUNTIF($GJ$10:$GJ$406,GJ124)-COUNTIF(GJ$9:GJ123,GJ124)))</f>
        <v>0</v>
      </c>
      <c r="GN124" s="270">
        <f t="shared" si="510"/>
        <v>0</v>
      </c>
      <c r="GP124" s="137">
        <f>IF(C124="","",IF(ISERROR(MATCH(C124,C$10:C123,0)),MAX(GP$10:GP123)+1,INDEX(GP$10:GP123,MATCH(C124,C$10:C123,0))))</f>
        <v>90</v>
      </c>
      <c r="GQ124" s="264">
        <f>IF(COUNTIF($A$10:A124,A124)&lt;=1,SUMIF($A$10:$A$406,A124,$FH$10:$FH$406),0)</f>
        <v>4567103.2099000001</v>
      </c>
      <c r="GR124" s="137">
        <f t="shared" si="130"/>
        <v>115</v>
      </c>
      <c r="GS124" s="269">
        <f t="shared" si="554"/>
        <v>0</v>
      </c>
      <c r="GT124" s="269">
        <f t="shared" si="555"/>
        <v>0</v>
      </c>
      <c r="GU124" s="163">
        <f t="shared" si="556"/>
        <v>0</v>
      </c>
      <c r="GV124" s="137">
        <f t="array" ref="GV124">IF(GS124=0,0,LARGE(IF($GQ$10:$GQ$406=GS124,$GP$10:$GP$406,0),COUNTIF($GS$10:$GS$406,GS124)-COUNTIF(GS$9:GS123,GS124)))</f>
        <v>0</v>
      </c>
      <c r="GW124" s="270">
        <f t="shared" si="557"/>
        <v>0</v>
      </c>
      <c r="GY124" s="137">
        <f>IF(C124="","",IF(ISERROR(MATCH(C124,C$10:C123,0)),MAX(GP$10:GP123)+1,INDEX(GP$10:GP123,MATCH(C124,C$10:C123,0))))</f>
        <v>90</v>
      </c>
      <c r="GZ124" s="264">
        <f>IF(COUNTIF($A$10:A124,A124)&lt;=1,SUMIF($A$10:$A$406,A124,$FH$10:$FH$406),0)</f>
        <v>4567103.2099000001</v>
      </c>
      <c r="HA124" s="137">
        <f t="shared" si="134"/>
        <v>115</v>
      </c>
      <c r="HB124" s="269">
        <f t="shared" si="515"/>
        <v>0</v>
      </c>
      <c r="HC124" s="414" t="s">
        <v>622</v>
      </c>
      <c r="HD124" s="163">
        <f t="shared" si="516"/>
        <v>0</v>
      </c>
      <c r="HE124" s="137">
        <f t="array" ref="HE124">IF(HB124=0,0,LARGE(IF($GZ$10:$GZ$406=HB124,$GY$10:$GY$406,0),COUNTIF($HB$10:$HB$406,HB124)-COUNTIF(HB$9:HB123,HB124)))</f>
        <v>0</v>
      </c>
      <c r="HF124" s="270">
        <f t="shared" si="517"/>
        <v>0</v>
      </c>
      <c r="HH124" s="268">
        <f t="shared" si="518"/>
        <v>0</v>
      </c>
      <c r="HI124" s="271">
        <v>0</v>
      </c>
      <c r="HJ124" s="264">
        <f t="shared" si="519"/>
        <v>0</v>
      </c>
      <c r="HL124" s="137">
        <f t="shared" si="520"/>
        <v>115</v>
      </c>
      <c r="HM124" s="264">
        <f t="shared" si="521"/>
        <v>6864468.25</v>
      </c>
      <c r="HO124" s="199">
        <f t="shared" si="522"/>
        <v>2773559.7099000001</v>
      </c>
      <c r="HP124" s="199">
        <f t="shared" si="523"/>
        <v>5547119.4198000003</v>
      </c>
      <c r="HQ124" s="199" t="str">
        <f t="shared" si="524"/>
        <v/>
      </c>
      <c r="HR124" s="199" t="str">
        <f t="shared" si="525"/>
        <v/>
      </c>
      <c r="HS124" s="199" t="str">
        <f t="shared" si="539"/>
        <v/>
      </c>
      <c r="HT124" s="199">
        <f t="shared" si="526"/>
        <v>2773559.7099000001</v>
      </c>
      <c r="HU124" s="199" t="str">
        <f t="shared" si="527"/>
        <v/>
      </c>
      <c r="HV124" s="200">
        <f t="shared" si="528"/>
        <v>0</v>
      </c>
      <c r="HW124" s="272" t="str">
        <f t="shared" si="540"/>
        <v/>
      </c>
      <c r="HX124" s="200">
        <f t="shared" si="529"/>
        <v>0</v>
      </c>
      <c r="HY124" s="200">
        <f t="shared" si="530"/>
        <v>2773559.7099000001</v>
      </c>
      <c r="HZ124" s="200">
        <f t="shared" si="535"/>
        <v>0</v>
      </c>
      <c r="IA124" s="200">
        <f t="shared" si="531"/>
        <v>0</v>
      </c>
      <c r="IB124" s="200">
        <f t="shared" si="532"/>
        <v>0</v>
      </c>
      <c r="IC124" s="273">
        <f>IF(C124="","",INDEX(Lookups!$E$2:$E$69,MATCH('Loan List'!BE124,Lookups!$F$2:$F$69,0)))</f>
        <v>62</v>
      </c>
      <c r="ID124" t="b">
        <f t="shared" si="533"/>
        <v>1</v>
      </c>
    </row>
    <row r="125" spans="1:240">
      <c r="A125" t="s">
        <v>536</v>
      </c>
      <c r="B125" s="242">
        <f t="shared" si="541"/>
        <v>116</v>
      </c>
      <c r="C125" s="242">
        <f>IF(COUNTIF($A$10:A124,A125)&gt;0,C124,C124+1)</f>
        <v>90</v>
      </c>
      <c r="D125" s="431" t="s">
        <v>779</v>
      </c>
      <c r="E125" s="428" t="s">
        <v>533</v>
      </c>
      <c r="F125" s="429"/>
      <c r="G125" s="430">
        <v>3587087</v>
      </c>
      <c r="H125" s="430">
        <v>3587087</v>
      </c>
      <c r="I125" s="244">
        <f>IF(B125="","",VLOOKUP(BF125,Inputs!$A$12:$J$15,10,FALSE))</f>
        <v>1</v>
      </c>
      <c r="J125" s="245">
        <f t="shared" si="542"/>
        <v>3587087</v>
      </c>
      <c r="K125" s="245">
        <f t="shared" si="543"/>
        <v>3587087</v>
      </c>
      <c r="L125" s="245">
        <f t="shared" si="544"/>
        <v>3587087</v>
      </c>
      <c r="M125" s="245">
        <f t="shared" si="545"/>
        <v>3587087</v>
      </c>
      <c r="N125" s="432" t="s">
        <v>246</v>
      </c>
      <c r="O125" s="432" t="s">
        <v>245</v>
      </c>
      <c r="P125" s="433">
        <f>IF(B125="","",IF(OR(O125="N/A",O125=""),0,YEARFRAC('Borrowing Base'!$J$4,'Loan List'!O125)*12))</f>
        <v>0</v>
      </c>
      <c r="Q125" s="432" t="s">
        <v>246</v>
      </c>
      <c r="R125" s="434">
        <v>0.97999999999999987</v>
      </c>
      <c r="S125" s="435" t="str">
        <f t="shared" si="546"/>
        <v>No</v>
      </c>
      <c r="T125" s="434">
        <v>0.61999999734085276</v>
      </c>
      <c r="U125" s="436">
        <f t="shared" si="547"/>
        <v>0.5</v>
      </c>
      <c r="V125" s="436">
        <f t="shared" si="548"/>
        <v>0.72499999999999998</v>
      </c>
      <c r="W125" s="251">
        <f t="shared" si="385"/>
        <v>1793543.5</v>
      </c>
      <c r="X125" s="432" t="s">
        <v>64</v>
      </c>
      <c r="Y125" s="437" t="s">
        <v>483</v>
      </c>
      <c r="Z125" s="437" t="s">
        <v>484</v>
      </c>
      <c r="AA125" s="438" t="s">
        <v>407</v>
      </c>
      <c r="AB125" s="438" t="s">
        <v>713</v>
      </c>
      <c r="AC125" s="439">
        <v>3.22</v>
      </c>
      <c r="AD125" s="439" t="s">
        <v>409</v>
      </c>
      <c r="AE125" s="439" t="s">
        <v>515</v>
      </c>
      <c r="AF125" s="439">
        <v>0.20769780219780218</v>
      </c>
      <c r="AG125" s="440">
        <v>3.42</v>
      </c>
      <c r="AH125" s="440">
        <v>3.42</v>
      </c>
      <c r="AI125" s="440">
        <v>-11.048312270036794</v>
      </c>
      <c r="AJ125" s="440">
        <v>-11.048312270036794</v>
      </c>
      <c r="AK125" s="441">
        <v>22128888</v>
      </c>
      <c r="AL125" s="441">
        <v>-6251000</v>
      </c>
      <c r="AM125" s="258">
        <v>45808</v>
      </c>
      <c r="AN125" s="442" t="str">
        <f t="shared" si="549"/>
        <v>Tier 2</v>
      </c>
      <c r="AO125" s="443">
        <v>46700</v>
      </c>
      <c r="AP125" s="444">
        <f>IF(C125="","",DAYS360(Inputs!$J$8,AO125)/360)</f>
        <v>2.2083333333333335</v>
      </c>
      <c r="AQ125" s="444">
        <f t="shared" si="550"/>
        <v>2.2083333333333335</v>
      </c>
      <c r="AR125" s="432" t="s">
        <v>246</v>
      </c>
      <c r="AS125" s="445">
        <v>0</v>
      </c>
      <c r="AT125" s="432" t="s">
        <v>64</v>
      </c>
      <c r="AU125" s="446">
        <v>0.01</v>
      </c>
      <c r="AV125" s="446">
        <v>7.2499999999999995E-2</v>
      </c>
      <c r="AW125" s="446">
        <v>4.2515999999999998E-2</v>
      </c>
      <c r="AX125" s="260">
        <f t="shared" si="551"/>
        <v>4.2515999999999998E-2</v>
      </c>
      <c r="AY125" s="446">
        <v>0</v>
      </c>
      <c r="AZ125" s="446">
        <v>3.5000000000000003E-2</v>
      </c>
      <c r="BA125" s="446">
        <v>0</v>
      </c>
      <c r="BB125" s="447">
        <f t="shared" si="536"/>
        <v>3.7499999999999992E-2</v>
      </c>
      <c r="BC125" s="447" t="str">
        <f t="shared" si="537"/>
        <v/>
      </c>
      <c r="BD125" s="437" t="s">
        <v>247</v>
      </c>
      <c r="BE125" s="448" t="s">
        <v>465</v>
      </c>
      <c r="BF125" s="437" t="s">
        <v>7</v>
      </c>
      <c r="BG125" s="437" t="s">
        <v>460</v>
      </c>
      <c r="BH125" s="432" t="s">
        <v>246</v>
      </c>
      <c r="BI125" s="449" t="str">
        <f t="shared" si="559"/>
        <v>Yes</v>
      </c>
      <c r="BJ125" s="449" t="str">
        <f t="shared" si="560"/>
        <v>No</v>
      </c>
      <c r="BK125" s="432" t="s">
        <v>246</v>
      </c>
      <c r="BL125" s="432" t="s">
        <v>246</v>
      </c>
      <c r="BM125" s="246" t="s">
        <v>64</v>
      </c>
      <c r="BN125" s="246" t="s">
        <v>64</v>
      </c>
      <c r="BO125" s="432" t="s">
        <v>246</v>
      </c>
      <c r="BP125" s="432" t="s">
        <v>246</v>
      </c>
      <c r="BQ125" s="432" t="s">
        <v>246</v>
      </c>
      <c r="BR125" s="432" t="s">
        <v>246</v>
      </c>
      <c r="BS125" s="432" t="s">
        <v>246</v>
      </c>
      <c r="BT125" s="432" t="s">
        <v>246</v>
      </c>
      <c r="BU125" s="432" t="s">
        <v>246</v>
      </c>
      <c r="BV125" s="432" t="s">
        <v>246</v>
      </c>
      <c r="BW125" s="432" t="s">
        <v>246</v>
      </c>
      <c r="BX125" s="432" t="s">
        <v>246</v>
      </c>
      <c r="BY125" s="432" t="s">
        <v>246</v>
      </c>
      <c r="BZ125" s="432" t="s">
        <v>246</v>
      </c>
      <c r="CA125" s="432" t="s">
        <v>246</v>
      </c>
      <c r="CB125" s="432" t="s">
        <v>64</v>
      </c>
      <c r="CC125" s="450">
        <f t="shared" si="552"/>
        <v>131981.84424319997</v>
      </c>
      <c r="CD125" s="450">
        <f t="shared" si="553"/>
        <v>0</v>
      </c>
      <c r="CF125" s="263">
        <f t="shared" si="403"/>
        <v>0</v>
      </c>
      <c r="CG125" s="263">
        <f t="shared" si="404"/>
        <v>0</v>
      </c>
      <c r="CH125" s="263">
        <f t="shared" si="405"/>
        <v>0</v>
      </c>
      <c r="CI125" s="263">
        <f t="shared" si="406"/>
        <v>0</v>
      </c>
      <c r="CJ125" s="263">
        <f t="shared" si="407"/>
        <v>0</v>
      </c>
      <c r="CK125" s="263">
        <f t="shared" si="408"/>
        <v>0</v>
      </c>
      <c r="CL125" s="263">
        <f t="shared" si="409"/>
        <v>0</v>
      </c>
      <c r="CM125" s="263">
        <f t="shared" si="410"/>
        <v>0</v>
      </c>
      <c r="CN125" s="263">
        <f t="shared" si="411"/>
        <v>0</v>
      </c>
      <c r="CO125" s="263">
        <f t="shared" si="412"/>
        <v>0</v>
      </c>
      <c r="CP125" s="263">
        <f t="shared" si="413"/>
        <v>0</v>
      </c>
      <c r="CQ125" s="263">
        <f t="shared" si="414"/>
        <v>0</v>
      </c>
      <c r="CR125" s="263">
        <f t="shared" si="415"/>
        <v>0</v>
      </c>
      <c r="CS125" s="263">
        <f t="shared" si="416"/>
        <v>0</v>
      </c>
      <c r="CT125" s="263">
        <f t="shared" si="417"/>
        <v>0</v>
      </c>
      <c r="CU125" s="263">
        <f t="shared" si="418"/>
        <v>0</v>
      </c>
      <c r="CV125" s="263">
        <f t="shared" si="419"/>
        <v>0</v>
      </c>
      <c r="CW125" s="263">
        <f t="shared" si="420"/>
        <v>0</v>
      </c>
      <c r="CX125" s="263">
        <f t="shared" si="421"/>
        <v>0</v>
      </c>
      <c r="CY125" s="263">
        <f t="shared" si="422"/>
        <v>0</v>
      </c>
      <c r="CZ125" s="263">
        <f t="shared" si="423"/>
        <v>1</v>
      </c>
      <c r="DA125" s="263">
        <f t="shared" si="424"/>
        <v>0</v>
      </c>
      <c r="DB125" s="263">
        <f t="shared" si="425"/>
        <v>0</v>
      </c>
      <c r="DC125" s="263">
        <f t="shared" si="426"/>
        <v>0</v>
      </c>
      <c r="DD125" s="263">
        <f t="shared" si="427"/>
        <v>0</v>
      </c>
      <c r="DE125" s="263">
        <f t="shared" si="428"/>
        <v>0</v>
      </c>
      <c r="DF125" s="263">
        <f t="shared" si="429"/>
        <v>1793543.5</v>
      </c>
      <c r="DG125" s="263">
        <f t="shared" si="430"/>
        <v>0</v>
      </c>
      <c r="DH125" s="263">
        <f t="shared" si="431"/>
        <v>1793543.5</v>
      </c>
      <c r="DI125" s="263">
        <f t="shared" si="432"/>
        <v>3587087</v>
      </c>
      <c r="DJ125" s="263">
        <f t="shared" si="433"/>
        <v>0</v>
      </c>
      <c r="DK125" s="263">
        <f t="shared" si="434"/>
        <v>0</v>
      </c>
      <c r="DL125" s="263">
        <f t="shared" si="435"/>
        <v>0</v>
      </c>
      <c r="DM125" s="263">
        <f t="shared" si="436"/>
        <v>0</v>
      </c>
      <c r="DO125" s="264">
        <f t="shared" si="437"/>
        <v>0</v>
      </c>
      <c r="DP125" s="265">
        <f t="shared" si="438"/>
        <v>0</v>
      </c>
      <c r="DQ125" s="264">
        <f t="shared" si="439"/>
        <v>1793543.5</v>
      </c>
      <c r="DR125" s="264">
        <f t="shared" si="440"/>
        <v>0</v>
      </c>
      <c r="DS125" s="265">
        <f t="shared" si="441"/>
        <v>0</v>
      </c>
      <c r="DT125" s="264">
        <f t="shared" si="442"/>
        <v>1793543.5</v>
      </c>
      <c r="DU125" s="264">
        <f t="shared" si="443"/>
        <v>0</v>
      </c>
      <c r="DV125" s="265">
        <f t="shared" si="444"/>
        <v>0</v>
      </c>
      <c r="DW125" s="264">
        <f t="shared" si="445"/>
        <v>1793543.5</v>
      </c>
      <c r="DX125" s="264">
        <f t="shared" si="446"/>
        <v>0</v>
      </c>
      <c r="DY125" s="265">
        <f t="shared" si="447"/>
        <v>0</v>
      </c>
      <c r="DZ125" s="264">
        <f t="shared" si="448"/>
        <v>1793543.5</v>
      </c>
      <c r="EA125" s="264">
        <f t="shared" si="449"/>
        <v>1793543.5</v>
      </c>
      <c r="EB125" s="265">
        <f t="shared" si="450"/>
        <v>0</v>
      </c>
      <c r="EC125" s="264">
        <f t="shared" si="451"/>
        <v>1793543.5</v>
      </c>
      <c r="ED125" s="264">
        <f t="shared" si="452"/>
        <v>0</v>
      </c>
      <c r="EE125" s="265">
        <f t="shared" si="453"/>
        <v>0</v>
      </c>
      <c r="EF125" s="264">
        <f t="shared" si="454"/>
        <v>1793543.5</v>
      </c>
      <c r="EG125" s="264">
        <f t="shared" si="455"/>
        <v>0</v>
      </c>
      <c r="EH125" s="265">
        <f t="shared" si="456"/>
        <v>0</v>
      </c>
      <c r="EI125" s="264">
        <f t="shared" si="457"/>
        <v>1793543.5</v>
      </c>
      <c r="EJ125" s="264">
        <f t="shared" si="458"/>
        <v>0</v>
      </c>
      <c r="EK125" s="265">
        <f t="shared" si="459"/>
        <v>0</v>
      </c>
      <c r="EL125" s="264">
        <f t="shared" si="460"/>
        <v>1793543.5</v>
      </c>
      <c r="EM125" s="264">
        <f t="shared" si="461"/>
        <v>0</v>
      </c>
      <c r="EN125" s="265">
        <f t="shared" si="462"/>
        <v>0</v>
      </c>
      <c r="EO125" s="264">
        <f t="shared" si="463"/>
        <v>1793543.5</v>
      </c>
      <c r="EP125" s="264">
        <f t="shared" si="464"/>
        <v>0</v>
      </c>
      <c r="EQ125" s="265">
        <f t="shared" si="465"/>
        <v>0</v>
      </c>
      <c r="ER125" s="264">
        <f t="shared" si="466"/>
        <v>1793543.5</v>
      </c>
      <c r="ES125" s="264">
        <f t="shared" si="467"/>
        <v>0</v>
      </c>
      <c r="ET125" s="265">
        <f t="shared" si="468"/>
        <v>0</v>
      </c>
      <c r="EU125" s="264">
        <f t="shared" si="469"/>
        <v>1793543.5</v>
      </c>
      <c r="EV125" s="264">
        <f>IF(AND(BM125="Yes",OR(BN125="No",AND(BN125="Yes",Inputs!$J$8=Inputs!$J$17+75))),EU125,0)</f>
        <v>0</v>
      </c>
      <c r="EW125" s="265">
        <f t="shared" si="470"/>
        <v>0</v>
      </c>
      <c r="EX125" s="264">
        <f t="shared" si="471"/>
        <v>1793543.5</v>
      </c>
      <c r="EY125" s="264">
        <f t="shared" si="472"/>
        <v>0</v>
      </c>
      <c r="EZ125" s="265">
        <f t="shared" si="473"/>
        <v>0</v>
      </c>
      <c r="FA125" s="264">
        <f t="shared" si="474"/>
        <v>1793543.5</v>
      </c>
      <c r="FB125" s="264">
        <f t="shared" si="475"/>
        <v>0</v>
      </c>
      <c r="FC125" s="265">
        <f t="shared" si="476"/>
        <v>0</v>
      </c>
      <c r="FD125" s="264">
        <f t="shared" si="477"/>
        <v>1793543.5</v>
      </c>
      <c r="FE125" s="264">
        <f t="shared" si="478"/>
        <v>0</v>
      </c>
      <c r="FF125" s="265">
        <f t="shared" si="479"/>
        <v>0</v>
      </c>
      <c r="FG125" s="264">
        <f t="shared" si="480"/>
        <v>1793543.5</v>
      </c>
      <c r="FH125" s="264">
        <f t="shared" si="481"/>
        <v>1793543.5</v>
      </c>
      <c r="FI125" s="264">
        <f t="shared" si="482"/>
        <v>0</v>
      </c>
      <c r="FJ125" s="264">
        <f t="shared" si="483"/>
        <v>1793543.5</v>
      </c>
      <c r="FK125" s="264">
        <f t="shared" si="484"/>
        <v>1793543.5</v>
      </c>
      <c r="FL125" s="264">
        <f t="shared" si="485"/>
        <v>0</v>
      </c>
      <c r="FM125" s="264">
        <f t="shared" si="486"/>
        <v>1793543.5</v>
      </c>
      <c r="FN125" s="264">
        <f t="shared" si="487"/>
        <v>1793543.5</v>
      </c>
      <c r="FO125" s="264">
        <f t="shared" si="488"/>
        <v>0</v>
      </c>
      <c r="FP125" s="264">
        <f t="shared" si="489"/>
        <v>1793543.5</v>
      </c>
      <c r="FQ125" s="264">
        <f t="shared" si="490"/>
        <v>0</v>
      </c>
      <c r="FR125" s="265">
        <f t="shared" si="491"/>
        <v>0</v>
      </c>
      <c r="FS125" s="264">
        <f t="shared" si="492"/>
        <v>1793543.5</v>
      </c>
      <c r="FT125" s="264">
        <f t="shared" si="493"/>
        <v>0</v>
      </c>
      <c r="FU125" s="265">
        <f t="shared" si="494"/>
        <v>0</v>
      </c>
      <c r="FV125" s="264">
        <f t="shared" si="495"/>
        <v>1793543.5</v>
      </c>
      <c r="FW125" s="264">
        <f t="shared" si="496"/>
        <v>0</v>
      </c>
      <c r="FX125" s="264">
        <f t="shared" si="497"/>
        <v>0</v>
      </c>
      <c r="FY125" s="264">
        <f t="shared" si="498"/>
        <v>0</v>
      </c>
      <c r="FZ125" s="264">
        <f t="shared" si="499"/>
        <v>0</v>
      </c>
      <c r="GA125" s="265">
        <f t="shared" si="500"/>
        <v>0</v>
      </c>
      <c r="GB125" s="264">
        <f t="shared" si="501"/>
        <v>1793543.5</v>
      </c>
      <c r="GC125" s="264">
        <f t="shared" si="502"/>
        <v>1793543.5</v>
      </c>
      <c r="GD125" s="266">
        <f t="shared" si="503"/>
        <v>1300319.0374999999</v>
      </c>
      <c r="GE125" s="138">
        <f t="shared" si="504"/>
        <v>0.36249999999999993</v>
      </c>
      <c r="GF125" s="267">
        <f t="shared" si="505"/>
        <v>62</v>
      </c>
      <c r="GG125" s="264">
        <f t="array" ref="GG125">IF(SUM(IF(IC$9:IC124=IC125,1,0))&gt;0,0,SUMIF($IC$10:$IC$406,IC125,$FJ$10:$FJ$406))</f>
        <v>0</v>
      </c>
      <c r="GH125" s="268">
        <f t="shared" si="506"/>
        <v>0</v>
      </c>
      <c r="GI125" s="137">
        <f t="shared" si="126"/>
        <v>116</v>
      </c>
      <c r="GJ125" s="269">
        <f t="shared" si="507"/>
        <v>0</v>
      </c>
      <c r="GK125" s="269">
        <f t="shared" si="508"/>
        <v>0</v>
      </c>
      <c r="GL125" s="163">
        <f t="shared" si="509"/>
        <v>0</v>
      </c>
      <c r="GM125" s="137">
        <f t="array" ref="GM125">IF(GJ125=0,0,LARGE(IF($GG$10:$GG$406=GJ125,$GF$10:$GF$406,0),COUNTIF($GJ$10:$GJ$406,GJ125)-COUNTIF(GJ$9:GJ124,GJ125)))</f>
        <v>0</v>
      </c>
      <c r="GN125" s="270">
        <f t="shared" si="510"/>
        <v>0</v>
      </c>
      <c r="GP125" s="137">
        <f>IF(C125="","",IF(ISERROR(MATCH(C125,C$10:C124,0)),MAX(GP$10:GP124)+1,INDEX(GP$10:GP124,MATCH(C125,C$10:C124,0))))</f>
        <v>90</v>
      </c>
      <c r="GQ125" s="264">
        <f>IF(COUNTIF($A$10:A125,A125)&lt;=1,SUMIF($A$10:$A$406,A125,$FH$10:$FH$406),0)</f>
        <v>0</v>
      </c>
      <c r="GR125" s="137">
        <f t="shared" si="130"/>
        <v>116</v>
      </c>
      <c r="GS125" s="269">
        <f t="shared" si="554"/>
        <v>0</v>
      </c>
      <c r="GT125" s="269">
        <f t="shared" si="555"/>
        <v>0</v>
      </c>
      <c r="GU125" s="163">
        <f t="shared" si="556"/>
        <v>0</v>
      </c>
      <c r="GV125" s="137">
        <f t="array" ref="GV125">IF(GS125=0,0,LARGE(IF($GQ$10:$GQ$406=GS125,$GP$10:$GP$406,0),COUNTIF($GS$10:$GS$406,GS125)-COUNTIF(GS$9:GS124,GS125)))</f>
        <v>0</v>
      </c>
      <c r="GW125" s="270">
        <f t="shared" si="557"/>
        <v>0</v>
      </c>
      <c r="GY125" s="137">
        <f>IF(C125="","",IF(ISERROR(MATCH(C125,C$10:C124,0)),MAX(GP$10:GP124)+1,INDEX(GP$10:GP124,MATCH(C125,C$10:C124,0))))</f>
        <v>90</v>
      </c>
      <c r="GZ125" s="264">
        <f>IF(COUNTIF($A$10:A125,A125)&lt;=1,SUMIF($A$10:$A$406,A125,$FH$10:$FH$406),0)</f>
        <v>0</v>
      </c>
      <c r="HA125" s="137">
        <f t="shared" si="134"/>
        <v>116</v>
      </c>
      <c r="HB125" s="269">
        <f t="shared" si="515"/>
        <v>0</v>
      </c>
      <c r="HC125" s="414" t="s">
        <v>622</v>
      </c>
      <c r="HD125" s="163">
        <f t="shared" si="516"/>
        <v>0</v>
      </c>
      <c r="HE125" s="137">
        <f t="array" ref="HE125">IF(HB125=0,0,LARGE(IF($GZ$10:$GZ$406=HB125,$GY$10:$GY$406,0),COUNTIF($HB$10:$HB$406,HB125)-COUNTIF(HB$9:HB124,HB125)))</f>
        <v>0</v>
      </c>
      <c r="HF125" s="270">
        <f t="shared" si="517"/>
        <v>0</v>
      </c>
      <c r="HH125" s="268">
        <f t="shared" si="518"/>
        <v>0</v>
      </c>
      <c r="HI125" s="271">
        <v>0</v>
      </c>
      <c r="HJ125" s="264">
        <f t="shared" si="519"/>
        <v>0</v>
      </c>
      <c r="HL125" s="137">
        <f t="shared" si="520"/>
        <v>116</v>
      </c>
      <c r="HM125" s="264">
        <f t="shared" si="521"/>
        <v>3963790.73</v>
      </c>
      <c r="HO125" s="199">
        <f t="shared" si="522"/>
        <v>1793543.5</v>
      </c>
      <c r="HP125" s="199">
        <f t="shared" si="523"/>
        <v>3587087</v>
      </c>
      <c r="HQ125" s="199" t="str">
        <f t="shared" si="524"/>
        <v/>
      </c>
      <c r="HR125" s="199" t="str">
        <f t="shared" si="525"/>
        <v/>
      </c>
      <c r="HS125" s="199" t="str">
        <f t="shared" si="539"/>
        <v/>
      </c>
      <c r="HT125" s="199">
        <f t="shared" si="526"/>
        <v>1793543.5</v>
      </c>
      <c r="HU125" s="199" t="str">
        <f t="shared" si="527"/>
        <v/>
      </c>
      <c r="HV125" s="200">
        <f t="shared" si="528"/>
        <v>0</v>
      </c>
      <c r="HW125" s="272" t="str">
        <f t="shared" si="540"/>
        <v/>
      </c>
      <c r="HX125" s="200">
        <f t="shared" si="529"/>
        <v>0</v>
      </c>
      <c r="HY125" s="200">
        <f t="shared" si="530"/>
        <v>1793543.5</v>
      </c>
      <c r="HZ125" s="200">
        <f t="shared" si="535"/>
        <v>0</v>
      </c>
      <c r="IA125" s="200">
        <f t="shared" si="531"/>
        <v>0</v>
      </c>
      <c r="IB125" s="200">
        <f t="shared" si="532"/>
        <v>0</v>
      </c>
      <c r="IC125" s="273">
        <f>IF(C125="","",INDEX(Lookups!$E$2:$E$69,MATCH('Loan List'!BE125,Lookups!$F$2:$F$69,0)))</f>
        <v>62</v>
      </c>
      <c r="ID125" t="b">
        <f t="shared" si="533"/>
        <v>1</v>
      </c>
    </row>
    <row r="126" spans="1:240">
      <c r="A126" t="s">
        <v>612</v>
      </c>
      <c r="B126" s="242">
        <f t="shared" si="541"/>
        <v>117</v>
      </c>
      <c r="C126" s="242">
        <f>IF(COUNTIF($A$10:A125,A126)&gt;0,C125,C125+1)</f>
        <v>91</v>
      </c>
      <c r="D126" s="428" t="s">
        <v>612</v>
      </c>
      <c r="E126" s="428" t="s">
        <v>510</v>
      </c>
      <c r="F126" s="429"/>
      <c r="G126" s="430">
        <v>19189335.850000001</v>
      </c>
      <c r="H126" s="430">
        <v>19189335.850000001</v>
      </c>
      <c r="I126" s="244">
        <f>IF(B126="","",VLOOKUP(BF126,Inputs!$A$12:$J$15,10,FALSE))</f>
        <v>1</v>
      </c>
      <c r="J126" s="245">
        <f t="shared" si="542"/>
        <v>19189335.850000001</v>
      </c>
      <c r="K126" s="245">
        <f t="shared" si="543"/>
        <v>19189335.850000001</v>
      </c>
      <c r="L126" s="245">
        <f t="shared" si="544"/>
        <v>19189335.850000001</v>
      </c>
      <c r="M126" s="245">
        <f t="shared" si="545"/>
        <v>19189335.850000001</v>
      </c>
      <c r="N126" s="432" t="s">
        <v>246</v>
      </c>
      <c r="O126" s="432" t="s">
        <v>245</v>
      </c>
      <c r="P126" s="433">
        <f>IF(B126="","",IF(OR(O126="N/A",O126=""),0,YEARFRAC('Borrowing Base'!$J$4,'Loan List'!O126)*12))</f>
        <v>0</v>
      </c>
      <c r="Q126" s="432" t="s">
        <v>246</v>
      </c>
      <c r="R126" s="434">
        <v>0.99256613435496188</v>
      </c>
      <c r="S126" s="435" t="str">
        <f t="shared" si="546"/>
        <v>No</v>
      </c>
      <c r="T126" s="434">
        <v>0.9899999999218313</v>
      </c>
      <c r="U126" s="436">
        <f t="shared" si="547"/>
        <v>0.5</v>
      </c>
      <c r="V126" s="436">
        <f t="shared" si="548"/>
        <v>0.7249518366298483</v>
      </c>
      <c r="W126" s="251">
        <f t="shared" si="385"/>
        <v>19189335.850000001</v>
      </c>
      <c r="X126" s="432" t="s">
        <v>64</v>
      </c>
      <c r="Y126" s="437" t="s">
        <v>483</v>
      </c>
      <c r="Z126" s="437" t="s">
        <v>484</v>
      </c>
      <c r="AA126" s="438" t="s">
        <v>371</v>
      </c>
      <c r="AB126" s="438" t="s">
        <v>715</v>
      </c>
      <c r="AC126" s="439">
        <v>1.6588486140724947</v>
      </c>
      <c r="AD126" s="439">
        <v>1.4096078469232105</v>
      </c>
      <c r="AE126" s="439">
        <v>2.1229270580210597</v>
      </c>
      <c r="AF126" s="439">
        <v>0.86199999999999999</v>
      </c>
      <c r="AG126" s="440">
        <v>4.5005780346820812</v>
      </c>
      <c r="AH126" s="440">
        <v>4.5005780346820812</v>
      </c>
      <c r="AI126" s="440">
        <v>4.4132014917165732</v>
      </c>
      <c r="AJ126" s="440">
        <v>4.4132014917165732</v>
      </c>
      <c r="AK126" s="441">
        <v>86500000</v>
      </c>
      <c r="AL126" s="441">
        <v>100019000</v>
      </c>
      <c r="AM126" s="258">
        <v>45838</v>
      </c>
      <c r="AN126" s="442" t="str">
        <f t="shared" si="549"/>
        <v>Tier 1</v>
      </c>
      <c r="AO126" s="443">
        <v>47723</v>
      </c>
      <c r="AP126" s="444">
        <f>IF(C126="","",DAYS360(Inputs!$J$8,AO126)/360)</f>
        <v>5.0111111111111111</v>
      </c>
      <c r="AQ126" s="444">
        <f t="shared" si="550"/>
        <v>5.0111111111111111</v>
      </c>
      <c r="AR126" s="432" t="s">
        <v>246</v>
      </c>
      <c r="AS126" s="445">
        <v>0</v>
      </c>
      <c r="AT126" s="432" t="s">
        <v>64</v>
      </c>
      <c r="AU126" s="446">
        <v>0.01</v>
      </c>
      <c r="AV126" s="446">
        <v>5.2499999999999998E-2</v>
      </c>
      <c r="AW126" s="446">
        <v>4.2956000000000001E-2</v>
      </c>
      <c r="AX126" s="260">
        <f t="shared" si="551"/>
        <v>4.2956000000000001E-2</v>
      </c>
      <c r="AY126" s="446">
        <v>5.0000000000000001E-3</v>
      </c>
      <c r="AZ126" s="446">
        <v>0</v>
      </c>
      <c r="BA126" s="446">
        <v>0</v>
      </c>
      <c r="BB126" s="447">
        <f t="shared" si="536"/>
        <v>5.2499999999999998E-2</v>
      </c>
      <c r="BC126" s="447" t="str">
        <f t="shared" si="537"/>
        <v/>
      </c>
      <c r="BD126" s="437" t="s">
        <v>247</v>
      </c>
      <c r="BE126" s="448" t="s">
        <v>429</v>
      </c>
      <c r="BF126" s="437" t="s">
        <v>7</v>
      </c>
      <c r="BG126" s="437" t="s">
        <v>460</v>
      </c>
      <c r="BH126" s="432" t="s">
        <v>246</v>
      </c>
      <c r="BI126" s="449" t="str">
        <f t="shared" si="559"/>
        <v>No</v>
      </c>
      <c r="BJ126" s="449" t="str">
        <f t="shared" si="560"/>
        <v>No</v>
      </c>
      <c r="BK126" s="432" t="s">
        <v>246</v>
      </c>
      <c r="BL126" s="432" t="s">
        <v>246</v>
      </c>
      <c r="BM126" s="432" t="s">
        <v>246</v>
      </c>
      <c r="BN126" s="432" t="s">
        <v>246</v>
      </c>
      <c r="BO126" s="432" t="s">
        <v>246</v>
      </c>
      <c r="BP126" s="432" t="s">
        <v>246</v>
      </c>
      <c r="BQ126" s="432" t="s">
        <v>246</v>
      </c>
      <c r="BR126" s="432" t="s">
        <v>246</v>
      </c>
      <c r="BS126" s="432" t="s">
        <v>246</v>
      </c>
      <c r="BT126" s="432" t="s">
        <v>246</v>
      </c>
      <c r="BU126" s="432" t="s">
        <v>246</v>
      </c>
      <c r="BV126" s="432" t="s">
        <v>246</v>
      </c>
      <c r="BW126" s="432" t="s">
        <v>246</v>
      </c>
      <c r="BX126" s="432" t="s">
        <v>246</v>
      </c>
      <c r="BY126" s="432" t="s">
        <v>246</v>
      </c>
      <c r="BZ126" s="432" t="s">
        <v>246</v>
      </c>
      <c r="CA126" s="432" t="s">
        <v>246</v>
      </c>
      <c r="CB126" s="432" t="s">
        <v>64</v>
      </c>
      <c r="CC126" s="450">
        <f t="shared" si="552"/>
        <v>1002328.09305456</v>
      </c>
      <c r="CD126" s="450">
        <f t="shared" si="553"/>
        <v>0</v>
      </c>
      <c r="CF126" s="263">
        <f t="shared" si="403"/>
        <v>0</v>
      </c>
      <c r="CG126" s="263">
        <f t="shared" si="404"/>
        <v>0</v>
      </c>
      <c r="CH126" s="263">
        <f t="shared" si="405"/>
        <v>0</v>
      </c>
      <c r="CI126" s="263">
        <f t="shared" si="406"/>
        <v>0</v>
      </c>
      <c r="CJ126" s="263">
        <f t="shared" si="407"/>
        <v>0</v>
      </c>
      <c r="CK126" s="263">
        <f t="shared" si="408"/>
        <v>0</v>
      </c>
      <c r="CL126" s="263">
        <f t="shared" si="409"/>
        <v>0</v>
      </c>
      <c r="CM126" s="263">
        <f t="shared" si="410"/>
        <v>0</v>
      </c>
      <c r="CN126" s="263">
        <f t="shared" si="411"/>
        <v>0</v>
      </c>
      <c r="CO126" s="263">
        <f t="shared" si="412"/>
        <v>0</v>
      </c>
      <c r="CP126" s="263">
        <f t="shared" si="413"/>
        <v>0</v>
      </c>
      <c r="CQ126" s="263">
        <f t="shared" si="414"/>
        <v>0</v>
      </c>
      <c r="CR126" s="263">
        <f t="shared" si="415"/>
        <v>0</v>
      </c>
      <c r="CS126" s="263">
        <f t="shared" si="416"/>
        <v>0</v>
      </c>
      <c r="CT126" s="263">
        <f t="shared" si="417"/>
        <v>0</v>
      </c>
      <c r="CU126" s="263">
        <f t="shared" si="418"/>
        <v>0</v>
      </c>
      <c r="CV126" s="263">
        <f t="shared" si="419"/>
        <v>0</v>
      </c>
      <c r="CW126" s="263">
        <f t="shared" si="420"/>
        <v>0</v>
      </c>
      <c r="CX126" s="263">
        <f t="shared" si="421"/>
        <v>0</v>
      </c>
      <c r="CY126" s="263">
        <f t="shared" si="422"/>
        <v>0</v>
      </c>
      <c r="CZ126" s="263">
        <f t="shared" si="423"/>
        <v>0</v>
      </c>
      <c r="DA126" s="263">
        <f t="shared" si="424"/>
        <v>0</v>
      </c>
      <c r="DB126" s="263">
        <f t="shared" si="425"/>
        <v>0</v>
      </c>
      <c r="DC126" s="263">
        <f t="shared" si="426"/>
        <v>0</v>
      </c>
      <c r="DD126" s="263">
        <f t="shared" si="427"/>
        <v>0</v>
      </c>
      <c r="DE126" s="263">
        <f t="shared" si="428"/>
        <v>0</v>
      </c>
      <c r="DF126" s="263">
        <f t="shared" si="429"/>
        <v>19189335.850000001</v>
      </c>
      <c r="DG126" s="263">
        <f t="shared" si="430"/>
        <v>0</v>
      </c>
      <c r="DH126" s="263">
        <f t="shared" si="431"/>
        <v>19189335.850000001</v>
      </c>
      <c r="DI126" s="263">
        <f t="shared" si="432"/>
        <v>19189335.850000001</v>
      </c>
      <c r="DJ126" s="263">
        <f t="shared" si="433"/>
        <v>0</v>
      </c>
      <c r="DK126" s="263">
        <f t="shared" si="434"/>
        <v>0</v>
      </c>
      <c r="DL126" s="263">
        <f t="shared" si="435"/>
        <v>0</v>
      </c>
      <c r="DM126" s="263">
        <f t="shared" si="436"/>
        <v>0</v>
      </c>
      <c r="DO126" s="264">
        <f t="shared" si="437"/>
        <v>0</v>
      </c>
      <c r="DP126" s="265">
        <f t="shared" si="438"/>
        <v>0</v>
      </c>
      <c r="DQ126" s="264">
        <f t="shared" si="439"/>
        <v>19189335.850000001</v>
      </c>
      <c r="DR126" s="264">
        <f t="shared" si="440"/>
        <v>0</v>
      </c>
      <c r="DS126" s="265">
        <f t="shared" si="441"/>
        <v>0</v>
      </c>
      <c r="DT126" s="264">
        <f t="shared" si="442"/>
        <v>19189335.850000001</v>
      </c>
      <c r="DU126" s="264">
        <f t="shared" si="443"/>
        <v>0</v>
      </c>
      <c r="DV126" s="265">
        <f t="shared" si="444"/>
        <v>0</v>
      </c>
      <c r="DW126" s="264">
        <f t="shared" si="445"/>
        <v>19189335.850000001</v>
      </c>
      <c r="DX126" s="264">
        <f t="shared" si="446"/>
        <v>0</v>
      </c>
      <c r="DY126" s="265">
        <f t="shared" si="447"/>
        <v>0</v>
      </c>
      <c r="DZ126" s="264">
        <f t="shared" si="448"/>
        <v>19189335.850000001</v>
      </c>
      <c r="EA126" s="264">
        <f t="shared" si="449"/>
        <v>0</v>
      </c>
      <c r="EB126" s="265">
        <f t="shared" si="450"/>
        <v>0</v>
      </c>
      <c r="EC126" s="264">
        <f t="shared" si="451"/>
        <v>19189335.850000001</v>
      </c>
      <c r="ED126" s="264">
        <f t="shared" si="452"/>
        <v>0</v>
      </c>
      <c r="EE126" s="265">
        <f t="shared" si="453"/>
        <v>0</v>
      </c>
      <c r="EF126" s="264">
        <f t="shared" si="454"/>
        <v>19189335.850000001</v>
      </c>
      <c r="EG126" s="264">
        <f t="shared" si="455"/>
        <v>0</v>
      </c>
      <c r="EH126" s="265">
        <f t="shared" si="456"/>
        <v>0</v>
      </c>
      <c r="EI126" s="264">
        <f t="shared" si="457"/>
        <v>19189335.850000001</v>
      </c>
      <c r="EJ126" s="264">
        <f t="shared" si="458"/>
        <v>0</v>
      </c>
      <c r="EK126" s="265">
        <f t="shared" si="459"/>
        <v>0</v>
      </c>
      <c r="EL126" s="264">
        <f t="shared" si="460"/>
        <v>19189335.850000001</v>
      </c>
      <c r="EM126" s="264">
        <f t="shared" si="461"/>
        <v>0</v>
      </c>
      <c r="EN126" s="265">
        <f t="shared" si="462"/>
        <v>0</v>
      </c>
      <c r="EO126" s="264">
        <f t="shared" si="463"/>
        <v>19189335.850000001</v>
      </c>
      <c r="EP126" s="264">
        <f t="shared" si="464"/>
        <v>0</v>
      </c>
      <c r="EQ126" s="265">
        <f t="shared" si="465"/>
        <v>0</v>
      </c>
      <c r="ER126" s="264">
        <f t="shared" si="466"/>
        <v>19189335.850000001</v>
      </c>
      <c r="ES126" s="264">
        <f t="shared" si="467"/>
        <v>0</v>
      </c>
      <c r="ET126" s="265">
        <f t="shared" si="468"/>
        <v>0</v>
      </c>
      <c r="EU126" s="264">
        <f t="shared" si="469"/>
        <v>19189335.850000001</v>
      </c>
      <c r="EV126" s="264">
        <f>IF(AND(BM126="Yes",OR(BN126="No",AND(BN126="Yes",Inputs!$J$8=Inputs!$J$17+75))),EU126,0)</f>
        <v>0</v>
      </c>
      <c r="EW126" s="265">
        <f t="shared" si="470"/>
        <v>0</v>
      </c>
      <c r="EX126" s="264">
        <f t="shared" si="471"/>
        <v>19189335.850000001</v>
      </c>
      <c r="EY126" s="264">
        <f t="shared" si="472"/>
        <v>0</v>
      </c>
      <c r="EZ126" s="265">
        <f t="shared" si="473"/>
        <v>0</v>
      </c>
      <c r="FA126" s="264">
        <f t="shared" si="474"/>
        <v>19189335.850000001</v>
      </c>
      <c r="FB126" s="264">
        <f t="shared" si="475"/>
        <v>0</v>
      </c>
      <c r="FC126" s="265">
        <f t="shared" si="476"/>
        <v>0</v>
      </c>
      <c r="FD126" s="264">
        <f t="shared" si="477"/>
        <v>19189335.850000001</v>
      </c>
      <c r="FE126" s="264">
        <f t="shared" si="478"/>
        <v>0</v>
      </c>
      <c r="FF126" s="265">
        <f t="shared" si="479"/>
        <v>0</v>
      </c>
      <c r="FG126" s="264">
        <f t="shared" si="480"/>
        <v>19189335.850000001</v>
      </c>
      <c r="FH126" s="264">
        <f t="shared" si="481"/>
        <v>19189335.850000001</v>
      </c>
      <c r="FI126" s="264">
        <f t="shared" si="482"/>
        <v>0</v>
      </c>
      <c r="FJ126" s="264">
        <f t="shared" si="483"/>
        <v>19189335.850000001</v>
      </c>
      <c r="FK126" s="264">
        <f t="shared" si="484"/>
        <v>19189335.850000001</v>
      </c>
      <c r="FL126" s="264">
        <f t="shared" si="485"/>
        <v>0</v>
      </c>
      <c r="FM126" s="264">
        <f t="shared" si="486"/>
        <v>19189335.850000001</v>
      </c>
      <c r="FN126" s="264">
        <f t="shared" si="487"/>
        <v>19189335.850000001</v>
      </c>
      <c r="FO126" s="264">
        <f t="shared" si="488"/>
        <v>0</v>
      </c>
      <c r="FP126" s="264">
        <f t="shared" si="489"/>
        <v>19189335.850000001</v>
      </c>
      <c r="FQ126" s="264">
        <f t="shared" si="490"/>
        <v>0</v>
      </c>
      <c r="FR126" s="265">
        <f t="shared" si="491"/>
        <v>0</v>
      </c>
      <c r="FS126" s="264">
        <f t="shared" si="492"/>
        <v>19189335.850000001</v>
      </c>
      <c r="FT126" s="264">
        <f t="shared" si="493"/>
        <v>0</v>
      </c>
      <c r="FU126" s="265">
        <f t="shared" si="494"/>
        <v>0</v>
      </c>
      <c r="FV126" s="264">
        <f t="shared" si="495"/>
        <v>19189335.850000001</v>
      </c>
      <c r="FW126" s="264">
        <f t="shared" si="496"/>
        <v>0</v>
      </c>
      <c r="FX126" s="264">
        <f t="shared" si="497"/>
        <v>0</v>
      </c>
      <c r="FY126" s="264">
        <f t="shared" si="498"/>
        <v>0</v>
      </c>
      <c r="FZ126" s="264">
        <f t="shared" si="499"/>
        <v>0</v>
      </c>
      <c r="GA126" s="265">
        <f t="shared" si="500"/>
        <v>0</v>
      </c>
      <c r="GB126" s="264">
        <f t="shared" si="501"/>
        <v>19189335.850000001</v>
      </c>
      <c r="GC126" s="264">
        <f t="shared" si="502"/>
        <v>19189335.850000001</v>
      </c>
      <c r="GD126" s="266">
        <f t="shared" si="503"/>
        <v>13911344.268164493</v>
      </c>
      <c r="GE126" s="138">
        <f t="shared" si="504"/>
        <v>0.7249518366298483</v>
      </c>
      <c r="GF126" s="267">
        <f t="shared" si="505"/>
        <v>42</v>
      </c>
      <c r="GG126" s="264">
        <f t="array" ref="GG126">IF(SUM(IF(IC$9:IC125=IC126,1,0))&gt;0,0,SUMIF($IC$10:$IC$406,IC126,$FJ$10:$FJ$406))</f>
        <v>0</v>
      </c>
      <c r="GH126" s="268">
        <f t="shared" si="506"/>
        <v>0</v>
      </c>
      <c r="GI126" s="137">
        <f t="shared" si="126"/>
        <v>117</v>
      </c>
      <c r="GJ126" s="269">
        <f t="shared" si="507"/>
        <v>0</v>
      </c>
      <c r="GK126" s="269">
        <f t="shared" si="508"/>
        <v>0</v>
      </c>
      <c r="GL126" s="163">
        <f t="shared" si="509"/>
        <v>0</v>
      </c>
      <c r="GM126" s="137">
        <f t="array" ref="GM126">IF(GJ126=0,0,LARGE(IF($GG$10:$GG$406=GJ126,$GF$10:$GF$406,0),COUNTIF($GJ$10:$GJ$406,GJ126)-COUNTIF(GJ$9:GJ125,GJ126)))</f>
        <v>0</v>
      </c>
      <c r="GN126" s="270">
        <f t="shared" si="510"/>
        <v>0</v>
      </c>
      <c r="GP126" s="137">
        <f>IF(C126="","",IF(ISERROR(MATCH(C126,C$10:C125,0)),MAX(GP$10:GP125)+1,INDEX(GP$10:GP125,MATCH(C126,C$10:C125,0))))</f>
        <v>91</v>
      </c>
      <c r="GQ126" s="264">
        <f>IF(COUNTIF($A$10:A126,A126)&lt;=1,SUMIF($A$10:$A$406,A126,$FH$10:$FH$406),0)</f>
        <v>19189335.850000001</v>
      </c>
      <c r="GR126" s="137">
        <f t="shared" si="130"/>
        <v>117</v>
      </c>
      <c r="GS126" s="269">
        <f t="shared" si="554"/>
        <v>0</v>
      </c>
      <c r="GT126" s="269">
        <f t="shared" si="555"/>
        <v>0</v>
      </c>
      <c r="GU126" s="163">
        <f t="shared" si="556"/>
        <v>0</v>
      </c>
      <c r="GV126" s="137">
        <f t="array" ref="GV126">IF(GS126=0,0,LARGE(IF($GQ$10:$GQ$406=GS126,$GP$10:$GP$406,0),COUNTIF($GS$10:$GS$406,GS126)-COUNTIF(GS$9:GS125,GS126)))</f>
        <v>0</v>
      </c>
      <c r="GW126" s="270">
        <f t="shared" si="557"/>
        <v>0</v>
      </c>
      <c r="GY126" s="137">
        <f>IF(C126="","",IF(ISERROR(MATCH(C126,C$10:C125,0)),MAX(GP$10:GP125)+1,INDEX(GP$10:GP125,MATCH(C126,C$10:C125,0))))</f>
        <v>91</v>
      </c>
      <c r="GZ126" s="264">
        <f>IF(COUNTIF($A$10:A126,A126)&lt;=1,SUMIF($A$10:$A$406,A126,$FH$10:$FH$406),0)</f>
        <v>19189335.850000001</v>
      </c>
      <c r="HA126" s="137">
        <f t="shared" si="134"/>
        <v>117</v>
      </c>
      <c r="HB126" s="269">
        <f t="shared" si="515"/>
        <v>0</v>
      </c>
      <c r="HC126" s="414" t="s">
        <v>622</v>
      </c>
      <c r="HD126" s="163">
        <f t="shared" si="516"/>
        <v>0</v>
      </c>
      <c r="HE126" s="137">
        <f t="array" ref="HE126">IF(HB126=0,0,LARGE(IF($GZ$10:$GZ$406=HB126,$GY$10:$GY$406,0),COUNTIF($HB$10:$HB$406,HB126)-COUNTIF(HB$9:HB125,HB126)))</f>
        <v>0</v>
      </c>
      <c r="HF126" s="270">
        <f t="shared" si="517"/>
        <v>0</v>
      </c>
      <c r="HH126" s="268">
        <f t="shared" si="518"/>
        <v>0</v>
      </c>
      <c r="HI126" s="271">
        <v>0</v>
      </c>
      <c r="HJ126" s="264">
        <f t="shared" si="519"/>
        <v>0</v>
      </c>
      <c r="HL126" s="137">
        <f t="shared" si="520"/>
        <v>117</v>
      </c>
      <c r="HM126" s="264">
        <f t="shared" si="521"/>
        <v>6569983.6100000003</v>
      </c>
      <c r="HO126" s="199">
        <f t="shared" si="522"/>
        <v>19189335.850000001</v>
      </c>
      <c r="HP126" s="199">
        <f t="shared" si="523"/>
        <v>19189335.850000001</v>
      </c>
      <c r="HQ126" s="199" t="str">
        <f t="shared" si="524"/>
        <v/>
      </c>
      <c r="HR126" s="199" t="str">
        <f t="shared" si="525"/>
        <v/>
      </c>
      <c r="HS126" s="199" t="str">
        <f t="shared" si="539"/>
        <v/>
      </c>
      <c r="HT126" s="199" t="str">
        <f t="shared" si="526"/>
        <v/>
      </c>
      <c r="HU126" s="199" t="str">
        <f t="shared" si="527"/>
        <v/>
      </c>
      <c r="HV126" s="200">
        <f t="shared" si="528"/>
        <v>0</v>
      </c>
      <c r="HW126" s="272">
        <f t="shared" si="540"/>
        <v>1</v>
      </c>
      <c r="HX126" s="200" t="str">
        <f t="shared" si="529"/>
        <v/>
      </c>
      <c r="HY126" s="200">
        <f t="shared" si="530"/>
        <v>0</v>
      </c>
      <c r="HZ126" s="200" t="str">
        <f t="shared" si="535"/>
        <v/>
      </c>
      <c r="IA126" s="200" t="str">
        <f t="shared" si="531"/>
        <v/>
      </c>
      <c r="IB126" s="200" t="str">
        <f t="shared" si="532"/>
        <v/>
      </c>
      <c r="IC126" s="273">
        <f>IF(C126="","",INDEX(Lookups!$E$2:$E$69,MATCH('Loan List'!BE126,Lookups!$F$2:$F$69,0)))</f>
        <v>42</v>
      </c>
      <c r="ID126" t="b">
        <f t="shared" si="533"/>
        <v>1</v>
      </c>
    </row>
    <row r="127" spans="1:240">
      <c r="A127" t="s">
        <v>780</v>
      </c>
      <c r="B127" s="242">
        <f t="shared" si="541"/>
        <v>118</v>
      </c>
      <c r="C127" s="242">
        <f>IF(COUNTIF($A$10:A126,A127)&gt;0,C126,C126+1)</f>
        <v>92</v>
      </c>
      <c r="D127" s="428" t="s">
        <v>780</v>
      </c>
      <c r="E127" s="428" t="s">
        <v>842</v>
      </c>
      <c r="F127" s="429"/>
      <c r="G127" s="430">
        <v>8000000</v>
      </c>
      <c r="H127" s="430">
        <v>8000000</v>
      </c>
      <c r="I127" s="244">
        <f>IF(B127="","",VLOOKUP(BF127,Inputs!$A$12:$J$15,10,FALSE))</f>
        <v>1</v>
      </c>
      <c r="J127" s="245">
        <f t="shared" si="542"/>
        <v>8000000</v>
      </c>
      <c r="K127" s="245">
        <f t="shared" si="543"/>
        <v>8000000</v>
      </c>
      <c r="L127" s="245">
        <f t="shared" si="544"/>
        <v>8000000</v>
      </c>
      <c r="M127" s="245">
        <f t="shared" si="545"/>
        <v>8000000</v>
      </c>
      <c r="N127" s="432" t="s">
        <v>246</v>
      </c>
      <c r="O127" s="432" t="s">
        <v>245</v>
      </c>
      <c r="P127" s="433">
        <f>IF(B127="","",IF(OR(O127="N/A",O127=""),0,YEARFRAC('Borrowing Base'!$J$4,'Loan List'!O127)*12))</f>
        <v>0</v>
      </c>
      <c r="Q127" s="432" t="s">
        <v>246</v>
      </c>
      <c r="R127" s="434">
        <v>0.99</v>
      </c>
      <c r="S127" s="435" t="str">
        <f t="shared" si="546"/>
        <v>No</v>
      </c>
      <c r="T127" s="434">
        <v>0.99</v>
      </c>
      <c r="U127" s="436">
        <f t="shared" si="547"/>
        <v>0.5</v>
      </c>
      <c r="V127" s="436">
        <f t="shared" si="548"/>
        <v>0.72499999999999998</v>
      </c>
      <c r="W127" s="251">
        <f t="shared" si="385"/>
        <v>8000000</v>
      </c>
      <c r="X127" s="432" t="s">
        <v>246</v>
      </c>
      <c r="Y127" s="437" t="s">
        <v>483</v>
      </c>
      <c r="Z127" s="437" t="s">
        <v>540</v>
      </c>
      <c r="AA127" s="438" t="s">
        <v>407</v>
      </c>
      <c r="AB127" s="438" t="s">
        <v>713</v>
      </c>
      <c r="AC127" s="439">
        <v>2.1631776704240471</v>
      </c>
      <c r="AD127" s="439">
        <v>2.1470746108427265</v>
      </c>
      <c r="AE127" s="439">
        <v>2.7058823529411762</v>
      </c>
      <c r="AF127" s="439">
        <v>0.21732522796352585</v>
      </c>
      <c r="AG127" s="440">
        <v>2.6981132075471699</v>
      </c>
      <c r="AH127" s="440">
        <v>2.6981132075471699</v>
      </c>
      <c r="AI127" s="440">
        <v>2.6981132075471699</v>
      </c>
      <c r="AJ127" s="440">
        <v>2.6981132075471699</v>
      </c>
      <c r="AK127" s="441">
        <v>5300000</v>
      </c>
      <c r="AL127" s="441">
        <v>5300000</v>
      </c>
      <c r="AM127" s="258">
        <v>45838</v>
      </c>
      <c r="AN127" s="442" t="str">
        <f t="shared" si="549"/>
        <v>Tier 2</v>
      </c>
      <c r="AO127" s="443">
        <v>48064</v>
      </c>
      <c r="AP127" s="444">
        <f>IF(C127="","",DAYS360(Inputs!$J$8,AO127)/360)</f>
        <v>5.9444444444444446</v>
      </c>
      <c r="AQ127" s="444">
        <f t="shared" si="550"/>
        <v>5.9444444444444446</v>
      </c>
      <c r="AR127" s="432" t="s">
        <v>246</v>
      </c>
      <c r="AS127" s="445">
        <v>0</v>
      </c>
      <c r="AT127" s="432" t="s">
        <v>64</v>
      </c>
      <c r="AU127" s="446">
        <v>0.01</v>
      </c>
      <c r="AV127" s="446">
        <v>5.7500000000000002E-2</v>
      </c>
      <c r="AW127" s="446">
        <v>4.2956000000000001E-2</v>
      </c>
      <c r="AX127" s="260">
        <f t="shared" si="551"/>
        <v>4.2956000000000001E-2</v>
      </c>
      <c r="AY127" s="446">
        <v>5.0000000000000001E-3</v>
      </c>
      <c r="AZ127" s="446">
        <v>0</v>
      </c>
      <c r="BA127" s="446">
        <v>0</v>
      </c>
      <c r="BB127" s="447">
        <f t="shared" si="536"/>
        <v>5.7500000000000002E-2</v>
      </c>
      <c r="BC127" s="447" t="str">
        <f t="shared" si="537"/>
        <v/>
      </c>
      <c r="BD127" s="437" t="s">
        <v>247</v>
      </c>
      <c r="BE127" s="448" t="s">
        <v>437</v>
      </c>
      <c r="BF127" s="437" t="s">
        <v>7</v>
      </c>
      <c r="BG127" s="437" t="s">
        <v>460</v>
      </c>
      <c r="BH127" s="432" t="s">
        <v>246</v>
      </c>
      <c r="BI127" s="449" t="str">
        <f t="shared" si="559"/>
        <v>No</v>
      </c>
      <c r="BJ127" s="449" t="str">
        <f t="shared" si="560"/>
        <v>No</v>
      </c>
      <c r="BK127" s="432" t="s">
        <v>246</v>
      </c>
      <c r="BL127" s="432" t="s">
        <v>246</v>
      </c>
      <c r="BM127" s="432" t="s">
        <v>246</v>
      </c>
      <c r="BN127" s="432" t="s">
        <v>246</v>
      </c>
      <c r="BO127" s="432" t="s">
        <v>246</v>
      </c>
      <c r="BP127" s="432" t="s">
        <v>246</v>
      </c>
      <c r="BQ127" s="432" t="s">
        <v>246</v>
      </c>
      <c r="BR127" s="432" t="s">
        <v>246</v>
      </c>
      <c r="BS127" s="432" t="s">
        <v>246</v>
      </c>
      <c r="BT127" s="432" t="s">
        <v>246</v>
      </c>
      <c r="BU127" s="432" t="s">
        <v>246</v>
      </c>
      <c r="BV127" s="432" t="s">
        <v>246</v>
      </c>
      <c r="BW127" s="432" t="s">
        <v>246</v>
      </c>
      <c r="BX127" s="432" t="s">
        <v>246</v>
      </c>
      <c r="BY127" s="432" t="s">
        <v>246</v>
      </c>
      <c r="BZ127" s="432" t="s">
        <v>246</v>
      </c>
      <c r="CA127" s="432" t="s">
        <v>246</v>
      </c>
      <c r="CB127" s="432" t="s">
        <v>64</v>
      </c>
      <c r="CC127" s="450">
        <f t="shared" si="552"/>
        <v>457868.80000000005</v>
      </c>
      <c r="CD127" s="450">
        <f t="shared" si="553"/>
        <v>0</v>
      </c>
      <c r="CF127" s="263">
        <f t="shared" si="403"/>
        <v>0</v>
      </c>
      <c r="CG127" s="263">
        <f t="shared" si="404"/>
        <v>0</v>
      </c>
      <c r="CH127" s="263">
        <f t="shared" si="405"/>
        <v>0</v>
      </c>
      <c r="CI127" s="263">
        <f t="shared" si="406"/>
        <v>0</v>
      </c>
      <c r="CJ127" s="263">
        <f t="shared" si="407"/>
        <v>0</v>
      </c>
      <c r="CK127" s="263">
        <f t="shared" si="408"/>
        <v>0</v>
      </c>
      <c r="CL127" s="263">
        <f t="shared" si="409"/>
        <v>0</v>
      </c>
      <c r="CM127" s="263">
        <f t="shared" si="410"/>
        <v>0</v>
      </c>
      <c r="CN127" s="263">
        <f t="shared" si="411"/>
        <v>0</v>
      </c>
      <c r="CO127" s="263">
        <f t="shared" si="412"/>
        <v>0</v>
      </c>
      <c r="CP127" s="263">
        <f t="shared" si="413"/>
        <v>0</v>
      </c>
      <c r="CQ127" s="263">
        <f t="shared" si="414"/>
        <v>0</v>
      </c>
      <c r="CR127" s="263">
        <f t="shared" si="415"/>
        <v>0</v>
      </c>
      <c r="CS127" s="263">
        <f t="shared" si="416"/>
        <v>0</v>
      </c>
      <c r="CT127" s="263">
        <f t="shared" si="417"/>
        <v>0</v>
      </c>
      <c r="CU127" s="263">
        <f t="shared" si="418"/>
        <v>0</v>
      </c>
      <c r="CV127" s="263">
        <f t="shared" si="419"/>
        <v>0</v>
      </c>
      <c r="CW127" s="263">
        <f t="shared" si="420"/>
        <v>0</v>
      </c>
      <c r="CX127" s="263">
        <f t="shared" si="421"/>
        <v>0</v>
      </c>
      <c r="CY127" s="263">
        <f t="shared" si="422"/>
        <v>0</v>
      </c>
      <c r="CZ127" s="263">
        <f t="shared" si="423"/>
        <v>0</v>
      </c>
      <c r="DA127" s="263">
        <f t="shared" si="424"/>
        <v>0</v>
      </c>
      <c r="DB127" s="263">
        <f t="shared" si="425"/>
        <v>0</v>
      </c>
      <c r="DC127" s="263">
        <f t="shared" si="426"/>
        <v>0</v>
      </c>
      <c r="DD127" s="263">
        <f t="shared" si="427"/>
        <v>0</v>
      </c>
      <c r="DE127" s="263">
        <f t="shared" si="428"/>
        <v>0</v>
      </c>
      <c r="DF127" s="263">
        <f t="shared" si="429"/>
        <v>8000000</v>
      </c>
      <c r="DG127" s="263">
        <f t="shared" si="430"/>
        <v>0</v>
      </c>
      <c r="DH127" s="263">
        <f t="shared" si="431"/>
        <v>8000000</v>
      </c>
      <c r="DI127" s="263">
        <f t="shared" si="432"/>
        <v>8000000</v>
      </c>
      <c r="DJ127" s="263">
        <f t="shared" si="433"/>
        <v>0</v>
      </c>
      <c r="DK127" s="263">
        <f t="shared" si="434"/>
        <v>0</v>
      </c>
      <c r="DL127" s="263">
        <f t="shared" si="435"/>
        <v>0</v>
      </c>
      <c r="DM127" s="263">
        <f t="shared" si="436"/>
        <v>0</v>
      </c>
      <c r="DO127" s="264">
        <f t="shared" si="437"/>
        <v>0</v>
      </c>
      <c r="DP127" s="265">
        <f t="shared" si="438"/>
        <v>0</v>
      </c>
      <c r="DQ127" s="264">
        <f t="shared" si="439"/>
        <v>8000000</v>
      </c>
      <c r="DR127" s="264">
        <f t="shared" si="440"/>
        <v>0</v>
      </c>
      <c r="DS127" s="265">
        <f t="shared" si="441"/>
        <v>0</v>
      </c>
      <c r="DT127" s="264">
        <f t="shared" si="442"/>
        <v>8000000</v>
      </c>
      <c r="DU127" s="264">
        <f t="shared" si="443"/>
        <v>0</v>
      </c>
      <c r="DV127" s="265">
        <f t="shared" si="444"/>
        <v>0</v>
      </c>
      <c r="DW127" s="264">
        <f t="shared" si="445"/>
        <v>8000000</v>
      </c>
      <c r="DX127" s="264">
        <f t="shared" si="446"/>
        <v>0</v>
      </c>
      <c r="DY127" s="265">
        <f t="shared" si="447"/>
        <v>0</v>
      </c>
      <c r="DZ127" s="264">
        <f t="shared" si="448"/>
        <v>8000000</v>
      </c>
      <c r="EA127" s="264">
        <f t="shared" si="449"/>
        <v>0</v>
      </c>
      <c r="EB127" s="265">
        <f t="shared" si="450"/>
        <v>0</v>
      </c>
      <c r="EC127" s="264">
        <f t="shared" si="451"/>
        <v>8000000</v>
      </c>
      <c r="ED127" s="264">
        <f t="shared" si="452"/>
        <v>0</v>
      </c>
      <c r="EE127" s="265">
        <f t="shared" si="453"/>
        <v>0</v>
      </c>
      <c r="EF127" s="264">
        <f t="shared" si="454"/>
        <v>8000000</v>
      </c>
      <c r="EG127" s="264">
        <f t="shared" si="455"/>
        <v>0</v>
      </c>
      <c r="EH127" s="265">
        <f t="shared" si="456"/>
        <v>0</v>
      </c>
      <c r="EI127" s="264">
        <f t="shared" si="457"/>
        <v>8000000</v>
      </c>
      <c r="EJ127" s="264">
        <f t="shared" si="458"/>
        <v>0</v>
      </c>
      <c r="EK127" s="265">
        <f t="shared" si="459"/>
        <v>0</v>
      </c>
      <c r="EL127" s="264">
        <f t="shared" si="460"/>
        <v>8000000</v>
      </c>
      <c r="EM127" s="264">
        <f t="shared" si="461"/>
        <v>0</v>
      </c>
      <c r="EN127" s="265">
        <f t="shared" si="462"/>
        <v>0</v>
      </c>
      <c r="EO127" s="264">
        <f t="shared" si="463"/>
        <v>8000000</v>
      </c>
      <c r="EP127" s="264">
        <f t="shared" si="464"/>
        <v>0</v>
      </c>
      <c r="EQ127" s="265">
        <f t="shared" si="465"/>
        <v>0</v>
      </c>
      <c r="ER127" s="264">
        <f t="shared" si="466"/>
        <v>8000000</v>
      </c>
      <c r="ES127" s="264">
        <f t="shared" si="467"/>
        <v>0</v>
      </c>
      <c r="ET127" s="265">
        <f t="shared" si="468"/>
        <v>0</v>
      </c>
      <c r="EU127" s="264">
        <f t="shared" si="469"/>
        <v>8000000</v>
      </c>
      <c r="EV127" s="264">
        <f>IF(AND(BM127="Yes",OR(BN127="No",AND(BN127="Yes",Inputs!$J$8=Inputs!$J$17+75))),EU127,0)</f>
        <v>0</v>
      </c>
      <c r="EW127" s="265">
        <f t="shared" si="470"/>
        <v>0</v>
      </c>
      <c r="EX127" s="264">
        <f t="shared" si="471"/>
        <v>8000000</v>
      </c>
      <c r="EY127" s="264">
        <f t="shared" si="472"/>
        <v>0</v>
      </c>
      <c r="EZ127" s="265">
        <f t="shared" si="473"/>
        <v>0</v>
      </c>
      <c r="FA127" s="264">
        <f t="shared" si="474"/>
        <v>8000000</v>
      </c>
      <c r="FB127" s="264">
        <f t="shared" si="475"/>
        <v>0</v>
      </c>
      <c r="FC127" s="265">
        <f t="shared" si="476"/>
        <v>0</v>
      </c>
      <c r="FD127" s="264">
        <f t="shared" si="477"/>
        <v>8000000</v>
      </c>
      <c r="FE127" s="264">
        <f t="shared" si="478"/>
        <v>0</v>
      </c>
      <c r="FF127" s="265">
        <f t="shared" si="479"/>
        <v>0</v>
      </c>
      <c r="FG127" s="264">
        <f t="shared" si="480"/>
        <v>8000000</v>
      </c>
      <c r="FH127" s="264">
        <f t="shared" si="481"/>
        <v>8000000</v>
      </c>
      <c r="FI127" s="264">
        <f t="shared" si="482"/>
        <v>0</v>
      </c>
      <c r="FJ127" s="264">
        <f t="shared" si="483"/>
        <v>8000000</v>
      </c>
      <c r="FK127" s="264">
        <f t="shared" si="484"/>
        <v>8000000</v>
      </c>
      <c r="FL127" s="264">
        <f t="shared" si="485"/>
        <v>0</v>
      </c>
      <c r="FM127" s="264">
        <f t="shared" si="486"/>
        <v>8000000</v>
      </c>
      <c r="FN127" s="264">
        <f t="shared" si="487"/>
        <v>8000000</v>
      </c>
      <c r="FO127" s="264">
        <f t="shared" si="488"/>
        <v>0</v>
      </c>
      <c r="FP127" s="264">
        <f t="shared" si="489"/>
        <v>8000000</v>
      </c>
      <c r="FQ127" s="264">
        <f t="shared" si="490"/>
        <v>8000000</v>
      </c>
      <c r="FR127" s="265">
        <f t="shared" si="491"/>
        <v>0</v>
      </c>
      <c r="FS127" s="264">
        <f t="shared" si="492"/>
        <v>8000000</v>
      </c>
      <c r="FT127" s="264">
        <f t="shared" si="493"/>
        <v>8000000</v>
      </c>
      <c r="FU127" s="265">
        <f t="shared" si="494"/>
        <v>0</v>
      </c>
      <c r="FV127" s="264">
        <f t="shared" si="495"/>
        <v>8000000</v>
      </c>
      <c r="FW127" s="264">
        <f t="shared" si="496"/>
        <v>0</v>
      </c>
      <c r="FX127" s="264">
        <f t="shared" si="497"/>
        <v>0</v>
      </c>
      <c r="FY127" s="264">
        <f t="shared" si="498"/>
        <v>0</v>
      </c>
      <c r="FZ127" s="264">
        <f t="shared" si="499"/>
        <v>0</v>
      </c>
      <c r="GA127" s="265">
        <f t="shared" si="500"/>
        <v>0</v>
      </c>
      <c r="GB127" s="264">
        <f t="shared" si="501"/>
        <v>8000000</v>
      </c>
      <c r="GC127" s="264">
        <f t="shared" si="502"/>
        <v>8000000</v>
      </c>
      <c r="GD127" s="266">
        <f t="shared" si="503"/>
        <v>5800000</v>
      </c>
      <c r="GE127" s="138">
        <f t="shared" si="504"/>
        <v>0.72499999999999998</v>
      </c>
      <c r="GF127" s="267">
        <f t="shared" si="505"/>
        <v>46</v>
      </c>
      <c r="GG127" s="264">
        <f t="array" ref="GG127">IF(SUM(IF(IC$9:IC126=IC127,1,0))&gt;0,0,SUMIF($IC$10:$IC$406,IC127,$FJ$10:$FJ$406))</f>
        <v>0</v>
      </c>
      <c r="GH127" s="268">
        <f t="shared" si="506"/>
        <v>0</v>
      </c>
      <c r="GI127" s="137">
        <f t="shared" si="126"/>
        <v>118</v>
      </c>
      <c r="GJ127" s="269">
        <f t="shared" si="507"/>
        <v>0</v>
      </c>
      <c r="GK127" s="269">
        <f t="shared" si="508"/>
        <v>0</v>
      </c>
      <c r="GL127" s="163">
        <f t="shared" si="509"/>
        <v>0</v>
      </c>
      <c r="GM127" s="137">
        <f t="array" ref="GM127">IF(GJ127=0,0,LARGE(IF($GG$10:$GG$406=GJ127,$GF$10:$GF$406,0),COUNTIF($GJ$10:$GJ$406,GJ127)-COUNTIF(GJ$9:GJ126,GJ127)))</f>
        <v>0</v>
      </c>
      <c r="GN127" s="270">
        <f t="shared" si="510"/>
        <v>0</v>
      </c>
      <c r="GP127" s="137">
        <f>IF(C127="","",IF(ISERROR(MATCH(C127,C$10:C126,0)),MAX(GP$10:GP126)+1,INDEX(GP$10:GP126,MATCH(C127,C$10:C126,0))))</f>
        <v>92</v>
      </c>
      <c r="GQ127" s="264">
        <f>IF(COUNTIF($A$10:A127,A127)&lt;=1,SUMIF($A$10:$A$406,A127,$FH$10:$FH$406),0)</f>
        <v>8000000</v>
      </c>
      <c r="GR127" s="137">
        <f t="shared" si="130"/>
        <v>118</v>
      </c>
      <c r="GS127" s="269">
        <f t="shared" si="554"/>
        <v>0</v>
      </c>
      <c r="GT127" s="269">
        <f t="shared" si="555"/>
        <v>0</v>
      </c>
      <c r="GU127" s="163">
        <f t="shared" si="556"/>
        <v>0</v>
      </c>
      <c r="GV127" s="137">
        <f t="array" ref="GV127">IF(GS127=0,0,LARGE(IF($GQ$10:$GQ$406=GS127,$GP$10:$GP$406,0),COUNTIF($GS$10:$GS$406,GS127)-COUNTIF(GS$9:GS126,GS127)))</f>
        <v>0</v>
      </c>
      <c r="GW127" s="270">
        <f t="shared" si="557"/>
        <v>0</v>
      </c>
      <c r="GY127" s="137">
        <f>IF(C127="","",IF(ISERROR(MATCH(C127,C$10:C126,0)),MAX(GP$10:GP126)+1,INDEX(GP$10:GP126,MATCH(C127,C$10:C126,0))))</f>
        <v>92</v>
      </c>
      <c r="GZ127" s="264">
        <f>IF(COUNTIF($A$10:A127,A127)&lt;=1,SUMIF($A$10:$A$406,A127,$FH$10:$FH$406),0)</f>
        <v>8000000</v>
      </c>
      <c r="HA127" s="137">
        <f t="shared" si="134"/>
        <v>118</v>
      </c>
      <c r="HB127" s="269">
        <f t="shared" si="515"/>
        <v>0</v>
      </c>
      <c r="HC127" s="414" t="s">
        <v>622</v>
      </c>
      <c r="HD127" s="163">
        <f t="shared" si="516"/>
        <v>0</v>
      </c>
      <c r="HE127" s="137">
        <f t="array" ref="HE127">IF(HB127=0,0,LARGE(IF($GZ$10:$GZ$406=HB127,$GY$10:$GY$406,0),COUNTIF($HB$10:$HB$406,HB127)-COUNTIF(HB$9:HB126,HB127)))</f>
        <v>0</v>
      </c>
      <c r="HF127" s="270">
        <f t="shared" si="517"/>
        <v>0</v>
      </c>
      <c r="HH127" s="268">
        <f t="shared" si="518"/>
        <v>0</v>
      </c>
      <c r="HI127" s="271">
        <v>0</v>
      </c>
      <c r="HJ127" s="264">
        <f t="shared" si="519"/>
        <v>0</v>
      </c>
      <c r="HL127" s="137">
        <f t="shared" si="520"/>
        <v>118</v>
      </c>
      <c r="HM127" s="264">
        <f t="shared" si="521"/>
        <v>0</v>
      </c>
      <c r="HO127" s="199">
        <f t="shared" si="522"/>
        <v>8000000</v>
      </c>
      <c r="HP127" s="199">
        <f t="shared" si="523"/>
        <v>8000000</v>
      </c>
      <c r="HQ127" s="199" t="str">
        <f t="shared" si="524"/>
        <v/>
      </c>
      <c r="HR127" s="199" t="str">
        <f t="shared" si="525"/>
        <v/>
      </c>
      <c r="HS127" s="199" t="str">
        <f t="shared" si="539"/>
        <v/>
      </c>
      <c r="HT127" s="199" t="str">
        <f t="shared" si="526"/>
        <v/>
      </c>
      <c r="HU127" s="199" t="str">
        <f t="shared" si="527"/>
        <v/>
      </c>
      <c r="HV127" s="200">
        <f t="shared" si="528"/>
        <v>0</v>
      </c>
      <c r="HW127" s="272">
        <f t="shared" si="540"/>
        <v>1</v>
      </c>
      <c r="HX127" s="200" t="str">
        <f t="shared" si="529"/>
        <v/>
      </c>
      <c r="HY127" s="200">
        <f t="shared" si="530"/>
        <v>0</v>
      </c>
      <c r="HZ127" s="200" t="str">
        <f t="shared" si="535"/>
        <v/>
      </c>
      <c r="IA127" s="200" t="str">
        <f t="shared" si="531"/>
        <v/>
      </c>
      <c r="IB127" s="200" t="str">
        <f t="shared" si="532"/>
        <v/>
      </c>
      <c r="IC127" s="273">
        <f>IF(C127="","",INDEX(Lookups!$E$2:$E$69,MATCH('Loan List'!BE127,Lookups!$F$2:$F$69,0)))</f>
        <v>46</v>
      </c>
      <c r="ID127" t="b">
        <f t="shared" si="533"/>
        <v>1</v>
      </c>
    </row>
    <row r="128" spans="1:240">
      <c r="A128" t="s">
        <v>781</v>
      </c>
      <c r="B128" s="242">
        <f t="shared" si="541"/>
        <v>119</v>
      </c>
      <c r="C128" s="242">
        <f>IF(COUNTIF($A$10:A127,A128)&gt;0,C127,C127+1)</f>
        <v>93</v>
      </c>
      <c r="D128" s="431" t="s">
        <v>781</v>
      </c>
      <c r="E128" s="428" t="s">
        <v>843</v>
      </c>
      <c r="F128" s="429"/>
      <c r="G128" s="430">
        <v>1231250</v>
      </c>
      <c r="H128" s="430">
        <v>1231250</v>
      </c>
      <c r="I128" s="244">
        <f>IF(B128="","",VLOOKUP(BF128,Inputs!$A$12:$J$15,10,FALSE))</f>
        <v>1</v>
      </c>
      <c r="J128" s="245">
        <f t="shared" si="542"/>
        <v>1231250</v>
      </c>
      <c r="K128" s="245">
        <f t="shared" si="543"/>
        <v>1231250</v>
      </c>
      <c r="L128" s="245">
        <f t="shared" si="544"/>
        <v>1231250</v>
      </c>
      <c r="M128" s="245">
        <f t="shared" si="545"/>
        <v>1231250</v>
      </c>
      <c r="N128" s="432" t="s">
        <v>246</v>
      </c>
      <c r="O128" s="432" t="s">
        <v>245</v>
      </c>
      <c r="P128" s="433">
        <f>IF(B128="","",IF(OR(O128="N/A",O128=""),0,YEARFRAC('Borrowing Base'!$J$4,'Loan List'!O128)*12))</f>
        <v>0</v>
      </c>
      <c r="Q128" s="432" t="s">
        <v>246</v>
      </c>
      <c r="R128" s="434">
        <v>1</v>
      </c>
      <c r="S128" s="435" t="str">
        <f t="shared" si="546"/>
        <v>No</v>
      </c>
      <c r="T128" s="434">
        <v>1</v>
      </c>
      <c r="U128" s="436">
        <f t="shared" si="547"/>
        <v>0.5</v>
      </c>
      <c r="V128" s="436">
        <f t="shared" si="548"/>
        <v>0.72499999999999998</v>
      </c>
      <c r="W128" s="251">
        <f t="shared" si="385"/>
        <v>1231250</v>
      </c>
      <c r="X128" s="432" t="s">
        <v>246</v>
      </c>
      <c r="Y128" s="437" t="s">
        <v>483</v>
      </c>
      <c r="Z128" s="437" t="s">
        <v>484</v>
      </c>
      <c r="AA128" s="438" t="s">
        <v>407</v>
      </c>
      <c r="AB128" s="438" t="s">
        <v>713</v>
      </c>
      <c r="AC128" s="439">
        <v>1.2934112179851096</v>
      </c>
      <c r="AD128" s="439">
        <v>1.4354518795765123</v>
      </c>
      <c r="AE128" s="439">
        <v>1.9739798712211332</v>
      </c>
      <c r="AF128" s="439">
        <v>0.37878787878787878</v>
      </c>
      <c r="AG128" s="440">
        <v>3.9764593605853347</v>
      </c>
      <c r="AH128" s="440">
        <v>3.9764593605853347</v>
      </c>
      <c r="AI128" s="440">
        <v>4.0694152158663348</v>
      </c>
      <c r="AJ128" s="440">
        <v>4.0694152158663348</v>
      </c>
      <c r="AK128" s="441">
        <v>25100000</v>
      </c>
      <c r="AL128" s="441">
        <v>31362000</v>
      </c>
      <c r="AM128" s="258">
        <v>45838</v>
      </c>
      <c r="AN128" s="442" t="str">
        <f t="shared" si="549"/>
        <v>Tier 2</v>
      </c>
      <c r="AO128" s="443">
        <v>47430</v>
      </c>
      <c r="AP128" s="444">
        <f>IF(C128="","",DAYS360(Inputs!$J$8,AO128)/360)</f>
        <v>4.2055555555555557</v>
      </c>
      <c r="AQ128" s="444">
        <f t="shared" si="550"/>
        <v>4.2055555555555557</v>
      </c>
      <c r="AR128" s="432" t="s">
        <v>246</v>
      </c>
      <c r="AS128" s="445">
        <v>0</v>
      </c>
      <c r="AT128" s="432" t="s">
        <v>64</v>
      </c>
      <c r="AU128" s="446">
        <v>0.01</v>
      </c>
      <c r="AV128" s="446">
        <v>5.7500000000000002E-2</v>
      </c>
      <c r="AW128" s="446">
        <v>4.2956000000000001E-2</v>
      </c>
      <c r="AX128" s="260">
        <f t="shared" si="551"/>
        <v>4.2956000000000001E-2</v>
      </c>
      <c r="AY128" s="446">
        <v>5.0000000000000001E-3</v>
      </c>
      <c r="AZ128" s="446">
        <v>0</v>
      </c>
      <c r="BA128" s="446">
        <v>0</v>
      </c>
      <c r="BB128" s="447">
        <f t="shared" si="536"/>
        <v>5.7500000000000002E-2</v>
      </c>
      <c r="BC128" s="447" t="str">
        <f t="shared" si="537"/>
        <v/>
      </c>
      <c r="BD128" s="437" t="s">
        <v>247</v>
      </c>
      <c r="BE128" s="448" t="s">
        <v>375</v>
      </c>
      <c r="BF128" s="437" t="s">
        <v>7</v>
      </c>
      <c r="BG128" s="437" t="s">
        <v>460</v>
      </c>
      <c r="BH128" s="432" t="s">
        <v>246</v>
      </c>
      <c r="BI128" s="449" t="str">
        <f t="shared" si="559"/>
        <v>No</v>
      </c>
      <c r="BJ128" s="449" t="str">
        <f t="shared" si="560"/>
        <v>No</v>
      </c>
      <c r="BK128" s="432" t="s">
        <v>246</v>
      </c>
      <c r="BL128" s="432" t="s">
        <v>246</v>
      </c>
      <c r="BM128" s="246" t="s">
        <v>64</v>
      </c>
      <c r="BN128" s="246" t="s">
        <v>64</v>
      </c>
      <c r="BO128" s="432" t="s">
        <v>246</v>
      </c>
      <c r="BP128" s="432" t="s">
        <v>246</v>
      </c>
      <c r="BQ128" s="432" t="s">
        <v>246</v>
      </c>
      <c r="BR128" s="432" t="s">
        <v>246</v>
      </c>
      <c r="BS128" s="432" t="s">
        <v>246</v>
      </c>
      <c r="BT128" s="432" t="s">
        <v>246</v>
      </c>
      <c r="BU128" s="432" t="s">
        <v>246</v>
      </c>
      <c r="BV128" s="432" t="s">
        <v>246</v>
      </c>
      <c r="BW128" s="432" t="s">
        <v>246</v>
      </c>
      <c r="BX128" s="432" t="s">
        <v>246</v>
      </c>
      <c r="BY128" s="432" t="s">
        <v>246</v>
      </c>
      <c r="BZ128" s="432" t="s">
        <v>246</v>
      </c>
      <c r="CA128" s="432" t="s">
        <v>246</v>
      </c>
      <c r="CB128" s="432" t="s">
        <v>64</v>
      </c>
      <c r="CC128" s="450">
        <f t="shared" si="552"/>
        <v>70468.87000000001</v>
      </c>
      <c r="CD128" s="450">
        <f t="shared" si="553"/>
        <v>0</v>
      </c>
      <c r="CF128" s="263">
        <f t="shared" si="403"/>
        <v>0</v>
      </c>
      <c r="CG128" s="263">
        <f t="shared" si="404"/>
        <v>0</v>
      </c>
      <c r="CH128" s="263">
        <f t="shared" si="405"/>
        <v>0</v>
      </c>
      <c r="CI128" s="263">
        <f t="shared" si="406"/>
        <v>0</v>
      </c>
      <c r="CJ128" s="263">
        <f t="shared" si="407"/>
        <v>0</v>
      </c>
      <c r="CK128" s="263">
        <f t="shared" si="408"/>
        <v>0</v>
      </c>
      <c r="CL128" s="263">
        <f t="shared" si="409"/>
        <v>0</v>
      </c>
      <c r="CM128" s="263">
        <f t="shared" si="410"/>
        <v>0</v>
      </c>
      <c r="CN128" s="263">
        <f t="shared" si="411"/>
        <v>0</v>
      </c>
      <c r="CO128" s="263">
        <f t="shared" si="412"/>
        <v>0</v>
      </c>
      <c r="CP128" s="263">
        <f t="shared" si="413"/>
        <v>0</v>
      </c>
      <c r="CQ128" s="263">
        <f t="shared" si="414"/>
        <v>0</v>
      </c>
      <c r="CR128" s="263">
        <f t="shared" si="415"/>
        <v>0</v>
      </c>
      <c r="CS128" s="263">
        <f t="shared" si="416"/>
        <v>0</v>
      </c>
      <c r="CT128" s="263">
        <f t="shared" si="417"/>
        <v>0</v>
      </c>
      <c r="CU128" s="263">
        <f t="shared" si="418"/>
        <v>0</v>
      </c>
      <c r="CV128" s="263">
        <f t="shared" si="419"/>
        <v>0</v>
      </c>
      <c r="CW128" s="263">
        <f t="shared" si="420"/>
        <v>0</v>
      </c>
      <c r="CX128" s="263">
        <f t="shared" si="421"/>
        <v>0</v>
      </c>
      <c r="CY128" s="263">
        <f t="shared" si="422"/>
        <v>0</v>
      </c>
      <c r="CZ128" s="263">
        <f t="shared" si="423"/>
        <v>0</v>
      </c>
      <c r="DA128" s="263">
        <f t="shared" si="424"/>
        <v>0</v>
      </c>
      <c r="DB128" s="263">
        <f t="shared" si="425"/>
        <v>0</v>
      </c>
      <c r="DC128" s="263">
        <f t="shared" si="426"/>
        <v>0</v>
      </c>
      <c r="DD128" s="263">
        <f t="shared" si="427"/>
        <v>0</v>
      </c>
      <c r="DE128" s="263">
        <f t="shared" si="428"/>
        <v>0</v>
      </c>
      <c r="DF128" s="263">
        <f t="shared" si="429"/>
        <v>1231250</v>
      </c>
      <c r="DG128" s="263">
        <f t="shared" si="430"/>
        <v>0</v>
      </c>
      <c r="DH128" s="263">
        <f t="shared" si="431"/>
        <v>1231250</v>
      </c>
      <c r="DI128" s="263">
        <f t="shared" si="432"/>
        <v>1231250</v>
      </c>
      <c r="DJ128" s="263">
        <f t="shared" si="433"/>
        <v>0</v>
      </c>
      <c r="DK128" s="263">
        <f t="shared" si="434"/>
        <v>0</v>
      </c>
      <c r="DL128" s="263">
        <f t="shared" si="435"/>
        <v>0</v>
      </c>
      <c r="DM128" s="263">
        <f t="shared" si="436"/>
        <v>0</v>
      </c>
      <c r="DO128" s="264">
        <f t="shared" si="437"/>
        <v>0</v>
      </c>
      <c r="DP128" s="265">
        <f t="shared" si="438"/>
        <v>0</v>
      </c>
      <c r="DQ128" s="264">
        <f t="shared" si="439"/>
        <v>1231250</v>
      </c>
      <c r="DR128" s="264">
        <f t="shared" si="440"/>
        <v>0</v>
      </c>
      <c r="DS128" s="265">
        <f t="shared" si="441"/>
        <v>0</v>
      </c>
      <c r="DT128" s="264">
        <f t="shared" si="442"/>
        <v>1231250</v>
      </c>
      <c r="DU128" s="264">
        <f t="shared" si="443"/>
        <v>0</v>
      </c>
      <c r="DV128" s="265">
        <f t="shared" si="444"/>
        <v>0</v>
      </c>
      <c r="DW128" s="264">
        <f t="shared" si="445"/>
        <v>1231250</v>
      </c>
      <c r="DX128" s="264">
        <f t="shared" si="446"/>
        <v>0</v>
      </c>
      <c r="DY128" s="265">
        <f t="shared" si="447"/>
        <v>0</v>
      </c>
      <c r="DZ128" s="264">
        <f t="shared" si="448"/>
        <v>1231250</v>
      </c>
      <c r="EA128" s="264">
        <f t="shared" si="449"/>
        <v>0</v>
      </c>
      <c r="EB128" s="265">
        <f t="shared" si="450"/>
        <v>0</v>
      </c>
      <c r="EC128" s="264">
        <f t="shared" si="451"/>
        <v>1231250</v>
      </c>
      <c r="ED128" s="264">
        <f t="shared" si="452"/>
        <v>0</v>
      </c>
      <c r="EE128" s="265">
        <f t="shared" si="453"/>
        <v>0</v>
      </c>
      <c r="EF128" s="264">
        <f t="shared" si="454"/>
        <v>1231250</v>
      </c>
      <c r="EG128" s="264">
        <f t="shared" si="455"/>
        <v>0</v>
      </c>
      <c r="EH128" s="265">
        <f t="shared" si="456"/>
        <v>0</v>
      </c>
      <c r="EI128" s="264">
        <f t="shared" si="457"/>
        <v>1231250</v>
      </c>
      <c r="EJ128" s="264">
        <f t="shared" si="458"/>
        <v>0</v>
      </c>
      <c r="EK128" s="265">
        <f t="shared" si="459"/>
        <v>0</v>
      </c>
      <c r="EL128" s="264">
        <f t="shared" si="460"/>
        <v>1231250</v>
      </c>
      <c r="EM128" s="264">
        <f t="shared" si="461"/>
        <v>0</v>
      </c>
      <c r="EN128" s="265">
        <f t="shared" si="462"/>
        <v>0</v>
      </c>
      <c r="EO128" s="264">
        <f t="shared" si="463"/>
        <v>1231250</v>
      </c>
      <c r="EP128" s="264">
        <f t="shared" si="464"/>
        <v>0</v>
      </c>
      <c r="EQ128" s="265">
        <f t="shared" si="465"/>
        <v>0</v>
      </c>
      <c r="ER128" s="264">
        <f t="shared" si="466"/>
        <v>1231250</v>
      </c>
      <c r="ES128" s="264">
        <f t="shared" si="467"/>
        <v>0</v>
      </c>
      <c r="ET128" s="265">
        <f t="shared" si="468"/>
        <v>0</v>
      </c>
      <c r="EU128" s="264">
        <f t="shared" si="469"/>
        <v>1231250</v>
      </c>
      <c r="EV128" s="264">
        <f>IF(AND(BM128="Yes",OR(BN128="No",AND(BN128="Yes",Inputs!$J$8=Inputs!$J$17+75))),EU128,0)</f>
        <v>0</v>
      </c>
      <c r="EW128" s="265">
        <f t="shared" si="470"/>
        <v>0</v>
      </c>
      <c r="EX128" s="264">
        <f t="shared" si="471"/>
        <v>1231250</v>
      </c>
      <c r="EY128" s="264">
        <f t="shared" si="472"/>
        <v>0</v>
      </c>
      <c r="EZ128" s="265">
        <f t="shared" si="473"/>
        <v>0</v>
      </c>
      <c r="FA128" s="264">
        <f t="shared" si="474"/>
        <v>1231250</v>
      </c>
      <c r="FB128" s="264">
        <f t="shared" si="475"/>
        <v>0</v>
      </c>
      <c r="FC128" s="265">
        <f t="shared" si="476"/>
        <v>0</v>
      </c>
      <c r="FD128" s="264">
        <f t="shared" si="477"/>
        <v>1231250</v>
      </c>
      <c r="FE128" s="264">
        <f t="shared" si="478"/>
        <v>0</v>
      </c>
      <c r="FF128" s="265">
        <f t="shared" si="479"/>
        <v>0</v>
      </c>
      <c r="FG128" s="264">
        <f t="shared" si="480"/>
        <v>1231250</v>
      </c>
      <c r="FH128" s="264">
        <f t="shared" si="481"/>
        <v>1231250</v>
      </c>
      <c r="FI128" s="264">
        <f t="shared" si="482"/>
        <v>0</v>
      </c>
      <c r="FJ128" s="264">
        <f t="shared" si="483"/>
        <v>1231250</v>
      </c>
      <c r="FK128" s="264">
        <f t="shared" si="484"/>
        <v>1231250</v>
      </c>
      <c r="FL128" s="264">
        <f t="shared" si="485"/>
        <v>0</v>
      </c>
      <c r="FM128" s="264">
        <f t="shared" si="486"/>
        <v>1231250</v>
      </c>
      <c r="FN128" s="264">
        <f t="shared" si="487"/>
        <v>1231250</v>
      </c>
      <c r="FO128" s="264">
        <f t="shared" si="488"/>
        <v>0</v>
      </c>
      <c r="FP128" s="264">
        <f t="shared" si="489"/>
        <v>1231250</v>
      </c>
      <c r="FQ128" s="264">
        <f t="shared" si="490"/>
        <v>0</v>
      </c>
      <c r="FR128" s="265">
        <f t="shared" si="491"/>
        <v>0</v>
      </c>
      <c r="FS128" s="264">
        <f t="shared" si="492"/>
        <v>1231250</v>
      </c>
      <c r="FT128" s="264">
        <f t="shared" si="493"/>
        <v>0</v>
      </c>
      <c r="FU128" s="265">
        <f t="shared" si="494"/>
        <v>0</v>
      </c>
      <c r="FV128" s="264">
        <f t="shared" si="495"/>
        <v>1231250</v>
      </c>
      <c r="FW128" s="264">
        <f t="shared" si="496"/>
        <v>0</v>
      </c>
      <c r="FX128" s="264">
        <f t="shared" si="497"/>
        <v>0</v>
      </c>
      <c r="FY128" s="264">
        <f t="shared" si="498"/>
        <v>0</v>
      </c>
      <c r="FZ128" s="264">
        <f t="shared" si="499"/>
        <v>0</v>
      </c>
      <c r="GA128" s="265">
        <f t="shared" si="500"/>
        <v>0</v>
      </c>
      <c r="GB128" s="264">
        <f t="shared" si="501"/>
        <v>1231250</v>
      </c>
      <c r="GC128" s="264">
        <f t="shared" si="502"/>
        <v>1231250</v>
      </c>
      <c r="GD128" s="266">
        <f t="shared" si="503"/>
        <v>892656.25</v>
      </c>
      <c r="GE128" s="138">
        <f t="shared" si="504"/>
        <v>0.72499999999999998</v>
      </c>
      <c r="GF128" s="267">
        <f t="shared" si="505"/>
        <v>18</v>
      </c>
      <c r="GG128" s="264">
        <f t="array" ref="GG128">IF(SUM(IF(IC$9:IC127=IC128,1,0))&gt;0,0,SUMIF($IC$10:$IC$406,IC128,$FJ$10:$FJ$406))</f>
        <v>0</v>
      </c>
      <c r="GH128" s="268">
        <f t="shared" si="506"/>
        <v>0</v>
      </c>
      <c r="GI128" s="137">
        <f t="shared" si="126"/>
        <v>119</v>
      </c>
      <c r="GJ128" s="269">
        <f t="shared" si="507"/>
        <v>0</v>
      </c>
      <c r="GK128" s="269">
        <f t="shared" si="508"/>
        <v>0</v>
      </c>
      <c r="GL128" s="163">
        <f t="shared" si="509"/>
        <v>0</v>
      </c>
      <c r="GM128" s="137">
        <f t="array" ref="GM128">IF(GJ128=0,0,LARGE(IF($GG$10:$GG$406=GJ128,$GF$10:$GF$406,0),COUNTIF($GJ$10:$GJ$406,GJ128)-COUNTIF(GJ$9:GJ127,GJ128)))</f>
        <v>0</v>
      </c>
      <c r="GN128" s="270">
        <f t="shared" si="510"/>
        <v>0</v>
      </c>
      <c r="GP128" s="137">
        <f>IF(C128="","",IF(ISERROR(MATCH(C128,C$10:C127,0)),MAX(GP$10:GP127)+1,INDEX(GP$10:GP127,MATCH(C128,C$10:C127,0))))</f>
        <v>93</v>
      </c>
      <c r="GQ128" s="264">
        <f>IF(COUNTIF($A$10:A128,A128)&lt;=1,SUMIF($A$10:$A$406,A128,$FH$10:$FH$406),0)</f>
        <v>1231250</v>
      </c>
      <c r="GR128" s="137">
        <f t="shared" si="130"/>
        <v>119</v>
      </c>
      <c r="GS128" s="269">
        <f t="shared" si="554"/>
        <v>0</v>
      </c>
      <c r="GT128" s="269">
        <f t="shared" si="555"/>
        <v>0</v>
      </c>
      <c r="GU128" s="163">
        <f t="shared" si="556"/>
        <v>0</v>
      </c>
      <c r="GV128" s="137">
        <f t="array" ref="GV128">IF(GS128=0,0,LARGE(IF($GQ$10:$GQ$406=GS128,$GP$10:$GP$406,0),COUNTIF($GS$10:$GS$406,GS128)-COUNTIF(GS$9:GS127,GS128)))</f>
        <v>0</v>
      </c>
      <c r="GW128" s="270">
        <f t="shared" si="557"/>
        <v>0</v>
      </c>
      <c r="GY128" s="137">
        <f>IF(C128="","",IF(ISERROR(MATCH(C128,C$10:C127,0)),MAX(GP$10:GP127)+1,INDEX(GP$10:GP127,MATCH(C128,C$10:C127,0))))</f>
        <v>93</v>
      </c>
      <c r="GZ128" s="264">
        <f>IF(COUNTIF($A$10:A128,A128)&lt;=1,SUMIF($A$10:$A$406,A128,$FH$10:$FH$406),0)</f>
        <v>1231250</v>
      </c>
      <c r="HA128" s="137">
        <f t="shared" si="134"/>
        <v>119</v>
      </c>
      <c r="HB128" s="269">
        <f t="shared" si="515"/>
        <v>0</v>
      </c>
      <c r="HC128" s="414" t="s">
        <v>622</v>
      </c>
      <c r="HD128" s="163">
        <f t="shared" si="516"/>
        <v>0</v>
      </c>
      <c r="HE128" s="137">
        <f t="array" ref="HE128">IF(HB128=0,0,LARGE(IF($GZ$10:$GZ$406=HB128,$GY$10:$GY$406,0),COUNTIF($HB$10:$HB$406,HB128)-COUNTIF(HB$9:HB127,HB128)))</f>
        <v>0</v>
      </c>
      <c r="HF128" s="270">
        <f t="shared" si="517"/>
        <v>0</v>
      </c>
      <c r="HH128" s="268">
        <f t="shared" si="518"/>
        <v>0</v>
      </c>
      <c r="HI128" s="271">
        <v>0</v>
      </c>
      <c r="HJ128" s="264">
        <f t="shared" si="519"/>
        <v>0</v>
      </c>
      <c r="HL128" s="137">
        <f t="shared" si="520"/>
        <v>119</v>
      </c>
      <c r="HM128" s="264">
        <f t="shared" si="521"/>
        <v>0</v>
      </c>
      <c r="HO128" s="199">
        <f t="shared" si="522"/>
        <v>1231250</v>
      </c>
      <c r="HP128" s="199">
        <f t="shared" si="523"/>
        <v>1231250</v>
      </c>
      <c r="HQ128" s="199" t="str">
        <f t="shared" si="524"/>
        <v/>
      </c>
      <c r="HR128" s="199" t="str">
        <f t="shared" si="525"/>
        <v/>
      </c>
      <c r="HS128" s="199" t="str">
        <f t="shared" si="539"/>
        <v/>
      </c>
      <c r="HT128" s="199" t="str">
        <f t="shared" si="526"/>
        <v/>
      </c>
      <c r="HU128" s="199" t="str">
        <f t="shared" si="527"/>
        <v/>
      </c>
      <c r="HV128" s="200">
        <f t="shared" si="528"/>
        <v>0</v>
      </c>
      <c r="HW128" s="272">
        <f t="shared" si="540"/>
        <v>1</v>
      </c>
      <c r="HX128" s="200" t="str">
        <f t="shared" si="529"/>
        <v/>
      </c>
      <c r="HY128" s="200">
        <f t="shared" si="530"/>
        <v>0</v>
      </c>
      <c r="HZ128" s="200" t="str">
        <f t="shared" si="535"/>
        <v/>
      </c>
      <c r="IA128" s="200" t="str">
        <f t="shared" si="531"/>
        <v/>
      </c>
      <c r="IB128" s="200" t="str">
        <f t="shared" si="532"/>
        <v/>
      </c>
      <c r="IC128" s="273">
        <f>IF(C128="","",INDEX(Lookups!$E$2:$E$69,MATCH('Loan List'!BE128,Lookups!$F$2:$F$69,0)))</f>
        <v>18</v>
      </c>
      <c r="ID128" t="b">
        <f t="shared" si="533"/>
        <v>1</v>
      </c>
    </row>
    <row r="129" spans="1:238">
      <c r="A129" t="s">
        <v>611</v>
      </c>
      <c r="B129" s="242">
        <f t="shared" si="541"/>
        <v>120</v>
      </c>
      <c r="C129" s="242">
        <f>IF(COUNTIF($A$10:A128,A129)&gt;0,C128,C128+1)</f>
        <v>94</v>
      </c>
      <c r="D129" s="428" t="s">
        <v>611</v>
      </c>
      <c r="E129" s="428" t="s">
        <v>511</v>
      </c>
      <c r="F129" s="429"/>
      <c r="G129" s="430">
        <v>1850663.52</v>
      </c>
      <c r="H129" s="430">
        <v>1850663.52</v>
      </c>
      <c r="I129" s="244">
        <f>IF(B129="","",VLOOKUP(BF129,Inputs!$A$12:$J$15,10,FALSE))</f>
        <v>1</v>
      </c>
      <c r="J129" s="245">
        <f t="shared" si="542"/>
        <v>1850663.52</v>
      </c>
      <c r="K129" s="245">
        <f t="shared" si="543"/>
        <v>1850663.52</v>
      </c>
      <c r="L129" s="245">
        <f t="shared" si="544"/>
        <v>1850663.52</v>
      </c>
      <c r="M129" s="245">
        <f t="shared" si="545"/>
        <v>1850663.52</v>
      </c>
      <c r="N129" s="432" t="s">
        <v>246</v>
      </c>
      <c r="O129" s="432" t="s">
        <v>245</v>
      </c>
      <c r="P129" s="433">
        <f>IF(B129="","",IF(OR(O129="N/A",O129=""),0,YEARFRAC('Borrowing Base'!$J$4,'Loan List'!O129)*12))</f>
        <v>0</v>
      </c>
      <c r="Q129" s="432" t="s">
        <v>246</v>
      </c>
      <c r="R129" s="434">
        <v>0.98</v>
      </c>
      <c r="S129" s="435" t="str">
        <f t="shared" si="546"/>
        <v>No</v>
      </c>
      <c r="T129" s="434">
        <v>1</v>
      </c>
      <c r="U129" s="436">
        <f t="shared" si="547"/>
        <v>0.5</v>
      </c>
      <c r="V129" s="436">
        <f t="shared" si="548"/>
        <v>0.72499999999999998</v>
      </c>
      <c r="W129" s="251">
        <f t="shared" si="385"/>
        <v>1850663.52</v>
      </c>
      <c r="X129" s="432" t="s">
        <v>64</v>
      </c>
      <c r="Y129" s="437" t="s">
        <v>483</v>
      </c>
      <c r="Z129" s="437" t="s">
        <v>484</v>
      </c>
      <c r="AA129" s="438" t="s">
        <v>407</v>
      </c>
      <c r="AB129" s="438" t="s">
        <v>713</v>
      </c>
      <c r="AC129" s="439">
        <v>2.0072258064516126</v>
      </c>
      <c r="AD129" s="439">
        <v>1.6389560774111578</v>
      </c>
      <c r="AE129" s="439">
        <v>2.4443026506794472</v>
      </c>
      <c r="AF129" s="439">
        <v>0.24211119830131531</v>
      </c>
      <c r="AG129" s="440">
        <v>3.2448887728917648</v>
      </c>
      <c r="AH129" s="440">
        <v>3.2448887728917648</v>
      </c>
      <c r="AI129" s="440">
        <v>3.639998880377096</v>
      </c>
      <c r="AJ129" s="440">
        <v>3.639998880377096</v>
      </c>
      <c r="AK129" s="441">
        <v>9119000</v>
      </c>
      <c r="AL129" s="441">
        <v>18559532.169965301</v>
      </c>
      <c r="AM129" s="258">
        <v>45808</v>
      </c>
      <c r="AN129" s="442" t="str">
        <f t="shared" si="549"/>
        <v>Tier 2</v>
      </c>
      <c r="AO129" s="443">
        <v>47289</v>
      </c>
      <c r="AP129" s="444">
        <f>IF(C129="","",DAYS360(Inputs!$J$8,AO129)/360)</f>
        <v>3.8222222222222224</v>
      </c>
      <c r="AQ129" s="444">
        <f t="shared" si="550"/>
        <v>3.8222222222222224</v>
      </c>
      <c r="AR129" s="432" t="s">
        <v>246</v>
      </c>
      <c r="AS129" s="445">
        <v>0</v>
      </c>
      <c r="AT129" s="432" t="s">
        <v>64</v>
      </c>
      <c r="AU129" s="446">
        <v>0.01</v>
      </c>
      <c r="AV129" s="446">
        <v>5.2499999999999998E-2</v>
      </c>
      <c r="AW129" s="446">
        <v>4.0405999999999991E-2</v>
      </c>
      <c r="AX129" s="260">
        <f t="shared" si="551"/>
        <v>4.0405999999999991E-2</v>
      </c>
      <c r="AY129" s="446">
        <v>5.0000000000000001E-3</v>
      </c>
      <c r="AZ129" s="446">
        <v>0</v>
      </c>
      <c r="BA129" s="446">
        <v>0</v>
      </c>
      <c r="BB129" s="447">
        <f t="shared" si="536"/>
        <v>5.2499999999999998E-2</v>
      </c>
      <c r="BC129" s="447" t="str">
        <f t="shared" si="537"/>
        <v/>
      </c>
      <c r="BD129" s="437" t="s">
        <v>247</v>
      </c>
      <c r="BE129" s="448" t="s">
        <v>408</v>
      </c>
      <c r="BF129" s="437" t="s">
        <v>7</v>
      </c>
      <c r="BG129" s="437" t="s">
        <v>460</v>
      </c>
      <c r="BH129" s="432" t="s">
        <v>246</v>
      </c>
      <c r="BI129" s="449" t="str">
        <f t="shared" si="559"/>
        <v>No</v>
      </c>
      <c r="BJ129" s="449" t="str">
        <f t="shared" si="560"/>
        <v>No</v>
      </c>
      <c r="BK129" s="432" t="s">
        <v>246</v>
      </c>
      <c r="BL129" s="432" t="s">
        <v>246</v>
      </c>
      <c r="BM129" s="432" t="s">
        <v>246</v>
      </c>
      <c r="BN129" s="432" t="s">
        <v>246</v>
      </c>
      <c r="BO129" s="432" t="s">
        <v>246</v>
      </c>
      <c r="BP129" s="432" t="s">
        <v>246</v>
      </c>
      <c r="BQ129" s="432" t="s">
        <v>246</v>
      </c>
      <c r="BR129" s="432" t="s">
        <v>246</v>
      </c>
      <c r="BS129" s="432" t="s">
        <v>246</v>
      </c>
      <c r="BT129" s="432" t="s">
        <v>246</v>
      </c>
      <c r="BU129" s="432" t="s">
        <v>246</v>
      </c>
      <c r="BV129" s="432" t="s">
        <v>246</v>
      </c>
      <c r="BW129" s="432" t="s">
        <v>246</v>
      </c>
      <c r="BX129" s="432" t="s">
        <v>246</v>
      </c>
      <c r="BY129" s="432" t="s">
        <v>246</v>
      </c>
      <c r="BZ129" s="432" t="s">
        <v>246</v>
      </c>
      <c r="CA129" s="432" t="s">
        <v>246</v>
      </c>
      <c r="CB129" s="432" t="s">
        <v>64</v>
      </c>
      <c r="CC129" s="450">
        <f t="shared" si="552"/>
        <v>91947.626062271971</v>
      </c>
      <c r="CD129" s="450">
        <f t="shared" si="553"/>
        <v>0</v>
      </c>
      <c r="CF129" s="263">
        <f t="shared" si="403"/>
        <v>0</v>
      </c>
      <c r="CG129" s="263">
        <f t="shared" si="404"/>
        <v>0</v>
      </c>
      <c r="CH129" s="263">
        <f t="shared" si="405"/>
        <v>0</v>
      </c>
      <c r="CI129" s="263">
        <f t="shared" si="406"/>
        <v>0</v>
      </c>
      <c r="CJ129" s="263">
        <f t="shared" si="407"/>
        <v>0</v>
      </c>
      <c r="CK129" s="263">
        <f t="shared" si="408"/>
        <v>0</v>
      </c>
      <c r="CL129" s="263">
        <f t="shared" si="409"/>
        <v>0</v>
      </c>
      <c r="CM129" s="263">
        <f t="shared" si="410"/>
        <v>0</v>
      </c>
      <c r="CN129" s="263">
        <f t="shared" si="411"/>
        <v>0</v>
      </c>
      <c r="CO129" s="263">
        <f t="shared" si="412"/>
        <v>0</v>
      </c>
      <c r="CP129" s="263">
        <f t="shared" si="413"/>
        <v>0</v>
      </c>
      <c r="CQ129" s="263">
        <f t="shared" si="414"/>
        <v>0</v>
      </c>
      <c r="CR129" s="263">
        <f t="shared" si="415"/>
        <v>0</v>
      </c>
      <c r="CS129" s="263">
        <f t="shared" si="416"/>
        <v>0</v>
      </c>
      <c r="CT129" s="263">
        <f t="shared" si="417"/>
        <v>0</v>
      </c>
      <c r="CU129" s="263">
        <f t="shared" si="418"/>
        <v>0</v>
      </c>
      <c r="CV129" s="263">
        <f t="shared" si="419"/>
        <v>0</v>
      </c>
      <c r="CW129" s="263">
        <f t="shared" si="420"/>
        <v>0</v>
      </c>
      <c r="CX129" s="263">
        <f t="shared" si="421"/>
        <v>0</v>
      </c>
      <c r="CY129" s="263">
        <f t="shared" si="422"/>
        <v>0</v>
      </c>
      <c r="CZ129" s="263">
        <f t="shared" si="423"/>
        <v>0</v>
      </c>
      <c r="DA129" s="263">
        <f t="shared" si="424"/>
        <v>0</v>
      </c>
      <c r="DB129" s="263">
        <f t="shared" si="425"/>
        <v>0</v>
      </c>
      <c r="DC129" s="263">
        <f t="shared" si="426"/>
        <v>0</v>
      </c>
      <c r="DD129" s="263">
        <f t="shared" si="427"/>
        <v>0</v>
      </c>
      <c r="DE129" s="263">
        <f t="shared" si="428"/>
        <v>0</v>
      </c>
      <c r="DF129" s="263">
        <f t="shared" si="429"/>
        <v>1850663.52</v>
      </c>
      <c r="DG129" s="263">
        <f t="shared" si="430"/>
        <v>0</v>
      </c>
      <c r="DH129" s="263">
        <f t="shared" si="431"/>
        <v>1850663.52</v>
      </c>
      <c r="DI129" s="263">
        <f t="shared" si="432"/>
        <v>1850663.52</v>
      </c>
      <c r="DJ129" s="263">
        <f t="shared" si="433"/>
        <v>0</v>
      </c>
      <c r="DK129" s="263">
        <f t="shared" si="434"/>
        <v>0</v>
      </c>
      <c r="DL129" s="263">
        <f t="shared" si="435"/>
        <v>0</v>
      </c>
      <c r="DM129" s="263">
        <f t="shared" si="436"/>
        <v>0</v>
      </c>
      <c r="DO129" s="264">
        <f t="shared" si="437"/>
        <v>0</v>
      </c>
      <c r="DP129" s="265">
        <f t="shared" si="438"/>
        <v>0</v>
      </c>
      <c r="DQ129" s="264">
        <f t="shared" si="439"/>
        <v>1850663.52</v>
      </c>
      <c r="DR129" s="264">
        <f t="shared" si="440"/>
        <v>0</v>
      </c>
      <c r="DS129" s="265">
        <f t="shared" si="441"/>
        <v>0</v>
      </c>
      <c r="DT129" s="264">
        <f t="shared" si="442"/>
        <v>1850663.52</v>
      </c>
      <c r="DU129" s="264">
        <f t="shared" si="443"/>
        <v>0</v>
      </c>
      <c r="DV129" s="265">
        <f t="shared" si="444"/>
        <v>0</v>
      </c>
      <c r="DW129" s="264">
        <f t="shared" si="445"/>
        <v>1850663.52</v>
      </c>
      <c r="DX129" s="264">
        <f t="shared" si="446"/>
        <v>0</v>
      </c>
      <c r="DY129" s="265">
        <f t="shared" si="447"/>
        <v>0</v>
      </c>
      <c r="DZ129" s="264">
        <f t="shared" si="448"/>
        <v>1850663.52</v>
      </c>
      <c r="EA129" s="264">
        <f t="shared" si="449"/>
        <v>0</v>
      </c>
      <c r="EB129" s="265">
        <f t="shared" si="450"/>
        <v>0</v>
      </c>
      <c r="EC129" s="264">
        <f t="shared" si="451"/>
        <v>1850663.52</v>
      </c>
      <c r="ED129" s="264">
        <f t="shared" si="452"/>
        <v>0</v>
      </c>
      <c r="EE129" s="265">
        <f t="shared" si="453"/>
        <v>0</v>
      </c>
      <c r="EF129" s="264">
        <f t="shared" si="454"/>
        <v>1850663.52</v>
      </c>
      <c r="EG129" s="264">
        <f t="shared" si="455"/>
        <v>0</v>
      </c>
      <c r="EH129" s="265">
        <f t="shared" si="456"/>
        <v>0</v>
      </c>
      <c r="EI129" s="264">
        <f t="shared" si="457"/>
        <v>1850663.52</v>
      </c>
      <c r="EJ129" s="264">
        <f t="shared" si="458"/>
        <v>0</v>
      </c>
      <c r="EK129" s="265">
        <f t="shared" si="459"/>
        <v>0</v>
      </c>
      <c r="EL129" s="264">
        <f t="shared" si="460"/>
        <v>1850663.52</v>
      </c>
      <c r="EM129" s="264">
        <f t="shared" si="461"/>
        <v>0</v>
      </c>
      <c r="EN129" s="265">
        <f t="shared" si="462"/>
        <v>0</v>
      </c>
      <c r="EO129" s="264">
        <f t="shared" si="463"/>
        <v>1850663.52</v>
      </c>
      <c r="EP129" s="264">
        <f t="shared" si="464"/>
        <v>0</v>
      </c>
      <c r="EQ129" s="265">
        <f t="shared" si="465"/>
        <v>0</v>
      </c>
      <c r="ER129" s="264">
        <f t="shared" si="466"/>
        <v>1850663.52</v>
      </c>
      <c r="ES129" s="264">
        <f t="shared" si="467"/>
        <v>0</v>
      </c>
      <c r="ET129" s="265">
        <f t="shared" si="468"/>
        <v>0</v>
      </c>
      <c r="EU129" s="264">
        <f t="shared" si="469"/>
        <v>1850663.52</v>
      </c>
      <c r="EV129" s="264">
        <f>IF(AND(BM129="Yes",OR(BN129="No",AND(BN129="Yes",Inputs!$J$8=Inputs!$J$17+75))),EU129,0)</f>
        <v>0</v>
      </c>
      <c r="EW129" s="265">
        <f t="shared" si="470"/>
        <v>0</v>
      </c>
      <c r="EX129" s="264">
        <f t="shared" si="471"/>
        <v>1850663.52</v>
      </c>
      <c r="EY129" s="264">
        <f t="shared" si="472"/>
        <v>0</v>
      </c>
      <c r="EZ129" s="265">
        <f t="shared" si="473"/>
        <v>0</v>
      </c>
      <c r="FA129" s="264">
        <f t="shared" si="474"/>
        <v>1850663.52</v>
      </c>
      <c r="FB129" s="264">
        <f t="shared" si="475"/>
        <v>0</v>
      </c>
      <c r="FC129" s="265">
        <f t="shared" si="476"/>
        <v>0</v>
      </c>
      <c r="FD129" s="264">
        <f t="shared" si="477"/>
        <v>1850663.52</v>
      </c>
      <c r="FE129" s="264">
        <f t="shared" si="478"/>
        <v>0</v>
      </c>
      <c r="FF129" s="265">
        <f t="shared" si="479"/>
        <v>0</v>
      </c>
      <c r="FG129" s="264">
        <f t="shared" si="480"/>
        <v>1850663.52</v>
      </c>
      <c r="FH129" s="264">
        <f t="shared" si="481"/>
        <v>1850663.52</v>
      </c>
      <c r="FI129" s="264">
        <f t="shared" si="482"/>
        <v>0</v>
      </c>
      <c r="FJ129" s="264">
        <f t="shared" si="483"/>
        <v>1850663.52</v>
      </c>
      <c r="FK129" s="264">
        <f t="shared" si="484"/>
        <v>1850663.52</v>
      </c>
      <c r="FL129" s="264">
        <f t="shared" si="485"/>
        <v>0</v>
      </c>
      <c r="FM129" s="264">
        <f t="shared" si="486"/>
        <v>1850663.52</v>
      </c>
      <c r="FN129" s="264">
        <f t="shared" si="487"/>
        <v>1850663.52</v>
      </c>
      <c r="FO129" s="264">
        <f t="shared" si="488"/>
        <v>0</v>
      </c>
      <c r="FP129" s="264">
        <f t="shared" si="489"/>
        <v>1850663.52</v>
      </c>
      <c r="FQ129" s="264">
        <f t="shared" si="490"/>
        <v>0</v>
      </c>
      <c r="FR129" s="265">
        <f t="shared" si="491"/>
        <v>0</v>
      </c>
      <c r="FS129" s="264">
        <f t="shared" si="492"/>
        <v>1850663.52</v>
      </c>
      <c r="FT129" s="264">
        <f t="shared" si="493"/>
        <v>0</v>
      </c>
      <c r="FU129" s="265">
        <f t="shared" si="494"/>
        <v>0</v>
      </c>
      <c r="FV129" s="264">
        <f t="shared" si="495"/>
        <v>1850663.52</v>
      </c>
      <c r="FW129" s="264">
        <f t="shared" si="496"/>
        <v>0</v>
      </c>
      <c r="FX129" s="264">
        <f t="shared" si="497"/>
        <v>0</v>
      </c>
      <c r="FY129" s="264">
        <f t="shared" si="498"/>
        <v>0</v>
      </c>
      <c r="FZ129" s="264">
        <f t="shared" si="499"/>
        <v>0</v>
      </c>
      <c r="GA129" s="265">
        <f t="shared" si="500"/>
        <v>0</v>
      </c>
      <c r="GB129" s="264">
        <f t="shared" si="501"/>
        <v>1850663.52</v>
      </c>
      <c r="GC129" s="264">
        <f t="shared" si="502"/>
        <v>1850663.52</v>
      </c>
      <c r="GD129" s="266">
        <f t="shared" si="503"/>
        <v>1341731.0519999999</v>
      </c>
      <c r="GE129" s="138">
        <f t="shared" si="504"/>
        <v>0.72499999999999998</v>
      </c>
      <c r="GF129" s="267">
        <f t="shared" si="505"/>
        <v>31</v>
      </c>
      <c r="GG129" s="264">
        <f t="array" ref="GG129">IF(SUM(IF(IC$9:IC128=IC129,1,0))&gt;0,0,SUMIF($IC$10:$IC$406,IC129,$FJ$10:$FJ$406))</f>
        <v>0</v>
      </c>
      <c r="GH129" s="268">
        <f t="shared" si="506"/>
        <v>0</v>
      </c>
      <c r="GI129" s="137">
        <f t="shared" si="126"/>
        <v>120</v>
      </c>
      <c r="GJ129" s="269">
        <f t="shared" si="507"/>
        <v>0</v>
      </c>
      <c r="GK129" s="269">
        <f t="shared" si="508"/>
        <v>0</v>
      </c>
      <c r="GL129" s="163">
        <f t="shared" si="509"/>
        <v>0</v>
      </c>
      <c r="GM129" s="137">
        <f t="array" ref="GM129">IF(GJ129=0,0,LARGE(IF($GG$10:$GG$406=GJ129,$GF$10:$GF$406,0),COUNTIF($GJ$10:$GJ$406,GJ129)-COUNTIF(GJ$9:GJ128,GJ129)))</f>
        <v>0</v>
      </c>
      <c r="GN129" s="270">
        <f t="shared" si="510"/>
        <v>0</v>
      </c>
      <c r="GP129" s="137">
        <f>IF(C129="","",IF(ISERROR(MATCH(C129,C$10:C128,0)),MAX(GP$10:GP128)+1,INDEX(GP$10:GP128,MATCH(C129,C$10:C128,0))))</f>
        <v>94</v>
      </c>
      <c r="GQ129" s="264">
        <f>IF(COUNTIF($A$10:A129,A129)&lt;=1,SUMIF($A$10:$A$406,A129,$FH$10:$FH$406),0)</f>
        <v>6886239.5199999996</v>
      </c>
      <c r="GR129" s="137">
        <f t="shared" si="130"/>
        <v>120</v>
      </c>
      <c r="GS129" s="269">
        <f t="shared" si="554"/>
        <v>0</v>
      </c>
      <c r="GT129" s="269">
        <f t="shared" si="555"/>
        <v>0</v>
      </c>
      <c r="GU129" s="163">
        <f t="shared" si="556"/>
        <v>0</v>
      </c>
      <c r="GV129" s="137">
        <f t="array" ref="GV129">IF(GS129=0,0,LARGE(IF($GQ$10:$GQ$406=GS129,$GP$10:$GP$406,0),COUNTIF($GS$10:$GS$406,GS129)-COUNTIF(GS$9:GS128,GS129)))</f>
        <v>0</v>
      </c>
      <c r="GW129" s="270">
        <f t="shared" si="557"/>
        <v>0</v>
      </c>
      <c r="GY129" s="137">
        <f>IF(C129="","",IF(ISERROR(MATCH(C129,C$10:C128,0)),MAX(GP$10:GP128)+1,INDEX(GP$10:GP128,MATCH(C129,C$10:C128,0))))</f>
        <v>94</v>
      </c>
      <c r="GZ129" s="264">
        <f>IF(COUNTIF($A$10:A129,A129)&lt;=1,SUMIF($A$10:$A$406,A129,$FH$10:$FH$406),0)</f>
        <v>6886239.5199999996</v>
      </c>
      <c r="HA129" s="137">
        <f t="shared" si="134"/>
        <v>120</v>
      </c>
      <c r="HB129" s="269">
        <f t="shared" si="515"/>
        <v>0</v>
      </c>
      <c r="HC129" s="414" t="s">
        <v>622</v>
      </c>
      <c r="HD129" s="163">
        <f t="shared" si="516"/>
        <v>0</v>
      </c>
      <c r="HE129" s="137">
        <f t="array" ref="HE129">IF(HB129=0,0,LARGE(IF($GZ$10:$GZ$406=HB129,$GY$10:$GY$406,0),COUNTIF($HB$10:$HB$406,HB129)-COUNTIF(HB$9:HB128,HB129)))</f>
        <v>0</v>
      </c>
      <c r="HF129" s="270">
        <f t="shared" si="517"/>
        <v>0</v>
      </c>
      <c r="HH129" s="268">
        <f t="shared" si="518"/>
        <v>0</v>
      </c>
      <c r="HI129" s="271">
        <v>0</v>
      </c>
      <c r="HJ129" s="264">
        <f t="shared" si="519"/>
        <v>0</v>
      </c>
      <c r="HL129" s="137" t="str">
        <f t="shared" si="520"/>
        <v/>
      </c>
      <c r="HM129" s="264">
        <f t="shared" si="521"/>
        <v>0</v>
      </c>
      <c r="HO129" s="199">
        <f t="shared" si="522"/>
        <v>1850663.52</v>
      </c>
      <c r="HP129" s="199">
        <f t="shared" si="523"/>
        <v>1850663.52</v>
      </c>
      <c r="HQ129" s="199" t="str">
        <f t="shared" si="524"/>
        <v/>
      </c>
      <c r="HR129" s="199" t="str">
        <f t="shared" si="525"/>
        <v/>
      </c>
      <c r="HS129" s="199" t="str">
        <f t="shared" si="539"/>
        <v/>
      </c>
      <c r="HT129" s="199" t="str">
        <f t="shared" si="526"/>
        <v/>
      </c>
      <c r="HU129" s="199" t="str">
        <f t="shared" si="527"/>
        <v/>
      </c>
      <c r="HV129" s="200">
        <f t="shared" si="528"/>
        <v>0</v>
      </c>
      <c r="HW129" s="272">
        <f t="shared" si="540"/>
        <v>1</v>
      </c>
      <c r="HX129" s="200" t="str">
        <f t="shared" si="529"/>
        <v/>
      </c>
      <c r="HY129" s="200">
        <f t="shared" si="530"/>
        <v>0</v>
      </c>
      <c r="HZ129" s="200" t="str">
        <f t="shared" si="535"/>
        <v/>
      </c>
      <c r="IA129" s="200" t="str">
        <f t="shared" si="531"/>
        <v/>
      </c>
      <c r="IB129" s="200" t="str">
        <f t="shared" si="532"/>
        <v/>
      </c>
      <c r="IC129" s="273">
        <f>IF(C129="","",INDEX(Lookups!$E$2:$E$69,MATCH('Loan List'!BE129,Lookups!$F$2:$F$69,0)))</f>
        <v>31</v>
      </c>
      <c r="ID129" t="b">
        <f t="shared" si="533"/>
        <v>1</v>
      </c>
    </row>
    <row r="130" spans="1:238">
      <c r="A130" t="s">
        <v>611</v>
      </c>
      <c r="B130" s="242">
        <f t="shared" si="541"/>
        <v>121</v>
      </c>
      <c r="C130" s="242">
        <f>IF(COUNTIF($A$10:A129,A130)&gt;0,C129,C129+1)</f>
        <v>94</v>
      </c>
      <c r="D130" s="431" t="s">
        <v>782</v>
      </c>
      <c r="E130" s="428" t="s">
        <v>511</v>
      </c>
      <c r="F130" s="429"/>
      <c r="G130" s="430">
        <v>5035576</v>
      </c>
      <c r="H130" s="430">
        <v>5035576</v>
      </c>
      <c r="I130" s="244">
        <f>IF(B130="","",VLOOKUP(BF130,Inputs!$A$12:$J$15,10,FALSE))</f>
        <v>1</v>
      </c>
      <c r="J130" s="245">
        <f t="shared" si="542"/>
        <v>5035576</v>
      </c>
      <c r="K130" s="245">
        <f t="shared" si="543"/>
        <v>5035576</v>
      </c>
      <c r="L130" s="245">
        <f t="shared" si="544"/>
        <v>5035576</v>
      </c>
      <c r="M130" s="245">
        <f t="shared" si="545"/>
        <v>5035576</v>
      </c>
      <c r="N130" s="432" t="s">
        <v>246</v>
      </c>
      <c r="O130" s="432" t="s">
        <v>245</v>
      </c>
      <c r="P130" s="433">
        <f>IF(B130="","",IF(OR(O130="N/A",O130=""),0,YEARFRAC('Borrowing Base'!$J$4,'Loan List'!O130)*12))</f>
        <v>0</v>
      </c>
      <c r="Q130" s="432" t="s">
        <v>246</v>
      </c>
      <c r="R130" s="434">
        <v>0.98</v>
      </c>
      <c r="S130" s="435" t="str">
        <f t="shared" si="546"/>
        <v>No</v>
      </c>
      <c r="T130" s="434">
        <v>1</v>
      </c>
      <c r="U130" s="436">
        <f t="shared" si="547"/>
        <v>0.5</v>
      </c>
      <c r="V130" s="436">
        <f t="shared" si="548"/>
        <v>0.72499999999999998</v>
      </c>
      <c r="W130" s="251">
        <f t="shared" si="385"/>
        <v>5035576</v>
      </c>
      <c r="X130" s="432" t="s">
        <v>64</v>
      </c>
      <c r="Y130" s="437" t="s">
        <v>483</v>
      </c>
      <c r="Z130" s="437" t="s">
        <v>484</v>
      </c>
      <c r="AA130" s="438" t="s">
        <v>407</v>
      </c>
      <c r="AB130" s="438" t="s">
        <v>713</v>
      </c>
      <c r="AC130" s="439">
        <v>2.0072258064516126</v>
      </c>
      <c r="AD130" s="439">
        <v>1.6389560774111578</v>
      </c>
      <c r="AE130" s="439">
        <v>2.4443026506794472</v>
      </c>
      <c r="AF130" s="439">
        <v>0.24211119830131531</v>
      </c>
      <c r="AG130" s="440">
        <v>3.639998880377096</v>
      </c>
      <c r="AH130" s="440">
        <v>3.639998880377096</v>
      </c>
      <c r="AI130" s="440">
        <v>3.639998880377096</v>
      </c>
      <c r="AJ130" s="440">
        <v>3.639998880377096</v>
      </c>
      <c r="AK130" s="441">
        <v>18559532.169965301</v>
      </c>
      <c r="AL130" s="441">
        <v>18559532.169965301</v>
      </c>
      <c r="AM130" s="258">
        <v>45808</v>
      </c>
      <c r="AN130" s="442" t="str">
        <f t="shared" si="549"/>
        <v>Tier 2</v>
      </c>
      <c r="AO130" s="443">
        <v>47289</v>
      </c>
      <c r="AP130" s="444">
        <f>IF(C130="","",DAYS360(Inputs!$J$8,AO130)/360)</f>
        <v>3.8222222222222224</v>
      </c>
      <c r="AQ130" s="444">
        <f t="shared" si="550"/>
        <v>3.8222222222222224</v>
      </c>
      <c r="AR130" s="432" t="s">
        <v>246</v>
      </c>
      <c r="AS130" s="445">
        <v>0</v>
      </c>
      <c r="AT130" s="432" t="s">
        <v>64</v>
      </c>
      <c r="AU130" s="446">
        <v>0.01</v>
      </c>
      <c r="AV130" s="446">
        <v>5.2499999999999998E-2</v>
      </c>
      <c r="AW130" s="446">
        <v>4.0405999999999991E-2</v>
      </c>
      <c r="AX130" s="260">
        <f t="shared" si="551"/>
        <v>4.0405999999999991E-2</v>
      </c>
      <c r="AY130" s="446">
        <v>5.0000000000000001E-3</v>
      </c>
      <c r="AZ130" s="446">
        <v>0</v>
      </c>
      <c r="BA130" s="446">
        <v>0</v>
      </c>
      <c r="BB130" s="447">
        <f t="shared" si="536"/>
        <v>5.2499999999999998E-2</v>
      </c>
      <c r="BC130" s="447" t="str">
        <f t="shared" si="537"/>
        <v/>
      </c>
      <c r="BD130" s="437" t="s">
        <v>247</v>
      </c>
      <c r="BE130" s="448" t="s">
        <v>408</v>
      </c>
      <c r="BF130" s="437" t="s">
        <v>7</v>
      </c>
      <c r="BG130" s="437" t="s">
        <v>460</v>
      </c>
      <c r="BH130" s="432" t="s">
        <v>246</v>
      </c>
      <c r="BI130" s="449" t="str">
        <f t="shared" si="559"/>
        <v>No</v>
      </c>
      <c r="BJ130" s="449" t="str">
        <f t="shared" si="560"/>
        <v>No</v>
      </c>
      <c r="BK130" s="432" t="s">
        <v>246</v>
      </c>
      <c r="BL130" s="432" t="s">
        <v>246</v>
      </c>
      <c r="BM130" s="246" t="s">
        <v>64</v>
      </c>
      <c r="BN130" s="246" t="s">
        <v>64</v>
      </c>
      <c r="BO130" s="432" t="s">
        <v>246</v>
      </c>
      <c r="BP130" s="432" t="s">
        <v>246</v>
      </c>
      <c r="BQ130" s="432" t="s">
        <v>246</v>
      </c>
      <c r="BR130" s="432" t="s">
        <v>246</v>
      </c>
      <c r="BS130" s="432" t="s">
        <v>246</v>
      </c>
      <c r="BT130" s="432" t="s">
        <v>246</v>
      </c>
      <c r="BU130" s="432" t="s">
        <v>246</v>
      </c>
      <c r="BV130" s="432" t="s">
        <v>246</v>
      </c>
      <c r="BW130" s="432" t="s">
        <v>246</v>
      </c>
      <c r="BX130" s="432" t="s">
        <v>246</v>
      </c>
      <c r="BY130" s="432" t="s">
        <v>246</v>
      </c>
      <c r="BZ130" s="432" t="s">
        <v>246</v>
      </c>
      <c r="CA130" s="432" t="s">
        <v>246</v>
      </c>
      <c r="CB130" s="432" t="s">
        <v>64</v>
      </c>
      <c r="CC130" s="450">
        <f t="shared" si="552"/>
        <v>250185.54375359992</v>
      </c>
      <c r="CD130" s="450">
        <f t="shared" si="553"/>
        <v>0</v>
      </c>
      <c r="CF130" s="263">
        <f t="shared" si="403"/>
        <v>0</v>
      </c>
      <c r="CG130" s="263">
        <f t="shared" si="404"/>
        <v>0</v>
      </c>
      <c r="CH130" s="263">
        <f t="shared" si="405"/>
        <v>0</v>
      </c>
      <c r="CI130" s="263">
        <f t="shared" si="406"/>
        <v>0</v>
      </c>
      <c r="CJ130" s="263">
        <f t="shared" si="407"/>
        <v>0</v>
      </c>
      <c r="CK130" s="263">
        <f t="shared" si="408"/>
        <v>0</v>
      </c>
      <c r="CL130" s="263">
        <f t="shared" si="409"/>
        <v>0</v>
      </c>
      <c r="CM130" s="263">
        <f t="shared" si="410"/>
        <v>0</v>
      </c>
      <c r="CN130" s="263">
        <f t="shared" si="411"/>
        <v>0</v>
      </c>
      <c r="CO130" s="263">
        <f t="shared" si="412"/>
        <v>0</v>
      </c>
      <c r="CP130" s="263">
        <f t="shared" si="413"/>
        <v>0</v>
      </c>
      <c r="CQ130" s="263">
        <f t="shared" si="414"/>
        <v>0</v>
      </c>
      <c r="CR130" s="263">
        <f t="shared" si="415"/>
        <v>0</v>
      </c>
      <c r="CS130" s="263">
        <f t="shared" si="416"/>
        <v>0</v>
      </c>
      <c r="CT130" s="263">
        <f t="shared" si="417"/>
        <v>0</v>
      </c>
      <c r="CU130" s="263">
        <f t="shared" si="418"/>
        <v>0</v>
      </c>
      <c r="CV130" s="263">
        <f t="shared" si="419"/>
        <v>0</v>
      </c>
      <c r="CW130" s="263">
        <f t="shared" si="420"/>
        <v>0</v>
      </c>
      <c r="CX130" s="263">
        <f t="shared" si="421"/>
        <v>0</v>
      </c>
      <c r="CY130" s="263">
        <f t="shared" si="422"/>
        <v>0</v>
      </c>
      <c r="CZ130" s="263">
        <f t="shared" si="423"/>
        <v>0</v>
      </c>
      <c r="DA130" s="263">
        <f t="shared" si="424"/>
        <v>0</v>
      </c>
      <c r="DB130" s="263">
        <f t="shared" si="425"/>
        <v>0</v>
      </c>
      <c r="DC130" s="263">
        <f t="shared" si="426"/>
        <v>0</v>
      </c>
      <c r="DD130" s="263">
        <f t="shared" si="427"/>
        <v>0</v>
      </c>
      <c r="DE130" s="263">
        <f t="shared" si="428"/>
        <v>0</v>
      </c>
      <c r="DF130" s="263">
        <f t="shared" si="429"/>
        <v>5035576</v>
      </c>
      <c r="DG130" s="263">
        <f t="shared" si="430"/>
        <v>0</v>
      </c>
      <c r="DH130" s="263">
        <f t="shared" si="431"/>
        <v>5035576</v>
      </c>
      <c r="DI130" s="263">
        <f t="shared" si="432"/>
        <v>5035576</v>
      </c>
      <c r="DJ130" s="263">
        <f t="shared" si="433"/>
        <v>0</v>
      </c>
      <c r="DK130" s="263">
        <f t="shared" si="434"/>
        <v>0</v>
      </c>
      <c r="DL130" s="263">
        <f t="shared" si="435"/>
        <v>0</v>
      </c>
      <c r="DM130" s="263">
        <f t="shared" si="436"/>
        <v>0</v>
      </c>
      <c r="DO130" s="264">
        <f t="shared" si="437"/>
        <v>0</v>
      </c>
      <c r="DP130" s="265">
        <f t="shared" si="438"/>
        <v>0</v>
      </c>
      <c r="DQ130" s="264">
        <f t="shared" si="439"/>
        <v>5035576</v>
      </c>
      <c r="DR130" s="264">
        <f t="shared" si="440"/>
        <v>0</v>
      </c>
      <c r="DS130" s="265">
        <f t="shared" si="441"/>
        <v>0</v>
      </c>
      <c r="DT130" s="264">
        <f t="shared" si="442"/>
        <v>5035576</v>
      </c>
      <c r="DU130" s="264">
        <f t="shared" si="443"/>
        <v>0</v>
      </c>
      <c r="DV130" s="265">
        <f t="shared" si="444"/>
        <v>0</v>
      </c>
      <c r="DW130" s="264">
        <f t="shared" si="445"/>
        <v>5035576</v>
      </c>
      <c r="DX130" s="264">
        <f t="shared" si="446"/>
        <v>0</v>
      </c>
      <c r="DY130" s="265">
        <f t="shared" si="447"/>
        <v>0</v>
      </c>
      <c r="DZ130" s="264">
        <f t="shared" si="448"/>
        <v>5035576</v>
      </c>
      <c r="EA130" s="264">
        <f t="shared" si="449"/>
        <v>0</v>
      </c>
      <c r="EB130" s="265">
        <f t="shared" si="450"/>
        <v>0</v>
      </c>
      <c r="EC130" s="264">
        <f t="shared" si="451"/>
        <v>5035576</v>
      </c>
      <c r="ED130" s="264">
        <f t="shared" si="452"/>
        <v>0</v>
      </c>
      <c r="EE130" s="265">
        <f t="shared" si="453"/>
        <v>0</v>
      </c>
      <c r="EF130" s="264">
        <f t="shared" si="454"/>
        <v>5035576</v>
      </c>
      <c r="EG130" s="264">
        <f t="shared" si="455"/>
        <v>0</v>
      </c>
      <c r="EH130" s="265">
        <f t="shared" si="456"/>
        <v>0</v>
      </c>
      <c r="EI130" s="264">
        <f t="shared" si="457"/>
        <v>5035576</v>
      </c>
      <c r="EJ130" s="264">
        <f t="shared" si="458"/>
        <v>0</v>
      </c>
      <c r="EK130" s="265">
        <f t="shared" si="459"/>
        <v>0</v>
      </c>
      <c r="EL130" s="264">
        <f t="shared" si="460"/>
        <v>5035576</v>
      </c>
      <c r="EM130" s="264">
        <f t="shared" si="461"/>
        <v>0</v>
      </c>
      <c r="EN130" s="265">
        <f t="shared" si="462"/>
        <v>0</v>
      </c>
      <c r="EO130" s="264">
        <f t="shared" si="463"/>
        <v>5035576</v>
      </c>
      <c r="EP130" s="264">
        <f t="shared" si="464"/>
        <v>0</v>
      </c>
      <c r="EQ130" s="265">
        <f t="shared" si="465"/>
        <v>0</v>
      </c>
      <c r="ER130" s="264">
        <f t="shared" si="466"/>
        <v>5035576</v>
      </c>
      <c r="ES130" s="264">
        <f t="shared" si="467"/>
        <v>0</v>
      </c>
      <c r="ET130" s="265">
        <f t="shared" si="468"/>
        <v>0</v>
      </c>
      <c r="EU130" s="264">
        <f t="shared" si="469"/>
        <v>5035576</v>
      </c>
      <c r="EV130" s="264">
        <f>IF(AND(BM130="Yes",OR(BN130="No",AND(BN130="Yes",Inputs!$J$8=Inputs!$J$17+75))),EU130,0)</f>
        <v>0</v>
      </c>
      <c r="EW130" s="265">
        <f t="shared" si="470"/>
        <v>0</v>
      </c>
      <c r="EX130" s="264">
        <f t="shared" si="471"/>
        <v>5035576</v>
      </c>
      <c r="EY130" s="264">
        <f t="shared" si="472"/>
        <v>0</v>
      </c>
      <c r="EZ130" s="265">
        <f t="shared" si="473"/>
        <v>0</v>
      </c>
      <c r="FA130" s="264">
        <f t="shared" si="474"/>
        <v>5035576</v>
      </c>
      <c r="FB130" s="264">
        <f t="shared" si="475"/>
        <v>0</v>
      </c>
      <c r="FC130" s="265">
        <f t="shared" si="476"/>
        <v>0</v>
      </c>
      <c r="FD130" s="264">
        <f t="shared" si="477"/>
        <v>5035576</v>
      </c>
      <c r="FE130" s="264">
        <f t="shared" si="478"/>
        <v>0</v>
      </c>
      <c r="FF130" s="265">
        <f t="shared" si="479"/>
        <v>0</v>
      </c>
      <c r="FG130" s="264">
        <f t="shared" si="480"/>
        <v>5035576</v>
      </c>
      <c r="FH130" s="264">
        <f t="shared" si="481"/>
        <v>5035576</v>
      </c>
      <c r="FI130" s="264">
        <f t="shared" si="482"/>
        <v>0</v>
      </c>
      <c r="FJ130" s="264">
        <f t="shared" si="483"/>
        <v>5035576</v>
      </c>
      <c r="FK130" s="264">
        <f t="shared" si="484"/>
        <v>5035576</v>
      </c>
      <c r="FL130" s="264">
        <f t="shared" si="485"/>
        <v>0</v>
      </c>
      <c r="FM130" s="264">
        <f t="shared" si="486"/>
        <v>5035576</v>
      </c>
      <c r="FN130" s="264">
        <f t="shared" si="487"/>
        <v>5035576</v>
      </c>
      <c r="FO130" s="264">
        <f t="shared" si="488"/>
        <v>0</v>
      </c>
      <c r="FP130" s="264">
        <f t="shared" si="489"/>
        <v>5035576</v>
      </c>
      <c r="FQ130" s="264">
        <f t="shared" si="490"/>
        <v>0</v>
      </c>
      <c r="FR130" s="265">
        <f t="shared" si="491"/>
        <v>0</v>
      </c>
      <c r="FS130" s="264">
        <f t="shared" si="492"/>
        <v>5035576</v>
      </c>
      <c r="FT130" s="264">
        <f t="shared" si="493"/>
        <v>0</v>
      </c>
      <c r="FU130" s="265">
        <f t="shared" si="494"/>
        <v>0</v>
      </c>
      <c r="FV130" s="264">
        <f t="shared" si="495"/>
        <v>5035576</v>
      </c>
      <c r="FW130" s="264">
        <f t="shared" si="496"/>
        <v>0</v>
      </c>
      <c r="FX130" s="264">
        <f t="shared" si="497"/>
        <v>0</v>
      </c>
      <c r="FY130" s="264">
        <f t="shared" si="498"/>
        <v>0</v>
      </c>
      <c r="FZ130" s="264">
        <f t="shared" si="499"/>
        <v>0</v>
      </c>
      <c r="GA130" s="265">
        <f t="shared" si="500"/>
        <v>0</v>
      </c>
      <c r="GB130" s="264">
        <f t="shared" si="501"/>
        <v>5035576</v>
      </c>
      <c r="GC130" s="264">
        <f t="shared" si="502"/>
        <v>5035576</v>
      </c>
      <c r="GD130" s="266">
        <f t="shared" si="503"/>
        <v>3650792.6</v>
      </c>
      <c r="GE130" s="138">
        <f t="shared" si="504"/>
        <v>0.72499999999999998</v>
      </c>
      <c r="GF130" s="267">
        <f t="shared" si="505"/>
        <v>31</v>
      </c>
      <c r="GG130" s="264">
        <f t="array" ref="GG130">IF(SUM(IF(IC$9:IC129=IC130,1,0))&gt;0,0,SUMIF($IC$10:$IC$406,IC130,$FJ$10:$FJ$406))</f>
        <v>0</v>
      </c>
      <c r="GH130" s="268">
        <f t="shared" si="506"/>
        <v>0</v>
      </c>
      <c r="GI130" s="137">
        <f t="shared" si="126"/>
        <v>121</v>
      </c>
      <c r="GJ130" s="269">
        <f t="shared" si="507"/>
        <v>0</v>
      </c>
      <c r="GK130" s="269">
        <f t="shared" si="508"/>
        <v>0</v>
      </c>
      <c r="GL130" s="163">
        <f t="shared" si="509"/>
        <v>0</v>
      </c>
      <c r="GM130" s="137">
        <f t="array" ref="GM130">IF(GJ130=0,0,LARGE(IF($GG$10:$GG$406=GJ130,$GF$10:$GF$406,0),COUNTIF($GJ$10:$GJ$406,GJ130)-COUNTIF(GJ$9:GJ129,GJ130)))</f>
        <v>0</v>
      </c>
      <c r="GN130" s="270">
        <f t="shared" si="510"/>
        <v>0</v>
      </c>
      <c r="GP130" s="137">
        <f>IF(C130="","",IF(ISERROR(MATCH(C130,C$10:C129,0)),MAX(GP$10:GP129)+1,INDEX(GP$10:GP129,MATCH(C130,C$10:C129,0))))</f>
        <v>94</v>
      </c>
      <c r="GQ130" s="264">
        <f>IF(COUNTIF($A$10:A130,A130)&lt;=1,SUMIF($A$10:$A$406,A130,$FH$10:$FH$406),0)</f>
        <v>0</v>
      </c>
      <c r="GR130" s="137">
        <f t="shared" si="130"/>
        <v>121</v>
      </c>
      <c r="GS130" s="269">
        <f t="shared" si="554"/>
        <v>0</v>
      </c>
      <c r="GT130" s="269">
        <f t="shared" si="555"/>
        <v>0</v>
      </c>
      <c r="GU130" s="163">
        <f t="shared" si="556"/>
        <v>0</v>
      </c>
      <c r="GV130" s="137">
        <f t="array" ref="GV130">IF(GS130=0,0,LARGE(IF($GQ$10:$GQ$406=GS130,$GP$10:$GP$406,0),COUNTIF($GS$10:$GS$406,GS130)-COUNTIF(GS$9:GS129,GS130)))</f>
        <v>0</v>
      </c>
      <c r="GW130" s="270">
        <f t="shared" si="557"/>
        <v>0</v>
      </c>
      <c r="GY130" s="137">
        <f>IF(C130="","",IF(ISERROR(MATCH(C130,C$10:C129,0)),MAX(GP$10:GP129)+1,INDEX(GP$10:GP129,MATCH(C130,C$10:C129,0))))</f>
        <v>94</v>
      </c>
      <c r="GZ130" s="264">
        <f>IF(COUNTIF($A$10:A130,A130)&lt;=1,SUMIF($A$10:$A$406,A130,$FH$10:$FH$406),0)</f>
        <v>0</v>
      </c>
      <c r="HA130" s="137">
        <f t="shared" si="134"/>
        <v>121</v>
      </c>
      <c r="HB130" s="269">
        <f t="shared" si="515"/>
        <v>0</v>
      </c>
      <c r="HC130" s="414" t="s">
        <v>622</v>
      </c>
      <c r="HD130" s="163">
        <f t="shared" si="516"/>
        <v>0</v>
      </c>
      <c r="HE130" s="137">
        <f t="array" ref="HE130">IF(HB130=0,0,LARGE(IF($GZ$10:$GZ$406=HB130,$GY$10:$GY$406,0),COUNTIF($HB$10:$HB$406,HB130)-COUNTIF(HB$9:HB129,HB130)))</f>
        <v>0</v>
      </c>
      <c r="HF130" s="270">
        <f t="shared" si="517"/>
        <v>0</v>
      </c>
      <c r="HH130" s="268">
        <f t="shared" si="518"/>
        <v>0</v>
      </c>
      <c r="HI130" s="271">
        <v>0</v>
      </c>
      <c r="HJ130" s="264">
        <f t="shared" si="519"/>
        <v>0</v>
      </c>
      <c r="HL130" s="137" t="str">
        <f t="shared" si="520"/>
        <v/>
      </c>
      <c r="HM130" s="264">
        <f t="shared" si="521"/>
        <v>0</v>
      </c>
      <c r="HO130" s="199">
        <f t="shared" si="522"/>
        <v>5035576</v>
      </c>
      <c r="HP130" s="199">
        <f t="shared" si="523"/>
        <v>5035576</v>
      </c>
      <c r="HQ130" s="199" t="str">
        <f t="shared" si="524"/>
        <v/>
      </c>
      <c r="HR130" s="199" t="str">
        <f t="shared" si="525"/>
        <v/>
      </c>
      <c r="HS130" s="199" t="str">
        <f t="shared" si="539"/>
        <v/>
      </c>
      <c r="HT130" s="199" t="str">
        <f t="shared" si="526"/>
        <v/>
      </c>
      <c r="HU130" s="199" t="str">
        <f t="shared" si="527"/>
        <v/>
      </c>
      <c r="HV130" s="200">
        <f t="shared" si="528"/>
        <v>0</v>
      </c>
      <c r="HW130" s="272">
        <f t="shared" si="540"/>
        <v>1</v>
      </c>
      <c r="HX130" s="200" t="str">
        <f t="shared" si="529"/>
        <v/>
      </c>
      <c r="HY130" s="200">
        <f t="shared" si="530"/>
        <v>0</v>
      </c>
      <c r="HZ130" s="200" t="str">
        <f t="shared" si="535"/>
        <v/>
      </c>
      <c r="IA130" s="200" t="str">
        <f t="shared" si="531"/>
        <v/>
      </c>
      <c r="IB130" s="200" t="str">
        <f t="shared" si="532"/>
        <v/>
      </c>
      <c r="IC130" s="273">
        <f>IF(C130="","",INDEX(Lookups!$E$2:$E$69,MATCH('Loan List'!BE130,Lookups!$F$2:$F$69,0)))</f>
        <v>31</v>
      </c>
      <c r="ID130" t="b">
        <f t="shared" si="533"/>
        <v>1</v>
      </c>
    </row>
    <row r="131" spans="1:238">
      <c r="A131" t="s">
        <v>783</v>
      </c>
      <c r="B131" s="242">
        <f t="shared" si="541"/>
        <v>122</v>
      </c>
      <c r="C131" s="242">
        <f>IF(COUNTIF($A$10:A130,A131)&gt;0,C130,C130+1)</f>
        <v>95</v>
      </c>
      <c r="D131" s="431" t="s">
        <v>783</v>
      </c>
      <c r="E131" s="428" t="s">
        <v>844</v>
      </c>
      <c r="F131" s="429"/>
      <c r="G131" s="430">
        <v>2216250</v>
      </c>
      <c r="H131" s="430">
        <v>2216250</v>
      </c>
      <c r="I131" s="244">
        <f>IF(B131="","",VLOOKUP(BF131,Inputs!$A$12:$J$15,10,FALSE))</f>
        <v>1</v>
      </c>
      <c r="J131" s="245">
        <f t="shared" si="542"/>
        <v>2216250</v>
      </c>
      <c r="K131" s="245">
        <f t="shared" si="543"/>
        <v>2216250</v>
      </c>
      <c r="L131" s="245">
        <f t="shared" si="544"/>
        <v>2216250</v>
      </c>
      <c r="M131" s="245">
        <f t="shared" si="545"/>
        <v>2216250</v>
      </c>
      <c r="N131" s="432" t="s">
        <v>246</v>
      </c>
      <c r="O131" s="432" t="s">
        <v>245</v>
      </c>
      <c r="P131" s="433">
        <f>IF(B131="","",IF(OR(O131="N/A",O131=""),0,YEARFRAC('Borrowing Base'!$J$4,'Loan List'!O131)*12))</f>
        <v>0</v>
      </c>
      <c r="Q131" s="432" t="s">
        <v>246</v>
      </c>
      <c r="R131" s="434">
        <v>0.98899999999999999</v>
      </c>
      <c r="S131" s="435" t="str">
        <f t="shared" si="546"/>
        <v>No</v>
      </c>
      <c r="T131" s="434">
        <v>0.9890000000000001</v>
      </c>
      <c r="U131" s="436">
        <f t="shared" si="547"/>
        <v>0.5</v>
      </c>
      <c r="V131" s="436">
        <f t="shared" si="548"/>
        <v>0.72499999999999998</v>
      </c>
      <c r="W131" s="251">
        <f t="shared" si="385"/>
        <v>2216250</v>
      </c>
      <c r="X131" s="432" t="s">
        <v>246</v>
      </c>
      <c r="Y131" s="437" t="s">
        <v>483</v>
      </c>
      <c r="Z131" s="437" t="s">
        <v>484</v>
      </c>
      <c r="AA131" s="438" t="s">
        <v>407</v>
      </c>
      <c r="AB131" s="438" t="s">
        <v>713</v>
      </c>
      <c r="AC131" s="439">
        <v>1.9054284665628312</v>
      </c>
      <c r="AD131" s="439">
        <v>1.1728091782315606</v>
      </c>
      <c r="AE131" s="439">
        <v>2.4337706567478095</v>
      </c>
      <c r="AF131" s="439">
        <v>0.40716882336436588</v>
      </c>
      <c r="AG131" s="440">
        <v>2.9200807752724942</v>
      </c>
      <c r="AH131" s="440">
        <v>2.9200807752724942</v>
      </c>
      <c r="AI131" s="440">
        <v>2.6720132498433169</v>
      </c>
      <c r="AJ131" s="440">
        <v>2.6720132498433169</v>
      </c>
      <c r="AK131" s="441">
        <v>18716000</v>
      </c>
      <c r="AL131" s="441">
        <v>16846086</v>
      </c>
      <c r="AM131" s="258">
        <v>45838</v>
      </c>
      <c r="AN131" s="442" t="str">
        <f t="shared" si="549"/>
        <v>Tier 2</v>
      </c>
      <c r="AO131" s="443">
        <v>47027</v>
      </c>
      <c r="AP131" s="444">
        <f>IF(C131="","",DAYS360(Inputs!$J$8,AO131)/360)</f>
        <v>3.1027777777777779</v>
      </c>
      <c r="AQ131" s="444">
        <f t="shared" si="550"/>
        <v>3.1027777777777779</v>
      </c>
      <c r="AR131" s="432" t="s">
        <v>246</v>
      </c>
      <c r="AS131" s="445">
        <v>0</v>
      </c>
      <c r="AT131" s="432" t="s">
        <v>64</v>
      </c>
      <c r="AU131" s="446">
        <v>0.01</v>
      </c>
      <c r="AV131" s="446">
        <v>6.25E-2</v>
      </c>
      <c r="AW131" s="446">
        <v>4.0405999999999991E-2</v>
      </c>
      <c r="AX131" s="260">
        <f t="shared" si="551"/>
        <v>4.0405999999999991E-2</v>
      </c>
      <c r="AY131" s="446">
        <v>5.0000000000000001E-3</v>
      </c>
      <c r="AZ131" s="446">
        <v>0</v>
      </c>
      <c r="BA131" s="446">
        <v>0</v>
      </c>
      <c r="BB131" s="447">
        <f t="shared" si="536"/>
        <v>6.25E-2</v>
      </c>
      <c r="BC131" s="447" t="str">
        <f t="shared" si="537"/>
        <v/>
      </c>
      <c r="BD131" s="437" t="s">
        <v>247</v>
      </c>
      <c r="BE131" s="448" t="s">
        <v>455</v>
      </c>
      <c r="BF131" s="437" t="s">
        <v>7</v>
      </c>
      <c r="BG131" s="437" t="s">
        <v>460</v>
      </c>
      <c r="BH131" s="432" t="s">
        <v>246</v>
      </c>
      <c r="BI131" s="449" t="str">
        <f t="shared" si="559"/>
        <v>No</v>
      </c>
      <c r="BJ131" s="449" t="str">
        <f t="shared" si="560"/>
        <v>No</v>
      </c>
      <c r="BK131" s="432" t="s">
        <v>246</v>
      </c>
      <c r="BL131" s="432" t="s">
        <v>246</v>
      </c>
      <c r="BM131" s="246" t="s">
        <v>64</v>
      </c>
      <c r="BN131" s="246" t="s">
        <v>64</v>
      </c>
      <c r="BO131" s="432" t="s">
        <v>246</v>
      </c>
      <c r="BP131" s="432" t="s">
        <v>246</v>
      </c>
      <c r="BQ131" s="432" t="s">
        <v>246</v>
      </c>
      <c r="BR131" s="432" t="s">
        <v>246</v>
      </c>
      <c r="BS131" s="432" t="s">
        <v>246</v>
      </c>
      <c r="BT131" s="432" t="s">
        <v>246</v>
      </c>
      <c r="BU131" s="432" t="s">
        <v>246</v>
      </c>
      <c r="BV131" s="432" t="s">
        <v>246</v>
      </c>
      <c r="BW131" s="432" t="s">
        <v>246</v>
      </c>
      <c r="BX131" s="432" t="s">
        <v>246</v>
      </c>
      <c r="BY131" s="432" t="s">
        <v>246</v>
      </c>
      <c r="BZ131" s="432" t="s">
        <v>246</v>
      </c>
      <c r="CA131" s="432" t="s">
        <v>246</v>
      </c>
      <c r="CB131" s="432" t="s">
        <v>64</v>
      </c>
      <c r="CC131" s="450">
        <f t="shared" si="552"/>
        <v>132273.77849999999</v>
      </c>
      <c r="CD131" s="450">
        <f t="shared" si="553"/>
        <v>0</v>
      </c>
      <c r="CF131" s="263">
        <f t="shared" si="403"/>
        <v>0</v>
      </c>
      <c r="CG131" s="263">
        <f t="shared" si="404"/>
        <v>0</v>
      </c>
      <c r="CH131" s="263">
        <f t="shared" si="405"/>
        <v>0</v>
      </c>
      <c r="CI131" s="263">
        <f t="shared" si="406"/>
        <v>0</v>
      </c>
      <c r="CJ131" s="263">
        <f t="shared" si="407"/>
        <v>0</v>
      </c>
      <c r="CK131" s="263">
        <f t="shared" si="408"/>
        <v>0</v>
      </c>
      <c r="CL131" s="263">
        <f t="shared" si="409"/>
        <v>0</v>
      </c>
      <c r="CM131" s="263">
        <f t="shared" si="410"/>
        <v>0</v>
      </c>
      <c r="CN131" s="263">
        <f t="shared" si="411"/>
        <v>0</v>
      </c>
      <c r="CO131" s="263">
        <f t="shared" si="412"/>
        <v>0</v>
      </c>
      <c r="CP131" s="263">
        <f t="shared" si="413"/>
        <v>0</v>
      </c>
      <c r="CQ131" s="263">
        <f t="shared" si="414"/>
        <v>0</v>
      </c>
      <c r="CR131" s="263">
        <f t="shared" si="415"/>
        <v>0</v>
      </c>
      <c r="CS131" s="263">
        <f t="shared" si="416"/>
        <v>0</v>
      </c>
      <c r="CT131" s="263">
        <f t="shared" si="417"/>
        <v>0</v>
      </c>
      <c r="CU131" s="263">
        <f t="shared" si="418"/>
        <v>0</v>
      </c>
      <c r="CV131" s="263">
        <f t="shared" si="419"/>
        <v>0</v>
      </c>
      <c r="CW131" s="263">
        <f t="shared" si="420"/>
        <v>0</v>
      </c>
      <c r="CX131" s="263">
        <f t="shared" si="421"/>
        <v>0</v>
      </c>
      <c r="CY131" s="263">
        <f t="shared" si="422"/>
        <v>0</v>
      </c>
      <c r="CZ131" s="263">
        <f t="shared" si="423"/>
        <v>0</v>
      </c>
      <c r="DA131" s="263">
        <f t="shared" si="424"/>
        <v>0</v>
      </c>
      <c r="DB131" s="263">
        <f t="shared" si="425"/>
        <v>0</v>
      </c>
      <c r="DC131" s="263">
        <f t="shared" si="426"/>
        <v>0</v>
      </c>
      <c r="DD131" s="263">
        <f t="shared" si="427"/>
        <v>0</v>
      </c>
      <c r="DE131" s="263">
        <f t="shared" si="428"/>
        <v>0</v>
      </c>
      <c r="DF131" s="263">
        <f t="shared" si="429"/>
        <v>2216250</v>
      </c>
      <c r="DG131" s="263">
        <f t="shared" si="430"/>
        <v>0</v>
      </c>
      <c r="DH131" s="263">
        <f t="shared" si="431"/>
        <v>2216250</v>
      </c>
      <c r="DI131" s="263">
        <f t="shared" si="432"/>
        <v>2216250</v>
      </c>
      <c r="DJ131" s="263">
        <f t="shared" si="433"/>
        <v>0</v>
      </c>
      <c r="DK131" s="263">
        <f t="shared" si="434"/>
        <v>0</v>
      </c>
      <c r="DL131" s="263">
        <f t="shared" si="435"/>
        <v>0</v>
      </c>
      <c r="DM131" s="263">
        <f t="shared" si="436"/>
        <v>0</v>
      </c>
      <c r="DO131" s="264">
        <f t="shared" si="437"/>
        <v>0</v>
      </c>
      <c r="DP131" s="265">
        <f t="shared" si="438"/>
        <v>0</v>
      </c>
      <c r="DQ131" s="264">
        <f t="shared" si="439"/>
        <v>2216250</v>
      </c>
      <c r="DR131" s="264">
        <f t="shared" si="440"/>
        <v>0</v>
      </c>
      <c r="DS131" s="265">
        <f t="shared" si="441"/>
        <v>0</v>
      </c>
      <c r="DT131" s="264">
        <f t="shared" si="442"/>
        <v>2216250</v>
      </c>
      <c r="DU131" s="264">
        <f t="shared" si="443"/>
        <v>0</v>
      </c>
      <c r="DV131" s="265">
        <f t="shared" si="444"/>
        <v>0</v>
      </c>
      <c r="DW131" s="264">
        <f t="shared" si="445"/>
        <v>2216250</v>
      </c>
      <c r="DX131" s="264">
        <f t="shared" si="446"/>
        <v>0</v>
      </c>
      <c r="DY131" s="265">
        <f t="shared" si="447"/>
        <v>0</v>
      </c>
      <c r="DZ131" s="264">
        <f t="shared" si="448"/>
        <v>2216250</v>
      </c>
      <c r="EA131" s="264">
        <f t="shared" si="449"/>
        <v>0</v>
      </c>
      <c r="EB131" s="265">
        <f t="shared" si="450"/>
        <v>0</v>
      </c>
      <c r="EC131" s="264">
        <f t="shared" si="451"/>
        <v>2216250</v>
      </c>
      <c r="ED131" s="264">
        <f t="shared" si="452"/>
        <v>0</v>
      </c>
      <c r="EE131" s="265">
        <f t="shared" si="453"/>
        <v>0</v>
      </c>
      <c r="EF131" s="264">
        <f t="shared" si="454"/>
        <v>2216250</v>
      </c>
      <c r="EG131" s="264">
        <f t="shared" si="455"/>
        <v>0</v>
      </c>
      <c r="EH131" s="265">
        <f t="shared" si="456"/>
        <v>0</v>
      </c>
      <c r="EI131" s="264">
        <f t="shared" si="457"/>
        <v>2216250</v>
      </c>
      <c r="EJ131" s="264">
        <f t="shared" si="458"/>
        <v>0</v>
      </c>
      <c r="EK131" s="265">
        <f t="shared" si="459"/>
        <v>0</v>
      </c>
      <c r="EL131" s="264">
        <f t="shared" si="460"/>
        <v>2216250</v>
      </c>
      <c r="EM131" s="264">
        <f t="shared" si="461"/>
        <v>0</v>
      </c>
      <c r="EN131" s="265">
        <f t="shared" si="462"/>
        <v>0</v>
      </c>
      <c r="EO131" s="264">
        <f t="shared" si="463"/>
        <v>2216250</v>
      </c>
      <c r="EP131" s="264">
        <f t="shared" si="464"/>
        <v>0</v>
      </c>
      <c r="EQ131" s="265">
        <f t="shared" si="465"/>
        <v>0</v>
      </c>
      <c r="ER131" s="264">
        <f t="shared" si="466"/>
        <v>2216250</v>
      </c>
      <c r="ES131" s="264">
        <f t="shared" si="467"/>
        <v>0</v>
      </c>
      <c r="ET131" s="265">
        <f t="shared" si="468"/>
        <v>0</v>
      </c>
      <c r="EU131" s="264">
        <f t="shared" si="469"/>
        <v>2216250</v>
      </c>
      <c r="EV131" s="264">
        <f>IF(AND(BM131="Yes",OR(BN131="No",AND(BN131="Yes",Inputs!$J$8=Inputs!$J$17+75))),EU131,0)</f>
        <v>0</v>
      </c>
      <c r="EW131" s="265">
        <f t="shared" si="470"/>
        <v>0</v>
      </c>
      <c r="EX131" s="264">
        <f t="shared" si="471"/>
        <v>2216250</v>
      </c>
      <c r="EY131" s="264">
        <f t="shared" si="472"/>
        <v>0</v>
      </c>
      <c r="EZ131" s="265">
        <f t="shared" si="473"/>
        <v>0</v>
      </c>
      <c r="FA131" s="264">
        <f t="shared" si="474"/>
        <v>2216250</v>
      </c>
      <c r="FB131" s="264">
        <f t="shared" si="475"/>
        <v>0</v>
      </c>
      <c r="FC131" s="265">
        <f t="shared" si="476"/>
        <v>0</v>
      </c>
      <c r="FD131" s="264">
        <f t="shared" si="477"/>
        <v>2216250</v>
      </c>
      <c r="FE131" s="264">
        <f t="shared" si="478"/>
        <v>0</v>
      </c>
      <c r="FF131" s="265">
        <f t="shared" si="479"/>
        <v>0</v>
      </c>
      <c r="FG131" s="264">
        <f t="shared" si="480"/>
        <v>2216250</v>
      </c>
      <c r="FH131" s="264">
        <f t="shared" si="481"/>
        <v>2216250</v>
      </c>
      <c r="FI131" s="264">
        <f t="shared" si="482"/>
        <v>0</v>
      </c>
      <c r="FJ131" s="264">
        <f t="shared" si="483"/>
        <v>2216250</v>
      </c>
      <c r="FK131" s="264">
        <f t="shared" si="484"/>
        <v>2216250</v>
      </c>
      <c r="FL131" s="264">
        <f t="shared" si="485"/>
        <v>0</v>
      </c>
      <c r="FM131" s="264">
        <f t="shared" si="486"/>
        <v>2216250</v>
      </c>
      <c r="FN131" s="264">
        <f t="shared" si="487"/>
        <v>2216250</v>
      </c>
      <c r="FO131" s="264">
        <f t="shared" si="488"/>
        <v>0</v>
      </c>
      <c r="FP131" s="264">
        <f t="shared" si="489"/>
        <v>2216250</v>
      </c>
      <c r="FQ131" s="264">
        <f t="shared" si="490"/>
        <v>0</v>
      </c>
      <c r="FR131" s="265">
        <f t="shared" si="491"/>
        <v>0</v>
      </c>
      <c r="FS131" s="264">
        <f t="shared" si="492"/>
        <v>2216250</v>
      </c>
      <c r="FT131" s="264">
        <f t="shared" si="493"/>
        <v>0</v>
      </c>
      <c r="FU131" s="265">
        <f t="shared" si="494"/>
        <v>0</v>
      </c>
      <c r="FV131" s="264">
        <f t="shared" si="495"/>
        <v>2216250</v>
      </c>
      <c r="FW131" s="264">
        <f t="shared" si="496"/>
        <v>0</v>
      </c>
      <c r="FX131" s="264">
        <f t="shared" si="497"/>
        <v>0</v>
      </c>
      <c r="FY131" s="264">
        <f t="shared" si="498"/>
        <v>0</v>
      </c>
      <c r="FZ131" s="264">
        <f t="shared" si="499"/>
        <v>0</v>
      </c>
      <c r="GA131" s="265">
        <f t="shared" si="500"/>
        <v>0</v>
      </c>
      <c r="GB131" s="264">
        <f t="shared" si="501"/>
        <v>2216250</v>
      </c>
      <c r="GC131" s="264">
        <f t="shared" si="502"/>
        <v>2216250</v>
      </c>
      <c r="GD131" s="266">
        <f t="shared" si="503"/>
        <v>1606781.25</v>
      </c>
      <c r="GE131" s="138">
        <f t="shared" si="504"/>
        <v>0.72499999999999998</v>
      </c>
      <c r="GF131" s="267">
        <f t="shared" si="505"/>
        <v>55</v>
      </c>
      <c r="GG131" s="264">
        <f t="array" ref="GG131">IF(SUM(IF(IC$9:IC130=IC131,1,0))&gt;0,0,SUMIF($IC$10:$IC$406,IC131,$FJ$10:$FJ$406))</f>
        <v>0</v>
      </c>
      <c r="GH131" s="268">
        <f t="shared" si="506"/>
        <v>0</v>
      </c>
      <c r="GI131" s="137">
        <f t="shared" si="126"/>
        <v>122</v>
      </c>
      <c r="GJ131" s="269">
        <f t="shared" si="507"/>
        <v>0</v>
      </c>
      <c r="GK131" s="269">
        <f t="shared" si="508"/>
        <v>0</v>
      </c>
      <c r="GL131" s="163">
        <f t="shared" si="509"/>
        <v>0</v>
      </c>
      <c r="GM131" s="137">
        <f t="array" ref="GM131">IF(GJ131=0,0,LARGE(IF($GG$10:$GG$406=GJ131,$GF$10:$GF$406,0),COUNTIF($GJ$10:$GJ$406,GJ131)-COUNTIF(GJ$9:GJ130,GJ131)))</f>
        <v>0</v>
      </c>
      <c r="GN131" s="270">
        <f t="shared" si="510"/>
        <v>0</v>
      </c>
      <c r="GP131" s="137">
        <f>IF(C131="","",IF(ISERROR(MATCH(C131,C$10:C130,0)),MAX(GP$10:GP130)+1,INDEX(GP$10:GP130,MATCH(C131,C$10:C130,0))))</f>
        <v>95</v>
      </c>
      <c r="GQ131" s="264">
        <f>IF(COUNTIF($A$10:A131,A131)&lt;=1,SUMIF($A$10:$A$406,A131,$FH$10:$FH$406),0)</f>
        <v>2216250</v>
      </c>
      <c r="GR131" s="137">
        <f t="shared" si="130"/>
        <v>122</v>
      </c>
      <c r="GS131" s="269">
        <f t="shared" si="554"/>
        <v>0</v>
      </c>
      <c r="GT131" s="269">
        <f t="shared" si="555"/>
        <v>0</v>
      </c>
      <c r="GU131" s="163">
        <f t="shared" si="556"/>
        <v>0</v>
      </c>
      <c r="GV131" s="137">
        <f t="array" ref="GV131">IF(GS131=0,0,LARGE(IF($GQ$10:$GQ$406=GS131,$GP$10:$GP$406,0),COUNTIF($GS$10:$GS$406,GS131)-COUNTIF(GS$9:GS130,GS131)))</f>
        <v>0</v>
      </c>
      <c r="GW131" s="270">
        <f t="shared" si="557"/>
        <v>0</v>
      </c>
      <c r="GY131" s="137">
        <f>IF(C131="","",IF(ISERROR(MATCH(C131,C$10:C130,0)),MAX(GP$10:GP130)+1,INDEX(GP$10:GP130,MATCH(C131,C$10:C130,0))))</f>
        <v>95</v>
      </c>
      <c r="GZ131" s="264">
        <f>IF(COUNTIF($A$10:A131,A131)&lt;=1,SUMIF($A$10:$A$406,A131,$FH$10:$FH$406),0)</f>
        <v>2216250</v>
      </c>
      <c r="HA131" s="137">
        <f t="shared" si="134"/>
        <v>122</v>
      </c>
      <c r="HB131" s="269">
        <f t="shared" si="515"/>
        <v>0</v>
      </c>
      <c r="HC131" s="414" t="s">
        <v>622</v>
      </c>
      <c r="HD131" s="163">
        <f t="shared" si="516"/>
        <v>0</v>
      </c>
      <c r="HE131" s="137">
        <f t="array" ref="HE131">IF(HB131=0,0,LARGE(IF($GZ$10:$GZ$406=HB131,$GY$10:$GY$406,0),COUNTIF($HB$10:$HB$406,HB131)-COUNTIF(HB$9:HB130,HB131)))</f>
        <v>0</v>
      </c>
      <c r="HF131" s="270">
        <f t="shared" si="517"/>
        <v>0</v>
      </c>
      <c r="HH131" s="268">
        <f t="shared" si="518"/>
        <v>0</v>
      </c>
      <c r="HI131" s="271">
        <v>0</v>
      </c>
      <c r="HJ131" s="264">
        <f t="shared" si="519"/>
        <v>0</v>
      </c>
      <c r="HL131" s="137" t="str">
        <f t="shared" si="520"/>
        <v/>
      </c>
      <c r="HM131" s="264">
        <f t="shared" si="521"/>
        <v>0</v>
      </c>
      <c r="HO131" s="199">
        <f t="shared" si="522"/>
        <v>2216250</v>
      </c>
      <c r="HP131" s="199">
        <f t="shared" si="523"/>
        <v>2216250</v>
      </c>
      <c r="HQ131" s="199" t="str">
        <f t="shared" si="524"/>
        <v/>
      </c>
      <c r="HR131" s="199" t="str">
        <f t="shared" si="525"/>
        <v/>
      </c>
      <c r="HS131" s="199" t="str">
        <f t="shared" si="539"/>
        <v/>
      </c>
      <c r="HT131" s="199" t="str">
        <f t="shared" si="526"/>
        <v/>
      </c>
      <c r="HU131" s="199" t="str">
        <f t="shared" si="527"/>
        <v/>
      </c>
      <c r="HV131" s="200">
        <f t="shared" si="528"/>
        <v>0</v>
      </c>
      <c r="HW131" s="272">
        <f t="shared" si="540"/>
        <v>1</v>
      </c>
      <c r="HX131" s="200" t="str">
        <f t="shared" si="529"/>
        <v/>
      </c>
      <c r="HY131" s="200">
        <f t="shared" si="530"/>
        <v>0</v>
      </c>
      <c r="HZ131" s="200" t="str">
        <f t="shared" si="535"/>
        <v/>
      </c>
      <c r="IA131" s="200" t="str">
        <f t="shared" si="531"/>
        <v/>
      </c>
      <c r="IB131" s="200" t="str">
        <f t="shared" si="532"/>
        <v/>
      </c>
      <c r="IC131" s="273">
        <f>IF(C131="","",INDEX(Lookups!$E$2:$E$69,MATCH('Loan List'!BE131,Lookups!$F$2:$F$69,0)))</f>
        <v>55</v>
      </c>
      <c r="ID131" t="b">
        <f t="shared" si="533"/>
        <v>1</v>
      </c>
    </row>
    <row r="132" spans="1:238">
      <c r="A132" t="s">
        <v>784</v>
      </c>
      <c r="B132" s="242">
        <f t="shared" si="541"/>
        <v>123</v>
      </c>
      <c r="C132" s="242">
        <f>IF(COUNTIF($A$10:A131,A132)&gt;0,C131,C131+1)</f>
        <v>96</v>
      </c>
      <c r="D132" s="431" t="s">
        <v>784</v>
      </c>
      <c r="E132" s="428" t="s">
        <v>845</v>
      </c>
      <c r="F132" s="429"/>
      <c r="G132" s="430">
        <v>2621867</v>
      </c>
      <c r="H132" s="430">
        <v>2621867</v>
      </c>
      <c r="I132" s="244">
        <f>IF(B132="","",VLOOKUP(BF132,Inputs!$A$12:$J$15,10,FALSE))</f>
        <v>1</v>
      </c>
      <c r="J132" s="245">
        <f t="shared" si="542"/>
        <v>2621867</v>
      </c>
      <c r="K132" s="245">
        <f t="shared" si="543"/>
        <v>2621867</v>
      </c>
      <c r="L132" s="245">
        <f t="shared" si="544"/>
        <v>2621867</v>
      </c>
      <c r="M132" s="245">
        <f t="shared" si="545"/>
        <v>2621867</v>
      </c>
      <c r="N132" s="432" t="s">
        <v>246</v>
      </c>
      <c r="O132" s="432" t="s">
        <v>245</v>
      </c>
      <c r="P132" s="433">
        <f>IF(B132="","",IF(OR(O132="N/A",O132=""),0,YEARFRAC('Borrowing Base'!$J$4,'Loan List'!O132)*12))</f>
        <v>0</v>
      </c>
      <c r="Q132" s="432" t="s">
        <v>246</v>
      </c>
      <c r="R132" s="434">
        <v>1.0049999999999999</v>
      </c>
      <c r="S132" s="435" t="str">
        <f t="shared" si="546"/>
        <v>No</v>
      </c>
      <c r="T132" s="434">
        <v>1.0049999999999999</v>
      </c>
      <c r="U132" s="436">
        <f t="shared" si="547"/>
        <v>0.5</v>
      </c>
      <c r="V132" s="436">
        <f t="shared" si="548"/>
        <v>0.72499999999999998</v>
      </c>
      <c r="W132" s="251">
        <f t="shared" si="385"/>
        <v>2621867</v>
      </c>
      <c r="X132" s="432" t="s">
        <v>246</v>
      </c>
      <c r="Y132" s="437" t="s">
        <v>483</v>
      </c>
      <c r="Z132" s="437" t="s">
        <v>484</v>
      </c>
      <c r="AA132" s="438" t="s">
        <v>407</v>
      </c>
      <c r="AB132" s="438" t="s">
        <v>713</v>
      </c>
      <c r="AC132" s="439">
        <v>4.9976677550476447</v>
      </c>
      <c r="AD132" s="439">
        <v>0.52422455881737462</v>
      </c>
      <c r="AE132" s="439">
        <v>2.0100576219635324</v>
      </c>
      <c r="AF132" s="439">
        <v>0.27272727272727271</v>
      </c>
      <c r="AG132" s="440">
        <v>4.9976677550476447</v>
      </c>
      <c r="AH132" s="440">
        <v>4.9976677550476447</v>
      </c>
      <c r="AI132" s="440">
        <v>4.6148870555614803</v>
      </c>
      <c r="AJ132" s="440">
        <v>4.6148870555614803</v>
      </c>
      <c r="AK132" s="441">
        <v>30013999.999999996</v>
      </c>
      <c r="AL132" s="441">
        <v>35959380.503150694</v>
      </c>
      <c r="AM132" s="258">
        <v>45747</v>
      </c>
      <c r="AN132" s="442" t="str">
        <f t="shared" si="549"/>
        <v>Tier 2</v>
      </c>
      <c r="AO132" s="443">
        <v>47543</v>
      </c>
      <c r="AP132" s="444">
        <f>IF(C132="","",DAYS360(Inputs!$J$8,AO132)/360)</f>
        <v>4.5194444444444448</v>
      </c>
      <c r="AQ132" s="444">
        <f t="shared" si="550"/>
        <v>4.5194444444444448</v>
      </c>
      <c r="AR132" s="432" t="s">
        <v>246</v>
      </c>
      <c r="AS132" s="445">
        <v>0</v>
      </c>
      <c r="AT132" s="432">
        <v>0</v>
      </c>
      <c r="AU132" s="446" t="s">
        <v>487</v>
      </c>
      <c r="AV132" s="446">
        <v>5.7500000000000002E-2</v>
      </c>
      <c r="AW132" s="446">
        <v>4.0405999999999991E-2</v>
      </c>
      <c r="AX132" s="260">
        <f t="shared" si="551"/>
        <v>4.0405999999999991E-2</v>
      </c>
      <c r="AY132" s="446">
        <v>5.0000000000000001E-3</v>
      </c>
      <c r="AZ132" s="446">
        <v>0</v>
      </c>
      <c r="BA132" s="446">
        <v>0</v>
      </c>
      <c r="BB132" s="447">
        <f t="shared" si="536"/>
        <v>5.7500000000000002E-2</v>
      </c>
      <c r="BC132" s="447" t="str">
        <f t="shared" si="537"/>
        <v/>
      </c>
      <c r="BD132" s="437" t="s">
        <v>247</v>
      </c>
      <c r="BE132" s="448" t="s">
        <v>380</v>
      </c>
      <c r="BF132" s="437" t="s">
        <v>7</v>
      </c>
      <c r="BG132" s="437" t="s">
        <v>460</v>
      </c>
      <c r="BH132" s="432" t="s">
        <v>246</v>
      </c>
      <c r="BI132" s="449" t="str">
        <f t="shared" si="559"/>
        <v>No</v>
      </c>
      <c r="BJ132" s="449" t="str">
        <f t="shared" si="560"/>
        <v>No</v>
      </c>
      <c r="BK132" s="432" t="s">
        <v>246</v>
      </c>
      <c r="BL132" s="432" t="s">
        <v>246</v>
      </c>
      <c r="BM132" s="246" t="s">
        <v>64</v>
      </c>
      <c r="BN132" s="246" t="s">
        <v>64</v>
      </c>
      <c r="BO132" s="432" t="s">
        <v>246</v>
      </c>
      <c r="BP132" s="432" t="s">
        <v>246</v>
      </c>
      <c r="BQ132" s="432" t="s">
        <v>246</v>
      </c>
      <c r="BR132" s="432" t="s">
        <v>246</v>
      </c>
      <c r="BS132" s="432" t="s">
        <v>246</v>
      </c>
      <c r="BT132" s="432" t="s">
        <v>246</v>
      </c>
      <c r="BU132" s="432" t="s">
        <v>246</v>
      </c>
      <c r="BV132" s="432" t="s">
        <v>246</v>
      </c>
      <c r="BW132" s="432" t="s">
        <v>246</v>
      </c>
      <c r="BX132" s="432" t="s">
        <v>246</v>
      </c>
      <c r="BY132" s="432" t="s">
        <v>246</v>
      </c>
      <c r="BZ132" s="432" t="s">
        <v>246</v>
      </c>
      <c r="CA132" s="432" t="s">
        <v>246</v>
      </c>
      <c r="CB132" s="432" t="s">
        <v>64</v>
      </c>
      <c r="CC132" s="450">
        <f t="shared" si="552"/>
        <v>143373.12628119998</v>
      </c>
      <c r="CD132" s="450">
        <f t="shared" si="553"/>
        <v>0</v>
      </c>
      <c r="CF132" s="263">
        <f t="shared" si="403"/>
        <v>0</v>
      </c>
      <c r="CG132" s="263">
        <f t="shared" si="404"/>
        <v>0</v>
      </c>
      <c r="CH132" s="263">
        <f t="shared" si="405"/>
        <v>0</v>
      </c>
      <c r="CI132" s="263">
        <f t="shared" si="406"/>
        <v>0</v>
      </c>
      <c r="CJ132" s="263">
        <f t="shared" si="407"/>
        <v>0</v>
      </c>
      <c r="CK132" s="263">
        <f t="shared" si="408"/>
        <v>0</v>
      </c>
      <c r="CL132" s="263">
        <f t="shared" si="409"/>
        <v>0</v>
      </c>
      <c r="CM132" s="263">
        <f t="shared" si="410"/>
        <v>0</v>
      </c>
      <c r="CN132" s="263">
        <f t="shared" si="411"/>
        <v>0</v>
      </c>
      <c r="CO132" s="263">
        <f t="shared" si="412"/>
        <v>0</v>
      </c>
      <c r="CP132" s="263">
        <f t="shared" si="413"/>
        <v>0</v>
      </c>
      <c r="CQ132" s="263">
        <f t="shared" si="414"/>
        <v>0</v>
      </c>
      <c r="CR132" s="263">
        <f t="shared" si="415"/>
        <v>0</v>
      </c>
      <c r="CS132" s="263">
        <f t="shared" si="416"/>
        <v>0</v>
      </c>
      <c r="CT132" s="263">
        <f t="shared" si="417"/>
        <v>0</v>
      </c>
      <c r="CU132" s="263">
        <f t="shared" si="418"/>
        <v>0</v>
      </c>
      <c r="CV132" s="263">
        <f t="shared" si="419"/>
        <v>0</v>
      </c>
      <c r="CW132" s="263">
        <f t="shared" si="420"/>
        <v>0</v>
      </c>
      <c r="CX132" s="263">
        <f t="shared" si="421"/>
        <v>0</v>
      </c>
      <c r="CY132" s="263">
        <f t="shared" si="422"/>
        <v>0</v>
      </c>
      <c r="CZ132" s="263">
        <f t="shared" si="423"/>
        <v>0</v>
      </c>
      <c r="DA132" s="263">
        <f t="shared" si="424"/>
        <v>0</v>
      </c>
      <c r="DB132" s="263">
        <f t="shared" si="425"/>
        <v>0</v>
      </c>
      <c r="DC132" s="263">
        <f t="shared" si="426"/>
        <v>0</v>
      </c>
      <c r="DD132" s="263">
        <f t="shared" si="427"/>
        <v>0</v>
      </c>
      <c r="DE132" s="263">
        <f t="shared" si="428"/>
        <v>0</v>
      </c>
      <c r="DF132" s="263">
        <f t="shared" si="429"/>
        <v>2621867</v>
      </c>
      <c r="DG132" s="263">
        <f t="shared" si="430"/>
        <v>0</v>
      </c>
      <c r="DH132" s="263">
        <f t="shared" si="431"/>
        <v>2621867</v>
      </c>
      <c r="DI132" s="263">
        <f t="shared" si="432"/>
        <v>2621867</v>
      </c>
      <c r="DJ132" s="263">
        <f t="shared" si="433"/>
        <v>0</v>
      </c>
      <c r="DK132" s="263">
        <f t="shared" si="434"/>
        <v>0</v>
      </c>
      <c r="DL132" s="263">
        <f t="shared" si="435"/>
        <v>0</v>
      </c>
      <c r="DM132" s="263">
        <f t="shared" si="436"/>
        <v>0</v>
      </c>
      <c r="DO132" s="264">
        <f t="shared" si="437"/>
        <v>0</v>
      </c>
      <c r="DP132" s="265">
        <f t="shared" si="438"/>
        <v>0</v>
      </c>
      <c r="DQ132" s="264">
        <f t="shared" si="439"/>
        <v>2621867</v>
      </c>
      <c r="DR132" s="264">
        <f t="shared" si="440"/>
        <v>0</v>
      </c>
      <c r="DS132" s="265">
        <f t="shared" si="441"/>
        <v>0</v>
      </c>
      <c r="DT132" s="264">
        <f t="shared" si="442"/>
        <v>2621867</v>
      </c>
      <c r="DU132" s="264">
        <f t="shared" si="443"/>
        <v>0</v>
      </c>
      <c r="DV132" s="265">
        <f t="shared" si="444"/>
        <v>0</v>
      </c>
      <c r="DW132" s="264">
        <f t="shared" si="445"/>
        <v>2621867</v>
      </c>
      <c r="DX132" s="264">
        <f t="shared" si="446"/>
        <v>0</v>
      </c>
      <c r="DY132" s="265">
        <f t="shared" si="447"/>
        <v>0</v>
      </c>
      <c r="DZ132" s="264">
        <f t="shared" si="448"/>
        <v>2621867</v>
      </c>
      <c r="EA132" s="264">
        <f t="shared" si="449"/>
        <v>0</v>
      </c>
      <c r="EB132" s="265">
        <f t="shared" si="450"/>
        <v>0</v>
      </c>
      <c r="EC132" s="264">
        <f t="shared" si="451"/>
        <v>2621867</v>
      </c>
      <c r="ED132" s="264">
        <f t="shared" si="452"/>
        <v>0</v>
      </c>
      <c r="EE132" s="265">
        <f t="shared" si="453"/>
        <v>0</v>
      </c>
      <c r="EF132" s="264">
        <f t="shared" si="454"/>
        <v>2621867</v>
      </c>
      <c r="EG132" s="264">
        <f t="shared" si="455"/>
        <v>0</v>
      </c>
      <c r="EH132" s="265">
        <f t="shared" si="456"/>
        <v>0</v>
      </c>
      <c r="EI132" s="264">
        <f t="shared" si="457"/>
        <v>2621867</v>
      </c>
      <c r="EJ132" s="264">
        <f t="shared" si="458"/>
        <v>0</v>
      </c>
      <c r="EK132" s="265">
        <f t="shared" si="459"/>
        <v>0</v>
      </c>
      <c r="EL132" s="264">
        <f t="shared" si="460"/>
        <v>2621867</v>
      </c>
      <c r="EM132" s="264">
        <f t="shared" si="461"/>
        <v>0</v>
      </c>
      <c r="EN132" s="265">
        <f t="shared" si="462"/>
        <v>0</v>
      </c>
      <c r="EO132" s="264">
        <f t="shared" si="463"/>
        <v>2621867</v>
      </c>
      <c r="EP132" s="264">
        <f t="shared" si="464"/>
        <v>0</v>
      </c>
      <c r="EQ132" s="265">
        <f t="shared" si="465"/>
        <v>0</v>
      </c>
      <c r="ER132" s="264">
        <f t="shared" si="466"/>
        <v>2621867</v>
      </c>
      <c r="ES132" s="264">
        <f t="shared" si="467"/>
        <v>0</v>
      </c>
      <c r="ET132" s="265">
        <f t="shared" si="468"/>
        <v>0</v>
      </c>
      <c r="EU132" s="264">
        <f t="shared" si="469"/>
        <v>2621867</v>
      </c>
      <c r="EV132" s="264">
        <f>IF(AND(BM132="Yes",OR(BN132="No",AND(BN132="Yes",Inputs!$J$8=Inputs!$J$17+75))),EU132,0)</f>
        <v>0</v>
      </c>
      <c r="EW132" s="265">
        <f t="shared" si="470"/>
        <v>0</v>
      </c>
      <c r="EX132" s="264">
        <f t="shared" si="471"/>
        <v>2621867</v>
      </c>
      <c r="EY132" s="264">
        <f t="shared" si="472"/>
        <v>0</v>
      </c>
      <c r="EZ132" s="265">
        <f t="shared" si="473"/>
        <v>0</v>
      </c>
      <c r="FA132" s="264">
        <f t="shared" si="474"/>
        <v>2621867</v>
      </c>
      <c r="FB132" s="264">
        <f t="shared" si="475"/>
        <v>0</v>
      </c>
      <c r="FC132" s="265">
        <f t="shared" si="476"/>
        <v>0</v>
      </c>
      <c r="FD132" s="264">
        <f t="shared" si="477"/>
        <v>2621867</v>
      </c>
      <c r="FE132" s="264">
        <f t="shared" si="478"/>
        <v>0</v>
      </c>
      <c r="FF132" s="265">
        <f t="shared" si="479"/>
        <v>0</v>
      </c>
      <c r="FG132" s="264">
        <f t="shared" si="480"/>
        <v>2621867</v>
      </c>
      <c r="FH132" s="264">
        <f t="shared" si="481"/>
        <v>2621867</v>
      </c>
      <c r="FI132" s="264">
        <f t="shared" si="482"/>
        <v>0</v>
      </c>
      <c r="FJ132" s="264">
        <f t="shared" si="483"/>
        <v>2621867</v>
      </c>
      <c r="FK132" s="264">
        <f t="shared" si="484"/>
        <v>2621867</v>
      </c>
      <c r="FL132" s="264">
        <f t="shared" si="485"/>
        <v>0</v>
      </c>
      <c r="FM132" s="264">
        <f t="shared" si="486"/>
        <v>2621867</v>
      </c>
      <c r="FN132" s="264">
        <f t="shared" si="487"/>
        <v>2621867</v>
      </c>
      <c r="FO132" s="264">
        <f t="shared" si="488"/>
        <v>0</v>
      </c>
      <c r="FP132" s="264">
        <f t="shared" si="489"/>
        <v>2621867</v>
      </c>
      <c r="FQ132" s="264">
        <f t="shared" si="490"/>
        <v>0</v>
      </c>
      <c r="FR132" s="265">
        <f t="shared" si="491"/>
        <v>0</v>
      </c>
      <c r="FS132" s="264">
        <f t="shared" si="492"/>
        <v>2621867</v>
      </c>
      <c r="FT132" s="264">
        <f t="shared" si="493"/>
        <v>0</v>
      </c>
      <c r="FU132" s="265">
        <f t="shared" si="494"/>
        <v>0</v>
      </c>
      <c r="FV132" s="264">
        <f t="shared" si="495"/>
        <v>2621867</v>
      </c>
      <c r="FW132" s="264">
        <f t="shared" si="496"/>
        <v>2621867</v>
      </c>
      <c r="FX132" s="264">
        <f t="shared" si="497"/>
        <v>0</v>
      </c>
      <c r="FY132" s="264">
        <f t="shared" si="498"/>
        <v>0</v>
      </c>
      <c r="FZ132" s="264">
        <f t="shared" si="499"/>
        <v>2621867</v>
      </c>
      <c r="GA132" s="265">
        <f t="shared" si="500"/>
        <v>11747.130599131347</v>
      </c>
      <c r="GB132" s="264">
        <f t="shared" si="501"/>
        <v>2610119.8694008687</v>
      </c>
      <c r="GC132" s="264">
        <f t="shared" si="502"/>
        <v>2610119.8694008687</v>
      </c>
      <c r="GD132" s="266">
        <f t="shared" si="503"/>
        <v>1892336.9053156297</v>
      </c>
      <c r="GE132" s="138">
        <f t="shared" si="504"/>
        <v>0.72175167745565649</v>
      </c>
      <c r="GF132" s="267">
        <f t="shared" si="505"/>
        <v>20</v>
      </c>
      <c r="GG132" s="264">
        <f t="array" ref="GG132">IF(SUM(IF(IC$9:IC131=IC132,1,0))&gt;0,0,SUMIF($IC$10:$IC$406,IC132,$FJ$10:$FJ$406))</f>
        <v>0</v>
      </c>
      <c r="GH132" s="268">
        <f t="shared" si="506"/>
        <v>0</v>
      </c>
      <c r="GI132" s="137">
        <f t="shared" si="126"/>
        <v>123</v>
      </c>
      <c r="GJ132" s="269">
        <f t="shared" si="507"/>
        <v>0</v>
      </c>
      <c r="GK132" s="269">
        <f t="shared" si="508"/>
        <v>0</v>
      </c>
      <c r="GL132" s="163">
        <f t="shared" si="509"/>
        <v>0</v>
      </c>
      <c r="GM132" s="137">
        <f t="array" ref="GM132">IF(GJ132=0,0,LARGE(IF($GG$10:$GG$406=GJ132,$GF$10:$GF$406,0),COUNTIF($GJ$10:$GJ$406,GJ132)-COUNTIF(GJ$9:GJ131,GJ132)))</f>
        <v>0</v>
      </c>
      <c r="GN132" s="270">
        <f t="shared" si="510"/>
        <v>0</v>
      </c>
      <c r="GP132" s="137">
        <f>IF(C132="","",IF(ISERROR(MATCH(C132,C$10:C131,0)),MAX(GP$10:GP131)+1,INDEX(GP$10:GP131,MATCH(C132,C$10:C131,0))))</f>
        <v>96</v>
      </c>
      <c r="GQ132" s="264">
        <f>IF(COUNTIF($A$10:A132,A132)&lt;=1,SUMIF($A$10:$A$406,A132,$FH$10:$FH$406),0)</f>
        <v>2621867</v>
      </c>
      <c r="GR132" s="137">
        <f t="shared" si="130"/>
        <v>123</v>
      </c>
      <c r="GS132" s="269">
        <f t="shared" si="554"/>
        <v>0</v>
      </c>
      <c r="GT132" s="269">
        <f t="shared" si="555"/>
        <v>0</v>
      </c>
      <c r="GU132" s="163">
        <f t="shared" si="556"/>
        <v>0</v>
      </c>
      <c r="GV132" s="137">
        <f t="array" ref="GV132">IF(GS132=0,0,LARGE(IF($GQ$10:$GQ$406=GS132,$GP$10:$GP$406,0),COUNTIF($GS$10:$GS$406,GS132)-COUNTIF(GS$9:GS131,GS132)))</f>
        <v>0</v>
      </c>
      <c r="GW132" s="270">
        <f t="shared" si="557"/>
        <v>0</v>
      </c>
      <c r="GY132" s="137">
        <f>IF(C132="","",IF(ISERROR(MATCH(C132,C$10:C131,0)),MAX(GP$10:GP131)+1,INDEX(GP$10:GP131,MATCH(C132,C$10:C131,0))))</f>
        <v>96</v>
      </c>
      <c r="GZ132" s="264">
        <f>IF(COUNTIF($A$10:A132,A132)&lt;=1,SUMIF($A$10:$A$406,A132,$FH$10:$FH$406),0)</f>
        <v>2621867</v>
      </c>
      <c r="HA132" s="137">
        <f t="shared" si="134"/>
        <v>123</v>
      </c>
      <c r="HB132" s="269">
        <f t="shared" si="515"/>
        <v>0</v>
      </c>
      <c r="HC132" s="414" t="s">
        <v>622</v>
      </c>
      <c r="HD132" s="163">
        <f t="shared" si="516"/>
        <v>0</v>
      </c>
      <c r="HE132" s="137">
        <f t="array" ref="HE132">IF(HB132=0,0,LARGE(IF($GZ$10:$GZ$406=HB132,$GY$10:$GY$406,0),COUNTIF($HB$10:$HB$406,HB132)-COUNTIF(HB$9:HB131,HB132)))</f>
        <v>0</v>
      </c>
      <c r="HF132" s="270">
        <f t="shared" si="517"/>
        <v>0</v>
      </c>
      <c r="HH132" s="268">
        <f t="shared" si="518"/>
        <v>11747.130599131342</v>
      </c>
      <c r="HI132" s="271">
        <v>0</v>
      </c>
      <c r="HJ132" s="264">
        <f t="shared" si="519"/>
        <v>0</v>
      </c>
      <c r="HL132" s="137" t="str">
        <f t="shared" si="520"/>
        <v/>
      </c>
      <c r="HM132" s="264">
        <f t="shared" si="521"/>
        <v>0</v>
      </c>
      <c r="HO132" s="199">
        <f t="shared" si="522"/>
        <v>2621867</v>
      </c>
      <c r="HP132" s="199">
        <f t="shared" si="523"/>
        <v>2621867</v>
      </c>
      <c r="HQ132" s="199" t="str">
        <f t="shared" si="524"/>
        <v/>
      </c>
      <c r="HR132" s="199" t="str">
        <f t="shared" si="525"/>
        <v/>
      </c>
      <c r="HS132" s="199" t="str">
        <f t="shared" si="539"/>
        <v/>
      </c>
      <c r="HT132" s="199" t="str">
        <f t="shared" si="526"/>
        <v/>
      </c>
      <c r="HU132" s="199" t="str">
        <f t="shared" si="527"/>
        <v/>
      </c>
      <c r="HV132" s="200">
        <f t="shared" si="528"/>
        <v>0</v>
      </c>
      <c r="HW132" s="272">
        <f t="shared" si="540"/>
        <v>1</v>
      </c>
      <c r="HX132" s="200" t="str">
        <f t="shared" si="529"/>
        <v/>
      </c>
      <c r="HY132" s="200">
        <f t="shared" si="530"/>
        <v>0</v>
      </c>
      <c r="HZ132" s="200" t="str">
        <f t="shared" si="535"/>
        <v/>
      </c>
      <c r="IA132" s="200" t="str">
        <f t="shared" si="531"/>
        <v/>
      </c>
      <c r="IB132" s="200" t="str">
        <f t="shared" si="532"/>
        <v/>
      </c>
      <c r="IC132" s="273">
        <f>IF(C132="","",INDEX(Lookups!$E$2:$E$69,MATCH('Loan List'!BE132,Lookups!$F$2:$F$69,0)))</f>
        <v>20</v>
      </c>
      <c r="ID132" t="b">
        <f t="shared" si="533"/>
        <v>1</v>
      </c>
    </row>
    <row r="133" spans="1:238">
      <c r="A133" t="s">
        <v>252</v>
      </c>
      <c r="B133" s="242">
        <f t="shared" si="541"/>
        <v>124</v>
      </c>
      <c r="C133" s="242">
        <f>IF(COUNTIF($A$10:A132,A133)&gt;0,C132,C132+1)</f>
        <v>97</v>
      </c>
      <c r="D133" s="428" t="s">
        <v>252</v>
      </c>
      <c r="E133" s="428" t="s">
        <v>478</v>
      </c>
      <c r="F133" s="429"/>
      <c r="G133" s="430">
        <v>1436250</v>
      </c>
      <c r="H133" s="430">
        <v>1436250</v>
      </c>
      <c r="I133" s="244">
        <f>IF(B133="","",VLOOKUP(BF133,Inputs!$A$12:$J$15,10,FALSE))</f>
        <v>1</v>
      </c>
      <c r="J133" s="245">
        <f t="shared" si="542"/>
        <v>1436250</v>
      </c>
      <c r="K133" s="245">
        <f t="shared" si="543"/>
        <v>1436250</v>
      </c>
      <c r="L133" s="245">
        <f t="shared" si="544"/>
        <v>1436250</v>
      </c>
      <c r="M133" s="245">
        <f t="shared" si="545"/>
        <v>1436250</v>
      </c>
      <c r="N133" s="432" t="s">
        <v>246</v>
      </c>
      <c r="O133" s="432" t="s">
        <v>245</v>
      </c>
      <c r="P133" s="433">
        <f>IF(B133="","",IF(OR(O133="N/A",O133=""),0,YEARFRAC('Borrowing Base'!$J$4,'Loan List'!O133)*12))</f>
        <v>0</v>
      </c>
      <c r="Q133" s="432" t="s">
        <v>246</v>
      </c>
      <c r="R133" s="434">
        <v>0.98</v>
      </c>
      <c r="S133" s="435" t="str">
        <f t="shared" si="546"/>
        <v>No</v>
      </c>
      <c r="T133" s="434">
        <v>0.995</v>
      </c>
      <c r="U133" s="436">
        <f t="shared" si="547"/>
        <v>0.5</v>
      </c>
      <c r="V133" s="436">
        <f t="shared" si="548"/>
        <v>0.72499999999999998</v>
      </c>
      <c r="W133" s="251">
        <f t="shared" si="385"/>
        <v>0</v>
      </c>
      <c r="X133" s="432" t="s">
        <v>246</v>
      </c>
      <c r="Y133" s="437" t="s">
        <v>483</v>
      </c>
      <c r="Z133" s="437" t="s">
        <v>484</v>
      </c>
      <c r="AA133" s="438" t="s">
        <v>407</v>
      </c>
      <c r="AB133" s="438" t="s">
        <v>713</v>
      </c>
      <c r="AC133" s="439">
        <v>2.8601078745644597</v>
      </c>
      <c r="AD133" s="439">
        <v>2.0314651507868509</v>
      </c>
      <c r="AE133" s="439">
        <v>2.5328886384637923</v>
      </c>
      <c r="AF133" s="439">
        <v>0.28070000000000001</v>
      </c>
      <c r="AG133" s="440">
        <v>1.6471184975410398</v>
      </c>
      <c r="AH133" s="440">
        <v>3.1691393876738991</v>
      </c>
      <c r="AI133" s="440">
        <v>2.8918729641264838</v>
      </c>
      <c r="AJ133" s="440">
        <v>6.8282318756848523</v>
      </c>
      <c r="AK133" s="441">
        <v>23981274</v>
      </c>
      <c r="AL133" s="441">
        <v>14047717</v>
      </c>
      <c r="AM133" s="258">
        <v>45838</v>
      </c>
      <c r="AN133" s="442" t="str">
        <f t="shared" si="549"/>
        <v>Tier 2</v>
      </c>
      <c r="AO133" s="443">
        <v>46051</v>
      </c>
      <c r="AP133" s="444">
        <f>IF(C133="","",DAYS360(Inputs!$J$8,AO133)/360)</f>
        <v>0.43055555555555558</v>
      </c>
      <c r="AQ133" s="444">
        <f t="shared" si="550"/>
        <v>0.43055555555555558</v>
      </c>
      <c r="AR133" s="432" t="s">
        <v>246</v>
      </c>
      <c r="AS133" s="445">
        <v>0</v>
      </c>
      <c r="AT133" s="432" t="s">
        <v>64</v>
      </c>
      <c r="AU133" s="446">
        <v>0.01</v>
      </c>
      <c r="AV133" s="446">
        <v>6.4000000000000001E-2</v>
      </c>
      <c r="AW133" s="446">
        <v>4.317E-2</v>
      </c>
      <c r="AX133" s="260">
        <f t="shared" si="551"/>
        <v>4.317E-2</v>
      </c>
      <c r="AY133" s="446">
        <v>5.0000000000000001E-3</v>
      </c>
      <c r="AZ133" s="446">
        <v>0</v>
      </c>
      <c r="BA133" s="446">
        <v>0</v>
      </c>
      <c r="BB133" s="447">
        <f t="shared" si="536"/>
        <v>6.4000000000000001E-2</v>
      </c>
      <c r="BC133" s="447" t="str">
        <f t="shared" si="537"/>
        <v/>
      </c>
      <c r="BD133" s="437" t="s">
        <v>247</v>
      </c>
      <c r="BE133" s="448" t="s">
        <v>429</v>
      </c>
      <c r="BF133" s="437" t="s">
        <v>7</v>
      </c>
      <c r="BG133" s="437" t="s">
        <v>460</v>
      </c>
      <c r="BH133" s="432" t="s">
        <v>246</v>
      </c>
      <c r="BI133" s="449" t="str">
        <f t="shared" si="559"/>
        <v>No</v>
      </c>
      <c r="BJ133" s="449" t="str">
        <f t="shared" si="560"/>
        <v>No</v>
      </c>
      <c r="BK133" s="432" t="s">
        <v>246</v>
      </c>
      <c r="BL133" s="432" t="s">
        <v>246</v>
      </c>
      <c r="BM133" s="432" t="s">
        <v>246</v>
      </c>
      <c r="BN133" s="432" t="s">
        <v>246</v>
      </c>
      <c r="BO133" s="432" t="s">
        <v>246</v>
      </c>
      <c r="BP133" s="432" t="s">
        <v>246</v>
      </c>
      <c r="BQ133" s="432" t="s">
        <v>246</v>
      </c>
      <c r="BR133" s="432" t="s">
        <v>246</v>
      </c>
      <c r="BS133" s="432" t="s">
        <v>246</v>
      </c>
      <c r="BT133" s="432" t="s">
        <v>246</v>
      </c>
      <c r="BU133" s="432" t="s">
        <v>246</v>
      </c>
      <c r="BV133" s="432" t="s">
        <v>246</v>
      </c>
      <c r="BW133" s="432" t="s">
        <v>246</v>
      </c>
      <c r="BX133" s="432" t="s">
        <v>246</v>
      </c>
      <c r="BY133" s="432" t="s">
        <v>246</v>
      </c>
      <c r="BZ133" s="432" t="s">
        <v>246</v>
      </c>
      <c r="CA133" s="432" t="s">
        <v>246</v>
      </c>
      <c r="CB133" s="432" t="s">
        <v>64</v>
      </c>
      <c r="CC133" s="450">
        <f t="shared" si="552"/>
        <v>91844.740499999985</v>
      </c>
      <c r="CD133" s="450">
        <f t="shared" si="553"/>
        <v>0</v>
      </c>
      <c r="CF133" s="263">
        <f t="shared" si="403"/>
        <v>0</v>
      </c>
      <c r="CG133" s="263">
        <f t="shared" si="404"/>
        <v>0</v>
      </c>
      <c r="CH133" s="263">
        <f t="shared" si="405"/>
        <v>0</v>
      </c>
      <c r="CI133" s="263">
        <f t="shared" si="406"/>
        <v>0</v>
      </c>
      <c r="CJ133" s="263">
        <f t="shared" si="407"/>
        <v>0</v>
      </c>
      <c r="CK133" s="263">
        <f t="shared" si="408"/>
        <v>0</v>
      </c>
      <c r="CL133" s="263">
        <f t="shared" si="409"/>
        <v>0</v>
      </c>
      <c r="CM133" s="263">
        <f t="shared" si="410"/>
        <v>0</v>
      </c>
      <c r="CN133" s="263">
        <f t="shared" si="411"/>
        <v>0</v>
      </c>
      <c r="CO133" s="263">
        <f t="shared" si="412"/>
        <v>0</v>
      </c>
      <c r="CP133" s="263">
        <f t="shared" si="413"/>
        <v>0</v>
      </c>
      <c r="CQ133" s="263">
        <f t="shared" si="414"/>
        <v>0</v>
      </c>
      <c r="CR133" s="263">
        <f t="shared" si="415"/>
        <v>0</v>
      </c>
      <c r="CS133" s="263">
        <f t="shared" si="416"/>
        <v>0</v>
      </c>
      <c r="CT133" s="263">
        <f t="shared" si="417"/>
        <v>0</v>
      </c>
      <c r="CU133" s="263">
        <f t="shared" si="418"/>
        <v>0</v>
      </c>
      <c r="CV133" s="263">
        <f t="shared" si="419"/>
        <v>0</v>
      </c>
      <c r="CW133" s="263">
        <f t="shared" si="420"/>
        <v>0</v>
      </c>
      <c r="CX133" s="263">
        <f t="shared" si="421"/>
        <v>0</v>
      </c>
      <c r="CY133" s="263">
        <f t="shared" si="422"/>
        <v>0</v>
      </c>
      <c r="CZ133" s="263">
        <f t="shared" si="423"/>
        <v>0</v>
      </c>
      <c r="DA133" s="263">
        <f t="shared" si="424"/>
        <v>1</v>
      </c>
      <c r="DB133" s="263">
        <f t="shared" si="425"/>
        <v>0</v>
      </c>
      <c r="DC133" s="263">
        <f t="shared" si="426"/>
        <v>0</v>
      </c>
      <c r="DD133" s="263">
        <f t="shared" si="427"/>
        <v>0</v>
      </c>
      <c r="DE133" s="263">
        <f t="shared" si="428"/>
        <v>0</v>
      </c>
      <c r="DF133" s="263">
        <f t="shared" si="429"/>
        <v>0</v>
      </c>
      <c r="DG133" s="263">
        <f t="shared" si="430"/>
        <v>0</v>
      </c>
      <c r="DH133" s="263">
        <f t="shared" si="431"/>
        <v>0</v>
      </c>
      <c r="DI133" s="263">
        <f t="shared" si="432"/>
        <v>1436250</v>
      </c>
      <c r="DJ133" s="263">
        <f t="shared" si="433"/>
        <v>0</v>
      </c>
      <c r="DK133" s="263">
        <f t="shared" si="434"/>
        <v>0</v>
      </c>
      <c r="DL133" s="263">
        <f t="shared" si="435"/>
        <v>0</v>
      </c>
      <c r="DM133" s="263">
        <f t="shared" si="436"/>
        <v>0</v>
      </c>
      <c r="DO133" s="264">
        <f t="shared" si="437"/>
        <v>0</v>
      </c>
      <c r="DP133" s="265">
        <f t="shared" si="438"/>
        <v>0</v>
      </c>
      <c r="DQ133" s="264">
        <f t="shared" si="439"/>
        <v>0</v>
      </c>
      <c r="DR133" s="264">
        <f t="shared" si="440"/>
        <v>0</v>
      </c>
      <c r="DS133" s="265">
        <f t="shared" si="441"/>
        <v>0</v>
      </c>
      <c r="DT133" s="264">
        <f t="shared" si="442"/>
        <v>0</v>
      </c>
      <c r="DU133" s="264">
        <f t="shared" si="443"/>
        <v>0</v>
      </c>
      <c r="DV133" s="265">
        <f t="shared" si="444"/>
        <v>0</v>
      </c>
      <c r="DW133" s="264">
        <f t="shared" si="445"/>
        <v>0</v>
      </c>
      <c r="DX133" s="264">
        <f t="shared" si="446"/>
        <v>0</v>
      </c>
      <c r="DY133" s="265">
        <f t="shared" si="447"/>
        <v>0</v>
      </c>
      <c r="DZ133" s="264">
        <f t="shared" si="448"/>
        <v>0</v>
      </c>
      <c r="EA133" s="264">
        <f t="shared" si="449"/>
        <v>0</v>
      </c>
      <c r="EB133" s="265">
        <f t="shared" si="450"/>
        <v>0</v>
      </c>
      <c r="EC133" s="264">
        <f t="shared" si="451"/>
        <v>0</v>
      </c>
      <c r="ED133" s="264">
        <f t="shared" si="452"/>
        <v>0</v>
      </c>
      <c r="EE133" s="265">
        <f t="shared" si="453"/>
        <v>0</v>
      </c>
      <c r="EF133" s="264">
        <f t="shared" si="454"/>
        <v>0</v>
      </c>
      <c r="EG133" s="264">
        <f t="shared" si="455"/>
        <v>0</v>
      </c>
      <c r="EH133" s="265">
        <f t="shared" si="456"/>
        <v>0</v>
      </c>
      <c r="EI133" s="264">
        <f t="shared" si="457"/>
        <v>0</v>
      </c>
      <c r="EJ133" s="264">
        <f t="shared" si="458"/>
        <v>0</v>
      </c>
      <c r="EK133" s="265">
        <f t="shared" si="459"/>
        <v>0</v>
      </c>
      <c r="EL133" s="264">
        <f t="shared" si="460"/>
        <v>0</v>
      </c>
      <c r="EM133" s="264">
        <f t="shared" si="461"/>
        <v>0</v>
      </c>
      <c r="EN133" s="265">
        <f t="shared" si="462"/>
        <v>0</v>
      </c>
      <c r="EO133" s="264">
        <f t="shared" si="463"/>
        <v>0</v>
      </c>
      <c r="EP133" s="264">
        <f t="shared" si="464"/>
        <v>0</v>
      </c>
      <c r="EQ133" s="265">
        <f t="shared" si="465"/>
        <v>0</v>
      </c>
      <c r="ER133" s="264">
        <f t="shared" si="466"/>
        <v>0</v>
      </c>
      <c r="ES133" s="264">
        <f t="shared" si="467"/>
        <v>0</v>
      </c>
      <c r="ET133" s="265">
        <f t="shared" si="468"/>
        <v>0</v>
      </c>
      <c r="EU133" s="264">
        <f t="shared" si="469"/>
        <v>0</v>
      </c>
      <c r="EV133" s="264">
        <f>IF(AND(BM133="Yes",OR(BN133="No",AND(BN133="Yes",Inputs!$J$8=Inputs!$J$17+75))),EU133,0)</f>
        <v>0</v>
      </c>
      <c r="EW133" s="265">
        <f t="shared" si="470"/>
        <v>0</v>
      </c>
      <c r="EX133" s="264">
        <f t="shared" si="471"/>
        <v>0</v>
      </c>
      <c r="EY133" s="264">
        <f t="shared" si="472"/>
        <v>0</v>
      </c>
      <c r="EZ133" s="265">
        <f t="shared" si="473"/>
        <v>0</v>
      </c>
      <c r="FA133" s="264">
        <f t="shared" si="474"/>
        <v>0</v>
      </c>
      <c r="FB133" s="264">
        <f t="shared" si="475"/>
        <v>0</v>
      </c>
      <c r="FC133" s="265">
        <f t="shared" si="476"/>
        <v>0</v>
      </c>
      <c r="FD133" s="264">
        <f t="shared" si="477"/>
        <v>0</v>
      </c>
      <c r="FE133" s="264">
        <f t="shared" si="478"/>
        <v>0</v>
      </c>
      <c r="FF133" s="265">
        <f t="shared" si="479"/>
        <v>0</v>
      </c>
      <c r="FG133" s="264">
        <f t="shared" si="480"/>
        <v>0</v>
      </c>
      <c r="FH133" s="264">
        <f t="shared" si="481"/>
        <v>0</v>
      </c>
      <c r="FI133" s="264">
        <f t="shared" si="482"/>
        <v>0</v>
      </c>
      <c r="FJ133" s="264">
        <f t="shared" si="483"/>
        <v>0</v>
      </c>
      <c r="FK133" s="264">
        <f t="shared" si="484"/>
        <v>0</v>
      </c>
      <c r="FL133" s="264">
        <f t="shared" si="485"/>
        <v>0</v>
      </c>
      <c r="FM133" s="264">
        <f t="shared" si="486"/>
        <v>0</v>
      </c>
      <c r="FN133" s="264">
        <f t="shared" si="487"/>
        <v>0</v>
      </c>
      <c r="FO133" s="264">
        <f t="shared" si="488"/>
        <v>0</v>
      </c>
      <c r="FP133" s="264">
        <f t="shared" si="489"/>
        <v>0</v>
      </c>
      <c r="FQ133" s="264">
        <f t="shared" si="490"/>
        <v>0</v>
      </c>
      <c r="FR133" s="265">
        <f t="shared" si="491"/>
        <v>0</v>
      </c>
      <c r="FS133" s="264">
        <f t="shared" si="492"/>
        <v>0</v>
      </c>
      <c r="FT133" s="264">
        <f t="shared" si="493"/>
        <v>0</v>
      </c>
      <c r="FU133" s="265">
        <f t="shared" si="494"/>
        <v>0</v>
      </c>
      <c r="FV133" s="264">
        <f t="shared" si="495"/>
        <v>0</v>
      </c>
      <c r="FW133" s="264">
        <f t="shared" si="496"/>
        <v>0</v>
      </c>
      <c r="FX133" s="264">
        <f t="shared" si="497"/>
        <v>0</v>
      </c>
      <c r="FY133" s="264">
        <f t="shared" si="498"/>
        <v>0</v>
      </c>
      <c r="FZ133" s="264">
        <f t="shared" si="499"/>
        <v>0</v>
      </c>
      <c r="GA133" s="265">
        <f t="shared" si="500"/>
        <v>0</v>
      </c>
      <c r="GB133" s="264">
        <f t="shared" si="501"/>
        <v>0</v>
      </c>
      <c r="GC133" s="264">
        <f t="shared" si="502"/>
        <v>0</v>
      </c>
      <c r="GD133" s="266">
        <f t="shared" si="503"/>
        <v>0</v>
      </c>
      <c r="GE133" s="138">
        <f t="shared" si="504"/>
        <v>0</v>
      </c>
      <c r="GF133" s="267">
        <f t="shared" si="505"/>
        <v>42</v>
      </c>
      <c r="GG133" s="264">
        <f t="array" ref="GG133">IF(SUM(IF(IC$9:IC132=IC133,1,0))&gt;0,0,SUMIF($IC$10:$IC$406,IC133,$FJ$10:$FJ$406))</f>
        <v>0</v>
      </c>
      <c r="GH133" s="268">
        <f t="shared" si="506"/>
        <v>0</v>
      </c>
      <c r="GI133" s="137">
        <f t="shared" si="126"/>
        <v>124</v>
      </c>
      <c r="GJ133" s="269">
        <f t="shared" si="507"/>
        <v>0</v>
      </c>
      <c r="GK133" s="269">
        <f t="shared" si="508"/>
        <v>0</v>
      </c>
      <c r="GL133" s="163">
        <f t="shared" si="509"/>
        <v>0</v>
      </c>
      <c r="GM133" s="137">
        <f t="array" ref="GM133">IF(GJ133=0,0,LARGE(IF($GG$10:$GG$406=GJ133,$GF$10:$GF$406,0),COUNTIF($GJ$10:$GJ$406,GJ133)-COUNTIF(GJ$9:GJ132,GJ133)))</f>
        <v>0</v>
      </c>
      <c r="GN133" s="270">
        <f t="shared" si="510"/>
        <v>0</v>
      </c>
      <c r="GP133" s="137">
        <f>IF(C133="","",IF(ISERROR(MATCH(C133,C$10:C132,0)),MAX(GP$10:GP132)+1,INDEX(GP$10:GP132,MATCH(C133,C$10:C132,0))))</f>
        <v>97</v>
      </c>
      <c r="GQ133" s="264">
        <f>IF(COUNTIF($A$10:A133,A133)&lt;=1,SUMIF($A$10:$A$406,A133,$FH$10:$FH$406),0)</f>
        <v>0</v>
      </c>
      <c r="GR133" s="137">
        <f t="shared" si="130"/>
        <v>124</v>
      </c>
      <c r="GS133" s="269">
        <f t="shared" si="554"/>
        <v>0</v>
      </c>
      <c r="GT133" s="269">
        <f t="shared" si="555"/>
        <v>0</v>
      </c>
      <c r="GU133" s="163">
        <f t="shared" si="556"/>
        <v>0</v>
      </c>
      <c r="GV133" s="137">
        <f t="array" ref="GV133">IF(GS133=0,0,LARGE(IF($GQ$10:$GQ$406=GS133,$GP$10:$GP$406,0),COUNTIF($GS$10:$GS$406,GS133)-COUNTIF(GS$9:GS132,GS133)))</f>
        <v>0</v>
      </c>
      <c r="GW133" s="270">
        <f t="shared" si="557"/>
        <v>0</v>
      </c>
      <c r="GY133" s="137">
        <f>IF(C133="","",IF(ISERROR(MATCH(C133,C$10:C132,0)),MAX(GP$10:GP132)+1,INDEX(GP$10:GP132,MATCH(C133,C$10:C132,0))))</f>
        <v>97</v>
      </c>
      <c r="GZ133" s="264">
        <f>IF(COUNTIF($A$10:A133,A133)&lt;=1,SUMIF($A$10:$A$406,A133,$FH$10:$FH$406),0)</f>
        <v>0</v>
      </c>
      <c r="HA133" s="137">
        <f t="shared" si="134"/>
        <v>124</v>
      </c>
      <c r="HB133" s="269">
        <f t="shared" si="515"/>
        <v>0</v>
      </c>
      <c r="HC133" s="414" t="s">
        <v>622</v>
      </c>
      <c r="HD133" s="163">
        <f t="shared" si="516"/>
        <v>0</v>
      </c>
      <c r="HE133" s="137">
        <f t="array" ref="HE133">IF(HB133=0,0,LARGE(IF($GZ$10:$GZ$406=HB133,$GY$10:$GY$406,0),COUNTIF($HB$10:$HB$406,HB133)-COUNTIF(HB$9:HB132,HB133)))</f>
        <v>0</v>
      </c>
      <c r="HF133" s="270">
        <f t="shared" si="517"/>
        <v>0</v>
      </c>
      <c r="HH133" s="268">
        <f t="shared" si="518"/>
        <v>0</v>
      </c>
      <c r="HI133" s="271">
        <v>0</v>
      </c>
      <c r="HJ133" s="264">
        <f t="shared" si="519"/>
        <v>0</v>
      </c>
      <c r="HL133" s="137" t="str">
        <f t="shared" si="520"/>
        <v/>
      </c>
      <c r="HM133" s="264">
        <f t="shared" si="521"/>
        <v>0</v>
      </c>
      <c r="HO133" s="199">
        <f t="shared" si="522"/>
        <v>0</v>
      </c>
      <c r="HP133" s="199">
        <f t="shared" si="523"/>
        <v>1436250</v>
      </c>
      <c r="HQ133" s="199" t="str">
        <f t="shared" si="524"/>
        <v/>
      </c>
      <c r="HR133" s="199" t="str">
        <f t="shared" si="525"/>
        <v/>
      </c>
      <c r="HS133" s="199" t="str">
        <f t="shared" si="539"/>
        <v/>
      </c>
      <c r="HT133" s="199">
        <f t="shared" si="526"/>
        <v>0</v>
      </c>
      <c r="HU133" s="199" t="str">
        <f t="shared" si="527"/>
        <v/>
      </c>
      <c r="HV133" s="200">
        <f t="shared" si="528"/>
        <v>0</v>
      </c>
      <c r="HW133" s="272">
        <f t="shared" si="540"/>
        <v>1</v>
      </c>
      <c r="HX133" s="200" t="str">
        <f t="shared" si="529"/>
        <v/>
      </c>
      <c r="HY133" s="200">
        <f t="shared" si="530"/>
        <v>0</v>
      </c>
      <c r="HZ133" s="200" t="str">
        <f t="shared" si="535"/>
        <v/>
      </c>
      <c r="IA133" s="200" t="str">
        <f t="shared" si="531"/>
        <v/>
      </c>
      <c r="IB133" s="200" t="str">
        <f t="shared" si="532"/>
        <v/>
      </c>
      <c r="IC133" s="273">
        <f>IF(C133="","",INDEX(Lookups!$E$2:$E$69,MATCH('Loan List'!BE133,Lookups!$F$2:$F$69,0)))</f>
        <v>42</v>
      </c>
      <c r="ID133" t="b">
        <f t="shared" si="533"/>
        <v>1</v>
      </c>
    </row>
    <row r="134" spans="1:238">
      <c r="A134" t="s">
        <v>252</v>
      </c>
      <c r="B134" s="242">
        <f t="shared" si="541"/>
        <v>125</v>
      </c>
      <c r="C134" s="242">
        <f>IF(COUNTIF($A$10:A133,A134)&gt;0,C133,C133+1)</f>
        <v>97</v>
      </c>
      <c r="D134" s="431" t="s">
        <v>785</v>
      </c>
      <c r="E134" s="428" t="s">
        <v>478</v>
      </c>
      <c r="F134" s="429"/>
      <c r="G134" s="430">
        <v>2393750</v>
      </c>
      <c r="H134" s="430">
        <v>2393750</v>
      </c>
      <c r="I134" s="244">
        <f>IF(B134="","",VLOOKUP(BF134,Inputs!$A$12:$J$15,10,FALSE))</f>
        <v>1</v>
      </c>
      <c r="J134" s="245">
        <f t="shared" si="542"/>
        <v>2393750</v>
      </c>
      <c r="K134" s="245">
        <f t="shared" si="543"/>
        <v>2393750</v>
      </c>
      <c r="L134" s="245">
        <f t="shared" si="544"/>
        <v>2393750</v>
      </c>
      <c r="M134" s="245">
        <f t="shared" si="545"/>
        <v>2393750</v>
      </c>
      <c r="N134" s="432" t="s">
        <v>246</v>
      </c>
      <c r="O134" s="432" t="s">
        <v>245</v>
      </c>
      <c r="P134" s="433">
        <f>IF(B134="","",IF(OR(O134="N/A",O134=""),0,YEARFRAC('Borrowing Base'!$J$4,'Loan List'!O134)*12))</f>
        <v>0</v>
      </c>
      <c r="Q134" s="432" t="s">
        <v>246</v>
      </c>
      <c r="R134" s="434">
        <v>0.98</v>
      </c>
      <c r="S134" s="435" t="str">
        <f t="shared" si="546"/>
        <v>No</v>
      </c>
      <c r="T134" s="434">
        <v>0.995</v>
      </c>
      <c r="U134" s="436">
        <f t="shared" si="547"/>
        <v>0.5</v>
      </c>
      <c r="V134" s="436">
        <f t="shared" si="548"/>
        <v>0.72499999999999998</v>
      </c>
      <c r="W134" s="251">
        <f t="shared" si="385"/>
        <v>0</v>
      </c>
      <c r="X134" s="432" t="s">
        <v>246</v>
      </c>
      <c r="Y134" s="437" t="s">
        <v>483</v>
      </c>
      <c r="Z134" s="437" t="s">
        <v>484</v>
      </c>
      <c r="AA134" s="438" t="s">
        <v>407</v>
      </c>
      <c r="AB134" s="438" t="s">
        <v>713</v>
      </c>
      <c r="AC134" s="439">
        <v>2.8601078745644597</v>
      </c>
      <c r="AD134" s="439">
        <v>2.0314651507868509</v>
      </c>
      <c r="AE134" s="439">
        <v>2.5328886384637923</v>
      </c>
      <c r="AF134" s="439">
        <v>0.28070000000000001</v>
      </c>
      <c r="AG134" s="440">
        <v>2.8918729641264838</v>
      </c>
      <c r="AH134" s="440">
        <v>6.8282318756848523</v>
      </c>
      <c r="AI134" s="440">
        <v>2.8918729641264838</v>
      </c>
      <c r="AJ134" s="440">
        <v>6.8282318756848523</v>
      </c>
      <c r="AK134" s="441">
        <v>14047717</v>
      </c>
      <c r="AL134" s="441">
        <v>14047717</v>
      </c>
      <c r="AM134" s="258">
        <v>45838</v>
      </c>
      <c r="AN134" s="442" t="str">
        <f t="shared" si="549"/>
        <v>Tier 2</v>
      </c>
      <c r="AO134" s="443">
        <v>46051</v>
      </c>
      <c r="AP134" s="444">
        <f>IF(C134="","",DAYS360(Inputs!$J$8,AO134)/360)</f>
        <v>0.43055555555555558</v>
      </c>
      <c r="AQ134" s="444">
        <f t="shared" si="550"/>
        <v>0.43055555555555558</v>
      </c>
      <c r="AR134" s="432" t="s">
        <v>246</v>
      </c>
      <c r="AS134" s="445">
        <v>0</v>
      </c>
      <c r="AT134" s="432" t="s">
        <v>64</v>
      </c>
      <c r="AU134" s="446">
        <v>0.01</v>
      </c>
      <c r="AV134" s="446">
        <v>6.4000000000000001E-2</v>
      </c>
      <c r="AW134" s="446">
        <v>4.317E-2</v>
      </c>
      <c r="AX134" s="260">
        <f t="shared" si="551"/>
        <v>4.317E-2</v>
      </c>
      <c r="AY134" s="446">
        <v>5.0000000000000001E-3</v>
      </c>
      <c r="AZ134" s="446">
        <v>0</v>
      </c>
      <c r="BA134" s="446">
        <v>0</v>
      </c>
      <c r="BB134" s="447">
        <f t="shared" si="536"/>
        <v>6.4000000000000001E-2</v>
      </c>
      <c r="BC134" s="447" t="str">
        <f t="shared" si="537"/>
        <v/>
      </c>
      <c r="BD134" s="437" t="s">
        <v>247</v>
      </c>
      <c r="BE134" s="448" t="s">
        <v>429</v>
      </c>
      <c r="BF134" s="437" t="s">
        <v>7</v>
      </c>
      <c r="BG134" s="437" t="s">
        <v>460</v>
      </c>
      <c r="BH134" s="432" t="s">
        <v>246</v>
      </c>
      <c r="BI134" s="449" t="str">
        <f t="shared" si="559"/>
        <v>No</v>
      </c>
      <c r="BJ134" s="449" t="str">
        <f t="shared" si="560"/>
        <v>No</v>
      </c>
      <c r="BK134" s="432" t="s">
        <v>246</v>
      </c>
      <c r="BL134" s="432" t="s">
        <v>246</v>
      </c>
      <c r="BM134" s="246" t="s">
        <v>64</v>
      </c>
      <c r="BN134" s="246" t="s">
        <v>64</v>
      </c>
      <c r="BO134" s="432" t="s">
        <v>246</v>
      </c>
      <c r="BP134" s="432" t="s">
        <v>246</v>
      </c>
      <c r="BQ134" s="432" t="s">
        <v>246</v>
      </c>
      <c r="BR134" s="432" t="s">
        <v>246</v>
      </c>
      <c r="BS134" s="432" t="s">
        <v>246</v>
      </c>
      <c r="BT134" s="432" t="s">
        <v>246</v>
      </c>
      <c r="BU134" s="432" t="s">
        <v>246</v>
      </c>
      <c r="BV134" s="432" t="s">
        <v>246</v>
      </c>
      <c r="BW134" s="432" t="s">
        <v>246</v>
      </c>
      <c r="BX134" s="432" t="s">
        <v>246</v>
      </c>
      <c r="BY134" s="432" t="s">
        <v>246</v>
      </c>
      <c r="BZ134" s="432" t="s">
        <v>246</v>
      </c>
      <c r="CA134" s="432" t="s">
        <v>246</v>
      </c>
      <c r="CB134" s="432" t="s">
        <v>64</v>
      </c>
      <c r="CC134" s="450">
        <f t="shared" si="552"/>
        <v>153074.56749999998</v>
      </c>
      <c r="CD134" s="450">
        <f t="shared" si="553"/>
        <v>0</v>
      </c>
      <c r="CF134" s="263">
        <f t="shared" si="403"/>
        <v>0</v>
      </c>
      <c r="CG134" s="263">
        <f t="shared" si="404"/>
        <v>0</v>
      </c>
      <c r="CH134" s="263">
        <f t="shared" si="405"/>
        <v>0</v>
      </c>
      <c r="CI134" s="263">
        <f t="shared" si="406"/>
        <v>0</v>
      </c>
      <c r="CJ134" s="263">
        <f t="shared" si="407"/>
        <v>0</v>
      </c>
      <c r="CK134" s="263">
        <f t="shared" si="408"/>
        <v>0</v>
      </c>
      <c r="CL134" s="263">
        <f t="shared" si="409"/>
        <v>0</v>
      </c>
      <c r="CM134" s="263">
        <f t="shared" si="410"/>
        <v>0</v>
      </c>
      <c r="CN134" s="263">
        <f t="shared" si="411"/>
        <v>0</v>
      </c>
      <c r="CO134" s="263">
        <f t="shared" si="412"/>
        <v>0</v>
      </c>
      <c r="CP134" s="263">
        <f t="shared" si="413"/>
        <v>0</v>
      </c>
      <c r="CQ134" s="263">
        <f t="shared" si="414"/>
        <v>0</v>
      </c>
      <c r="CR134" s="263">
        <f t="shared" si="415"/>
        <v>0</v>
      </c>
      <c r="CS134" s="263">
        <f t="shared" si="416"/>
        <v>0</v>
      </c>
      <c r="CT134" s="263">
        <f t="shared" si="417"/>
        <v>0</v>
      </c>
      <c r="CU134" s="263">
        <f t="shared" si="418"/>
        <v>0</v>
      </c>
      <c r="CV134" s="263">
        <f t="shared" si="419"/>
        <v>0</v>
      </c>
      <c r="CW134" s="263">
        <f t="shared" si="420"/>
        <v>0</v>
      </c>
      <c r="CX134" s="263">
        <f t="shared" si="421"/>
        <v>0</v>
      </c>
      <c r="CY134" s="263">
        <f t="shared" si="422"/>
        <v>0</v>
      </c>
      <c r="CZ134" s="263">
        <f t="shared" si="423"/>
        <v>0</v>
      </c>
      <c r="DA134" s="263">
        <f t="shared" si="424"/>
        <v>1</v>
      </c>
      <c r="DB134" s="263">
        <f t="shared" si="425"/>
        <v>0</v>
      </c>
      <c r="DC134" s="263">
        <f t="shared" si="426"/>
        <v>0</v>
      </c>
      <c r="DD134" s="263">
        <f t="shared" si="427"/>
        <v>0</v>
      </c>
      <c r="DE134" s="263">
        <f t="shared" si="428"/>
        <v>0</v>
      </c>
      <c r="DF134" s="263">
        <f t="shared" si="429"/>
        <v>0</v>
      </c>
      <c r="DG134" s="263">
        <f t="shared" si="430"/>
        <v>0</v>
      </c>
      <c r="DH134" s="263">
        <f t="shared" si="431"/>
        <v>0</v>
      </c>
      <c r="DI134" s="263">
        <f t="shared" si="432"/>
        <v>2393750</v>
      </c>
      <c r="DJ134" s="263">
        <f t="shared" si="433"/>
        <v>0</v>
      </c>
      <c r="DK134" s="263">
        <f t="shared" si="434"/>
        <v>0</v>
      </c>
      <c r="DL134" s="263">
        <f t="shared" si="435"/>
        <v>0</v>
      </c>
      <c r="DM134" s="263">
        <f t="shared" si="436"/>
        <v>0</v>
      </c>
      <c r="DO134" s="264">
        <f t="shared" si="437"/>
        <v>0</v>
      </c>
      <c r="DP134" s="265">
        <f t="shared" si="438"/>
        <v>0</v>
      </c>
      <c r="DQ134" s="264">
        <f t="shared" si="439"/>
        <v>0</v>
      </c>
      <c r="DR134" s="264">
        <f t="shared" si="440"/>
        <v>0</v>
      </c>
      <c r="DS134" s="265">
        <f t="shared" si="441"/>
        <v>0</v>
      </c>
      <c r="DT134" s="264">
        <f t="shared" si="442"/>
        <v>0</v>
      </c>
      <c r="DU134" s="264">
        <f t="shared" si="443"/>
        <v>0</v>
      </c>
      <c r="DV134" s="265">
        <f t="shared" si="444"/>
        <v>0</v>
      </c>
      <c r="DW134" s="264">
        <f t="shared" si="445"/>
        <v>0</v>
      </c>
      <c r="DX134" s="264">
        <f t="shared" si="446"/>
        <v>0</v>
      </c>
      <c r="DY134" s="265">
        <f t="shared" si="447"/>
        <v>0</v>
      </c>
      <c r="DZ134" s="264">
        <f t="shared" si="448"/>
        <v>0</v>
      </c>
      <c r="EA134" s="264">
        <f t="shared" si="449"/>
        <v>0</v>
      </c>
      <c r="EB134" s="265">
        <f t="shared" si="450"/>
        <v>0</v>
      </c>
      <c r="EC134" s="264">
        <f t="shared" si="451"/>
        <v>0</v>
      </c>
      <c r="ED134" s="264">
        <f t="shared" si="452"/>
        <v>0</v>
      </c>
      <c r="EE134" s="265">
        <f t="shared" si="453"/>
        <v>0</v>
      </c>
      <c r="EF134" s="264">
        <f t="shared" si="454"/>
        <v>0</v>
      </c>
      <c r="EG134" s="264">
        <f t="shared" si="455"/>
        <v>0</v>
      </c>
      <c r="EH134" s="265">
        <f t="shared" si="456"/>
        <v>0</v>
      </c>
      <c r="EI134" s="264">
        <f t="shared" si="457"/>
        <v>0</v>
      </c>
      <c r="EJ134" s="264">
        <f t="shared" si="458"/>
        <v>0</v>
      </c>
      <c r="EK134" s="265">
        <f t="shared" si="459"/>
        <v>0</v>
      </c>
      <c r="EL134" s="264">
        <f t="shared" si="460"/>
        <v>0</v>
      </c>
      <c r="EM134" s="264">
        <f t="shared" si="461"/>
        <v>0</v>
      </c>
      <c r="EN134" s="265">
        <f t="shared" si="462"/>
        <v>0</v>
      </c>
      <c r="EO134" s="264">
        <f t="shared" si="463"/>
        <v>0</v>
      </c>
      <c r="EP134" s="264">
        <f t="shared" si="464"/>
        <v>0</v>
      </c>
      <c r="EQ134" s="265">
        <f t="shared" si="465"/>
        <v>0</v>
      </c>
      <c r="ER134" s="264">
        <f t="shared" si="466"/>
        <v>0</v>
      </c>
      <c r="ES134" s="264">
        <f t="shared" si="467"/>
        <v>0</v>
      </c>
      <c r="ET134" s="265">
        <f t="shared" si="468"/>
        <v>0</v>
      </c>
      <c r="EU134" s="264">
        <f t="shared" si="469"/>
        <v>0</v>
      </c>
      <c r="EV134" s="264">
        <f>IF(AND(BM134="Yes",OR(BN134="No",AND(BN134="Yes",Inputs!$J$8=Inputs!$J$17+75))),EU134,0)</f>
        <v>0</v>
      </c>
      <c r="EW134" s="265">
        <f t="shared" si="470"/>
        <v>0</v>
      </c>
      <c r="EX134" s="264">
        <f t="shared" si="471"/>
        <v>0</v>
      </c>
      <c r="EY134" s="264">
        <f t="shared" si="472"/>
        <v>0</v>
      </c>
      <c r="EZ134" s="265">
        <f t="shared" si="473"/>
        <v>0</v>
      </c>
      <c r="FA134" s="264">
        <f t="shared" si="474"/>
        <v>0</v>
      </c>
      <c r="FB134" s="264">
        <f t="shared" si="475"/>
        <v>0</v>
      </c>
      <c r="FC134" s="265">
        <f t="shared" si="476"/>
        <v>0</v>
      </c>
      <c r="FD134" s="264">
        <f t="shared" si="477"/>
        <v>0</v>
      </c>
      <c r="FE134" s="264">
        <f t="shared" si="478"/>
        <v>0</v>
      </c>
      <c r="FF134" s="265">
        <f t="shared" si="479"/>
        <v>0</v>
      </c>
      <c r="FG134" s="264">
        <f t="shared" si="480"/>
        <v>0</v>
      </c>
      <c r="FH134" s="264">
        <f t="shared" si="481"/>
        <v>0</v>
      </c>
      <c r="FI134" s="264">
        <f t="shared" si="482"/>
        <v>0</v>
      </c>
      <c r="FJ134" s="264">
        <f t="shared" si="483"/>
        <v>0</v>
      </c>
      <c r="FK134" s="264">
        <f t="shared" si="484"/>
        <v>0</v>
      </c>
      <c r="FL134" s="264">
        <f t="shared" si="485"/>
        <v>0</v>
      </c>
      <c r="FM134" s="264">
        <f t="shared" si="486"/>
        <v>0</v>
      </c>
      <c r="FN134" s="264">
        <f t="shared" si="487"/>
        <v>0</v>
      </c>
      <c r="FO134" s="264">
        <f t="shared" si="488"/>
        <v>0</v>
      </c>
      <c r="FP134" s="264">
        <f t="shared" si="489"/>
        <v>0</v>
      </c>
      <c r="FQ134" s="264">
        <f t="shared" si="490"/>
        <v>0</v>
      </c>
      <c r="FR134" s="265">
        <f t="shared" si="491"/>
        <v>0</v>
      </c>
      <c r="FS134" s="264">
        <f t="shared" si="492"/>
        <v>0</v>
      </c>
      <c r="FT134" s="264">
        <f t="shared" si="493"/>
        <v>0</v>
      </c>
      <c r="FU134" s="265">
        <f t="shared" si="494"/>
        <v>0</v>
      </c>
      <c r="FV134" s="264">
        <f t="shared" si="495"/>
        <v>0</v>
      </c>
      <c r="FW134" s="264">
        <f t="shared" si="496"/>
        <v>0</v>
      </c>
      <c r="FX134" s="264">
        <f t="shared" si="497"/>
        <v>0</v>
      </c>
      <c r="FY134" s="264">
        <f t="shared" si="498"/>
        <v>0</v>
      </c>
      <c r="FZ134" s="264">
        <f t="shared" si="499"/>
        <v>0</v>
      </c>
      <c r="GA134" s="265">
        <f t="shared" si="500"/>
        <v>0</v>
      </c>
      <c r="GB134" s="264">
        <f t="shared" si="501"/>
        <v>0</v>
      </c>
      <c r="GC134" s="264">
        <f t="shared" si="502"/>
        <v>0</v>
      </c>
      <c r="GD134" s="266">
        <f t="shared" si="503"/>
        <v>0</v>
      </c>
      <c r="GE134" s="138">
        <f t="shared" si="504"/>
        <v>0</v>
      </c>
      <c r="GF134" s="267">
        <f t="shared" si="505"/>
        <v>42</v>
      </c>
      <c r="GG134" s="264">
        <f t="array" ref="GG134">IF(SUM(IF(IC$9:IC133=IC134,1,0))&gt;0,0,SUMIF($IC$10:$IC$406,IC134,$FJ$10:$FJ$406))</f>
        <v>0</v>
      </c>
      <c r="GH134" s="268">
        <f t="shared" si="506"/>
        <v>0</v>
      </c>
      <c r="GI134" s="137">
        <f t="shared" si="126"/>
        <v>125</v>
      </c>
      <c r="GJ134" s="269">
        <f t="shared" si="507"/>
        <v>0</v>
      </c>
      <c r="GK134" s="269">
        <f t="shared" si="508"/>
        <v>0</v>
      </c>
      <c r="GL134" s="163">
        <f t="shared" si="509"/>
        <v>0</v>
      </c>
      <c r="GM134" s="137">
        <f t="array" ref="GM134">IF(GJ134=0,0,LARGE(IF($GG$10:$GG$406=GJ134,$GF$10:$GF$406,0),COUNTIF($GJ$10:$GJ$406,GJ134)-COUNTIF(GJ$9:GJ133,GJ134)))</f>
        <v>0</v>
      </c>
      <c r="GN134" s="270">
        <f t="shared" si="510"/>
        <v>0</v>
      </c>
      <c r="GP134" s="137">
        <f>IF(C134="","",IF(ISERROR(MATCH(C134,C$10:C133,0)),MAX(GP$10:GP133)+1,INDEX(GP$10:GP133,MATCH(C134,C$10:C133,0))))</f>
        <v>97</v>
      </c>
      <c r="GQ134" s="264">
        <f>IF(COUNTIF($A$10:A134,A134)&lt;=1,SUMIF($A$10:$A$406,A134,$FH$10:$FH$406),0)</f>
        <v>0</v>
      </c>
      <c r="GR134" s="137">
        <f t="shared" si="130"/>
        <v>125</v>
      </c>
      <c r="GS134" s="269">
        <f t="shared" si="554"/>
        <v>0</v>
      </c>
      <c r="GT134" s="269">
        <f t="shared" si="555"/>
        <v>0</v>
      </c>
      <c r="GU134" s="163">
        <f t="shared" si="556"/>
        <v>0</v>
      </c>
      <c r="GV134" s="137">
        <f t="array" ref="GV134">IF(GS134=0,0,LARGE(IF($GQ$10:$GQ$406=GS134,$GP$10:$GP$406,0),COUNTIF($GS$10:$GS$406,GS134)-COUNTIF(GS$9:GS133,GS134)))</f>
        <v>0</v>
      </c>
      <c r="GW134" s="270">
        <f t="shared" si="557"/>
        <v>0</v>
      </c>
      <c r="GY134" s="137">
        <f>IF(C134="","",IF(ISERROR(MATCH(C134,C$10:C133,0)),MAX(GP$10:GP133)+1,INDEX(GP$10:GP133,MATCH(C134,C$10:C133,0))))</f>
        <v>97</v>
      </c>
      <c r="GZ134" s="264">
        <f>IF(COUNTIF($A$10:A134,A134)&lt;=1,SUMIF($A$10:$A$406,A134,$FH$10:$FH$406),0)</f>
        <v>0</v>
      </c>
      <c r="HA134" s="137">
        <f t="shared" si="134"/>
        <v>125</v>
      </c>
      <c r="HB134" s="269">
        <f t="shared" si="515"/>
        <v>0</v>
      </c>
      <c r="HC134" s="414" t="s">
        <v>622</v>
      </c>
      <c r="HD134" s="163">
        <f t="shared" si="516"/>
        <v>0</v>
      </c>
      <c r="HE134" s="137">
        <f t="array" ref="HE134">IF(HB134=0,0,LARGE(IF($GZ$10:$GZ$406=HB134,$GY$10:$GY$406,0),COUNTIF($HB$10:$HB$406,HB134)-COUNTIF(HB$9:HB133,HB134)))</f>
        <v>0</v>
      </c>
      <c r="HF134" s="270">
        <f t="shared" si="517"/>
        <v>0</v>
      </c>
      <c r="HH134" s="268">
        <f t="shared" si="518"/>
        <v>0</v>
      </c>
      <c r="HI134" s="271">
        <v>0</v>
      </c>
      <c r="HJ134" s="264">
        <f t="shared" si="519"/>
        <v>0</v>
      </c>
      <c r="HL134" s="137" t="str">
        <f t="shared" si="520"/>
        <v/>
      </c>
      <c r="HM134" s="264">
        <f t="shared" si="521"/>
        <v>0</v>
      </c>
      <c r="HO134" s="199">
        <f t="shared" si="522"/>
        <v>0</v>
      </c>
      <c r="HP134" s="199">
        <f t="shared" si="523"/>
        <v>2393750</v>
      </c>
      <c r="HQ134" s="199" t="str">
        <f t="shared" si="524"/>
        <v/>
      </c>
      <c r="HR134" s="199" t="str">
        <f t="shared" si="525"/>
        <v/>
      </c>
      <c r="HS134" s="199" t="str">
        <f t="shared" si="539"/>
        <v/>
      </c>
      <c r="HT134" s="199">
        <f t="shared" si="526"/>
        <v>0</v>
      </c>
      <c r="HU134" s="199" t="str">
        <f t="shared" si="527"/>
        <v/>
      </c>
      <c r="HV134" s="200">
        <f t="shared" si="528"/>
        <v>0</v>
      </c>
      <c r="HW134" s="272">
        <f t="shared" si="540"/>
        <v>1</v>
      </c>
      <c r="HX134" s="200" t="str">
        <f t="shared" si="529"/>
        <v/>
      </c>
      <c r="HY134" s="200">
        <f t="shared" si="530"/>
        <v>0</v>
      </c>
      <c r="HZ134" s="200" t="str">
        <f t="shared" si="535"/>
        <v/>
      </c>
      <c r="IA134" s="200" t="str">
        <f t="shared" si="531"/>
        <v/>
      </c>
      <c r="IB134" s="200" t="str">
        <f t="shared" si="532"/>
        <v/>
      </c>
      <c r="IC134" s="273">
        <f>IF(C134="","",INDEX(Lookups!$E$2:$E$69,MATCH('Loan List'!BE134,Lookups!$F$2:$F$69,0)))</f>
        <v>42</v>
      </c>
      <c r="ID134" t="b">
        <f t="shared" si="533"/>
        <v>1</v>
      </c>
    </row>
    <row r="135" spans="1:238">
      <c r="A135" t="s">
        <v>858</v>
      </c>
      <c r="B135" s="242">
        <f t="shared" si="541"/>
        <v>126</v>
      </c>
      <c r="C135" s="242">
        <f>IF(COUNTIF($A$10:A134,A135)&gt;0,C134,C134+1)</f>
        <v>98</v>
      </c>
      <c r="D135" s="428" t="s">
        <v>661</v>
      </c>
      <c r="E135" s="428" t="s">
        <v>655</v>
      </c>
      <c r="F135" s="429"/>
      <c r="G135" s="430">
        <v>7654052.4199999999</v>
      </c>
      <c r="H135" s="430">
        <v>7654052.4199999999</v>
      </c>
      <c r="I135" s="244">
        <f>IF(B135="","",VLOOKUP(BF135,Inputs!$A$12:$J$15,10,FALSE))</f>
        <v>1</v>
      </c>
      <c r="J135" s="245">
        <f t="shared" si="542"/>
        <v>7654052.4199999999</v>
      </c>
      <c r="K135" s="245">
        <f t="shared" si="543"/>
        <v>7654052.4199999999</v>
      </c>
      <c r="L135" s="245">
        <f t="shared" si="544"/>
        <v>7654052.4199999999</v>
      </c>
      <c r="M135" s="245">
        <f t="shared" si="545"/>
        <v>7654052.4199999999</v>
      </c>
      <c r="N135" s="432" t="s">
        <v>246</v>
      </c>
      <c r="O135" s="432" t="s">
        <v>245</v>
      </c>
      <c r="P135" s="433">
        <f>IF(B135="","",IF(OR(O135="N/A",O135=""),0,YEARFRAC('Borrowing Base'!$J$4,'Loan List'!O135)*12))</f>
        <v>0</v>
      </c>
      <c r="Q135" s="432" t="s">
        <v>246</v>
      </c>
      <c r="R135" s="434">
        <v>0.97815850871099375</v>
      </c>
      <c r="S135" s="435" t="str">
        <f t="shared" si="546"/>
        <v>No</v>
      </c>
      <c r="T135" s="434">
        <v>0.84499999935981629</v>
      </c>
      <c r="U135" s="436">
        <f t="shared" si="547"/>
        <v>0.5</v>
      </c>
      <c r="V135" s="436">
        <f t="shared" si="548"/>
        <v>0.72499999999999998</v>
      </c>
      <c r="W135" s="251">
        <f t="shared" si="385"/>
        <v>7654052.4199999999</v>
      </c>
      <c r="X135" s="432" t="s">
        <v>246</v>
      </c>
      <c r="Y135" s="437" t="s">
        <v>483</v>
      </c>
      <c r="Z135" s="437" t="s">
        <v>484</v>
      </c>
      <c r="AA135" s="438" t="s">
        <v>371</v>
      </c>
      <c r="AB135" s="438" t="s">
        <v>716</v>
      </c>
      <c r="AC135" s="439">
        <v>1.66</v>
      </c>
      <c r="AD135" s="439">
        <v>1.66</v>
      </c>
      <c r="AE135" s="439">
        <v>1.66</v>
      </c>
      <c r="AF135" s="439">
        <v>0.80520000000000003</v>
      </c>
      <c r="AG135" s="440">
        <v>3.3596059113300494</v>
      </c>
      <c r="AH135" s="440">
        <v>4.5911330049261085</v>
      </c>
      <c r="AI135" s="440">
        <v>4.2925785901749283</v>
      </c>
      <c r="AJ135" s="440">
        <v>4.2925785901749283</v>
      </c>
      <c r="AK135" s="441">
        <v>203000000</v>
      </c>
      <c r="AL135" s="441">
        <v>172986000</v>
      </c>
      <c r="AM135" s="258">
        <v>45838</v>
      </c>
      <c r="AN135" s="442" t="str">
        <f t="shared" si="549"/>
        <v>Tier 1</v>
      </c>
      <c r="AO135" s="443">
        <v>47042</v>
      </c>
      <c r="AP135" s="444">
        <f>IF(C135="","",DAYS360(Inputs!$J$8,AO135)/360)</f>
        <v>3.1444444444444444</v>
      </c>
      <c r="AQ135" s="444">
        <f t="shared" si="550"/>
        <v>3.1444444444444444</v>
      </c>
      <c r="AR135" s="432" t="s">
        <v>246</v>
      </c>
      <c r="AS135" s="445">
        <v>0</v>
      </c>
      <c r="AT135" s="432" t="s">
        <v>64</v>
      </c>
      <c r="AU135" s="446">
        <v>0.01</v>
      </c>
      <c r="AV135" s="446">
        <v>5.7599999999999998E-2</v>
      </c>
      <c r="AW135" s="446">
        <v>4.3260000000000007E-2</v>
      </c>
      <c r="AX135" s="260">
        <f t="shared" si="551"/>
        <v>4.3260000000000007E-2</v>
      </c>
      <c r="AY135" s="446">
        <v>0</v>
      </c>
      <c r="AZ135" s="446">
        <v>0</v>
      </c>
      <c r="BA135" s="446">
        <v>0</v>
      </c>
      <c r="BB135" s="447">
        <f t="shared" si="536"/>
        <v>5.7599999999999998E-2</v>
      </c>
      <c r="BC135" s="447" t="str">
        <f t="shared" si="537"/>
        <v/>
      </c>
      <c r="BD135" s="437" t="s">
        <v>249</v>
      </c>
      <c r="BE135" s="448" t="s">
        <v>378</v>
      </c>
      <c r="BF135" s="437" t="s">
        <v>7</v>
      </c>
      <c r="BG135" s="437" t="s">
        <v>460</v>
      </c>
      <c r="BH135" s="432" t="s">
        <v>246</v>
      </c>
      <c r="BI135" s="449" t="str">
        <f t="shared" si="559"/>
        <v>No</v>
      </c>
      <c r="BJ135" s="449" t="str">
        <f t="shared" si="560"/>
        <v>No</v>
      </c>
      <c r="BK135" s="432" t="s">
        <v>246</v>
      </c>
      <c r="BL135" s="432" t="s">
        <v>246</v>
      </c>
      <c r="BM135" s="432" t="s">
        <v>246</v>
      </c>
      <c r="BN135" s="432" t="s">
        <v>246</v>
      </c>
      <c r="BO135" s="432" t="s">
        <v>246</v>
      </c>
      <c r="BP135" s="432" t="s">
        <v>246</v>
      </c>
      <c r="BQ135" s="432" t="s">
        <v>246</v>
      </c>
      <c r="BR135" s="432" t="s">
        <v>246</v>
      </c>
      <c r="BS135" s="432" t="s">
        <v>246</v>
      </c>
      <c r="BT135" s="432" t="s">
        <v>246</v>
      </c>
      <c r="BU135" s="432" t="s">
        <v>246</v>
      </c>
      <c r="BV135" s="432" t="s">
        <v>64</v>
      </c>
      <c r="BW135" s="432" t="s">
        <v>64</v>
      </c>
      <c r="BX135" s="432" t="s">
        <v>246</v>
      </c>
      <c r="BY135" s="432" t="s">
        <v>246</v>
      </c>
      <c r="BZ135" s="432" t="s">
        <v>246</v>
      </c>
      <c r="CA135" s="432" t="s">
        <v>246</v>
      </c>
      <c r="CB135" s="432" t="s">
        <v>64</v>
      </c>
      <c r="CC135" s="450">
        <f t="shared" si="552"/>
        <v>441161.21176299202</v>
      </c>
      <c r="CD135" s="450">
        <f t="shared" si="553"/>
        <v>0</v>
      </c>
      <c r="CF135" s="263">
        <f t="shared" si="403"/>
        <v>0</v>
      </c>
      <c r="CG135" s="263">
        <f t="shared" si="404"/>
        <v>0</v>
      </c>
      <c r="CH135" s="263">
        <f t="shared" si="405"/>
        <v>0</v>
      </c>
      <c r="CI135" s="263">
        <f t="shared" si="406"/>
        <v>0</v>
      </c>
      <c r="CJ135" s="263">
        <f t="shared" si="407"/>
        <v>0</v>
      </c>
      <c r="CK135" s="263">
        <f t="shared" si="408"/>
        <v>0</v>
      </c>
      <c r="CL135" s="263">
        <f t="shared" si="409"/>
        <v>0</v>
      </c>
      <c r="CM135" s="263">
        <f t="shared" si="410"/>
        <v>0</v>
      </c>
      <c r="CN135" s="263">
        <f t="shared" si="411"/>
        <v>0</v>
      </c>
      <c r="CO135" s="263">
        <f t="shared" si="412"/>
        <v>0</v>
      </c>
      <c r="CP135" s="263">
        <f t="shared" si="413"/>
        <v>0</v>
      </c>
      <c r="CQ135" s="263">
        <f t="shared" si="414"/>
        <v>0</v>
      </c>
      <c r="CR135" s="263">
        <f t="shared" si="415"/>
        <v>0</v>
      </c>
      <c r="CS135" s="263">
        <f t="shared" si="416"/>
        <v>0</v>
      </c>
      <c r="CT135" s="263">
        <f t="shared" si="417"/>
        <v>0</v>
      </c>
      <c r="CU135" s="263">
        <f t="shared" si="418"/>
        <v>0</v>
      </c>
      <c r="CV135" s="263">
        <f t="shared" si="419"/>
        <v>0</v>
      </c>
      <c r="CW135" s="263">
        <f t="shared" si="420"/>
        <v>0</v>
      </c>
      <c r="CX135" s="263">
        <f t="shared" si="421"/>
        <v>0</v>
      </c>
      <c r="CY135" s="263">
        <f t="shared" si="422"/>
        <v>0</v>
      </c>
      <c r="CZ135" s="263">
        <f t="shared" si="423"/>
        <v>0</v>
      </c>
      <c r="DA135" s="263">
        <f t="shared" si="424"/>
        <v>0</v>
      </c>
      <c r="DB135" s="263">
        <f t="shared" si="425"/>
        <v>0</v>
      </c>
      <c r="DC135" s="263">
        <f t="shared" si="426"/>
        <v>0</v>
      </c>
      <c r="DD135" s="263">
        <f t="shared" si="427"/>
        <v>0</v>
      </c>
      <c r="DE135" s="263">
        <f t="shared" si="428"/>
        <v>0</v>
      </c>
      <c r="DF135" s="263">
        <f t="shared" si="429"/>
        <v>7654052.4199999999</v>
      </c>
      <c r="DG135" s="263">
        <f t="shared" si="430"/>
        <v>0</v>
      </c>
      <c r="DH135" s="263">
        <f t="shared" si="431"/>
        <v>7654052.4199999999</v>
      </c>
      <c r="DI135" s="263">
        <f t="shared" si="432"/>
        <v>7654052.4199999999</v>
      </c>
      <c r="DJ135" s="263">
        <f t="shared" si="433"/>
        <v>0</v>
      </c>
      <c r="DK135" s="263">
        <f t="shared" si="434"/>
        <v>0</v>
      </c>
      <c r="DL135" s="263">
        <f t="shared" si="435"/>
        <v>0</v>
      </c>
      <c r="DM135" s="263">
        <f t="shared" si="436"/>
        <v>0</v>
      </c>
      <c r="DO135" s="264">
        <f t="shared" si="437"/>
        <v>0</v>
      </c>
      <c r="DP135" s="265">
        <f t="shared" si="438"/>
        <v>0</v>
      </c>
      <c r="DQ135" s="264">
        <f t="shared" si="439"/>
        <v>7654052.4199999999</v>
      </c>
      <c r="DR135" s="264">
        <f t="shared" si="440"/>
        <v>0</v>
      </c>
      <c r="DS135" s="265">
        <f t="shared" si="441"/>
        <v>0</v>
      </c>
      <c r="DT135" s="264">
        <f t="shared" si="442"/>
        <v>7654052.4199999999</v>
      </c>
      <c r="DU135" s="264">
        <f t="shared" si="443"/>
        <v>0</v>
      </c>
      <c r="DV135" s="265">
        <f t="shared" si="444"/>
        <v>0</v>
      </c>
      <c r="DW135" s="264">
        <f t="shared" si="445"/>
        <v>7654052.4199999999</v>
      </c>
      <c r="DX135" s="264">
        <f t="shared" si="446"/>
        <v>0</v>
      </c>
      <c r="DY135" s="265">
        <f t="shared" si="447"/>
        <v>0</v>
      </c>
      <c r="DZ135" s="264">
        <f t="shared" si="448"/>
        <v>7654052.4199999999</v>
      </c>
      <c r="EA135" s="264">
        <f t="shared" si="449"/>
        <v>0</v>
      </c>
      <c r="EB135" s="265">
        <f t="shared" si="450"/>
        <v>0</v>
      </c>
      <c r="EC135" s="264">
        <f t="shared" si="451"/>
        <v>7654052.4199999999</v>
      </c>
      <c r="ED135" s="264">
        <f t="shared" si="452"/>
        <v>0</v>
      </c>
      <c r="EE135" s="265">
        <f t="shared" si="453"/>
        <v>0</v>
      </c>
      <c r="EF135" s="264">
        <f t="shared" si="454"/>
        <v>7654052.4199999999</v>
      </c>
      <c r="EG135" s="264">
        <f t="shared" si="455"/>
        <v>0</v>
      </c>
      <c r="EH135" s="265">
        <f t="shared" si="456"/>
        <v>0</v>
      </c>
      <c r="EI135" s="264">
        <f t="shared" si="457"/>
        <v>7654052.4199999999</v>
      </c>
      <c r="EJ135" s="264">
        <f t="shared" si="458"/>
        <v>0</v>
      </c>
      <c r="EK135" s="265">
        <f t="shared" si="459"/>
        <v>0</v>
      </c>
      <c r="EL135" s="264">
        <f t="shared" si="460"/>
        <v>7654052.4199999999</v>
      </c>
      <c r="EM135" s="264">
        <f t="shared" si="461"/>
        <v>0</v>
      </c>
      <c r="EN135" s="265">
        <f t="shared" si="462"/>
        <v>0</v>
      </c>
      <c r="EO135" s="264">
        <f t="shared" si="463"/>
        <v>7654052.4199999999</v>
      </c>
      <c r="EP135" s="264">
        <f t="shared" si="464"/>
        <v>0</v>
      </c>
      <c r="EQ135" s="265">
        <f t="shared" si="465"/>
        <v>0</v>
      </c>
      <c r="ER135" s="264">
        <f t="shared" si="466"/>
        <v>7654052.4199999999</v>
      </c>
      <c r="ES135" s="264">
        <f t="shared" si="467"/>
        <v>0</v>
      </c>
      <c r="ET135" s="265">
        <f t="shared" si="468"/>
        <v>0</v>
      </c>
      <c r="EU135" s="264">
        <f t="shared" si="469"/>
        <v>7654052.4199999999</v>
      </c>
      <c r="EV135" s="264">
        <f>IF(AND(BM135="Yes",OR(BN135="No",AND(BN135="Yes",Inputs!$J$8=Inputs!$J$17+75))),EU135,0)</f>
        <v>0</v>
      </c>
      <c r="EW135" s="265">
        <f t="shared" si="470"/>
        <v>0</v>
      </c>
      <c r="EX135" s="264">
        <f t="shared" si="471"/>
        <v>7654052.4199999999</v>
      </c>
      <c r="EY135" s="264">
        <f t="shared" si="472"/>
        <v>7654052.4199999999</v>
      </c>
      <c r="EZ135" s="265">
        <f t="shared" si="473"/>
        <v>0</v>
      </c>
      <c r="FA135" s="264">
        <f t="shared" si="474"/>
        <v>7654052.4199999999</v>
      </c>
      <c r="FB135" s="264">
        <f t="shared" si="475"/>
        <v>0</v>
      </c>
      <c r="FC135" s="265">
        <f t="shared" si="476"/>
        <v>0</v>
      </c>
      <c r="FD135" s="264">
        <f t="shared" si="477"/>
        <v>7654052.4199999999</v>
      </c>
      <c r="FE135" s="264">
        <f t="shared" si="478"/>
        <v>0</v>
      </c>
      <c r="FF135" s="265">
        <f t="shared" si="479"/>
        <v>0</v>
      </c>
      <c r="FG135" s="264">
        <f t="shared" si="480"/>
        <v>7654052.4199999999</v>
      </c>
      <c r="FH135" s="264">
        <f t="shared" si="481"/>
        <v>7654052.4199999999</v>
      </c>
      <c r="FI135" s="264">
        <f t="shared" si="482"/>
        <v>0</v>
      </c>
      <c r="FJ135" s="264">
        <f t="shared" si="483"/>
        <v>7654052.4199999999</v>
      </c>
      <c r="FK135" s="264">
        <f t="shared" si="484"/>
        <v>7654052.4199999999</v>
      </c>
      <c r="FL135" s="264">
        <f t="shared" si="485"/>
        <v>0</v>
      </c>
      <c r="FM135" s="264">
        <f t="shared" si="486"/>
        <v>7654052.4199999999</v>
      </c>
      <c r="FN135" s="264">
        <f t="shared" si="487"/>
        <v>7654052.4199999999</v>
      </c>
      <c r="FO135" s="264">
        <f t="shared" si="488"/>
        <v>0</v>
      </c>
      <c r="FP135" s="264">
        <f t="shared" si="489"/>
        <v>7654052.4199999999</v>
      </c>
      <c r="FQ135" s="264">
        <f t="shared" si="490"/>
        <v>0</v>
      </c>
      <c r="FR135" s="265">
        <f t="shared" si="491"/>
        <v>0</v>
      </c>
      <c r="FS135" s="264">
        <f t="shared" si="492"/>
        <v>7654052.4199999999</v>
      </c>
      <c r="FT135" s="264">
        <f t="shared" si="493"/>
        <v>0</v>
      </c>
      <c r="FU135" s="265">
        <f t="shared" si="494"/>
        <v>0</v>
      </c>
      <c r="FV135" s="264">
        <f t="shared" si="495"/>
        <v>7654052.4199999999</v>
      </c>
      <c r="FW135" s="264">
        <f t="shared" si="496"/>
        <v>0</v>
      </c>
      <c r="FX135" s="264">
        <f t="shared" si="497"/>
        <v>0</v>
      </c>
      <c r="FY135" s="264">
        <f t="shared" si="498"/>
        <v>0</v>
      </c>
      <c r="FZ135" s="264">
        <f t="shared" si="499"/>
        <v>0</v>
      </c>
      <c r="GA135" s="265">
        <f t="shared" si="500"/>
        <v>0</v>
      </c>
      <c r="GB135" s="264">
        <f t="shared" si="501"/>
        <v>7654052.4199999999</v>
      </c>
      <c r="GC135" s="264">
        <f t="shared" si="502"/>
        <v>7654052.4199999999</v>
      </c>
      <c r="GD135" s="266">
        <f t="shared" si="503"/>
        <v>5549188.0044999998</v>
      </c>
      <c r="GE135" s="138">
        <f t="shared" si="504"/>
        <v>0.72499999999999998</v>
      </c>
      <c r="GF135" s="267">
        <f t="shared" si="505"/>
        <v>19</v>
      </c>
      <c r="GG135" s="264">
        <f t="array" ref="GG135">IF(SUM(IF(IC$9:IC134=IC135,1,0))&gt;0,0,SUMIF($IC$10:$IC$406,IC135,$FJ$10:$FJ$406))</f>
        <v>0</v>
      </c>
      <c r="GH135" s="268">
        <f t="shared" si="506"/>
        <v>0</v>
      </c>
      <c r="GI135" s="137">
        <f t="shared" si="126"/>
        <v>126</v>
      </c>
      <c r="GJ135" s="269">
        <f t="shared" si="507"/>
        <v>0</v>
      </c>
      <c r="GK135" s="269">
        <f t="shared" si="508"/>
        <v>0</v>
      </c>
      <c r="GL135" s="163">
        <f t="shared" si="509"/>
        <v>0</v>
      </c>
      <c r="GM135" s="137">
        <f t="array" ref="GM135">IF(GJ135=0,0,LARGE(IF($GG$10:$GG$406=GJ135,$GF$10:$GF$406,0),COUNTIF($GJ$10:$GJ$406,GJ135)-COUNTIF(GJ$9:GJ134,GJ135)))</f>
        <v>0</v>
      </c>
      <c r="GN135" s="270">
        <f t="shared" si="510"/>
        <v>0</v>
      </c>
      <c r="GP135" s="137">
        <f>IF(C135="","",IF(ISERROR(MATCH(C135,C$10:C134,0)),MAX(GP$10:GP134)+1,INDEX(GP$10:GP134,MATCH(C135,C$10:C134,0))))</f>
        <v>98</v>
      </c>
      <c r="GQ135" s="264">
        <f>IF(COUNTIF($A$10:A135,A135)&lt;=1,SUMIF($A$10:$A$406,A135,$FH$10:$FH$406),0)</f>
        <v>11464651.42</v>
      </c>
      <c r="GR135" s="137">
        <f t="shared" si="130"/>
        <v>126</v>
      </c>
      <c r="GS135" s="269">
        <f t="shared" si="554"/>
        <v>0</v>
      </c>
      <c r="GT135" s="269">
        <f t="shared" si="555"/>
        <v>0</v>
      </c>
      <c r="GU135" s="163">
        <f t="shared" si="556"/>
        <v>0</v>
      </c>
      <c r="GV135" s="137">
        <f t="array" ref="GV135">IF(GS135=0,0,LARGE(IF($GQ$10:$GQ$406=GS135,$GP$10:$GP$406,0),COUNTIF($GS$10:$GS$406,GS135)-COUNTIF(GS$9:GS134,GS135)))</f>
        <v>0</v>
      </c>
      <c r="GW135" s="270">
        <f t="shared" si="557"/>
        <v>0</v>
      </c>
      <c r="GY135" s="137">
        <f>IF(C135="","",IF(ISERROR(MATCH(C135,C$10:C134,0)),MAX(GP$10:GP134)+1,INDEX(GP$10:GP134,MATCH(C135,C$10:C134,0))))</f>
        <v>98</v>
      </c>
      <c r="GZ135" s="264">
        <f>IF(COUNTIF($A$10:A135,A135)&lt;=1,SUMIF($A$10:$A$406,A135,$FH$10:$FH$406),0)</f>
        <v>11464651.42</v>
      </c>
      <c r="HA135" s="137">
        <f t="shared" si="134"/>
        <v>126</v>
      </c>
      <c r="HB135" s="269">
        <f t="shared" si="515"/>
        <v>0</v>
      </c>
      <c r="HC135" s="414" t="s">
        <v>622</v>
      </c>
      <c r="HD135" s="163">
        <f t="shared" si="516"/>
        <v>0</v>
      </c>
      <c r="HE135" s="137">
        <f t="array" ref="HE135">IF(HB135=0,0,LARGE(IF($GZ$10:$GZ$406=HB135,$GY$10:$GY$406,0),COUNTIF($HB$10:$HB$406,HB135)-COUNTIF(HB$9:HB134,HB135)))</f>
        <v>0</v>
      </c>
      <c r="HF135" s="270">
        <f t="shared" si="517"/>
        <v>0</v>
      </c>
      <c r="HH135" s="268">
        <f t="shared" si="518"/>
        <v>0</v>
      </c>
      <c r="HI135" s="271">
        <v>0</v>
      </c>
      <c r="HJ135" s="264">
        <f t="shared" si="519"/>
        <v>0</v>
      </c>
      <c r="HL135" s="137" t="str">
        <f t="shared" si="520"/>
        <v/>
      </c>
      <c r="HM135" s="264">
        <f t="shared" si="521"/>
        <v>0</v>
      </c>
      <c r="HO135" s="199">
        <f t="shared" si="522"/>
        <v>7654052.4199999999</v>
      </c>
      <c r="HP135" s="199">
        <f t="shared" si="523"/>
        <v>7654052.4199999999</v>
      </c>
      <c r="HQ135" s="199" t="str">
        <f t="shared" si="524"/>
        <v/>
      </c>
      <c r="HR135" s="199" t="str">
        <f t="shared" si="525"/>
        <v/>
      </c>
      <c r="HS135" s="199" t="str">
        <f t="shared" si="539"/>
        <v/>
      </c>
      <c r="HT135" s="199" t="str">
        <f t="shared" si="526"/>
        <v/>
      </c>
      <c r="HU135" s="199" t="str">
        <f t="shared" si="527"/>
        <v/>
      </c>
      <c r="HV135" s="200">
        <f t="shared" si="528"/>
        <v>0</v>
      </c>
      <c r="HW135" s="272">
        <f t="shared" si="540"/>
        <v>1</v>
      </c>
      <c r="HX135" s="200" t="str">
        <f t="shared" si="529"/>
        <v/>
      </c>
      <c r="HY135" s="200">
        <f t="shared" si="530"/>
        <v>0</v>
      </c>
      <c r="HZ135" s="200" t="str">
        <f t="shared" si="535"/>
        <v/>
      </c>
      <c r="IA135" s="200" t="str">
        <f t="shared" si="531"/>
        <v/>
      </c>
      <c r="IB135" s="200" t="str">
        <f t="shared" si="532"/>
        <v/>
      </c>
      <c r="IC135" s="273">
        <f>IF(C135="","",INDEX(Lookups!$E$2:$E$69,MATCH('Loan List'!BE135,Lookups!$F$2:$F$69,0)))</f>
        <v>19</v>
      </c>
      <c r="ID135" t="b">
        <f t="shared" si="533"/>
        <v>1</v>
      </c>
    </row>
    <row r="136" spans="1:238">
      <c r="A136" t="s">
        <v>858</v>
      </c>
      <c r="B136" s="242">
        <f t="shared" si="541"/>
        <v>127</v>
      </c>
      <c r="C136" s="242">
        <f>IF(COUNTIF($A$10:A135,A136)&gt;0,C135,C135+1)</f>
        <v>98</v>
      </c>
      <c r="D136" s="431" t="s">
        <v>786</v>
      </c>
      <c r="E136" s="428" t="s">
        <v>655</v>
      </c>
      <c r="F136" s="429"/>
      <c r="G136" s="430">
        <v>3281601</v>
      </c>
      <c r="H136" s="430">
        <v>3281601</v>
      </c>
      <c r="I136" s="244">
        <f>IF(B136="","",VLOOKUP(BF136,Inputs!$A$12:$J$15,10,FALSE))</f>
        <v>1</v>
      </c>
      <c r="J136" s="245">
        <f t="shared" si="542"/>
        <v>3281601</v>
      </c>
      <c r="K136" s="245">
        <f t="shared" si="543"/>
        <v>3281601</v>
      </c>
      <c r="L136" s="245">
        <f t="shared" si="544"/>
        <v>3281601</v>
      </c>
      <c r="M136" s="245">
        <f t="shared" si="545"/>
        <v>3281601</v>
      </c>
      <c r="N136" s="432" t="s">
        <v>246</v>
      </c>
      <c r="O136" s="432" t="s">
        <v>245</v>
      </c>
      <c r="P136" s="433">
        <f>IF(B136="","",IF(OR(O136="N/A",O136=""),0,YEARFRAC('Borrowing Base'!$J$4,'Loan List'!O136)*12))</f>
        <v>0</v>
      </c>
      <c r="Q136" s="432" t="s">
        <v>246</v>
      </c>
      <c r="R136" s="434">
        <v>0.97815850871099375</v>
      </c>
      <c r="S136" s="435" t="str">
        <f t="shared" si="546"/>
        <v>No</v>
      </c>
      <c r="T136" s="434">
        <v>0.84499999935981629</v>
      </c>
      <c r="U136" s="436">
        <f t="shared" si="547"/>
        <v>0.5</v>
      </c>
      <c r="V136" s="436">
        <f t="shared" si="548"/>
        <v>0.72499999999999998</v>
      </c>
      <c r="W136" s="251">
        <f t="shared" si="385"/>
        <v>3281601</v>
      </c>
      <c r="X136" s="432" t="s">
        <v>246</v>
      </c>
      <c r="Y136" s="437" t="s">
        <v>483</v>
      </c>
      <c r="Z136" s="437" t="s">
        <v>484</v>
      </c>
      <c r="AA136" s="438" t="s">
        <v>371</v>
      </c>
      <c r="AB136" s="438" t="s">
        <v>716</v>
      </c>
      <c r="AC136" s="439">
        <v>1.66</v>
      </c>
      <c r="AD136" s="439">
        <v>1.66</v>
      </c>
      <c r="AE136" s="439">
        <v>1.66</v>
      </c>
      <c r="AF136" s="439">
        <v>0.80520000000000003</v>
      </c>
      <c r="AG136" s="440">
        <v>4.2925785901749283</v>
      </c>
      <c r="AH136" s="440">
        <v>4.2925785901749283</v>
      </c>
      <c r="AI136" s="440">
        <v>4.2925785901749283</v>
      </c>
      <c r="AJ136" s="440">
        <v>4.2925785901749283</v>
      </c>
      <c r="AK136" s="441">
        <v>172986000</v>
      </c>
      <c r="AL136" s="441">
        <v>172986000</v>
      </c>
      <c r="AM136" s="258">
        <v>45838</v>
      </c>
      <c r="AN136" s="442" t="str">
        <f t="shared" si="549"/>
        <v>Tier 1</v>
      </c>
      <c r="AO136" s="443">
        <v>47042</v>
      </c>
      <c r="AP136" s="444">
        <f>IF(C136="","",DAYS360(Inputs!$J$8,AO136)/360)</f>
        <v>3.1444444444444444</v>
      </c>
      <c r="AQ136" s="444">
        <f t="shared" si="550"/>
        <v>3.1444444444444444</v>
      </c>
      <c r="AR136" s="432" t="s">
        <v>246</v>
      </c>
      <c r="AS136" s="445">
        <v>0</v>
      </c>
      <c r="AT136" s="432" t="s">
        <v>64</v>
      </c>
      <c r="AU136" s="446">
        <v>0.01</v>
      </c>
      <c r="AV136" s="446">
        <v>5.7599999999999998E-2</v>
      </c>
      <c r="AW136" s="446">
        <v>4.3260000000000007E-2</v>
      </c>
      <c r="AX136" s="260">
        <f t="shared" si="551"/>
        <v>4.3260000000000007E-2</v>
      </c>
      <c r="AY136" s="446">
        <v>0</v>
      </c>
      <c r="AZ136" s="446">
        <v>0</v>
      </c>
      <c r="BA136" s="446">
        <v>0</v>
      </c>
      <c r="BB136" s="447">
        <f t="shared" si="536"/>
        <v>5.7599999999999998E-2</v>
      </c>
      <c r="BC136" s="447" t="str">
        <f t="shared" si="537"/>
        <v/>
      </c>
      <c r="BD136" s="437" t="s">
        <v>249</v>
      </c>
      <c r="BE136" s="448" t="s">
        <v>378</v>
      </c>
      <c r="BF136" s="437" t="s">
        <v>7</v>
      </c>
      <c r="BG136" s="437" t="s">
        <v>460</v>
      </c>
      <c r="BH136" s="432" t="s">
        <v>246</v>
      </c>
      <c r="BI136" s="449" t="str">
        <f t="shared" si="559"/>
        <v>No</v>
      </c>
      <c r="BJ136" s="449" t="str">
        <f t="shared" si="560"/>
        <v>No</v>
      </c>
      <c r="BK136" s="432" t="s">
        <v>246</v>
      </c>
      <c r="BL136" s="432" t="s">
        <v>246</v>
      </c>
      <c r="BM136" s="246" t="s">
        <v>64</v>
      </c>
      <c r="BN136" s="246" t="s">
        <v>64</v>
      </c>
      <c r="BO136" s="432" t="s">
        <v>246</v>
      </c>
      <c r="BP136" s="432" t="s">
        <v>246</v>
      </c>
      <c r="BQ136" s="432" t="s">
        <v>246</v>
      </c>
      <c r="BR136" s="432" t="s">
        <v>246</v>
      </c>
      <c r="BS136" s="432" t="s">
        <v>246</v>
      </c>
      <c r="BT136" s="432" t="s">
        <v>246</v>
      </c>
      <c r="BU136" s="432" t="s">
        <v>246</v>
      </c>
      <c r="BV136" s="432" t="s">
        <v>64</v>
      </c>
      <c r="BW136" s="432" t="s">
        <v>64</v>
      </c>
      <c r="BX136" s="432" t="s">
        <v>246</v>
      </c>
      <c r="BY136" s="432" t="s">
        <v>246</v>
      </c>
      <c r="BZ136" s="432" t="s">
        <v>246</v>
      </c>
      <c r="CA136" s="432" t="s">
        <v>246</v>
      </c>
      <c r="CB136" s="432" t="s">
        <v>64</v>
      </c>
      <c r="CC136" s="450">
        <f t="shared" si="552"/>
        <v>189143.6057976</v>
      </c>
      <c r="CD136" s="450">
        <f t="shared" si="553"/>
        <v>0</v>
      </c>
      <c r="CF136" s="263">
        <f t="shared" si="403"/>
        <v>0</v>
      </c>
      <c r="CG136" s="263">
        <f t="shared" si="404"/>
        <v>0</v>
      </c>
      <c r="CH136" s="263">
        <f t="shared" si="405"/>
        <v>0</v>
      </c>
      <c r="CI136" s="263">
        <f t="shared" si="406"/>
        <v>0</v>
      </c>
      <c r="CJ136" s="263">
        <f t="shared" si="407"/>
        <v>0</v>
      </c>
      <c r="CK136" s="263">
        <f t="shared" si="408"/>
        <v>0</v>
      </c>
      <c r="CL136" s="263">
        <f t="shared" si="409"/>
        <v>0</v>
      </c>
      <c r="CM136" s="263">
        <f t="shared" si="410"/>
        <v>0</v>
      </c>
      <c r="CN136" s="263">
        <f t="shared" si="411"/>
        <v>0</v>
      </c>
      <c r="CO136" s="263">
        <f t="shared" si="412"/>
        <v>0</v>
      </c>
      <c r="CP136" s="263">
        <f t="shared" si="413"/>
        <v>0</v>
      </c>
      <c r="CQ136" s="263">
        <f t="shared" si="414"/>
        <v>0</v>
      </c>
      <c r="CR136" s="263">
        <f t="shared" si="415"/>
        <v>0</v>
      </c>
      <c r="CS136" s="263">
        <f t="shared" si="416"/>
        <v>0</v>
      </c>
      <c r="CT136" s="263">
        <f t="shared" si="417"/>
        <v>0</v>
      </c>
      <c r="CU136" s="263">
        <f t="shared" si="418"/>
        <v>0</v>
      </c>
      <c r="CV136" s="263">
        <f t="shared" si="419"/>
        <v>0</v>
      </c>
      <c r="CW136" s="263">
        <f t="shared" si="420"/>
        <v>0</v>
      </c>
      <c r="CX136" s="263">
        <f t="shared" si="421"/>
        <v>0</v>
      </c>
      <c r="CY136" s="263">
        <f t="shared" si="422"/>
        <v>0</v>
      </c>
      <c r="CZ136" s="263">
        <f t="shared" si="423"/>
        <v>0</v>
      </c>
      <c r="DA136" s="263">
        <f t="shared" si="424"/>
        <v>0</v>
      </c>
      <c r="DB136" s="263">
        <f t="shared" si="425"/>
        <v>0</v>
      </c>
      <c r="DC136" s="263">
        <f t="shared" si="426"/>
        <v>0</v>
      </c>
      <c r="DD136" s="263">
        <f t="shared" si="427"/>
        <v>0</v>
      </c>
      <c r="DE136" s="263">
        <f t="shared" si="428"/>
        <v>0</v>
      </c>
      <c r="DF136" s="263">
        <f t="shared" si="429"/>
        <v>3281601</v>
      </c>
      <c r="DG136" s="263">
        <f t="shared" si="430"/>
        <v>0</v>
      </c>
      <c r="DH136" s="263">
        <f t="shared" si="431"/>
        <v>3281601</v>
      </c>
      <c r="DI136" s="263">
        <f t="shared" si="432"/>
        <v>3281601</v>
      </c>
      <c r="DJ136" s="263">
        <f t="shared" si="433"/>
        <v>0</v>
      </c>
      <c r="DK136" s="263">
        <f t="shared" si="434"/>
        <v>0</v>
      </c>
      <c r="DL136" s="263">
        <f t="shared" si="435"/>
        <v>0</v>
      </c>
      <c r="DM136" s="263">
        <f t="shared" si="436"/>
        <v>0</v>
      </c>
      <c r="DO136" s="264">
        <f t="shared" si="437"/>
        <v>0</v>
      </c>
      <c r="DP136" s="265">
        <f t="shared" si="438"/>
        <v>0</v>
      </c>
      <c r="DQ136" s="264">
        <f t="shared" si="439"/>
        <v>3281601</v>
      </c>
      <c r="DR136" s="264">
        <f t="shared" si="440"/>
        <v>0</v>
      </c>
      <c r="DS136" s="265">
        <f t="shared" si="441"/>
        <v>0</v>
      </c>
      <c r="DT136" s="264">
        <f t="shared" si="442"/>
        <v>3281601</v>
      </c>
      <c r="DU136" s="264">
        <f t="shared" si="443"/>
        <v>0</v>
      </c>
      <c r="DV136" s="265">
        <f t="shared" si="444"/>
        <v>0</v>
      </c>
      <c r="DW136" s="264">
        <f t="shared" si="445"/>
        <v>3281601</v>
      </c>
      <c r="DX136" s="264">
        <f t="shared" si="446"/>
        <v>0</v>
      </c>
      <c r="DY136" s="265">
        <f t="shared" si="447"/>
        <v>0</v>
      </c>
      <c r="DZ136" s="264">
        <f t="shared" si="448"/>
        <v>3281601</v>
      </c>
      <c r="EA136" s="264">
        <f t="shared" si="449"/>
        <v>0</v>
      </c>
      <c r="EB136" s="265">
        <f t="shared" si="450"/>
        <v>0</v>
      </c>
      <c r="EC136" s="264">
        <f t="shared" si="451"/>
        <v>3281601</v>
      </c>
      <c r="ED136" s="264">
        <f t="shared" si="452"/>
        <v>0</v>
      </c>
      <c r="EE136" s="265">
        <f t="shared" si="453"/>
        <v>0</v>
      </c>
      <c r="EF136" s="264">
        <f t="shared" si="454"/>
        <v>3281601</v>
      </c>
      <c r="EG136" s="264">
        <f t="shared" si="455"/>
        <v>0</v>
      </c>
      <c r="EH136" s="265">
        <f t="shared" si="456"/>
        <v>0</v>
      </c>
      <c r="EI136" s="264">
        <f t="shared" si="457"/>
        <v>3281601</v>
      </c>
      <c r="EJ136" s="264">
        <f t="shared" si="458"/>
        <v>0</v>
      </c>
      <c r="EK136" s="265">
        <f t="shared" si="459"/>
        <v>0</v>
      </c>
      <c r="EL136" s="264">
        <f t="shared" si="460"/>
        <v>3281601</v>
      </c>
      <c r="EM136" s="264">
        <f t="shared" si="461"/>
        <v>0</v>
      </c>
      <c r="EN136" s="265">
        <f t="shared" si="462"/>
        <v>0</v>
      </c>
      <c r="EO136" s="264">
        <f t="shared" si="463"/>
        <v>3281601</v>
      </c>
      <c r="EP136" s="264">
        <f t="shared" si="464"/>
        <v>0</v>
      </c>
      <c r="EQ136" s="265">
        <f t="shared" si="465"/>
        <v>0</v>
      </c>
      <c r="ER136" s="264">
        <f t="shared" si="466"/>
        <v>3281601</v>
      </c>
      <c r="ES136" s="264">
        <f t="shared" si="467"/>
        <v>0</v>
      </c>
      <c r="ET136" s="265">
        <f t="shared" si="468"/>
        <v>0</v>
      </c>
      <c r="EU136" s="264">
        <f t="shared" si="469"/>
        <v>3281601</v>
      </c>
      <c r="EV136" s="264">
        <f>IF(AND(BM136="Yes",OR(BN136="No",AND(BN136="Yes",Inputs!$J$8=Inputs!$J$17+75))),EU136,0)</f>
        <v>0</v>
      </c>
      <c r="EW136" s="265">
        <f t="shared" si="470"/>
        <v>0</v>
      </c>
      <c r="EX136" s="264">
        <f t="shared" si="471"/>
        <v>3281601</v>
      </c>
      <c r="EY136" s="264">
        <f t="shared" si="472"/>
        <v>3281601</v>
      </c>
      <c r="EZ136" s="265">
        <f t="shared" si="473"/>
        <v>0</v>
      </c>
      <c r="FA136" s="264">
        <f t="shared" si="474"/>
        <v>3281601</v>
      </c>
      <c r="FB136" s="264">
        <f t="shared" si="475"/>
        <v>0</v>
      </c>
      <c r="FC136" s="265">
        <f t="shared" si="476"/>
        <v>0</v>
      </c>
      <c r="FD136" s="264">
        <f t="shared" si="477"/>
        <v>3281601</v>
      </c>
      <c r="FE136" s="264">
        <f t="shared" si="478"/>
        <v>0</v>
      </c>
      <c r="FF136" s="265">
        <f t="shared" si="479"/>
        <v>0</v>
      </c>
      <c r="FG136" s="264">
        <f t="shared" si="480"/>
        <v>3281601</v>
      </c>
      <c r="FH136" s="264">
        <f t="shared" si="481"/>
        <v>3281601</v>
      </c>
      <c r="FI136" s="264">
        <f t="shared" si="482"/>
        <v>0</v>
      </c>
      <c r="FJ136" s="264">
        <f t="shared" si="483"/>
        <v>3281601</v>
      </c>
      <c r="FK136" s="264">
        <f t="shared" si="484"/>
        <v>3281601</v>
      </c>
      <c r="FL136" s="264">
        <f t="shared" si="485"/>
        <v>0</v>
      </c>
      <c r="FM136" s="264">
        <f t="shared" si="486"/>
        <v>3281601</v>
      </c>
      <c r="FN136" s="264">
        <f t="shared" si="487"/>
        <v>3281601</v>
      </c>
      <c r="FO136" s="264">
        <f t="shared" si="488"/>
        <v>0</v>
      </c>
      <c r="FP136" s="264">
        <f t="shared" si="489"/>
        <v>3281601</v>
      </c>
      <c r="FQ136" s="264">
        <f t="shared" si="490"/>
        <v>0</v>
      </c>
      <c r="FR136" s="265">
        <f t="shared" si="491"/>
        <v>0</v>
      </c>
      <c r="FS136" s="264">
        <f t="shared" si="492"/>
        <v>3281601</v>
      </c>
      <c r="FT136" s="264">
        <f t="shared" si="493"/>
        <v>0</v>
      </c>
      <c r="FU136" s="265">
        <f t="shared" si="494"/>
        <v>0</v>
      </c>
      <c r="FV136" s="264">
        <f t="shared" si="495"/>
        <v>3281601</v>
      </c>
      <c r="FW136" s="264">
        <f t="shared" si="496"/>
        <v>0</v>
      </c>
      <c r="FX136" s="264">
        <f t="shared" si="497"/>
        <v>0</v>
      </c>
      <c r="FY136" s="264">
        <f t="shared" si="498"/>
        <v>0</v>
      </c>
      <c r="FZ136" s="264">
        <f t="shared" si="499"/>
        <v>0</v>
      </c>
      <c r="GA136" s="265">
        <f t="shared" si="500"/>
        <v>0</v>
      </c>
      <c r="GB136" s="264">
        <f t="shared" si="501"/>
        <v>3281601</v>
      </c>
      <c r="GC136" s="264">
        <f t="shared" si="502"/>
        <v>3281601</v>
      </c>
      <c r="GD136" s="266">
        <f t="shared" si="503"/>
        <v>2379160.7250000001</v>
      </c>
      <c r="GE136" s="138">
        <f t="shared" si="504"/>
        <v>0.72499999999999998</v>
      </c>
      <c r="GF136" s="267">
        <f t="shared" si="505"/>
        <v>19</v>
      </c>
      <c r="GG136" s="264">
        <f t="array" ref="GG136">IF(SUM(IF(IC$9:IC135=IC136,1,0))&gt;0,0,SUMIF($IC$10:$IC$406,IC136,$FJ$10:$FJ$406))</f>
        <v>0</v>
      </c>
      <c r="GH136" s="268">
        <f t="shared" si="506"/>
        <v>0</v>
      </c>
      <c r="GI136" s="137">
        <f t="shared" si="126"/>
        <v>127</v>
      </c>
      <c r="GJ136" s="269">
        <f t="shared" si="507"/>
        <v>0</v>
      </c>
      <c r="GK136" s="269">
        <f t="shared" si="508"/>
        <v>0</v>
      </c>
      <c r="GL136" s="163">
        <f t="shared" si="509"/>
        <v>0</v>
      </c>
      <c r="GM136" s="137">
        <f t="array" ref="GM136">IF(GJ136=0,0,LARGE(IF($GG$10:$GG$406=GJ136,$GF$10:$GF$406,0),COUNTIF($GJ$10:$GJ$406,GJ136)-COUNTIF(GJ$9:GJ135,GJ136)))</f>
        <v>0</v>
      </c>
      <c r="GN136" s="270">
        <f t="shared" si="510"/>
        <v>0</v>
      </c>
      <c r="GP136" s="137">
        <f>IF(C136="","",IF(ISERROR(MATCH(C136,C$10:C135,0)),MAX(GP$10:GP135)+1,INDEX(GP$10:GP135,MATCH(C136,C$10:C135,0))))</f>
        <v>98</v>
      </c>
      <c r="GQ136" s="264">
        <f>IF(COUNTIF($A$10:A136,A136)&lt;=1,SUMIF($A$10:$A$406,A136,$FH$10:$FH$406),0)</f>
        <v>0</v>
      </c>
      <c r="GR136" s="137">
        <f t="shared" si="130"/>
        <v>127</v>
      </c>
      <c r="GS136" s="269">
        <f t="shared" si="554"/>
        <v>0</v>
      </c>
      <c r="GT136" s="269">
        <f t="shared" si="555"/>
        <v>0</v>
      </c>
      <c r="GU136" s="163">
        <f t="shared" si="556"/>
        <v>0</v>
      </c>
      <c r="GV136" s="137">
        <f t="array" ref="GV136">IF(GS136=0,0,LARGE(IF($GQ$10:$GQ$406=GS136,$GP$10:$GP$406,0),COUNTIF($GS$10:$GS$406,GS136)-COUNTIF(GS$9:GS135,GS136)))</f>
        <v>0</v>
      </c>
      <c r="GW136" s="270">
        <f t="shared" si="557"/>
        <v>0</v>
      </c>
      <c r="GY136" s="137">
        <f>IF(C136="","",IF(ISERROR(MATCH(C136,C$10:C135,0)),MAX(GP$10:GP135)+1,INDEX(GP$10:GP135,MATCH(C136,C$10:C135,0))))</f>
        <v>98</v>
      </c>
      <c r="GZ136" s="264">
        <f>IF(COUNTIF($A$10:A136,A136)&lt;=1,SUMIF($A$10:$A$406,A136,$FH$10:$FH$406),0)</f>
        <v>0</v>
      </c>
      <c r="HA136" s="137">
        <f t="shared" si="134"/>
        <v>127</v>
      </c>
      <c r="HB136" s="269">
        <f t="shared" si="515"/>
        <v>0</v>
      </c>
      <c r="HC136" s="414" t="s">
        <v>622</v>
      </c>
      <c r="HD136" s="163">
        <f t="shared" si="516"/>
        <v>0</v>
      </c>
      <c r="HE136" s="137">
        <f t="array" ref="HE136">IF(HB136=0,0,LARGE(IF($GZ$10:$GZ$406=HB136,$GY$10:$GY$406,0),COUNTIF($HB$10:$HB$406,HB136)-COUNTIF(HB$9:HB135,HB136)))</f>
        <v>0</v>
      </c>
      <c r="HF136" s="270">
        <f t="shared" si="517"/>
        <v>0</v>
      </c>
      <c r="HH136" s="268">
        <f t="shared" si="518"/>
        <v>0</v>
      </c>
      <c r="HI136" s="271">
        <v>0</v>
      </c>
      <c r="HJ136" s="264">
        <f t="shared" si="519"/>
        <v>0</v>
      </c>
      <c r="HL136" s="137" t="str">
        <f t="shared" si="520"/>
        <v/>
      </c>
      <c r="HM136" s="264">
        <f t="shared" si="521"/>
        <v>0</v>
      </c>
      <c r="HO136" s="199">
        <f t="shared" si="522"/>
        <v>3281601</v>
      </c>
      <c r="HP136" s="199">
        <f t="shared" si="523"/>
        <v>3281601</v>
      </c>
      <c r="HQ136" s="199" t="str">
        <f t="shared" si="524"/>
        <v/>
      </c>
      <c r="HR136" s="199" t="str">
        <f t="shared" si="525"/>
        <v/>
      </c>
      <c r="HS136" s="199" t="str">
        <f t="shared" si="539"/>
        <v/>
      </c>
      <c r="HT136" s="199" t="str">
        <f t="shared" si="526"/>
        <v/>
      </c>
      <c r="HU136" s="199" t="str">
        <f t="shared" si="527"/>
        <v/>
      </c>
      <c r="HV136" s="200">
        <f t="shared" si="528"/>
        <v>0</v>
      </c>
      <c r="HW136" s="272">
        <f t="shared" si="540"/>
        <v>1</v>
      </c>
      <c r="HX136" s="200" t="str">
        <f t="shared" si="529"/>
        <v/>
      </c>
      <c r="HY136" s="200">
        <f t="shared" si="530"/>
        <v>0</v>
      </c>
      <c r="HZ136" s="200" t="str">
        <f t="shared" si="535"/>
        <v/>
      </c>
      <c r="IA136" s="200" t="str">
        <f t="shared" si="531"/>
        <v/>
      </c>
      <c r="IB136" s="200" t="str">
        <f t="shared" si="532"/>
        <v/>
      </c>
      <c r="IC136" s="273">
        <f>IF(C136="","",INDEX(Lookups!$E$2:$E$69,MATCH('Loan List'!BE136,Lookups!$F$2:$F$69,0)))</f>
        <v>19</v>
      </c>
      <c r="ID136" t="b">
        <f t="shared" si="533"/>
        <v>1</v>
      </c>
    </row>
    <row r="137" spans="1:238">
      <c r="A137" t="s">
        <v>858</v>
      </c>
      <c r="B137" s="242">
        <f t="shared" si="541"/>
        <v>128</v>
      </c>
      <c r="C137" s="242">
        <f>IF(COUNTIF($A$10:A136,A137)&gt;0,C136,C136+1)</f>
        <v>98</v>
      </c>
      <c r="D137" s="431" t="s">
        <v>787</v>
      </c>
      <c r="E137" s="428" t="s">
        <v>846</v>
      </c>
      <c r="F137" s="429"/>
      <c r="G137" s="430">
        <v>528998</v>
      </c>
      <c r="H137" s="430">
        <v>528998</v>
      </c>
      <c r="I137" s="244">
        <f>IF(B137="","",VLOOKUP(BF137,Inputs!$A$12:$J$15,10,FALSE))</f>
        <v>1</v>
      </c>
      <c r="J137" s="245">
        <f t="shared" si="542"/>
        <v>528998</v>
      </c>
      <c r="K137" s="245">
        <f t="shared" si="543"/>
        <v>528998</v>
      </c>
      <c r="L137" s="245">
        <f t="shared" si="544"/>
        <v>528998</v>
      </c>
      <c r="M137" s="245">
        <f t="shared" si="545"/>
        <v>528998</v>
      </c>
      <c r="N137" s="432" t="s">
        <v>246</v>
      </c>
      <c r="O137" s="432" t="s">
        <v>245</v>
      </c>
      <c r="P137" s="433">
        <f>IF(B137="","",IF(OR(O137="N/A",O137=""),0,YEARFRAC('Borrowing Base'!$J$4,'Loan List'!O137)*12))</f>
        <v>0</v>
      </c>
      <c r="Q137" s="432" t="s">
        <v>246</v>
      </c>
      <c r="R137" s="434">
        <v>0.99250000000000005</v>
      </c>
      <c r="S137" s="435" t="str">
        <f t="shared" si="546"/>
        <v>No</v>
      </c>
      <c r="T137" s="434">
        <v>0.99250000000000005</v>
      </c>
      <c r="U137" s="436">
        <f t="shared" si="547"/>
        <v>0.5</v>
      </c>
      <c r="V137" s="436">
        <f t="shared" si="548"/>
        <v>0.72499999999999998</v>
      </c>
      <c r="W137" s="251">
        <f t="shared" si="385"/>
        <v>528998</v>
      </c>
      <c r="X137" s="432" t="s">
        <v>246</v>
      </c>
      <c r="Y137" s="437" t="s">
        <v>483</v>
      </c>
      <c r="Z137" s="437" t="s">
        <v>484</v>
      </c>
      <c r="AA137" s="438" t="s">
        <v>371</v>
      </c>
      <c r="AB137" s="438" t="s">
        <v>716</v>
      </c>
      <c r="AC137" s="439">
        <v>1.66</v>
      </c>
      <c r="AD137" s="439">
        <v>4.5911330049261085</v>
      </c>
      <c r="AE137" s="439">
        <v>4.8901320652934004</v>
      </c>
      <c r="AF137" s="439">
        <v>0.80520000000000003</v>
      </c>
      <c r="AG137" s="440">
        <v>3.3596059113300494</v>
      </c>
      <c r="AH137" s="440">
        <v>4.5911330049261085</v>
      </c>
      <c r="AI137" s="440">
        <v>4.2925785901749283</v>
      </c>
      <c r="AJ137" s="440">
        <v>4.2925785901749283</v>
      </c>
      <c r="AK137" s="441">
        <v>203000000</v>
      </c>
      <c r="AL137" s="441">
        <v>172986000</v>
      </c>
      <c r="AM137" s="258">
        <v>45838</v>
      </c>
      <c r="AN137" s="442" t="str">
        <f t="shared" si="549"/>
        <v>Tier 1</v>
      </c>
      <c r="AO137" s="443">
        <v>47042</v>
      </c>
      <c r="AP137" s="444">
        <f>IF(C137="","",DAYS360(Inputs!$J$8,AO137)/360)</f>
        <v>3.1444444444444444</v>
      </c>
      <c r="AQ137" s="444">
        <f t="shared" si="550"/>
        <v>3.1444444444444444</v>
      </c>
      <c r="AR137" s="432" t="s">
        <v>246</v>
      </c>
      <c r="AS137" s="445">
        <v>0</v>
      </c>
      <c r="AT137" s="432" t="s">
        <v>64</v>
      </c>
      <c r="AU137" s="446">
        <v>0.01</v>
      </c>
      <c r="AV137" s="446">
        <v>0.05</v>
      </c>
      <c r="AW137" s="446">
        <v>4.3260000000000007E-2</v>
      </c>
      <c r="AX137" s="260">
        <f t="shared" si="551"/>
        <v>4.3260000000000007E-2</v>
      </c>
      <c r="AY137" s="446">
        <v>0</v>
      </c>
      <c r="AZ137" s="446">
        <v>0</v>
      </c>
      <c r="BA137" s="446">
        <v>0</v>
      </c>
      <c r="BB137" s="447">
        <f t="shared" si="536"/>
        <v>0.05</v>
      </c>
      <c r="BC137" s="447" t="str">
        <f t="shared" si="537"/>
        <v/>
      </c>
      <c r="BD137" s="437" t="s">
        <v>249</v>
      </c>
      <c r="BE137" s="448" t="s">
        <v>378</v>
      </c>
      <c r="BF137" s="437" t="s">
        <v>7</v>
      </c>
      <c r="BG137" s="437" t="s">
        <v>460</v>
      </c>
      <c r="BH137" s="432" t="s">
        <v>246</v>
      </c>
      <c r="BI137" s="449" t="str">
        <f t="shared" si="559"/>
        <v>No</v>
      </c>
      <c r="BJ137" s="449" t="str">
        <f t="shared" si="560"/>
        <v>No</v>
      </c>
      <c r="BK137" s="432" t="s">
        <v>246</v>
      </c>
      <c r="BL137" s="432" t="s">
        <v>246</v>
      </c>
      <c r="BM137" s="246" t="s">
        <v>64</v>
      </c>
      <c r="BN137" s="246" t="s">
        <v>64</v>
      </c>
      <c r="BO137" s="432" t="s">
        <v>246</v>
      </c>
      <c r="BP137" s="432" t="s">
        <v>246</v>
      </c>
      <c r="BQ137" s="432" t="s">
        <v>246</v>
      </c>
      <c r="BR137" s="432" t="s">
        <v>246</v>
      </c>
      <c r="BS137" s="432" t="s">
        <v>246</v>
      </c>
      <c r="BT137" s="432" t="s">
        <v>246</v>
      </c>
      <c r="BU137" s="432" t="s">
        <v>246</v>
      </c>
      <c r="BV137" s="432" t="s">
        <v>64</v>
      </c>
      <c r="BW137" s="432" t="s">
        <v>64</v>
      </c>
      <c r="BX137" s="432" t="s">
        <v>246</v>
      </c>
      <c r="BY137" s="432" t="s">
        <v>246</v>
      </c>
      <c r="BZ137" s="432" t="s">
        <v>246</v>
      </c>
      <c r="CA137" s="432" t="s">
        <v>246</v>
      </c>
      <c r="CB137" s="432" t="s">
        <v>64</v>
      </c>
      <c r="CC137" s="450">
        <f t="shared" si="552"/>
        <v>26469.790324800004</v>
      </c>
      <c r="CD137" s="450">
        <f t="shared" si="553"/>
        <v>0</v>
      </c>
      <c r="CF137" s="263">
        <f t="shared" si="403"/>
        <v>0</v>
      </c>
      <c r="CG137" s="263">
        <f t="shared" si="404"/>
        <v>0</v>
      </c>
      <c r="CH137" s="263">
        <f t="shared" si="405"/>
        <v>0</v>
      </c>
      <c r="CI137" s="263">
        <f t="shared" si="406"/>
        <v>0</v>
      </c>
      <c r="CJ137" s="263">
        <f t="shared" si="407"/>
        <v>0</v>
      </c>
      <c r="CK137" s="263">
        <f t="shared" si="408"/>
        <v>0</v>
      </c>
      <c r="CL137" s="263">
        <f t="shared" si="409"/>
        <v>0</v>
      </c>
      <c r="CM137" s="263">
        <f t="shared" si="410"/>
        <v>0</v>
      </c>
      <c r="CN137" s="263">
        <f t="shared" si="411"/>
        <v>0</v>
      </c>
      <c r="CO137" s="263">
        <f t="shared" si="412"/>
        <v>0</v>
      </c>
      <c r="CP137" s="263">
        <f t="shared" si="413"/>
        <v>0</v>
      </c>
      <c r="CQ137" s="263">
        <f t="shared" si="414"/>
        <v>0</v>
      </c>
      <c r="CR137" s="263">
        <f t="shared" si="415"/>
        <v>0</v>
      </c>
      <c r="CS137" s="263">
        <f t="shared" si="416"/>
        <v>0</v>
      </c>
      <c r="CT137" s="263">
        <f t="shared" si="417"/>
        <v>0</v>
      </c>
      <c r="CU137" s="263">
        <f t="shared" si="418"/>
        <v>0</v>
      </c>
      <c r="CV137" s="263">
        <f t="shared" si="419"/>
        <v>0</v>
      </c>
      <c r="CW137" s="263">
        <f t="shared" si="420"/>
        <v>0</v>
      </c>
      <c r="CX137" s="263">
        <f t="shared" si="421"/>
        <v>0</v>
      </c>
      <c r="CY137" s="263">
        <f t="shared" si="422"/>
        <v>0</v>
      </c>
      <c r="CZ137" s="263">
        <f t="shared" si="423"/>
        <v>0</v>
      </c>
      <c r="DA137" s="263">
        <f t="shared" si="424"/>
        <v>0</v>
      </c>
      <c r="DB137" s="263">
        <f t="shared" si="425"/>
        <v>0</v>
      </c>
      <c r="DC137" s="263">
        <f t="shared" si="426"/>
        <v>0</v>
      </c>
      <c r="DD137" s="263">
        <f t="shared" si="427"/>
        <v>0</v>
      </c>
      <c r="DE137" s="263">
        <f t="shared" si="428"/>
        <v>0</v>
      </c>
      <c r="DF137" s="263">
        <f t="shared" si="429"/>
        <v>528998</v>
      </c>
      <c r="DG137" s="263">
        <f t="shared" si="430"/>
        <v>0</v>
      </c>
      <c r="DH137" s="263">
        <f t="shared" si="431"/>
        <v>528998</v>
      </c>
      <c r="DI137" s="263">
        <f t="shared" si="432"/>
        <v>528998</v>
      </c>
      <c r="DJ137" s="263">
        <f t="shared" si="433"/>
        <v>0</v>
      </c>
      <c r="DK137" s="263">
        <f t="shared" si="434"/>
        <v>0</v>
      </c>
      <c r="DL137" s="263">
        <f t="shared" si="435"/>
        <v>0</v>
      </c>
      <c r="DM137" s="263">
        <f t="shared" si="436"/>
        <v>0</v>
      </c>
      <c r="DO137" s="264">
        <f t="shared" si="437"/>
        <v>0</v>
      </c>
      <c r="DP137" s="265">
        <f t="shared" si="438"/>
        <v>0</v>
      </c>
      <c r="DQ137" s="264">
        <f t="shared" si="439"/>
        <v>528998</v>
      </c>
      <c r="DR137" s="264">
        <f t="shared" si="440"/>
        <v>0</v>
      </c>
      <c r="DS137" s="265">
        <f t="shared" si="441"/>
        <v>0</v>
      </c>
      <c r="DT137" s="264">
        <f t="shared" si="442"/>
        <v>528998</v>
      </c>
      <c r="DU137" s="264">
        <f t="shared" si="443"/>
        <v>0</v>
      </c>
      <c r="DV137" s="265">
        <f t="shared" si="444"/>
        <v>0</v>
      </c>
      <c r="DW137" s="264">
        <f t="shared" si="445"/>
        <v>528998</v>
      </c>
      <c r="DX137" s="264">
        <f t="shared" si="446"/>
        <v>0</v>
      </c>
      <c r="DY137" s="265">
        <f t="shared" si="447"/>
        <v>0</v>
      </c>
      <c r="DZ137" s="264">
        <f t="shared" si="448"/>
        <v>528998</v>
      </c>
      <c r="EA137" s="264">
        <f t="shared" si="449"/>
        <v>0</v>
      </c>
      <c r="EB137" s="265">
        <f t="shared" si="450"/>
        <v>0</v>
      </c>
      <c r="EC137" s="264">
        <f t="shared" si="451"/>
        <v>528998</v>
      </c>
      <c r="ED137" s="264">
        <f t="shared" si="452"/>
        <v>0</v>
      </c>
      <c r="EE137" s="265">
        <f t="shared" si="453"/>
        <v>0</v>
      </c>
      <c r="EF137" s="264">
        <f t="shared" si="454"/>
        <v>528998</v>
      </c>
      <c r="EG137" s="264">
        <f t="shared" si="455"/>
        <v>0</v>
      </c>
      <c r="EH137" s="265">
        <f t="shared" si="456"/>
        <v>0</v>
      </c>
      <c r="EI137" s="264">
        <f t="shared" si="457"/>
        <v>528998</v>
      </c>
      <c r="EJ137" s="264">
        <f t="shared" si="458"/>
        <v>0</v>
      </c>
      <c r="EK137" s="265">
        <f t="shared" si="459"/>
        <v>0</v>
      </c>
      <c r="EL137" s="264">
        <f t="shared" si="460"/>
        <v>528998</v>
      </c>
      <c r="EM137" s="264">
        <f t="shared" si="461"/>
        <v>0</v>
      </c>
      <c r="EN137" s="265">
        <f t="shared" si="462"/>
        <v>0</v>
      </c>
      <c r="EO137" s="264">
        <f t="shared" si="463"/>
        <v>528998</v>
      </c>
      <c r="EP137" s="264">
        <f t="shared" si="464"/>
        <v>0</v>
      </c>
      <c r="EQ137" s="265">
        <f t="shared" si="465"/>
        <v>0</v>
      </c>
      <c r="ER137" s="264">
        <f t="shared" si="466"/>
        <v>528998</v>
      </c>
      <c r="ES137" s="264">
        <f t="shared" si="467"/>
        <v>0</v>
      </c>
      <c r="ET137" s="265">
        <f t="shared" si="468"/>
        <v>0</v>
      </c>
      <c r="EU137" s="264">
        <f t="shared" si="469"/>
        <v>528998</v>
      </c>
      <c r="EV137" s="264">
        <f>IF(AND(BM137="Yes",OR(BN137="No",AND(BN137="Yes",Inputs!$J$8=Inputs!$J$17+75))),EU137,0)</f>
        <v>0</v>
      </c>
      <c r="EW137" s="265">
        <f t="shared" si="470"/>
        <v>0</v>
      </c>
      <c r="EX137" s="264">
        <f t="shared" si="471"/>
        <v>528998</v>
      </c>
      <c r="EY137" s="264">
        <f t="shared" si="472"/>
        <v>528998</v>
      </c>
      <c r="EZ137" s="265">
        <f t="shared" si="473"/>
        <v>0</v>
      </c>
      <c r="FA137" s="264">
        <f t="shared" si="474"/>
        <v>528998</v>
      </c>
      <c r="FB137" s="264">
        <f t="shared" si="475"/>
        <v>0</v>
      </c>
      <c r="FC137" s="265">
        <f t="shared" si="476"/>
        <v>0</v>
      </c>
      <c r="FD137" s="264">
        <f t="shared" si="477"/>
        <v>528998</v>
      </c>
      <c r="FE137" s="264">
        <f t="shared" si="478"/>
        <v>0</v>
      </c>
      <c r="FF137" s="265">
        <f t="shared" si="479"/>
        <v>0</v>
      </c>
      <c r="FG137" s="264">
        <f t="shared" si="480"/>
        <v>528998</v>
      </c>
      <c r="FH137" s="264">
        <f t="shared" si="481"/>
        <v>528998</v>
      </c>
      <c r="FI137" s="264">
        <f t="shared" si="482"/>
        <v>0</v>
      </c>
      <c r="FJ137" s="264">
        <f t="shared" si="483"/>
        <v>528998</v>
      </c>
      <c r="FK137" s="264">
        <f t="shared" si="484"/>
        <v>528998</v>
      </c>
      <c r="FL137" s="264">
        <f t="shared" si="485"/>
        <v>0</v>
      </c>
      <c r="FM137" s="264">
        <f t="shared" si="486"/>
        <v>528998</v>
      </c>
      <c r="FN137" s="264">
        <f t="shared" si="487"/>
        <v>528998</v>
      </c>
      <c r="FO137" s="264">
        <f t="shared" si="488"/>
        <v>0</v>
      </c>
      <c r="FP137" s="264">
        <f t="shared" si="489"/>
        <v>528998</v>
      </c>
      <c r="FQ137" s="264">
        <f t="shared" si="490"/>
        <v>0</v>
      </c>
      <c r="FR137" s="265">
        <f t="shared" si="491"/>
        <v>0</v>
      </c>
      <c r="FS137" s="264">
        <f t="shared" si="492"/>
        <v>528998</v>
      </c>
      <c r="FT137" s="264">
        <f t="shared" si="493"/>
        <v>0</v>
      </c>
      <c r="FU137" s="265">
        <f t="shared" si="494"/>
        <v>0</v>
      </c>
      <c r="FV137" s="264">
        <f t="shared" si="495"/>
        <v>528998</v>
      </c>
      <c r="FW137" s="264">
        <f t="shared" si="496"/>
        <v>0</v>
      </c>
      <c r="FX137" s="264">
        <f t="shared" si="497"/>
        <v>0</v>
      </c>
      <c r="FY137" s="264">
        <f t="shared" si="498"/>
        <v>0</v>
      </c>
      <c r="FZ137" s="264">
        <f t="shared" si="499"/>
        <v>0</v>
      </c>
      <c r="GA137" s="265">
        <f t="shared" si="500"/>
        <v>0</v>
      </c>
      <c r="GB137" s="264">
        <f t="shared" si="501"/>
        <v>528998</v>
      </c>
      <c r="GC137" s="264">
        <f t="shared" si="502"/>
        <v>528998</v>
      </c>
      <c r="GD137" s="266">
        <f t="shared" si="503"/>
        <v>383523.55</v>
      </c>
      <c r="GE137" s="138">
        <f t="shared" si="504"/>
        <v>0.72499999999999998</v>
      </c>
      <c r="GF137" s="267">
        <f t="shared" si="505"/>
        <v>19</v>
      </c>
      <c r="GG137" s="264">
        <f t="array" ref="GG137">IF(SUM(IF(IC$9:IC136=IC137,1,0))&gt;0,0,SUMIF($IC$10:$IC$406,IC137,$FJ$10:$FJ$406))</f>
        <v>0</v>
      </c>
      <c r="GH137" s="268">
        <f t="shared" si="506"/>
        <v>0</v>
      </c>
      <c r="GI137" s="137">
        <f t="shared" si="126"/>
        <v>128</v>
      </c>
      <c r="GJ137" s="269">
        <f t="shared" si="507"/>
        <v>0</v>
      </c>
      <c r="GK137" s="269">
        <f t="shared" si="508"/>
        <v>0</v>
      </c>
      <c r="GL137" s="163">
        <f t="shared" si="509"/>
        <v>0</v>
      </c>
      <c r="GM137" s="137">
        <f t="array" ref="GM137">IF(GJ137=0,0,LARGE(IF($GG$10:$GG$406=GJ137,$GF$10:$GF$406,0),COUNTIF($GJ$10:$GJ$406,GJ137)-COUNTIF(GJ$9:GJ136,GJ137)))</f>
        <v>0</v>
      </c>
      <c r="GN137" s="270">
        <f t="shared" si="510"/>
        <v>0</v>
      </c>
      <c r="GP137" s="137">
        <f>IF(C137="","",IF(ISERROR(MATCH(C137,C$10:C136,0)),MAX(GP$10:GP136)+1,INDEX(GP$10:GP136,MATCH(C137,C$10:C136,0))))</f>
        <v>98</v>
      </c>
      <c r="GQ137" s="264">
        <f>IF(COUNTIF($A$10:A137,A137)&lt;=1,SUMIF($A$10:$A$406,A137,$FH$10:$FH$406),0)</f>
        <v>0</v>
      </c>
      <c r="GR137" s="137">
        <f t="shared" si="130"/>
        <v>128</v>
      </c>
      <c r="GS137" s="269">
        <f t="shared" si="554"/>
        <v>0</v>
      </c>
      <c r="GT137" s="269">
        <f t="shared" si="555"/>
        <v>0</v>
      </c>
      <c r="GU137" s="163">
        <f t="shared" si="556"/>
        <v>0</v>
      </c>
      <c r="GV137" s="137">
        <f t="array" ref="GV137">IF(GS137=0,0,LARGE(IF($GQ$10:$GQ$406=GS137,$GP$10:$GP$406,0),COUNTIF($GS$10:$GS$406,GS137)-COUNTIF(GS$9:GS136,GS137)))</f>
        <v>0</v>
      </c>
      <c r="GW137" s="270">
        <f t="shared" si="557"/>
        <v>0</v>
      </c>
      <c r="GY137" s="137">
        <f>IF(C137="","",IF(ISERROR(MATCH(C137,C$10:C136,0)),MAX(GP$10:GP136)+1,INDEX(GP$10:GP136,MATCH(C137,C$10:C136,0))))</f>
        <v>98</v>
      </c>
      <c r="GZ137" s="264">
        <f>IF(COUNTIF($A$10:A137,A137)&lt;=1,SUMIF($A$10:$A$406,A137,$FH$10:$FH$406),0)</f>
        <v>0</v>
      </c>
      <c r="HA137" s="137">
        <f t="shared" si="134"/>
        <v>128</v>
      </c>
      <c r="HB137" s="269">
        <f t="shared" si="515"/>
        <v>0</v>
      </c>
      <c r="HC137" s="414" t="s">
        <v>622</v>
      </c>
      <c r="HD137" s="163">
        <f t="shared" si="516"/>
        <v>0</v>
      </c>
      <c r="HE137" s="137">
        <f t="array" ref="HE137">IF(HB137=0,0,LARGE(IF($GZ$10:$GZ$406=HB137,$GY$10:$GY$406,0),COUNTIF($HB$10:$HB$406,HB137)-COUNTIF(HB$9:HB136,HB137)))</f>
        <v>0</v>
      </c>
      <c r="HF137" s="270">
        <f t="shared" si="517"/>
        <v>0</v>
      </c>
      <c r="HH137" s="268">
        <f t="shared" si="518"/>
        <v>0</v>
      </c>
      <c r="HI137" s="271">
        <v>0</v>
      </c>
      <c r="HJ137" s="264">
        <f t="shared" si="519"/>
        <v>0</v>
      </c>
      <c r="HL137" s="137" t="str">
        <f t="shared" si="520"/>
        <v/>
      </c>
      <c r="HM137" s="264">
        <f t="shared" si="521"/>
        <v>0</v>
      </c>
      <c r="HO137" s="199">
        <f t="shared" si="522"/>
        <v>528998</v>
      </c>
      <c r="HP137" s="199">
        <f t="shared" si="523"/>
        <v>528998</v>
      </c>
      <c r="HQ137" s="199" t="str">
        <f t="shared" si="524"/>
        <v/>
      </c>
      <c r="HR137" s="199" t="str">
        <f t="shared" si="525"/>
        <v/>
      </c>
      <c r="HS137" s="199" t="str">
        <f t="shared" si="539"/>
        <v/>
      </c>
      <c r="HT137" s="199" t="str">
        <f t="shared" si="526"/>
        <v/>
      </c>
      <c r="HU137" s="199" t="str">
        <f t="shared" si="527"/>
        <v/>
      </c>
      <c r="HV137" s="200">
        <f t="shared" si="528"/>
        <v>0</v>
      </c>
      <c r="HW137" s="272">
        <f t="shared" si="540"/>
        <v>1</v>
      </c>
      <c r="HX137" s="200" t="str">
        <f t="shared" si="529"/>
        <v/>
      </c>
      <c r="HY137" s="200">
        <f t="shared" si="530"/>
        <v>0</v>
      </c>
      <c r="HZ137" s="200" t="str">
        <f t="shared" si="535"/>
        <v/>
      </c>
      <c r="IA137" s="200" t="str">
        <f t="shared" si="531"/>
        <v/>
      </c>
      <c r="IB137" s="200" t="str">
        <f t="shared" si="532"/>
        <v/>
      </c>
      <c r="IC137" s="273">
        <f>IF(C137="","",INDEX(Lookups!$E$2:$E$69,MATCH('Loan List'!BE137,Lookups!$F$2:$F$69,0)))</f>
        <v>19</v>
      </c>
      <c r="ID137" t="b">
        <f t="shared" si="533"/>
        <v>1</v>
      </c>
    </row>
    <row r="138" spans="1:238">
      <c r="A138" t="s">
        <v>613</v>
      </c>
      <c r="B138" s="242">
        <f t="shared" si="541"/>
        <v>129</v>
      </c>
      <c r="C138" s="242">
        <f>IF(COUNTIF($A$10:A137,A138)&gt;0,C137,C137+1)</f>
        <v>99</v>
      </c>
      <c r="D138" s="428" t="s">
        <v>613</v>
      </c>
      <c r="E138" s="428" t="s">
        <v>621</v>
      </c>
      <c r="F138" s="429"/>
      <c r="G138" s="430">
        <v>21839201</v>
      </c>
      <c r="H138" s="430">
        <v>21839201</v>
      </c>
      <c r="I138" s="244">
        <f>IF(B138="","",VLOOKUP(BF138,Inputs!$A$12:$J$15,10,FALSE))</f>
        <v>1</v>
      </c>
      <c r="J138" s="245">
        <f t="shared" si="542"/>
        <v>21839201</v>
      </c>
      <c r="K138" s="245">
        <f t="shared" si="543"/>
        <v>21839201</v>
      </c>
      <c r="L138" s="245">
        <f t="shared" si="544"/>
        <v>21839201</v>
      </c>
      <c r="M138" s="245">
        <f t="shared" si="545"/>
        <v>21839201</v>
      </c>
      <c r="N138" s="432" t="s">
        <v>246</v>
      </c>
      <c r="O138" s="432" t="s">
        <v>245</v>
      </c>
      <c r="P138" s="433">
        <f>IF(B138="","",IF(OR(O138="N/A",O138=""),0,YEARFRAC('Borrowing Base'!$J$4,'Loan List'!O138)*12))</f>
        <v>0</v>
      </c>
      <c r="Q138" s="432" t="s">
        <v>246</v>
      </c>
      <c r="R138" s="434">
        <v>0.9850237595538629</v>
      </c>
      <c r="S138" s="435" t="str">
        <f t="shared" si="546"/>
        <v>No</v>
      </c>
      <c r="T138" s="434">
        <v>0.98249999988552683</v>
      </c>
      <c r="U138" s="436">
        <f t="shared" si="547"/>
        <v>0.5</v>
      </c>
      <c r="V138" s="436">
        <f t="shared" si="548"/>
        <v>0.72499999999999998</v>
      </c>
      <c r="W138" s="251">
        <f t="shared" si="385"/>
        <v>21839201</v>
      </c>
      <c r="X138" s="432" t="s">
        <v>246</v>
      </c>
      <c r="Y138" s="437" t="s">
        <v>483</v>
      </c>
      <c r="Z138" s="437" t="s">
        <v>484</v>
      </c>
      <c r="AA138" s="438" t="s">
        <v>407</v>
      </c>
      <c r="AB138" s="438" t="s">
        <v>713</v>
      </c>
      <c r="AC138" s="439">
        <v>1.335821363501996</v>
      </c>
      <c r="AD138" s="439">
        <v>1.5905269453122814</v>
      </c>
      <c r="AE138" s="439">
        <v>2.2677854042185008</v>
      </c>
      <c r="AF138" s="439">
        <v>0.48034762504148054</v>
      </c>
      <c r="AG138" s="440">
        <v>4.3231286253733252</v>
      </c>
      <c r="AH138" s="440">
        <v>4.3231286253733252</v>
      </c>
      <c r="AI138" s="440">
        <v>3.8686834573574891</v>
      </c>
      <c r="AJ138" s="440">
        <v>3.8686834573574891</v>
      </c>
      <c r="AK138" s="441">
        <v>29131118.9009845</v>
      </c>
      <c r="AL138" s="441">
        <v>33945000</v>
      </c>
      <c r="AM138" s="258">
        <v>45838</v>
      </c>
      <c r="AN138" s="442" t="str">
        <f t="shared" si="549"/>
        <v>Tier 2</v>
      </c>
      <c r="AO138" s="443">
        <v>47241</v>
      </c>
      <c r="AP138" s="444">
        <f>IF(C138="","",DAYS360(Inputs!$J$8,AO138)/360)</f>
        <v>3.6916666666666669</v>
      </c>
      <c r="AQ138" s="444">
        <f t="shared" si="550"/>
        <v>3.6916666666666669</v>
      </c>
      <c r="AR138" s="432" t="s">
        <v>246</v>
      </c>
      <c r="AS138" s="445">
        <v>0</v>
      </c>
      <c r="AT138" s="432" t="s">
        <v>64</v>
      </c>
      <c r="AU138" s="446">
        <v>0.01</v>
      </c>
      <c r="AV138" s="446">
        <v>5.7500000000000002E-2</v>
      </c>
      <c r="AW138" s="446">
        <v>4.3169999999999993E-2</v>
      </c>
      <c r="AX138" s="260">
        <f t="shared" si="551"/>
        <v>4.3169999999999993E-2</v>
      </c>
      <c r="AY138" s="446">
        <v>0</v>
      </c>
      <c r="AZ138" s="446">
        <v>0</v>
      </c>
      <c r="BA138" s="446">
        <v>0</v>
      </c>
      <c r="BB138" s="447">
        <f t="shared" si="536"/>
        <v>5.7500000000000002E-2</v>
      </c>
      <c r="BC138" s="447" t="str">
        <f t="shared" si="537"/>
        <v/>
      </c>
      <c r="BD138" s="437" t="s">
        <v>249</v>
      </c>
      <c r="BE138" s="448" t="s">
        <v>429</v>
      </c>
      <c r="BF138" s="437" t="s">
        <v>7</v>
      </c>
      <c r="BG138" s="437" t="s">
        <v>460</v>
      </c>
      <c r="BH138" s="432" t="s">
        <v>246</v>
      </c>
      <c r="BI138" s="449" t="str">
        <f t="shared" si="559"/>
        <v>No</v>
      </c>
      <c r="BJ138" s="449" t="str">
        <f t="shared" si="560"/>
        <v>No</v>
      </c>
      <c r="BK138" s="432" t="s">
        <v>246</v>
      </c>
      <c r="BL138" s="432" t="s">
        <v>246</v>
      </c>
      <c r="BM138" s="432" t="s">
        <v>246</v>
      </c>
      <c r="BN138" s="432" t="s">
        <v>246</v>
      </c>
      <c r="BO138" s="432" t="s">
        <v>246</v>
      </c>
      <c r="BP138" s="432" t="s">
        <v>246</v>
      </c>
      <c r="BQ138" s="432" t="s">
        <v>246</v>
      </c>
      <c r="BR138" s="432" t="s">
        <v>246</v>
      </c>
      <c r="BS138" s="432" t="s">
        <v>246</v>
      </c>
      <c r="BT138" s="432" t="s">
        <v>246</v>
      </c>
      <c r="BU138" s="432" t="s">
        <v>246</v>
      </c>
      <c r="BV138" s="432" t="s">
        <v>246</v>
      </c>
      <c r="BW138" s="432" t="s">
        <v>246</v>
      </c>
      <c r="BX138" s="432" t="s">
        <v>246</v>
      </c>
      <c r="BY138" s="432" t="s">
        <v>246</v>
      </c>
      <c r="BZ138" s="432" t="s">
        <v>246</v>
      </c>
      <c r="CA138" s="432" t="s">
        <v>246</v>
      </c>
      <c r="CB138" s="432" t="s">
        <v>64</v>
      </c>
      <c r="CC138" s="450">
        <f t="shared" si="552"/>
        <v>1254609.6833676</v>
      </c>
      <c r="CD138" s="450">
        <f t="shared" si="553"/>
        <v>0</v>
      </c>
      <c r="CF138" s="263">
        <f t="shared" si="403"/>
        <v>0</v>
      </c>
      <c r="CG138" s="263">
        <f t="shared" si="404"/>
        <v>0</v>
      </c>
      <c r="CH138" s="263">
        <f t="shared" si="405"/>
        <v>0</v>
      </c>
      <c r="CI138" s="263">
        <f t="shared" si="406"/>
        <v>0</v>
      </c>
      <c r="CJ138" s="263">
        <f t="shared" si="407"/>
        <v>0</v>
      </c>
      <c r="CK138" s="263">
        <f t="shared" si="408"/>
        <v>0</v>
      </c>
      <c r="CL138" s="263">
        <f t="shared" si="409"/>
        <v>0</v>
      </c>
      <c r="CM138" s="263">
        <f t="shared" si="410"/>
        <v>0</v>
      </c>
      <c r="CN138" s="263">
        <f t="shared" si="411"/>
        <v>0</v>
      </c>
      <c r="CO138" s="263">
        <f t="shared" si="412"/>
        <v>0</v>
      </c>
      <c r="CP138" s="263">
        <f t="shared" si="413"/>
        <v>0</v>
      </c>
      <c r="CQ138" s="263">
        <f t="shared" si="414"/>
        <v>0</v>
      </c>
      <c r="CR138" s="263">
        <f t="shared" si="415"/>
        <v>0</v>
      </c>
      <c r="CS138" s="263">
        <f t="shared" si="416"/>
        <v>0</v>
      </c>
      <c r="CT138" s="263">
        <f t="shared" si="417"/>
        <v>0</v>
      </c>
      <c r="CU138" s="263">
        <f t="shared" si="418"/>
        <v>0</v>
      </c>
      <c r="CV138" s="263">
        <f t="shared" si="419"/>
        <v>0</v>
      </c>
      <c r="CW138" s="263">
        <f t="shared" si="420"/>
        <v>0</v>
      </c>
      <c r="CX138" s="263">
        <f t="shared" si="421"/>
        <v>0</v>
      </c>
      <c r="CY138" s="263">
        <f t="shared" si="422"/>
        <v>0</v>
      </c>
      <c r="CZ138" s="263">
        <f t="shared" si="423"/>
        <v>0</v>
      </c>
      <c r="DA138" s="263">
        <f t="shared" si="424"/>
        <v>0</v>
      </c>
      <c r="DB138" s="263">
        <f t="shared" si="425"/>
        <v>0</v>
      </c>
      <c r="DC138" s="263">
        <f t="shared" si="426"/>
        <v>0</v>
      </c>
      <c r="DD138" s="263">
        <f t="shared" si="427"/>
        <v>0</v>
      </c>
      <c r="DE138" s="263">
        <f t="shared" si="428"/>
        <v>0</v>
      </c>
      <c r="DF138" s="263">
        <f t="shared" si="429"/>
        <v>21839201</v>
      </c>
      <c r="DG138" s="263">
        <f t="shared" si="430"/>
        <v>0</v>
      </c>
      <c r="DH138" s="263">
        <f t="shared" si="431"/>
        <v>21839201</v>
      </c>
      <c r="DI138" s="263">
        <f t="shared" si="432"/>
        <v>21839201</v>
      </c>
      <c r="DJ138" s="263">
        <f t="shared" si="433"/>
        <v>0</v>
      </c>
      <c r="DK138" s="263">
        <f t="shared" si="434"/>
        <v>0</v>
      </c>
      <c r="DL138" s="263">
        <f t="shared" si="435"/>
        <v>0</v>
      </c>
      <c r="DM138" s="263">
        <f t="shared" si="436"/>
        <v>0</v>
      </c>
      <c r="DO138" s="264">
        <f t="shared" si="437"/>
        <v>0</v>
      </c>
      <c r="DP138" s="265">
        <f t="shared" si="438"/>
        <v>0</v>
      </c>
      <c r="DQ138" s="264">
        <f t="shared" si="439"/>
        <v>21839201</v>
      </c>
      <c r="DR138" s="264">
        <f t="shared" si="440"/>
        <v>0</v>
      </c>
      <c r="DS138" s="265">
        <f t="shared" si="441"/>
        <v>0</v>
      </c>
      <c r="DT138" s="264">
        <f t="shared" si="442"/>
        <v>21839201</v>
      </c>
      <c r="DU138" s="264">
        <f t="shared" si="443"/>
        <v>0</v>
      </c>
      <c r="DV138" s="265">
        <f t="shared" si="444"/>
        <v>0</v>
      </c>
      <c r="DW138" s="264">
        <f t="shared" si="445"/>
        <v>21839201</v>
      </c>
      <c r="DX138" s="264">
        <f t="shared" si="446"/>
        <v>0</v>
      </c>
      <c r="DY138" s="265">
        <f t="shared" si="447"/>
        <v>0</v>
      </c>
      <c r="DZ138" s="264">
        <f t="shared" si="448"/>
        <v>21839201</v>
      </c>
      <c r="EA138" s="264">
        <f t="shared" si="449"/>
        <v>0</v>
      </c>
      <c r="EB138" s="265">
        <f t="shared" si="450"/>
        <v>0</v>
      </c>
      <c r="EC138" s="264">
        <f t="shared" si="451"/>
        <v>21839201</v>
      </c>
      <c r="ED138" s="264">
        <f t="shared" si="452"/>
        <v>0</v>
      </c>
      <c r="EE138" s="265">
        <f t="shared" si="453"/>
        <v>0</v>
      </c>
      <c r="EF138" s="264">
        <f t="shared" si="454"/>
        <v>21839201</v>
      </c>
      <c r="EG138" s="264">
        <f t="shared" si="455"/>
        <v>0</v>
      </c>
      <c r="EH138" s="265">
        <f t="shared" si="456"/>
        <v>0</v>
      </c>
      <c r="EI138" s="264">
        <f t="shared" si="457"/>
        <v>21839201</v>
      </c>
      <c r="EJ138" s="264">
        <f t="shared" si="458"/>
        <v>0</v>
      </c>
      <c r="EK138" s="265">
        <f t="shared" si="459"/>
        <v>0</v>
      </c>
      <c r="EL138" s="264">
        <f t="shared" si="460"/>
        <v>21839201</v>
      </c>
      <c r="EM138" s="264">
        <f t="shared" si="461"/>
        <v>0</v>
      </c>
      <c r="EN138" s="265">
        <f t="shared" si="462"/>
        <v>0</v>
      </c>
      <c r="EO138" s="264">
        <f t="shared" si="463"/>
        <v>21839201</v>
      </c>
      <c r="EP138" s="264">
        <f t="shared" si="464"/>
        <v>0</v>
      </c>
      <c r="EQ138" s="265">
        <f t="shared" si="465"/>
        <v>0</v>
      </c>
      <c r="ER138" s="264">
        <f t="shared" si="466"/>
        <v>21839201</v>
      </c>
      <c r="ES138" s="264">
        <f t="shared" si="467"/>
        <v>0</v>
      </c>
      <c r="ET138" s="265">
        <f t="shared" si="468"/>
        <v>0</v>
      </c>
      <c r="EU138" s="264">
        <f t="shared" si="469"/>
        <v>21839201</v>
      </c>
      <c r="EV138" s="264">
        <f>IF(AND(BM138="Yes",OR(BN138="No",AND(BN138="Yes",Inputs!$J$8=Inputs!$J$17+75))),EU138,0)</f>
        <v>0</v>
      </c>
      <c r="EW138" s="265">
        <f t="shared" si="470"/>
        <v>0</v>
      </c>
      <c r="EX138" s="264">
        <f t="shared" si="471"/>
        <v>21839201</v>
      </c>
      <c r="EY138" s="264">
        <f t="shared" si="472"/>
        <v>0</v>
      </c>
      <c r="EZ138" s="265">
        <f t="shared" si="473"/>
        <v>0</v>
      </c>
      <c r="FA138" s="264">
        <f t="shared" si="474"/>
        <v>21839201</v>
      </c>
      <c r="FB138" s="264">
        <f t="shared" si="475"/>
        <v>0</v>
      </c>
      <c r="FC138" s="265">
        <f t="shared" si="476"/>
        <v>0</v>
      </c>
      <c r="FD138" s="264">
        <f t="shared" si="477"/>
        <v>21839201</v>
      </c>
      <c r="FE138" s="264">
        <f t="shared" si="478"/>
        <v>0</v>
      </c>
      <c r="FF138" s="265">
        <f t="shared" si="479"/>
        <v>0</v>
      </c>
      <c r="FG138" s="264">
        <f t="shared" si="480"/>
        <v>21839201</v>
      </c>
      <c r="FH138" s="264">
        <f t="shared" si="481"/>
        <v>21839201</v>
      </c>
      <c r="FI138" s="264">
        <f t="shared" si="482"/>
        <v>0</v>
      </c>
      <c r="FJ138" s="264">
        <f t="shared" si="483"/>
        <v>21839201</v>
      </c>
      <c r="FK138" s="264">
        <f t="shared" si="484"/>
        <v>21839201</v>
      </c>
      <c r="FL138" s="264">
        <f t="shared" si="485"/>
        <v>0</v>
      </c>
      <c r="FM138" s="264">
        <f t="shared" si="486"/>
        <v>21839201</v>
      </c>
      <c r="FN138" s="264">
        <f t="shared" si="487"/>
        <v>21839201</v>
      </c>
      <c r="FO138" s="264">
        <f t="shared" si="488"/>
        <v>0</v>
      </c>
      <c r="FP138" s="264">
        <f t="shared" si="489"/>
        <v>21839201</v>
      </c>
      <c r="FQ138" s="264">
        <f t="shared" si="490"/>
        <v>0</v>
      </c>
      <c r="FR138" s="265">
        <f t="shared" si="491"/>
        <v>0</v>
      </c>
      <c r="FS138" s="264">
        <f t="shared" si="492"/>
        <v>21839201</v>
      </c>
      <c r="FT138" s="264">
        <f t="shared" si="493"/>
        <v>0</v>
      </c>
      <c r="FU138" s="265">
        <f t="shared" si="494"/>
        <v>0</v>
      </c>
      <c r="FV138" s="264">
        <f t="shared" si="495"/>
        <v>21839201</v>
      </c>
      <c r="FW138" s="264">
        <f t="shared" si="496"/>
        <v>0</v>
      </c>
      <c r="FX138" s="264">
        <f t="shared" si="497"/>
        <v>0</v>
      </c>
      <c r="FY138" s="264">
        <f t="shared" si="498"/>
        <v>0</v>
      </c>
      <c r="FZ138" s="264">
        <f t="shared" si="499"/>
        <v>0</v>
      </c>
      <c r="GA138" s="265">
        <f t="shared" si="500"/>
        <v>0</v>
      </c>
      <c r="GB138" s="264">
        <f t="shared" si="501"/>
        <v>21839201</v>
      </c>
      <c r="GC138" s="264">
        <f t="shared" si="502"/>
        <v>21839201</v>
      </c>
      <c r="GD138" s="266">
        <f t="shared" si="503"/>
        <v>15833420.725</v>
      </c>
      <c r="GE138" s="138">
        <f t="shared" si="504"/>
        <v>0.72499999999999998</v>
      </c>
      <c r="GF138" s="267">
        <f t="shared" si="505"/>
        <v>42</v>
      </c>
      <c r="GG138" s="264">
        <f t="array" ref="GG138">IF(SUM(IF(IC$9:IC137=IC138,1,0))&gt;0,0,SUMIF($IC$10:$IC$406,IC138,$FJ$10:$FJ$406))</f>
        <v>0</v>
      </c>
      <c r="GH138" s="268">
        <f t="shared" si="506"/>
        <v>0</v>
      </c>
      <c r="GI138" s="137">
        <f t="shared" si="126"/>
        <v>129</v>
      </c>
      <c r="GJ138" s="269">
        <f t="shared" si="507"/>
        <v>0</v>
      </c>
      <c r="GK138" s="269">
        <f t="shared" si="508"/>
        <v>0</v>
      </c>
      <c r="GL138" s="163">
        <f t="shared" si="509"/>
        <v>0</v>
      </c>
      <c r="GM138" s="137">
        <f t="array" ref="GM138">IF(GJ138=0,0,LARGE(IF($GG$10:$GG$406=GJ138,$GF$10:$GF$406,0),COUNTIF($GJ$10:$GJ$406,GJ138)-COUNTIF(GJ$9:GJ137,GJ138)))</f>
        <v>0</v>
      </c>
      <c r="GN138" s="270">
        <f t="shared" si="510"/>
        <v>0</v>
      </c>
      <c r="GP138" s="137">
        <f>IF(C138="","",IF(ISERROR(MATCH(C138,C$10:C137,0)),MAX(GP$10:GP137)+1,INDEX(GP$10:GP137,MATCH(C138,C$10:C137,0))))</f>
        <v>99</v>
      </c>
      <c r="GQ138" s="264">
        <f>IF(COUNTIF($A$10:A138,A138)&lt;=1,SUMIF($A$10:$A$406,A138,$FH$10:$FH$406),0)</f>
        <v>27620404</v>
      </c>
      <c r="GR138" s="137">
        <f t="shared" si="130"/>
        <v>129</v>
      </c>
      <c r="GS138" s="269">
        <f t="shared" si="554"/>
        <v>0</v>
      </c>
      <c r="GT138" s="269">
        <f t="shared" si="555"/>
        <v>0</v>
      </c>
      <c r="GU138" s="163">
        <f t="shared" si="556"/>
        <v>0</v>
      </c>
      <c r="GV138" s="137">
        <f t="array" ref="GV138">IF(GS138=0,0,LARGE(IF($GQ$10:$GQ$406=GS138,$GP$10:$GP$406,0),COUNTIF($GS$10:$GS$406,GS138)-COUNTIF(GS$9:GS137,GS138)))</f>
        <v>0</v>
      </c>
      <c r="GW138" s="270">
        <f t="shared" si="557"/>
        <v>0</v>
      </c>
      <c r="GY138" s="137">
        <f>IF(C138="","",IF(ISERROR(MATCH(C138,C$10:C137,0)),MAX(GP$10:GP137)+1,INDEX(GP$10:GP137,MATCH(C138,C$10:C137,0))))</f>
        <v>99</v>
      </c>
      <c r="GZ138" s="264">
        <f>IF(COUNTIF($A$10:A138,A138)&lt;=1,SUMIF($A$10:$A$406,A138,$FH$10:$FH$406),0)</f>
        <v>27620404</v>
      </c>
      <c r="HA138" s="137">
        <f t="shared" si="134"/>
        <v>129</v>
      </c>
      <c r="HB138" s="269">
        <f t="shared" si="515"/>
        <v>0</v>
      </c>
      <c r="HC138" s="414" t="s">
        <v>622</v>
      </c>
      <c r="HD138" s="163">
        <f t="shared" si="516"/>
        <v>0</v>
      </c>
      <c r="HE138" s="137">
        <f t="array" ref="HE138">IF(HB138=0,0,LARGE(IF($GZ$10:$GZ$406=HB138,$GY$10:$GY$406,0),COUNTIF($HB$10:$HB$406,HB138)-COUNTIF(HB$9:HB137,HB138)))</f>
        <v>0</v>
      </c>
      <c r="HF138" s="270">
        <f t="shared" si="517"/>
        <v>0</v>
      </c>
      <c r="HH138" s="268">
        <f t="shared" si="518"/>
        <v>0</v>
      </c>
      <c r="HI138" s="271">
        <v>0</v>
      </c>
      <c r="HJ138" s="264">
        <f t="shared" si="519"/>
        <v>0</v>
      </c>
      <c r="HL138" s="137" t="str">
        <f t="shared" si="520"/>
        <v/>
      </c>
      <c r="HM138" s="264">
        <f t="shared" si="521"/>
        <v>0</v>
      </c>
      <c r="HO138" s="199">
        <f t="shared" si="522"/>
        <v>21839201</v>
      </c>
      <c r="HP138" s="199">
        <f t="shared" si="523"/>
        <v>21839201</v>
      </c>
      <c r="HQ138" s="199" t="str">
        <f t="shared" si="524"/>
        <v/>
      </c>
      <c r="HR138" s="199" t="str">
        <f t="shared" si="525"/>
        <v/>
      </c>
      <c r="HS138" s="199" t="str">
        <f t="shared" si="539"/>
        <v/>
      </c>
      <c r="HT138" s="199" t="str">
        <f t="shared" si="526"/>
        <v/>
      </c>
      <c r="HU138" s="199" t="str">
        <f t="shared" si="527"/>
        <v/>
      </c>
      <c r="HV138" s="200">
        <f t="shared" si="528"/>
        <v>0</v>
      </c>
      <c r="HW138" s="272">
        <f t="shared" si="540"/>
        <v>1</v>
      </c>
      <c r="HX138" s="200" t="str">
        <f t="shared" si="529"/>
        <v/>
      </c>
      <c r="HY138" s="200">
        <f t="shared" si="530"/>
        <v>0</v>
      </c>
      <c r="HZ138" s="200" t="str">
        <f t="shared" si="535"/>
        <v/>
      </c>
      <c r="IA138" s="200" t="str">
        <f t="shared" si="531"/>
        <v/>
      </c>
      <c r="IB138" s="200" t="str">
        <f t="shared" si="532"/>
        <v/>
      </c>
      <c r="IC138" s="273">
        <f>IF(C138="","",INDEX(Lookups!$E$2:$E$69,MATCH('Loan List'!BE138,Lookups!$F$2:$F$69,0)))</f>
        <v>42</v>
      </c>
      <c r="ID138" t="b">
        <f t="shared" si="533"/>
        <v>1</v>
      </c>
    </row>
    <row r="139" spans="1:238">
      <c r="A139" t="s">
        <v>613</v>
      </c>
      <c r="B139" s="242">
        <f t="shared" si="541"/>
        <v>130</v>
      </c>
      <c r="C139" s="242">
        <f>IF(COUNTIF($A$10:A138,A139)&gt;0,C138,C138+1)</f>
        <v>99</v>
      </c>
      <c r="D139" s="431" t="s">
        <v>788</v>
      </c>
      <c r="E139" s="428" t="s">
        <v>621</v>
      </c>
      <c r="F139" s="429"/>
      <c r="G139" s="430">
        <v>5781203</v>
      </c>
      <c r="H139" s="430">
        <v>5781203</v>
      </c>
      <c r="I139" s="244">
        <f>IF(B139="","",VLOOKUP(BF139,Inputs!$A$12:$J$15,10,FALSE))</f>
        <v>1</v>
      </c>
      <c r="J139" s="245">
        <f t="shared" si="542"/>
        <v>5781203</v>
      </c>
      <c r="K139" s="245">
        <f t="shared" si="543"/>
        <v>5781203</v>
      </c>
      <c r="L139" s="245">
        <f t="shared" si="544"/>
        <v>5781203</v>
      </c>
      <c r="M139" s="245">
        <f t="shared" si="545"/>
        <v>5781203</v>
      </c>
      <c r="N139" s="432" t="s">
        <v>246</v>
      </c>
      <c r="O139" s="432" t="s">
        <v>245</v>
      </c>
      <c r="P139" s="433">
        <f>IF(B139="","",IF(OR(O139="N/A",O139=""),0,YEARFRAC('Borrowing Base'!$J$4,'Loan List'!O139)*12))</f>
        <v>0</v>
      </c>
      <c r="Q139" s="432" t="s">
        <v>246</v>
      </c>
      <c r="R139" s="434">
        <v>0.9850237595538629</v>
      </c>
      <c r="S139" s="435" t="str">
        <f t="shared" si="546"/>
        <v>No</v>
      </c>
      <c r="T139" s="434">
        <v>0.98249999988552683</v>
      </c>
      <c r="U139" s="436">
        <f t="shared" si="547"/>
        <v>0.5</v>
      </c>
      <c r="V139" s="436">
        <f t="shared" si="548"/>
        <v>0.72499999999999998</v>
      </c>
      <c r="W139" s="251">
        <f t="shared" ref="W139:W167" si="561">IF($C139="","",MIN($HP139:$HT139))</f>
        <v>5781203</v>
      </c>
      <c r="X139" s="432" t="s">
        <v>246</v>
      </c>
      <c r="Y139" s="437" t="s">
        <v>483</v>
      </c>
      <c r="Z139" s="437" t="s">
        <v>484</v>
      </c>
      <c r="AA139" s="438" t="s">
        <v>407</v>
      </c>
      <c r="AB139" s="438" t="s">
        <v>713</v>
      </c>
      <c r="AC139" s="439">
        <v>1.335821363501996</v>
      </c>
      <c r="AD139" s="439">
        <v>1.5905269453122814</v>
      </c>
      <c r="AE139" s="439">
        <v>2.2677854042185008</v>
      </c>
      <c r="AF139" s="439">
        <v>0.48034762504148054</v>
      </c>
      <c r="AG139" s="440">
        <v>3.8686834573574891</v>
      </c>
      <c r="AH139" s="440">
        <v>3.8686834573574891</v>
      </c>
      <c r="AI139" s="440">
        <v>3.8686834573574891</v>
      </c>
      <c r="AJ139" s="440">
        <v>3.8686834573574891</v>
      </c>
      <c r="AK139" s="441">
        <v>33945000</v>
      </c>
      <c r="AL139" s="441">
        <v>33945000</v>
      </c>
      <c r="AM139" s="258">
        <v>45838</v>
      </c>
      <c r="AN139" s="442" t="str">
        <f t="shared" si="549"/>
        <v>Tier 2</v>
      </c>
      <c r="AO139" s="443">
        <v>47241</v>
      </c>
      <c r="AP139" s="444">
        <f>IF(C139="","",DAYS360(Inputs!$J$8,AO139)/360)</f>
        <v>3.6916666666666669</v>
      </c>
      <c r="AQ139" s="444">
        <f t="shared" si="550"/>
        <v>3.6916666666666669</v>
      </c>
      <c r="AR139" s="432" t="s">
        <v>246</v>
      </c>
      <c r="AS139" s="445">
        <v>0</v>
      </c>
      <c r="AT139" s="432" t="s">
        <v>64</v>
      </c>
      <c r="AU139" s="446">
        <v>0.01</v>
      </c>
      <c r="AV139" s="446">
        <v>5.7500000000000002E-2</v>
      </c>
      <c r="AW139" s="446">
        <v>4.3169999999999993E-2</v>
      </c>
      <c r="AX139" s="260">
        <f t="shared" si="551"/>
        <v>4.3169999999999993E-2</v>
      </c>
      <c r="AY139" s="446">
        <v>0</v>
      </c>
      <c r="AZ139" s="446">
        <v>0</v>
      </c>
      <c r="BA139" s="446">
        <v>0</v>
      </c>
      <c r="BB139" s="447">
        <f t="shared" si="536"/>
        <v>5.7500000000000002E-2</v>
      </c>
      <c r="BC139" s="447" t="str">
        <f t="shared" si="537"/>
        <v/>
      </c>
      <c r="BD139" s="437" t="s">
        <v>249</v>
      </c>
      <c r="BE139" s="448" t="s">
        <v>429</v>
      </c>
      <c r="BF139" s="437" t="s">
        <v>7</v>
      </c>
      <c r="BG139" s="437" t="s">
        <v>460</v>
      </c>
      <c r="BH139" s="432" t="s">
        <v>246</v>
      </c>
      <c r="BI139" s="449" t="str">
        <f t="shared" si="559"/>
        <v>No</v>
      </c>
      <c r="BJ139" s="449" t="str">
        <f t="shared" si="560"/>
        <v>No</v>
      </c>
      <c r="BK139" s="432" t="s">
        <v>246</v>
      </c>
      <c r="BL139" s="432" t="s">
        <v>246</v>
      </c>
      <c r="BM139" s="246" t="s">
        <v>64</v>
      </c>
      <c r="BN139" s="246" t="s">
        <v>64</v>
      </c>
      <c r="BO139" s="432" t="s">
        <v>246</v>
      </c>
      <c r="BP139" s="432" t="s">
        <v>246</v>
      </c>
      <c r="BQ139" s="432" t="s">
        <v>246</v>
      </c>
      <c r="BR139" s="432" t="s">
        <v>246</v>
      </c>
      <c r="BS139" s="432" t="s">
        <v>246</v>
      </c>
      <c r="BT139" s="432" t="s">
        <v>246</v>
      </c>
      <c r="BU139" s="432" t="s">
        <v>246</v>
      </c>
      <c r="BV139" s="432" t="s">
        <v>246</v>
      </c>
      <c r="BW139" s="432" t="s">
        <v>246</v>
      </c>
      <c r="BX139" s="432" t="s">
        <v>246</v>
      </c>
      <c r="BY139" s="432" t="s">
        <v>246</v>
      </c>
      <c r="BZ139" s="432" t="s">
        <v>246</v>
      </c>
      <c r="CA139" s="432" t="s">
        <v>246</v>
      </c>
      <c r="CB139" s="432" t="s">
        <v>64</v>
      </c>
      <c r="CC139" s="450">
        <f t="shared" si="552"/>
        <v>332116.2374628</v>
      </c>
      <c r="CD139" s="450">
        <f t="shared" si="553"/>
        <v>0</v>
      </c>
      <c r="CF139" s="263">
        <f t="shared" si="403"/>
        <v>0</v>
      </c>
      <c r="CG139" s="263">
        <f t="shared" si="404"/>
        <v>0</v>
      </c>
      <c r="CH139" s="263">
        <f t="shared" si="405"/>
        <v>0</v>
      </c>
      <c r="CI139" s="263">
        <f t="shared" si="406"/>
        <v>0</v>
      </c>
      <c r="CJ139" s="263">
        <f t="shared" si="407"/>
        <v>0</v>
      </c>
      <c r="CK139" s="263">
        <f t="shared" si="408"/>
        <v>0</v>
      </c>
      <c r="CL139" s="263">
        <f t="shared" si="409"/>
        <v>0</v>
      </c>
      <c r="CM139" s="263">
        <f t="shared" si="410"/>
        <v>0</v>
      </c>
      <c r="CN139" s="263">
        <f t="shared" si="411"/>
        <v>0</v>
      </c>
      <c r="CO139" s="263">
        <f t="shared" si="412"/>
        <v>0</v>
      </c>
      <c r="CP139" s="263">
        <f t="shared" si="413"/>
        <v>0</v>
      </c>
      <c r="CQ139" s="263">
        <f t="shared" si="414"/>
        <v>0</v>
      </c>
      <c r="CR139" s="263">
        <f t="shared" si="415"/>
        <v>0</v>
      </c>
      <c r="CS139" s="263">
        <f t="shared" si="416"/>
        <v>0</v>
      </c>
      <c r="CT139" s="263">
        <f t="shared" si="417"/>
        <v>0</v>
      </c>
      <c r="CU139" s="263">
        <f t="shared" si="418"/>
        <v>0</v>
      </c>
      <c r="CV139" s="263">
        <f t="shared" si="419"/>
        <v>0</v>
      </c>
      <c r="CW139" s="263">
        <f t="shared" si="420"/>
        <v>0</v>
      </c>
      <c r="CX139" s="263">
        <f t="shared" si="421"/>
        <v>0</v>
      </c>
      <c r="CY139" s="263">
        <f t="shared" si="422"/>
        <v>0</v>
      </c>
      <c r="CZ139" s="263">
        <f t="shared" si="423"/>
        <v>0</v>
      </c>
      <c r="DA139" s="263">
        <f t="shared" si="424"/>
        <v>0</v>
      </c>
      <c r="DB139" s="263">
        <f t="shared" si="425"/>
        <v>0</v>
      </c>
      <c r="DC139" s="263">
        <f t="shared" si="426"/>
        <v>0</v>
      </c>
      <c r="DD139" s="263">
        <f t="shared" si="427"/>
        <v>0</v>
      </c>
      <c r="DE139" s="263">
        <f t="shared" si="428"/>
        <v>0</v>
      </c>
      <c r="DF139" s="263">
        <f t="shared" si="429"/>
        <v>5781203</v>
      </c>
      <c r="DG139" s="263">
        <f t="shared" si="430"/>
        <v>0</v>
      </c>
      <c r="DH139" s="263">
        <f t="shared" si="431"/>
        <v>5781203</v>
      </c>
      <c r="DI139" s="263">
        <f t="shared" si="432"/>
        <v>5781203</v>
      </c>
      <c r="DJ139" s="263">
        <f t="shared" si="433"/>
        <v>0</v>
      </c>
      <c r="DK139" s="263">
        <f t="shared" si="434"/>
        <v>0</v>
      </c>
      <c r="DL139" s="263">
        <f t="shared" si="435"/>
        <v>0</v>
      </c>
      <c r="DM139" s="263">
        <f t="shared" si="436"/>
        <v>0</v>
      </c>
      <c r="DO139" s="264">
        <f t="shared" si="437"/>
        <v>0</v>
      </c>
      <c r="DP139" s="265">
        <f t="shared" si="438"/>
        <v>0</v>
      </c>
      <c r="DQ139" s="264">
        <f t="shared" si="439"/>
        <v>5781203</v>
      </c>
      <c r="DR139" s="264">
        <f t="shared" si="440"/>
        <v>0</v>
      </c>
      <c r="DS139" s="265">
        <f t="shared" si="441"/>
        <v>0</v>
      </c>
      <c r="DT139" s="264">
        <f t="shared" si="442"/>
        <v>5781203</v>
      </c>
      <c r="DU139" s="264">
        <f t="shared" si="443"/>
        <v>0</v>
      </c>
      <c r="DV139" s="265">
        <f t="shared" si="444"/>
        <v>0</v>
      </c>
      <c r="DW139" s="264">
        <f t="shared" si="445"/>
        <v>5781203</v>
      </c>
      <c r="DX139" s="264">
        <f t="shared" si="446"/>
        <v>0</v>
      </c>
      <c r="DY139" s="265">
        <f t="shared" si="447"/>
        <v>0</v>
      </c>
      <c r="DZ139" s="264">
        <f t="shared" si="448"/>
        <v>5781203</v>
      </c>
      <c r="EA139" s="264">
        <f t="shared" si="449"/>
        <v>0</v>
      </c>
      <c r="EB139" s="265">
        <f t="shared" si="450"/>
        <v>0</v>
      </c>
      <c r="EC139" s="264">
        <f t="shared" si="451"/>
        <v>5781203</v>
      </c>
      <c r="ED139" s="264">
        <f t="shared" si="452"/>
        <v>0</v>
      </c>
      <c r="EE139" s="265">
        <f t="shared" si="453"/>
        <v>0</v>
      </c>
      <c r="EF139" s="264">
        <f t="shared" si="454"/>
        <v>5781203</v>
      </c>
      <c r="EG139" s="264">
        <f t="shared" si="455"/>
        <v>0</v>
      </c>
      <c r="EH139" s="265">
        <f t="shared" si="456"/>
        <v>0</v>
      </c>
      <c r="EI139" s="264">
        <f t="shared" si="457"/>
        <v>5781203</v>
      </c>
      <c r="EJ139" s="264">
        <f t="shared" si="458"/>
        <v>0</v>
      </c>
      <c r="EK139" s="265">
        <f t="shared" si="459"/>
        <v>0</v>
      </c>
      <c r="EL139" s="264">
        <f t="shared" si="460"/>
        <v>5781203</v>
      </c>
      <c r="EM139" s="264">
        <f t="shared" si="461"/>
        <v>0</v>
      </c>
      <c r="EN139" s="265">
        <f t="shared" si="462"/>
        <v>0</v>
      </c>
      <c r="EO139" s="264">
        <f t="shared" si="463"/>
        <v>5781203</v>
      </c>
      <c r="EP139" s="264">
        <f t="shared" si="464"/>
        <v>0</v>
      </c>
      <c r="EQ139" s="265">
        <f t="shared" si="465"/>
        <v>0</v>
      </c>
      <c r="ER139" s="264">
        <f t="shared" si="466"/>
        <v>5781203</v>
      </c>
      <c r="ES139" s="264">
        <f t="shared" si="467"/>
        <v>0</v>
      </c>
      <c r="ET139" s="265">
        <f t="shared" si="468"/>
        <v>0</v>
      </c>
      <c r="EU139" s="264">
        <f t="shared" si="469"/>
        <v>5781203</v>
      </c>
      <c r="EV139" s="264">
        <f>IF(AND(BM139="Yes",OR(BN139="No",AND(BN139="Yes",Inputs!$J$8=Inputs!$J$17+75))),EU139,0)</f>
        <v>0</v>
      </c>
      <c r="EW139" s="265">
        <f t="shared" si="470"/>
        <v>0</v>
      </c>
      <c r="EX139" s="264">
        <f t="shared" si="471"/>
        <v>5781203</v>
      </c>
      <c r="EY139" s="264">
        <f t="shared" si="472"/>
        <v>0</v>
      </c>
      <c r="EZ139" s="265">
        <f t="shared" si="473"/>
        <v>0</v>
      </c>
      <c r="FA139" s="264">
        <f t="shared" si="474"/>
        <v>5781203</v>
      </c>
      <c r="FB139" s="264">
        <f t="shared" si="475"/>
        <v>0</v>
      </c>
      <c r="FC139" s="265">
        <f t="shared" si="476"/>
        <v>0</v>
      </c>
      <c r="FD139" s="264">
        <f t="shared" si="477"/>
        <v>5781203</v>
      </c>
      <c r="FE139" s="264">
        <f t="shared" si="478"/>
        <v>0</v>
      </c>
      <c r="FF139" s="265">
        <f t="shared" si="479"/>
        <v>0</v>
      </c>
      <c r="FG139" s="264">
        <f t="shared" si="480"/>
        <v>5781203</v>
      </c>
      <c r="FH139" s="264">
        <f t="shared" si="481"/>
        <v>5781203</v>
      </c>
      <c r="FI139" s="264">
        <f t="shared" si="482"/>
        <v>0</v>
      </c>
      <c r="FJ139" s="264">
        <f t="shared" si="483"/>
        <v>5781203</v>
      </c>
      <c r="FK139" s="264">
        <f t="shared" si="484"/>
        <v>5781203</v>
      </c>
      <c r="FL139" s="264">
        <f t="shared" si="485"/>
        <v>0</v>
      </c>
      <c r="FM139" s="264">
        <f t="shared" si="486"/>
        <v>5781203</v>
      </c>
      <c r="FN139" s="264">
        <f t="shared" si="487"/>
        <v>5781203</v>
      </c>
      <c r="FO139" s="264">
        <f t="shared" si="488"/>
        <v>0</v>
      </c>
      <c r="FP139" s="264">
        <f t="shared" si="489"/>
        <v>5781203</v>
      </c>
      <c r="FQ139" s="264">
        <f t="shared" si="490"/>
        <v>0</v>
      </c>
      <c r="FR139" s="265">
        <f t="shared" si="491"/>
        <v>0</v>
      </c>
      <c r="FS139" s="264">
        <f t="shared" si="492"/>
        <v>5781203</v>
      </c>
      <c r="FT139" s="264">
        <f t="shared" si="493"/>
        <v>0</v>
      </c>
      <c r="FU139" s="265">
        <f t="shared" si="494"/>
        <v>0</v>
      </c>
      <c r="FV139" s="264">
        <f t="shared" si="495"/>
        <v>5781203</v>
      </c>
      <c r="FW139" s="264">
        <f t="shared" si="496"/>
        <v>0</v>
      </c>
      <c r="FX139" s="264">
        <f t="shared" si="497"/>
        <v>0</v>
      </c>
      <c r="FY139" s="264">
        <f t="shared" si="498"/>
        <v>0</v>
      </c>
      <c r="FZ139" s="264">
        <f t="shared" si="499"/>
        <v>0</v>
      </c>
      <c r="GA139" s="265">
        <f t="shared" si="500"/>
        <v>0</v>
      </c>
      <c r="GB139" s="264">
        <f t="shared" si="501"/>
        <v>5781203</v>
      </c>
      <c r="GC139" s="264">
        <f t="shared" si="502"/>
        <v>5781203</v>
      </c>
      <c r="GD139" s="266">
        <f t="shared" si="503"/>
        <v>4191372.1749999998</v>
      </c>
      <c r="GE139" s="138">
        <f t="shared" si="504"/>
        <v>0.72499999999999998</v>
      </c>
      <c r="GF139" s="267">
        <f t="shared" si="505"/>
        <v>42</v>
      </c>
      <c r="GG139" s="264">
        <f t="array" ref="GG139">IF(SUM(IF(IC$9:IC138=IC139,1,0))&gt;0,0,SUMIF($IC$10:$IC$406,IC139,$FJ$10:$FJ$406))</f>
        <v>0</v>
      </c>
      <c r="GH139" s="268">
        <f t="shared" si="506"/>
        <v>0</v>
      </c>
      <c r="GI139" s="137">
        <f t="shared" si="126"/>
        <v>130</v>
      </c>
      <c r="GJ139" s="269">
        <f t="shared" si="507"/>
        <v>0</v>
      </c>
      <c r="GK139" s="269">
        <f t="shared" si="508"/>
        <v>0</v>
      </c>
      <c r="GL139" s="163">
        <f t="shared" si="509"/>
        <v>0</v>
      </c>
      <c r="GM139" s="137">
        <f t="array" ref="GM139">IF(GJ139=0,0,LARGE(IF($GG$10:$GG$406=GJ139,$GF$10:$GF$406,0),COUNTIF($GJ$10:$GJ$406,GJ139)-COUNTIF(GJ$9:GJ138,GJ139)))</f>
        <v>0</v>
      </c>
      <c r="GN139" s="270">
        <f t="shared" si="510"/>
        <v>0</v>
      </c>
      <c r="GP139" s="137">
        <f>IF(C139="","",IF(ISERROR(MATCH(C139,C$10:C138,0)),MAX(GP$10:GP138)+1,INDEX(GP$10:GP138,MATCH(C139,C$10:C138,0))))</f>
        <v>99</v>
      </c>
      <c r="GQ139" s="264">
        <f>IF(COUNTIF($A$10:A139,A139)&lt;=1,SUMIF($A$10:$A$406,A139,$FH$10:$FH$406),0)</f>
        <v>0</v>
      </c>
      <c r="GR139" s="137">
        <f t="shared" si="130"/>
        <v>130</v>
      </c>
      <c r="GS139" s="269">
        <f t="shared" si="554"/>
        <v>0</v>
      </c>
      <c r="GT139" s="269">
        <f t="shared" si="555"/>
        <v>0</v>
      </c>
      <c r="GU139" s="163">
        <f t="shared" si="556"/>
        <v>0</v>
      </c>
      <c r="GV139" s="137">
        <f t="array" ref="GV139">IF(GS139=0,0,LARGE(IF($GQ$10:$GQ$406=GS139,$GP$10:$GP$406,0),COUNTIF($GS$10:$GS$406,GS139)-COUNTIF(GS$9:GS138,GS139)))</f>
        <v>0</v>
      </c>
      <c r="GW139" s="270">
        <f t="shared" si="557"/>
        <v>0</v>
      </c>
      <c r="GY139" s="137">
        <f>IF(C139="","",IF(ISERROR(MATCH(C139,C$10:C138,0)),MAX(GP$10:GP138)+1,INDEX(GP$10:GP138,MATCH(C139,C$10:C138,0))))</f>
        <v>99</v>
      </c>
      <c r="GZ139" s="264">
        <f>IF(COUNTIF($A$10:A139,A139)&lt;=1,SUMIF($A$10:$A$406,A139,$FH$10:$FH$406),0)</f>
        <v>0</v>
      </c>
      <c r="HA139" s="137">
        <f t="shared" si="134"/>
        <v>130</v>
      </c>
      <c r="HB139" s="269">
        <f t="shared" si="515"/>
        <v>0</v>
      </c>
      <c r="HC139" s="414" t="s">
        <v>622</v>
      </c>
      <c r="HD139" s="163">
        <f t="shared" si="516"/>
        <v>0</v>
      </c>
      <c r="HE139" s="137">
        <f t="array" ref="HE139">IF(HB139=0,0,LARGE(IF($GZ$10:$GZ$406=HB139,$GY$10:$GY$406,0),COUNTIF($HB$10:$HB$406,HB139)-COUNTIF(HB$9:HB138,HB139)))</f>
        <v>0</v>
      </c>
      <c r="HF139" s="270">
        <f t="shared" si="517"/>
        <v>0</v>
      </c>
      <c r="HH139" s="268">
        <f t="shared" si="518"/>
        <v>0</v>
      </c>
      <c r="HI139" s="271">
        <v>0</v>
      </c>
      <c r="HJ139" s="264">
        <f t="shared" si="519"/>
        <v>0</v>
      </c>
      <c r="HL139" s="137" t="str">
        <f t="shared" si="520"/>
        <v/>
      </c>
      <c r="HM139" s="264">
        <f t="shared" si="521"/>
        <v>0</v>
      </c>
      <c r="HO139" s="199">
        <f t="shared" si="522"/>
        <v>5781203</v>
      </c>
      <c r="HP139" s="199">
        <f t="shared" si="523"/>
        <v>5781203</v>
      </c>
      <c r="HQ139" s="199" t="str">
        <f t="shared" si="524"/>
        <v/>
      </c>
      <c r="HR139" s="199" t="str">
        <f t="shared" si="525"/>
        <v/>
      </c>
      <c r="HS139" s="199" t="str">
        <f t="shared" si="539"/>
        <v/>
      </c>
      <c r="HT139" s="199" t="str">
        <f t="shared" si="526"/>
        <v/>
      </c>
      <c r="HU139" s="199" t="str">
        <f t="shared" si="527"/>
        <v/>
      </c>
      <c r="HV139" s="200">
        <f t="shared" si="528"/>
        <v>0</v>
      </c>
      <c r="HW139" s="272">
        <f t="shared" si="540"/>
        <v>1</v>
      </c>
      <c r="HX139" s="200" t="str">
        <f t="shared" si="529"/>
        <v/>
      </c>
      <c r="HY139" s="200">
        <f t="shared" si="530"/>
        <v>0</v>
      </c>
      <c r="HZ139" s="200" t="str">
        <f t="shared" si="535"/>
        <v/>
      </c>
      <c r="IA139" s="200" t="str">
        <f t="shared" si="531"/>
        <v/>
      </c>
      <c r="IB139" s="200" t="str">
        <f t="shared" si="532"/>
        <v/>
      </c>
      <c r="IC139" s="273">
        <f>IF(C139="","",INDEX(Lookups!$E$2:$E$69,MATCH('Loan List'!BE139,Lookups!$F$2:$F$69,0)))</f>
        <v>42</v>
      </c>
      <c r="ID139" t="b">
        <f t="shared" si="533"/>
        <v>1</v>
      </c>
    </row>
    <row r="140" spans="1:238">
      <c r="A140" t="s">
        <v>672</v>
      </c>
      <c r="B140" s="242">
        <f t="shared" si="541"/>
        <v>131</v>
      </c>
      <c r="C140" s="242">
        <f>IF(COUNTIF($A$10:A139,A140)&gt;0,C139,C139+1)</f>
        <v>100</v>
      </c>
      <c r="D140" s="428" t="s">
        <v>672</v>
      </c>
      <c r="E140" s="428" t="s">
        <v>665</v>
      </c>
      <c r="F140" s="429"/>
      <c r="G140" s="430">
        <v>11940000</v>
      </c>
      <c r="H140" s="430">
        <v>11940000</v>
      </c>
      <c r="I140" s="244">
        <f>IF(B140="","",VLOOKUP(BF140,Inputs!$A$12:$J$15,10,FALSE))</f>
        <v>1</v>
      </c>
      <c r="J140" s="245">
        <f t="shared" si="542"/>
        <v>11940000</v>
      </c>
      <c r="K140" s="245">
        <f t="shared" si="543"/>
        <v>11940000</v>
      </c>
      <c r="L140" s="245">
        <f t="shared" si="544"/>
        <v>11940000</v>
      </c>
      <c r="M140" s="245">
        <f t="shared" si="545"/>
        <v>11940000</v>
      </c>
      <c r="N140" s="432" t="s">
        <v>246</v>
      </c>
      <c r="O140" s="432" t="s">
        <v>245</v>
      </c>
      <c r="P140" s="433">
        <f>IF(B140="","",IF(OR(O140="N/A",O140=""),0,YEARFRAC('Borrowing Base'!$J$4,'Loan List'!O140)*12))</f>
        <v>0</v>
      </c>
      <c r="Q140" s="432" t="s">
        <v>246</v>
      </c>
      <c r="R140" s="434">
        <v>0.99</v>
      </c>
      <c r="S140" s="435" t="str">
        <f t="shared" si="546"/>
        <v>No</v>
      </c>
      <c r="T140" s="434">
        <v>1</v>
      </c>
      <c r="U140" s="436">
        <f t="shared" si="547"/>
        <v>0.5</v>
      </c>
      <c r="V140" s="436">
        <f t="shared" si="548"/>
        <v>0.72499999999999998</v>
      </c>
      <c r="W140" s="251">
        <f t="shared" si="561"/>
        <v>11940000</v>
      </c>
      <c r="X140" s="432" t="s">
        <v>246</v>
      </c>
      <c r="Y140" s="437" t="s">
        <v>483</v>
      </c>
      <c r="Z140" s="437" t="s">
        <v>484</v>
      </c>
      <c r="AA140" s="438" t="s">
        <v>407</v>
      </c>
      <c r="AB140" s="438" t="s">
        <v>713</v>
      </c>
      <c r="AC140" s="439">
        <v>1.4537444933920705</v>
      </c>
      <c r="AD140" s="439">
        <v>2.8120515988233188</v>
      </c>
      <c r="AE140" s="439">
        <v>3.6742698077649858</v>
      </c>
      <c r="AF140" s="439">
        <v>0.65381968341362695</v>
      </c>
      <c r="AG140" s="440">
        <v>4.75</v>
      </c>
      <c r="AH140" s="440">
        <v>4.75</v>
      </c>
      <c r="AI140" s="440">
        <v>3.4180807470041832</v>
      </c>
      <c r="AJ140" s="440">
        <v>3.4180807470041832</v>
      </c>
      <c r="AK140" s="441">
        <v>20000000</v>
      </c>
      <c r="AL140" s="441">
        <v>26113910</v>
      </c>
      <c r="AM140" s="258">
        <v>45838</v>
      </c>
      <c r="AN140" s="442" t="str">
        <f t="shared" si="549"/>
        <v>Tier 2</v>
      </c>
      <c r="AO140" s="443">
        <v>47787</v>
      </c>
      <c r="AP140" s="444">
        <f>IF(C140="","",DAYS360(Inputs!$J$8,AO140)/360)</f>
        <v>5.1861111111111109</v>
      </c>
      <c r="AQ140" s="444">
        <f t="shared" si="550"/>
        <v>5.1861111111111109</v>
      </c>
      <c r="AR140" s="432" t="s">
        <v>246</v>
      </c>
      <c r="AS140" s="445">
        <v>0</v>
      </c>
      <c r="AT140" s="432" t="s">
        <v>64</v>
      </c>
      <c r="AU140" s="446">
        <v>0.01</v>
      </c>
      <c r="AV140" s="446">
        <v>5.7500000000000002E-2</v>
      </c>
      <c r="AW140" s="446">
        <v>4.3169999999999993E-2</v>
      </c>
      <c r="AX140" s="260">
        <f t="shared" si="551"/>
        <v>4.3169999999999993E-2</v>
      </c>
      <c r="AY140" s="446">
        <v>0</v>
      </c>
      <c r="AZ140" s="446">
        <v>0</v>
      </c>
      <c r="BA140" s="446">
        <v>0</v>
      </c>
      <c r="BB140" s="447">
        <f t="shared" si="536"/>
        <v>5.7500000000000002E-2</v>
      </c>
      <c r="BC140" s="447" t="str">
        <f t="shared" si="537"/>
        <v/>
      </c>
      <c r="BD140" s="437" t="s">
        <v>249</v>
      </c>
      <c r="BE140" s="448" t="s">
        <v>427</v>
      </c>
      <c r="BF140" s="437" t="s">
        <v>7</v>
      </c>
      <c r="BG140" s="437" t="s">
        <v>460</v>
      </c>
      <c r="BH140" s="432" t="s">
        <v>246</v>
      </c>
      <c r="BI140" s="449" t="str">
        <f t="shared" si="559"/>
        <v>No</v>
      </c>
      <c r="BJ140" s="449" t="str">
        <f t="shared" si="560"/>
        <v>No</v>
      </c>
      <c r="BK140" s="432" t="s">
        <v>246</v>
      </c>
      <c r="BL140" s="432" t="s">
        <v>246</v>
      </c>
      <c r="BM140" s="432" t="s">
        <v>246</v>
      </c>
      <c r="BN140" s="432" t="s">
        <v>246</v>
      </c>
      <c r="BO140" s="432" t="s">
        <v>246</v>
      </c>
      <c r="BP140" s="432" t="s">
        <v>246</v>
      </c>
      <c r="BQ140" s="432" t="s">
        <v>246</v>
      </c>
      <c r="BR140" s="432" t="s">
        <v>246</v>
      </c>
      <c r="BS140" s="432" t="s">
        <v>246</v>
      </c>
      <c r="BT140" s="432" t="s">
        <v>246</v>
      </c>
      <c r="BU140" s="432" t="s">
        <v>246</v>
      </c>
      <c r="BV140" s="432" t="s">
        <v>246</v>
      </c>
      <c r="BW140" s="432" t="s">
        <v>246</v>
      </c>
      <c r="BX140" s="432" t="s">
        <v>246</v>
      </c>
      <c r="BY140" s="432" t="s">
        <v>246</v>
      </c>
      <c r="BZ140" s="432" t="s">
        <v>246</v>
      </c>
      <c r="CA140" s="432" t="s">
        <v>246</v>
      </c>
      <c r="CB140" s="432" t="s">
        <v>64</v>
      </c>
      <c r="CC140" s="450">
        <f t="shared" si="552"/>
        <v>685924.34399999992</v>
      </c>
      <c r="CD140" s="450">
        <f t="shared" si="553"/>
        <v>0</v>
      </c>
      <c r="CF140" s="263">
        <f t="shared" si="403"/>
        <v>0</v>
      </c>
      <c r="CG140" s="263">
        <f t="shared" si="404"/>
        <v>0</v>
      </c>
      <c r="CH140" s="263">
        <f t="shared" si="405"/>
        <v>0</v>
      </c>
      <c r="CI140" s="263">
        <f t="shared" si="406"/>
        <v>0</v>
      </c>
      <c r="CJ140" s="263">
        <f t="shared" si="407"/>
        <v>0</v>
      </c>
      <c r="CK140" s="263">
        <f t="shared" si="408"/>
        <v>0</v>
      </c>
      <c r="CL140" s="263">
        <f t="shared" si="409"/>
        <v>0</v>
      </c>
      <c r="CM140" s="263">
        <f t="shared" si="410"/>
        <v>0</v>
      </c>
      <c r="CN140" s="263">
        <f t="shared" si="411"/>
        <v>0</v>
      </c>
      <c r="CO140" s="263">
        <f t="shared" si="412"/>
        <v>0</v>
      </c>
      <c r="CP140" s="263">
        <f t="shared" si="413"/>
        <v>0</v>
      </c>
      <c r="CQ140" s="263">
        <f t="shared" si="414"/>
        <v>0</v>
      </c>
      <c r="CR140" s="263">
        <f t="shared" si="415"/>
        <v>0</v>
      </c>
      <c r="CS140" s="263">
        <f t="shared" si="416"/>
        <v>0</v>
      </c>
      <c r="CT140" s="263">
        <f t="shared" si="417"/>
        <v>0</v>
      </c>
      <c r="CU140" s="263">
        <f t="shared" si="418"/>
        <v>0</v>
      </c>
      <c r="CV140" s="263">
        <f t="shared" si="419"/>
        <v>0</v>
      </c>
      <c r="CW140" s="263">
        <f t="shared" si="420"/>
        <v>0</v>
      </c>
      <c r="CX140" s="263">
        <f t="shared" si="421"/>
        <v>0</v>
      </c>
      <c r="CY140" s="263">
        <f t="shared" si="422"/>
        <v>0</v>
      </c>
      <c r="CZ140" s="263">
        <f t="shared" si="423"/>
        <v>0</v>
      </c>
      <c r="DA140" s="263">
        <f t="shared" si="424"/>
        <v>0</v>
      </c>
      <c r="DB140" s="263">
        <f t="shared" si="425"/>
        <v>0</v>
      </c>
      <c r="DC140" s="263">
        <f t="shared" si="426"/>
        <v>0</v>
      </c>
      <c r="DD140" s="263">
        <f t="shared" si="427"/>
        <v>0</v>
      </c>
      <c r="DE140" s="263">
        <f t="shared" si="428"/>
        <v>0</v>
      </c>
      <c r="DF140" s="263">
        <f t="shared" si="429"/>
        <v>11940000</v>
      </c>
      <c r="DG140" s="263">
        <f t="shared" si="430"/>
        <v>0</v>
      </c>
      <c r="DH140" s="263">
        <f t="shared" si="431"/>
        <v>11940000</v>
      </c>
      <c r="DI140" s="263">
        <f t="shared" si="432"/>
        <v>11940000</v>
      </c>
      <c r="DJ140" s="263">
        <f t="shared" si="433"/>
        <v>0</v>
      </c>
      <c r="DK140" s="263">
        <f t="shared" si="434"/>
        <v>0</v>
      </c>
      <c r="DL140" s="263">
        <f t="shared" si="435"/>
        <v>0</v>
      </c>
      <c r="DM140" s="263">
        <f t="shared" si="436"/>
        <v>0</v>
      </c>
      <c r="DO140" s="264">
        <f t="shared" si="437"/>
        <v>0</v>
      </c>
      <c r="DP140" s="265">
        <f t="shared" si="438"/>
        <v>0</v>
      </c>
      <c r="DQ140" s="264">
        <f t="shared" si="439"/>
        <v>11940000</v>
      </c>
      <c r="DR140" s="264">
        <f t="shared" si="440"/>
        <v>0</v>
      </c>
      <c r="DS140" s="265">
        <f t="shared" si="441"/>
        <v>0</v>
      </c>
      <c r="DT140" s="264">
        <f t="shared" si="442"/>
        <v>11940000</v>
      </c>
      <c r="DU140" s="264">
        <f t="shared" si="443"/>
        <v>0</v>
      </c>
      <c r="DV140" s="265">
        <f t="shared" si="444"/>
        <v>0</v>
      </c>
      <c r="DW140" s="264">
        <f t="shared" si="445"/>
        <v>11940000</v>
      </c>
      <c r="DX140" s="264">
        <f t="shared" si="446"/>
        <v>0</v>
      </c>
      <c r="DY140" s="265">
        <f t="shared" si="447"/>
        <v>0</v>
      </c>
      <c r="DZ140" s="264">
        <f t="shared" si="448"/>
        <v>11940000</v>
      </c>
      <c r="EA140" s="264">
        <f t="shared" si="449"/>
        <v>0</v>
      </c>
      <c r="EB140" s="265">
        <f t="shared" si="450"/>
        <v>0</v>
      </c>
      <c r="EC140" s="264">
        <f t="shared" si="451"/>
        <v>11940000</v>
      </c>
      <c r="ED140" s="264">
        <f t="shared" si="452"/>
        <v>0</v>
      </c>
      <c r="EE140" s="265">
        <f t="shared" si="453"/>
        <v>0</v>
      </c>
      <c r="EF140" s="264">
        <f t="shared" si="454"/>
        <v>11940000</v>
      </c>
      <c r="EG140" s="264">
        <f t="shared" si="455"/>
        <v>0</v>
      </c>
      <c r="EH140" s="265">
        <f t="shared" si="456"/>
        <v>0</v>
      </c>
      <c r="EI140" s="264">
        <f t="shared" si="457"/>
        <v>11940000</v>
      </c>
      <c r="EJ140" s="264">
        <f t="shared" si="458"/>
        <v>0</v>
      </c>
      <c r="EK140" s="265">
        <f t="shared" si="459"/>
        <v>0</v>
      </c>
      <c r="EL140" s="264">
        <f t="shared" si="460"/>
        <v>11940000</v>
      </c>
      <c r="EM140" s="264">
        <f t="shared" si="461"/>
        <v>0</v>
      </c>
      <c r="EN140" s="265">
        <f t="shared" si="462"/>
        <v>0</v>
      </c>
      <c r="EO140" s="264">
        <f t="shared" si="463"/>
        <v>11940000</v>
      </c>
      <c r="EP140" s="264">
        <f t="shared" si="464"/>
        <v>0</v>
      </c>
      <c r="EQ140" s="265">
        <f t="shared" si="465"/>
        <v>0</v>
      </c>
      <c r="ER140" s="264">
        <f t="shared" si="466"/>
        <v>11940000</v>
      </c>
      <c r="ES140" s="264">
        <f t="shared" si="467"/>
        <v>0</v>
      </c>
      <c r="ET140" s="265">
        <f t="shared" si="468"/>
        <v>0</v>
      </c>
      <c r="EU140" s="264">
        <f t="shared" si="469"/>
        <v>11940000</v>
      </c>
      <c r="EV140" s="264">
        <f>IF(AND(BM140="Yes",OR(BN140="No",AND(BN140="Yes",Inputs!$J$8=Inputs!$J$17+75))),EU140,0)</f>
        <v>0</v>
      </c>
      <c r="EW140" s="265">
        <f t="shared" si="470"/>
        <v>0</v>
      </c>
      <c r="EX140" s="264">
        <f t="shared" si="471"/>
        <v>11940000</v>
      </c>
      <c r="EY140" s="264">
        <f t="shared" si="472"/>
        <v>0</v>
      </c>
      <c r="EZ140" s="265">
        <f t="shared" si="473"/>
        <v>0</v>
      </c>
      <c r="FA140" s="264">
        <f t="shared" si="474"/>
        <v>11940000</v>
      </c>
      <c r="FB140" s="264">
        <f t="shared" si="475"/>
        <v>0</v>
      </c>
      <c r="FC140" s="265">
        <f t="shared" si="476"/>
        <v>0</v>
      </c>
      <c r="FD140" s="264">
        <f t="shared" si="477"/>
        <v>11940000</v>
      </c>
      <c r="FE140" s="264">
        <f t="shared" si="478"/>
        <v>0</v>
      </c>
      <c r="FF140" s="265">
        <f t="shared" si="479"/>
        <v>0</v>
      </c>
      <c r="FG140" s="264">
        <f t="shared" si="480"/>
        <v>11940000</v>
      </c>
      <c r="FH140" s="264">
        <f t="shared" si="481"/>
        <v>11940000</v>
      </c>
      <c r="FI140" s="264">
        <f t="shared" si="482"/>
        <v>0</v>
      </c>
      <c r="FJ140" s="264">
        <f t="shared" si="483"/>
        <v>11940000</v>
      </c>
      <c r="FK140" s="264">
        <f t="shared" si="484"/>
        <v>11940000</v>
      </c>
      <c r="FL140" s="264">
        <f t="shared" si="485"/>
        <v>0</v>
      </c>
      <c r="FM140" s="264">
        <f t="shared" si="486"/>
        <v>11940000</v>
      </c>
      <c r="FN140" s="264">
        <f t="shared" si="487"/>
        <v>11940000</v>
      </c>
      <c r="FO140" s="264">
        <f t="shared" si="488"/>
        <v>0</v>
      </c>
      <c r="FP140" s="264">
        <f t="shared" si="489"/>
        <v>11940000</v>
      </c>
      <c r="FQ140" s="264">
        <f t="shared" si="490"/>
        <v>0</v>
      </c>
      <c r="FR140" s="265">
        <f t="shared" si="491"/>
        <v>0</v>
      </c>
      <c r="FS140" s="264">
        <f t="shared" si="492"/>
        <v>11940000</v>
      </c>
      <c r="FT140" s="264">
        <f t="shared" si="493"/>
        <v>0</v>
      </c>
      <c r="FU140" s="265">
        <f t="shared" si="494"/>
        <v>0</v>
      </c>
      <c r="FV140" s="264">
        <f t="shared" si="495"/>
        <v>11940000</v>
      </c>
      <c r="FW140" s="264">
        <f t="shared" si="496"/>
        <v>0</v>
      </c>
      <c r="FX140" s="264">
        <f t="shared" si="497"/>
        <v>0</v>
      </c>
      <c r="FY140" s="264">
        <f t="shared" si="498"/>
        <v>0</v>
      </c>
      <c r="FZ140" s="264">
        <f t="shared" si="499"/>
        <v>0</v>
      </c>
      <c r="GA140" s="265">
        <f t="shared" si="500"/>
        <v>0</v>
      </c>
      <c r="GB140" s="264">
        <f t="shared" si="501"/>
        <v>11940000</v>
      </c>
      <c r="GC140" s="264">
        <f t="shared" si="502"/>
        <v>11940000</v>
      </c>
      <c r="GD140" s="266">
        <f t="shared" si="503"/>
        <v>8656500</v>
      </c>
      <c r="GE140" s="138">
        <f t="shared" si="504"/>
        <v>0.72499999999999998</v>
      </c>
      <c r="GF140" s="267">
        <f t="shared" si="505"/>
        <v>41</v>
      </c>
      <c r="GG140" s="264">
        <f t="array" ref="GG140">IF(SUM(IF(IC$9:IC139=IC140,1,0))&gt;0,0,SUMIF($IC$10:$IC$406,IC140,$FJ$10:$FJ$406))</f>
        <v>0</v>
      </c>
      <c r="GH140" s="268">
        <f t="shared" si="506"/>
        <v>0</v>
      </c>
      <c r="GI140" s="137">
        <f t="shared" si="126"/>
        <v>131</v>
      </c>
      <c r="GJ140" s="269">
        <f t="shared" si="507"/>
        <v>0</v>
      </c>
      <c r="GK140" s="269">
        <f t="shared" si="508"/>
        <v>0</v>
      </c>
      <c r="GL140" s="163">
        <f t="shared" si="509"/>
        <v>0</v>
      </c>
      <c r="GM140" s="137">
        <f t="array" ref="GM140">IF(GJ140=0,0,LARGE(IF($GG$10:$GG$406=GJ140,$GF$10:$GF$406,0),COUNTIF($GJ$10:$GJ$406,GJ140)-COUNTIF(GJ$9:GJ139,GJ140)))</f>
        <v>0</v>
      </c>
      <c r="GN140" s="270">
        <f t="shared" si="510"/>
        <v>0</v>
      </c>
      <c r="GP140" s="137">
        <f>IF(C140="","",IF(ISERROR(MATCH(C140,C$10:C139,0)),MAX(GP$10:GP139)+1,INDEX(GP$10:GP139,MATCH(C140,C$10:C139,0))))</f>
        <v>100</v>
      </c>
      <c r="GQ140" s="264">
        <f>IF(COUNTIF($A$10:A140,A140)&lt;=1,SUMIF($A$10:$A$406,A140,$FH$10:$FH$406),0)</f>
        <v>11940000</v>
      </c>
      <c r="GR140" s="137">
        <f t="shared" si="130"/>
        <v>131</v>
      </c>
      <c r="GS140" s="269">
        <f t="shared" si="554"/>
        <v>0</v>
      </c>
      <c r="GT140" s="269">
        <f t="shared" si="555"/>
        <v>0</v>
      </c>
      <c r="GU140" s="163">
        <f t="shared" si="556"/>
        <v>0</v>
      </c>
      <c r="GV140" s="137">
        <f t="array" ref="GV140">IF(GS140=0,0,LARGE(IF($GQ$10:$GQ$406=GS140,$GP$10:$GP$406,0),COUNTIF($GS$10:$GS$406,GS140)-COUNTIF(GS$9:GS139,GS140)))</f>
        <v>0</v>
      </c>
      <c r="GW140" s="270">
        <f t="shared" si="557"/>
        <v>0</v>
      </c>
      <c r="GY140" s="137">
        <f>IF(C140="","",IF(ISERROR(MATCH(C140,C$10:C139,0)),MAX(GP$10:GP139)+1,INDEX(GP$10:GP139,MATCH(C140,C$10:C139,0))))</f>
        <v>100</v>
      </c>
      <c r="GZ140" s="264">
        <f>IF(COUNTIF($A$10:A140,A140)&lt;=1,SUMIF($A$10:$A$406,A140,$FH$10:$FH$406),0)</f>
        <v>11940000</v>
      </c>
      <c r="HA140" s="137">
        <f t="shared" si="134"/>
        <v>131</v>
      </c>
      <c r="HB140" s="269">
        <f t="shared" si="515"/>
        <v>0</v>
      </c>
      <c r="HC140" s="414" t="s">
        <v>622</v>
      </c>
      <c r="HD140" s="163">
        <f t="shared" si="516"/>
        <v>0</v>
      </c>
      <c r="HE140" s="137">
        <f t="array" ref="HE140">IF(HB140=0,0,LARGE(IF($GZ$10:$GZ$406=HB140,$GY$10:$GY$406,0),COUNTIF($HB$10:$HB$406,HB140)-COUNTIF(HB$9:HB139,HB140)))</f>
        <v>0</v>
      </c>
      <c r="HF140" s="270">
        <f t="shared" si="517"/>
        <v>0</v>
      </c>
      <c r="HH140" s="268">
        <f t="shared" si="518"/>
        <v>0</v>
      </c>
      <c r="HI140" s="271">
        <v>0</v>
      </c>
      <c r="HJ140" s="264">
        <f t="shared" si="519"/>
        <v>0</v>
      </c>
      <c r="HL140" s="137" t="str">
        <f t="shared" si="520"/>
        <v/>
      </c>
      <c r="HM140" s="264">
        <f t="shared" si="521"/>
        <v>0</v>
      </c>
      <c r="HO140" s="199">
        <f t="shared" si="522"/>
        <v>11940000</v>
      </c>
      <c r="HP140" s="199">
        <f t="shared" si="523"/>
        <v>11940000</v>
      </c>
      <c r="HQ140" s="199" t="str">
        <f t="shared" si="524"/>
        <v/>
      </c>
      <c r="HR140" s="199" t="str">
        <f t="shared" si="525"/>
        <v/>
      </c>
      <c r="HS140" s="199" t="str">
        <f t="shared" si="539"/>
        <v/>
      </c>
      <c r="HT140" s="199" t="str">
        <f t="shared" si="526"/>
        <v/>
      </c>
      <c r="HU140" s="199" t="str">
        <f t="shared" si="527"/>
        <v/>
      </c>
      <c r="HV140" s="200">
        <f t="shared" si="528"/>
        <v>0</v>
      </c>
      <c r="HW140" s="272">
        <f t="shared" si="540"/>
        <v>1</v>
      </c>
      <c r="HX140" s="200" t="str">
        <f t="shared" si="529"/>
        <v/>
      </c>
      <c r="HY140" s="200">
        <f t="shared" si="530"/>
        <v>0</v>
      </c>
      <c r="HZ140" s="200" t="str">
        <f t="shared" si="535"/>
        <v/>
      </c>
      <c r="IA140" s="200" t="str">
        <f t="shared" si="531"/>
        <v/>
      </c>
      <c r="IB140" s="200" t="str">
        <f t="shared" si="532"/>
        <v/>
      </c>
      <c r="IC140" s="273">
        <f>IF(C140="","",INDEX(Lookups!$E$2:$E$69,MATCH('Loan List'!BE140,Lookups!$F$2:$F$69,0)))</f>
        <v>41</v>
      </c>
      <c r="ID140" t="b">
        <f t="shared" si="533"/>
        <v>1</v>
      </c>
    </row>
    <row r="141" spans="1:238">
      <c r="A141" t="s">
        <v>789</v>
      </c>
      <c r="B141" s="242">
        <f t="shared" si="541"/>
        <v>132</v>
      </c>
      <c r="C141" s="242">
        <f>IF(COUNTIF($A$10:A140,A141)&gt;0,C140,C140+1)</f>
        <v>101</v>
      </c>
      <c r="D141" s="431" t="s">
        <v>789</v>
      </c>
      <c r="E141" s="428" t="s">
        <v>847</v>
      </c>
      <c r="F141" s="429"/>
      <c r="G141" s="430">
        <v>1068666</v>
      </c>
      <c r="H141" s="430">
        <v>1068666</v>
      </c>
      <c r="I141" s="244">
        <f>IF(B141="","",VLOOKUP(BF141,Inputs!$A$12:$J$15,10,FALSE))</f>
        <v>1</v>
      </c>
      <c r="J141" s="245">
        <f t="shared" si="542"/>
        <v>1068666</v>
      </c>
      <c r="K141" s="245">
        <f t="shared" si="543"/>
        <v>1068666</v>
      </c>
      <c r="L141" s="245">
        <f t="shared" si="544"/>
        <v>1068666</v>
      </c>
      <c r="M141" s="245">
        <f t="shared" si="545"/>
        <v>1068666</v>
      </c>
      <c r="N141" s="432" t="s">
        <v>246</v>
      </c>
      <c r="O141" s="432" t="s">
        <v>245</v>
      </c>
      <c r="P141" s="433">
        <f>IF(B141="","",IF(OR(O141="N/A",O141=""),0,YEARFRAC('Borrowing Base'!$J$4,'Loan List'!O141)*12))</f>
        <v>0</v>
      </c>
      <c r="Q141" s="432" t="s">
        <v>246</v>
      </c>
      <c r="R141" s="434">
        <v>0.97499999999999998</v>
      </c>
      <c r="S141" s="435" t="str">
        <f t="shared" si="546"/>
        <v>No</v>
      </c>
      <c r="T141" s="434">
        <v>0.97499999999999998</v>
      </c>
      <c r="U141" s="436">
        <f t="shared" si="547"/>
        <v>0.5</v>
      </c>
      <c r="V141" s="436">
        <f t="shared" si="548"/>
        <v>0.72499999999999998</v>
      </c>
      <c r="W141" s="251">
        <f t="shared" si="561"/>
        <v>534333</v>
      </c>
      <c r="X141" s="432" t="s">
        <v>246</v>
      </c>
      <c r="Y141" s="437" t="s">
        <v>483</v>
      </c>
      <c r="Z141" s="437" t="s">
        <v>484</v>
      </c>
      <c r="AA141" s="438" t="s">
        <v>407</v>
      </c>
      <c r="AB141" s="438" t="s">
        <v>713</v>
      </c>
      <c r="AC141" s="439">
        <v>1.68667044737284</v>
      </c>
      <c r="AD141" s="439">
        <v>0.9511781475955069</v>
      </c>
      <c r="AE141" s="439">
        <v>0.92014736357356675</v>
      </c>
      <c r="AF141" s="439">
        <v>0.375</v>
      </c>
      <c r="AG141" s="440">
        <v>4.0257079268090825</v>
      </c>
      <c r="AH141" s="440">
        <v>5.4138830739846275</v>
      </c>
      <c r="AI141" s="440">
        <v>6.3031880286271953</v>
      </c>
      <c r="AJ141" s="440">
        <v>8.8495070316800959</v>
      </c>
      <c r="AK141" s="441">
        <v>21611105.818339698</v>
      </c>
      <c r="AL141" s="441">
        <v>19981000</v>
      </c>
      <c r="AM141" s="258">
        <v>45808</v>
      </c>
      <c r="AN141" s="442" t="str">
        <f t="shared" si="549"/>
        <v>Tier 2</v>
      </c>
      <c r="AO141" s="443">
        <v>47285</v>
      </c>
      <c r="AP141" s="444">
        <f>IF(C141="","",DAYS360(Inputs!$J$8,AO141)/360)</f>
        <v>3.8111111111111109</v>
      </c>
      <c r="AQ141" s="444">
        <f t="shared" si="550"/>
        <v>3.8111111111111109</v>
      </c>
      <c r="AR141" s="432" t="s">
        <v>246</v>
      </c>
      <c r="AS141" s="445">
        <v>0</v>
      </c>
      <c r="AT141" s="432">
        <v>0</v>
      </c>
      <c r="AU141" s="446" t="s">
        <v>487</v>
      </c>
      <c r="AV141" s="446">
        <v>5.7500000000000002E-2</v>
      </c>
      <c r="AW141" s="446">
        <v>4.0405999999999991E-2</v>
      </c>
      <c r="AX141" s="260">
        <f t="shared" si="551"/>
        <v>4.0405999999999991E-2</v>
      </c>
      <c r="AY141" s="446">
        <v>0</v>
      </c>
      <c r="AZ141" s="446">
        <v>0</v>
      </c>
      <c r="BA141" s="446">
        <v>0</v>
      </c>
      <c r="BB141" s="447">
        <f t="shared" si="536"/>
        <v>5.7500000000000002E-2</v>
      </c>
      <c r="BC141" s="447" t="str">
        <f t="shared" si="537"/>
        <v/>
      </c>
      <c r="BD141" s="437" t="s">
        <v>249</v>
      </c>
      <c r="BE141" s="448" t="s">
        <v>455</v>
      </c>
      <c r="BF141" s="437" t="s">
        <v>7</v>
      </c>
      <c r="BG141" s="437" t="s">
        <v>460</v>
      </c>
      <c r="BH141" s="432" t="s">
        <v>246</v>
      </c>
      <c r="BI141" s="449" t="str">
        <f t="shared" si="559"/>
        <v>No</v>
      </c>
      <c r="BJ141" s="449" t="str">
        <f t="shared" si="560"/>
        <v>No</v>
      </c>
      <c r="BK141" s="432" t="s">
        <v>246</v>
      </c>
      <c r="BL141" s="432" t="s">
        <v>246</v>
      </c>
      <c r="BM141" s="246" t="s">
        <v>64</v>
      </c>
      <c r="BN141" s="246" t="s">
        <v>64</v>
      </c>
      <c r="BO141" s="432" t="s">
        <v>246</v>
      </c>
      <c r="BP141" s="432" t="s">
        <v>246</v>
      </c>
      <c r="BQ141" s="432" t="s">
        <v>246</v>
      </c>
      <c r="BR141" s="432" t="s">
        <v>246</v>
      </c>
      <c r="BS141" s="432" t="s">
        <v>246</v>
      </c>
      <c r="BT141" s="432" t="s">
        <v>246</v>
      </c>
      <c r="BU141" s="432" t="s">
        <v>246</v>
      </c>
      <c r="BV141" s="432" t="s">
        <v>246</v>
      </c>
      <c r="BW141" s="432" t="s">
        <v>246</v>
      </c>
      <c r="BX141" s="432" t="s">
        <v>246</v>
      </c>
      <c r="BY141" s="432" t="s">
        <v>246</v>
      </c>
      <c r="BZ141" s="432" t="s">
        <v>246</v>
      </c>
      <c r="CA141" s="432" t="s">
        <v>246</v>
      </c>
      <c r="CB141" s="432" t="s">
        <v>64</v>
      </c>
      <c r="CC141" s="450">
        <f t="shared" si="552"/>
        <v>58438.504077599988</v>
      </c>
      <c r="CD141" s="450">
        <f t="shared" si="553"/>
        <v>0</v>
      </c>
      <c r="CF141" s="263">
        <f t="shared" ref="CF141:CF167" si="562">IF(AND(B141&lt;&gt;"",R141&lt;=85%),1,0)</f>
        <v>0</v>
      </c>
      <c r="CG141" s="263">
        <f t="shared" ref="CG141:CG167" si="563">IF(B141="",0,(IF(OR(BF141="USD",BF141="CAD",BF141="GBP",BF141="AUD",BF141="EUR"),0,1)))</f>
        <v>0</v>
      </c>
      <c r="CH141" s="263">
        <f t="shared" ref="CH141:CH167" si="564">IF(B141="",0,(IF(OR(BG141="United States",BG141="Canada",BG141="United Kingdom",BG141="Australia",BG141="Netherlands Antilles",BG141="Bermuda",BG141="Cayman Islands",BG141="British Virgin Islands",BG141="Channel Islands",BG141="Isle of Man",BG141="Australia",BG141="Netherlands",BG141="Germany",BG141="Sweden",BG141="Switzerland",BG141="Austria",BG141="Belgium",BG141="Denmark",BG141="Finland",BG141="Iceland",BG141="Ireland",BG141="Lichtenstein",BG141="Luxemborg",BG141="Norway"),0,1)))</f>
        <v>0</v>
      </c>
      <c r="CI141" s="263">
        <f t="shared" ref="CI141:CI167" si="565">IF(BO141="Yes",1,0)</f>
        <v>0</v>
      </c>
      <c r="CJ141" s="263">
        <f t="shared" ref="CJ141:CJ167" si="566">IF(BP141="Yes",1,0)</f>
        <v>0</v>
      </c>
      <c r="CK141" s="263">
        <f t="shared" ref="CK141:CK167" si="567">IF(BQ141="Yes",1,0)</f>
        <v>0</v>
      </c>
      <c r="CL141" s="263">
        <f t="shared" ref="CL141:CL167" si="568">IF(BR141="Yes",1,0)</f>
        <v>0</v>
      </c>
      <c r="CM141" s="263">
        <f t="shared" ref="CM141:CM167" si="569">IF(BS141="Yes",1,0)</f>
        <v>0</v>
      </c>
      <c r="CN141" s="263">
        <f t="shared" ref="CN141:CN167" si="570">IF(BT141="Yes",1,0)</f>
        <v>0</v>
      </c>
      <c r="CO141" s="263">
        <f t="shared" ref="CO141:CO167" si="571">IF(OR(AND(BJ141="Yes",N141="No"),AND(BJ141="Yes",N141="Yes",P141&gt;=6)),1,0)</f>
        <v>0</v>
      </c>
      <c r="CP141" s="263">
        <f t="shared" ref="CP141:CP167" si="572">IF(BU141="Yes",1,0)</f>
        <v>0</v>
      </c>
      <c r="CQ141" s="263">
        <f t="shared" ref="CQ141:CQ167" si="573">IF(AND(BV141="Yes",BW141="No"),1,0)</f>
        <v>0</v>
      </c>
      <c r="CR141" s="263">
        <f t="shared" ref="CR141:CR167" si="574">IF(BX141="Yes",1,0)</f>
        <v>0</v>
      </c>
      <c r="CS141" s="263">
        <f t="shared" ref="CS141:CS167" si="575">IF(AP141="",0,IF(AP141&gt;7,1,0))</f>
        <v>0</v>
      </c>
      <c r="CT141" s="263">
        <f t="shared" ref="CT141:CT167" si="576">IF(OR(BD141&lt;&gt;"Monthly",BD141&lt;&gt;"Quarterly",BD141&lt;&gt;"Semi-Annually"),0,1)</f>
        <v>0</v>
      </c>
      <c r="CU141" s="263">
        <f t="shared" ref="CU141:CU167" si="577">IF(BY141="Yes",1,0)</f>
        <v>0</v>
      </c>
      <c r="CV141" s="263">
        <f t="shared" ref="CV141:CV167" si="578">IF(BZ141="Yes",1,0)</f>
        <v>0</v>
      </c>
      <c r="CW141" s="263">
        <f t="shared" ref="CW141:CW167" si="579">IF(CA141="Yes",1,0)</f>
        <v>0</v>
      </c>
      <c r="CX141" s="263">
        <f t="shared" ref="CX141:CX167" si="580">IF(CB141="No",1,0)</f>
        <v>0</v>
      </c>
      <c r="CY141" s="263">
        <f t="shared" ref="CY141:CY167" si="581">IF(B141="",0,IF(AK141&gt;=5000000,0,1))</f>
        <v>0</v>
      </c>
      <c r="CZ141" s="263">
        <f t="shared" ref="CZ141:CZ167" si="582">IF(B141="",0,IF(AL141&gt;=5000000,0,1))</f>
        <v>0</v>
      </c>
      <c r="DA141" s="263">
        <f t="shared" ref="DA141:DA167" si="583">IF(OR(DB141=1,DC141=1,DD141=1),0,IF(B141="",0,IF(OR(AND(AN141="Tier 1",X141="No",OR(AI141&gt;$AJ$3,AJ141&gt;$AJ$4)),(AND(AN141="Tier 1",X141="Yes",AJ141&gt;$AJ$5)),(AND(AN141="Tier 2",X141="No",OR(AI141&gt;$AK$3,AJ141&gt;$AK$4))),(AND(AN141="Tier 2",X141="Yes",AJ141&gt;$AK$5)),(AND(AN141="Tier 3",X141="No",OR(AI141&gt;$AL$3,AJ141&gt;$AL$4))),(AND(AN141="Tier 3",X141="Yes",AJ141&gt;$AL$5))),1,0)))</f>
        <v>0</v>
      </c>
      <c r="DB141" s="263">
        <f t="shared" ref="DB141:DB167" si="584">IF(OR(DC141=1,DD141=1),0,IF(B141="",0,IF(OR(AND(AN141="Tier 1",X141="No",OR(AI141&gt;$AM$3,AJ141&gt;$AM$4)),(AND(AN141="Tier 1",X141="Yes",AJ141&gt;$AM$5)),(AND(AN141="Tier 2",X141="No",OR(AI141&gt;$AN$3,AJ141&gt;$AN$4))),(AND(AN141="Tier 2",X141="Yes",AJ141&gt;$AN$5)),(AND(AN141="Tier 3",X141="No",OR(AI141&gt;$AO$3,AJ141&gt;$AO$4))),(AND(AN141="Tier 3",X141="Yes",AJ141&gt;$AO$5))),1,0)))</f>
        <v>0</v>
      </c>
      <c r="DC141" s="263">
        <f t="shared" ref="DC141:DC167" si="585">IF(DD141=1,0,IF(B141="",0,IF(OR(AND(AN141="Tier 1",X141="No",OR(AI141&gt;$AP$3,AJ141&gt;$AP$4)),(AND(AN141="Tier 1",X141="Yes",AJ141&gt;$AP$5)),(AND(AN141="Tier 2",X141="No",OR(AI141&gt;$AQ$3,AJ141&gt;$AQ$4))),(AND(AN141="Tier 2",X141="Yes",AJ141&gt;$AQ$5)),(AND(AN141="Tier 3",X141="No",OR(AI141&gt;$AR$3,AJ141&gt;$AR$4))),(AND(AN141="Tier 3",X141="Yes",AJ141&gt;$AR$5))),1,0)))</f>
        <v>0</v>
      </c>
      <c r="DD141" s="263">
        <f t="shared" ref="DD141:DD167" si="586">IF(B141="",0,IF(OR(AND(AN141="Tier 1",X141="No",OR(AI141&gt;$AS$3,AJ141&gt;$AS$4)),(AND(AN141="Tier 1",X141="Yes",AJ141&gt;$AS$5)),(AND(AN141="Tier 2",X141="No",OR(AI141&gt;$AT$3,AJ141&gt;$AT$4))),(AND(AN141="Tier 2",X141="Yes",AJ141&gt;$AT$5)),(AND(AN141="Tier 3",X141="No",OR(AI141&gt;$AU$3,AJ141&gt;$AU$4))),(AND(AN141="Tier 3",X141="Yes",AJ141&gt;$AU$5))),1,0))</f>
        <v>1</v>
      </c>
      <c r="DE141" s="263">
        <f t="shared" ref="DE141:DE167" si="587">IF((SUM(CF141:CY141)=0),0,W141)</f>
        <v>0</v>
      </c>
      <c r="DF141" s="263">
        <f t="shared" ref="DF141:DF167" si="588">IF(OR(B141="",DE141&gt;0),0,W141)</f>
        <v>534333</v>
      </c>
      <c r="DG141" s="263">
        <f t="shared" ref="DG141:DG167" si="589">IF(B141="",0,IF(COUNTIF(CF141:CY141,1)&gt;0,0,L141-M141))</f>
        <v>0</v>
      </c>
      <c r="DH141" s="263">
        <f t="shared" ref="DH141:DH167" si="590">DF141+IF(DE141&gt;0,0,DG141)</f>
        <v>534333</v>
      </c>
      <c r="DI141" s="263">
        <f t="shared" ref="DI141:DI167" si="591">IF(B141="","",M141+DG141)</f>
        <v>1068666</v>
      </c>
      <c r="DJ141" s="263">
        <f t="shared" ref="DJ141:DJ167" si="592">IF(B141="",0,J141-K141)</f>
        <v>0</v>
      </c>
      <c r="DK141" s="263">
        <f t="shared" ref="DK141:DK167" si="593">IF(OR(BF141="EUR",BF141="CAD",BF141="GBP",BF141="AUD"),(GB141*(1-V141))+(HH141)+IF(HY141="",0,HY141*(1-U141)),0)</f>
        <v>0</v>
      </c>
      <c r="DL141" s="263">
        <f t="shared" ref="DL141:DL167" si="594">IF(BF141="EUR",33%,IF(BF141="CAD",38%,IF(BF141="GBP",51%,IF(BF141="AUD",61%,0))))</f>
        <v>0</v>
      </c>
      <c r="DM141" s="263">
        <f t="shared" ref="DM141:DM167" si="595">DK141*DL141</f>
        <v>0</v>
      </c>
      <c r="DO141" s="264">
        <f t="shared" ref="DO141:DO167" si="596">IF(OR(Y141="Second Lien",Y141="Tier 1 Split Lien",Y141="Tier 2 Split Lien"),DH141,0)</f>
        <v>0</v>
      </c>
      <c r="DP141" s="265">
        <f t="shared" ref="DP141:DP167" si="597">DO141*DO$6</f>
        <v>0</v>
      </c>
      <c r="DQ141" s="264">
        <f t="shared" ref="DQ141:DQ167" si="598">DH141-DP141</f>
        <v>534333</v>
      </c>
      <c r="DR141" s="264">
        <f t="shared" ref="DR141:DR167" si="599">IF(Y141="Second Lien",DQ141,0)</f>
        <v>0</v>
      </c>
      <c r="DS141" s="265">
        <f t="shared" ref="DS141:DS167" si="600">DR141*DR$6</f>
        <v>0</v>
      </c>
      <c r="DT141" s="264">
        <f t="shared" ref="DT141:DT167" si="601">DQ141-DS141</f>
        <v>534333</v>
      </c>
      <c r="DU141" s="264">
        <f t="shared" ref="DU141:DU167" si="602">IF(BH141="Yes",DT141,0)</f>
        <v>0</v>
      </c>
      <c r="DV141" s="265">
        <f t="shared" ref="DV141:DV167" si="603">DU141*DU$6</f>
        <v>0</v>
      </c>
      <c r="DW141" s="264">
        <f t="shared" ref="DW141:DW167" si="604">DT141-DV141</f>
        <v>534333</v>
      </c>
      <c r="DX141" s="264">
        <f t="shared" ref="DX141:DX167" si="605">IF(OR(BG141="Canada",BG141="United Kingdom",BG141="Australia",BG141="Netherlands Antilles",BG141="Bermuda",BG141="Cayman Islands",BG141="British Virgin Islands",BG141="Channel Islands",BG141="Isle of Man",BG141="Australia",BG141="Netherlands",BG141="Germany",BG141="Sweden",BG141="Switzerland",BG141="Austria",BG141="Belgium",BG141="Denmark",BG141="Finland",BG141="Iceland",BG141="Ireland",BG141="Lichtenstein",BG141="Luxemborg",BG141="Norway"),DW141,0)</f>
        <v>0</v>
      </c>
      <c r="DY141" s="265">
        <f t="shared" ref="DY141:DY167" si="606">DX141*DX$6</f>
        <v>0</v>
      </c>
      <c r="DZ141" s="264">
        <f t="shared" ref="DZ141:DZ167" si="607">DW141-DY141</f>
        <v>534333</v>
      </c>
      <c r="EA141" s="264">
        <f t="shared" ref="EA141:EA167" si="608">IF(BI141="Yes",DZ141,0)</f>
        <v>0</v>
      </c>
      <c r="EB141" s="265">
        <f t="shared" ref="EB141:EB167" si="609">EA141*EA$6</f>
        <v>0</v>
      </c>
      <c r="EC141" s="264">
        <f t="shared" ref="EC141:EC167" si="610">DZ141-EB141</f>
        <v>534333</v>
      </c>
      <c r="ED141" s="264">
        <f t="shared" ref="ED141:ED167" si="611">IF(OR(Z141="Delayed Draw",Z141="Revolver"),EC141,0)</f>
        <v>0</v>
      </c>
      <c r="EE141" s="265">
        <f t="shared" ref="EE141:EE167" si="612">ED141*ED$6</f>
        <v>0</v>
      </c>
      <c r="EF141" s="264">
        <f t="shared" ref="EF141:EF167" si="613">EC141-EE141</f>
        <v>534333</v>
      </c>
      <c r="EG141" s="264">
        <f t="shared" ref="EG141:EG167" si="614">IF(S141="Yes",EF141,0)</f>
        <v>0</v>
      </c>
      <c r="EH141" s="265">
        <f t="shared" ref="EH141:EH167" si="615">EG141*EG$6</f>
        <v>0</v>
      </c>
      <c r="EI141" s="264">
        <f t="shared" ref="EI141:EI167" si="616">EF141-EH141</f>
        <v>534333</v>
      </c>
      <c r="EJ141" s="264">
        <f t="shared" ref="EJ141:EJ167" si="617">IF(Q141="Yes",EI141,0)</f>
        <v>0</v>
      </c>
      <c r="EK141" s="265">
        <f t="shared" ref="EK141:EK167" si="618">EJ141*EJ$6</f>
        <v>0</v>
      </c>
      <c r="EL141" s="264">
        <f t="shared" ref="EL141:EL167" si="619">EI141-EK141</f>
        <v>534333</v>
      </c>
      <c r="EM141" s="264">
        <f t="shared" ref="EM141:EM167" si="620">IF(BD141="Semi-Annually",EL141,0)</f>
        <v>0</v>
      </c>
      <c r="EN141" s="265">
        <f t="shared" ref="EN141:EN167" si="621">EM141*EM$6</f>
        <v>0</v>
      </c>
      <c r="EO141" s="264">
        <f t="shared" ref="EO141:EO167" si="622">EL141-EN141</f>
        <v>534333</v>
      </c>
      <c r="EP141" s="264">
        <f t="shared" ref="EP141:EP167" si="623">IF(BK141="Yes",EO141,0)</f>
        <v>0</v>
      </c>
      <c r="EQ141" s="265">
        <f t="shared" ref="EQ141:EQ167" si="624">EP141*EP$6</f>
        <v>0</v>
      </c>
      <c r="ER141" s="264">
        <f t="shared" ref="ER141:ER167" si="625">EO141-EQ141</f>
        <v>534333</v>
      </c>
      <c r="ES141" s="264">
        <f t="shared" ref="ES141:ES167" si="626">IF(BL141="Yes",ER141,0)</f>
        <v>0</v>
      </c>
      <c r="ET141" s="265">
        <f t="shared" ref="ET141:ET167" si="627">ES141*ES$6</f>
        <v>0</v>
      </c>
      <c r="EU141" s="264">
        <f t="shared" ref="EU141:EU167" si="628">ER141-ET141</f>
        <v>534333</v>
      </c>
      <c r="EV141" s="264">
        <f>IF(AND(BM141="Yes",OR(BN141="No",AND(BN141="Yes",Inputs!$J$8=Inputs!$J$17+75))),EU141,0)</f>
        <v>0</v>
      </c>
      <c r="EW141" s="265">
        <f t="shared" ref="EW141:EW167" si="629">EV141*EV$6</f>
        <v>0</v>
      </c>
      <c r="EX141" s="264">
        <f t="shared" ref="EX141:EX167" si="630">EU141-EW141</f>
        <v>534333</v>
      </c>
      <c r="EY141" s="264">
        <f t="shared" ref="EY141:EY167" si="631">IF(BW141="Yes",EX141,0)</f>
        <v>0</v>
      </c>
      <c r="EZ141" s="265">
        <f t="shared" ref="EZ141:EZ167" si="632">EY141*EY$6</f>
        <v>0</v>
      </c>
      <c r="FA141" s="264">
        <f t="shared" ref="FA141:FA167" si="633">EX141-EZ141</f>
        <v>534333</v>
      </c>
      <c r="FB141" s="264">
        <f t="shared" ref="FB141:FB167" si="634">IF(AR141="Yes",FA141,0)</f>
        <v>0</v>
      </c>
      <c r="FC141" s="265">
        <f t="shared" ref="FC141:FC167" si="635">FB141*FB$6</f>
        <v>0</v>
      </c>
      <c r="FD141" s="264">
        <f t="shared" ref="FD141:FD167" si="636">FA141-FC141</f>
        <v>534333</v>
      </c>
      <c r="FE141" s="264">
        <f t="shared" ref="FE141:FE167" si="637">IF(OR(BF141="EUR",BF141="AUD",BF141="CAD",BF141="GBP"),FD141,0)</f>
        <v>0</v>
      </c>
      <c r="FF141" s="265">
        <f t="shared" ref="FF141:FF167" si="638">FE141*FE$6</f>
        <v>0</v>
      </c>
      <c r="FG141" s="264">
        <f t="shared" ref="FG141:FG167" si="639">FD141-FF141</f>
        <v>534333</v>
      </c>
      <c r="FH141" s="264">
        <f t="shared" ref="FH141:FH167" si="640">FG141</f>
        <v>534333</v>
      </c>
      <c r="FI141" s="264">
        <f t="shared" ref="FI141:FI167" si="641">IF(FG141=0,0,VLOOKUP(C141,$GV$10:$GW$406,2,FALSE)*FG141)</f>
        <v>0</v>
      </c>
      <c r="FJ141" s="264">
        <f t="shared" ref="FJ141:FJ167" si="642">FG141-FI141</f>
        <v>534333</v>
      </c>
      <c r="FK141" s="264">
        <f t="shared" ref="FK141:FK167" si="643">FJ141</f>
        <v>534333</v>
      </c>
      <c r="FL141" s="264">
        <f t="shared" ref="FL141:FL167" si="644">IF(OR(IC141="",FJ141&lt;0.01),,VLOOKUP(IC141,$GM$10:$GN$406,2,FALSE)*FJ141)</f>
        <v>0</v>
      </c>
      <c r="FM141" s="264">
        <f t="shared" ref="FM141:FM167" si="645">FJ141-FL141</f>
        <v>534333</v>
      </c>
      <c r="FN141" s="264">
        <f t="shared" ref="FN141:FN167" si="646">FM141</f>
        <v>534333</v>
      </c>
      <c r="FO141" s="264">
        <f t="shared" ref="FO141:FO167" si="647">IF(FM141=0,0,VLOOKUP(C141,$HE$10:$HF$406,2,FALSE)*FM141)</f>
        <v>0</v>
      </c>
      <c r="FP141" s="264">
        <f t="shared" ref="FP141:FP167" si="648">FM141-FO141</f>
        <v>534333</v>
      </c>
      <c r="FQ141" s="264">
        <f t="shared" ref="FQ141:FQ167" si="649">IF(SUM(CZ141:DD141)&gt;0,0,IF(AND(AL141&gt;=5000000,AL141&lt;7500000),FP141,0))</f>
        <v>0</v>
      </c>
      <c r="FR141" s="265">
        <f t="shared" ref="FR141:FR167" si="650">IF(B141="",0,FQ141*FQ$6*(1-$U141))</f>
        <v>0</v>
      </c>
      <c r="FS141" s="264">
        <f t="shared" ref="FS141:FS167" si="651">FP141-FR141</f>
        <v>534333</v>
      </c>
      <c r="FT141" s="264">
        <f t="shared" ref="FT141:FT167" si="652">IF(SUM(CZ141:DD141)&gt;0,0,IF(AL141&lt;15000000,FS141,0))</f>
        <v>0</v>
      </c>
      <c r="FU141" s="265">
        <f t="shared" ref="FU141:FU167" si="653">IF(B141="",0,FT141*FT$6*(1-$U141))</f>
        <v>0</v>
      </c>
      <c r="FV141" s="264">
        <f t="shared" ref="FV141:FV167" si="654">FS141-FU141</f>
        <v>534333</v>
      </c>
      <c r="FW141" s="264">
        <f t="shared" ref="FW141:FW167" si="655">IF(SUM(CZ141:DD141)&gt;0,0,IF(OR(AND(X141="No",AN141="Tier 1",AI141&gt;$AG$3),AND(X141="No",AN141="Tier 2",AI141&gt;$AH$3),AND(X141="No",AN141="Tier 3",AI141&gt;$AI$3)),FV141,0))</f>
        <v>0</v>
      </c>
      <c r="FX141" s="264">
        <f t="shared" ref="FX141:FX167" si="656">IF(SUM(CZ141:DD141)&gt;0,0,IF(OR(AND(X141="No",AN141="Tier 1",AJ141&gt;$AG$4),AND(X141="No",AN141="Tier 2",AJ141&gt;$AH$4),AND(X141="No",AN141="Tier 3",AJ141&gt;$AI$4)),FV141,0))</f>
        <v>0</v>
      </c>
      <c r="FY141" s="264">
        <f t="shared" ref="FY141:FY167" si="657">IF(SUM(CZ141:DD141)&gt;0,0,IF(OR(AND(X141="Yes",AN141="Tier 1",AJ141&gt;$AG$5),AND(X141="Yes",AN141="Tier 2",AJ141&gt;$AH$5),AND(X141="Yes",AN141="Tier 3",AJ141&gt;$AI$5)),FV141,0))</f>
        <v>0</v>
      </c>
      <c r="FZ141" s="264">
        <f t="shared" ref="FZ141:FZ167" si="658">IF(SUM(FW141:FY141)&gt;0,FV141,0)</f>
        <v>0</v>
      </c>
      <c r="GA141" s="265">
        <f t="shared" ref="GA141:GA167" si="659">IF(B141="",0,FZ141*FW$6*(1-MIN(90%,T141)))</f>
        <v>0</v>
      </c>
      <c r="GB141" s="264">
        <f t="shared" ref="GB141:GB167" si="660">FV141-GA141</f>
        <v>534333</v>
      </c>
      <c r="GC141" s="264">
        <f t="shared" ref="GC141:GC167" si="661">IF(AND(N141="No",DJ141=0),GB141,IF(AND(N141="No",DJ141&lt;&gt;0,K141=0),0,IF(AND(N141="No",DJ141&lt;&gt;0,K141&gt;0,J141&lt;&gt;K141),MAX(0,M141-(DI141-GB141)),DH141)))</f>
        <v>534333</v>
      </c>
      <c r="GD141" s="266">
        <f t="shared" ref="GD141:GD167" si="662">+GC141*V141</f>
        <v>387391.42499999999</v>
      </c>
      <c r="GE141" s="138">
        <f t="shared" ref="GE141:GE167" si="663">IFERROR(GD141/K141,"")</f>
        <v>0.36249999999999999</v>
      </c>
      <c r="GF141" s="267">
        <f t="shared" ref="GF141:GF167" si="664">IF(IC141="","",IC141)</f>
        <v>55</v>
      </c>
      <c r="GG141" s="264">
        <f t="array" ref="GG141">IF(SUM(IF(IC$9:IC140=IC141,1,0))&gt;0,0,SUMIF($IC$10:$IC$406,IC141,$FJ$10:$FJ$406))</f>
        <v>0</v>
      </c>
      <c r="GH141" s="268">
        <f t="shared" ref="GH141:GH167" si="665">GG141</f>
        <v>0</v>
      </c>
      <c r="GI141" s="137">
        <f t="shared" si="126"/>
        <v>132</v>
      </c>
      <c r="GJ141" s="269">
        <f t="shared" ref="GJ141:GJ167" si="666">LARGE($GH$10:$GH$406,GI141)</f>
        <v>0</v>
      </c>
      <c r="GK141" s="269">
        <f t="shared" ref="GK141:GK167" si="667">IF(GI141&gt;GI$6,0,IF(GI141=$GI$2,$GK$2,IF(GI141&lt;4,$GK$3,$GK$4)))</f>
        <v>0</v>
      </c>
      <c r="GL141" s="163">
        <f t="shared" ref="GL141:GL167" si="668">MAX(0,GJ141-GK141)</f>
        <v>0</v>
      </c>
      <c r="GM141" s="137">
        <f t="array" ref="GM141">IF(GJ141=0,0,LARGE(IF($GG$10:$GG$406=GJ141,$GF$10:$GF$406,0),COUNTIF($GJ$10:$GJ$406,GJ141)-COUNTIF(GJ$9:GJ140,GJ141)))</f>
        <v>0</v>
      </c>
      <c r="GN141" s="270">
        <f t="shared" ref="GN141:GN167" si="669">IF(GJ141=0,0,GL141/GJ141)</f>
        <v>0</v>
      </c>
      <c r="GP141" s="137">
        <f>IF(C141="","",IF(ISERROR(MATCH(C141,C$10:C140,0)),MAX(GP$10:GP140)+1,INDEX(GP$10:GP140,MATCH(C141,C$10:C140,0))))</f>
        <v>101</v>
      </c>
      <c r="GQ141" s="264">
        <f>IF(COUNTIF($A$10:A141,A141)&lt;=1,SUMIF($A$10:$A$406,A141,$FH$10:$FH$406),0)</f>
        <v>534333</v>
      </c>
      <c r="GR141" s="137">
        <f t="shared" si="130"/>
        <v>132</v>
      </c>
      <c r="GS141" s="269">
        <f t="shared" si="554"/>
        <v>0</v>
      </c>
      <c r="GT141" s="269">
        <f t="shared" si="555"/>
        <v>0</v>
      </c>
      <c r="GU141" s="163">
        <f t="shared" si="556"/>
        <v>0</v>
      </c>
      <c r="GV141" s="137">
        <f t="array" ref="GV141">IF(GS141=0,0,LARGE(IF($GQ$10:$GQ$406=GS141,$GP$10:$GP$406,0),COUNTIF($GS$10:$GS$406,GS141)-COUNTIF(GS$9:GS140,GS141)))</f>
        <v>0</v>
      </c>
      <c r="GW141" s="270">
        <f t="shared" si="557"/>
        <v>0</v>
      </c>
      <c r="GY141" s="137">
        <f>IF(C141="","",IF(ISERROR(MATCH(C141,C$10:C140,0)),MAX(GP$10:GP140)+1,INDEX(GP$10:GP140,MATCH(C141,C$10:C140,0))))</f>
        <v>101</v>
      </c>
      <c r="GZ141" s="264">
        <f>IF(COUNTIF($A$10:A141,A141)&lt;=1,SUMIF($A$10:$A$406,A141,$FH$10:$FH$406),0)</f>
        <v>534333</v>
      </c>
      <c r="HA141" s="137">
        <f t="shared" si="134"/>
        <v>132</v>
      </c>
      <c r="HB141" s="269">
        <f t="shared" ref="HB141:HB167" si="670">LARGE($GZ$10:$GZ$406,HA141)</f>
        <v>0</v>
      </c>
      <c r="HC141" s="414" t="s">
        <v>622</v>
      </c>
      <c r="HD141" s="163">
        <f t="shared" ref="HD141:HD167" si="671">IF(HA141&lt;6,MAX(0,$HD$2/5),0)</f>
        <v>0</v>
      </c>
      <c r="HE141" s="137">
        <f t="array" ref="HE141">IF(HB141=0,0,LARGE(IF($GZ$10:$GZ$406=HB141,$GY$10:$GY$406,0),COUNTIF($HB$10:$HB$406,HB141)-COUNTIF(HB$9:HB140,HB141)))</f>
        <v>0</v>
      </c>
      <c r="HF141" s="270">
        <f t="shared" ref="HF141:HF167" si="672">IF(HB141=0,0,HD141/HB141)</f>
        <v>0</v>
      </c>
      <c r="HH141" s="268">
        <f t="shared" ref="HH141:HH167" si="673">DH141-GB141</f>
        <v>0</v>
      </c>
      <c r="HI141" s="271">
        <v>0</v>
      </c>
      <c r="HJ141" s="264">
        <f t="shared" ref="HJ141:HJ167" si="674">MIN(HI141,DF141)</f>
        <v>0</v>
      </c>
      <c r="HL141" s="137" t="str">
        <f t="shared" ref="HL141:HL167" si="675">IF(COUNTIF($C$10:$C$406,HL140+1),HL140+1,"")</f>
        <v/>
      </c>
      <c r="HM141" s="264">
        <f t="shared" si="521"/>
        <v>0</v>
      </c>
      <c r="HO141" s="199">
        <f t="shared" si="522"/>
        <v>534333</v>
      </c>
      <c r="HP141" s="199">
        <f t="shared" si="523"/>
        <v>1068666</v>
      </c>
      <c r="HQ141" s="199" t="str">
        <f t="shared" si="524"/>
        <v/>
      </c>
      <c r="HR141" s="199" t="str">
        <f t="shared" si="525"/>
        <v/>
      </c>
      <c r="HS141" s="199" t="str">
        <f t="shared" si="539"/>
        <v/>
      </c>
      <c r="HT141" s="199">
        <f t="shared" si="526"/>
        <v>534333</v>
      </c>
      <c r="HU141" s="199" t="str">
        <f t="shared" si="527"/>
        <v/>
      </c>
      <c r="HV141" s="200">
        <f t="shared" si="528"/>
        <v>0</v>
      </c>
      <c r="HW141" s="272" t="str">
        <f t="shared" si="540"/>
        <v/>
      </c>
      <c r="HX141" s="200">
        <f t="shared" si="529"/>
        <v>0</v>
      </c>
      <c r="HY141" s="200">
        <f t="shared" si="530"/>
        <v>534333</v>
      </c>
      <c r="HZ141" s="200">
        <f t="shared" si="535"/>
        <v>0</v>
      </c>
      <c r="IA141" s="200">
        <f t="shared" si="531"/>
        <v>0</v>
      </c>
      <c r="IB141" s="200">
        <f t="shared" si="532"/>
        <v>0</v>
      </c>
      <c r="IC141" s="273">
        <f>IF(C141="","",INDEX(Lookups!$E$2:$E$69,MATCH('Loan List'!BE141,Lookups!$F$2:$F$69,0)))</f>
        <v>55</v>
      </c>
      <c r="ID141" t="b">
        <f t="shared" si="533"/>
        <v>1</v>
      </c>
    </row>
    <row r="142" spans="1:238">
      <c r="A142" t="s">
        <v>790</v>
      </c>
      <c r="B142" s="242">
        <f t="shared" si="541"/>
        <v>133</v>
      </c>
      <c r="C142" s="242">
        <f>IF(COUNTIF($A$10:A141,A142)&gt;0,C141,C141+1)</f>
        <v>102</v>
      </c>
      <c r="D142" s="431" t="s">
        <v>790</v>
      </c>
      <c r="E142" s="428" t="s">
        <v>848</v>
      </c>
      <c r="F142" s="429"/>
      <c r="G142" s="430">
        <v>682188</v>
      </c>
      <c r="H142" s="430">
        <v>682188</v>
      </c>
      <c r="I142" s="244">
        <f>IF(B142="","",VLOOKUP(BF142,Inputs!$A$12:$J$15,10,FALSE))</f>
        <v>1</v>
      </c>
      <c r="J142" s="245">
        <f t="shared" si="542"/>
        <v>682188</v>
      </c>
      <c r="K142" s="245">
        <f t="shared" si="543"/>
        <v>682188</v>
      </c>
      <c r="L142" s="245">
        <f t="shared" si="544"/>
        <v>682188</v>
      </c>
      <c r="M142" s="245">
        <f t="shared" si="545"/>
        <v>682188</v>
      </c>
      <c r="N142" s="432" t="s">
        <v>246</v>
      </c>
      <c r="O142" s="432" t="s">
        <v>245</v>
      </c>
      <c r="P142" s="433">
        <f>IF(B142="","",IF(OR(O142="N/A",O142=""),0,YEARFRAC('Borrowing Base'!$J$4,'Loan List'!O142)*12))</f>
        <v>0</v>
      </c>
      <c r="Q142" s="432" t="s">
        <v>246</v>
      </c>
      <c r="R142" s="434">
        <v>0.99199999999999988</v>
      </c>
      <c r="S142" s="435" t="str">
        <f t="shared" si="546"/>
        <v>No</v>
      </c>
      <c r="T142" s="434">
        <v>0.91079999999999994</v>
      </c>
      <c r="U142" s="436">
        <f t="shared" si="547"/>
        <v>0.5</v>
      </c>
      <c r="V142" s="436">
        <f t="shared" si="548"/>
        <v>0.72499999999999998</v>
      </c>
      <c r="W142" s="251">
        <f t="shared" si="561"/>
        <v>341094</v>
      </c>
      <c r="X142" s="432" t="s">
        <v>246</v>
      </c>
      <c r="Y142" s="437" t="s">
        <v>483</v>
      </c>
      <c r="Z142" s="437" t="s">
        <v>484</v>
      </c>
      <c r="AA142" s="438" t="s">
        <v>407</v>
      </c>
      <c r="AB142" s="438" t="s">
        <v>713</v>
      </c>
      <c r="AC142" s="439">
        <v>1</v>
      </c>
      <c r="AD142" s="439">
        <v>1</v>
      </c>
      <c r="AE142" s="439">
        <v>1.25</v>
      </c>
      <c r="AF142" s="439">
        <v>0.314</v>
      </c>
      <c r="AG142" s="440">
        <v>7.05</v>
      </c>
      <c r="AH142" s="440">
        <v>7.05</v>
      </c>
      <c r="AI142" s="440">
        <v>7.05</v>
      </c>
      <c r="AJ142" s="440">
        <v>7.05</v>
      </c>
      <c r="AK142" s="441">
        <v>274044000</v>
      </c>
      <c r="AL142" s="441">
        <v>274044000</v>
      </c>
      <c r="AM142" s="258">
        <v>45838</v>
      </c>
      <c r="AN142" s="442" t="str">
        <f t="shared" si="549"/>
        <v>Tier 1</v>
      </c>
      <c r="AO142" s="443">
        <v>46741</v>
      </c>
      <c r="AP142" s="444">
        <f>IF(C142="","",DAYS360(Inputs!$J$8,AO142)/360)</f>
        <v>2.3222222222222224</v>
      </c>
      <c r="AQ142" s="444">
        <f t="shared" si="550"/>
        <v>2.3222222222222224</v>
      </c>
      <c r="AR142" s="432" t="s">
        <v>246</v>
      </c>
      <c r="AS142" s="445">
        <v>0</v>
      </c>
      <c r="AT142" s="432">
        <v>0</v>
      </c>
      <c r="AU142" s="446" t="s">
        <v>487</v>
      </c>
      <c r="AV142" s="446">
        <v>4.4999999999999998E-2</v>
      </c>
      <c r="AW142" s="446">
        <v>4.0405999999999991E-2</v>
      </c>
      <c r="AX142" s="260">
        <f t="shared" si="551"/>
        <v>4.0405999999999991E-2</v>
      </c>
      <c r="AY142" s="446">
        <v>0</v>
      </c>
      <c r="AZ142" s="446">
        <v>0</v>
      </c>
      <c r="BA142" s="446">
        <v>0</v>
      </c>
      <c r="BB142" s="447">
        <f t="shared" si="536"/>
        <v>4.4999999999999998E-2</v>
      </c>
      <c r="BC142" s="447" t="str">
        <f t="shared" si="537"/>
        <v/>
      </c>
      <c r="BD142" s="437" t="s">
        <v>249</v>
      </c>
      <c r="BE142" s="448" t="s">
        <v>410</v>
      </c>
      <c r="BF142" s="437" t="s">
        <v>7</v>
      </c>
      <c r="BG142" s="437" t="s">
        <v>460</v>
      </c>
      <c r="BH142" s="432" t="s">
        <v>246</v>
      </c>
      <c r="BI142" s="449" t="str">
        <f t="shared" si="559"/>
        <v>No</v>
      </c>
      <c r="BJ142" s="449" t="str">
        <f t="shared" si="560"/>
        <v>No</v>
      </c>
      <c r="BK142" s="432" t="s">
        <v>246</v>
      </c>
      <c r="BL142" s="432" t="s">
        <v>246</v>
      </c>
      <c r="BM142" s="246" t="s">
        <v>64</v>
      </c>
      <c r="BN142" s="246" t="s">
        <v>64</v>
      </c>
      <c r="BO142" s="432" t="s">
        <v>246</v>
      </c>
      <c r="BP142" s="432" t="s">
        <v>246</v>
      </c>
      <c r="BQ142" s="432" t="s">
        <v>246</v>
      </c>
      <c r="BR142" s="432" t="s">
        <v>246</v>
      </c>
      <c r="BS142" s="432" t="s">
        <v>246</v>
      </c>
      <c r="BT142" s="432" t="s">
        <v>246</v>
      </c>
      <c r="BU142" s="432" t="s">
        <v>246</v>
      </c>
      <c r="BV142" s="432" t="s">
        <v>246</v>
      </c>
      <c r="BW142" s="432" t="s">
        <v>246</v>
      </c>
      <c r="BX142" s="432" t="s">
        <v>246</v>
      </c>
      <c r="BY142" s="432" t="s">
        <v>246</v>
      </c>
      <c r="BZ142" s="432" t="s">
        <v>246</v>
      </c>
      <c r="CA142" s="432" t="s">
        <v>246</v>
      </c>
      <c r="CB142" s="432" t="s">
        <v>64</v>
      </c>
      <c r="CC142" s="450">
        <f t="shared" si="552"/>
        <v>28777.145716799987</v>
      </c>
      <c r="CD142" s="450">
        <f t="shared" si="553"/>
        <v>0</v>
      </c>
      <c r="CF142" s="263">
        <f t="shared" si="562"/>
        <v>0</v>
      </c>
      <c r="CG142" s="263">
        <f t="shared" si="563"/>
        <v>0</v>
      </c>
      <c r="CH142" s="263">
        <f t="shared" si="564"/>
        <v>0</v>
      </c>
      <c r="CI142" s="263">
        <f t="shared" si="565"/>
        <v>0</v>
      </c>
      <c r="CJ142" s="263">
        <f t="shared" si="566"/>
        <v>0</v>
      </c>
      <c r="CK142" s="263">
        <f t="shared" si="567"/>
        <v>0</v>
      </c>
      <c r="CL142" s="263">
        <f t="shared" si="568"/>
        <v>0</v>
      </c>
      <c r="CM142" s="263">
        <f t="shared" si="569"/>
        <v>0</v>
      </c>
      <c r="CN142" s="263">
        <f t="shared" si="570"/>
        <v>0</v>
      </c>
      <c r="CO142" s="263">
        <f t="shared" si="571"/>
        <v>0</v>
      </c>
      <c r="CP142" s="263">
        <f t="shared" si="572"/>
        <v>0</v>
      </c>
      <c r="CQ142" s="263">
        <f t="shared" si="573"/>
        <v>0</v>
      </c>
      <c r="CR142" s="263">
        <f t="shared" si="574"/>
        <v>0</v>
      </c>
      <c r="CS142" s="263">
        <f t="shared" si="575"/>
        <v>0</v>
      </c>
      <c r="CT142" s="263">
        <f t="shared" si="576"/>
        <v>0</v>
      </c>
      <c r="CU142" s="263">
        <f t="shared" si="577"/>
        <v>0</v>
      </c>
      <c r="CV142" s="263">
        <f t="shared" si="578"/>
        <v>0</v>
      </c>
      <c r="CW142" s="263">
        <f t="shared" si="579"/>
        <v>0</v>
      </c>
      <c r="CX142" s="263">
        <f t="shared" si="580"/>
        <v>0</v>
      </c>
      <c r="CY142" s="263">
        <f t="shared" si="581"/>
        <v>0</v>
      </c>
      <c r="CZ142" s="263">
        <f t="shared" si="582"/>
        <v>0</v>
      </c>
      <c r="DA142" s="263">
        <f t="shared" si="583"/>
        <v>0</v>
      </c>
      <c r="DB142" s="263">
        <f t="shared" si="584"/>
        <v>0</v>
      </c>
      <c r="DC142" s="263">
        <f t="shared" si="585"/>
        <v>0</v>
      </c>
      <c r="DD142" s="263">
        <f t="shared" si="586"/>
        <v>1</v>
      </c>
      <c r="DE142" s="263">
        <f t="shared" si="587"/>
        <v>0</v>
      </c>
      <c r="DF142" s="263">
        <f t="shared" si="588"/>
        <v>341094</v>
      </c>
      <c r="DG142" s="263">
        <f t="shared" si="589"/>
        <v>0</v>
      </c>
      <c r="DH142" s="263">
        <f t="shared" si="590"/>
        <v>341094</v>
      </c>
      <c r="DI142" s="263">
        <f t="shared" si="591"/>
        <v>682188</v>
      </c>
      <c r="DJ142" s="263">
        <f t="shared" si="592"/>
        <v>0</v>
      </c>
      <c r="DK142" s="263">
        <f t="shared" si="593"/>
        <v>0</v>
      </c>
      <c r="DL142" s="263">
        <f t="shared" si="594"/>
        <v>0</v>
      </c>
      <c r="DM142" s="263">
        <f t="shared" si="595"/>
        <v>0</v>
      </c>
      <c r="DO142" s="264">
        <f t="shared" si="596"/>
        <v>0</v>
      </c>
      <c r="DP142" s="265">
        <f t="shared" si="597"/>
        <v>0</v>
      </c>
      <c r="DQ142" s="264">
        <f t="shared" si="598"/>
        <v>341094</v>
      </c>
      <c r="DR142" s="264">
        <f t="shared" si="599"/>
        <v>0</v>
      </c>
      <c r="DS142" s="265">
        <f t="shared" si="600"/>
        <v>0</v>
      </c>
      <c r="DT142" s="264">
        <f t="shared" si="601"/>
        <v>341094</v>
      </c>
      <c r="DU142" s="264">
        <f t="shared" si="602"/>
        <v>0</v>
      </c>
      <c r="DV142" s="265">
        <f t="shared" si="603"/>
        <v>0</v>
      </c>
      <c r="DW142" s="264">
        <f t="shared" si="604"/>
        <v>341094</v>
      </c>
      <c r="DX142" s="264">
        <f t="shared" si="605"/>
        <v>0</v>
      </c>
      <c r="DY142" s="265">
        <f t="shared" si="606"/>
        <v>0</v>
      </c>
      <c r="DZ142" s="264">
        <f t="shared" si="607"/>
        <v>341094</v>
      </c>
      <c r="EA142" s="264">
        <f t="shared" si="608"/>
        <v>0</v>
      </c>
      <c r="EB142" s="265">
        <f t="shared" si="609"/>
        <v>0</v>
      </c>
      <c r="EC142" s="264">
        <f t="shared" si="610"/>
        <v>341094</v>
      </c>
      <c r="ED142" s="264">
        <f t="shared" si="611"/>
        <v>0</v>
      </c>
      <c r="EE142" s="265">
        <f t="shared" si="612"/>
        <v>0</v>
      </c>
      <c r="EF142" s="264">
        <f t="shared" si="613"/>
        <v>341094</v>
      </c>
      <c r="EG142" s="264">
        <f t="shared" si="614"/>
        <v>0</v>
      </c>
      <c r="EH142" s="265">
        <f t="shared" si="615"/>
        <v>0</v>
      </c>
      <c r="EI142" s="264">
        <f t="shared" si="616"/>
        <v>341094</v>
      </c>
      <c r="EJ142" s="264">
        <f t="shared" si="617"/>
        <v>0</v>
      </c>
      <c r="EK142" s="265">
        <f t="shared" si="618"/>
        <v>0</v>
      </c>
      <c r="EL142" s="264">
        <f t="shared" si="619"/>
        <v>341094</v>
      </c>
      <c r="EM142" s="264">
        <f t="shared" si="620"/>
        <v>0</v>
      </c>
      <c r="EN142" s="265">
        <f t="shared" si="621"/>
        <v>0</v>
      </c>
      <c r="EO142" s="264">
        <f t="shared" si="622"/>
        <v>341094</v>
      </c>
      <c r="EP142" s="264">
        <f t="shared" si="623"/>
        <v>0</v>
      </c>
      <c r="EQ142" s="265">
        <f t="shared" si="624"/>
        <v>0</v>
      </c>
      <c r="ER142" s="264">
        <f t="shared" si="625"/>
        <v>341094</v>
      </c>
      <c r="ES142" s="264">
        <f t="shared" si="626"/>
        <v>0</v>
      </c>
      <c r="ET142" s="265">
        <f t="shared" si="627"/>
        <v>0</v>
      </c>
      <c r="EU142" s="264">
        <f t="shared" si="628"/>
        <v>341094</v>
      </c>
      <c r="EV142" s="264">
        <f>IF(AND(BM142="Yes",OR(BN142="No",AND(BN142="Yes",Inputs!$J$8=Inputs!$J$17+75))),EU142,0)</f>
        <v>0</v>
      </c>
      <c r="EW142" s="265">
        <f t="shared" si="629"/>
        <v>0</v>
      </c>
      <c r="EX142" s="264">
        <f t="shared" si="630"/>
        <v>341094</v>
      </c>
      <c r="EY142" s="264">
        <f t="shared" si="631"/>
        <v>0</v>
      </c>
      <c r="EZ142" s="265">
        <f t="shared" si="632"/>
        <v>0</v>
      </c>
      <c r="FA142" s="264">
        <f t="shared" si="633"/>
        <v>341094</v>
      </c>
      <c r="FB142" s="264">
        <f t="shared" si="634"/>
        <v>0</v>
      </c>
      <c r="FC142" s="265">
        <f t="shared" si="635"/>
        <v>0</v>
      </c>
      <c r="FD142" s="264">
        <f t="shared" si="636"/>
        <v>341094</v>
      </c>
      <c r="FE142" s="264">
        <f t="shared" si="637"/>
        <v>0</v>
      </c>
      <c r="FF142" s="265">
        <f t="shared" si="638"/>
        <v>0</v>
      </c>
      <c r="FG142" s="264">
        <f t="shared" si="639"/>
        <v>341094</v>
      </c>
      <c r="FH142" s="264">
        <f t="shared" si="640"/>
        <v>341094</v>
      </c>
      <c r="FI142" s="264">
        <f t="shared" si="641"/>
        <v>0</v>
      </c>
      <c r="FJ142" s="264">
        <f t="shared" si="642"/>
        <v>341094</v>
      </c>
      <c r="FK142" s="264">
        <f t="shared" si="643"/>
        <v>341094</v>
      </c>
      <c r="FL142" s="264">
        <f t="shared" si="644"/>
        <v>0</v>
      </c>
      <c r="FM142" s="264">
        <f t="shared" si="645"/>
        <v>341094</v>
      </c>
      <c r="FN142" s="264">
        <f t="shared" si="646"/>
        <v>341094</v>
      </c>
      <c r="FO142" s="264">
        <f t="shared" si="647"/>
        <v>0</v>
      </c>
      <c r="FP142" s="264">
        <f t="shared" si="648"/>
        <v>341094</v>
      </c>
      <c r="FQ142" s="264">
        <f t="shared" si="649"/>
        <v>0</v>
      </c>
      <c r="FR142" s="265">
        <f t="shared" si="650"/>
        <v>0</v>
      </c>
      <c r="FS142" s="264">
        <f t="shared" si="651"/>
        <v>341094</v>
      </c>
      <c r="FT142" s="264">
        <f t="shared" si="652"/>
        <v>0</v>
      </c>
      <c r="FU142" s="265">
        <f t="shared" si="653"/>
        <v>0</v>
      </c>
      <c r="FV142" s="264">
        <f t="shared" si="654"/>
        <v>341094</v>
      </c>
      <c r="FW142" s="264">
        <f t="shared" si="655"/>
        <v>0</v>
      </c>
      <c r="FX142" s="264">
        <f t="shared" si="656"/>
        <v>0</v>
      </c>
      <c r="FY142" s="264">
        <f t="shared" si="657"/>
        <v>0</v>
      </c>
      <c r="FZ142" s="264">
        <f t="shared" si="658"/>
        <v>0</v>
      </c>
      <c r="GA142" s="265">
        <f t="shared" si="659"/>
        <v>0</v>
      </c>
      <c r="GB142" s="264">
        <f t="shared" si="660"/>
        <v>341094</v>
      </c>
      <c r="GC142" s="264">
        <f t="shared" si="661"/>
        <v>341094</v>
      </c>
      <c r="GD142" s="266">
        <f t="shared" si="662"/>
        <v>247293.15</v>
      </c>
      <c r="GE142" s="138">
        <f t="shared" si="663"/>
        <v>0.36249999999999999</v>
      </c>
      <c r="GF142" s="267">
        <f t="shared" si="664"/>
        <v>32</v>
      </c>
      <c r="GG142" s="264">
        <f t="array" ref="GG142">IF(SUM(IF(IC$9:IC141=IC142,1,0))&gt;0,0,SUMIF($IC$10:$IC$406,IC142,$FJ$10:$FJ$406))</f>
        <v>0</v>
      </c>
      <c r="GH142" s="268">
        <f t="shared" si="665"/>
        <v>0</v>
      </c>
      <c r="GI142" s="137">
        <f t="shared" si="126"/>
        <v>133</v>
      </c>
      <c r="GJ142" s="269">
        <f t="shared" si="666"/>
        <v>0</v>
      </c>
      <c r="GK142" s="269">
        <f t="shared" si="667"/>
        <v>0</v>
      </c>
      <c r="GL142" s="163">
        <f t="shared" si="668"/>
        <v>0</v>
      </c>
      <c r="GM142" s="137">
        <f t="array" ref="GM142">IF(GJ142=0,0,LARGE(IF($GG$10:$GG$406=GJ142,$GF$10:$GF$406,0),COUNTIF($GJ$10:$GJ$406,GJ142)-COUNTIF(GJ$9:GJ141,GJ142)))</f>
        <v>0</v>
      </c>
      <c r="GN142" s="270">
        <f t="shared" si="669"/>
        <v>0</v>
      </c>
      <c r="GP142" s="137">
        <f>IF(C142="","",IF(ISERROR(MATCH(C142,C$10:C141,0)),MAX(GP$10:GP141)+1,INDEX(GP$10:GP141,MATCH(C142,C$10:C141,0))))</f>
        <v>102</v>
      </c>
      <c r="GQ142" s="264">
        <f>IF(COUNTIF($A$10:A142,A142)&lt;=1,SUMIF($A$10:$A$406,A142,$FH$10:$FH$406),0)</f>
        <v>341094</v>
      </c>
      <c r="GR142" s="137">
        <f t="shared" si="130"/>
        <v>133</v>
      </c>
      <c r="GS142" s="269">
        <f t="shared" si="554"/>
        <v>0</v>
      </c>
      <c r="GT142" s="269">
        <f t="shared" si="555"/>
        <v>0</v>
      </c>
      <c r="GU142" s="163">
        <f t="shared" si="556"/>
        <v>0</v>
      </c>
      <c r="GV142" s="137">
        <f t="array" ref="GV142">IF(GS142=0,0,LARGE(IF($GQ$10:$GQ$406=GS142,$GP$10:$GP$406,0),COUNTIF($GS$10:$GS$406,GS142)-COUNTIF(GS$9:GS141,GS142)))</f>
        <v>0</v>
      </c>
      <c r="GW142" s="270">
        <f t="shared" si="557"/>
        <v>0</v>
      </c>
      <c r="GY142" s="137">
        <f>IF(C142="","",IF(ISERROR(MATCH(C142,C$10:C141,0)),MAX(GP$10:GP141)+1,INDEX(GP$10:GP141,MATCH(C142,C$10:C141,0))))</f>
        <v>102</v>
      </c>
      <c r="GZ142" s="264">
        <f>IF(COUNTIF($A$10:A142,A142)&lt;=1,SUMIF($A$10:$A$406,A142,$FH$10:$FH$406),0)</f>
        <v>341094</v>
      </c>
      <c r="HA142" s="137">
        <f t="shared" si="134"/>
        <v>133</v>
      </c>
      <c r="HB142" s="269">
        <f t="shared" si="670"/>
        <v>0</v>
      </c>
      <c r="HC142" s="414" t="s">
        <v>622</v>
      </c>
      <c r="HD142" s="163">
        <f t="shared" si="671"/>
        <v>0</v>
      </c>
      <c r="HE142" s="137">
        <f t="array" ref="HE142">IF(HB142=0,0,LARGE(IF($GZ$10:$GZ$406=HB142,$GY$10:$GY$406,0),COUNTIF($HB$10:$HB$406,HB142)-COUNTIF(HB$9:HB141,HB142)))</f>
        <v>0</v>
      </c>
      <c r="HF142" s="270">
        <f t="shared" si="672"/>
        <v>0</v>
      </c>
      <c r="HH142" s="268">
        <f t="shared" si="673"/>
        <v>0</v>
      </c>
      <c r="HI142" s="271">
        <v>0</v>
      </c>
      <c r="HJ142" s="264">
        <f t="shared" si="674"/>
        <v>0</v>
      </c>
      <c r="HL142" s="137" t="str">
        <f t="shared" si="675"/>
        <v/>
      </c>
      <c r="HM142" s="264">
        <f t="shared" si="521"/>
        <v>0</v>
      </c>
      <c r="HO142" s="199">
        <f t="shared" si="522"/>
        <v>341094</v>
      </c>
      <c r="HP142" s="199">
        <f t="shared" si="523"/>
        <v>682188</v>
      </c>
      <c r="HQ142" s="199" t="str">
        <f t="shared" si="524"/>
        <v/>
      </c>
      <c r="HR142" s="199" t="str">
        <f t="shared" si="525"/>
        <v/>
      </c>
      <c r="HS142" s="199" t="str">
        <f t="shared" si="539"/>
        <v/>
      </c>
      <c r="HT142" s="199">
        <f t="shared" si="526"/>
        <v>341094</v>
      </c>
      <c r="HU142" s="199" t="str">
        <f t="shared" si="527"/>
        <v/>
      </c>
      <c r="HV142" s="200">
        <f t="shared" si="528"/>
        <v>0</v>
      </c>
      <c r="HW142" s="272" t="str">
        <f t="shared" si="540"/>
        <v/>
      </c>
      <c r="HX142" s="200">
        <f t="shared" si="529"/>
        <v>0</v>
      </c>
      <c r="HY142" s="200">
        <f t="shared" si="530"/>
        <v>341094</v>
      </c>
      <c r="HZ142" s="200">
        <f t="shared" si="535"/>
        <v>0</v>
      </c>
      <c r="IA142" s="200">
        <f t="shared" si="531"/>
        <v>0</v>
      </c>
      <c r="IB142" s="200">
        <f t="shared" si="532"/>
        <v>0</v>
      </c>
      <c r="IC142" s="273">
        <f>IF(C142="","",INDEX(Lookups!$E$2:$E$69,MATCH('Loan List'!BE142,Lookups!$F$2:$F$69,0)))</f>
        <v>32</v>
      </c>
      <c r="ID142" t="b">
        <f t="shared" si="533"/>
        <v>1</v>
      </c>
    </row>
    <row r="143" spans="1:238">
      <c r="A143" t="s">
        <v>624</v>
      </c>
      <c r="B143" s="242">
        <f t="shared" si="541"/>
        <v>134</v>
      </c>
      <c r="C143" s="242">
        <f>IF(COUNTIF($A$10:A142,A143)&gt;0,C142,C142+1)</f>
        <v>103</v>
      </c>
      <c r="D143" s="428" t="s">
        <v>624</v>
      </c>
      <c r="E143" s="428" t="s">
        <v>620</v>
      </c>
      <c r="F143" s="429"/>
      <c r="G143" s="430">
        <v>5496152.1600000001</v>
      </c>
      <c r="H143" s="430">
        <v>5496152.1600000001</v>
      </c>
      <c r="I143" s="244">
        <f>IF(B143="","",VLOOKUP(BF143,Inputs!$A$12:$J$15,10,FALSE))</f>
        <v>1</v>
      </c>
      <c r="J143" s="245">
        <f t="shared" si="542"/>
        <v>5496152.1600000001</v>
      </c>
      <c r="K143" s="245">
        <f t="shared" si="543"/>
        <v>5496152.1600000001</v>
      </c>
      <c r="L143" s="245">
        <f t="shared" si="544"/>
        <v>5496152.1600000001</v>
      </c>
      <c r="M143" s="245">
        <f t="shared" si="545"/>
        <v>5496152.1600000001</v>
      </c>
      <c r="N143" s="432" t="s">
        <v>246</v>
      </c>
      <c r="O143" s="432" t="s">
        <v>245</v>
      </c>
      <c r="P143" s="433">
        <f>IF(B143="","",IF(OR(O143="N/A",O143=""),0,YEARFRAC('Borrowing Base'!$J$4,'Loan List'!O143)*12))</f>
        <v>0</v>
      </c>
      <c r="Q143" s="432" t="s">
        <v>246</v>
      </c>
      <c r="R143" s="434">
        <v>0.98499999999999999</v>
      </c>
      <c r="S143" s="435" t="str">
        <f t="shared" si="546"/>
        <v>No</v>
      </c>
      <c r="T143" s="434">
        <v>1</v>
      </c>
      <c r="U143" s="436">
        <f t="shared" si="547"/>
        <v>0.5</v>
      </c>
      <c r="V143" s="436">
        <f t="shared" si="548"/>
        <v>0.72499999999999998</v>
      </c>
      <c r="W143" s="251">
        <f t="shared" si="561"/>
        <v>5496152.1600000001</v>
      </c>
      <c r="X143" s="432" t="s">
        <v>246</v>
      </c>
      <c r="Y143" s="437" t="s">
        <v>483</v>
      </c>
      <c r="Z143" s="437" t="s">
        <v>484</v>
      </c>
      <c r="AA143" s="438" t="s">
        <v>407</v>
      </c>
      <c r="AB143" s="438" t="s">
        <v>713</v>
      </c>
      <c r="AC143" s="439">
        <v>1.6855044328248114</v>
      </c>
      <c r="AD143" s="439">
        <v>2.1177246895893029</v>
      </c>
      <c r="AE143" s="439">
        <v>2.9242594859241127</v>
      </c>
      <c r="AF143" s="439">
        <v>0.3887421916203187</v>
      </c>
      <c r="AG143" s="440">
        <v>3.5535591954087442</v>
      </c>
      <c r="AH143" s="440">
        <v>3.5535591954087442</v>
      </c>
      <c r="AI143" s="440">
        <v>2.9208411465309401</v>
      </c>
      <c r="AJ143" s="440">
        <v>2.9208411465309401</v>
      </c>
      <c r="AK143" s="441">
        <v>12963326.955837887</v>
      </c>
      <c r="AL143" s="441">
        <v>14932000</v>
      </c>
      <c r="AM143" s="258">
        <v>45747</v>
      </c>
      <c r="AN143" s="442" t="str">
        <f t="shared" si="549"/>
        <v>Tier 2</v>
      </c>
      <c r="AO143" s="443">
        <v>47261</v>
      </c>
      <c r="AP143" s="444">
        <f>IF(C143="","",DAYS360(Inputs!$J$8,AO143)/360)</f>
        <v>3.7472222222222222</v>
      </c>
      <c r="AQ143" s="444">
        <f t="shared" si="550"/>
        <v>3.7472222222222222</v>
      </c>
      <c r="AR143" s="432" t="s">
        <v>246</v>
      </c>
      <c r="AS143" s="445">
        <v>0</v>
      </c>
      <c r="AT143" s="432" t="s">
        <v>64</v>
      </c>
      <c r="AU143" s="446">
        <v>0.01</v>
      </c>
      <c r="AV143" s="446">
        <v>5.2499999999999998E-2</v>
      </c>
      <c r="AW143" s="446">
        <v>4.3170000000000007E-2</v>
      </c>
      <c r="AX143" s="260">
        <f t="shared" si="551"/>
        <v>4.3170000000000007E-2</v>
      </c>
      <c r="AY143" s="446">
        <v>0</v>
      </c>
      <c r="AZ143" s="446">
        <v>0</v>
      </c>
      <c r="BA143" s="446">
        <v>0</v>
      </c>
      <c r="BB143" s="447">
        <f t="shared" si="536"/>
        <v>5.2499999999999998E-2</v>
      </c>
      <c r="BC143" s="447" t="str">
        <f t="shared" si="537"/>
        <v/>
      </c>
      <c r="BD143" s="437" t="s">
        <v>249</v>
      </c>
      <c r="BE143" s="448" t="s">
        <v>363</v>
      </c>
      <c r="BF143" s="437" t="s">
        <v>7</v>
      </c>
      <c r="BG143" s="437" t="s">
        <v>460</v>
      </c>
      <c r="BH143" s="432" t="s">
        <v>246</v>
      </c>
      <c r="BI143" s="449" t="str">
        <f t="shared" si="559"/>
        <v>No</v>
      </c>
      <c r="BJ143" s="449" t="str">
        <f t="shared" si="560"/>
        <v>No</v>
      </c>
      <c r="BK143" s="432" t="s">
        <v>246</v>
      </c>
      <c r="BL143" s="432" t="s">
        <v>246</v>
      </c>
      <c r="BM143" s="432" t="s">
        <v>246</v>
      </c>
      <c r="BN143" s="432" t="s">
        <v>246</v>
      </c>
      <c r="BO143" s="432" t="s">
        <v>246</v>
      </c>
      <c r="BP143" s="432" t="s">
        <v>246</v>
      </c>
      <c r="BQ143" s="432" t="s">
        <v>246</v>
      </c>
      <c r="BR143" s="432" t="s">
        <v>246</v>
      </c>
      <c r="BS143" s="432" t="s">
        <v>246</v>
      </c>
      <c r="BT143" s="432" t="s">
        <v>246</v>
      </c>
      <c r="BU143" s="432" t="s">
        <v>246</v>
      </c>
      <c r="BV143" s="432" t="s">
        <v>246</v>
      </c>
      <c r="BW143" s="432" t="s">
        <v>246</v>
      </c>
      <c r="BX143" s="432" t="s">
        <v>246</v>
      </c>
      <c r="BY143" s="432" t="s">
        <v>246</v>
      </c>
      <c r="BZ143" s="432" t="s">
        <v>246</v>
      </c>
      <c r="CA143" s="432" t="s">
        <v>246</v>
      </c>
      <c r="CB143" s="432" t="s">
        <v>64</v>
      </c>
      <c r="CC143" s="450">
        <f t="shared" si="552"/>
        <v>288259.99002681603</v>
      </c>
      <c r="CD143" s="450">
        <f t="shared" si="553"/>
        <v>0</v>
      </c>
      <c r="CF143" s="263">
        <f t="shared" si="562"/>
        <v>0</v>
      </c>
      <c r="CG143" s="263">
        <f t="shared" si="563"/>
        <v>0</v>
      </c>
      <c r="CH143" s="263">
        <f t="shared" si="564"/>
        <v>0</v>
      </c>
      <c r="CI143" s="263">
        <f t="shared" si="565"/>
        <v>0</v>
      </c>
      <c r="CJ143" s="263">
        <f t="shared" si="566"/>
        <v>0</v>
      </c>
      <c r="CK143" s="263">
        <f t="shared" si="567"/>
        <v>0</v>
      </c>
      <c r="CL143" s="263">
        <f t="shared" si="568"/>
        <v>0</v>
      </c>
      <c r="CM143" s="263">
        <f t="shared" si="569"/>
        <v>0</v>
      </c>
      <c r="CN143" s="263">
        <f t="shared" si="570"/>
        <v>0</v>
      </c>
      <c r="CO143" s="263">
        <f t="shared" si="571"/>
        <v>0</v>
      </c>
      <c r="CP143" s="263">
        <f t="shared" si="572"/>
        <v>0</v>
      </c>
      <c r="CQ143" s="263">
        <f t="shared" si="573"/>
        <v>0</v>
      </c>
      <c r="CR143" s="263">
        <f t="shared" si="574"/>
        <v>0</v>
      </c>
      <c r="CS143" s="263">
        <f t="shared" si="575"/>
        <v>0</v>
      </c>
      <c r="CT143" s="263">
        <f t="shared" si="576"/>
        <v>0</v>
      </c>
      <c r="CU143" s="263">
        <f t="shared" si="577"/>
        <v>0</v>
      </c>
      <c r="CV143" s="263">
        <f t="shared" si="578"/>
        <v>0</v>
      </c>
      <c r="CW143" s="263">
        <f t="shared" si="579"/>
        <v>0</v>
      </c>
      <c r="CX143" s="263">
        <f t="shared" si="580"/>
        <v>0</v>
      </c>
      <c r="CY143" s="263">
        <f t="shared" si="581"/>
        <v>0</v>
      </c>
      <c r="CZ143" s="263">
        <f t="shared" si="582"/>
        <v>0</v>
      </c>
      <c r="DA143" s="263">
        <f t="shared" si="583"/>
        <v>0</v>
      </c>
      <c r="DB143" s="263">
        <f t="shared" si="584"/>
        <v>0</v>
      </c>
      <c r="DC143" s="263">
        <f t="shared" si="585"/>
        <v>0</v>
      </c>
      <c r="DD143" s="263">
        <f t="shared" si="586"/>
        <v>0</v>
      </c>
      <c r="DE143" s="263">
        <f t="shared" si="587"/>
        <v>0</v>
      </c>
      <c r="DF143" s="263">
        <f t="shared" si="588"/>
        <v>5496152.1600000001</v>
      </c>
      <c r="DG143" s="263">
        <f t="shared" si="589"/>
        <v>0</v>
      </c>
      <c r="DH143" s="263">
        <f t="shared" si="590"/>
        <v>5496152.1600000001</v>
      </c>
      <c r="DI143" s="263">
        <f t="shared" si="591"/>
        <v>5496152.1600000001</v>
      </c>
      <c r="DJ143" s="263">
        <f t="shared" si="592"/>
        <v>0</v>
      </c>
      <c r="DK143" s="263">
        <f t="shared" si="593"/>
        <v>0</v>
      </c>
      <c r="DL143" s="263">
        <f t="shared" si="594"/>
        <v>0</v>
      </c>
      <c r="DM143" s="263">
        <f t="shared" si="595"/>
        <v>0</v>
      </c>
      <c r="DO143" s="264">
        <f t="shared" si="596"/>
        <v>0</v>
      </c>
      <c r="DP143" s="265">
        <f t="shared" si="597"/>
        <v>0</v>
      </c>
      <c r="DQ143" s="264">
        <f t="shared" si="598"/>
        <v>5496152.1600000001</v>
      </c>
      <c r="DR143" s="264">
        <f t="shared" si="599"/>
        <v>0</v>
      </c>
      <c r="DS143" s="265">
        <f t="shared" si="600"/>
        <v>0</v>
      </c>
      <c r="DT143" s="264">
        <f t="shared" si="601"/>
        <v>5496152.1600000001</v>
      </c>
      <c r="DU143" s="264">
        <f t="shared" si="602"/>
        <v>0</v>
      </c>
      <c r="DV143" s="265">
        <f t="shared" si="603"/>
        <v>0</v>
      </c>
      <c r="DW143" s="264">
        <f t="shared" si="604"/>
        <v>5496152.1600000001</v>
      </c>
      <c r="DX143" s="264">
        <f t="shared" si="605"/>
        <v>0</v>
      </c>
      <c r="DY143" s="265">
        <f t="shared" si="606"/>
        <v>0</v>
      </c>
      <c r="DZ143" s="264">
        <f t="shared" si="607"/>
        <v>5496152.1600000001</v>
      </c>
      <c r="EA143" s="264">
        <f t="shared" si="608"/>
        <v>0</v>
      </c>
      <c r="EB143" s="265">
        <f t="shared" si="609"/>
        <v>0</v>
      </c>
      <c r="EC143" s="264">
        <f t="shared" si="610"/>
        <v>5496152.1600000001</v>
      </c>
      <c r="ED143" s="264">
        <f t="shared" si="611"/>
        <v>0</v>
      </c>
      <c r="EE143" s="265">
        <f t="shared" si="612"/>
        <v>0</v>
      </c>
      <c r="EF143" s="264">
        <f t="shared" si="613"/>
        <v>5496152.1600000001</v>
      </c>
      <c r="EG143" s="264">
        <f t="shared" si="614"/>
        <v>0</v>
      </c>
      <c r="EH143" s="265">
        <f t="shared" si="615"/>
        <v>0</v>
      </c>
      <c r="EI143" s="264">
        <f t="shared" si="616"/>
        <v>5496152.1600000001</v>
      </c>
      <c r="EJ143" s="264">
        <f t="shared" si="617"/>
        <v>0</v>
      </c>
      <c r="EK143" s="265">
        <f t="shared" si="618"/>
        <v>0</v>
      </c>
      <c r="EL143" s="264">
        <f t="shared" si="619"/>
        <v>5496152.1600000001</v>
      </c>
      <c r="EM143" s="264">
        <f t="shared" si="620"/>
        <v>0</v>
      </c>
      <c r="EN143" s="265">
        <f t="shared" si="621"/>
        <v>0</v>
      </c>
      <c r="EO143" s="264">
        <f t="shared" si="622"/>
        <v>5496152.1600000001</v>
      </c>
      <c r="EP143" s="264">
        <f t="shared" si="623"/>
        <v>0</v>
      </c>
      <c r="EQ143" s="265">
        <f t="shared" si="624"/>
        <v>0</v>
      </c>
      <c r="ER143" s="264">
        <f t="shared" si="625"/>
        <v>5496152.1600000001</v>
      </c>
      <c r="ES143" s="264">
        <f t="shared" si="626"/>
        <v>0</v>
      </c>
      <c r="ET143" s="265">
        <f t="shared" si="627"/>
        <v>0</v>
      </c>
      <c r="EU143" s="264">
        <f t="shared" si="628"/>
        <v>5496152.1600000001</v>
      </c>
      <c r="EV143" s="264">
        <f>IF(AND(BM143="Yes",OR(BN143="No",AND(BN143="Yes",Inputs!$J$8=Inputs!$J$17+75))),EU143,0)</f>
        <v>0</v>
      </c>
      <c r="EW143" s="265">
        <f t="shared" si="629"/>
        <v>0</v>
      </c>
      <c r="EX143" s="264">
        <f t="shared" si="630"/>
        <v>5496152.1600000001</v>
      </c>
      <c r="EY143" s="264">
        <f t="shared" si="631"/>
        <v>0</v>
      </c>
      <c r="EZ143" s="265">
        <f t="shared" si="632"/>
        <v>0</v>
      </c>
      <c r="FA143" s="264">
        <f t="shared" si="633"/>
        <v>5496152.1600000001</v>
      </c>
      <c r="FB143" s="264">
        <f t="shared" si="634"/>
        <v>0</v>
      </c>
      <c r="FC143" s="265">
        <f t="shared" si="635"/>
        <v>0</v>
      </c>
      <c r="FD143" s="264">
        <f t="shared" si="636"/>
        <v>5496152.1600000001</v>
      </c>
      <c r="FE143" s="264">
        <f t="shared" si="637"/>
        <v>0</v>
      </c>
      <c r="FF143" s="265">
        <f t="shared" si="638"/>
        <v>0</v>
      </c>
      <c r="FG143" s="264">
        <f t="shared" si="639"/>
        <v>5496152.1600000001</v>
      </c>
      <c r="FH143" s="264">
        <f t="shared" si="640"/>
        <v>5496152.1600000001</v>
      </c>
      <c r="FI143" s="264">
        <f t="shared" si="641"/>
        <v>0</v>
      </c>
      <c r="FJ143" s="264">
        <f t="shared" si="642"/>
        <v>5496152.1600000001</v>
      </c>
      <c r="FK143" s="264">
        <f t="shared" si="643"/>
        <v>5496152.1600000001</v>
      </c>
      <c r="FL143" s="264">
        <f t="shared" si="644"/>
        <v>0</v>
      </c>
      <c r="FM143" s="264">
        <f t="shared" si="645"/>
        <v>5496152.1600000001</v>
      </c>
      <c r="FN143" s="264">
        <f t="shared" si="646"/>
        <v>5496152.1600000001</v>
      </c>
      <c r="FO143" s="264">
        <f t="shared" si="647"/>
        <v>0</v>
      </c>
      <c r="FP143" s="264">
        <f t="shared" si="648"/>
        <v>5496152.1600000001</v>
      </c>
      <c r="FQ143" s="264">
        <f t="shared" si="649"/>
        <v>0</v>
      </c>
      <c r="FR143" s="265">
        <f t="shared" si="650"/>
        <v>0</v>
      </c>
      <c r="FS143" s="264">
        <f t="shared" si="651"/>
        <v>5496152.1600000001</v>
      </c>
      <c r="FT143" s="264">
        <f t="shared" si="652"/>
        <v>5496152.1600000001</v>
      </c>
      <c r="FU143" s="265">
        <f t="shared" si="653"/>
        <v>0</v>
      </c>
      <c r="FV143" s="264">
        <f t="shared" si="654"/>
        <v>5496152.1600000001</v>
      </c>
      <c r="FW143" s="264">
        <f t="shared" si="655"/>
        <v>0</v>
      </c>
      <c r="FX143" s="264">
        <f t="shared" si="656"/>
        <v>0</v>
      </c>
      <c r="FY143" s="264">
        <f t="shared" si="657"/>
        <v>0</v>
      </c>
      <c r="FZ143" s="264">
        <f t="shared" si="658"/>
        <v>0</v>
      </c>
      <c r="GA143" s="265">
        <f t="shared" si="659"/>
        <v>0</v>
      </c>
      <c r="GB143" s="264">
        <f t="shared" si="660"/>
        <v>5496152.1600000001</v>
      </c>
      <c r="GC143" s="264">
        <f t="shared" si="661"/>
        <v>5496152.1600000001</v>
      </c>
      <c r="GD143" s="266">
        <f t="shared" si="662"/>
        <v>3984710.3160000001</v>
      </c>
      <c r="GE143" s="138">
        <f t="shared" si="663"/>
        <v>0.72499999999999998</v>
      </c>
      <c r="GF143" s="267">
        <f t="shared" si="664"/>
        <v>14</v>
      </c>
      <c r="GG143" s="264">
        <f t="array" ref="GG143">IF(SUM(IF(IC$9:IC142=IC143,1,0))&gt;0,0,SUMIF($IC$10:$IC$406,IC143,$FJ$10:$FJ$406))</f>
        <v>0</v>
      </c>
      <c r="GH143" s="268">
        <f t="shared" si="665"/>
        <v>0</v>
      </c>
      <c r="GI143" s="137">
        <f t="shared" si="126"/>
        <v>134</v>
      </c>
      <c r="GJ143" s="269">
        <f t="shared" si="666"/>
        <v>0</v>
      </c>
      <c r="GK143" s="269">
        <f t="shared" si="667"/>
        <v>0</v>
      </c>
      <c r="GL143" s="163">
        <f t="shared" si="668"/>
        <v>0</v>
      </c>
      <c r="GM143" s="137">
        <f t="array" ref="GM143">IF(GJ143=0,0,LARGE(IF($GG$10:$GG$406=GJ143,$GF$10:$GF$406,0),COUNTIF($GJ$10:$GJ$406,GJ143)-COUNTIF(GJ$9:GJ142,GJ143)))</f>
        <v>0</v>
      </c>
      <c r="GN143" s="270">
        <f t="shared" si="669"/>
        <v>0</v>
      </c>
      <c r="GP143" s="137">
        <f>IF(C143="","",IF(ISERROR(MATCH(C143,C$10:C142,0)),MAX(GP$10:GP142)+1,INDEX(GP$10:GP142,MATCH(C143,C$10:C142,0))))</f>
        <v>103</v>
      </c>
      <c r="GQ143" s="264">
        <f>IF(COUNTIF($A$10:A143,A143)&lt;=1,SUMIF($A$10:$A$406,A143,$FH$10:$FH$406),0)</f>
        <v>11943153.16</v>
      </c>
      <c r="GR143" s="137">
        <f t="shared" si="130"/>
        <v>134</v>
      </c>
      <c r="GS143" s="269">
        <f t="shared" si="554"/>
        <v>0</v>
      </c>
      <c r="GT143" s="269">
        <f t="shared" si="555"/>
        <v>0</v>
      </c>
      <c r="GU143" s="163">
        <f t="shared" si="556"/>
        <v>0</v>
      </c>
      <c r="GV143" s="137">
        <f t="array" ref="GV143">IF(GS143=0,0,LARGE(IF($GQ$10:$GQ$406=GS143,$GP$10:$GP$406,0),COUNTIF($GS$10:$GS$406,GS143)-COUNTIF(GS$9:GS142,GS143)))</f>
        <v>0</v>
      </c>
      <c r="GW143" s="270">
        <f t="shared" si="557"/>
        <v>0</v>
      </c>
      <c r="GY143" s="137">
        <f>IF(C143="","",IF(ISERROR(MATCH(C143,C$10:C142,0)),MAX(GP$10:GP142)+1,INDEX(GP$10:GP142,MATCH(C143,C$10:C142,0))))</f>
        <v>103</v>
      </c>
      <c r="GZ143" s="264">
        <f>IF(COUNTIF($A$10:A143,A143)&lt;=1,SUMIF($A$10:$A$406,A143,$FH$10:$FH$406),0)</f>
        <v>11943153.16</v>
      </c>
      <c r="HA143" s="137">
        <f t="shared" si="134"/>
        <v>134</v>
      </c>
      <c r="HB143" s="269">
        <f t="shared" si="670"/>
        <v>0</v>
      </c>
      <c r="HC143" s="414" t="s">
        <v>622</v>
      </c>
      <c r="HD143" s="163">
        <f t="shared" si="671"/>
        <v>0</v>
      </c>
      <c r="HE143" s="137">
        <f t="array" ref="HE143">IF(HB143=0,0,LARGE(IF($GZ$10:$GZ$406=HB143,$GY$10:$GY$406,0),COUNTIF($HB$10:$HB$406,HB143)-COUNTIF(HB$9:HB142,HB143)))</f>
        <v>0</v>
      </c>
      <c r="HF143" s="270">
        <f t="shared" si="672"/>
        <v>0</v>
      </c>
      <c r="HH143" s="268">
        <f t="shared" si="673"/>
        <v>0</v>
      </c>
      <c r="HI143" s="271">
        <v>0</v>
      </c>
      <c r="HJ143" s="264">
        <f t="shared" si="674"/>
        <v>0</v>
      </c>
      <c r="HL143" s="137" t="str">
        <f t="shared" si="675"/>
        <v/>
      </c>
      <c r="HM143" s="264">
        <f t="shared" ref="HM143:HM167" si="676">SUMIF($C$10:$C$406,HL143,$DH$10:$DH$406)</f>
        <v>0</v>
      </c>
      <c r="HO143" s="199">
        <f t="shared" si="522"/>
        <v>5496152.1600000001</v>
      </c>
      <c r="HP143" s="199">
        <f t="shared" si="523"/>
        <v>5496152.1600000001</v>
      </c>
      <c r="HQ143" s="199" t="str">
        <f t="shared" si="524"/>
        <v/>
      </c>
      <c r="HR143" s="199" t="str">
        <f t="shared" si="525"/>
        <v/>
      </c>
      <c r="HS143" s="199" t="str">
        <f t="shared" si="539"/>
        <v/>
      </c>
      <c r="HT143" s="199" t="str">
        <f t="shared" si="526"/>
        <v/>
      </c>
      <c r="HU143" s="199" t="str">
        <f t="shared" si="527"/>
        <v/>
      </c>
      <c r="HV143" s="200">
        <f t="shared" si="528"/>
        <v>0</v>
      </c>
      <c r="HW143" s="272">
        <f t="shared" si="540"/>
        <v>1</v>
      </c>
      <c r="HX143" s="200" t="str">
        <f t="shared" si="529"/>
        <v/>
      </c>
      <c r="HY143" s="200">
        <f t="shared" si="530"/>
        <v>0</v>
      </c>
      <c r="HZ143" s="200" t="str">
        <f t="shared" si="535"/>
        <v/>
      </c>
      <c r="IA143" s="200" t="str">
        <f t="shared" si="531"/>
        <v/>
      </c>
      <c r="IB143" s="200" t="str">
        <f t="shared" si="532"/>
        <v/>
      </c>
      <c r="IC143" s="273">
        <f>IF(C143="","",INDEX(Lookups!$E$2:$E$69,MATCH('Loan List'!BE143,Lookups!$F$2:$F$69,0)))</f>
        <v>14</v>
      </c>
      <c r="ID143" t="b">
        <f t="shared" si="533"/>
        <v>1</v>
      </c>
    </row>
    <row r="144" spans="1:238">
      <c r="A144" t="s">
        <v>624</v>
      </c>
      <c r="B144" s="242">
        <f t="shared" si="541"/>
        <v>135</v>
      </c>
      <c r="C144" s="242">
        <f>IF(COUNTIF($A$10:A143,A144)&gt;0,C143,C143+1)</f>
        <v>103</v>
      </c>
      <c r="D144" s="431" t="s">
        <v>791</v>
      </c>
      <c r="E144" s="428" t="s">
        <v>620</v>
      </c>
      <c r="F144" s="429"/>
      <c r="G144" s="430">
        <v>6447001</v>
      </c>
      <c r="H144" s="430">
        <v>6447001</v>
      </c>
      <c r="I144" s="244">
        <f>IF(B144="","",VLOOKUP(BF144,Inputs!$A$12:$J$15,10,FALSE))</f>
        <v>1</v>
      </c>
      <c r="J144" s="245">
        <f t="shared" si="542"/>
        <v>6447001</v>
      </c>
      <c r="K144" s="245">
        <f t="shared" si="543"/>
        <v>6447001</v>
      </c>
      <c r="L144" s="245">
        <f t="shared" si="544"/>
        <v>6447001</v>
      </c>
      <c r="M144" s="245">
        <f t="shared" si="545"/>
        <v>6447001</v>
      </c>
      <c r="N144" s="432" t="s">
        <v>246</v>
      </c>
      <c r="O144" s="432" t="s">
        <v>245</v>
      </c>
      <c r="P144" s="433">
        <f>IF(B144="","",IF(OR(O144="N/A",O144=""),0,YEARFRAC('Borrowing Base'!$J$4,'Loan List'!O144)*12))</f>
        <v>0</v>
      </c>
      <c r="Q144" s="432" t="s">
        <v>246</v>
      </c>
      <c r="R144" s="434">
        <v>0.98499999999999999</v>
      </c>
      <c r="S144" s="435" t="str">
        <f t="shared" si="546"/>
        <v>No</v>
      </c>
      <c r="T144" s="434">
        <v>1</v>
      </c>
      <c r="U144" s="436">
        <f t="shared" si="547"/>
        <v>0.5</v>
      </c>
      <c r="V144" s="436">
        <f t="shared" si="548"/>
        <v>0.72499999999999998</v>
      </c>
      <c r="W144" s="251">
        <f t="shared" si="561"/>
        <v>6447001</v>
      </c>
      <c r="X144" s="432" t="s">
        <v>246</v>
      </c>
      <c r="Y144" s="437" t="s">
        <v>483</v>
      </c>
      <c r="Z144" s="437" t="s">
        <v>484</v>
      </c>
      <c r="AA144" s="438" t="s">
        <v>407</v>
      </c>
      <c r="AB144" s="438" t="s">
        <v>713</v>
      </c>
      <c r="AC144" s="439">
        <v>1.6855044328248114</v>
      </c>
      <c r="AD144" s="439">
        <v>2.1177246895893029</v>
      </c>
      <c r="AE144" s="439">
        <v>2.9242594859241127</v>
      </c>
      <c r="AF144" s="439">
        <v>0.3887421916203187</v>
      </c>
      <c r="AG144" s="440">
        <v>2.9208411465309401</v>
      </c>
      <c r="AH144" s="440">
        <v>2.9208411465309401</v>
      </c>
      <c r="AI144" s="440">
        <v>2.9208411465309401</v>
      </c>
      <c r="AJ144" s="440">
        <v>2.9208411465309401</v>
      </c>
      <c r="AK144" s="441">
        <v>14932000</v>
      </c>
      <c r="AL144" s="441">
        <v>14932000</v>
      </c>
      <c r="AM144" s="258">
        <v>45747</v>
      </c>
      <c r="AN144" s="442" t="str">
        <f t="shared" si="549"/>
        <v>Tier 2</v>
      </c>
      <c r="AO144" s="443">
        <v>47261</v>
      </c>
      <c r="AP144" s="444">
        <f>IF(C144="","",DAYS360(Inputs!$J$8,AO144)/360)</f>
        <v>3.7472222222222222</v>
      </c>
      <c r="AQ144" s="444">
        <f t="shared" si="550"/>
        <v>3.7472222222222222</v>
      </c>
      <c r="AR144" s="432" t="s">
        <v>246</v>
      </c>
      <c r="AS144" s="445">
        <v>0</v>
      </c>
      <c r="AT144" s="432" t="s">
        <v>64</v>
      </c>
      <c r="AU144" s="446">
        <v>0.01</v>
      </c>
      <c r="AV144" s="446">
        <v>5.2499999999999998E-2</v>
      </c>
      <c r="AW144" s="446">
        <v>4.3170000000000007E-2</v>
      </c>
      <c r="AX144" s="260">
        <f t="shared" si="551"/>
        <v>4.3170000000000007E-2</v>
      </c>
      <c r="AY144" s="446">
        <v>0</v>
      </c>
      <c r="AZ144" s="446">
        <v>0</v>
      </c>
      <c r="BA144" s="446">
        <v>0</v>
      </c>
      <c r="BB144" s="447">
        <f t="shared" si="536"/>
        <v>5.2499999999999998E-2</v>
      </c>
      <c r="BC144" s="447" t="str">
        <f t="shared" si="537"/>
        <v/>
      </c>
      <c r="BD144" s="437" t="s">
        <v>249</v>
      </c>
      <c r="BE144" s="448" t="s">
        <v>363</v>
      </c>
      <c r="BF144" s="437" t="s">
        <v>7</v>
      </c>
      <c r="BG144" s="437" t="s">
        <v>460</v>
      </c>
      <c r="BH144" s="432" t="s">
        <v>246</v>
      </c>
      <c r="BI144" s="449" t="str">
        <f t="shared" si="559"/>
        <v>No</v>
      </c>
      <c r="BJ144" s="449" t="str">
        <f t="shared" si="560"/>
        <v>No</v>
      </c>
      <c r="BK144" s="432" t="s">
        <v>246</v>
      </c>
      <c r="BL144" s="432" t="s">
        <v>246</v>
      </c>
      <c r="BM144" s="246" t="s">
        <v>64</v>
      </c>
      <c r="BN144" s="246" t="s">
        <v>64</v>
      </c>
      <c r="BO144" s="432" t="s">
        <v>246</v>
      </c>
      <c r="BP144" s="432" t="s">
        <v>246</v>
      </c>
      <c r="BQ144" s="432" t="s">
        <v>246</v>
      </c>
      <c r="BR144" s="432" t="s">
        <v>246</v>
      </c>
      <c r="BS144" s="432" t="s">
        <v>246</v>
      </c>
      <c r="BT144" s="432" t="s">
        <v>246</v>
      </c>
      <c r="BU144" s="432" t="s">
        <v>246</v>
      </c>
      <c r="BV144" s="432" t="s">
        <v>246</v>
      </c>
      <c r="BW144" s="432" t="s">
        <v>246</v>
      </c>
      <c r="BX144" s="432" t="s">
        <v>246</v>
      </c>
      <c r="BY144" s="432" t="s">
        <v>246</v>
      </c>
      <c r="BZ144" s="432" t="s">
        <v>246</v>
      </c>
      <c r="CA144" s="432" t="s">
        <v>246</v>
      </c>
      <c r="CB144" s="432" t="s">
        <v>64</v>
      </c>
      <c r="CC144" s="450">
        <f t="shared" si="552"/>
        <v>338129.72964760003</v>
      </c>
      <c r="CD144" s="450">
        <f t="shared" si="553"/>
        <v>0</v>
      </c>
      <c r="CF144" s="263">
        <f t="shared" si="562"/>
        <v>0</v>
      </c>
      <c r="CG144" s="263">
        <f t="shared" si="563"/>
        <v>0</v>
      </c>
      <c r="CH144" s="263">
        <f t="shared" si="564"/>
        <v>0</v>
      </c>
      <c r="CI144" s="263">
        <f t="shared" si="565"/>
        <v>0</v>
      </c>
      <c r="CJ144" s="263">
        <f t="shared" si="566"/>
        <v>0</v>
      </c>
      <c r="CK144" s="263">
        <f t="shared" si="567"/>
        <v>0</v>
      </c>
      <c r="CL144" s="263">
        <f t="shared" si="568"/>
        <v>0</v>
      </c>
      <c r="CM144" s="263">
        <f t="shared" si="569"/>
        <v>0</v>
      </c>
      <c r="CN144" s="263">
        <f t="shared" si="570"/>
        <v>0</v>
      </c>
      <c r="CO144" s="263">
        <f t="shared" si="571"/>
        <v>0</v>
      </c>
      <c r="CP144" s="263">
        <f t="shared" si="572"/>
        <v>0</v>
      </c>
      <c r="CQ144" s="263">
        <f t="shared" si="573"/>
        <v>0</v>
      </c>
      <c r="CR144" s="263">
        <f t="shared" si="574"/>
        <v>0</v>
      </c>
      <c r="CS144" s="263">
        <f t="shared" si="575"/>
        <v>0</v>
      </c>
      <c r="CT144" s="263">
        <f t="shared" si="576"/>
        <v>0</v>
      </c>
      <c r="CU144" s="263">
        <f t="shared" si="577"/>
        <v>0</v>
      </c>
      <c r="CV144" s="263">
        <f t="shared" si="578"/>
        <v>0</v>
      </c>
      <c r="CW144" s="263">
        <f t="shared" si="579"/>
        <v>0</v>
      </c>
      <c r="CX144" s="263">
        <f t="shared" si="580"/>
        <v>0</v>
      </c>
      <c r="CY144" s="263">
        <f t="shared" si="581"/>
        <v>0</v>
      </c>
      <c r="CZ144" s="263">
        <f t="shared" si="582"/>
        <v>0</v>
      </c>
      <c r="DA144" s="263">
        <f t="shared" si="583"/>
        <v>0</v>
      </c>
      <c r="DB144" s="263">
        <f t="shared" si="584"/>
        <v>0</v>
      </c>
      <c r="DC144" s="263">
        <f t="shared" si="585"/>
        <v>0</v>
      </c>
      <c r="DD144" s="263">
        <f t="shared" si="586"/>
        <v>0</v>
      </c>
      <c r="DE144" s="263">
        <f t="shared" si="587"/>
        <v>0</v>
      </c>
      <c r="DF144" s="263">
        <f t="shared" si="588"/>
        <v>6447001</v>
      </c>
      <c r="DG144" s="263">
        <f t="shared" si="589"/>
        <v>0</v>
      </c>
      <c r="DH144" s="263">
        <f t="shared" si="590"/>
        <v>6447001</v>
      </c>
      <c r="DI144" s="263">
        <f t="shared" si="591"/>
        <v>6447001</v>
      </c>
      <c r="DJ144" s="263">
        <f t="shared" si="592"/>
        <v>0</v>
      </c>
      <c r="DK144" s="263">
        <f t="shared" si="593"/>
        <v>0</v>
      </c>
      <c r="DL144" s="263">
        <f t="shared" si="594"/>
        <v>0</v>
      </c>
      <c r="DM144" s="263">
        <f t="shared" si="595"/>
        <v>0</v>
      </c>
      <c r="DO144" s="264">
        <f t="shared" si="596"/>
        <v>0</v>
      </c>
      <c r="DP144" s="265">
        <f t="shared" si="597"/>
        <v>0</v>
      </c>
      <c r="DQ144" s="264">
        <f t="shared" si="598"/>
        <v>6447001</v>
      </c>
      <c r="DR144" s="264">
        <f t="shared" si="599"/>
        <v>0</v>
      </c>
      <c r="DS144" s="265">
        <f t="shared" si="600"/>
        <v>0</v>
      </c>
      <c r="DT144" s="264">
        <f t="shared" si="601"/>
        <v>6447001</v>
      </c>
      <c r="DU144" s="264">
        <f t="shared" si="602"/>
        <v>0</v>
      </c>
      <c r="DV144" s="265">
        <f t="shared" si="603"/>
        <v>0</v>
      </c>
      <c r="DW144" s="264">
        <f t="shared" si="604"/>
        <v>6447001</v>
      </c>
      <c r="DX144" s="264">
        <f t="shared" si="605"/>
        <v>0</v>
      </c>
      <c r="DY144" s="265">
        <f t="shared" si="606"/>
        <v>0</v>
      </c>
      <c r="DZ144" s="264">
        <f t="shared" si="607"/>
        <v>6447001</v>
      </c>
      <c r="EA144" s="264">
        <f t="shared" si="608"/>
        <v>0</v>
      </c>
      <c r="EB144" s="265">
        <f t="shared" si="609"/>
        <v>0</v>
      </c>
      <c r="EC144" s="264">
        <f t="shared" si="610"/>
        <v>6447001</v>
      </c>
      <c r="ED144" s="264">
        <f t="shared" si="611"/>
        <v>0</v>
      </c>
      <c r="EE144" s="265">
        <f t="shared" si="612"/>
        <v>0</v>
      </c>
      <c r="EF144" s="264">
        <f t="shared" si="613"/>
        <v>6447001</v>
      </c>
      <c r="EG144" s="264">
        <f t="shared" si="614"/>
        <v>0</v>
      </c>
      <c r="EH144" s="265">
        <f t="shared" si="615"/>
        <v>0</v>
      </c>
      <c r="EI144" s="264">
        <f t="shared" si="616"/>
        <v>6447001</v>
      </c>
      <c r="EJ144" s="264">
        <f t="shared" si="617"/>
        <v>0</v>
      </c>
      <c r="EK144" s="265">
        <f t="shared" si="618"/>
        <v>0</v>
      </c>
      <c r="EL144" s="264">
        <f t="shared" si="619"/>
        <v>6447001</v>
      </c>
      <c r="EM144" s="264">
        <f t="shared" si="620"/>
        <v>0</v>
      </c>
      <c r="EN144" s="265">
        <f t="shared" si="621"/>
        <v>0</v>
      </c>
      <c r="EO144" s="264">
        <f t="shared" si="622"/>
        <v>6447001</v>
      </c>
      <c r="EP144" s="264">
        <f t="shared" si="623"/>
        <v>0</v>
      </c>
      <c r="EQ144" s="265">
        <f t="shared" si="624"/>
        <v>0</v>
      </c>
      <c r="ER144" s="264">
        <f t="shared" si="625"/>
        <v>6447001</v>
      </c>
      <c r="ES144" s="264">
        <f t="shared" si="626"/>
        <v>0</v>
      </c>
      <c r="ET144" s="265">
        <f t="shared" si="627"/>
        <v>0</v>
      </c>
      <c r="EU144" s="264">
        <f t="shared" si="628"/>
        <v>6447001</v>
      </c>
      <c r="EV144" s="264">
        <f>IF(AND(BM144="Yes",OR(BN144="No",AND(BN144="Yes",Inputs!$J$8=Inputs!$J$17+75))),EU144,0)</f>
        <v>0</v>
      </c>
      <c r="EW144" s="265">
        <f t="shared" si="629"/>
        <v>0</v>
      </c>
      <c r="EX144" s="264">
        <f t="shared" si="630"/>
        <v>6447001</v>
      </c>
      <c r="EY144" s="264">
        <f t="shared" si="631"/>
        <v>0</v>
      </c>
      <c r="EZ144" s="265">
        <f t="shared" si="632"/>
        <v>0</v>
      </c>
      <c r="FA144" s="264">
        <f t="shared" si="633"/>
        <v>6447001</v>
      </c>
      <c r="FB144" s="264">
        <f t="shared" si="634"/>
        <v>0</v>
      </c>
      <c r="FC144" s="265">
        <f t="shared" si="635"/>
        <v>0</v>
      </c>
      <c r="FD144" s="264">
        <f t="shared" si="636"/>
        <v>6447001</v>
      </c>
      <c r="FE144" s="264">
        <f t="shared" si="637"/>
        <v>0</v>
      </c>
      <c r="FF144" s="265">
        <f t="shared" si="638"/>
        <v>0</v>
      </c>
      <c r="FG144" s="264">
        <f t="shared" si="639"/>
        <v>6447001</v>
      </c>
      <c r="FH144" s="264">
        <f t="shared" si="640"/>
        <v>6447001</v>
      </c>
      <c r="FI144" s="264">
        <f t="shared" si="641"/>
        <v>0</v>
      </c>
      <c r="FJ144" s="264">
        <f t="shared" si="642"/>
        <v>6447001</v>
      </c>
      <c r="FK144" s="264">
        <f t="shared" si="643"/>
        <v>6447001</v>
      </c>
      <c r="FL144" s="264">
        <f t="shared" si="644"/>
        <v>0</v>
      </c>
      <c r="FM144" s="264">
        <f t="shared" si="645"/>
        <v>6447001</v>
      </c>
      <c r="FN144" s="264">
        <f t="shared" si="646"/>
        <v>6447001</v>
      </c>
      <c r="FO144" s="264">
        <f t="shared" si="647"/>
        <v>0</v>
      </c>
      <c r="FP144" s="264">
        <f t="shared" si="648"/>
        <v>6447001</v>
      </c>
      <c r="FQ144" s="264">
        <f t="shared" si="649"/>
        <v>0</v>
      </c>
      <c r="FR144" s="265">
        <f t="shared" si="650"/>
        <v>0</v>
      </c>
      <c r="FS144" s="264">
        <f t="shared" si="651"/>
        <v>6447001</v>
      </c>
      <c r="FT144" s="264">
        <f t="shared" si="652"/>
        <v>6447001</v>
      </c>
      <c r="FU144" s="265">
        <f t="shared" si="653"/>
        <v>0</v>
      </c>
      <c r="FV144" s="264">
        <f t="shared" si="654"/>
        <v>6447001</v>
      </c>
      <c r="FW144" s="264">
        <f t="shared" si="655"/>
        <v>0</v>
      </c>
      <c r="FX144" s="264">
        <f t="shared" si="656"/>
        <v>0</v>
      </c>
      <c r="FY144" s="264">
        <f t="shared" si="657"/>
        <v>0</v>
      </c>
      <c r="FZ144" s="264">
        <f t="shared" si="658"/>
        <v>0</v>
      </c>
      <c r="GA144" s="265">
        <f t="shared" si="659"/>
        <v>0</v>
      </c>
      <c r="GB144" s="264">
        <f t="shared" si="660"/>
        <v>6447001</v>
      </c>
      <c r="GC144" s="264">
        <f t="shared" si="661"/>
        <v>6447001</v>
      </c>
      <c r="GD144" s="266">
        <f t="shared" si="662"/>
        <v>4674075.7249999996</v>
      </c>
      <c r="GE144" s="138">
        <f t="shared" si="663"/>
        <v>0.72499999999999998</v>
      </c>
      <c r="GF144" s="267">
        <f t="shared" si="664"/>
        <v>14</v>
      </c>
      <c r="GG144" s="264">
        <f t="array" ref="GG144">IF(SUM(IF(IC$9:IC143=IC144,1,0))&gt;0,0,SUMIF($IC$10:$IC$406,IC144,$FJ$10:$FJ$406))</f>
        <v>0</v>
      </c>
      <c r="GH144" s="268">
        <f t="shared" si="665"/>
        <v>0</v>
      </c>
      <c r="GI144" s="137">
        <f t="shared" si="126"/>
        <v>135</v>
      </c>
      <c r="GJ144" s="269">
        <f t="shared" si="666"/>
        <v>0</v>
      </c>
      <c r="GK144" s="269">
        <f t="shared" si="667"/>
        <v>0</v>
      </c>
      <c r="GL144" s="163">
        <f t="shared" si="668"/>
        <v>0</v>
      </c>
      <c r="GM144" s="137">
        <f t="array" ref="GM144">IF(GJ144=0,0,LARGE(IF($GG$10:$GG$406=GJ144,$GF$10:$GF$406,0),COUNTIF($GJ$10:$GJ$406,GJ144)-COUNTIF(GJ$9:GJ143,GJ144)))</f>
        <v>0</v>
      </c>
      <c r="GN144" s="270">
        <f t="shared" si="669"/>
        <v>0</v>
      </c>
      <c r="GP144" s="137">
        <f>IF(C144="","",IF(ISERROR(MATCH(C144,C$10:C143,0)),MAX(GP$10:GP143)+1,INDEX(GP$10:GP143,MATCH(C144,C$10:C143,0))))</f>
        <v>103</v>
      </c>
      <c r="GQ144" s="264">
        <f>IF(COUNTIF($A$10:A144,A144)&lt;=1,SUMIF($A$10:$A$406,A144,$FH$10:$FH$406),0)</f>
        <v>0</v>
      </c>
      <c r="GR144" s="137">
        <f t="shared" si="130"/>
        <v>135</v>
      </c>
      <c r="GS144" s="269">
        <f t="shared" si="554"/>
        <v>0</v>
      </c>
      <c r="GT144" s="269">
        <f t="shared" si="555"/>
        <v>0</v>
      </c>
      <c r="GU144" s="163">
        <f t="shared" si="556"/>
        <v>0</v>
      </c>
      <c r="GV144" s="137">
        <f t="array" ref="GV144">IF(GS144=0,0,LARGE(IF($GQ$10:$GQ$406=GS144,$GP$10:$GP$406,0),COUNTIF($GS$10:$GS$406,GS144)-COUNTIF(GS$9:GS143,GS144)))</f>
        <v>0</v>
      </c>
      <c r="GW144" s="270">
        <f t="shared" si="557"/>
        <v>0</v>
      </c>
      <c r="GY144" s="137">
        <f>IF(C144="","",IF(ISERROR(MATCH(C144,C$10:C143,0)),MAX(GP$10:GP143)+1,INDEX(GP$10:GP143,MATCH(C144,C$10:C143,0))))</f>
        <v>103</v>
      </c>
      <c r="GZ144" s="264">
        <f>IF(COUNTIF($A$10:A144,A144)&lt;=1,SUMIF($A$10:$A$406,A144,$FH$10:$FH$406),0)</f>
        <v>0</v>
      </c>
      <c r="HA144" s="137">
        <f t="shared" si="134"/>
        <v>135</v>
      </c>
      <c r="HB144" s="269">
        <f t="shared" si="670"/>
        <v>0</v>
      </c>
      <c r="HC144" s="414" t="s">
        <v>622</v>
      </c>
      <c r="HD144" s="163">
        <f t="shared" si="671"/>
        <v>0</v>
      </c>
      <c r="HE144" s="137">
        <f t="array" ref="HE144">IF(HB144=0,0,LARGE(IF($GZ$10:$GZ$406=HB144,$GY$10:$GY$406,0),COUNTIF($HB$10:$HB$406,HB144)-COUNTIF(HB$9:HB143,HB144)))</f>
        <v>0</v>
      </c>
      <c r="HF144" s="270">
        <f t="shared" si="672"/>
        <v>0</v>
      </c>
      <c r="HH144" s="268">
        <f t="shared" si="673"/>
        <v>0</v>
      </c>
      <c r="HI144" s="271">
        <v>0</v>
      </c>
      <c r="HJ144" s="264">
        <f t="shared" si="674"/>
        <v>0</v>
      </c>
      <c r="HL144" s="137" t="str">
        <f t="shared" si="675"/>
        <v/>
      </c>
      <c r="HM144" s="264">
        <f t="shared" si="676"/>
        <v>0</v>
      </c>
      <c r="HO144" s="199">
        <f t="shared" ref="HO144:HO167" si="677">MIN(HP144:HT144)</f>
        <v>6447001</v>
      </c>
      <c r="HP144" s="199">
        <f t="shared" ref="HP144:HP167" si="678">IF(B144="","",$M144)</f>
        <v>6447001</v>
      </c>
      <c r="HQ144" s="199" t="str">
        <f t="shared" ref="HQ144:HQ167" si="679">IF($N144="Yes",IF(P144&gt;=6,0,MIN($T144*$M144,$U144*$M144)),"")</f>
        <v/>
      </c>
      <c r="HR144" s="199" t="str">
        <f t="shared" ref="HR144:HR167" si="680">IF(AND(N144="Yes",P144&gt;=6),"",IF($S144="Yes",$R144*$M144,""))</f>
        <v/>
      </c>
      <c r="HS144" s="199" t="str">
        <f t="shared" si="539"/>
        <v/>
      </c>
      <c r="HT144" s="199" t="str">
        <f t="shared" ref="HT144:HT167" si="681">IF(AND($N144="Yes",$P144&gt;=6),"",IF(OR(CZ144=1,DD144=1,),MIN($T144*$M144,$U144*$M144),IF(OR(DA144=1,DB144=1,DC144=1),IF(AK144&gt;=5000000,MIN($T144*$M144,$IF144*$M144),MIN($T144*$M144,$U144*$M144)),"")))</f>
        <v/>
      </c>
      <c r="HU144" s="199" t="str">
        <f t="shared" ref="HU144:HU167" si="682">IF(DE144&gt;0,DE144,"")</f>
        <v/>
      </c>
      <c r="HV144" s="200">
        <f t="shared" ref="HV144:HV167" si="683">IF(B144="",0,$L144-$M144)</f>
        <v>0</v>
      </c>
      <c r="HW144" s="272">
        <f t="shared" ref="HW144:HW167" si="684">IF(OR(SUM(HQ144:HU144)&gt;0,P144&gt;=6),"",IF($B144="","",1))</f>
        <v>1</v>
      </c>
      <c r="HX144" s="200" t="str">
        <f t="shared" ref="HX144:HX167" si="685">IF(AND($HU144&lt;&gt;0,OR(HU144&lt;=MIN(HQ144:HT144),SUM(HQ144:HT144)=0)),$HU144,0)</f>
        <v/>
      </c>
      <c r="HY144" s="200">
        <f t="shared" ref="HY144:HY167" si="686">IF(AND($HT144&lt;&gt;0,OR(AND($HT144&lt;&gt;$HU144,$HT144&lt;&gt;$HS144,$HT144&lt;&gt;$HR144,$HT144&lt;&gt;$HQ144,$HT144&lt;MIN($HQ144:$HS144),$HT144&lt;HU144),SUM($HQ144:$HS144)+SUM(HU144)=0),IB144&lt;=0),$HT144,0)</f>
        <v>0</v>
      </c>
      <c r="HZ144" s="200" t="str">
        <f t="shared" si="535"/>
        <v/>
      </c>
      <c r="IA144" s="200" t="str">
        <f t="shared" ref="IA144:IA167" si="687">IF(AND($HR144&lt;&gt;0,OR(AND($HR144&lt;&gt;$HU144,HR144&lt;&gt;HT144,HR144&lt;&gt;HS144,HR144&lt;&gt;HQ144,HR144&lt;MIN(HS144:HU144)),SUM(HQ144)+SUM(HS144:HU144)=0)),$HR144,0)</f>
        <v/>
      </c>
      <c r="IB144" s="200" t="str">
        <f t="shared" ref="IB144:IB167" si="688">IF(AND($HQ144&lt;&gt;0,OR(HQ144&lt;=MIN(HR144:HU144),SUM(HR144:HU144)=0)),$HQ144,0)</f>
        <v/>
      </c>
      <c r="IC144" s="273">
        <f>IF(C144="","",INDEX(Lookups!$E$2:$E$69,MATCH('Loan List'!BE144,Lookups!$F$2:$F$69,0)))</f>
        <v>14</v>
      </c>
      <c r="ID144" t="b">
        <f t="shared" ref="ID144:ID167" si="689">HV144=DG144</f>
        <v>1</v>
      </c>
    </row>
    <row r="145" spans="1:238">
      <c r="A145" t="s">
        <v>253</v>
      </c>
      <c r="B145" s="242">
        <f t="shared" si="541"/>
        <v>136</v>
      </c>
      <c r="C145" s="242">
        <f>IF(COUNTIF($A$10:A144,A145)&gt;0,C144,C144+1)</f>
        <v>104</v>
      </c>
      <c r="D145" s="428" t="s">
        <v>253</v>
      </c>
      <c r="E145" s="428" t="s">
        <v>479</v>
      </c>
      <c r="F145" s="429"/>
      <c r="G145" s="430">
        <v>6357403.6297999937</v>
      </c>
      <c r="H145" s="430">
        <v>6357403.6297999937</v>
      </c>
      <c r="I145" s="244">
        <f>IF(B145="","",VLOOKUP(BF145,Inputs!$A$12:$J$15,10,FALSE))</f>
        <v>1</v>
      </c>
      <c r="J145" s="245">
        <f t="shared" si="542"/>
        <v>6357403.6297999937</v>
      </c>
      <c r="K145" s="245">
        <f t="shared" si="543"/>
        <v>6357403.6297999937</v>
      </c>
      <c r="L145" s="245">
        <f t="shared" si="544"/>
        <v>6357403.6297999937</v>
      </c>
      <c r="M145" s="245">
        <f t="shared" si="545"/>
        <v>6357403.6297999937</v>
      </c>
      <c r="N145" s="432" t="s">
        <v>246</v>
      </c>
      <c r="O145" s="432" t="s">
        <v>245</v>
      </c>
      <c r="P145" s="433">
        <f>IF(B145="","",IF(OR(O145="N/A",O145=""),0,YEARFRAC('Borrowing Base'!$J$4,'Loan List'!O145)*12))</f>
        <v>0</v>
      </c>
      <c r="Q145" s="432" t="s">
        <v>246</v>
      </c>
      <c r="R145" s="434">
        <v>0.99391312989130076</v>
      </c>
      <c r="S145" s="435" t="str">
        <f t="shared" si="546"/>
        <v>No</v>
      </c>
      <c r="T145" s="434">
        <v>0.94999999728616202</v>
      </c>
      <c r="U145" s="436">
        <f t="shared" si="547"/>
        <v>0.5</v>
      </c>
      <c r="V145" s="436">
        <f t="shared" si="548"/>
        <v>0.72087360484918361</v>
      </c>
      <c r="W145" s="251">
        <f t="shared" si="561"/>
        <v>3178701.8148999969</v>
      </c>
      <c r="X145" s="432" t="s">
        <v>64</v>
      </c>
      <c r="Y145" s="437" t="s">
        <v>483</v>
      </c>
      <c r="Z145" s="437" t="s">
        <v>484</v>
      </c>
      <c r="AA145" s="438" t="s">
        <v>407</v>
      </c>
      <c r="AB145" s="438" t="s">
        <v>713</v>
      </c>
      <c r="AC145" s="439">
        <v>1.64</v>
      </c>
      <c r="AD145" s="439">
        <v>1.3676471688612284</v>
      </c>
      <c r="AE145" s="439">
        <v>1.7340719999976513</v>
      </c>
      <c r="AF145" s="439">
        <v>0.59169042066165678</v>
      </c>
      <c r="AG145" s="440">
        <v>4.5500676724789431</v>
      </c>
      <c r="AH145" s="440">
        <v>4.5500676724789431</v>
      </c>
      <c r="AI145" s="440">
        <v>7.35843094464001</v>
      </c>
      <c r="AJ145" s="440">
        <v>8.318250709324797</v>
      </c>
      <c r="AK145" s="441">
        <v>15054721.144989081</v>
      </c>
      <c r="AL145" s="441">
        <v>23624227</v>
      </c>
      <c r="AM145" s="258">
        <v>45838</v>
      </c>
      <c r="AN145" s="442" t="str">
        <f t="shared" si="549"/>
        <v>Tier 2</v>
      </c>
      <c r="AO145" s="443">
        <v>45915</v>
      </c>
      <c r="AP145" s="444">
        <f>IF(C145="","",DAYS360(Inputs!$J$8,AO145)/360)</f>
        <v>5.8333333333333334E-2</v>
      </c>
      <c r="AQ145" s="444">
        <f t="shared" si="550"/>
        <v>5.8333333333333334E-2</v>
      </c>
      <c r="AR145" s="432" t="s">
        <v>246</v>
      </c>
      <c r="AS145" s="445">
        <v>0</v>
      </c>
      <c r="AT145" s="432" t="s">
        <v>64</v>
      </c>
      <c r="AU145" s="446">
        <v>0.01</v>
      </c>
      <c r="AV145" s="446">
        <v>8.5000000000000006E-2</v>
      </c>
      <c r="AW145" s="446">
        <v>4.3562000000000017E-2</v>
      </c>
      <c r="AX145" s="260">
        <f t="shared" si="551"/>
        <v>4.3562000000000017E-2</v>
      </c>
      <c r="AY145" s="446">
        <v>0</v>
      </c>
      <c r="AZ145" s="446">
        <v>5.8500000000000003E-2</v>
      </c>
      <c r="BA145" s="446">
        <v>0</v>
      </c>
      <c r="BB145" s="447">
        <f t="shared" ref="BB145:BB208" si="690">IF(B145="","",IF(AR145="No",AV145-AZ145,""))</f>
        <v>2.6500000000000003E-2</v>
      </c>
      <c r="BC145" s="447" t="str">
        <f t="shared" ref="BC145:BC208" si="691">IF(B145="","",IF(AR145="Yes",AS145-BA145,""))</f>
        <v/>
      </c>
      <c r="BD145" s="437" t="s">
        <v>247</v>
      </c>
      <c r="BE145" s="448" t="s">
        <v>378</v>
      </c>
      <c r="BF145" s="437" t="s">
        <v>7</v>
      </c>
      <c r="BG145" s="437" t="s">
        <v>460</v>
      </c>
      <c r="BH145" s="432" t="s">
        <v>246</v>
      </c>
      <c r="BI145" s="449" t="str">
        <f t="shared" si="559"/>
        <v>Yes</v>
      </c>
      <c r="BJ145" s="449" t="str">
        <f t="shared" si="560"/>
        <v>No</v>
      </c>
      <c r="BK145" s="432" t="s">
        <v>246</v>
      </c>
      <c r="BL145" s="432" t="s">
        <v>246</v>
      </c>
      <c r="BM145" s="432" t="s">
        <v>246</v>
      </c>
      <c r="BN145" s="432" t="s">
        <v>246</v>
      </c>
      <c r="BO145" s="432" t="s">
        <v>246</v>
      </c>
      <c r="BP145" s="432" t="s">
        <v>246</v>
      </c>
      <c r="BQ145" s="432" t="s">
        <v>246</v>
      </c>
      <c r="BR145" s="432" t="s">
        <v>246</v>
      </c>
      <c r="BS145" s="432" t="s">
        <v>246</v>
      </c>
      <c r="BT145" s="432" t="s">
        <v>246</v>
      </c>
      <c r="BU145" s="432" t="s">
        <v>246</v>
      </c>
      <c r="BV145" s="432" t="s">
        <v>246</v>
      </c>
      <c r="BW145" s="432" t="s">
        <v>246</v>
      </c>
      <c r="BX145" s="432" t="s">
        <v>246</v>
      </c>
      <c r="BY145" s="432" t="s">
        <v>246</v>
      </c>
      <c r="BZ145" s="432" t="s">
        <v>246</v>
      </c>
      <c r="CA145" s="432" t="s">
        <v>246</v>
      </c>
      <c r="CB145" s="432" t="s">
        <v>64</v>
      </c>
      <c r="CC145" s="450">
        <f t="shared" si="552"/>
        <v>170630.17046237999</v>
      </c>
      <c r="CD145" s="450">
        <f t="shared" si="553"/>
        <v>0</v>
      </c>
      <c r="CF145" s="263">
        <f t="shared" si="562"/>
        <v>0</v>
      </c>
      <c r="CG145" s="263">
        <f t="shared" si="563"/>
        <v>0</v>
      </c>
      <c r="CH145" s="263">
        <f t="shared" si="564"/>
        <v>0</v>
      </c>
      <c r="CI145" s="263">
        <f t="shared" si="565"/>
        <v>0</v>
      </c>
      <c r="CJ145" s="263">
        <f t="shared" si="566"/>
        <v>0</v>
      </c>
      <c r="CK145" s="263">
        <f t="shared" si="567"/>
        <v>0</v>
      </c>
      <c r="CL145" s="263">
        <f t="shared" si="568"/>
        <v>0</v>
      </c>
      <c r="CM145" s="263">
        <f t="shared" si="569"/>
        <v>0</v>
      </c>
      <c r="CN145" s="263">
        <f t="shared" si="570"/>
        <v>0</v>
      </c>
      <c r="CO145" s="263">
        <f t="shared" si="571"/>
        <v>0</v>
      </c>
      <c r="CP145" s="263">
        <f t="shared" si="572"/>
        <v>0</v>
      </c>
      <c r="CQ145" s="263">
        <f t="shared" si="573"/>
        <v>0</v>
      </c>
      <c r="CR145" s="263">
        <f t="shared" si="574"/>
        <v>0</v>
      </c>
      <c r="CS145" s="263">
        <f t="shared" si="575"/>
        <v>0</v>
      </c>
      <c r="CT145" s="263">
        <f t="shared" si="576"/>
        <v>0</v>
      </c>
      <c r="CU145" s="263">
        <f t="shared" si="577"/>
        <v>0</v>
      </c>
      <c r="CV145" s="263">
        <f t="shared" si="578"/>
        <v>0</v>
      </c>
      <c r="CW145" s="263">
        <f t="shared" si="579"/>
        <v>0</v>
      </c>
      <c r="CX145" s="263">
        <f t="shared" si="580"/>
        <v>0</v>
      </c>
      <c r="CY145" s="263">
        <f t="shared" si="581"/>
        <v>0</v>
      </c>
      <c r="CZ145" s="263">
        <f t="shared" si="582"/>
        <v>0</v>
      </c>
      <c r="DA145" s="263">
        <f t="shared" si="583"/>
        <v>0</v>
      </c>
      <c r="DB145" s="263">
        <f t="shared" si="584"/>
        <v>0</v>
      </c>
      <c r="DC145" s="263">
        <f t="shared" si="585"/>
        <v>0</v>
      </c>
      <c r="DD145" s="263">
        <f t="shared" si="586"/>
        <v>1</v>
      </c>
      <c r="DE145" s="263">
        <f t="shared" si="587"/>
        <v>0</v>
      </c>
      <c r="DF145" s="263">
        <f t="shared" si="588"/>
        <v>3178701.8148999969</v>
      </c>
      <c r="DG145" s="263">
        <f t="shared" si="589"/>
        <v>0</v>
      </c>
      <c r="DH145" s="263">
        <f t="shared" si="590"/>
        <v>3178701.8148999969</v>
      </c>
      <c r="DI145" s="263">
        <f t="shared" si="591"/>
        <v>6357403.6297999937</v>
      </c>
      <c r="DJ145" s="263">
        <f t="shared" si="592"/>
        <v>0</v>
      </c>
      <c r="DK145" s="263">
        <f t="shared" si="593"/>
        <v>0</v>
      </c>
      <c r="DL145" s="263">
        <f t="shared" si="594"/>
        <v>0</v>
      </c>
      <c r="DM145" s="263">
        <f t="shared" si="595"/>
        <v>0</v>
      </c>
      <c r="DO145" s="264">
        <f t="shared" si="596"/>
        <v>0</v>
      </c>
      <c r="DP145" s="265">
        <f t="shared" si="597"/>
        <v>0</v>
      </c>
      <c r="DQ145" s="264">
        <f t="shared" si="598"/>
        <v>3178701.8148999969</v>
      </c>
      <c r="DR145" s="264">
        <f t="shared" si="599"/>
        <v>0</v>
      </c>
      <c r="DS145" s="265">
        <f t="shared" si="600"/>
        <v>0</v>
      </c>
      <c r="DT145" s="264">
        <f t="shared" si="601"/>
        <v>3178701.8148999969</v>
      </c>
      <c r="DU145" s="264">
        <f t="shared" si="602"/>
        <v>0</v>
      </c>
      <c r="DV145" s="265">
        <f t="shared" si="603"/>
        <v>0</v>
      </c>
      <c r="DW145" s="264">
        <f t="shared" si="604"/>
        <v>3178701.8148999969</v>
      </c>
      <c r="DX145" s="264">
        <f t="shared" si="605"/>
        <v>0</v>
      </c>
      <c r="DY145" s="265">
        <f t="shared" si="606"/>
        <v>0</v>
      </c>
      <c r="DZ145" s="264">
        <f t="shared" si="607"/>
        <v>3178701.8148999969</v>
      </c>
      <c r="EA145" s="264">
        <f t="shared" si="608"/>
        <v>3178701.8148999969</v>
      </c>
      <c r="EB145" s="265">
        <f t="shared" si="609"/>
        <v>0</v>
      </c>
      <c r="EC145" s="264">
        <f t="shared" si="610"/>
        <v>3178701.8148999969</v>
      </c>
      <c r="ED145" s="264">
        <f t="shared" si="611"/>
        <v>0</v>
      </c>
      <c r="EE145" s="265">
        <f t="shared" si="612"/>
        <v>0</v>
      </c>
      <c r="EF145" s="264">
        <f t="shared" si="613"/>
        <v>3178701.8148999969</v>
      </c>
      <c r="EG145" s="264">
        <f t="shared" si="614"/>
        <v>0</v>
      </c>
      <c r="EH145" s="265">
        <f t="shared" si="615"/>
        <v>0</v>
      </c>
      <c r="EI145" s="264">
        <f t="shared" si="616"/>
        <v>3178701.8148999969</v>
      </c>
      <c r="EJ145" s="264">
        <f t="shared" si="617"/>
        <v>0</v>
      </c>
      <c r="EK145" s="265">
        <f t="shared" si="618"/>
        <v>0</v>
      </c>
      <c r="EL145" s="264">
        <f t="shared" si="619"/>
        <v>3178701.8148999969</v>
      </c>
      <c r="EM145" s="264">
        <f t="shared" si="620"/>
        <v>0</v>
      </c>
      <c r="EN145" s="265">
        <f t="shared" si="621"/>
        <v>0</v>
      </c>
      <c r="EO145" s="264">
        <f t="shared" si="622"/>
        <v>3178701.8148999969</v>
      </c>
      <c r="EP145" s="264">
        <f t="shared" si="623"/>
        <v>0</v>
      </c>
      <c r="EQ145" s="265">
        <f t="shared" si="624"/>
        <v>0</v>
      </c>
      <c r="ER145" s="264">
        <f t="shared" si="625"/>
        <v>3178701.8148999969</v>
      </c>
      <c r="ES145" s="264">
        <f t="shared" si="626"/>
        <v>0</v>
      </c>
      <c r="ET145" s="265">
        <f t="shared" si="627"/>
        <v>0</v>
      </c>
      <c r="EU145" s="264">
        <f t="shared" si="628"/>
        <v>3178701.8148999969</v>
      </c>
      <c r="EV145" s="264">
        <f>IF(AND(BM145="Yes",OR(BN145="No",AND(BN145="Yes",Inputs!$J$8=Inputs!$J$17+75))),EU145,0)</f>
        <v>0</v>
      </c>
      <c r="EW145" s="265">
        <f t="shared" si="629"/>
        <v>0</v>
      </c>
      <c r="EX145" s="264">
        <f t="shared" si="630"/>
        <v>3178701.8148999969</v>
      </c>
      <c r="EY145" s="264">
        <f t="shared" si="631"/>
        <v>0</v>
      </c>
      <c r="EZ145" s="265">
        <f t="shared" si="632"/>
        <v>0</v>
      </c>
      <c r="FA145" s="264">
        <f t="shared" si="633"/>
        <v>3178701.8148999969</v>
      </c>
      <c r="FB145" s="264">
        <f t="shared" si="634"/>
        <v>0</v>
      </c>
      <c r="FC145" s="265">
        <f t="shared" si="635"/>
        <v>0</v>
      </c>
      <c r="FD145" s="264">
        <f t="shared" si="636"/>
        <v>3178701.8148999969</v>
      </c>
      <c r="FE145" s="264">
        <f t="shared" si="637"/>
        <v>0</v>
      </c>
      <c r="FF145" s="265">
        <f t="shared" si="638"/>
        <v>0</v>
      </c>
      <c r="FG145" s="264">
        <f t="shared" si="639"/>
        <v>3178701.8148999969</v>
      </c>
      <c r="FH145" s="264">
        <f t="shared" si="640"/>
        <v>3178701.8148999969</v>
      </c>
      <c r="FI145" s="264">
        <f t="shared" si="641"/>
        <v>0</v>
      </c>
      <c r="FJ145" s="264">
        <f t="shared" si="642"/>
        <v>3178701.8148999969</v>
      </c>
      <c r="FK145" s="264">
        <f t="shared" si="643"/>
        <v>3178701.8148999969</v>
      </c>
      <c r="FL145" s="264">
        <f t="shared" si="644"/>
        <v>0</v>
      </c>
      <c r="FM145" s="264">
        <f t="shared" si="645"/>
        <v>3178701.8148999969</v>
      </c>
      <c r="FN145" s="264">
        <f t="shared" si="646"/>
        <v>3178701.8148999969</v>
      </c>
      <c r="FO145" s="264">
        <f t="shared" si="647"/>
        <v>0</v>
      </c>
      <c r="FP145" s="264">
        <f t="shared" si="648"/>
        <v>3178701.8148999969</v>
      </c>
      <c r="FQ145" s="264">
        <f t="shared" si="649"/>
        <v>0</v>
      </c>
      <c r="FR145" s="265">
        <f t="shared" si="650"/>
        <v>0</v>
      </c>
      <c r="FS145" s="264">
        <f t="shared" si="651"/>
        <v>3178701.8148999969</v>
      </c>
      <c r="FT145" s="264">
        <f t="shared" si="652"/>
        <v>0</v>
      </c>
      <c r="FU145" s="265">
        <f t="shared" si="653"/>
        <v>0</v>
      </c>
      <c r="FV145" s="264">
        <f t="shared" si="654"/>
        <v>3178701.8148999969</v>
      </c>
      <c r="FW145" s="264">
        <f t="shared" si="655"/>
        <v>0</v>
      </c>
      <c r="FX145" s="264">
        <f t="shared" si="656"/>
        <v>0</v>
      </c>
      <c r="FY145" s="264">
        <f t="shared" si="657"/>
        <v>0</v>
      </c>
      <c r="FZ145" s="264">
        <f t="shared" si="658"/>
        <v>0</v>
      </c>
      <c r="GA145" s="265">
        <f t="shared" si="659"/>
        <v>0</v>
      </c>
      <c r="GB145" s="264">
        <f t="shared" si="660"/>
        <v>3178701.8148999969</v>
      </c>
      <c r="GC145" s="264">
        <f t="shared" si="661"/>
        <v>3178701.8148999969</v>
      </c>
      <c r="GD145" s="266">
        <f t="shared" si="662"/>
        <v>2291442.2360476032</v>
      </c>
      <c r="GE145" s="138">
        <f t="shared" si="663"/>
        <v>0.36043680242459181</v>
      </c>
      <c r="GF145" s="267">
        <f t="shared" si="664"/>
        <v>19</v>
      </c>
      <c r="GG145" s="264">
        <f t="array" ref="GG145">IF(SUM(IF(IC$9:IC144=IC145,1,0))&gt;0,0,SUMIF($IC$10:$IC$406,IC145,$FJ$10:$FJ$406))</f>
        <v>0</v>
      </c>
      <c r="GH145" s="268">
        <f t="shared" si="665"/>
        <v>0</v>
      </c>
      <c r="GI145" s="137">
        <f t="shared" si="126"/>
        <v>136</v>
      </c>
      <c r="GJ145" s="269">
        <f t="shared" si="666"/>
        <v>0</v>
      </c>
      <c r="GK145" s="269">
        <f t="shared" si="667"/>
        <v>0</v>
      </c>
      <c r="GL145" s="163">
        <f t="shared" si="668"/>
        <v>0</v>
      </c>
      <c r="GM145" s="137">
        <f t="array" ref="GM145">IF(GJ145=0,0,LARGE(IF($GG$10:$GG$406=GJ145,$GF$10:$GF$406,0),COUNTIF($GJ$10:$GJ$406,GJ145)-COUNTIF(GJ$9:GJ144,GJ145)))</f>
        <v>0</v>
      </c>
      <c r="GN145" s="270">
        <f t="shared" si="669"/>
        <v>0</v>
      </c>
      <c r="GP145" s="137">
        <f>IF(C145="","",IF(ISERROR(MATCH(C145,C$10:C144,0)),MAX(GP$10:GP144)+1,INDEX(GP$10:GP144,MATCH(C145,C$10:C144,0))))</f>
        <v>104</v>
      </c>
      <c r="GQ145" s="264">
        <f>IF(COUNTIF($A$10:A145,A145)&lt;=1,SUMIF($A$10:$A$406,A145,$FH$10:$FH$406),0)</f>
        <v>3178701.8148999969</v>
      </c>
      <c r="GR145" s="137">
        <f t="shared" si="130"/>
        <v>136</v>
      </c>
      <c r="GS145" s="269">
        <f t="shared" si="554"/>
        <v>0</v>
      </c>
      <c r="GT145" s="269">
        <f t="shared" si="555"/>
        <v>0</v>
      </c>
      <c r="GU145" s="163">
        <f t="shared" si="556"/>
        <v>0</v>
      </c>
      <c r="GV145" s="137">
        <f t="array" ref="GV145">IF(GS145=0,0,LARGE(IF($GQ$10:$GQ$406=GS145,$GP$10:$GP$406,0),COUNTIF($GS$10:$GS$406,GS145)-COUNTIF(GS$9:GS144,GS145)))</f>
        <v>0</v>
      </c>
      <c r="GW145" s="270">
        <f t="shared" si="557"/>
        <v>0</v>
      </c>
      <c r="GY145" s="137">
        <f>IF(C145="","",IF(ISERROR(MATCH(C145,C$10:C144,0)),MAX(GP$10:GP144)+1,INDEX(GP$10:GP144,MATCH(C145,C$10:C144,0))))</f>
        <v>104</v>
      </c>
      <c r="GZ145" s="264">
        <f>IF(COUNTIF($A$10:A145,A145)&lt;=1,SUMIF($A$10:$A$406,A145,$FH$10:$FH$406),0)</f>
        <v>3178701.8148999969</v>
      </c>
      <c r="HA145" s="137">
        <f t="shared" si="134"/>
        <v>136</v>
      </c>
      <c r="HB145" s="269">
        <f t="shared" si="670"/>
        <v>0</v>
      </c>
      <c r="HC145" s="414" t="s">
        <v>622</v>
      </c>
      <c r="HD145" s="163">
        <f t="shared" si="671"/>
        <v>0</v>
      </c>
      <c r="HE145" s="137">
        <f t="array" ref="HE145">IF(HB145=0,0,LARGE(IF($GZ$10:$GZ$406=HB145,$GY$10:$GY$406,0),COUNTIF($HB$10:$HB$406,HB145)-COUNTIF(HB$9:HB144,HB145)))</f>
        <v>0</v>
      </c>
      <c r="HF145" s="270">
        <f t="shared" si="672"/>
        <v>0</v>
      </c>
      <c r="HH145" s="268">
        <f t="shared" si="673"/>
        <v>0</v>
      </c>
      <c r="HI145" s="271">
        <v>0</v>
      </c>
      <c r="HJ145" s="264">
        <f t="shared" si="674"/>
        <v>0</v>
      </c>
      <c r="HL145" s="137" t="str">
        <f t="shared" si="675"/>
        <v/>
      </c>
      <c r="HM145" s="264">
        <f t="shared" si="676"/>
        <v>0</v>
      </c>
      <c r="HO145" s="199">
        <f t="shared" si="677"/>
        <v>3178701.8148999969</v>
      </c>
      <c r="HP145" s="199">
        <f t="shared" si="678"/>
        <v>6357403.6297999937</v>
      </c>
      <c r="HQ145" s="199" t="str">
        <f t="shared" si="679"/>
        <v/>
      </c>
      <c r="HR145" s="199" t="str">
        <f t="shared" si="680"/>
        <v/>
      </c>
      <c r="HS145" s="199" t="str">
        <f t="shared" si="539"/>
        <v/>
      </c>
      <c r="HT145" s="199">
        <f t="shared" si="681"/>
        <v>3178701.8148999969</v>
      </c>
      <c r="HU145" s="199" t="str">
        <f t="shared" si="682"/>
        <v/>
      </c>
      <c r="HV145" s="200">
        <f t="shared" si="683"/>
        <v>0</v>
      </c>
      <c r="HW145" s="272" t="str">
        <f t="shared" si="684"/>
        <v/>
      </c>
      <c r="HX145" s="200">
        <f t="shared" si="685"/>
        <v>0</v>
      </c>
      <c r="HY145" s="200">
        <f t="shared" si="686"/>
        <v>3178701.8148999969</v>
      </c>
      <c r="HZ145" s="200">
        <f t="shared" ref="HZ145:HZ167" si="692">IF(AND($HS145&lt;&gt;0,OR(AND($HS145&lt;&gt;$HU145,$HS145&lt;&gt;$HT145,$HS145&lt;&gt;$HR145,$HS145&lt;&gt;$HQ145),$HS145&lt;MIN($HQ145:$HR145),$HS145&lt;MIN($HT145:$HU145),SUM($HQ145:$HR145)+SUM($HT145:$HU145)=0)),$HS145,0)</f>
        <v>0</v>
      </c>
      <c r="IA145" s="200">
        <f t="shared" si="687"/>
        <v>0</v>
      </c>
      <c r="IB145" s="200">
        <f t="shared" si="688"/>
        <v>0</v>
      </c>
      <c r="IC145" s="273">
        <f>IF(C145="","",INDEX(Lookups!$E$2:$E$69,MATCH('Loan List'!BE145,Lookups!$F$2:$F$69,0)))</f>
        <v>19</v>
      </c>
      <c r="ID145" t="b">
        <f t="shared" si="689"/>
        <v>1</v>
      </c>
    </row>
    <row r="146" spans="1:238">
      <c r="A146" t="s">
        <v>254</v>
      </c>
      <c r="B146" s="242">
        <f t="shared" si="541"/>
        <v>137</v>
      </c>
      <c r="C146" s="242">
        <f>IF(COUNTIF($A$10:A145,A146)&gt;0,C145,C145+1)</f>
        <v>105</v>
      </c>
      <c r="D146" s="428" t="s">
        <v>254</v>
      </c>
      <c r="E146" s="428" t="s">
        <v>480</v>
      </c>
      <c r="F146" s="429"/>
      <c r="G146" s="430">
        <v>1754578.79</v>
      </c>
      <c r="H146" s="430">
        <v>1754578.79</v>
      </c>
      <c r="I146" s="244">
        <f>IF(B146="","",VLOOKUP(BF146,Inputs!$A$12:$J$15,10,FALSE))</f>
        <v>1</v>
      </c>
      <c r="J146" s="245">
        <f t="shared" si="542"/>
        <v>1754578.79</v>
      </c>
      <c r="K146" s="245">
        <f t="shared" si="543"/>
        <v>1754578.79</v>
      </c>
      <c r="L146" s="245">
        <f t="shared" si="544"/>
        <v>1754578.79</v>
      </c>
      <c r="M146" s="245">
        <f t="shared" si="545"/>
        <v>1754578.79</v>
      </c>
      <c r="N146" s="432" t="s">
        <v>246</v>
      </c>
      <c r="O146" s="432" t="s">
        <v>245</v>
      </c>
      <c r="P146" s="433">
        <f>IF(B146="","",IF(OR(O146="N/A",O146=""),0,YEARFRAC('Borrowing Base'!$J$4,'Loan List'!O146)*12))</f>
        <v>0</v>
      </c>
      <c r="Q146" s="432" t="s">
        <v>246</v>
      </c>
      <c r="R146" s="434">
        <v>0.9927861</v>
      </c>
      <c r="S146" s="435" t="str">
        <f t="shared" si="546"/>
        <v>No</v>
      </c>
      <c r="T146" s="434">
        <v>1</v>
      </c>
      <c r="U146" s="436">
        <f t="shared" si="547"/>
        <v>0.5</v>
      </c>
      <c r="V146" s="436">
        <f t="shared" si="548"/>
        <v>0.64999999999999991</v>
      </c>
      <c r="W146" s="251">
        <f t="shared" si="561"/>
        <v>0</v>
      </c>
      <c r="X146" s="432" t="s">
        <v>64</v>
      </c>
      <c r="Y146" s="437" t="s">
        <v>483</v>
      </c>
      <c r="Z146" s="437" t="s">
        <v>484</v>
      </c>
      <c r="AA146" s="438" t="s">
        <v>407</v>
      </c>
      <c r="AB146" s="438" t="s">
        <v>713</v>
      </c>
      <c r="AC146" s="439">
        <v>1.28</v>
      </c>
      <c r="AD146" s="439">
        <v>1.2208875347038561</v>
      </c>
      <c r="AE146" s="439">
        <v>1.8190374919546715</v>
      </c>
      <c r="AF146" s="439">
        <v>0.7</v>
      </c>
      <c r="AG146" s="440">
        <v>6.05</v>
      </c>
      <c r="AH146" s="440">
        <v>6.3</v>
      </c>
      <c r="AI146" s="440">
        <v>4.1450098334546892</v>
      </c>
      <c r="AJ146" s="440">
        <v>6.1119555528421321</v>
      </c>
      <c r="AK146" s="441">
        <v>17810000</v>
      </c>
      <c r="AL146" s="441">
        <v>31399442.999999996</v>
      </c>
      <c r="AM146" s="258">
        <v>45808</v>
      </c>
      <c r="AN146" s="442" t="str">
        <f t="shared" si="549"/>
        <v>Tier 3</v>
      </c>
      <c r="AO146" s="443">
        <v>46741</v>
      </c>
      <c r="AP146" s="444">
        <f>IF(C146="","",DAYS360(Inputs!$J$8,AO146)/360)</f>
        <v>2.3222222222222224</v>
      </c>
      <c r="AQ146" s="444">
        <f t="shared" si="550"/>
        <v>2.3222222222222224</v>
      </c>
      <c r="AR146" s="432" t="s">
        <v>246</v>
      </c>
      <c r="AS146" s="445">
        <v>0</v>
      </c>
      <c r="AT146" s="432" t="s">
        <v>246</v>
      </c>
      <c r="AU146" s="446" t="s">
        <v>487</v>
      </c>
      <c r="AV146" s="446">
        <v>7.1499999999999994E-2</v>
      </c>
      <c r="AW146" s="446">
        <v>4.3170000000000014E-2</v>
      </c>
      <c r="AX146" s="260">
        <f t="shared" si="551"/>
        <v>4.3170000000000014E-2</v>
      </c>
      <c r="AY146" s="446">
        <v>5.0000000000000001E-3</v>
      </c>
      <c r="AZ146" s="446">
        <v>0</v>
      </c>
      <c r="BA146" s="446">
        <v>0</v>
      </c>
      <c r="BB146" s="447">
        <f t="shared" si="690"/>
        <v>7.1499999999999994E-2</v>
      </c>
      <c r="BC146" s="447" t="str">
        <f t="shared" si="691"/>
        <v/>
      </c>
      <c r="BD146" s="437" t="s">
        <v>247</v>
      </c>
      <c r="BE146" s="448" t="s">
        <v>324</v>
      </c>
      <c r="BF146" s="437" t="s">
        <v>7</v>
      </c>
      <c r="BG146" s="437" t="s">
        <v>460</v>
      </c>
      <c r="BH146" s="432" t="s">
        <v>246</v>
      </c>
      <c r="BI146" s="449" t="str">
        <f t="shared" si="559"/>
        <v>No</v>
      </c>
      <c r="BJ146" s="449" t="str">
        <f t="shared" si="560"/>
        <v>No</v>
      </c>
      <c r="BK146" s="432" t="s">
        <v>246</v>
      </c>
      <c r="BL146" s="432" t="s">
        <v>246</v>
      </c>
      <c r="BM146" s="432" t="s">
        <v>246</v>
      </c>
      <c r="BN146" s="432" t="s">
        <v>246</v>
      </c>
      <c r="BO146" s="432" t="s">
        <v>246</v>
      </c>
      <c r="BP146" s="432" t="s">
        <v>246</v>
      </c>
      <c r="BQ146" s="432" t="s">
        <v>246</v>
      </c>
      <c r="BR146" s="432" t="s">
        <v>246</v>
      </c>
      <c r="BS146" s="432" t="s">
        <v>246</v>
      </c>
      <c r="BT146" s="432" t="s">
        <v>246</v>
      </c>
      <c r="BU146" s="432" t="s">
        <v>246</v>
      </c>
      <c r="BV146" s="432" t="s">
        <v>246</v>
      </c>
      <c r="BW146" s="432" t="s">
        <v>246</v>
      </c>
      <c r="BX146" s="432" t="s">
        <v>246</v>
      </c>
      <c r="BY146" s="432" t="s">
        <v>246</v>
      </c>
      <c r="BZ146" s="432" t="s">
        <v>246</v>
      </c>
      <c r="CA146" s="432" t="s">
        <v>246</v>
      </c>
      <c r="CB146" s="432" t="s">
        <v>64</v>
      </c>
      <c r="CC146" s="450">
        <f t="shared" si="552"/>
        <v>125360.443556404</v>
      </c>
      <c r="CD146" s="450">
        <f t="shared" si="553"/>
        <v>0</v>
      </c>
      <c r="CF146" s="263">
        <f t="shared" si="562"/>
        <v>0</v>
      </c>
      <c r="CG146" s="263">
        <f t="shared" si="563"/>
        <v>0</v>
      </c>
      <c r="CH146" s="263">
        <f t="shared" si="564"/>
        <v>0</v>
      </c>
      <c r="CI146" s="263">
        <f t="shared" si="565"/>
        <v>0</v>
      </c>
      <c r="CJ146" s="263">
        <f t="shared" si="566"/>
        <v>0</v>
      </c>
      <c r="CK146" s="263">
        <f t="shared" si="567"/>
        <v>0</v>
      </c>
      <c r="CL146" s="263">
        <f t="shared" si="568"/>
        <v>0</v>
      </c>
      <c r="CM146" s="263">
        <f t="shared" si="569"/>
        <v>0</v>
      </c>
      <c r="CN146" s="263">
        <f t="shared" si="570"/>
        <v>0</v>
      </c>
      <c r="CO146" s="263">
        <f t="shared" si="571"/>
        <v>0</v>
      </c>
      <c r="CP146" s="263">
        <f t="shared" si="572"/>
        <v>0</v>
      </c>
      <c r="CQ146" s="263">
        <f t="shared" si="573"/>
        <v>0</v>
      </c>
      <c r="CR146" s="263">
        <f t="shared" si="574"/>
        <v>0</v>
      </c>
      <c r="CS146" s="263">
        <f t="shared" si="575"/>
        <v>0</v>
      </c>
      <c r="CT146" s="263">
        <f t="shared" si="576"/>
        <v>0</v>
      </c>
      <c r="CU146" s="263">
        <f t="shared" si="577"/>
        <v>0</v>
      </c>
      <c r="CV146" s="263">
        <f t="shared" si="578"/>
        <v>0</v>
      </c>
      <c r="CW146" s="263">
        <f t="shared" si="579"/>
        <v>0</v>
      </c>
      <c r="CX146" s="263">
        <f t="shared" si="580"/>
        <v>0</v>
      </c>
      <c r="CY146" s="263">
        <f t="shared" si="581"/>
        <v>0</v>
      </c>
      <c r="CZ146" s="263">
        <f t="shared" si="582"/>
        <v>0</v>
      </c>
      <c r="DA146" s="263">
        <f t="shared" si="583"/>
        <v>0</v>
      </c>
      <c r="DB146" s="263">
        <f t="shared" si="584"/>
        <v>0</v>
      </c>
      <c r="DC146" s="263">
        <f t="shared" si="585"/>
        <v>1</v>
      </c>
      <c r="DD146" s="263">
        <f t="shared" si="586"/>
        <v>0</v>
      </c>
      <c r="DE146" s="263">
        <f t="shared" si="587"/>
        <v>0</v>
      </c>
      <c r="DF146" s="263">
        <f t="shared" si="588"/>
        <v>0</v>
      </c>
      <c r="DG146" s="263">
        <f t="shared" si="589"/>
        <v>0</v>
      </c>
      <c r="DH146" s="263">
        <f t="shared" si="590"/>
        <v>0</v>
      </c>
      <c r="DI146" s="263">
        <f t="shared" si="591"/>
        <v>1754578.79</v>
      </c>
      <c r="DJ146" s="263">
        <f t="shared" si="592"/>
        <v>0</v>
      </c>
      <c r="DK146" s="263">
        <f t="shared" si="593"/>
        <v>0</v>
      </c>
      <c r="DL146" s="263">
        <f t="shared" si="594"/>
        <v>0</v>
      </c>
      <c r="DM146" s="263">
        <f t="shared" si="595"/>
        <v>0</v>
      </c>
      <c r="DO146" s="264">
        <f t="shared" si="596"/>
        <v>0</v>
      </c>
      <c r="DP146" s="265">
        <f t="shared" si="597"/>
        <v>0</v>
      </c>
      <c r="DQ146" s="264">
        <f t="shared" si="598"/>
        <v>0</v>
      </c>
      <c r="DR146" s="264">
        <f t="shared" si="599"/>
        <v>0</v>
      </c>
      <c r="DS146" s="265">
        <f t="shared" si="600"/>
        <v>0</v>
      </c>
      <c r="DT146" s="264">
        <f t="shared" si="601"/>
        <v>0</v>
      </c>
      <c r="DU146" s="264">
        <f t="shared" si="602"/>
        <v>0</v>
      </c>
      <c r="DV146" s="265">
        <f t="shared" si="603"/>
        <v>0</v>
      </c>
      <c r="DW146" s="264">
        <f t="shared" si="604"/>
        <v>0</v>
      </c>
      <c r="DX146" s="264">
        <f t="shared" si="605"/>
        <v>0</v>
      </c>
      <c r="DY146" s="265">
        <f t="shared" si="606"/>
        <v>0</v>
      </c>
      <c r="DZ146" s="264">
        <f t="shared" si="607"/>
        <v>0</v>
      </c>
      <c r="EA146" s="264">
        <f t="shared" si="608"/>
        <v>0</v>
      </c>
      <c r="EB146" s="265">
        <f t="shared" si="609"/>
        <v>0</v>
      </c>
      <c r="EC146" s="264">
        <f t="shared" si="610"/>
        <v>0</v>
      </c>
      <c r="ED146" s="264">
        <f t="shared" si="611"/>
        <v>0</v>
      </c>
      <c r="EE146" s="265">
        <f t="shared" si="612"/>
        <v>0</v>
      </c>
      <c r="EF146" s="264">
        <f t="shared" si="613"/>
        <v>0</v>
      </c>
      <c r="EG146" s="264">
        <f t="shared" si="614"/>
        <v>0</v>
      </c>
      <c r="EH146" s="265">
        <f t="shared" si="615"/>
        <v>0</v>
      </c>
      <c r="EI146" s="264">
        <f t="shared" si="616"/>
        <v>0</v>
      </c>
      <c r="EJ146" s="264">
        <f t="shared" si="617"/>
        <v>0</v>
      </c>
      <c r="EK146" s="265">
        <f t="shared" si="618"/>
        <v>0</v>
      </c>
      <c r="EL146" s="264">
        <f t="shared" si="619"/>
        <v>0</v>
      </c>
      <c r="EM146" s="264">
        <f t="shared" si="620"/>
        <v>0</v>
      </c>
      <c r="EN146" s="265">
        <f t="shared" si="621"/>
        <v>0</v>
      </c>
      <c r="EO146" s="264">
        <f t="shared" si="622"/>
        <v>0</v>
      </c>
      <c r="EP146" s="264">
        <f t="shared" si="623"/>
        <v>0</v>
      </c>
      <c r="EQ146" s="265">
        <f t="shared" si="624"/>
        <v>0</v>
      </c>
      <c r="ER146" s="264">
        <f t="shared" si="625"/>
        <v>0</v>
      </c>
      <c r="ES146" s="264">
        <f t="shared" si="626"/>
        <v>0</v>
      </c>
      <c r="ET146" s="265">
        <f t="shared" si="627"/>
        <v>0</v>
      </c>
      <c r="EU146" s="264">
        <f t="shared" si="628"/>
        <v>0</v>
      </c>
      <c r="EV146" s="264">
        <f>IF(AND(BM146="Yes",OR(BN146="No",AND(BN146="Yes",Inputs!$J$8=Inputs!$J$17+75))),EU146,0)</f>
        <v>0</v>
      </c>
      <c r="EW146" s="265">
        <f t="shared" si="629"/>
        <v>0</v>
      </c>
      <c r="EX146" s="264">
        <f t="shared" si="630"/>
        <v>0</v>
      </c>
      <c r="EY146" s="264">
        <f t="shared" si="631"/>
        <v>0</v>
      </c>
      <c r="EZ146" s="265">
        <f t="shared" si="632"/>
        <v>0</v>
      </c>
      <c r="FA146" s="264">
        <f t="shared" si="633"/>
        <v>0</v>
      </c>
      <c r="FB146" s="264">
        <f t="shared" si="634"/>
        <v>0</v>
      </c>
      <c r="FC146" s="265">
        <f t="shared" si="635"/>
        <v>0</v>
      </c>
      <c r="FD146" s="264">
        <f t="shared" si="636"/>
        <v>0</v>
      </c>
      <c r="FE146" s="264">
        <f t="shared" si="637"/>
        <v>0</v>
      </c>
      <c r="FF146" s="265">
        <f t="shared" si="638"/>
        <v>0</v>
      </c>
      <c r="FG146" s="264">
        <f t="shared" si="639"/>
        <v>0</v>
      </c>
      <c r="FH146" s="264">
        <f t="shared" si="640"/>
        <v>0</v>
      </c>
      <c r="FI146" s="264">
        <f t="shared" si="641"/>
        <v>0</v>
      </c>
      <c r="FJ146" s="264">
        <f t="shared" si="642"/>
        <v>0</v>
      </c>
      <c r="FK146" s="264">
        <f t="shared" si="643"/>
        <v>0</v>
      </c>
      <c r="FL146" s="264">
        <f t="shared" si="644"/>
        <v>0</v>
      </c>
      <c r="FM146" s="264">
        <f t="shared" si="645"/>
        <v>0</v>
      </c>
      <c r="FN146" s="264">
        <f t="shared" si="646"/>
        <v>0</v>
      </c>
      <c r="FO146" s="264">
        <f t="shared" si="647"/>
        <v>0</v>
      </c>
      <c r="FP146" s="264">
        <f t="shared" si="648"/>
        <v>0</v>
      </c>
      <c r="FQ146" s="264">
        <f t="shared" si="649"/>
        <v>0</v>
      </c>
      <c r="FR146" s="265">
        <f t="shared" si="650"/>
        <v>0</v>
      </c>
      <c r="FS146" s="264">
        <f t="shared" si="651"/>
        <v>0</v>
      </c>
      <c r="FT146" s="264">
        <f t="shared" si="652"/>
        <v>0</v>
      </c>
      <c r="FU146" s="265">
        <f t="shared" si="653"/>
        <v>0</v>
      </c>
      <c r="FV146" s="264">
        <f t="shared" si="654"/>
        <v>0</v>
      </c>
      <c r="FW146" s="264">
        <f t="shared" si="655"/>
        <v>0</v>
      </c>
      <c r="FX146" s="264">
        <f t="shared" si="656"/>
        <v>0</v>
      </c>
      <c r="FY146" s="264">
        <f t="shared" si="657"/>
        <v>0</v>
      </c>
      <c r="FZ146" s="264">
        <f t="shared" si="658"/>
        <v>0</v>
      </c>
      <c r="GA146" s="265">
        <f t="shared" si="659"/>
        <v>0</v>
      </c>
      <c r="GB146" s="264">
        <f t="shared" si="660"/>
        <v>0</v>
      </c>
      <c r="GC146" s="264">
        <f t="shared" si="661"/>
        <v>0</v>
      </c>
      <c r="GD146" s="266">
        <f t="shared" si="662"/>
        <v>0</v>
      </c>
      <c r="GE146" s="138">
        <f t="shared" si="663"/>
        <v>0</v>
      </c>
      <c r="GF146" s="267">
        <f t="shared" si="664"/>
        <v>1</v>
      </c>
      <c r="GG146" s="264">
        <f t="array" ref="GG146">IF(SUM(IF(IC$9:IC145=IC146,1,0))&gt;0,0,SUMIF($IC$10:$IC$406,IC146,$FJ$10:$FJ$406))</f>
        <v>0</v>
      </c>
      <c r="GH146" s="268">
        <f t="shared" si="665"/>
        <v>0</v>
      </c>
      <c r="GI146" s="137">
        <f t="shared" si="126"/>
        <v>137</v>
      </c>
      <c r="GJ146" s="269">
        <f t="shared" si="666"/>
        <v>0</v>
      </c>
      <c r="GK146" s="269">
        <f t="shared" si="667"/>
        <v>0</v>
      </c>
      <c r="GL146" s="163">
        <f t="shared" si="668"/>
        <v>0</v>
      </c>
      <c r="GM146" s="137">
        <f t="array" ref="GM146">IF(GJ146=0,0,LARGE(IF($GG$10:$GG$406=GJ146,$GF$10:$GF$406,0),COUNTIF($GJ$10:$GJ$406,GJ146)-COUNTIF(GJ$9:GJ145,GJ146)))</f>
        <v>0</v>
      </c>
      <c r="GN146" s="270">
        <f t="shared" si="669"/>
        <v>0</v>
      </c>
      <c r="GP146" s="137">
        <f>IF(C146="","",IF(ISERROR(MATCH(C146,C$10:C145,0)),MAX(GP$10:GP145)+1,INDEX(GP$10:GP145,MATCH(C146,C$10:C145,0))))</f>
        <v>105</v>
      </c>
      <c r="GQ146" s="264">
        <f>IF(COUNTIF($A$10:A146,A146)&lt;=1,SUMIF($A$10:$A$406,A146,$FH$10:$FH$406),0)</f>
        <v>0</v>
      </c>
      <c r="GR146" s="137">
        <f t="shared" si="130"/>
        <v>137</v>
      </c>
      <c r="GS146" s="269">
        <f t="shared" si="554"/>
        <v>0</v>
      </c>
      <c r="GT146" s="269">
        <f t="shared" si="555"/>
        <v>0</v>
      </c>
      <c r="GU146" s="163">
        <f t="shared" si="556"/>
        <v>0</v>
      </c>
      <c r="GV146" s="137">
        <f t="array" ref="GV146">IF(GS146=0,0,LARGE(IF($GQ$10:$GQ$406=GS146,$GP$10:$GP$406,0),COUNTIF($GS$10:$GS$406,GS146)-COUNTIF(GS$9:GS145,GS146)))</f>
        <v>0</v>
      </c>
      <c r="GW146" s="270">
        <f t="shared" si="557"/>
        <v>0</v>
      </c>
      <c r="GY146" s="137">
        <f>IF(C146="","",IF(ISERROR(MATCH(C146,C$10:C145,0)),MAX(GP$10:GP145)+1,INDEX(GP$10:GP145,MATCH(C146,C$10:C145,0))))</f>
        <v>105</v>
      </c>
      <c r="GZ146" s="264">
        <f>IF(COUNTIF($A$10:A146,A146)&lt;=1,SUMIF($A$10:$A$406,A146,$FH$10:$FH$406),0)</f>
        <v>0</v>
      </c>
      <c r="HA146" s="137">
        <f t="shared" si="134"/>
        <v>137</v>
      </c>
      <c r="HB146" s="269">
        <f t="shared" si="670"/>
        <v>0</v>
      </c>
      <c r="HC146" s="414" t="s">
        <v>622</v>
      </c>
      <c r="HD146" s="163">
        <f t="shared" si="671"/>
        <v>0</v>
      </c>
      <c r="HE146" s="137">
        <f t="array" ref="HE146">IF(HB146=0,0,LARGE(IF($GZ$10:$GZ$406=HB146,$GY$10:$GY$406,0),COUNTIF($HB$10:$HB$406,HB146)-COUNTIF(HB$9:HB145,HB146)))</f>
        <v>0</v>
      </c>
      <c r="HF146" s="270">
        <f t="shared" si="672"/>
        <v>0</v>
      </c>
      <c r="HH146" s="268">
        <f t="shared" si="673"/>
        <v>0</v>
      </c>
      <c r="HI146" s="271">
        <v>0</v>
      </c>
      <c r="HJ146" s="264">
        <f t="shared" si="674"/>
        <v>0</v>
      </c>
      <c r="HL146" s="137" t="str">
        <f t="shared" si="675"/>
        <v/>
      </c>
      <c r="HM146" s="264">
        <f t="shared" si="676"/>
        <v>0</v>
      </c>
      <c r="HO146" s="199">
        <f t="shared" si="677"/>
        <v>0</v>
      </c>
      <c r="HP146" s="199">
        <f t="shared" si="678"/>
        <v>1754578.79</v>
      </c>
      <c r="HQ146" s="199" t="str">
        <f t="shared" si="679"/>
        <v/>
      </c>
      <c r="HR146" s="199" t="str">
        <f t="shared" si="680"/>
        <v/>
      </c>
      <c r="HS146" s="199" t="str">
        <f t="shared" ref="HS146:HS167" si="693">IF($Q146="Yes",MIN($M146,$T146*$M146),"")</f>
        <v/>
      </c>
      <c r="HT146" s="199">
        <f t="shared" si="681"/>
        <v>0</v>
      </c>
      <c r="HU146" s="199" t="str">
        <f t="shared" si="682"/>
        <v/>
      </c>
      <c r="HV146" s="200">
        <f t="shared" si="683"/>
        <v>0</v>
      </c>
      <c r="HW146" s="272">
        <f t="shared" si="684"/>
        <v>1</v>
      </c>
      <c r="HX146" s="200" t="str">
        <f t="shared" si="685"/>
        <v/>
      </c>
      <c r="HY146" s="200">
        <f t="shared" si="686"/>
        <v>0</v>
      </c>
      <c r="HZ146" s="200" t="str">
        <f t="shared" si="692"/>
        <v/>
      </c>
      <c r="IA146" s="200" t="str">
        <f t="shared" si="687"/>
        <v/>
      </c>
      <c r="IB146" s="200" t="str">
        <f t="shared" si="688"/>
        <v/>
      </c>
      <c r="IC146" s="273">
        <f>IF(C146="","",INDEX(Lookups!$E$2:$E$69,MATCH('Loan List'!BE146,Lookups!$F$2:$F$69,0)))</f>
        <v>1</v>
      </c>
      <c r="ID146" t="b">
        <f t="shared" si="689"/>
        <v>1</v>
      </c>
    </row>
    <row r="147" spans="1:238">
      <c r="A147" t="s">
        <v>254</v>
      </c>
      <c r="B147" s="242">
        <f t="shared" si="541"/>
        <v>138</v>
      </c>
      <c r="C147" s="242">
        <f>IF(COUNTIF($A$10:A146,A147)&gt;0,C146,C146+1)</f>
        <v>105</v>
      </c>
      <c r="D147" s="431" t="s">
        <v>792</v>
      </c>
      <c r="E147" s="428" t="s">
        <v>480</v>
      </c>
      <c r="F147" s="429"/>
      <c r="G147" s="430">
        <v>6267314</v>
      </c>
      <c r="H147" s="430">
        <v>6267314</v>
      </c>
      <c r="I147" s="244">
        <f>IF(B147="","",VLOOKUP(BF147,Inputs!$A$12:$J$15,10,FALSE))</f>
        <v>1</v>
      </c>
      <c r="J147" s="245">
        <f t="shared" si="542"/>
        <v>6267314</v>
      </c>
      <c r="K147" s="245">
        <f t="shared" si="543"/>
        <v>6267314</v>
      </c>
      <c r="L147" s="245">
        <f t="shared" si="544"/>
        <v>6267314</v>
      </c>
      <c r="M147" s="245">
        <f t="shared" si="545"/>
        <v>6267314</v>
      </c>
      <c r="N147" s="432" t="s">
        <v>246</v>
      </c>
      <c r="O147" s="432" t="s">
        <v>245</v>
      </c>
      <c r="P147" s="433">
        <f>IF(B147="","",IF(OR(O147="N/A",O147=""),0,YEARFRAC('Borrowing Base'!$J$4,'Loan List'!O147)*12))</f>
        <v>0</v>
      </c>
      <c r="Q147" s="432" t="s">
        <v>246</v>
      </c>
      <c r="R147" s="434">
        <v>0.9927861</v>
      </c>
      <c r="S147" s="435" t="str">
        <f t="shared" si="546"/>
        <v>No</v>
      </c>
      <c r="T147" s="434">
        <v>1</v>
      </c>
      <c r="U147" s="436">
        <f t="shared" si="547"/>
        <v>0.5</v>
      </c>
      <c r="V147" s="436">
        <f t="shared" si="548"/>
        <v>0.64347826086956528</v>
      </c>
      <c r="W147" s="251">
        <f t="shared" si="561"/>
        <v>0</v>
      </c>
      <c r="X147" s="432" t="s">
        <v>64</v>
      </c>
      <c r="Y147" s="437" t="s">
        <v>483</v>
      </c>
      <c r="Z147" s="437" t="s">
        <v>484</v>
      </c>
      <c r="AA147" s="438" t="s">
        <v>407</v>
      </c>
      <c r="AB147" s="438" t="s">
        <v>713</v>
      </c>
      <c r="AC147" s="439">
        <v>1.28</v>
      </c>
      <c r="AD147" s="439">
        <v>1.2208875347038561</v>
      </c>
      <c r="AE147" s="439">
        <v>1.8190374919546715</v>
      </c>
      <c r="AF147" s="439">
        <v>0.7</v>
      </c>
      <c r="AG147" s="440">
        <v>4.1450098334546892</v>
      </c>
      <c r="AH147" s="440">
        <v>6.1119555528421321</v>
      </c>
      <c r="AI147" s="440">
        <v>4.1450098334546892</v>
      </c>
      <c r="AJ147" s="440">
        <v>6.1119555528421321</v>
      </c>
      <c r="AK147" s="441">
        <v>31399442.999999996</v>
      </c>
      <c r="AL147" s="441">
        <v>31399442.999999996</v>
      </c>
      <c r="AM147" s="258">
        <v>45808</v>
      </c>
      <c r="AN147" s="442" t="str">
        <f t="shared" si="549"/>
        <v>Tier 2</v>
      </c>
      <c r="AO147" s="443">
        <v>46741</v>
      </c>
      <c r="AP147" s="444">
        <f>IF(C147="","",DAYS360(Inputs!$J$8,AO147)/360)</f>
        <v>2.3222222222222224</v>
      </c>
      <c r="AQ147" s="444">
        <f t="shared" si="550"/>
        <v>2.3222222222222224</v>
      </c>
      <c r="AR147" s="432" t="s">
        <v>246</v>
      </c>
      <c r="AS147" s="445">
        <v>0</v>
      </c>
      <c r="AT147" s="432" t="s">
        <v>246</v>
      </c>
      <c r="AU147" s="446" t="s">
        <v>487</v>
      </c>
      <c r="AV147" s="446">
        <v>7.1499999999999994E-2</v>
      </c>
      <c r="AW147" s="446">
        <v>4.3170000000000014E-2</v>
      </c>
      <c r="AX147" s="260">
        <f t="shared" si="551"/>
        <v>4.3170000000000014E-2</v>
      </c>
      <c r="AY147" s="446">
        <v>5.0000000000000001E-3</v>
      </c>
      <c r="AZ147" s="446">
        <v>0</v>
      </c>
      <c r="BA147" s="446">
        <v>0</v>
      </c>
      <c r="BB147" s="447">
        <f t="shared" si="690"/>
        <v>7.1499999999999994E-2</v>
      </c>
      <c r="BC147" s="447" t="str">
        <f t="shared" si="691"/>
        <v/>
      </c>
      <c r="BD147" s="437" t="s">
        <v>247</v>
      </c>
      <c r="BE147" s="448" t="s">
        <v>324</v>
      </c>
      <c r="BF147" s="437" t="s">
        <v>7</v>
      </c>
      <c r="BG147" s="437" t="s">
        <v>460</v>
      </c>
      <c r="BH147" s="432" t="s">
        <v>246</v>
      </c>
      <c r="BI147" s="449" t="str">
        <f t="shared" si="559"/>
        <v>No</v>
      </c>
      <c r="BJ147" s="449" t="str">
        <f t="shared" si="560"/>
        <v>No</v>
      </c>
      <c r="BK147" s="432" t="s">
        <v>246</v>
      </c>
      <c r="BL147" s="432" t="s">
        <v>246</v>
      </c>
      <c r="BM147" s="246" t="s">
        <v>64</v>
      </c>
      <c r="BN147" s="246" t="s">
        <v>64</v>
      </c>
      <c r="BO147" s="432" t="s">
        <v>246</v>
      </c>
      <c r="BP147" s="432" t="s">
        <v>246</v>
      </c>
      <c r="BQ147" s="432" t="s">
        <v>246</v>
      </c>
      <c r="BR147" s="432" t="s">
        <v>246</v>
      </c>
      <c r="BS147" s="432" t="s">
        <v>246</v>
      </c>
      <c r="BT147" s="432" t="s">
        <v>246</v>
      </c>
      <c r="BU147" s="432" t="s">
        <v>246</v>
      </c>
      <c r="BV147" s="432" t="s">
        <v>246</v>
      </c>
      <c r="BW147" s="432" t="s">
        <v>246</v>
      </c>
      <c r="BX147" s="432" t="s">
        <v>246</v>
      </c>
      <c r="BY147" s="432" t="s">
        <v>246</v>
      </c>
      <c r="BZ147" s="432" t="s">
        <v>246</v>
      </c>
      <c r="CA147" s="432" t="s">
        <v>246</v>
      </c>
      <c r="CB147" s="432" t="s">
        <v>64</v>
      </c>
      <c r="CC147" s="450">
        <f t="shared" si="552"/>
        <v>447784.54374639998</v>
      </c>
      <c r="CD147" s="450">
        <f t="shared" si="553"/>
        <v>0</v>
      </c>
      <c r="CF147" s="263">
        <f t="shared" si="562"/>
        <v>0</v>
      </c>
      <c r="CG147" s="263">
        <f t="shared" si="563"/>
        <v>0</v>
      </c>
      <c r="CH147" s="263">
        <f t="shared" si="564"/>
        <v>0</v>
      </c>
      <c r="CI147" s="263">
        <f t="shared" si="565"/>
        <v>0</v>
      </c>
      <c r="CJ147" s="263">
        <f t="shared" si="566"/>
        <v>0</v>
      </c>
      <c r="CK147" s="263">
        <f t="shared" si="567"/>
        <v>0</v>
      </c>
      <c r="CL147" s="263">
        <f t="shared" si="568"/>
        <v>0</v>
      </c>
      <c r="CM147" s="263">
        <f t="shared" si="569"/>
        <v>0</v>
      </c>
      <c r="CN147" s="263">
        <f t="shared" si="570"/>
        <v>0</v>
      </c>
      <c r="CO147" s="263">
        <f t="shared" si="571"/>
        <v>0</v>
      </c>
      <c r="CP147" s="263">
        <f t="shared" si="572"/>
        <v>0</v>
      </c>
      <c r="CQ147" s="263">
        <f t="shared" si="573"/>
        <v>0</v>
      </c>
      <c r="CR147" s="263">
        <f t="shared" si="574"/>
        <v>0</v>
      </c>
      <c r="CS147" s="263">
        <f t="shared" si="575"/>
        <v>0</v>
      </c>
      <c r="CT147" s="263">
        <f t="shared" si="576"/>
        <v>0</v>
      </c>
      <c r="CU147" s="263">
        <f t="shared" si="577"/>
        <v>0</v>
      </c>
      <c r="CV147" s="263">
        <f t="shared" si="578"/>
        <v>0</v>
      </c>
      <c r="CW147" s="263">
        <f t="shared" si="579"/>
        <v>0</v>
      </c>
      <c r="CX147" s="263">
        <f t="shared" si="580"/>
        <v>0</v>
      </c>
      <c r="CY147" s="263">
        <f t="shared" si="581"/>
        <v>0</v>
      </c>
      <c r="CZ147" s="263">
        <f t="shared" si="582"/>
        <v>0</v>
      </c>
      <c r="DA147" s="263">
        <f t="shared" si="583"/>
        <v>1</v>
      </c>
      <c r="DB147" s="263">
        <f t="shared" si="584"/>
        <v>0</v>
      </c>
      <c r="DC147" s="263">
        <f t="shared" si="585"/>
        <v>0</v>
      </c>
      <c r="DD147" s="263">
        <f t="shared" si="586"/>
        <v>0</v>
      </c>
      <c r="DE147" s="263">
        <f t="shared" si="587"/>
        <v>0</v>
      </c>
      <c r="DF147" s="263">
        <f t="shared" si="588"/>
        <v>0</v>
      </c>
      <c r="DG147" s="263">
        <f t="shared" si="589"/>
        <v>0</v>
      </c>
      <c r="DH147" s="263">
        <f t="shared" si="590"/>
        <v>0</v>
      </c>
      <c r="DI147" s="263">
        <f t="shared" si="591"/>
        <v>6267314</v>
      </c>
      <c r="DJ147" s="263">
        <f t="shared" si="592"/>
        <v>0</v>
      </c>
      <c r="DK147" s="263">
        <f t="shared" si="593"/>
        <v>0</v>
      </c>
      <c r="DL147" s="263">
        <f t="shared" si="594"/>
        <v>0</v>
      </c>
      <c r="DM147" s="263">
        <f t="shared" si="595"/>
        <v>0</v>
      </c>
      <c r="DO147" s="264">
        <f t="shared" si="596"/>
        <v>0</v>
      </c>
      <c r="DP147" s="265">
        <f t="shared" si="597"/>
        <v>0</v>
      </c>
      <c r="DQ147" s="264">
        <f t="shared" si="598"/>
        <v>0</v>
      </c>
      <c r="DR147" s="264">
        <f t="shared" si="599"/>
        <v>0</v>
      </c>
      <c r="DS147" s="265">
        <f t="shared" si="600"/>
        <v>0</v>
      </c>
      <c r="DT147" s="264">
        <f t="shared" si="601"/>
        <v>0</v>
      </c>
      <c r="DU147" s="264">
        <f t="shared" si="602"/>
        <v>0</v>
      </c>
      <c r="DV147" s="265">
        <f t="shared" si="603"/>
        <v>0</v>
      </c>
      <c r="DW147" s="264">
        <f t="shared" si="604"/>
        <v>0</v>
      </c>
      <c r="DX147" s="264">
        <f t="shared" si="605"/>
        <v>0</v>
      </c>
      <c r="DY147" s="265">
        <f t="shared" si="606"/>
        <v>0</v>
      </c>
      <c r="DZ147" s="264">
        <f t="shared" si="607"/>
        <v>0</v>
      </c>
      <c r="EA147" s="264">
        <f t="shared" si="608"/>
        <v>0</v>
      </c>
      <c r="EB147" s="265">
        <f t="shared" si="609"/>
        <v>0</v>
      </c>
      <c r="EC147" s="264">
        <f t="shared" si="610"/>
        <v>0</v>
      </c>
      <c r="ED147" s="264">
        <f t="shared" si="611"/>
        <v>0</v>
      </c>
      <c r="EE147" s="265">
        <f t="shared" si="612"/>
        <v>0</v>
      </c>
      <c r="EF147" s="264">
        <f t="shared" si="613"/>
        <v>0</v>
      </c>
      <c r="EG147" s="264">
        <f t="shared" si="614"/>
        <v>0</v>
      </c>
      <c r="EH147" s="265">
        <f t="shared" si="615"/>
        <v>0</v>
      </c>
      <c r="EI147" s="264">
        <f t="shared" si="616"/>
        <v>0</v>
      </c>
      <c r="EJ147" s="264">
        <f t="shared" si="617"/>
        <v>0</v>
      </c>
      <c r="EK147" s="265">
        <f t="shared" si="618"/>
        <v>0</v>
      </c>
      <c r="EL147" s="264">
        <f t="shared" si="619"/>
        <v>0</v>
      </c>
      <c r="EM147" s="264">
        <f t="shared" si="620"/>
        <v>0</v>
      </c>
      <c r="EN147" s="265">
        <f t="shared" si="621"/>
        <v>0</v>
      </c>
      <c r="EO147" s="264">
        <f t="shared" si="622"/>
        <v>0</v>
      </c>
      <c r="EP147" s="264">
        <f t="shared" si="623"/>
        <v>0</v>
      </c>
      <c r="EQ147" s="265">
        <f t="shared" si="624"/>
        <v>0</v>
      </c>
      <c r="ER147" s="264">
        <f t="shared" si="625"/>
        <v>0</v>
      </c>
      <c r="ES147" s="264">
        <f t="shared" si="626"/>
        <v>0</v>
      </c>
      <c r="ET147" s="265">
        <f t="shared" si="627"/>
        <v>0</v>
      </c>
      <c r="EU147" s="264">
        <f t="shared" si="628"/>
        <v>0</v>
      </c>
      <c r="EV147" s="264">
        <f>IF(AND(BM147="Yes",OR(BN147="No",AND(BN147="Yes",Inputs!$J$8=Inputs!$J$17+75))),EU147,0)</f>
        <v>0</v>
      </c>
      <c r="EW147" s="265">
        <f t="shared" si="629"/>
        <v>0</v>
      </c>
      <c r="EX147" s="264">
        <f t="shared" si="630"/>
        <v>0</v>
      </c>
      <c r="EY147" s="264">
        <f t="shared" si="631"/>
        <v>0</v>
      </c>
      <c r="EZ147" s="265">
        <f t="shared" si="632"/>
        <v>0</v>
      </c>
      <c r="FA147" s="264">
        <f t="shared" si="633"/>
        <v>0</v>
      </c>
      <c r="FB147" s="264">
        <f t="shared" si="634"/>
        <v>0</v>
      </c>
      <c r="FC147" s="265">
        <f t="shared" si="635"/>
        <v>0</v>
      </c>
      <c r="FD147" s="264">
        <f t="shared" si="636"/>
        <v>0</v>
      </c>
      <c r="FE147" s="264">
        <f t="shared" si="637"/>
        <v>0</v>
      </c>
      <c r="FF147" s="265">
        <f t="shared" si="638"/>
        <v>0</v>
      </c>
      <c r="FG147" s="264">
        <f t="shared" si="639"/>
        <v>0</v>
      </c>
      <c r="FH147" s="264">
        <f t="shared" si="640"/>
        <v>0</v>
      </c>
      <c r="FI147" s="264">
        <f t="shared" si="641"/>
        <v>0</v>
      </c>
      <c r="FJ147" s="264">
        <f t="shared" si="642"/>
        <v>0</v>
      </c>
      <c r="FK147" s="264">
        <f t="shared" si="643"/>
        <v>0</v>
      </c>
      <c r="FL147" s="264">
        <f t="shared" si="644"/>
        <v>0</v>
      </c>
      <c r="FM147" s="264">
        <f t="shared" si="645"/>
        <v>0</v>
      </c>
      <c r="FN147" s="264">
        <f t="shared" si="646"/>
        <v>0</v>
      </c>
      <c r="FO147" s="264">
        <f t="shared" si="647"/>
        <v>0</v>
      </c>
      <c r="FP147" s="264">
        <f t="shared" si="648"/>
        <v>0</v>
      </c>
      <c r="FQ147" s="264">
        <f t="shared" si="649"/>
        <v>0</v>
      </c>
      <c r="FR147" s="265">
        <f t="shared" si="650"/>
        <v>0</v>
      </c>
      <c r="FS147" s="264">
        <f t="shared" si="651"/>
        <v>0</v>
      </c>
      <c r="FT147" s="264">
        <f t="shared" si="652"/>
        <v>0</v>
      </c>
      <c r="FU147" s="265">
        <f t="shared" si="653"/>
        <v>0</v>
      </c>
      <c r="FV147" s="264">
        <f t="shared" si="654"/>
        <v>0</v>
      </c>
      <c r="FW147" s="264">
        <f t="shared" si="655"/>
        <v>0</v>
      </c>
      <c r="FX147" s="264">
        <f t="shared" si="656"/>
        <v>0</v>
      </c>
      <c r="FY147" s="264">
        <f t="shared" si="657"/>
        <v>0</v>
      </c>
      <c r="FZ147" s="264">
        <f t="shared" si="658"/>
        <v>0</v>
      </c>
      <c r="GA147" s="265">
        <f t="shared" si="659"/>
        <v>0</v>
      </c>
      <c r="GB147" s="264">
        <f t="shared" si="660"/>
        <v>0</v>
      </c>
      <c r="GC147" s="264">
        <f t="shared" si="661"/>
        <v>0</v>
      </c>
      <c r="GD147" s="266">
        <f t="shared" si="662"/>
        <v>0</v>
      </c>
      <c r="GE147" s="138">
        <f t="shared" si="663"/>
        <v>0</v>
      </c>
      <c r="GF147" s="267">
        <f t="shared" si="664"/>
        <v>1</v>
      </c>
      <c r="GG147" s="264">
        <f t="array" ref="GG147">IF(SUM(IF(IC$9:IC146=IC147,1,0))&gt;0,0,SUMIF($IC$10:$IC$406,IC147,$FJ$10:$FJ$406))</f>
        <v>0</v>
      </c>
      <c r="GH147" s="268">
        <f t="shared" si="665"/>
        <v>0</v>
      </c>
      <c r="GI147" s="137">
        <f t="shared" si="126"/>
        <v>138</v>
      </c>
      <c r="GJ147" s="269">
        <f t="shared" si="666"/>
        <v>0</v>
      </c>
      <c r="GK147" s="269">
        <f t="shared" si="667"/>
        <v>0</v>
      </c>
      <c r="GL147" s="163">
        <f t="shared" si="668"/>
        <v>0</v>
      </c>
      <c r="GM147" s="137">
        <f t="array" ref="GM147">IF(GJ147=0,0,LARGE(IF($GG$10:$GG$406=GJ147,$GF$10:$GF$406,0),COUNTIF($GJ$10:$GJ$406,GJ147)-COUNTIF(GJ$9:GJ146,GJ147)))</f>
        <v>0</v>
      </c>
      <c r="GN147" s="270">
        <f t="shared" si="669"/>
        <v>0</v>
      </c>
      <c r="GP147" s="137">
        <f>IF(C147="","",IF(ISERROR(MATCH(C147,C$10:C146,0)),MAX(GP$10:GP146)+1,INDEX(GP$10:GP146,MATCH(C147,C$10:C146,0))))</f>
        <v>105</v>
      </c>
      <c r="GQ147" s="264">
        <f>IF(COUNTIF($A$10:A147,A147)&lt;=1,SUMIF($A$10:$A$406,A147,$FH$10:$FH$406),0)</f>
        <v>0</v>
      </c>
      <c r="GR147" s="137">
        <f t="shared" si="130"/>
        <v>138</v>
      </c>
      <c r="GS147" s="269">
        <f t="shared" si="554"/>
        <v>0</v>
      </c>
      <c r="GT147" s="269">
        <f t="shared" si="555"/>
        <v>0</v>
      </c>
      <c r="GU147" s="163">
        <f t="shared" si="556"/>
        <v>0</v>
      </c>
      <c r="GV147" s="137">
        <f t="array" ref="GV147">IF(GS147=0,0,LARGE(IF($GQ$10:$GQ$406=GS147,$GP$10:$GP$406,0),COUNTIF($GS$10:$GS$406,GS147)-COUNTIF(GS$9:GS146,GS147)))</f>
        <v>0</v>
      </c>
      <c r="GW147" s="270">
        <f t="shared" si="557"/>
        <v>0</v>
      </c>
      <c r="GY147" s="137">
        <f>IF(C147="","",IF(ISERROR(MATCH(C147,C$10:C146,0)),MAX(GP$10:GP146)+1,INDEX(GP$10:GP146,MATCH(C147,C$10:C146,0))))</f>
        <v>105</v>
      </c>
      <c r="GZ147" s="264">
        <f>IF(COUNTIF($A$10:A147,A147)&lt;=1,SUMIF($A$10:$A$406,A147,$FH$10:$FH$406),0)</f>
        <v>0</v>
      </c>
      <c r="HA147" s="137">
        <f t="shared" si="134"/>
        <v>138</v>
      </c>
      <c r="HB147" s="269">
        <f t="shared" si="670"/>
        <v>0</v>
      </c>
      <c r="HC147" s="414" t="s">
        <v>622</v>
      </c>
      <c r="HD147" s="163">
        <f t="shared" si="671"/>
        <v>0</v>
      </c>
      <c r="HE147" s="137">
        <f t="array" ref="HE147">IF(HB147=0,0,LARGE(IF($GZ$10:$GZ$406=HB147,$GY$10:$GY$406,0),COUNTIF($HB$10:$HB$406,HB147)-COUNTIF(HB$9:HB146,HB147)))</f>
        <v>0</v>
      </c>
      <c r="HF147" s="270">
        <f t="shared" si="672"/>
        <v>0</v>
      </c>
      <c r="HH147" s="268">
        <f t="shared" si="673"/>
        <v>0</v>
      </c>
      <c r="HI147" s="271">
        <v>0</v>
      </c>
      <c r="HJ147" s="264">
        <f t="shared" si="674"/>
        <v>0</v>
      </c>
      <c r="HL147" s="137" t="str">
        <f t="shared" si="675"/>
        <v/>
      </c>
      <c r="HM147" s="264">
        <f t="shared" si="676"/>
        <v>0</v>
      </c>
      <c r="HO147" s="199">
        <f t="shared" si="677"/>
        <v>0</v>
      </c>
      <c r="HP147" s="199">
        <f t="shared" si="678"/>
        <v>6267314</v>
      </c>
      <c r="HQ147" s="199" t="str">
        <f t="shared" si="679"/>
        <v/>
      </c>
      <c r="HR147" s="199" t="str">
        <f t="shared" si="680"/>
        <v/>
      </c>
      <c r="HS147" s="199" t="str">
        <f t="shared" si="693"/>
        <v/>
      </c>
      <c r="HT147" s="199">
        <f t="shared" si="681"/>
        <v>0</v>
      </c>
      <c r="HU147" s="199" t="str">
        <f t="shared" si="682"/>
        <v/>
      </c>
      <c r="HV147" s="200">
        <f t="shared" si="683"/>
        <v>0</v>
      </c>
      <c r="HW147" s="272">
        <f t="shared" si="684"/>
        <v>1</v>
      </c>
      <c r="HX147" s="200" t="str">
        <f t="shared" si="685"/>
        <v/>
      </c>
      <c r="HY147" s="200">
        <f t="shared" si="686"/>
        <v>0</v>
      </c>
      <c r="HZ147" s="200" t="str">
        <f t="shared" si="692"/>
        <v/>
      </c>
      <c r="IA147" s="200" t="str">
        <f t="shared" si="687"/>
        <v/>
      </c>
      <c r="IB147" s="200" t="str">
        <f t="shared" si="688"/>
        <v/>
      </c>
      <c r="IC147" s="273">
        <f>IF(C147="","",INDEX(Lookups!$E$2:$E$69,MATCH('Loan List'!BE147,Lookups!$F$2:$F$69,0)))</f>
        <v>1</v>
      </c>
      <c r="ID147" t="b">
        <f t="shared" si="689"/>
        <v>1</v>
      </c>
    </row>
    <row r="148" spans="1:238">
      <c r="A148" t="s">
        <v>255</v>
      </c>
      <c r="B148" s="242">
        <f t="shared" ref="B148:B167" si="694">IF(D148="","",B147+1)</f>
        <v>139</v>
      </c>
      <c r="C148" s="242">
        <f>IF(COUNTIF($A$10:A147,A148)&gt;0,C147,C147+1)</f>
        <v>106</v>
      </c>
      <c r="D148" s="428" t="s">
        <v>255</v>
      </c>
      <c r="E148" s="428" t="s">
        <v>481</v>
      </c>
      <c r="F148" s="429"/>
      <c r="G148" s="430">
        <v>2216597.0101000005</v>
      </c>
      <c r="H148" s="430">
        <v>2216597.0101000005</v>
      </c>
      <c r="I148" s="244">
        <f>IF(B148="","",VLOOKUP(BF148,Inputs!$A$12:$J$15,10,FALSE))</f>
        <v>1</v>
      </c>
      <c r="J148" s="245">
        <f t="shared" ref="J148:J167" si="695">IF(B148="","",G148*I148)</f>
        <v>2216597.0101000005</v>
      </c>
      <c r="K148" s="245">
        <f t="shared" ref="K148:K167" si="696">IF(B148="","",H148*I148)</f>
        <v>2216597.0101000005</v>
      </c>
      <c r="L148" s="245">
        <f t="shared" ref="L148:L167" si="697">IF(B148="","",IF(COUNTIF($CF148:$CY148,1)&gt;0,0,J148))</f>
        <v>2216597.0101000005</v>
      </c>
      <c r="M148" s="245">
        <f t="shared" ref="M148:M167" si="698">IF(B148="","",IF(COUNTIF($CF148:$CY148,1)&gt;0,0,K148))</f>
        <v>2216597.0101000005</v>
      </c>
      <c r="N148" s="432" t="s">
        <v>246</v>
      </c>
      <c r="O148" s="432" t="s">
        <v>245</v>
      </c>
      <c r="P148" s="433">
        <f>IF(B148="","",IF(OR(O148="N/A",O148=""),0,YEARFRAC('Borrowing Base'!$J$4,'Loan List'!O148)*12))</f>
        <v>0</v>
      </c>
      <c r="Q148" s="432" t="s">
        <v>246</v>
      </c>
      <c r="R148" s="434">
        <v>1</v>
      </c>
      <c r="S148" s="435" t="str">
        <f t="shared" ref="S148:S167" si="699">IF(B148="","",IF(R148&lt;95%,"Yes","No"))</f>
        <v>No</v>
      </c>
      <c r="T148" s="434">
        <v>0.85599999787581571</v>
      </c>
      <c r="U148" s="436">
        <f t="shared" ref="U148:U167" si="700">IF(B148="","",IF(OR(Y148="First Lien",Y148="Split First Lien",Y148="Tier 1 Split Lien",Y148="Tier 2 Split Lien"),50%,30%))</f>
        <v>0.5</v>
      </c>
      <c r="V148" s="436">
        <f t="shared" ref="V148:V167" si="701">IF(B148="",0,IF(AND(Y148="First Lien",AN148="Tier 1"),IF(AND(X148="Yes",MIN(AH148,$AJ$5)&gt;4.5),(((4.5/MIN(AH148,$AJ$5))*72.5%)+(((MIN(AH148,$AJ$5)-4.5)/MIN(AH148,$AJ$5))*35%)),72.5%),IF(AND(Y148="First Lien",AN148="Tier 2"),IF(AND(X148="Yes",MIN(AH148,$AK$5)&gt;4.5),(((4.5/MIN(AH148,$AK$5))*72.5%)+(((MIN(AH148,$AK$5)-4.5)/MIN(AH148,$AK$5))*35%)),72.5%),IF(AND(X148="Yes",MIN(AH148,$AL$5)&gt;4),(((4/MIN(AH148,$AL$5))*72.5%)+(((MIN(AH148,$AL$5)-4)/MIN(AH148,$AL$5))*35%)),IF(OR(Y148="First Lien",Y148="Split First Lien"),72.5%,IF(Y148="Split Lien", 53%,35%))))))</f>
        <v>0.72499999999999998</v>
      </c>
      <c r="W148" s="251">
        <f t="shared" si="561"/>
        <v>1108298.5050500003</v>
      </c>
      <c r="X148" s="432" t="s">
        <v>246</v>
      </c>
      <c r="Y148" s="437" t="s">
        <v>483</v>
      </c>
      <c r="Z148" s="437" t="s">
        <v>484</v>
      </c>
      <c r="AA148" s="438" t="s">
        <v>407</v>
      </c>
      <c r="AB148" s="438" t="s">
        <v>713</v>
      </c>
      <c r="AC148" s="439">
        <v>1.91</v>
      </c>
      <c r="AD148" s="439">
        <v>0.74878854728196564</v>
      </c>
      <c r="AE148" s="439">
        <v>1.2863383637807786</v>
      </c>
      <c r="AF148" s="439">
        <v>0.51859999999999995</v>
      </c>
      <c r="AG148" s="440">
        <v>4.42</v>
      </c>
      <c r="AH148" s="440">
        <v>6.64</v>
      </c>
      <c r="AI148" s="440">
        <v>8.0649263952672001</v>
      </c>
      <c r="AJ148" s="440">
        <v>15.326749766927941</v>
      </c>
      <c r="AK148" s="441">
        <v>46356000</v>
      </c>
      <c r="AL148" s="441">
        <v>86883000</v>
      </c>
      <c r="AM148" s="258">
        <v>45838</v>
      </c>
      <c r="AN148" s="442" t="str">
        <f t="shared" ref="AN148:AN167" si="702">IF(C148="","",(IF(AK148&gt;=50000000,"Tier 1",(IF(OR(AK148&gt;=20000000,AND(AK148&gt;5000000,AC148&gt;=1.25,AF148&lt;=0.65)),"Tier 2","Tier 3")))))</f>
        <v>Tier 2</v>
      </c>
      <c r="AO148" s="443">
        <v>46672</v>
      </c>
      <c r="AP148" s="444">
        <f>IF(C148="","",DAYS360(Inputs!$J$8,AO148)/360)</f>
        <v>2.1333333333333333</v>
      </c>
      <c r="AQ148" s="444">
        <f t="shared" ref="AQ148:AQ165" si="703">IF(C148="","",AP148)</f>
        <v>2.1333333333333333</v>
      </c>
      <c r="AR148" s="432" t="s">
        <v>246</v>
      </c>
      <c r="AS148" s="445">
        <v>0</v>
      </c>
      <c r="AT148" s="432" t="s">
        <v>64</v>
      </c>
      <c r="AU148" s="446">
        <v>0.01</v>
      </c>
      <c r="AV148" s="446">
        <v>6.0999999999999999E-2</v>
      </c>
      <c r="AW148" s="446">
        <v>4.3288000000000007E-2</v>
      </c>
      <c r="AX148" s="260">
        <f t="shared" ref="AX148:AX167" si="704">IF(C148="","",MAX(AU148,AW148))</f>
        <v>4.3288000000000007E-2</v>
      </c>
      <c r="AY148" s="446">
        <v>0</v>
      </c>
      <c r="AZ148" s="446">
        <v>0</v>
      </c>
      <c r="BA148" s="446">
        <v>0</v>
      </c>
      <c r="BB148" s="447">
        <f t="shared" si="690"/>
        <v>6.0999999999999999E-2</v>
      </c>
      <c r="BC148" s="447" t="str">
        <f t="shared" si="691"/>
        <v/>
      </c>
      <c r="BD148" s="437" t="s">
        <v>247</v>
      </c>
      <c r="BE148" s="448" t="s">
        <v>408</v>
      </c>
      <c r="BF148" s="437" t="s">
        <v>7</v>
      </c>
      <c r="BG148" s="437" t="s">
        <v>460</v>
      </c>
      <c r="BH148" s="432" t="s">
        <v>246</v>
      </c>
      <c r="BI148" s="449" t="str">
        <f t="shared" si="559"/>
        <v>No</v>
      </c>
      <c r="BJ148" s="449" t="str">
        <f t="shared" si="560"/>
        <v>No</v>
      </c>
      <c r="BK148" s="432" t="s">
        <v>246</v>
      </c>
      <c r="BL148" s="432" t="s">
        <v>246</v>
      </c>
      <c r="BM148" s="432" t="s">
        <v>246</v>
      </c>
      <c r="BN148" s="432" t="s">
        <v>246</v>
      </c>
      <c r="BO148" s="432" t="s">
        <v>246</v>
      </c>
      <c r="BP148" s="432" t="s">
        <v>246</v>
      </c>
      <c r="BQ148" s="432" t="s">
        <v>246</v>
      </c>
      <c r="BR148" s="432" t="s">
        <v>246</v>
      </c>
      <c r="BS148" s="432" t="s">
        <v>246</v>
      </c>
      <c r="BT148" s="432" t="s">
        <v>246</v>
      </c>
      <c r="BU148" s="432" t="s">
        <v>246</v>
      </c>
      <c r="BV148" s="432" t="s">
        <v>246</v>
      </c>
      <c r="BW148" s="432" t="s">
        <v>246</v>
      </c>
      <c r="BX148" s="432" t="s">
        <v>246</v>
      </c>
      <c r="BY148" s="432" t="s">
        <v>246</v>
      </c>
      <c r="BZ148" s="432" t="s">
        <v>246</v>
      </c>
      <c r="CA148" s="432" t="s">
        <v>246</v>
      </c>
      <c r="CB148" s="432" t="s">
        <v>64</v>
      </c>
      <c r="CC148" s="450">
        <f t="shared" ref="CC148:CC167" si="705">IF(B148="","",IF(AT148="No",((BB148+AW148)-$AZ$4),((BB148+AX148)-$AZ$4))*IF(DE148&gt;0,0,M148))</f>
        <v>135357.82637996261</v>
      </c>
      <c r="CD148" s="450">
        <f t="shared" ref="CD148:CD167" si="706">IF(B148="","",AY148*(L148-M148)*IF(DE148&gt;0,0,1))</f>
        <v>0</v>
      </c>
      <c r="CF148" s="263">
        <f t="shared" si="562"/>
        <v>0</v>
      </c>
      <c r="CG148" s="263">
        <f t="shared" si="563"/>
        <v>0</v>
      </c>
      <c r="CH148" s="263">
        <f t="shared" si="564"/>
        <v>0</v>
      </c>
      <c r="CI148" s="263">
        <f t="shared" si="565"/>
        <v>0</v>
      </c>
      <c r="CJ148" s="263">
        <f t="shared" si="566"/>
        <v>0</v>
      </c>
      <c r="CK148" s="263">
        <f t="shared" si="567"/>
        <v>0</v>
      </c>
      <c r="CL148" s="263">
        <f t="shared" si="568"/>
        <v>0</v>
      </c>
      <c r="CM148" s="263">
        <f t="shared" si="569"/>
        <v>0</v>
      </c>
      <c r="CN148" s="263">
        <f t="shared" si="570"/>
        <v>0</v>
      </c>
      <c r="CO148" s="263">
        <f t="shared" si="571"/>
        <v>0</v>
      </c>
      <c r="CP148" s="263">
        <f t="shared" si="572"/>
        <v>0</v>
      </c>
      <c r="CQ148" s="263">
        <f t="shared" si="573"/>
        <v>0</v>
      </c>
      <c r="CR148" s="263">
        <f t="shared" si="574"/>
        <v>0</v>
      </c>
      <c r="CS148" s="263">
        <f t="shared" si="575"/>
        <v>0</v>
      </c>
      <c r="CT148" s="263">
        <f t="shared" si="576"/>
        <v>0</v>
      </c>
      <c r="CU148" s="263">
        <f t="shared" si="577"/>
        <v>0</v>
      </c>
      <c r="CV148" s="263">
        <f t="shared" si="578"/>
        <v>0</v>
      </c>
      <c r="CW148" s="263">
        <f t="shared" si="579"/>
        <v>0</v>
      </c>
      <c r="CX148" s="263">
        <f t="shared" si="580"/>
        <v>0</v>
      </c>
      <c r="CY148" s="263">
        <f t="shared" si="581"/>
        <v>0</v>
      </c>
      <c r="CZ148" s="263">
        <f t="shared" si="582"/>
        <v>0</v>
      </c>
      <c r="DA148" s="263">
        <f t="shared" si="583"/>
        <v>0</v>
      </c>
      <c r="DB148" s="263">
        <f t="shared" si="584"/>
        <v>0</v>
      </c>
      <c r="DC148" s="263">
        <f t="shared" si="585"/>
        <v>0</v>
      </c>
      <c r="DD148" s="263">
        <f t="shared" si="586"/>
        <v>1</v>
      </c>
      <c r="DE148" s="263">
        <f t="shared" si="587"/>
        <v>0</v>
      </c>
      <c r="DF148" s="263">
        <f t="shared" si="588"/>
        <v>1108298.5050500003</v>
      </c>
      <c r="DG148" s="263">
        <f t="shared" si="589"/>
        <v>0</v>
      </c>
      <c r="DH148" s="263">
        <f t="shared" si="590"/>
        <v>1108298.5050500003</v>
      </c>
      <c r="DI148" s="263">
        <f t="shared" si="591"/>
        <v>2216597.0101000005</v>
      </c>
      <c r="DJ148" s="263">
        <f t="shared" si="592"/>
        <v>0</v>
      </c>
      <c r="DK148" s="263">
        <f t="shared" si="593"/>
        <v>0</v>
      </c>
      <c r="DL148" s="263">
        <f t="shared" si="594"/>
        <v>0</v>
      </c>
      <c r="DM148" s="263">
        <f t="shared" si="595"/>
        <v>0</v>
      </c>
      <c r="DO148" s="264">
        <f t="shared" si="596"/>
        <v>0</v>
      </c>
      <c r="DP148" s="265">
        <f t="shared" si="597"/>
        <v>0</v>
      </c>
      <c r="DQ148" s="264">
        <f t="shared" si="598"/>
        <v>1108298.5050500003</v>
      </c>
      <c r="DR148" s="264">
        <f t="shared" si="599"/>
        <v>0</v>
      </c>
      <c r="DS148" s="265">
        <f t="shared" si="600"/>
        <v>0</v>
      </c>
      <c r="DT148" s="264">
        <f t="shared" si="601"/>
        <v>1108298.5050500003</v>
      </c>
      <c r="DU148" s="264">
        <f t="shared" si="602"/>
        <v>0</v>
      </c>
      <c r="DV148" s="265">
        <f t="shared" si="603"/>
        <v>0</v>
      </c>
      <c r="DW148" s="264">
        <f t="shared" si="604"/>
        <v>1108298.5050500003</v>
      </c>
      <c r="DX148" s="264">
        <f t="shared" si="605"/>
        <v>0</v>
      </c>
      <c r="DY148" s="265">
        <f t="shared" si="606"/>
        <v>0</v>
      </c>
      <c r="DZ148" s="264">
        <f t="shared" si="607"/>
        <v>1108298.5050500003</v>
      </c>
      <c r="EA148" s="264">
        <f t="shared" si="608"/>
        <v>0</v>
      </c>
      <c r="EB148" s="265">
        <f t="shared" si="609"/>
        <v>0</v>
      </c>
      <c r="EC148" s="264">
        <f t="shared" si="610"/>
        <v>1108298.5050500003</v>
      </c>
      <c r="ED148" s="264">
        <f t="shared" si="611"/>
        <v>0</v>
      </c>
      <c r="EE148" s="265">
        <f t="shared" si="612"/>
        <v>0</v>
      </c>
      <c r="EF148" s="264">
        <f t="shared" si="613"/>
        <v>1108298.5050500003</v>
      </c>
      <c r="EG148" s="264">
        <f t="shared" si="614"/>
        <v>0</v>
      </c>
      <c r="EH148" s="265">
        <f t="shared" si="615"/>
        <v>0</v>
      </c>
      <c r="EI148" s="264">
        <f t="shared" si="616"/>
        <v>1108298.5050500003</v>
      </c>
      <c r="EJ148" s="264">
        <f t="shared" si="617"/>
        <v>0</v>
      </c>
      <c r="EK148" s="265">
        <f t="shared" si="618"/>
        <v>0</v>
      </c>
      <c r="EL148" s="264">
        <f t="shared" si="619"/>
        <v>1108298.5050500003</v>
      </c>
      <c r="EM148" s="264">
        <f t="shared" si="620"/>
        <v>0</v>
      </c>
      <c r="EN148" s="265">
        <f t="shared" si="621"/>
        <v>0</v>
      </c>
      <c r="EO148" s="264">
        <f t="shared" si="622"/>
        <v>1108298.5050500003</v>
      </c>
      <c r="EP148" s="264">
        <f t="shared" si="623"/>
        <v>0</v>
      </c>
      <c r="EQ148" s="265">
        <f t="shared" si="624"/>
        <v>0</v>
      </c>
      <c r="ER148" s="264">
        <f t="shared" si="625"/>
        <v>1108298.5050500003</v>
      </c>
      <c r="ES148" s="264">
        <f t="shared" si="626"/>
        <v>0</v>
      </c>
      <c r="ET148" s="265">
        <f t="shared" si="627"/>
        <v>0</v>
      </c>
      <c r="EU148" s="264">
        <f t="shared" si="628"/>
        <v>1108298.5050500003</v>
      </c>
      <c r="EV148" s="264">
        <f>IF(AND(BM148="Yes",OR(BN148="No",AND(BN148="Yes",Inputs!$J$8=Inputs!$J$17+75))),EU148,0)</f>
        <v>0</v>
      </c>
      <c r="EW148" s="265">
        <f t="shared" si="629"/>
        <v>0</v>
      </c>
      <c r="EX148" s="264">
        <f t="shared" si="630"/>
        <v>1108298.5050500003</v>
      </c>
      <c r="EY148" s="264">
        <f t="shared" si="631"/>
        <v>0</v>
      </c>
      <c r="EZ148" s="265">
        <f t="shared" si="632"/>
        <v>0</v>
      </c>
      <c r="FA148" s="264">
        <f t="shared" si="633"/>
        <v>1108298.5050500003</v>
      </c>
      <c r="FB148" s="264">
        <f t="shared" si="634"/>
        <v>0</v>
      </c>
      <c r="FC148" s="265">
        <f t="shared" si="635"/>
        <v>0</v>
      </c>
      <c r="FD148" s="264">
        <f t="shared" si="636"/>
        <v>1108298.5050500003</v>
      </c>
      <c r="FE148" s="264">
        <f t="shared" si="637"/>
        <v>0</v>
      </c>
      <c r="FF148" s="265">
        <f t="shared" si="638"/>
        <v>0</v>
      </c>
      <c r="FG148" s="264">
        <f t="shared" si="639"/>
        <v>1108298.5050500003</v>
      </c>
      <c r="FH148" s="264">
        <f t="shared" si="640"/>
        <v>1108298.5050500003</v>
      </c>
      <c r="FI148" s="264">
        <f t="shared" si="641"/>
        <v>0</v>
      </c>
      <c r="FJ148" s="264">
        <f t="shared" si="642"/>
        <v>1108298.5050500003</v>
      </c>
      <c r="FK148" s="264">
        <f t="shared" si="643"/>
        <v>1108298.5050500003</v>
      </c>
      <c r="FL148" s="264">
        <f t="shared" si="644"/>
        <v>0</v>
      </c>
      <c r="FM148" s="264">
        <f t="shared" si="645"/>
        <v>1108298.5050500003</v>
      </c>
      <c r="FN148" s="264">
        <f t="shared" si="646"/>
        <v>1108298.5050500003</v>
      </c>
      <c r="FO148" s="264">
        <f t="shared" si="647"/>
        <v>0</v>
      </c>
      <c r="FP148" s="264">
        <f t="shared" si="648"/>
        <v>1108298.5050500003</v>
      </c>
      <c r="FQ148" s="264">
        <f t="shared" si="649"/>
        <v>0</v>
      </c>
      <c r="FR148" s="265">
        <f t="shared" si="650"/>
        <v>0</v>
      </c>
      <c r="FS148" s="264">
        <f t="shared" si="651"/>
        <v>1108298.5050500003</v>
      </c>
      <c r="FT148" s="264">
        <f t="shared" si="652"/>
        <v>0</v>
      </c>
      <c r="FU148" s="265">
        <f t="shared" si="653"/>
        <v>0</v>
      </c>
      <c r="FV148" s="264">
        <f t="shared" si="654"/>
        <v>1108298.5050500003</v>
      </c>
      <c r="FW148" s="264">
        <f t="shared" si="655"/>
        <v>0</v>
      </c>
      <c r="FX148" s="264">
        <f t="shared" si="656"/>
        <v>0</v>
      </c>
      <c r="FY148" s="264">
        <f t="shared" si="657"/>
        <v>0</v>
      </c>
      <c r="FZ148" s="264">
        <f t="shared" si="658"/>
        <v>0</v>
      </c>
      <c r="GA148" s="265">
        <f t="shared" si="659"/>
        <v>0</v>
      </c>
      <c r="GB148" s="264">
        <f t="shared" si="660"/>
        <v>1108298.5050500003</v>
      </c>
      <c r="GC148" s="264">
        <f t="shared" si="661"/>
        <v>1108298.5050500003</v>
      </c>
      <c r="GD148" s="266">
        <f t="shared" si="662"/>
        <v>803516.41616125021</v>
      </c>
      <c r="GE148" s="138">
        <f t="shared" si="663"/>
        <v>0.36249999999999999</v>
      </c>
      <c r="GF148" s="267">
        <f t="shared" si="664"/>
        <v>31</v>
      </c>
      <c r="GG148" s="264">
        <f t="array" ref="GG148">IF(SUM(IF(IC$9:IC147=IC148,1,0))&gt;0,0,SUMIF($IC$10:$IC$406,IC148,$FJ$10:$FJ$406))</f>
        <v>0</v>
      </c>
      <c r="GH148" s="268">
        <f t="shared" si="665"/>
        <v>0</v>
      </c>
      <c r="GI148" s="137">
        <f t="shared" si="126"/>
        <v>139</v>
      </c>
      <c r="GJ148" s="269">
        <f t="shared" si="666"/>
        <v>0</v>
      </c>
      <c r="GK148" s="269">
        <f t="shared" si="667"/>
        <v>0</v>
      </c>
      <c r="GL148" s="163">
        <f t="shared" si="668"/>
        <v>0</v>
      </c>
      <c r="GM148" s="137">
        <f t="array" ref="GM148">IF(GJ148=0,0,LARGE(IF($GG$10:$GG$406=GJ148,$GF$10:$GF$406,0),COUNTIF($GJ$10:$GJ$406,GJ148)-COUNTIF(GJ$9:GJ147,GJ148)))</f>
        <v>0</v>
      </c>
      <c r="GN148" s="270">
        <f t="shared" si="669"/>
        <v>0</v>
      </c>
      <c r="GP148" s="137">
        <f>IF(C148="","",IF(ISERROR(MATCH(C148,C$10:C147,0)),MAX(GP$10:GP147)+1,INDEX(GP$10:GP147,MATCH(C148,C$10:C147,0))))</f>
        <v>106</v>
      </c>
      <c r="GQ148" s="264">
        <f>IF(COUNTIF($A$10:A148,A148)&lt;=1,SUMIF($A$10:$A$406,A148,$FH$10:$FH$406),0)</f>
        <v>2066884.7000500003</v>
      </c>
      <c r="GR148" s="137">
        <f t="shared" si="130"/>
        <v>139</v>
      </c>
      <c r="GS148" s="269">
        <f t="shared" ref="GS148:GS167" si="707">LARGE($GQ$10:$GQ$406,GR148)</f>
        <v>0</v>
      </c>
      <c r="GT148" s="269">
        <f t="shared" ref="GT148:GT167" si="708">IF(GR148&gt;GR$6,0,IF(GR148&lt;=GR$2,GT$2,IF(AND(GR148&lt;=$GR$3,GR148&gt;$GR$2),GT$3,GT$4)))</f>
        <v>0</v>
      </c>
      <c r="GU148" s="163">
        <f t="shared" ref="GU148:GU167" si="709">MAX(0,GS148-GT148)</f>
        <v>0</v>
      </c>
      <c r="GV148" s="137">
        <f t="array" ref="GV148">IF(GS148=0,0,LARGE(IF($GQ$10:$GQ$406=GS148,$GP$10:$GP$406,0),COUNTIF($GS$10:$GS$406,GS148)-COUNTIF(GS$9:GS147,GS148)))</f>
        <v>0</v>
      </c>
      <c r="GW148" s="270">
        <f t="shared" ref="GW148:GW167" si="710">IF(GS148=0,0,GU148/GS148)</f>
        <v>0</v>
      </c>
      <c r="GY148" s="137">
        <f>IF(C148="","",IF(ISERROR(MATCH(C148,C$10:C147,0)),MAX(GP$10:GP147)+1,INDEX(GP$10:GP147,MATCH(C148,C$10:C147,0))))</f>
        <v>106</v>
      </c>
      <c r="GZ148" s="264">
        <f>IF(COUNTIF($A$10:A148,A148)&lt;=1,SUMIF($A$10:$A$406,A148,$FH$10:$FH$406),0)</f>
        <v>2066884.7000500003</v>
      </c>
      <c r="HA148" s="137">
        <f t="shared" si="134"/>
        <v>139</v>
      </c>
      <c r="HB148" s="269">
        <f t="shared" si="670"/>
        <v>0</v>
      </c>
      <c r="HC148" s="414" t="s">
        <v>622</v>
      </c>
      <c r="HD148" s="163">
        <f t="shared" si="671"/>
        <v>0</v>
      </c>
      <c r="HE148" s="137">
        <f t="array" ref="HE148">IF(HB148=0,0,LARGE(IF($GZ$10:$GZ$406=HB148,$GY$10:$GY$406,0),COUNTIF($HB$10:$HB$406,HB148)-COUNTIF(HB$9:HB147,HB148)))</f>
        <v>0</v>
      </c>
      <c r="HF148" s="270">
        <f t="shared" si="672"/>
        <v>0</v>
      </c>
      <c r="HH148" s="268">
        <f t="shared" si="673"/>
        <v>0</v>
      </c>
      <c r="HI148" s="271">
        <v>0</v>
      </c>
      <c r="HJ148" s="264">
        <f t="shared" si="674"/>
        <v>0</v>
      </c>
      <c r="HL148" s="137" t="str">
        <f t="shared" si="675"/>
        <v/>
      </c>
      <c r="HM148" s="264">
        <f t="shared" si="676"/>
        <v>0</v>
      </c>
      <c r="HO148" s="199">
        <f t="shared" si="677"/>
        <v>1108298.5050500003</v>
      </c>
      <c r="HP148" s="199">
        <f t="shared" si="678"/>
        <v>2216597.0101000005</v>
      </c>
      <c r="HQ148" s="199" t="str">
        <f t="shared" si="679"/>
        <v/>
      </c>
      <c r="HR148" s="199" t="str">
        <f t="shared" si="680"/>
        <v/>
      </c>
      <c r="HS148" s="199" t="str">
        <f t="shared" si="693"/>
        <v/>
      </c>
      <c r="HT148" s="199">
        <f t="shared" si="681"/>
        <v>1108298.5050500003</v>
      </c>
      <c r="HU148" s="199" t="str">
        <f t="shared" si="682"/>
        <v/>
      </c>
      <c r="HV148" s="200">
        <f t="shared" si="683"/>
        <v>0</v>
      </c>
      <c r="HW148" s="272" t="str">
        <f t="shared" si="684"/>
        <v/>
      </c>
      <c r="HX148" s="200">
        <f t="shared" si="685"/>
        <v>0</v>
      </c>
      <c r="HY148" s="200">
        <f t="shared" si="686"/>
        <v>1108298.5050500003</v>
      </c>
      <c r="HZ148" s="200">
        <f t="shared" si="692"/>
        <v>0</v>
      </c>
      <c r="IA148" s="200">
        <f t="shared" si="687"/>
        <v>0</v>
      </c>
      <c r="IB148" s="200">
        <f t="shared" si="688"/>
        <v>0</v>
      </c>
      <c r="IC148" s="273">
        <f>IF(C148="","",INDEX(Lookups!$E$2:$E$69,MATCH('Loan List'!BE148,Lookups!$F$2:$F$69,0)))</f>
        <v>31</v>
      </c>
      <c r="ID148" t="b">
        <f t="shared" si="689"/>
        <v>1</v>
      </c>
    </row>
    <row r="149" spans="1:238">
      <c r="A149" t="s">
        <v>255</v>
      </c>
      <c r="B149" s="242">
        <f t="shared" si="694"/>
        <v>140</v>
      </c>
      <c r="C149" s="242">
        <f>IF(COUNTIF($A$10:A148,A149)&gt;0,C148,C148+1)</f>
        <v>106</v>
      </c>
      <c r="D149" s="431" t="s">
        <v>793</v>
      </c>
      <c r="E149" s="428" t="s">
        <v>481</v>
      </c>
      <c r="F149" s="429"/>
      <c r="G149" s="430">
        <v>1917172.3900000001</v>
      </c>
      <c r="H149" s="430">
        <v>1917172.3900000001</v>
      </c>
      <c r="I149" s="244">
        <f>IF(B149="","",VLOOKUP(BF149,Inputs!$A$12:$J$15,10,FALSE))</f>
        <v>1</v>
      </c>
      <c r="J149" s="245">
        <f t="shared" si="695"/>
        <v>1917172.3900000001</v>
      </c>
      <c r="K149" s="245">
        <f t="shared" si="696"/>
        <v>1917172.3900000001</v>
      </c>
      <c r="L149" s="245">
        <f t="shared" si="697"/>
        <v>1917172.3900000001</v>
      </c>
      <c r="M149" s="245">
        <f t="shared" si="698"/>
        <v>1917172.3900000001</v>
      </c>
      <c r="N149" s="432" t="s">
        <v>246</v>
      </c>
      <c r="O149" s="432" t="s">
        <v>245</v>
      </c>
      <c r="P149" s="433">
        <f>IF(B149="","",IF(OR(O149="N/A",O149=""),0,YEARFRAC('Borrowing Base'!$J$4,'Loan List'!O149)*12))</f>
        <v>0</v>
      </c>
      <c r="Q149" s="432" t="s">
        <v>246</v>
      </c>
      <c r="R149" s="434">
        <v>1</v>
      </c>
      <c r="S149" s="435" t="str">
        <f t="shared" si="699"/>
        <v>No</v>
      </c>
      <c r="T149" s="434">
        <v>0.85599999787581571</v>
      </c>
      <c r="U149" s="436">
        <f t="shared" si="700"/>
        <v>0.5</v>
      </c>
      <c r="V149" s="436">
        <f t="shared" si="701"/>
        <v>0.72499999999999998</v>
      </c>
      <c r="W149" s="251">
        <f t="shared" si="561"/>
        <v>958586.19500000007</v>
      </c>
      <c r="X149" s="432" t="s">
        <v>246</v>
      </c>
      <c r="Y149" s="437" t="s">
        <v>483</v>
      </c>
      <c r="Z149" s="437" t="s">
        <v>484</v>
      </c>
      <c r="AA149" s="438" t="s">
        <v>407</v>
      </c>
      <c r="AB149" s="438" t="s">
        <v>713</v>
      </c>
      <c r="AC149" s="439">
        <v>1.91</v>
      </c>
      <c r="AD149" s="439">
        <v>0.74878854728196564</v>
      </c>
      <c r="AE149" s="439">
        <v>1.2863383637807786</v>
      </c>
      <c r="AF149" s="439">
        <v>0.51859999999999995</v>
      </c>
      <c r="AG149" s="440">
        <v>8.0649263952672001</v>
      </c>
      <c r="AH149" s="440">
        <v>15.326749766927941</v>
      </c>
      <c r="AI149" s="440">
        <v>8.0649263952672001</v>
      </c>
      <c r="AJ149" s="440">
        <v>15.326749766927941</v>
      </c>
      <c r="AK149" s="441">
        <v>86883000</v>
      </c>
      <c r="AL149" s="441">
        <v>86883000</v>
      </c>
      <c r="AM149" s="258">
        <v>45838</v>
      </c>
      <c r="AN149" s="442" t="str">
        <f t="shared" si="702"/>
        <v>Tier 1</v>
      </c>
      <c r="AO149" s="443">
        <v>46672</v>
      </c>
      <c r="AP149" s="444">
        <f>IF(C149="","",DAYS360(Inputs!$J$8,AO149)/360)</f>
        <v>2.1333333333333333</v>
      </c>
      <c r="AQ149" s="444">
        <f t="shared" si="703"/>
        <v>2.1333333333333333</v>
      </c>
      <c r="AR149" s="432" t="s">
        <v>246</v>
      </c>
      <c r="AS149" s="445">
        <v>0</v>
      </c>
      <c r="AT149" s="432" t="s">
        <v>64</v>
      </c>
      <c r="AU149" s="446">
        <v>0.01</v>
      </c>
      <c r="AV149" s="446">
        <v>6.0999999999999999E-2</v>
      </c>
      <c r="AW149" s="446">
        <v>4.3288000000000007E-2</v>
      </c>
      <c r="AX149" s="260">
        <f t="shared" si="704"/>
        <v>4.3288000000000007E-2</v>
      </c>
      <c r="AY149" s="446">
        <v>0</v>
      </c>
      <c r="AZ149" s="446">
        <v>0</v>
      </c>
      <c r="BA149" s="446">
        <v>0</v>
      </c>
      <c r="BB149" s="447">
        <f t="shared" si="690"/>
        <v>6.0999999999999999E-2</v>
      </c>
      <c r="BC149" s="447" t="str">
        <f t="shared" si="691"/>
        <v/>
      </c>
      <c r="BD149" s="437" t="s">
        <v>247</v>
      </c>
      <c r="BE149" s="448" t="s">
        <v>408</v>
      </c>
      <c r="BF149" s="437" t="s">
        <v>7</v>
      </c>
      <c r="BG149" s="437" t="s">
        <v>460</v>
      </c>
      <c r="BH149" s="432" t="s">
        <v>246</v>
      </c>
      <c r="BI149" s="449" t="str">
        <f t="shared" si="559"/>
        <v>No</v>
      </c>
      <c r="BJ149" s="449" t="str">
        <f t="shared" si="560"/>
        <v>No</v>
      </c>
      <c r="BK149" s="432" t="s">
        <v>246</v>
      </c>
      <c r="BL149" s="432" t="s">
        <v>246</v>
      </c>
      <c r="BM149" s="246" t="s">
        <v>64</v>
      </c>
      <c r="BN149" s="246" t="s">
        <v>64</v>
      </c>
      <c r="BO149" s="432" t="s">
        <v>246</v>
      </c>
      <c r="BP149" s="432" t="s">
        <v>246</v>
      </c>
      <c r="BQ149" s="432" t="s">
        <v>246</v>
      </c>
      <c r="BR149" s="432" t="s">
        <v>246</v>
      </c>
      <c r="BS149" s="432" t="s">
        <v>246</v>
      </c>
      <c r="BT149" s="432" t="s">
        <v>246</v>
      </c>
      <c r="BU149" s="432" t="s">
        <v>246</v>
      </c>
      <c r="BV149" s="432" t="s">
        <v>246</v>
      </c>
      <c r="BW149" s="432" t="s">
        <v>246</v>
      </c>
      <c r="BX149" s="432" t="s">
        <v>246</v>
      </c>
      <c r="BY149" s="432" t="s">
        <v>246</v>
      </c>
      <c r="BZ149" s="432" t="s">
        <v>246</v>
      </c>
      <c r="CA149" s="432" t="s">
        <v>246</v>
      </c>
      <c r="CB149" s="432" t="s">
        <v>64</v>
      </c>
      <c r="CC149" s="450">
        <f t="shared" si="705"/>
        <v>117073.28229878402</v>
      </c>
      <c r="CD149" s="450">
        <f t="shared" si="706"/>
        <v>0</v>
      </c>
      <c r="CF149" s="263">
        <f t="shared" si="562"/>
        <v>0</v>
      </c>
      <c r="CG149" s="263">
        <f t="shared" si="563"/>
        <v>0</v>
      </c>
      <c r="CH149" s="263">
        <f t="shared" si="564"/>
        <v>0</v>
      </c>
      <c r="CI149" s="263">
        <f t="shared" si="565"/>
        <v>0</v>
      </c>
      <c r="CJ149" s="263">
        <f t="shared" si="566"/>
        <v>0</v>
      </c>
      <c r="CK149" s="263">
        <f t="shared" si="567"/>
        <v>0</v>
      </c>
      <c r="CL149" s="263">
        <f t="shared" si="568"/>
        <v>0</v>
      </c>
      <c r="CM149" s="263">
        <f t="shared" si="569"/>
        <v>0</v>
      </c>
      <c r="CN149" s="263">
        <f t="shared" si="570"/>
        <v>0</v>
      </c>
      <c r="CO149" s="263">
        <f t="shared" si="571"/>
        <v>0</v>
      </c>
      <c r="CP149" s="263">
        <f t="shared" si="572"/>
        <v>0</v>
      </c>
      <c r="CQ149" s="263">
        <f t="shared" si="573"/>
        <v>0</v>
      </c>
      <c r="CR149" s="263">
        <f t="shared" si="574"/>
        <v>0</v>
      </c>
      <c r="CS149" s="263">
        <f t="shared" si="575"/>
        <v>0</v>
      </c>
      <c r="CT149" s="263">
        <f t="shared" si="576"/>
        <v>0</v>
      </c>
      <c r="CU149" s="263">
        <f t="shared" si="577"/>
        <v>0</v>
      </c>
      <c r="CV149" s="263">
        <f t="shared" si="578"/>
        <v>0</v>
      </c>
      <c r="CW149" s="263">
        <f t="shared" si="579"/>
        <v>0</v>
      </c>
      <c r="CX149" s="263">
        <f t="shared" si="580"/>
        <v>0</v>
      </c>
      <c r="CY149" s="263">
        <f t="shared" si="581"/>
        <v>0</v>
      </c>
      <c r="CZ149" s="263">
        <f t="shared" si="582"/>
        <v>0</v>
      </c>
      <c r="DA149" s="263">
        <f t="shared" si="583"/>
        <v>0</v>
      </c>
      <c r="DB149" s="263">
        <f t="shared" si="584"/>
        <v>0</v>
      </c>
      <c r="DC149" s="263">
        <f t="shared" si="585"/>
        <v>0</v>
      </c>
      <c r="DD149" s="263">
        <f t="shared" si="586"/>
        <v>1</v>
      </c>
      <c r="DE149" s="263">
        <f t="shared" si="587"/>
        <v>0</v>
      </c>
      <c r="DF149" s="263">
        <f t="shared" si="588"/>
        <v>958586.19500000007</v>
      </c>
      <c r="DG149" s="263">
        <f t="shared" si="589"/>
        <v>0</v>
      </c>
      <c r="DH149" s="263">
        <f t="shared" si="590"/>
        <v>958586.19500000007</v>
      </c>
      <c r="DI149" s="263">
        <f t="shared" si="591"/>
        <v>1917172.3900000001</v>
      </c>
      <c r="DJ149" s="263">
        <f t="shared" si="592"/>
        <v>0</v>
      </c>
      <c r="DK149" s="263">
        <f t="shared" si="593"/>
        <v>0</v>
      </c>
      <c r="DL149" s="263">
        <f t="shared" si="594"/>
        <v>0</v>
      </c>
      <c r="DM149" s="263">
        <f t="shared" si="595"/>
        <v>0</v>
      </c>
      <c r="DO149" s="264">
        <f t="shared" si="596"/>
        <v>0</v>
      </c>
      <c r="DP149" s="265">
        <f t="shared" si="597"/>
        <v>0</v>
      </c>
      <c r="DQ149" s="264">
        <f t="shared" si="598"/>
        <v>958586.19500000007</v>
      </c>
      <c r="DR149" s="264">
        <f t="shared" si="599"/>
        <v>0</v>
      </c>
      <c r="DS149" s="265">
        <f t="shared" si="600"/>
        <v>0</v>
      </c>
      <c r="DT149" s="264">
        <f t="shared" si="601"/>
        <v>958586.19500000007</v>
      </c>
      <c r="DU149" s="264">
        <f t="shared" si="602"/>
        <v>0</v>
      </c>
      <c r="DV149" s="265">
        <f t="shared" si="603"/>
        <v>0</v>
      </c>
      <c r="DW149" s="264">
        <f t="shared" si="604"/>
        <v>958586.19500000007</v>
      </c>
      <c r="DX149" s="264">
        <f t="shared" si="605"/>
        <v>0</v>
      </c>
      <c r="DY149" s="265">
        <f t="shared" si="606"/>
        <v>0</v>
      </c>
      <c r="DZ149" s="264">
        <f t="shared" si="607"/>
        <v>958586.19500000007</v>
      </c>
      <c r="EA149" s="264">
        <f t="shared" si="608"/>
        <v>0</v>
      </c>
      <c r="EB149" s="265">
        <f t="shared" si="609"/>
        <v>0</v>
      </c>
      <c r="EC149" s="264">
        <f t="shared" si="610"/>
        <v>958586.19500000007</v>
      </c>
      <c r="ED149" s="264">
        <f t="shared" si="611"/>
        <v>0</v>
      </c>
      <c r="EE149" s="265">
        <f t="shared" si="612"/>
        <v>0</v>
      </c>
      <c r="EF149" s="264">
        <f t="shared" si="613"/>
        <v>958586.19500000007</v>
      </c>
      <c r="EG149" s="264">
        <f t="shared" si="614"/>
        <v>0</v>
      </c>
      <c r="EH149" s="265">
        <f t="shared" si="615"/>
        <v>0</v>
      </c>
      <c r="EI149" s="264">
        <f t="shared" si="616"/>
        <v>958586.19500000007</v>
      </c>
      <c r="EJ149" s="264">
        <f t="shared" si="617"/>
        <v>0</v>
      </c>
      <c r="EK149" s="265">
        <f t="shared" si="618"/>
        <v>0</v>
      </c>
      <c r="EL149" s="264">
        <f t="shared" si="619"/>
        <v>958586.19500000007</v>
      </c>
      <c r="EM149" s="264">
        <f t="shared" si="620"/>
        <v>0</v>
      </c>
      <c r="EN149" s="265">
        <f t="shared" si="621"/>
        <v>0</v>
      </c>
      <c r="EO149" s="264">
        <f t="shared" si="622"/>
        <v>958586.19500000007</v>
      </c>
      <c r="EP149" s="264">
        <f t="shared" si="623"/>
        <v>0</v>
      </c>
      <c r="EQ149" s="265">
        <f t="shared" si="624"/>
        <v>0</v>
      </c>
      <c r="ER149" s="264">
        <f t="shared" si="625"/>
        <v>958586.19500000007</v>
      </c>
      <c r="ES149" s="264">
        <f t="shared" si="626"/>
        <v>0</v>
      </c>
      <c r="ET149" s="265">
        <f t="shared" si="627"/>
        <v>0</v>
      </c>
      <c r="EU149" s="264">
        <f t="shared" si="628"/>
        <v>958586.19500000007</v>
      </c>
      <c r="EV149" s="264">
        <f>IF(AND(BM149="Yes",OR(BN149="No",AND(BN149="Yes",Inputs!$J$8=Inputs!$J$17+75))),EU149,0)</f>
        <v>0</v>
      </c>
      <c r="EW149" s="265">
        <f t="shared" si="629"/>
        <v>0</v>
      </c>
      <c r="EX149" s="264">
        <f t="shared" si="630"/>
        <v>958586.19500000007</v>
      </c>
      <c r="EY149" s="264">
        <f t="shared" si="631"/>
        <v>0</v>
      </c>
      <c r="EZ149" s="265">
        <f t="shared" si="632"/>
        <v>0</v>
      </c>
      <c r="FA149" s="264">
        <f t="shared" si="633"/>
        <v>958586.19500000007</v>
      </c>
      <c r="FB149" s="264">
        <f t="shared" si="634"/>
        <v>0</v>
      </c>
      <c r="FC149" s="265">
        <f t="shared" si="635"/>
        <v>0</v>
      </c>
      <c r="FD149" s="264">
        <f t="shared" si="636"/>
        <v>958586.19500000007</v>
      </c>
      <c r="FE149" s="264">
        <f t="shared" si="637"/>
        <v>0</v>
      </c>
      <c r="FF149" s="265">
        <f t="shared" si="638"/>
        <v>0</v>
      </c>
      <c r="FG149" s="264">
        <f t="shared" si="639"/>
        <v>958586.19500000007</v>
      </c>
      <c r="FH149" s="264">
        <f t="shared" si="640"/>
        <v>958586.19500000007</v>
      </c>
      <c r="FI149" s="264">
        <f t="shared" si="641"/>
        <v>0</v>
      </c>
      <c r="FJ149" s="264">
        <f t="shared" si="642"/>
        <v>958586.19500000007</v>
      </c>
      <c r="FK149" s="264">
        <f t="shared" si="643"/>
        <v>958586.19500000007</v>
      </c>
      <c r="FL149" s="264">
        <f t="shared" si="644"/>
        <v>0</v>
      </c>
      <c r="FM149" s="264">
        <f t="shared" si="645"/>
        <v>958586.19500000007</v>
      </c>
      <c r="FN149" s="264">
        <f t="shared" si="646"/>
        <v>958586.19500000007</v>
      </c>
      <c r="FO149" s="264">
        <f t="shared" si="647"/>
        <v>0</v>
      </c>
      <c r="FP149" s="264">
        <f t="shared" si="648"/>
        <v>958586.19500000007</v>
      </c>
      <c r="FQ149" s="264">
        <f t="shared" si="649"/>
        <v>0</v>
      </c>
      <c r="FR149" s="265">
        <f t="shared" si="650"/>
        <v>0</v>
      </c>
      <c r="FS149" s="264">
        <f t="shared" si="651"/>
        <v>958586.19500000007</v>
      </c>
      <c r="FT149" s="264">
        <f t="shared" si="652"/>
        <v>0</v>
      </c>
      <c r="FU149" s="265">
        <f t="shared" si="653"/>
        <v>0</v>
      </c>
      <c r="FV149" s="264">
        <f t="shared" si="654"/>
        <v>958586.19500000007</v>
      </c>
      <c r="FW149" s="264">
        <f t="shared" si="655"/>
        <v>0</v>
      </c>
      <c r="FX149" s="264">
        <f t="shared" si="656"/>
        <v>0</v>
      </c>
      <c r="FY149" s="264">
        <f t="shared" si="657"/>
        <v>0</v>
      </c>
      <c r="FZ149" s="264">
        <f t="shared" si="658"/>
        <v>0</v>
      </c>
      <c r="GA149" s="265">
        <f t="shared" si="659"/>
        <v>0</v>
      </c>
      <c r="GB149" s="264">
        <f t="shared" si="660"/>
        <v>958586.19500000007</v>
      </c>
      <c r="GC149" s="264">
        <f t="shared" si="661"/>
        <v>958586.19500000007</v>
      </c>
      <c r="GD149" s="266">
        <f t="shared" si="662"/>
        <v>694974.99137499998</v>
      </c>
      <c r="GE149" s="138">
        <f t="shared" si="663"/>
        <v>0.36249999999999999</v>
      </c>
      <c r="GF149" s="267">
        <f t="shared" si="664"/>
        <v>31</v>
      </c>
      <c r="GG149" s="264">
        <f t="array" ref="GG149">IF(SUM(IF(IC$9:IC148=IC149,1,0))&gt;0,0,SUMIF($IC$10:$IC$406,IC149,$FJ$10:$FJ$406))</f>
        <v>0</v>
      </c>
      <c r="GH149" s="268">
        <f t="shared" si="665"/>
        <v>0</v>
      </c>
      <c r="GI149" s="137">
        <f t="shared" si="126"/>
        <v>140</v>
      </c>
      <c r="GJ149" s="269">
        <f t="shared" si="666"/>
        <v>0</v>
      </c>
      <c r="GK149" s="269">
        <f t="shared" si="667"/>
        <v>0</v>
      </c>
      <c r="GL149" s="163">
        <f t="shared" si="668"/>
        <v>0</v>
      </c>
      <c r="GM149" s="137">
        <f t="array" ref="GM149">IF(GJ149=0,0,LARGE(IF($GG$10:$GG$406=GJ149,$GF$10:$GF$406,0),COUNTIF($GJ$10:$GJ$406,GJ149)-COUNTIF(GJ$9:GJ148,GJ149)))</f>
        <v>0</v>
      </c>
      <c r="GN149" s="270">
        <f t="shared" si="669"/>
        <v>0</v>
      </c>
      <c r="GP149" s="137">
        <f>IF(C149="","",IF(ISERROR(MATCH(C149,C$10:C148,0)),MAX(GP$10:GP148)+1,INDEX(GP$10:GP148,MATCH(C149,C$10:C148,0))))</f>
        <v>106</v>
      </c>
      <c r="GQ149" s="264">
        <f>IF(COUNTIF($A$10:A149,A149)&lt;=1,SUMIF($A$10:$A$406,A149,$FH$10:$FH$406),0)</f>
        <v>0</v>
      </c>
      <c r="GR149" s="137">
        <f t="shared" si="130"/>
        <v>140</v>
      </c>
      <c r="GS149" s="269">
        <f t="shared" si="707"/>
        <v>0</v>
      </c>
      <c r="GT149" s="269">
        <f t="shared" si="708"/>
        <v>0</v>
      </c>
      <c r="GU149" s="163">
        <f t="shared" si="709"/>
        <v>0</v>
      </c>
      <c r="GV149" s="137">
        <f t="array" ref="GV149">IF(GS149=0,0,LARGE(IF($GQ$10:$GQ$406=GS149,$GP$10:$GP$406,0),COUNTIF($GS$10:$GS$406,GS149)-COUNTIF(GS$9:GS148,GS149)))</f>
        <v>0</v>
      </c>
      <c r="GW149" s="270">
        <f t="shared" si="710"/>
        <v>0</v>
      </c>
      <c r="GY149" s="137">
        <f>IF(C149="","",IF(ISERROR(MATCH(C149,C$10:C148,0)),MAX(GP$10:GP148)+1,INDEX(GP$10:GP148,MATCH(C149,C$10:C148,0))))</f>
        <v>106</v>
      </c>
      <c r="GZ149" s="264">
        <f>IF(COUNTIF($A$10:A149,A149)&lt;=1,SUMIF($A$10:$A$406,A149,$FH$10:$FH$406),0)</f>
        <v>0</v>
      </c>
      <c r="HA149" s="137">
        <f t="shared" si="134"/>
        <v>140</v>
      </c>
      <c r="HB149" s="269">
        <f t="shared" si="670"/>
        <v>0</v>
      </c>
      <c r="HC149" s="414" t="s">
        <v>622</v>
      </c>
      <c r="HD149" s="163">
        <f t="shared" si="671"/>
        <v>0</v>
      </c>
      <c r="HE149" s="137">
        <f t="array" ref="HE149">IF(HB149=0,0,LARGE(IF($GZ$10:$GZ$406=HB149,$GY$10:$GY$406,0),COUNTIF($HB$10:$HB$406,HB149)-COUNTIF(HB$9:HB148,HB149)))</f>
        <v>0</v>
      </c>
      <c r="HF149" s="270">
        <f t="shared" si="672"/>
        <v>0</v>
      </c>
      <c r="HH149" s="268">
        <f t="shared" si="673"/>
        <v>0</v>
      </c>
      <c r="HI149" s="271">
        <v>0</v>
      </c>
      <c r="HJ149" s="264">
        <f t="shared" si="674"/>
        <v>0</v>
      </c>
      <c r="HL149" s="137" t="str">
        <f t="shared" si="675"/>
        <v/>
      </c>
      <c r="HM149" s="264">
        <f t="shared" si="676"/>
        <v>0</v>
      </c>
      <c r="HO149" s="199">
        <f t="shared" si="677"/>
        <v>958586.19500000007</v>
      </c>
      <c r="HP149" s="199">
        <f t="shared" si="678"/>
        <v>1917172.3900000001</v>
      </c>
      <c r="HQ149" s="199" t="str">
        <f t="shared" si="679"/>
        <v/>
      </c>
      <c r="HR149" s="199" t="str">
        <f t="shared" si="680"/>
        <v/>
      </c>
      <c r="HS149" s="199" t="str">
        <f t="shared" si="693"/>
        <v/>
      </c>
      <c r="HT149" s="199">
        <f t="shared" si="681"/>
        <v>958586.19500000007</v>
      </c>
      <c r="HU149" s="199" t="str">
        <f t="shared" si="682"/>
        <v/>
      </c>
      <c r="HV149" s="200">
        <f t="shared" si="683"/>
        <v>0</v>
      </c>
      <c r="HW149" s="272" t="str">
        <f t="shared" si="684"/>
        <v/>
      </c>
      <c r="HX149" s="200">
        <f t="shared" si="685"/>
        <v>0</v>
      </c>
      <c r="HY149" s="200">
        <f t="shared" si="686"/>
        <v>958586.19500000007</v>
      </c>
      <c r="HZ149" s="200">
        <f t="shared" si="692"/>
        <v>0</v>
      </c>
      <c r="IA149" s="200">
        <f t="shared" si="687"/>
        <v>0</v>
      </c>
      <c r="IB149" s="200">
        <f t="shared" si="688"/>
        <v>0</v>
      </c>
      <c r="IC149" s="273">
        <f>IF(C149="","",INDEX(Lookups!$E$2:$E$69,MATCH('Loan List'!BE149,Lookups!$F$2:$F$69,0)))</f>
        <v>31</v>
      </c>
      <c r="ID149" t="b">
        <f t="shared" si="689"/>
        <v>1</v>
      </c>
    </row>
    <row r="150" spans="1:238">
      <c r="A150" t="s">
        <v>705</v>
      </c>
      <c r="B150" s="242">
        <f t="shared" si="694"/>
        <v>141</v>
      </c>
      <c r="C150" s="242">
        <f>IF(COUNTIF($A$10:A149,A150)&gt;0,C149,C149+1)</f>
        <v>107</v>
      </c>
      <c r="D150" s="428" t="s">
        <v>705</v>
      </c>
      <c r="E150" s="428" t="s">
        <v>703</v>
      </c>
      <c r="F150" s="429"/>
      <c r="G150" s="430">
        <v>8000000</v>
      </c>
      <c r="H150" s="430">
        <v>8000000</v>
      </c>
      <c r="I150" s="244">
        <f>IF(B150="","",VLOOKUP(BF150,Inputs!$A$12:$J$15,10,FALSE))</f>
        <v>1</v>
      </c>
      <c r="J150" s="245">
        <f t="shared" si="695"/>
        <v>8000000</v>
      </c>
      <c r="K150" s="245">
        <f t="shared" si="696"/>
        <v>8000000</v>
      </c>
      <c r="L150" s="245">
        <f t="shared" si="697"/>
        <v>8000000</v>
      </c>
      <c r="M150" s="245">
        <f t="shared" si="698"/>
        <v>8000000</v>
      </c>
      <c r="N150" s="432" t="s">
        <v>246</v>
      </c>
      <c r="O150" s="432" t="s">
        <v>245</v>
      </c>
      <c r="P150" s="433">
        <f>IF(B150="","",IF(OR(O150="N/A",O150=""),0,YEARFRAC('Borrowing Base'!$J$4,'Loan List'!O150)*12))</f>
        <v>0</v>
      </c>
      <c r="Q150" s="432" t="s">
        <v>246</v>
      </c>
      <c r="R150" s="434">
        <v>0.99250000000000005</v>
      </c>
      <c r="S150" s="435" t="str">
        <f t="shared" si="699"/>
        <v>No</v>
      </c>
      <c r="T150" s="434">
        <v>0.99250000000000005</v>
      </c>
      <c r="U150" s="436">
        <f t="shared" si="700"/>
        <v>0.5</v>
      </c>
      <c r="V150" s="436">
        <f t="shared" si="701"/>
        <v>0.72499999999999998</v>
      </c>
      <c r="W150" s="251">
        <f t="shared" si="561"/>
        <v>0</v>
      </c>
      <c r="X150" s="432" t="s">
        <v>246</v>
      </c>
      <c r="Y150" s="437" t="s">
        <v>483</v>
      </c>
      <c r="Z150" s="437" t="s">
        <v>484</v>
      </c>
      <c r="AA150" s="438" t="s">
        <v>407</v>
      </c>
      <c r="AB150" s="438" t="s">
        <v>713</v>
      </c>
      <c r="AC150" s="439">
        <v>1.3520428775350801</v>
      </c>
      <c r="AD150" s="439">
        <v>1.3520428775350801</v>
      </c>
      <c r="AE150" s="439">
        <v>1.8964497041420119</v>
      </c>
      <c r="AF150" s="439">
        <v>0.68710451669212314</v>
      </c>
      <c r="AG150" s="440">
        <v>4.9126365054602186</v>
      </c>
      <c r="AH150" s="440">
        <v>4.9126365054602186</v>
      </c>
      <c r="AI150" s="440">
        <v>5.6272122510825726</v>
      </c>
      <c r="AJ150" s="440">
        <v>5.6272122510825726</v>
      </c>
      <c r="AK150" s="441">
        <v>64099999.999999993</v>
      </c>
      <c r="AL150" s="441">
        <v>56230394</v>
      </c>
      <c r="AM150" s="258">
        <v>45838</v>
      </c>
      <c r="AN150" s="442" t="str">
        <f t="shared" si="702"/>
        <v>Tier 1</v>
      </c>
      <c r="AO150" s="443">
        <v>46317</v>
      </c>
      <c r="AP150" s="444">
        <f>IF(C150="","",DAYS360(Inputs!$J$8,AO150)/360)</f>
        <v>1.1611111111111112</v>
      </c>
      <c r="AQ150" s="444">
        <f t="shared" si="703"/>
        <v>1.1611111111111112</v>
      </c>
      <c r="AR150" s="432" t="s">
        <v>246</v>
      </c>
      <c r="AS150" s="445">
        <v>0</v>
      </c>
      <c r="AT150" s="432" t="s">
        <v>64</v>
      </c>
      <c r="AU150" s="446">
        <v>0.01</v>
      </c>
      <c r="AV150" s="446">
        <v>5.7500000000000002E-2</v>
      </c>
      <c r="AW150" s="446">
        <v>4.3696000000000006E-2</v>
      </c>
      <c r="AX150" s="260">
        <f t="shared" si="704"/>
        <v>4.3696000000000006E-2</v>
      </c>
      <c r="AY150" s="446">
        <v>0</v>
      </c>
      <c r="AZ150" s="446">
        <v>0</v>
      </c>
      <c r="BA150" s="446">
        <v>0</v>
      </c>
      <c r="BB150" s="447">
        <f t="shared" si="690"/>
        <v>5.7500000000000002E-2</v>
      </c>
      <c r="BC150" s="447" t="str">
        <f t="shared" si="691"/>
        <v/>
      </c>
      <c r="BD150" s="437" t="s">
        <v>247</v>
      </c>
      <c r="BE150" s="448" t="s">
        <v>378</v>
      </c>
      <c r="BF150" s="437" t="s">
        <v>7</v>
      </c>
      <c r="BG150" s="437" t="s">
        <v>460</v>
      </c>
      <c r="BH150" s="432" t="s">
        <v>246</v>
      </c>
      <c r="BI150" s="449" t="str">
        <f t="shared" si="559"/>
        <v>No</v>
      </c>
      <c r="BJ150" s="449" t="str">
        <f t="shared" si="560"/>
        <v>No</v>
      </c>
      <c r="BK150" s="432" t="s">
        <v>246</v>
      </c>
      <c r="BL150" s="432" t="s">
        <v>246</v>
      </c>
      <c r="BM150" s="432" t="s">
        <v>246</v>
      </c>
      <c r="BN150" s="432" t="s">
        <v>246</v>
      </c>
      <c r="BO150" s="432" t="s">
        <v>246</v>
      </c>
      <c r="BP150" s="432" t="s">
        <v>246</v>
      </c>
      <c r="BQ150" s="432" t="s">
        <v>246</v>
      </c>
      <c r="BR150" s="432" t="s">
        <v>246</v>
      </c>
      <c r="BS150" s="432" t="s">
        <v>246</v>
      </c>
      <c r="BT150" s="432" t="s">
        <v>246</v>
      </c>
      <c r="BU150" s="432" t="s">
        <v>246</v>
      </c>
      <c r="BV150" s="432" t="s">
        <v>246</v>
      </c>
      <c r="BW150" s="432" t="s">
        <v>246</v>
      </c>
      <c r="BX150" s="432" t="s">
        <v>246</v>
      </c>
      <c r="BY150" s="432" t="s">
        <v>246</v>
      </c>
      <c r="BZ150" s="432" t="s">
        <v>246</v>
      </c>
      <c r="CA150" s="432" t="s">
        <v>246</v>
      </c>
      <c r="CB150" s="432" t="s">
        <v>64</v>
      </c>
      <c r="CC150" s="450">
        <f t="shared" si="705"/>
        <v>463788.80000000005</v>
      </c>
      <c r="CD150" s="450">
        <f t="shared" si="706"/>
        <v>0</v>
      </c>
      <c r="CF150" s="263">
        <f t="shared" si="562"/>
        <v>0</v>
      </c>
      <c r="CG150" s="263">
        <f t="shared" si="563"/>
        <v>0</v>
      </c>
      <c r="CH150" s="263">
        <f t="shared" si="564"/>
        <v>0</v>
      </c>
      <c r="CI150" s="263">
        <f t="shared" si="565"/>
        <v>0</v>
      </c>
      <c r="CJ150" s="263">
        <f t="shared" si="566"/>
        <v>0</v>
      </c>
      <c r="CK150" s="263">
        <f t="shared" si="567"/>
        <v>0</v>
      </c>
      <c r="CL150" s="263">
        <f t="shared" si="568"/>
        <v>0</v>
      </c>
      <c r="CM150" s="263">
        <f t="shared" si="569"/>
        <v>0</v>
      </c>
      <c r="CN150" s="263">
        <f t="shared" si="570"/>
        <v>0</v>
      </c>
      <c r="CO150" s="263">
        <f t="shared" si="571"/>
        <v>0</v>
      </c>
      <c r="CP150" s="263">
        <f t="shared" si="572"/>
        <v>0</v>
      </c>
      <c r="CQ150" s="263">
        <f t="shared" si="573"/>
        <v>0</v>
      </c>
      <c r="CR150" s="263">
        <f t="shared" si="574"/>
        <v>0</v>
      </c>
      <c r="CS150" s="263">
        <f t="shared" si="575"/>
        <v>0</v>
      </c>
      <c r="CT150" s="263">
        <f t="shared" si="576"/>
        <v>0</v>
      </c>
      <c r="CU150" s="263">
        <f t="shared" si="577"/>
        <v>0</v>
      </c>
      <c r="CV150" s="263">
        <f t="shared" si="578"/>
        <v>0</v>
      </c>
      <c r="CW150" s="263">
        <f t="shared" si="579"/>
        <v>0</v>
      </c>
      <c r="CX150" s="263">
        <f t="shared" si="580"/>
        <v>0</v>
      </c>
      <c r="CY150" s="263">
        <f t="shared" si="581"/>
        <v>0</v>
      </c>
      <c r="CZ150" s="263">
        <f t="shared" si="582"/>
        <v>0</v>
      </c>
      <c r="DA150" s="263">
        <f t="shared" si="583"/>
        <v>1</v>
      </c>
      <c r="DB150" s="263">
        <f t="shared" si="584"/>
        <v>0</v>
      </c>
      <c r="DC150" s="263">
        <f t="shared" si="585"/>
        <v>0</v>
      </c>
      <c r="DD150" s="263">
        <f t="shared" si="586"/>
        <v>0</v>
      </c>
      <c r="DE150" s="263">
        <f t="shared" si="587"/>
        <v>0</v>
      </c>
      <c r="DF150" s="263">
        <f t="shared" si="588"/>
        <v>0</v>
      </c>
      <c r="DG150" s="263">
        <f t="shared" si="589"/>
        <v>0</v>
      </c>
      <c r="DH150" s="263">
        <f t="shared" si="590"/>
        <v>0</v>
      </c>
      <c r="DI150" s="263">
        <f t="shared" si="591"/>
        <v>8000000</v>
      </c>
      <c r="DJ150" s="263">
        <f t="shared" si="592"/>
        <v>0</v>
      </c>
      <c r="DK150" s="263">
        <f t="shared" si="593"/>
        <v>0</v>
      </c>
      <c r="DL150" s="263">
        <f t="shared" si="594"/>
        <v>0</v>
      </c>
      <c r="DM150" s="263">
        <f t="shared" si="595"/>
        <v>0</v>
      </c>
      <c r="DO150" s="264">
        <f t="shared" si="596"/>
        <v>0</v>
      </c>
      <c r="DP150" s="265">
        <f t="shared" si="597"/>
        <v>0</v>
      </c>
      <c r="DQ150" s="264">
        <f t="shared" si="598"/>
        <v>0</v>
      </c>
      <c r="DR150" s="264">
        <f t="shared" si="599"/>
        <v>0</v>
      </c>
      <c r="DS150" s="265">
        <f t="shared" si="600"/>
        <v>0</v>
      </c>
      <c r="DT150" s="264">
        <f t="shared" si="601"/>
        <v>0</v>
      </c>
      <c r="DU150" s="264">
        <f t="shared" si="602"/>
        <v>0</v>
      </c>
      <c r="DV150" s="265">
        <f t="shared" si="603"/>
        <v>0</v>
      </c>
      <c r="DW150" s="264">
        <f t="shared" si="604"/>
        <v>0</v>
      </c>
      <c r="DX150" s="264">
        <f t="shared" si="605"/>
        <v>0</v>
      </c>
      <c r="DY150" s="265">
        <f t="shared" si="606"/>
        <v>0</v>
      </c>
      <c r="DZ150" s="264">
        <f t="shared" si="607"/>
        <v>0</v>
      </c>
      <c r="EA150" s="264">
        <f t="shared" si="608"/>
        <v>0</v>
      </c>
      <c r="EB150" s="265">
        <f t="shared" si="609"/>
        <v>0</v>
      </c>
      <c r="EC150" s="264">
        <f t="shared" si="610"/>
        <v>0</v>
      </c>
      <c r="ED150" s="264">
        <f t="shared" si="611"/>
        <v>0</v>
      </c>
      <c r="EE150" s="265">
        <f t="shared" si="612"/>
        <v>0</v>
      </c>
      <c r="EF150" s="264">
        <f t="shared" si="613"/>
        <v>0</v>
      </c>
      <c r="EG150" s="264">
        <f t="shared" si="614"/>
        <v>0</v>
      </c>
      <c r="EH150" s="265">
        <f t="shared" si="615"/>
        <v>0</v>
      </c>
      <c r="EI150" s="264">
        <f t="shared" si="616"/>
        <v>0</v>
      </c>
      <c r="EJ150" s="264">
        <f t="shared" si="617"/>
        <v>0</v>
      </c>
      <c r="EK150" s="265">
        <f t="shared" si="618"/>
        <v>0</v>
      </c>
      <c r="EL150" s="264">
        <f t="shared" si="619"/>
        <v>0</v>
      </c>
      <c r="EM150" s="264">
        <f t="shared" si="620"/>
        <v>0</v>
      </c>
      <c r="EN150" s="265">
        <f t="shared" si="621"/>
        <v>0</v>
      </c>
      <c r="EO150" s="264">
        <f t="shared" si="622"/>
        <v>0</v>
      </c>
      <c r="EP150" s="264">
        <f t="shared" si="623"/>
        <v>0</v>
      </c>
      <c r="EQ150" s="265">
        <f t="shared" si="624"/>
        <v>0</v>
      </c>
      <c r="ER150" s="264">
        <f t="shared" si="625"/>
        <v>0</v>
      </c>
      <c r="ES150" s="264">
        <f t="shared" si="626"/>
        <v>0</v>
      </c>
      <c r="ET150" s="265">
        <f t="shared" si="627"/>
        <v>0</v>
      </c>
      <c r="EU150" s="264">
        <f t="shared" si="628"/>
        <v>0</v>
      </c>
      <c r="EV150" s="264">
        <f>IF(AND(BM150="Yes",OR(BN150="No",AND(BN150="Yes",Inputs!$J$8=Inputs!$J$17+75))),EU150,0)</f>
        <v>0</v>
      </c>
      <c r="EW150" s="265">
        <f t="shared" si="629"/>
        <v>0</v>
      </c>
      <c r="EX150" s="264">
        <f t="shared" si="630"/>
        <v>0</v>
      </c>
      <c r="EY150" s="264">
        <f t="shared" si="631"/>
        <v>0</v>
      </c>
      <c r="EZ150" s="265">
        <f t="shared" si="632"/>
        <v>0</v>
      </c>
      <c r="FA150" s="264">
        <f t="shared" si="633"/>
        <v>0</v>
      </c>
      <c r="FB150" s="264">
        <f t="shared" si="634"/>
        <v>0</v>
      </c>
      <c r="FC150" s="265">
        <f t="shared" si="635"/>
        <v>0</v>
      </c>
      <c r="FD150" s="264">
        <f t="shared" si="636"/>
        <v>0</v>
      </c>
      <c r="FE150" s="264">
        <f t="shared" si="637"/>
        <v>0</v>
      </c>
      <c r="FF150" s="265">
        <f t="shared" si="638"/>
        <v>0</v>
      </c>
      <c r="FG150" s="264">
        <f t="shared" si="639"/>
        <v>0</v>
      </c>
      <c r="FH150" s="264">
        <f t="shared" si="640"/>
        <v>0</v>
      </c>
      <c r="FI150" s="264">
        <f t="shared" si="641"/>
        <v>0</v>
      </c>
      <c r="FJ150" s="264">
        <f t="shared" si="642"/>
        <v>0</v>
      </c>
      <c r="FK150" s="264">
        <f t="shared" si="643"/>
        <v>0</v>
      </c>
      <c r="FL150" s="264">
        <f t="shared" si="644"/>
        <v>0</v>
      </c>
      <c r="FM150" s="264">
        <f t="shared" si="645"/>
        <v>0</v>
      </c>
      <c r="FN150" s="264">
        <f t="shared" si="646"/>
        <v>0</v>
      </c>
      <c r="FO150" s="264">
        <f t="shared" si="647"/>
        <v>0</v>
      </c>
      <c r="FP150" s="264">
        <f t="shared" si="648"/>
        <v>0</v>
      </c>
      <c r="FQ150" s="264">
        <f t="shared" si="649"/>
        <v>0</v>
      </c>
      <c r="FR150" s="265">
        <f t="shared" si="650"/>
        <v>0</v>
      </c>
      <c r="FS150" s="264">
        <f t="shared" si="651"/>
        <v>0</v>
      </c>
      <c r="FT150" s="264">
        <f t="shared" si="652"/>
        <v>0</v>
      </c>
      <c r="FU150" s="265">
        <f t="shared" si="653"/>
        <v>0</v>
      </c>
      <c r="FV150" s="264">
        <f t="shared" si="654"/>
        <v>0</v>
      </c>
      <c r="FW150" s="264">
        <f t="shared" si="655"/>
        <v>0</v>
      </c>
      <c r="FX150" s="264">
        <f t="shared" si="656"/>
        <v>0</v>
      </c>
      <c r="FY150" s="264">
        <f t="shared" si="657"/>
        <v>0</v>
      </c>
      <c r="FZ150" s="264">
        <f t="shared" si="658"/>
        <v>0</v>
      </c>
      <c r="GA150" s="265">
        <f t="shared" si="659"/>
        <v>0</v>
      </c>
      <c r="GB150" s="264">
        <f t="shared" si="660"/>
        <v>0</v>
      </c>
      <c r="GC150" s="264">
        <f t="shared" si="661"/>
        <v>0</v>
      </c>
      <c r="GD150" s="266">
        <f t="shared" si="662"/>
        <v>0</v>
      </c>
      <c r="GE150" s="138">
        <f t="shared" si="663"/>
        <v>0</v>
      </c>
      <c r="GF150" s="267">
        <f t="shared" si="664"/>
        <v>19</v>
      </c>
      <c r="GG150" s="264">
        <f t="array" ref="GG150">IF(SUM(IF(IC$9:IC149=IC150,1,0))&gt;0,0,SUMIF($IC$10:$IC$406,IC150,$FJ$10:$FJ$406))</f>
        <v>0</v>
      </c>
      <c r="GH150" s="268">
        <f t="shared" si="665"/>
        <v>0</v>
      </c>
      <c r="GI150" s="137">
        <f t="shared" si="126"/>
        <v>141</v>
      </c>
      <c r="GJ150" s="269">
        <f t="shared" si="666"/>
        <v>0</v>
      </c>
      <c r="GK150" s="269">
        <f t="shared" si="667"/>
        <v>0</v>
      </c>
      <c r="GL150" s="163">
        <f t="shared" si="668"/>
        <v>0</v>
      </c>
      <c r="GM150" s="137">
        <f t="array" ref="GM150">IF(GJ150=0,0,LARGE(IF($GG$10:$GG$406=GJ150,$GF$10:$GF$406,0),COUNTIF($GJ$10:$GJ$406,GJ150)-COUNTIF(GJ$9:GJ149,GJ150)))</f>
        <v>0</v>
      </c>
      <c r="GN150" s="270">
        <f t="shared" si="669"/>
        <v>0</v>
      </c>
      <c r="GP150" s="137">
        <f>IF(C150="","",IF(ISERROR(MATCH(C150,C$10:C149,0)),MAX(GP$10:GP149)+1,INDEX(GP$10:GP149,MATCH(C150,C$10:C149,0))))</f>
        <v>107</v>
      </c>
      <c r="GQ150" s="264">
        <f>IF(COUNTIF($A$10:A150,A150)&lt;=1,SUMIF($A$10:$A$406,A150,$FH$10:$FH$406),0)</f>
        <v>0</v>
      </c>
      <c r="GR150" s="137">
        <f t="shared" si="130"/>
        <v>141</v>
      </c>
      <c r="GS150" s="269">
        <f t="shared" si="707"/>
        <v>0</v>
      </c>
      <c r="GT150" s="269">
        <f t="shared" si="708"/>
        <v>0</v>
      </c>
      <c r="GU150" s="163">
        <f t="shared" si="709"/>
        <v>0</v>
      </c>
      <c r="GV150" s="137">
        <f t="array" ref="GV150">IF(GS150=0,0,LARGE(IF($GQ$10:$GQ$406=GS150,$GP$10:$GP$406,0),COUNTIF($GS$10:$GS$406,GS150)-COUNTIF(GS$9:GS149,GS150)))</f>
        <v>0</v>
      </c>
      <c r="GW150" s="270">
        <f t="shared" si="710"/>
        <v>0</v>
      </c>
      <c r="GY150" s="137">
        <f>IF(C150="","",IF(ISERROR(MATCH(C150,C$10:C149,0)),MAX(GP$10:GP149)+1,INDEX(GP$10:GP149,MATCH(C150,C$10:C149,0))))</f>
        <v>107</v>
      </c>
      <c r="GZ150" s="264">
        <f>IF(COUNTIF($A$10:A150,A150)&lt;=1,SUMIF($A$10:$A$406,A150,$FH$10:$FH$406),0)</f>
        <v>0</v>
      </c>
      <c r="HA150" s="137">
        <f t="shared" si="134"/>
        <v>141</v>
      </c>
      <c r="HB150" s="269">
        <f t="shared" si="670"/>
        <v>0</v>
      </c>
      <c r="HC150" s="414" t="s">
        <v>622</v>
      </c>
      <c r="HD150" s="163">
        <f t="shared" si="671"/>
        <v>0</v>
      </c>
      <c r="HE150" s="137">
        <f t="array" ref="HE150">IF(HB150=0,0,LARGE(IF($GZ$10:$GZ$406=HB150,$GY$10:$GY$406,0),COUNTIF($HB$10:$HB$406,HB150)-COUNTIF(HB$9:HB149,HB150)))</f>
        <v>0</v>
      </c>
      <c r="HF150" s="270">
        <f t="shared" si="672"/>
        <v>0</v>
      </c>
      <c r="HH150" s="268">
        <f t="shared" si="673"/>
        <v>0</v>
      </c>
      <c r="HI150" s="271">
        <v>0</v>
      </c>
      <c r="HJ150" s="264">
        <f t="shared" si="674"/>
        <v>0</v>
      </c>
      <c r="HL150" s="137" t="str">
        <f t="shared" si="675"/>
        <v/>
      </c>
      <c r="HM150" s="264">
        <f t="shared" si="676"/>
        <v>0</v>
      </c>
      <c r="HO150" s="199">
        <f t="shared" si="677"/>
        <v>0</v>
      </c>
      <c r="HP150" s="199">
        <f t="shared" si="678"/>
        <v>8000000</v>
      </c>
      <c r="HQ150" s="199" t="str">
        <f t="shared" si="679"/>
        <v/>
      </c>
      <c r="HR150" s="199" t="str">
        <f t="shared" si="680"/>
        <v/>
      </c>
      <c r="HS150" s="199" t="str">
        <f t="shared" si="693"/>
        <v/>
      </c>
      <c r="HT150" s="199">
        <f t="shared" si="681"/>
        <v>0</v>
      </c>
      <c r="HU150" s="199" t="str">
        <f t="shared" si="682"/>
        <v/>
      </c>
      <c r="HV150" s="200">
        <f t="shared" si="683"/>
        <v>0</v>
      </c>
      <c r="HW150" s="272">
        <f t="shared" si="684"/>
        <v>1</v>
      </c>
      <c r="HX150" s="200" t="str">
        <f t="shared" si="685"/>
        <v/>
      </c>
      <c r="HY150" s="200">
        <f t="shared" si="686"/>
        <v>0</v>
      </c>
      <c r="HZ150" s="200" t="str">
        <f t="shared" si="692"/>
        <v/>
      </c>
      <c r="IA150" s="200" t="str">
        <f t="shared" si="687"/>
        <v/>
      </c>
      <c r="IB150" s="200" t="str">
        <f t="shared" si="688"/>
        <v/>
      </c>
      <c r="IC150" s="273">
        <f>IF(C150="","",INDEX(Lookups!$E$2:$E$69,MATCH('Loan List'!BE150,Lookups!$F$2:$F$69,0)))</f>
        <v>19</v>
      </c>
      <c r="ID150" t="b">
        <f t="shared" si="689"/>
        <v>1</v>
      </c>
    </row>
    <row r="151" spans="1:238">
      <c r="A151" t="s">
        <v>794</v>
      </c>
      <c r="B151" s="242">
        <f t="shared" si="694"/>
        <v>142</v>
      </c>
      <c r="C151" s="242">
        <f>IF(COUNTIF($A$10:A150,A151)&gt;0,C150,C150+1)</f>
        <v>108</v>
      </c>
      <c r="D151" s="431" t="s">
        <v>794</v>
      </c>
      <c r="E151" s="428" t="s">
        <v>849</v>
      </c>
      <c r="F151" s="429"/>
      <c r="G151" s="430">
        <v>2456406</v>
      </c>
      <c r="H151" s="430">
        <v>2456406</v>
      </c>
      <c r="I151" s="244">
        <f>IF(B151="","",VLOOKUP(BF151,Inputs!$A$12:$J$15,10,FALSE))</f>
        <v>1</v>
      </c>
      <c r="J151" s="245">
        <f t="shared" si="695"/>
        <v>2456406</v>
      </c>
      <c r="K151" s="245">
        <f t="shared" si="696"/>
        <v>2456406</v>
      </c>
      <c r="L151" s="245">
        <f t="shared" si="697"/>
        <v>2456406</v>
      </c>
      <c r="M151" s="245">
        <f t="shared" si="698"/>
        <v>2456406</v>
      </c>
      <c r="N151" s="432" t="s">
        <v>246</v>
      </c>
      <c r="O151" s="432" t="s">
        <v>245</v>
      </c>
      <c r="P151" s="433">
        <f>IF(B151="","",IF(OR(O151="N/A",O151=""),0,YEARFRAC('Borrowing Base'!$J$4,'Loan List'!O151)*12))</f>
        <v>0</v>
      </c>
      <c r="Q151" s="432" t="s">
        <v>246</v>
      </c>
      <c r="R151" s="434">
        <v>1</v>
      </c>
      <c r="S151" s="435" t="str">
        <f t="shared" si="699"/>
        <v>No</v>
      </c>
      <c r="T151" s="434">
        <v>1</v>
      </c>
      <c r="U151" s="436">
        <f t="shared" si="700"/>
        <v>0.5</v>
      </c>
      <c r="V151" s="436">
        <f t="shared" si="701"/>
        <v>0.72499999999999998</v>
      </c>
      <c r="W151" s="251">
        <f t="shared" si="561"/>
        <v>2456406</v>
      </c>
      <c r="X151" s="432" t="s">
        <v>246</v>
      </c>
      <c r="Y151" s="437" t="s">
        <v>483</v>
      </c>
      <c r="Z151" s="437" t="s">
        <v>484</v>
      </c>
      <c r="AA151" s="438" t="s">
        <v>407</v>
      </c>
      <c r="AB151" s="438" t="s">
        <v>713</v>
      </c>
      <c r="AC151" s="439">
        <v>1.99</v>
      </c>
      <c r="AD151" s="439">
        <v>1.2627152915764515</v>
      </c>
      <c r="AE151" s="439">
        <v>2.0401374260315728</v>
      </c>
      <c r="AF151" s="439">
        <v>0.247</v>
      </c>
      <c r="AG151" s="440">
        <v>3.18</v>
      </c>
      <c r="AH151" s="440">
        <v>3.18</v>
      </c>
      <c r="AI151" s="440">
        <v>4.0690332169645247</v>
      </c>
      <c r="AJ151" s="440">
        <v>4.0690332169645247</v>
      </c>
      <c r="AK151" s="441">
        <v>19100000</v>
      </c>
      <c r="AL151" s="441">
        <v>14820409</v>
      </c>
      <c r="AM151" s="258">
        <v>45838</v>
      </c>
      <c r="AN151" s="442" t="str">
        <f t="shared" si="702"/>
        <v>Tier 2</v>
      </c>
      <c r="AO151" s="443">
        <v>47141</v>
      </c>
      <c r="AP151" s="444">
        <f>IF(C151="","",DAYS360(Inputs!$J$8,AO151)/360)</f>
        <v>3.4138888888888888</v>
      </c>
      <c r="AQ151" s="444">
        <f t="shared" si="703"/>
        <v>3.4138888888888888</v>
      </c>
      <c r="AR151" s="432" t="s">
        <v>246</v>
      </c>
      <c r="AS151" s="445">
        <v>0</v>
      </c>
      <c r="AT151" s="432" t="s">
        <v>64</v>
      </c>
      <c r="AU151" s="446">
        <v>0.01</v>
      </c>
      <c r="AV151" s="446">
        <v>6.5000000000000002E-2</v>
      </c>
      <c r="AW151" s="446">
        <v>4.3078999999999999E-2</v>
      </c>
      <c r="AX151" s="260">
        <f t="shared" si="704"/>
        <v>4.3078999999999999E-2</v>
      </c>
      <c r="AY151" s="446">
        <v>0</v>
      </c>
      <c r="AZ151" s="446">
        <v>0</v>
      </c>
      <c r="BA151" s="446">
        <v>0</v>
      </c>
      <c r="BB151" s="447">
        <f t="shared" si="690"/>
        <v>6.5000000000000002E-2</v>
      </c>
      <c r="BC151" s="447" t="str">
        <f t="shared" si="691"/>
        <v/>
      </c>
      <c r="BD151" s="437" t="s">
        <v>247</v>
      </c>
      <c r="BE151" s="448" t="s">
        <v>437</v>
      </c>
      <c r="BF151" s="437" t="s">
        <v>7</v>
      </c>
      <c r="BG151" s="437" t="s">
        <v>460</v>
      </c>
      <c r="BH151" s="432" t="s">
        <v>246</v>
      </c>
      <c r="BI151" s="449" t="str">
        <f t="shared" si="559"/>
        <v>No</v>
      </c>
      <c r="BJ151" s="449" t="str">
        <f t="shared" si="560"/>
        <v>No</v>
      </c>
      <c r="BK151" s="432" t="s">
        <v>246</v>
      </c>
      <c r="BL151" s="432" t="s">
        <v>246</v>
      </c>
      <c r="BM151" s="246" t="s">
        <v>64</v>
      </c>
      <c r="BN151" s="246" t="s">
        <v>64</v>
      </c>
      <c r="BO151" s="432" t="s">
        <v>246</v>
      </c>
      <c r="BP151" s="432" t="s">
        <v>246</v>
      </c>
      <c r="BQ151" s="432" t="s">
        <v>246</v>
      </c>
      <c r="BR151" s="432" t="s">
        <v>246</v>
      </c>
      <c r="BS151" s="432" t="s">
        <v>246</v>
      </c>
      <c r="BT151" s="432" t="s">
        <v>246</v>
      </c>
      <c r="BU151" s="432" t="s">
        <v>246</v>
      </c>
      <c r="BV151" s="432" t="s">
        <v>246</v>
      </c>
      <c r="BW151" s="432" t="s">
        <v>246</v>
      </c>
      <c r="BX151" s="432" t="s">
        <v>246</v>
      </c>
      <c r="BY151" s="432" t="s">
        <v>246</v>
      </c>
      <c r="BZ151" s="432" t="s">
        <v>246</v>
      </c>
      <c r="CA151" s="432" t="s">
        <v>246</v>
      </c>
      <c r="CB151" s="432" t="s">
        <v>64</v>
      </c>
      <c r="CC151" s="450">
        <f t="shared" si="705"/>
        <v>159314.14137960004</v>
      </c>
      <c r="CD151" s="450">
        <f t="shared" si="706"/>
        <v>0</v>
      </c>
      <c r="CF151" s="263">
        <f t="shared" si="562"/>
        <v>0</v>
      </c>
      <c r="CG151" s="263">
        <f t="shared" si="563"/>
        <v>0</v>
      </c>
      <c r="CH151" s="263">
        <f t="shared" si="564"/>
        <v>0</v>
      </c>
      <c r="CI151" s="263">
        <f t="shared" si="565"/>
        <v>0</v>
      </c>
      <c r="CJ151" s="263">
        <f t="shared" si="566"/>
        <v>0</v>
      </c>
      <c r="CK151" s="263">
        <f t="shared" si="567"/>
        <v>0</v>
      </c>
      <c r="CL151" s="263">
        <f t="shared" si="568"/>
        <v>0</v>
      </c>
      <c r="CM151" s="263">
        <f t="shared" si="569"/>
        <v>0</v>
      </c>
      <c r="CN151" s="263">
        <f t="shared" si="570"/>
        <v>0</v>
      </c>
      <c r="CO151" s="263">
        <f t="shared" si="571"/>
        <v>0</v>
      </c>
      <c r="CP151" s="263">
        <f t="shared" si="572"/>
        <v>0</v>
      </c>
      <c r="CQ151" s="263">
        <f t="shared" si="573"/>
        <v>0</v>
      </c>
      <c r="CR151" s="263">
        <f t="shared" si="574"/>
        <v>0</v>
      </c>
      <c r="CS151" s="263">
        <f t="shared" si="575"/>
        <v>0</v>
      </c>
      <c r="CT151" s="263">
        <f t="shared" si="576"/>
        <v>0</v>
      </c>
      <c r="CU151" s="263">
        <f t="shared" si="577"/>
        <v>0</v>
      </c>
      <c r="CV151" s="263">
        <f t="shared" si="578"/>
        <v>0</v>
      </c>
      <c r="CW151" s="263">
        <f t="shared" si="579"/>
        <v>0</v>
      </c>
      <c r="CX151" s="263">
        <f t="shared" si="580"/>
        <v>0</v>
      </c>
      <c r="CY151" s="263">
        <f t="shared" si="581"/>
        <v>0</v>
      </c>
      <c r="CZ151" s="263">
        <f t="shared" si="582"/>
        <v>0</v>
      </c>
      <c r="DA151" s="263">
        <f t="shared" si="583"/>
        <v>0</v>
      </c>
      <c r="DB151" s="263">
        <f t="shared" si="584"/>
        <v>0</v>
      </c>
      <c r="DC151" s="263">
        <f t="shared" si="585"/>
        <v>0</v>
      </c>
      <c r="DD151" s="263">
        <f t="shared" si="586"/>
        <v>0</v>
      </c>
      <c r="DE151" s="263">
        <f t="shared" si="587"/>
        <v>0</v>
      </c>
      <c r="DF151" s="263">
        <f t="shared" si="588"/>
        <v>2456406</v>
      </c>
      <c r="DG151" s="263">
        <f t="shared" si="589"/>
        <v>0</v>
      </c>
      <c r="DH151" s="263">
        <f t="shared" si="590"/>
        <v>2456406</v>
      </c>
      <c r="DI151" s="263">
        <f t="shared" si="591"/>
        <v>2456406</v>
      </c>
      <c r="DJ151" s="263">
        <f t="shared" si="592"/>
        <v>0</v>
      </c>
      <c r="DK151" s="263">
        <f t="shared" si="593"/>
        <v>0</v>
      </c>
      <c r="DL151" s="263">
        <f t="shared" si="594"/>
        <v>0</v>
      </c>
      <c r="DM151" s="263">
        <f t="shared" si="595"/>
        <v>0</v>
      </c>
      <c r="DO151" s="264">
        <f t="shared" si="596"/>
        <v>0</v>
      </c>
      <c r="DP151" s="265">
        <f t="shared" si="597"/>
        <v>0</v>
      </c>
      <c r="DQ151" s="264">
        <f t="shared" si="598"/>
        <v>2456406</v>
      </c>
      <c r="DR151" s="264">
        <f t="shared" si="599"/>
        <v>0</v>
      </c>
      <c r="DS151" s="265">
        <f t="shared" si="600"/>
        <v>0</v>
      </c>
      <c r="DT151" s="264">
        <f t="shared" si="601"/>
        <v>2456406</v>
      </c>
      <c r="DU151" s="264">
        <f t="shared" si="602"/>
        <v>0</v>
      </c>
      <c r="DV151" s="265">
        <f t="shared" si="603"/>
        <v>0</v>
      </c>
      <c r="DW151" s="264">
        <f t="shared" si="604"/>
        <v>2456406</v>
      </c>
      <c r="DX151" s="264">
        <f t="shared" si="605"/>
        <v>0</v>
      </c>
      <c r="DY151" s="265">
        <f t="shared" si="606"/>
        <v>0</v>
      </c>
      <c r="DZ151" s="264">
        <f t="shared" si="607"/>
        <v>2456406</v>
      </c>
      <c r="EA151" s="264">
        <f t="shared" si="608"/>
        <v>0</v>
      </c>
      <c r="EB151" s="265">
        <f t="shared" si="609"/>
        <v>0</v>
      </c>
      <c r="EC151" s="264">
        <f t="shared" si="610"/>
        <v>2456406</v>
      </c>
      <c r="ED151" s="264">
        <f t="shared" si="611"/>
        <v>0</v>
      </c>
      <c r="EE151" s="265">
        <f t="shared" si="612"/>
        <v>0</v>
      </c>
      <c r="EF151" s="264">
        <f t="shared" si="613"/>
        <v>2456406</v>
      </c>
      <c r="EG151" s="264">
        <f t="shared" si="614"/>
        <v>0</v>
      </c>
      <c r="EH151" s="265">
        <f t="shared" si="615"/>
        <v>0</v>
      </c>
      <c r="EI151" s="264">
        <f t="shared" si="616"/>
        <v>2456406</v>
      </c>
      <c r="EJ151" s="264">
        <f t="shared" si="617"/>
        <v>0</v>
      </c>
      <c r="EK151" s="265">
        <f t="shared" si="618"/>
        <v>0</v>
      </c>
      <c r="EL151" s="264">
        <f t="shared" si="619"/>
        <v>2456406</v>
      </c>
      <c r="EM151" s="264">
        <f t="shared" si="620"/>
        <v>0</v>
      </c>
      <c r="EN151" s="265">
        <f t="shared" si="621"/>
        <v>0</v>
      </c>
      <c r="EO151" s="264">
        <f t="shared" si="622"/>
        <v>2456406</v>
      </c>
      <c r="EP151" s="264">
        <f t="shared" si="623"/>
        <v>0</v>
      </c>
      <c r="EQ151" s="265">
        <f t="shared" si="624"/>
        <v>0</v>
      </c>
      <c r="ER151" s="264">
        <f t="shared" si="625"/>
        <v>2456406</v>
      </c>
      <c r="ES151" s="264">
        <f t="shared" si="626"/>
        <v>0</v>
      </c>
      <c r="ET151" s="265">
        <f t="shared" si="627"/>
        <v>0</v>
      </c>
      <c r="EU151" s="264">
        <f t="shared" si="628"/>
        <v>2456406</v>
      </c>
      <c r="EV151" s="264">
        <f>IF(AND(BM151="Yes",OR(BN151="No",AND(BN151="Yes",Inputs!$J$8=Inputs!$J$17+75))),EU151,0)</f>
        <v>0</v>
      </c>
      <c r="EW151" s="265">
        <f t="shared" si="629"/>
        <v>0</v>
      </c>
      <c r="EX151" s="264">
        <f t="shared" si="630"/>
        <v>2456406</v>
      </c>
      <c r="EY151" s="264">
        <f t="shared" si="631"/>
        <v>0</v>
      </c>
      <c r="EZ151" s="265">
        <f t="shared" si="632"/>
        <v>0</v>
      </c>
      <c r="FA151" s="264">
        <f t="shared" si="633"/>
        <v>2456406</v>
      </c>
      <c r="FB151" s="264">
        <f t="shared" si="634"/>
        <v>0</v>
      </c>
      <c r="FC151" s="265">
        <f t="shared" si="635"/>
        <v>0</v>
      </c>
      <c r="FD151" s="264">
        <f t="shared" si="636"/>
        <v>2456406</v>
      </c>
      <c r="FE151" s="264">
        <f t="shared" si="637"/>
        <v>0</v>
      </c>
      <c r="FF151" s="265">
        <f t="shared" si="638"/>
        <v>0</v>
      </c>
      <c r="FG151" s="264">
        <f t="shared" si="639"/>
        <v>2456406</v>
      </c>
      <c r="FH151" s="264">
        <f t="shared" si="640"/>
        <v>2456406</v>
      </c>
      <c r="FI151" s="264">
        <f t="shared" si="641"/>
        <v>0</v>
      </c>
      <c r="FJ151" s="264">
        <f t="shared" si="642"/>
        <v>2456406</v>
      </c>
      <c r="FK151" s="264">
        <f t="shared" si="643"/>
        <v>2456406</v>
      </c>
      <c r="FL151" s="264">
        <f t="shared" si="644"/>
        <v>0</v>
      </c>
      <c r="FM151" s="264">
        <f t="shared" si="645"/>
        <v>2456406</v>
      </c>
      <c r="FN151" s="264">
        <f t="shared" si="646"/>
        <v>2456406</v>
      </c>
      <c r="FO151" s="264">
        <f t="shared" si="647"/>
        <v>0</v>
      </c>
      <c r="FP151" s="264">
        <f t="shared" si="648"/>
        <v>2456406</v>
      </c>
      <c r="FQ151" s="264">
        <f t="shared" si="649"/>
        <v>0</v>
      </c>
      <c r="FR151" s="265">
        <f t="shared" si="650"/>
        <v>0</v>
      </c>
      <c r="FS151" s="264">
        <f t="shared" si="651"/>
        <v>2456406</v>
      </c>
      <c r="FT151" s="264">
        <f t="shared" si="652"/>
        <v>2456406</v>
      </c>
      <c r="FU151" s="265">
        <f t="shared" si="653"/>
        <v>0</v>
      </c>
      <c r="FV151" s="264">
        <f t="shared" si="654"/>
        <v>2456406</v>
      </c>
      <c r="FW151" s="264">
        <f t="shared" si="655"/>
        <v>0</v>
      </c>
      <c r="FX151" s="264">
        <f t="shared" si="656"/>
        <v>0</v>
      </c>
      <c r="FY151" s="264">
        <f t="shared" si="657"/>
        <v>0</v>
      </c>
      <c r="FZ151" s="264">
        <f t="shared" si="658"/>
        <v>0</v>
      </c>
      <c r="GA151" s="265">
        <f t="shared" si="659"/>
        <v>0</v>
      </c>
      <c r="GB151" s="264">
        <f t="shared" si="660"/>
        <v>2456406</v>
      </c>
      <c r="GC151" s="264">
        <f t="shared" si="661"/>
        <v>2456406</v>
      </c>
      <c r="GD151" s="266">
        <f t="shared" si="662"/>
        <v>1780894.3499999999</v>
      </c>
      <c r="GE151" s="138">
        <f t="shared" si="663"/>
        <v>0.72499999999999998</v>
      </c>
      <c r="GF151" s="267">
        <f t="shared" si="664"/>
        <v>46</v>
      </c>
      <c r="GG151" s="264">
        <f t="array" ref="GG151">IF(SUM(IF(IC$9:IC150=IC151,1,0))&gt;0,0,SUMIF($IC$10:$IC$406,IC151,$FJ$10:$FJ$406))</f>
        <v>0</v>
      </c>
      <c r="GH151" s="268">
        <f t="shared" si="665"/>
        <v>0</v>
      </c>
      <c r="GI151" s="137">
        <f t="shared" si="126"/>
        <v>142</v>
      </c>
      <c r="GJ151" s="269">
        <f t="shared" si="666"/>
        <v>0</v>
      </c>
      <c r="GK151" s="269">
        <f t="shared" si="667"/>
        <v>0</v>
      </c>
      <c r="GL151" s="163">
        <f t="shared" si="668"/>
        <v>0</v>
      </c>
      <c r="GM151" s="137">
        <f t="array" ref="GM151">IF(GJ151=0,0,LARGE(IF($GG$10:$GG$406=GJ151,$GF$10:$GF$406,0),COUNTIF($GJ$10:$GJ$406,GJ151)-COUNTIF(GJ$9:GJ150,GJ151)))</f>
        <v>0</v>
      </c>
      <c r="GN151" s="270">
        <f t="shared" si="669"/>
        <v>0</v>
      </c>
      <c r="GP151" s="137">
        <f>IF(C151="","",IF(ISERROR(MATCH(C151,C$10:C150,0)),MAX(GP$10:GP150)+1,INDEX(GP$10:GP150,MATCH(C151,C$10:C150,0))))</f>
        <v>108</v>
      </c>
      <c r="GQ151" s="264">
        <f>IF(COUNTIF($A$10:A151,A151)&lt;=1,SUMIF($A$10:$A$406,A151,$FH$10:$FH$406),0)</f>
        <v>2456406</v>
      </c>
      <c r="GR151" s="137">
        <f t="shared" si="130"/>
        <v>142</v>
      </c>
      <c r="GS151" s="269">
        <f t="shared" si="707"/>
        <v>0</v>
      </c>
      <c r="GT151" s="269">
        <f t="shared" si="708"/>
        <v>0</v>
      </c>
      <c r="GU151" s="163">
        <f t="shared" si="709"/>
        <v>0</v>
      </c>
      <c r="GV151" s="137">
        <f t="array" ref="GV151">IF(GS151=0,0,LARGE(IF($GQ$10:$GQ$406=GS151,$GP$10:$GP$406,0),COUNTIF($GS$10:$GS$406,GS151)-COUNTIF(GS$9:GS150,GS151)))</f>
        <v>0</v>
      </c>
      <c r="GW151" s="270">
        <f t="shared" si="710"/>
        <v>0</v>
      </c>
      <c r="GY151" s="137">
        <f>IF(C151="","",IF(ISERROR(MATCH(C151,C$10:C150,0)),MAX(GP$10:GP150)+1,INDEX(GP$10:GP150,MATCH(C151,C$10:C150,0))))</f>
        <v>108</v>
      </c>
      <c r="GZ151" s="264">
        <f>IF(COUNTIF($A$10:A151,A151)&lt;=1,SUMIF($A$10:$A$406,A151,$FH$10:$FH$406),0)</f>
        <v>2456406</v>
      </c>
      <c r="HA151" s="137">
        <f t="shared" si="134"/>
        <v>142</v>
      </c>
      <c r="HB151" s="269">
        <f t="shared" si="670"/>
        <v>0</v>
      </c>
      <c r="HC151" s="414" t="s">
        <v>622</v>
      </c>
      <c r="HD151" s="163">
        <f t="shared" si="671"/>
        <v>0</v>
      </c>
      <c r="HE151" s="137">
        <f t="array" ref="HE151">IF(HB151=0,0,LARGE(IF($GZ$10:$GZ$406=HB151,$GY$10:$GY$406,0),COUNTIF($HB$10:$HB$406,HB151)-COUNTIF(HB$9:HB150,HB151)))</f>
        <v>0</v>
      </c>
      <c r="HF151" s="270">
        <f t="shared" si="672"/>
        <v>0</v>
      </c>
      <c r="HH151" s="268">
        <f t="shared" si="673"/>
        <v>0</v>
      </c>
      <c r="HI151" s="271">
        <v>0</v>
      </c>
      <c r="HJ151" s="264">
        <f t="shared" si="674"/>
        <v>0</v>
      </c>
      <c r="HL151" s="137" t="str">
        <f t="shared" si="675"/>
        <v/>
      </c>
      <c r="HM151" s="264">
        <f t="shared" si="676"/>
        <v>0</v>
      </c>
      <c r="HO151" s="199">
        <f t="shared" si="677"/>
        <v>2456406</v>
      </c>
      <c r="HP151" s="199">
        <f t="shared" si="678"/>
        <v>2456406</v>
      </c>
      <c r="HQ151" s="199" t="str">
        <f t="shared" si="679"/>
        <v/>
      </c>
      <c r="HR151" s="199" t="str">
        <f t="shared" si="680"/>
        <v/>
      </c>
      <c r="HS151" s="199" t="str">
        <f t="shared" si="693"/>
        <v/>
      </c>
      <c r="HT151" s="199" t="str">
        <f t="shared" si="681"/>
        <v/>
      </c>
      <c r="HU151" s="199" t="str">
        <f t="shared" si="682"/>
        <v/>
      </c>
      <c r="HV151" s="200">
        <f t="shared" si="683"/>
        <v>0</v>
      </c>
      <c r="HW151" s="272">
        <f t="shared" si="684"/>
        <v>1</v>
      </c>
      <c r="HX151" s="200" t="str">
        <f t="shared" si="685"/>
        <v/>
      </c>
      <c r="HY151" s="200">
        <f t="shared" si="686"/>
        <v>0</v>
      </c>
      <c r="HZ151" s="200" t="str">
        <f t="shared" si="692"/>
        <v/>
      </c>
      <c r="IA151" s="200" t="str">
        <f t="shared" si="687"/>
        <v/>
      </c>
      <c r="IB151" s="200" t="str">
        <f t="shared" si="688"/>
        <v/>
      </c>
      <c r="IC151" s="273">
        <f>IF(C151="","",INDEX(Lookups!$E$2:$E$69,MATCH('Loan List'!BE151,Lookups!$F$2:$F$69,0)))</f>
        <v>46</v>
      </c>
      <c r="ID151" t="b">
        <f t="shared" si="689"/>
        <v>1</v>
      </c>
    </row>
    <row r="152" spans="1:238">
      <c r="A152" t="s">
        <v>795</v>
      </c>
      <c r="B152" s="242">
        <f t="shared" si="694"/>
        <v>143</v>
      </c>
      <c r="C152" s="242">
        <f>IF(COUNTIF($A$10:A151,A152)&gt;0,C151,C151+1)</f>
        <v>109</v>
      </c>
      <c r="D152" s="431" t="s">
        <v>795</v>
      </c>
      <c r="E152" s="428" t="s">
        <v>850</v>
      </c>
      <c r="F152" s="429"/>
      <c r="G152" s="430">
        <v>5580611</v>
      </c>
      <c r="H152" s="430">
        <v>5580611</v>
      </c>
      <c r="I152" s="244">
        <f>IF(B152="","",VLOOKUP(BF152,Inputs!$A$12:$J$15,10,FALSE))</f>
        <v>1</v>
      </c>
      <c r="J152" s="245">
        <f t="shared" si="695"/>
        <v>5580611</v>
      </c>
      <c r="K152" s="245">
        <f t="shared" si="696"/>
        <v>5580611</v>
      </c>
      <c r="L152" s="245">
        <f t="shared" si="697"/>
        <v>5580611</v>
      </c>
      <c r="M152" s="245">
        <f t="shared" si="698"/>
        <v>5580611</v>
      </c>
      <c r="N152" s="432" t="s">
        <v>246</v>
      </c>
      <c r="O152" s="432" t="s">
        <v>245</v>
      </c>
      <c r="P152" s="433">
        <f>IF(B152="","",IF(OR(O152="N/A",O152=""),0,YEARFRAC('Borrowing Base'!$J$4,'Loan List'!O152)*12))</f>
        <v>0</v>
      </c>
      <c r="Q152" s="432" t="s">
        <v>246</v>
      </c>
      <c r="R152" s="434">
        <v>1</v>
      </c>
      <c r="S152" s="435" t="str">
        <f t="shared" si="699"/>
        <v>No</v>
      </c>
      <c r="T152" s="434">
        <v>1</v>
      </c>
      <c r="U152" s="436">
        <f t="shared" si="700"/>
        <v>0.5</v>
      </c>
      <c r="V152" s="436">
        <f t="shared" si="701"/>
        <v>0.72499999999999998</v>
      </c>
      <c r="W152" s="251">
        <f t="shared" si="561"/>
        <v>5580611</v>
      </c>
      <c r="X152" s="432" t="s">
        <v>246</v>
      </c>
      <c r="Y152" s="437" t="s">
        <v>483</v>
      </c>
      <c r="Z152" s="437" t="s">
        <v>484</v>
      </c>
      <c r="AA152" s="438" t="s">
        <v>407</v>
      </c>
      <c r="AB152" s="438" t="s">
        <v>713</v>
      </c>
      <c r="AC152" s="439">
        <v>3.7428293861242303</v>
      </c>
      <c r="AD152" s="439">
        <v>3.700835865404386</v>
      </c>
      <c r="AE152" s="439">
        <v>4.3168227038593763</v>
      </c>
      <c r="AF152" s="439">
        <v>0.26829268292682928</v>
      </c>
      <c r="AG152" s="440">
        <v>2.5700934579439254</v>
      </c>
      <c r="AH152" s="440">
        <v>2.5700934579439254</v>
      </c>
      <c r="AI152" s="440">
        <v>1.7116927313030013</v>
      </c>
      <c r="AJ152" s="440">
        <v>1.7116927313030013</v>
      </c>
      <c r="AK152" s="441">
        <v>10706973.4882819</v>
      </c>
      <c r="AL152" s="441">
        <v>26508011</v>
      </c>
      <c r="AM152" s="258">
        <v>45838</v>
      </c>
      <c r="AN152" s="442" t="str">
        <f t="shared" si="702"/>
        <v>Tier 2</v>
      </c>
      <c r="AO152" s="443">
        <v>46231</v>
      </c>
      <c r="AP152" s="444">
        <f>IF(C152="","",DAYS360(Inputs!$J$8,AO152)/360)</f>
        <v>0.92777777777777781</v>
      </c>
      <c r="AQ152" s="444">
        <f t="shared" si="703"/>
        <v>0.92777777777777781</v>
      </c>
      <c r="AR152" s="432" t="s">
        <v>246</v>
      </c>
      <c r="AS152" s="445">
        <v>0</v>
      </c>
      <c r="AT152" s="432" t="s">
        <v>64</v>
      </c>
      <c r="AU152" s="446">
        <v>0.01</v>
      </c>
      <c r="AV152" s="446">
        <v>6.5000000000000002E-2</v>
      </c>
      <c r="AW152" s="446">
        <v>4.3078999999999999E-2</v>
      </c>
      <c r="AX152" s="260">
        <f t="shared" si="704"/>
        <v>4.3078999999999999E-2</v>
      </c>
      <c r="AY152" s="446">
        <v>0</v>
      </c>
      <c r="AZ152" s="446">
        <v>0</v>
      </c>
      <c r="BA152" s="446">
        <v>0</v>
      </c>
      <c r="BB152" s="447">
        <f t="shared" si="690"/>
        <v>6.5000000000000002E-2</v>
      </c>
      <c r="BC152" s="447" t="str">
        <f t="shared" si="691"/>
        <v/>
      </c>
      <c r="BD152" s="437" t="s">
        <v>247</v>
      </c>
      <c r="BE152" s="448" t="s">
        <v>375</v>
      </c>
      <c r="BF152" s="437" t="s">
        <v>7</v>
      </c>
      <c r="BG152" s="437" t="s">
        <v>460</v>
      </c>
      <c r="BH152" s="432" t="s">
        <v>246</v>
      </c>
      <c r="BI152" s="449" t="str">
        <f t="shared" si="559"/>
        <v>No</v>
      </c>
      <c r="BJ152" s="449" t="str">
        <f t="shared" si="560"/>
        <v>No</v>
      </c>
      <c r="BK152" s="432" t="s">
        <v>246</v>
      </c>
      <c r="BL152" s="432" t="s">
        <v>246</v>
      </c>
      <c r="BM152" s="246" t="s">
        <v>64</v>
      </c>
      <c r="BN152" s="246" t="s">
        <v>64</v>
      </c>
      <c r="BO152" s="432" t="s">
        <v>246</v>
      </c>
      <c r="BP152" s="432" t="s">
        <v>246</v>
      </c>
      <c r="BQ152" s="432" t="s">
        <v>246</v>
      </c>
      <c r="BR152" s="432" t="s">
        <v>246</v>
      </c>
      <c r="BS152" s="432" t="s">
        <v>246</v>
      </c>
      <c r="BT152" s="432" t="s">
        <v>246</v>
      </c>
      <c r="BU152" s="432" t="s">
        <v>246</v>
      </c>
      <c r="BV152" s="432" t="s">
        <v>246</v>
      </c>
      <c r="BW152" s="432" t="s">
        <v>246</v>
      </c>
      <c r="BX152" s="432" t="s">
        <v>246</v>
      </c>
      <c r="BY152" s="432" t="s">
        <v>246</v>
      </c>
      <c r="BZ152" s="432" t="s">
        <v>246</v>
      </c>
      <c r="CA152" s="432" t="s">
        <v>246</v>
      </c>
      <c r="CB152" s="432" t="s">
        <v>64</v>
      </c>
      <c r="CC152" s="450">
        <f t="shared" si="705"/>
        <v>361939.45538260008</v>
      </c>
      <c r="CD152" s="450">
        <f t="shared" si="706"/>
        <v>0</v>
      </c>
      <c r="CF152" s="263">
        <f t="shared" si="562"/>
        <v>0</v>
      </c>
      <c r="CG152" s="263">
        <f t="shared" si="563"/>
        <v>0</v>
      </c>
      <c r="CH152" s="263">
        <f t="shared" si="564"/>
        <v>0</v>
      </c>
      <c r="CI152" s="263">
        <f t="shared" si="565"/>
        <v>0</v>
      </c>
      <c r="CJ152" s="263">
        <f t="shared" si="566"/>
        <v>0</v>
      </c>
      <c r="CK152" s="263">
        <f t="shared" si="567"/>
        <v>0</v>
      </c>
      <c r="CL152" s="263">
        <f t="shared" si="568"/>
        <v>0</v>
      </c>
      <c r="CM152" s="263">
        <f t="shared" si="569"/>
        <v>0</v>
      </c>
      <c r="CN152" s="263">
        <f t="shared" si="570"/>
        <v>0</v>
      </c>
      <c r="CO152" s="263">
        <f t="shared" si="571"/>
        <v>0</v>
      </c>
      <c r="CP152" s="263">
        <f t="shared" si="572"/>
        <v>0</v>
      </c>
      <c r="CQ152" s="263">
        <f t="shared" si="573"/>
        <v>0</v>
      </c>
      <c r="CR152" s="263">
        <f t="shared" si="574"/>
        <v>0</v>
      </c>
      <c r="CS152" s="263">
        <f t="shared" si="575"/>
        <v>0</v>
      </c>
      <c r="CT152" s="263">
        <f t="shared" si="576"/>
        <v>0</v>
      </c>
      <c r="CU152" s="263">
        <f t="shared" si="577"/>
        <v>0</v>
      </c>
      <c r="CV152" s="263">
        <f t="shared" si="578"/>
        <v>0</v>
      </c>
      <c r="CW152" s="263">
        <f t="shared" si="579"/>
        <v>0</v>
      </c>
      <c r="CX152" s="263">
        <f t="shared" si="580"/>
        <v>0</v>
      </c>
      <c r="CY152" s="263">
        <f t="shared" si="581"/>
        <v>0</v>
      </c>
      <c r="CZ152" s="263">
        <f t="shared" si="582"/>
        <v>0</v>
      </c>
      <c r="DA152" s="263">
        <f t="shared" si="583"/>
        <v>0</v>
      </c>
      <c r="DB152" s="263">
        <f t="shared" si="584"/>
        <v>0</v>
      </c>
      <c r="DC152" s="263">
        <f t="shared" si="585"/>
        <v>0</v>
      </c>
      <c r="DD152" s="263">
        <f t="shared" si="586"/>
        <v>0</v>
      </c>
      <c r="DE152" s="263">
        <f t="shared" si="587"/>
        <v>0</v>
      </c>
      <c r="DF152" s="263">
        <f t="shared" si="588"/>
        <v>5580611</v>
      </c>
      <c r="DG152" s="263">
        <f t="shared" si="589"/>
        <v>0</v>
      </c>
      <c r="DH152" s="263">
        <f t="shared" si="590"/>
        <v>5580611</v>
      </c>
      <c r="DI152" s="263">
        <f t="shared" si="591"/>
        <v>5580611</v>
      </c>
      <c r="DJ152" s="263">
        <f t="shared" si="592"/>
        <v>0</v>
      </c>
      <c r="DK152" s="263">
        <f t="shared" si="593"/>
        <v>0</v>
      </c>
      <c r="DL152" s="263">
        <f t="shared" si="594"/>
        <v>0</v>
      </c>
      <c r="DM152" s="263">
        <f t="shared" si="595"/>
        <v>0</v>
      </c>
      <c r="DO152" s="264">
        <f t="shared" si="596"/>
        <v>0</v>
      </c>
      <c r="DP152" s="265">
        <f t="shared" si="597"/>
        <v>0</v>
      </c>
      <c r="DQ152" s="264">
        <f t="shared" si="598"/>
        <v>5580611</v>
      </c>
      <c r="DR152" s="264">
        <f t="shared" si="599"/>
        <v>0</v>
      </c>
      <c r="DS152" s="265">
        <f t="shared" si="600"/>
        <v>0</v>
      </c>
      <c r="DT152" s="264">
        <f t="shared" si="601"/>
        <v>5580611</v>
      </c>
      <c r="DU152" s="264">
        <f t="shared" si="602"/>
        <v>0</v>
      </c>
      <c r="DV152" s="265">
        <f t="shared" si="603"/>
        <v>0</v>
      </c>
      <c r="DW152" s="264">
        <f t="shared" si="604"/>
        <v>5580611</v>
      </c>
      <c r="DX152" s="264">
        <f t="shared" si="605"/>
        <v>0</v>
      </c>
      <c r="DY152" s="265">
        <f t="shared" si="606"/>
        <v>0</v>
      </c>
      <c r="DZ152" s="264">
        <f t="shared" si="607"/>
        <v>5580611</v>
      </c>
      <c r="EA152" s="264">
        <f t="shared" si="608"/>
        <v>0</v>
      </c>
      <c r="EB152" s="265">
        <f t="shared" si="609"/>
        <v>0</v>
      </c>
      <c r="EC152" s="264">
        <f t="shared" si="610"/>
        <v>5580611</v>
      </c>
      <c r="ED152" s="264">
        <f t="shared" si="611"/>
        <v>0</v>
      </c>
      <c r="EE152" s="265">
        <f t="shared" si="612"/>
        <v>0</v>
      </c>
      <c r="EF152" s="264">
        <f t="shared" si="613"/>
        <v>5580611</v>
      </c>
      <c r="EG152" s="264">
        <f t="shared" si="614"/>
        <v>0</v>
      </c>
      <c r="EH152" s="265">
        <f t="shared" si="615"/>
        <v>0</v>
      </c>
      <c r="EI152" s="264">
        <f t="shared" si="616"/>
        <v>5580611</v>
      </c>
      <c r="EJ152" s="264">
        <f t="shared" si="617"/>
        <v>0</v>
      </c>
      <c r="EK152" s="265">
        <f t="shared" si="618"/>
        <v>0</v>
      </c>
      <c r="EL152" s="264">
        <f t="shared" si="619"/>
        <v>5580611</v>
      </c>
      <c r="EM152" s="264">
        <f t="shared" si="620"/>
        <v>0</v>
      </c>
      <c r="EN152" s="265">
        <f t="shared" si="621"/>
        <v>0</v>
      </c>
      <c r="EO152" s="264">
        <f t="shared" si="622"/>
        <v>5580611</v>
      </c>
      <c r="EP152" s="264">
        <f t="shared" si="623"/>
        <v>0</v>
      </c>
      <c r="EQ152" s="265">
        <f t="shared" si="624"/>
        <v>0</v>
      </c>
      <c r="ER152" s="264">
        <f t="shared" si="625"/>
        <v>5580611</v>
      </c>
      <c r="ES152" s="264">
        <f t="shared" si="626"/>
        <v>0</v>
      </c>
      <c r="ET152" s="265">
        <f t="shared" si="627"/>
        <v>0</v>
      </c>
      <c r="EU152" s="264">
        <f t="shared" si="628"/>
        <v>5580611</v>
      </c>
      <c r="EV152" s="264">
        <f>IF(AND(BM152="Yes",OR(BN152="No",AND(BN152="Yes",Inputs!$J$8=Inputs!$J$17+75))),EU152,0)</f>
        <v>0</v>
      </c>
      <c r="EW152" s="265">
        <f t="shared" si="629"/>
        <v>0</v>
      </c>
      <c r="EX152" s="264">
        <f t="shared" si="630"/>
        <v>5580611</v>
      </c>
      <c r="EY152" s="264">
        <f t="shared" si="631"/>
        <v>0</v>
      </c>
      <c r="EZ152" s="265">
        <f t="shared" si="632"/>
        <v>0</v>
      </c>
      <c r="FA152" s="264">
        <f t="shared" si="633"/>
        <v>5580611</v>
      </c>
      <c r="FB152" s="264">
        <f t="shared" si="634"/>
        <v>0</v>
      </c>
      <c r="FC152" s="265">
        <f t="shared" si="635"/>
        <v>0</v>
      </c>
      <c r="FD152" s="264">
        <f t="shared" si="636"/>
        <v>5580611</v>
      </c>
      <c r="FE152" s="264">
        <f t="shared" si="637"/>
        <v>0</v>
      </c>
      <c r="FF152" s="265">
        <f t="shared" si="638"/>
        <v>0</v>
      </c>
      <c r="FG152" s="264">
        <f t="shared" si="639"/>
        <v>5580611</v>
      </c>
      <c r="FH152" s="264">
        <f t="shared" si="640"/>
        <v>5580611</v>
      </c>
      <c r="FI152" s="264">
        <f t="shared" si="641"/>
        <v>0</v>
      </c>
      <c r="FJ152" s="264">
        <f t="shared" si="642"/>
        <v>5580611</v>
      </c>
      <c r="FK152" s="264">
        <f t="shared" si="643"/>
        <v>5580611</v>
      </c>
      <c r="FL152" s="264">
        <f t="shared" si="644"/>
        <v>0</v>
      </c>
      <c r="FM152" s="264">
        <f t="shared" si="645"/>
        <v>5580611</v>
      </c>
      <c r="FN152" s="264">
        <f t="shared" si="646"/>
        <v>5580611</v>
      </c>
      <c r="FO152" s="264">
        <f t="shared" si="647"/>
        <v>0</v>
      </c>
      <c r="FP152" s="264">
        <f t="shared" si="648"/>
        <v>5580611</v>
      </c>
      <c r="FQ152" s="264">
        <f t="shared" si="649"/>
        <v>0</v>
      </c>
      <c r="FR152" s="265">
        <f t="shared" si="650"/>
        <v>0</v>
      </c>
      <c r="FS152" s="264">
        <f t="shared" si="651"/>
        <v>5580611</v>
      </c>
      <c r="FT152" s="264">
        <f t="shared" si="652"/>
        <v>0</v>
      </c>
      <c r="FU152" s="265">
        <f t="shared" si="653"/>
        <v>0</v>
      </c>
      <c r="FV152" s="264">
        <f t="shared" si="654"/>
        <v>5580611</v>
      </c>
      <c r="FW152" s="264">
        <f t="shared" si="655"/>
        <v>0</v>
      </c>
      <c r="FX152" s="264">
        <f t="shared" si="656"/>
        <v>0</v>
      </c>
      <c r="FY152" s="264">
        <f t="shared" si="657"/>
        <v>0</v>
      </c>
      <c r="FZ152" s="264">
        <f t="shared" si="658"/>
        <v>0</v>
      </c>
      <c r="GA152" s="265">
        <f t="shared" si="659"/>
        <v>0</v>
      </c>
      <c r="GB152" s="264">
        <f t="shared" si="660"/>
        <v>5580611</v>
      </c>
      <c r="GC152" s="264">
        <f t="shared" si="661"/>
        <v>5580611</v>
      </c>
      <c r="GD152" s="266">
        <f t="shared" si="662"/>
        <v>4045942.9750000001</v>
      </c>
      <c r="GE152" s="138">
        <f t="shared" si="663"/>
        <v>0.72499999999999998</v>
      </c>
      <c r="GF152" s="267">
        <f t="shared" si="664"/>
        <v>18</v>
      </c>
      <c r="GG152" s="264">
        <f t="array" ref="GG152">IF(SUM(IF(IC$9:IC151=IC152,1,0))&gt;0,0,SUMIF($IC$10:$IC$406,IC152,$FJ$10:$FJ$406))</f>
        <v>0</v>
      </c>
      <c r="GH152" s="268">
        <f t="shared" si="665"/>
        <v>0</v>
      </c>
      <c r="GI152" s="137">
        <f t="shared" si="126"/>
        <v>143</v>
      </c>
      <c r="GJ152" s="269">
        <f t="shared" si="666"/>
        <v>0</v>
      </c>
      <c r="GK152" s="269">
        <f t="shared" si="667"/>
        <v>0</v>
      </c>
      <c r="GL152" s="163">
        <f t="shared" si="668"/>
        <v>0</v>
      </c>
      <c r="GM152" s="137">
        <f t="array" ref="GM152">IF(GJ152=0,0,LARGE(IF($GG$10:$GG$406=GJ152,$GF$10:$GF$406,0),COUNTIF($GJ$10:$GJ$406,GJ152)-COUNTIF(GJ$9:GJ151,GJ152)))</f>
        <v>0</v>
      </c>
      <c r="GN152" s="270">
        <f t="shared" si="669"/>
        <v>0</v>
      </c>
      <c r="GP152" s="137">
        <f>IF(C152="","",IF(ISERROR(MATCH(C152,C$10:C151,0)),MAX(GP$10:GP151)+1,INDEX(GP$10:GP151,MATCH(C152,C$10:C151,0))))</f>
        <v>109</v>
      </c>
      <c r="GQ152" s="264">
        <f>IF(COUNTIF($A$10:A152,A152)&lt;=1,SUMIF($A$10:$A$406,A152,$FH$10:$FH$406),0)</f>
        <v>5580611</v>
      </c>
      <c r="GR152" s="137">
        <f t="shared" si="130"/>
        <v>143</v>
      </c>
      <c r="GS152" s="269">
        <f t="shared" si="707"/>
        <v>0</v>
      </c>
      <c r="GT152" s="269">
        <f t="shared" si="708"/>
        <v>0</v>
      </c>
      <c r="GU152" s="163">
        <f t="shared" si="709"/>
        <v>0</v>
      </c>
      <c r="GV152" s="137">
        <f t="array" ref="GV152">IF(GS152=0,0,LARGE(IF($GQ$10:$GQ$406=GS152,$GP$10:$GP$406,0),COUNTIF($GS$10:$GS$406,GS152)-COUNTIF(GS$9:GS151,GS152)))</f>
        <v>0</v>
      </c>
      <c r="GW152" s="270">
        <f t="shared" si="710"/>
        <v>0</v>
      </c>
      <c r="GY152" s="137">
        <f>IF(C152="","",IF(ISERROR(MATCH(C152,C$10:C151,0)),MAX(GP$10:GP151)+1,INDEX(GP$10:GP151,MATCH(C152,C$10:C151,0))))</f>
        <v>109</v>
      </c>
      <c r="GZ152" s="264">
        <f>IF(COUNTIF($A$10:A152,A152)&lt;=1,SUMIF($A$10:$A$406,A152,$FH$10:$FH$406),0)</f>
        <v>5580611</v>
      </c>
      <c r="HA152" s="137">
        <f t="shared" si="134"/>
        <v>143</v>
      </c>
      <c r="HB152" s="269">
        <f t="shared" si="670"/>
        <v>0</v>
      </c>
      <c r="HC152" s="414" t="s">
        <v>622</v>
      </c>
      <c r="HD152" s="163">
        <f t="shared" si="671"/>
        <v>0</v>
      </c>
      <c r="HE152" s="137">
        <f t="array" ref="HE152">IF(HB152=0,0,LARGE(IF($GZ$10:$GZ$406=HB152,$GY$10:$GY$406,0),COUNTIF($HB$10:$HB$406,HB152)-COUNTIF(HB$9:HB151,HB152)))</f>
        <v>0</v>
      </c>
      <c r="HF152" s="270">
        <f t="shared" si="672"/>
        <v>0</v>
      </c>
      <c r="HH152" s="268">
        <f t="shared" si="673"/>
        <v>0</v>
      </c>
      <c r="HI152" s="271">
        <v>0</v>
      </c>
      <c r="HJ152" s="264">
        <f t="shared" si="674"/>
        <v>0</v>
      </c>
      <c r="HL152" s="137" t="str">
        <f t="shared" si="675"/>
        <v/>
      </c>
      <c r="HM152" s="264">
        <f t="shared" si="676"/>
        <v>0</v>
      </c>
      <c r="HO152" s="199">
        <f t="shared" si="677"/>
        <v>5580611</v>
      </c>
      <c r="HP152" s="199">
        <f t="shared" si="678"/>
        <v>5580611</v>
      </c>
      <c r="HQ152" s="199" t="str">
        <f t="shared" si="679"/>
        <v/>
      </c>
      <c r="HR152" s="199" t="str">
        <f t="shared" si="680"/>
        <v/>
      </c>
      <c r="HS152" s="199" t="str">
        <f t="shared" si="693"/>
        <v/>
      </c>
      <c r="HT152" s="199" t="str">
        <f t="shared" si="681"/>
        <v/>
      </c>
      <c r="HU152" s="199" t="str">
        <f t="shared" si="682"/>
        <v/>
      </c>
      <c r="HV152" s="200">
        <f t="shared" si="683"/>
        <v>0</v>
      </c>
      <c r="HW152" s="272">
        <f t="shared" si="684"/>
        <v>1</v>
      </c>
      <c r="HX152" s="200" t="str">
        <f t="shared" si="685"/>
        <v/>
      </c>
      <c r="HY152" s="200">
        <f t="shared" si="686"/>
        <v>0</v>
      </c>
      <c r="HZ152" s="200" t="str">
        <f t="shared" si="692"/>
        <v/>
      </c>
      <c r="IA152" s="200" t="str">
        <f t="shared" si="687"/>
        <v/>
      </c>
      <c r="IB152" s="200" t="str">
        <f t="shared" si="688"/>
        <v/>
      </c>
      <c r="IC152" s="273">
        <f>IF(C152="","",INDEX(Lookups!$E$2:$E$69,MATCH('Loan List'!BE152,Lookups!$F$2:$F$69,0)))</f>
        <v>18</v>
      </c>
      <c r="ID152" t="b">
        <f t="shared" si="689"/>
        <v>1</v>
      </c>
    </row>
    <row r="153" spans="1:238">
      <c r="A153" t="s">
        <v>796</v>
      </c>
      <c r="B153" s="242">
        <f t="shared" si="694"/>
        <v>144</v>
      </c>
      <c r="C153" s="242">
        <f>IF(COUNTIF($A$10:A152,A153)&gt;0,C152,C152+1)</f>
        <v>110</v>
      </c>
      <c r="D153" s="431" t="s">
        <v>796</v>
      </c>
      <c r="E153" s="428" t="s">
        <v>851</v>
      </c>
      <c r="F153" s="429"/>
      <c r="G153" s="430">
        <v>492500</v>
      </c>
      <c r="H153" s="430">
        <v>492500</v>
      </c>
      <c r="I153" s="244">
        <f>IF(B153="","",VLOOKUP(BF153,Inputs!$A$12:$J$15,10,FALSE))</f>
        <v>1</v>
      </c>
      <c r="J153" s="245">
        <f t="shared" si="695"/>
        <v>492500</v>
      </c>
      <c r="K153" s="245">
        <f t="shared" si="696"/>
        <v>492500</v>
      </c>
      <c r="L153" s="245">
        <f t="shared" si="697"/>
        <v>492500</v>
      </c>
      <c r="M153" s="245">
        <f t="shared" si="698"/>
        <v>492500</v>
      </c>
      <c r="N153" s="432" t="s">
        <v>246</v>
      </c>
      <c r="O153" s="432" t="s">
        <v>245</v>
      </c>
      <c r="P153" s="433">
        <f>IF(B153="","",IF(OR(O153="N/A",O153=""),0,YEARFRAC('Borrowing Base'!$J$4,'Loan List'!O153)*12))</f>
        <v>0</v>
      </c>
      <c r="Q153" s="432" t="s">
        <v>246</v>
      </c>
      <c r="R153" s="434">
        <v>0.999</v>
      </c>
      <c r="S153" s="435" t="str">
        <f t="shared" si="699"/>
        <v>No</v>
      </c>
      <c r="T153" s="434">
        <v>0.99900000000000011</v>
      </c>
      <c r="U153" s="436">
        <f t="shared" si="700"/>
        <v>0.5</v>
      </c>
      <c r="V153" s="436">
        <f t="shared" si="701"/>
        <v>0.72499999999999998</v>
      </c>
      <c r="W153" s="251">
        <f t="shared" si="561"/>
        <v>0</v>
      </c>
      <c r="X153" s="432" t="s">
        <v>246</v>
      </c>
      <c r="Y153" s="437" t="s">
        <v>483</v>
      </c>
      <c r="Z153" s="437" t="s">
        <v>484</v>
      </c>
      <c r="AA153" s="438" t="s">
        <v>407</v>
      </c>
      <c r="AB153" s="438" t="s">
        <v>713</v>
      </c>
      <c r="AC153" s="439">
        <v>1.310004412336836</v>
      </c>
      <c r="AD153" s="439">
        <v>1.0855897544847795</v>
      </c>
      <c r="AE153" s="439">
        <v>1.3795064043511107</v>
      </c>
      <c r="AF153" s="439">
        <v>0.60117464539007082</v>
      </c>
      <c r="AG153" s="440">
        <v>4.0041898376496201</v>
      </c>
      <c r="AH153" s="440">
        <v>5.499425283354225</v>
      </c>
      <c r="AI153" s="440">
        <v>4.8932841824758437</v>
      </c>
      <c r="AJ153" s="440">
        <v>5.8957154490070938</v>
      </c>
      <c r="AK153" s="441">
        <v>19729334.323062822</v>
      </c>
      <c r="AL153" s="441">
        <v>32622094.829461139</v>
      </c>
      <c r="AM153" s="258">
        <v>45838</v>
      </c>
      <c r="AN153" s="442" t="str">
        <f t="shared" si="702"/>
        <v>Tier 2</v>
      </c>
      <c r="AO153" s="443">
        <v>46076</v>
      </c>
      <c r="AP153" s="444">
        <f>IF(C153="","",DAYS360(Inputs!$J$8,AO153)/360)</f>
        <v>0.49722222222222223</v>
      </c>
      <c r="AQ153" s="444">
        <f t="shared" si="703"/>
        <v>0.49722222222222223</v>
      </c>
      <c r="AR153" s="432" t="s">
        <v>246</v>
      </c>
      <c r="AS153" s="445">
        <v>0</v>
      </c>
      <c r="AT153" s="432" t="s">
        <v>64</v>
      </c>
      <c r="AU153" s="446">
        <v>0.01</v>
      </c>
      <c r="AV153" s="446">
        <v>5.5E-2</v>
      </c>
      <c r="AW153" s="446">
        <v>4.3078999999999999E-2</v>
      </c>
      <c r="AX153" s="260">
        <f t="shared" si="704"/>
        <v>4.3078999999999999E-2</v>
      </c>
      <c r="AY153" s="446">
        <v>0</v>
      </c>
      <c r="AZ153" s="446">
        <v>0</v>
      </c>
      <c r="BA153" s="446">
        <v>0</v>
      </c>
      <c r="BB153" s="447">
        <f t="shared" si="690"/>
        <v>5.5E-2</v>
      </c>
      <c r="BC153" s="447" t="str">
        <f t="shared" si="691"/>
        <v/>
      </c>
      <c r="BD153" s="437" t="s">
        <v>247</v>
      </c>
      <c r="BE153" s="448" t="s">
        <v>415</v>
      </c>
      <c r="BF153" s="437" t="s">
        <v>7</v>
      </c>
      <c r="BG153" s="437" t="s">
        <v>426</v>
      </c>
      <c r="BH153" s="432" t="s">
        <v>246</v>
      </c>
      <c r="BI153" s="449" t="str">
        <f t="shared" si="559"/>
        <v>No</v>
      </c>
      <c r="BJ153" s="449" t="str">
        <f t="shared" si="560"/>
        <v>No</v>
      </c>
      <c r="BK153" s="432" t="s">
        <v>246</v>
      </c>
      <c r="BL153" s="432" t="s">
        <v>246</v>
      </c>
      <c r="BM153" s="246" t="s">
        <v>64</v>
      </c>
      <c r="BN153" s="246" t="s">
        <v>64</v>
      </c>
      <c r="BO153" s="432" t="s">
        <v>246</v>
      </c>
      <c r="BP153" s="432" t="s">
        <v>246</v>
      </c>
      <c r="BQ153" s="432" t="s">
        <v>246</v>
      </c>
      <c r="BR153" s="432" t="s">
        <v>246</v>
      </c>
      <c r="BS153" s="432" t="s">
        <v>246</v>
      </c>
      <c r="BT153" s="432" t="s">
        <v>246</v>
      </c>
      <c r="BU153" s="432" t="s">
        <v>246</v>
      </c>
      <c r="BV153" s="432" t="s">
        <v>246</v>
      </c>
      <c r="BW153" s="432" t="s">
        <v>246</v>
      </c>
      <c r="BX153" s="432" t="s">
        <v>246</v>
      </c>
      <c r="BY153" s="432" t="s">
        <v>246</v>
      </c>
      <c r="BZ153" s="432" t="s">
        <v>246</v>
      </c>
      <c r="CA153" s="432" t="s">
        <v>246</v>
      </c>
      <c r="CB153" s="432" t="s">
        <v>64</v>
      </c>
      <c r="CC153" s="450">
        <f t="shared" si="705"/>
        <v>27016.875499999998</v>
      </c>
      <c r="CD153" s="450">
        <f t="shared" si="706"/>
        <v>0</v>
      </c>
      <c r="CF153" s="263">
        <f t="shared" si="562"/>
        <v>0</v>
      </c>
      <c r="CG153" s="263">
        <f t="shared" si="563"/>
        <v>0</v>
      </c>
      <c r="CH153" s="263">
        <f t="shared" si="564"/>
        <v>0</v>
      </c>
      <c r="CI153" s="263">
        <f t="shared" si="565"/>
        <v>0</v>
      </c>
      <c r="CJ153" s="263">
        <f t="shared" si="566"/>
        <v>0</v>
      </c>
      <c r="CK153" s="263">
        <f t="shared" si="567"/>
        <v>0</v>
      </c>
      <c r="CL153" s="263">
        <f t="shared" si="568"/>
        <v>0</v>
      </c>
      <c r="CM153" s="263">
        <f t="shared" si="569"/>
        <v>0</v>
      </c>
      <c r="CN153" s="263">
        <f t="shared" si="570"/>
        <v>0</v>
      </c>
      <c r="CO153" s="263">
        <f t="shared" si="571"/>
        <v>0</v>
      </c>
      <c r="CP153" s="263">
        <f t="shared" si="572"/>
        <v>0</v>
      </c>
      <c r="CQ153" s="263">
        <f t="shared" si="573"/>
        <v>0</v>
      </c>
      <c r="CR153" s="263">
        <f t="shared" si="574"/>
        <v>0</v>
      </c>
      <c r="CS153" s="263">
        <f t="shared" si="575"/>
        <v>0</v>
      </c>
      <c r="CT153" s="263">
        <f t="shared" si="576"/>
        <v>0</v>
      </c>
      <c r="CU153" s="263">
        <f t="shared" si="577"/>
        <v>0</v>
      </c>
      <c r="CV153" s="263">
        <f t="shared" si="578"/>
        <v>0</v>
      </c>
      <c r="CW153" s="263">
        <f t="shared" si="579"/>
        <v>0</v>
      </c>
      <c r="CX153" s="263">
        <f t="shared" si="580"/>
        <v>0</v>
      </c>
      <c r="CY153" s="263">
        <f t="shared" si="581"/>
        <v>0</v>
      </c>
      <c r="CZ153" s="263">
        <f t="shared" si="582"/>
        <v>0</v>
      </c>
      <c r="DA153" s="263">
        <f t="shared" si="583"/>
        <v>1</v>
      </c>
      <c r="DB153" s="263">
        <f t="shared" si="584"/>
        <v>0</v>
      </c>
      <c r="DC153" s="263">
        <f t="shared" si="585"/>
        <v>0</v>
      </c>
      <c r="DD153" s="263">
        <f t="shared" si="586"/>
        <v>0</v>
      </c>
      <c r="DE153" s="263">
        <f t="shared" si="587"/>
        <v>0</v>
      </c>
      <c r="DF153" s="263">
        <f t="shared" si="588"/>
        <v>0</v>
      </c>
      <c r="DG153" s="263">
        <f t="shared" si="589"/>
        <v>0</v>
      </c>
      <c r="DH153" s="263">
        <f t="shared" si="590"/>
        <v>0</v>
      </c>
      <c r="DI153" s="263">
        <f t="shared" si="591"/>
        <v>492500</v>
      </c>
      <c r="DJ153" s="263">
        <f t="shared" si="592"/>
        <v>0</v>
      </c>
      <c r="DK153" s="263">
        <f t="shared" si="593"/>
        <v>0</v>
      </c>
      <c r="DL153" s="263">
        <f t="shared" si="594"/>
        <v>0</v>
      </c>
      <c r="DM153" s="263">
        <f t="shared" si="595"/>
        <v>0</v>
      </c>
      <c r="DO153" s="264">
        <f t="shared" si="596"/>
        <v>0</v>
      </c>
      <c r="DP153" s="265">
        <f t="shared" si="597"/>
        <v>0</v>
      </c>
      <c r="DQ153" s="264">
        <f t="shared" si="598"/>
        <v>0</v>
      </c>
      <c r="DR153" s="264">
        <f t="shared" si="599"/>
        <v>0</v>
      </c>
      <c r="DS153" s="265">
        <f t="shared" si="600"/>
        <v>0</v>
      </c>
      <c r="DT153" s="264">
        <f t="shared" si="601"/>
        <v>0</v>
      </c>
      <c r="DU153" s="264">
        <f t="shared" si="602"/>
        <v>0</v>
      </c>
      <c r="DV153" s="265">
        <f t="shared" si="603"/>
        <v>0</v>
      </c>
      <c r="DW153" s="264">
        <f t="shared" si="604"/>
        <v>0</v>
      </c>
      <c r="DX153" s="264">
        <f t="shared" si="605"/>
        <v>0</v>
      </c>
      <c r="DY153" s="265">
        <f t="shared" si="606"/>
        <v>0</v>
      </c>
      <c r="DZ153" s="264">
        <f t="shared" si="607"/>
        <v>0</v>
      </c>
      <c r="EA153" s="264">
        <f t="shared" si="608"/>
        <v>0</v>
      </c>
      <c r="EB153" s="265">
        <f t="shared" si="609"/>
        <v>0</v>
      </c>
      <c r="EC153" s="264">
        <f t="shared" si="610"/>
        <v>0</v>
      </c>
      <c r="ED153" s="264">
        <f t="shared" si="611"/>
        <v>0</v>
      </c>
      <c r="EE153" s="265">
        <f t="shared" si="612"/>
        <v>0</v>
      </c>
      <c r="EF153" s="264">
        <f t="shared" si="613"/>
        <v>0</v>
      </c>
      <c r="EG153" s="264">
        <f t="shared" si="614"/>
        <v>0</v>
      </c>
      <c r="EH153" s="265">
        <f t="shared" si="615"/>
        <v>0</v>
      </c>
      <c r="EI153" s="264">
        <f t="shared" si="616"/>
        <v>0</v>
      </c>
      <c r="EJ153" s="264">
        <f t="shared" si="617"/>
        <v>0</v>
      </c>
      <c r="EK153" s="265">
        <f t="shared" si="618"/>
        <v>0</v>
      </c>
      <c r="EL153" s="264">
        <f t="shared" si="619"/>
        <v>0</v>
      </c>
      <c r="EM153" s="264">
        <f t="shared" si="620"/>
        <v>0</v>
      </c>
      <c r="EN153" s="265">
        <f t="shared" si="621"/>
        <v>0</v>
      </c>
      <c r="EO153" s="264">
        <f t="shared" si="622"/>
        <v>0</v>
      </c>
      <c r="EP153" s="264">
        <f t="shared" si="623"/>
        <v>0</v>
      </c>
      <c r="EQ153" s="265">
        <f t="shared" si="624"/>
        <v>0</v>
      </c>
      <c r="ER153" s="264">
        <f t="shared" si="625"/>
        <v>0</v>
      </c>
      <c r="ES153" s="264">
        <f t="shared" si="626"/>
        <v>0</v>
      </c>
      <c r="ET153" s="265">
        <f t="shared" si="627"/>
        <v>0</v>
      </c>
      <c r="EU153" s="264">
        <f t="shared" si="628"/>
        <v>0</v>
      </c>
      <c r="EV153" s="264">
        <f>IF(AND(BM153="Yes",OR(BN153="No",AND(BN153="Yes",Inputs!$J$8=Inputs!$J$17+75))),EU153,0)</f>
        <v>0</v>
      </c>
      <c r="EW153" s="265">
        <f t="shared" si="629"/>
        <v>0</v>
      </c>
      <c r="EX153" s="264">
        <f t="shared" si="630"/>
        <v>0</v>
      </c>
      <c r="EY153" s="264">
        <f t="shared" si="631"/>
        <v>0</v>
      </c>
      <c r="EZ153" s="265">
        <f t="shared" si="632"/>
        <v>0</v>
      </c>
      <c r="FA153" s="264">
        <f t="shared" si="633"/>
        <v>0</v>
      </c>
      <c r="FB153" s="264">
        <f t="shared" si="634"/>
        <v>0</v>
      </c>
      <c r="FC153" s="265">
        <f t="shared" si="635"/>
        <v>0</v>
      </c>
      <c r="FD153" s="264">
        <f t="shared" si="636"/>
        <v>0</v>
      </c>
      <c r="FE153" s="264">
        <f t="shared" si="637"/>
        <v>0</v>
      </c>
      <c r="FF153" s="265">
        <f t="shared" si="638"/>
        <v>0</v>
      </c>
      <c r="FG153" s="264">
        <f t="shared" si="639"/>
        <v>0</v>
      </c>
      <c r="FH153" s="264">
        <f t="shared" si="640"/>
        <v>0</v>
      </c>
      <c r="FI153" s="264">
        <f t="shared" si="641"/>
        <v>0</v>
      </c>
      <c r="FJ153" s="264">
        <f t="shared" si="642"/>
        <v>0</v>
      </c>
      <c r="FK153" s="264">
        <f t="shared" si="643"/>
        <v>0</v>
      </c>
      <c r="FL153" s="264">
        <f t="shared" si="644"/>
        <v>0</v>
      </c>
      <c r="FM153" s="264">
        <f t="shared" si="645"/>
        <v>0</v>
      </c>
      <c r="FN153" s="264">
        <f t="shared" si="646"/>
        <v>0</v>
      </c>
      <c r="FO153" s="264">
        <f t="shared" si="647"/>
        <v>0</v>
      </c>
      <c r="FP153" s="264">
        <f t="shared" si="648"/>
        <v>0</v>
      </c>
      <c r="FQ153" s="264">
        <f t="shared" si="649"/>
        <v>0</v>
      </c>
      <c r="FR153" s="265">
        <f t="shared" si="650"/>
        <v>0</v>
      </c>
      <c r="FS153" s="264">
        <f t="shared" si="651"/>
        <v>0</v>
      </c>
      <c r="FT153" s="264">
        <f t="shared" si="652"/>
        <v>0</v>
      </c>
      <c r="FU153" s="265">
        <f t="shared" si="653"/>
        <v>0</v>
      </c>
      <c r="FV153" s="264">
        <f t="shared" si="654"/>
        <v>0</v>
      </c>
      <c r="FW153" s="264">
        <f t="shared" si="655"/>
        <v>0</v>
      </c>
      <c r="FX153" s="264">
        <f t="shared" si="656"/>
        <v>0</v>
      </c>
      <c r="FY153" s="264">
        <f t="shared" si="657"/>
        <v>0</v>
      </c>
      <c r="FZ153" s="264">
        <f t="shared" si="658"/>
        <v>0</v>
      </c>
      <c r="GA153" s="265">
        <f t="shared" si="659"/>
        <v>0</v>
      </c>
      <c r="GB153" s="264">
        <f t="shared" si="660"/>
        <v>0</v>
      </c>
      <c r="GC153" s="264">
        <f t="shared" si="661"/>
        <v>0</v>
      </c>
      <c r="GD153" s="266">
        <f t="shared" si="662"/>
        <v>0</v>
      </c>
      <c r="GE153" s="138">
        <f t="shared" si="663"/>
        <v>0</v>
      </c>
      <c r="GF153" s="267">
        <f t="shared" si="664"/>
        <v>35</v>
      </c>
      <c r="GG153" s="264">
        <f t="array" ref="GG153">IF(SUM(IF(IC$9:IC152=IC153,1,0))&gt;0,0,SUMIF($IC$10:$IC$406,IC153,$FJ$10:$FJ$406))</f>
        <v>0</v>
      </c>
      <c r="GH153" s="268">
        <f t="shared" si="665"/>
        <v>0</v>
      </c>
      <c r="GI153" s="137">
        <f t="shared" si="126"/>
        <v>144</v>
      </c>
      <c r="GJ153" s="269">
        <f t="shared" si="666"/>
        <v>0</v>
      </c>
      <c r="GK153" s="269">
        <f t="shared" si="667"/>
        <v>0</v>
      </c>
      <c r="GL153" s="163">
        <f t="shared" si="668"/>
        <v>0</v>
      </c>
      <c r="GM153" s="137">
        <f t="array" ref="GM153">IF(GJ153=0,0,LARGE(IF($GG$10:$GG$406=GJ153,$GF$10:$GF$406,0),COUNTIF($GJ$10:$GJ$406,GJ153)-COUNTIF(GJ$9:GJ152,GJ153)))</f>
        <v>0</v>
      </c>
      <c r="GN153" s="270">
        <f t="shared" si="669"/>
        <v>0</v>
      </c>
      <c r="GP153" s="137">
        <f>IF(C153="","",IF(ISERROR(MATCH(C153,C$10:C152,0)),MAX(GP$10:GP152)+1,INDEX(GP$10:GP152,MATCH(C153,C$10:C152,0))))</f>
        <v>110</v>
      </c>
      <c r="GQ153" s="264">
        <f>IF(COUNTIF($A$10:A153,A153)&lt;=1,SUMIF($A$10:$A$406,A153,$FH$10:$FH$406),0)</f>
        <v>0</v>
      </c>
      <c r="GR153" s="137">
        <f t="shared" si="130"/>
        <v>144</v>
      </c>
      <c r="GS153" s="269">
        <f t="shared" si="707"/>
        <v>0</v>
      </c>
      <c r="GT153" s="269">
        <f t="shared" si="708"/>
        <v>0</v>
      </c>
      <c r="GU153" s="163">
        <f t="shared" si="709"/>
        <v>0</v>
      </c>
      <c r="GV153" s="137">
        <f t="array" ref="GV153">IF(GS153=0,0,LARGE(IF($GQ$10:$GQ$406=GS153,$GP$10:$GP$406,0),COUNTIF($GS$10:$GS$406,GS153)-COUNTIF(GS$9:GS152,GS153)))</f>
        <v>0</v>
      </c>
      <c r="GW153" s="270">
        <f t="shared" si="710"/>
        <v>0</v>
      </c>
      <c r="GY153" s="137">
        <f>IF(C153="","",IF(ISERROR(MATCH(C153,C$10:C152,0)),MAX(GP$10:GP152)+1,INDEX(GP$10:GP152,MATCH(C153,C$10:C152,0))))</f>
        <v>110</v>
      </c>
      <c r="GZ153" s="264">
        <f>IF(COUNTIF($A$10:A153,A153)&lt;=1,SUMIF($A$10:$A$406,A153,$FH$10:$FH$406),0)</f>
        <v>0</v>
      </c>
      <c r="HA153" s="137">
        <f t="shared" si="134"/>
        <v>144</v>
      </c>
      <c r="HB153" s="269">
        <f t="shared" si="670"/>
        <v>0</v>
      </c>
      <c r="HC153" s="414" t="s">
        <v>622</v>
      </c>
      <c r="HD153" s="163">
        <f t="shared" si="671"/>
        <v>0</v>
      </c>
      <c r="HE153" s="137">
        <f t="array" ref="HE153">IF(HB153=0,0,LARGE(IF($GZ$10:$GZ$406=HB153,$GY$10:$GY$406,0),COUNTIF($HB$10:$HB$406,HB153)-COUNTIF(HB$9:HB152,HB153)))</f>
        <v>0</v>
      </c>
      <c r="HF153" s="270">
        <f t="shared" si="672"/>
        <v>0</v>
      </c>
      <c r="HH153" s="268">
        <f t="shared" si="673"/>
        <v>0</v>
      </c>
      <c r="HI153" s="271">
        <v>0</v>
      </c>
      <c r="HJ153" s="264">
        <f t="shared" si="674"/>
        <v>0</v>
      </c>
      <c r="HL153" s="137" t="str">
        <f t="shared" si="675"/>
        <v/>
      </c>
      <c r="HM153" s="264">
        <f t="shared" si="676"/>
        <v>0</v>
      </c>
      <c r="HO153" s="199">
        <f t="shared" si="677"/>
        <v>0</v>
      </c>
      <c r="HP153" s="199">
        <f t="shared" si="678"/>
        <v>492500</v>
      </c>
      <c r="HQ153" s="199" t="str">
        <f t="shared" si="679"/>
        <v/>
      </c>
      <c r="HR153" s="199" t="str">
        <f t="shared" si="680"/>
        <v/>
      </c>
      <c r="HS153" s="199" t="str">
        <f t="shared" si="693"/>
        <v/>
      </c>
      <c r="HT153" s="199">
        <f t="shared" si="681"/>
        <v>0</v>
      </c>
      <c r="HU153" s="199" t="str">
        <f t="shared" si="682"/>
        <v/>
      </c>
      <c r="HV153" s="200">
        <f t="shared" si="683"/>
        <v>0</v>
      </c>
      <c r="HW153" s="272">
        <f t="shared" si="684"/>
        <v>1</v>
      </c>
      <c r="HX153" s="200" t="str">
        <f t="shared" si="685"/>
        <v/>
      </c>
      <c r="HY153" s="200">
        <f t="shared" si="686"/>
        <v>0</v>
      </c>
      <c r="HZ153" s="200" t="str">
        <f t="shared" si="692"/>
        <v/>
      </c>
      <c r="IA153" s="200" t="str">
        <f t="shared" si="687"/>
        <v/>
      </c>
      <c r="IB153" s="200" t="str">
        <f t="shared" si="688"/>
        <v/>
      </c>
      <c r="IC153" s="273">
        <f>IF(C153="","",INDEX(Lookups!$E$2:$E$69,MATCH('Loan List'!BE153,Lookups!$F$2:$F$69,0)))</f>
        <v>35</v>
      </c>
      <c r="ID153" t="b">
        <f t="shared" si="689"/>
        <v>1</v>
      </c>
    </row>
    <row r="154" spans="1:238">
      <c r="A154" t="s">
        <v>797</v>
      </c>
      <c r="B154" s="242">
        <f t="shared" si="694"/>
        <v>145</v>
      </c>
      <c r="C154" s="242">
        <f>IF(COUNTIF($A$10:A153,A154)&gt;0,C153,C153+1)</f>
        <v>111</v>
      </c>
      <c r="D154" s="431" t="s">
        <v>797</v>
      </c>
      <c r="E154" s="428" t="s">
        <v>852</v>
      </c>
      <c r="F154" s="429"/>
      <c r="G154" s="430">
        <v>611276</v>
      </c>
      <c r="H154" s="430">
        <v>611276</v>
      </c>
      <c r="I154" s="244">
        <f>IF(B154="","",VLOOKUP(BF154,Inputs!$A$12:$J$15,10,FALSE))</f>
        <v>1</v>
      </c>
      <c r="J154" s="245">
        <f t="shared" si="695"/>
        <v>611276</v>
      </c>
      <c r="K154" s="245">
        <f t="shared" si="696"/>
        <v>611276</v>
      </c>
      <c r="L154" s="245">
        <f t="shared" si="697"/>
        <v>611276</v>
      </c>
      <c r="M154" s="245">
        <f t="shared" si="698"/>
        <v>611276</v>
      </c>
      <c r="N154" s="432" t="s">
        <v>246</v>
      </c>
      <c r="O154" s="432" t="s">
        <v>245</v>
      </c>
      <c r="P154" s="433">
        <f>IF(B154="","",IF(OR(O154="N/A",O154=""),0,YEARFRAC('Borrowing Base'!$J$4,'Loan List'!O154)*12))</f>
        <v>0</v>
      </c>
      <c r="Q154" s="432" t="s">
        <v>246</v>
      </c>
      <c r="R154" s="434">
        <v>1.0049999999999999</v>
      </c>
      <c r="S154" s="435" t="str">
        <f t="shared" si="699"/>
        <v>No</v>
      </c>
      <c r="T154" s="434">
        <v>1.0049999999999999</v>
      </c>
      <c r="U154" s="436">
        <f t="shared" si="700"/>
        <v>0.5</v>
      </c>
      <c r="V154" s="436">
        <f t="shared" si="701"/>
        <v>0.72499999999999998</v>
      </c>
      <c r="W154" s="251">
        <f t="shared" si="561"/>
        <v>611276</v>
      </c>
      <c r="X154" s="432" t="s">
        <v>246</v>
      </c>
      <c r="Y154" s="437" t="s">
        <v>483</v>
      </c>
      <c r="Z154" s="437" t="s">
        <v>484</v>
      </c>
      <c r="AA154" s="438" t="s">
        <v>407</v>
      </c>
      <c r="AB154" s="438" t="s">
        <v>713</v>
      </c>
      <c r="AC154" s="439">
        <v>1.59</v>
      </c>
      <c r="AD154" s="439">
        <v>1.9645643954413239</v>
      </c>
      <c r="AE154" s="439">
        <v>2.2406112911401181</v>
      </c>
      <c r="AF154" s="439">
        <v>0.5963796322100825</v>
      </c>
      <c r="AG154" s="440">
        <v>4.7047316648491142</v>
      </c>
      <c r="AH154" s="440">
        <v>4.7047316648491142</v>
      </c>
      <c r="AI154" s="440">
        <v>3.2507789649216212</v>
      </c>
      <c r="AJ154" s="440">
        <v>3.2507789649216212</v>
      </c>
      <c r="AK154" s="441">
        <v>17036040.67344198</v>
      </c>
      <c r="AL154" s="441">
        <v>20081340.719999999</v>
      </c>
      <c r="AM154" s="258">
        <v>45838</v>
      </c>
      <c r="AN154" s="442" t="str">
        <f t="shared" si="702"/>
        <v>Tier 2</v>
      </c>
      <c r="AO154" s="443">
        <v>47116</v>
      </c>
      <c r="AP154" s="444">
        <f>IF(C154="","",DAYS360(Inputs!$J$8,AO154)/360)</f>
        <v>3.3472222222222223</v>
      </c>
      <c r="AQ154" s="444">
        <f t="shared" si="703"/>
        <v>3.3472222222222223</v>
      </c>
      <c r="AR154" s="432" t="s">
        <v>246</v>
      </c>
      <c r="AS154" s="445">
        <v>0</v>
      </c>
      <c r="AT154" s="432" t="s">
        <v>64</v>
      </c>
      <c r="AU154" s="446">
        <v>0.01</v>
      </c>
      <c r="AV154" s="446">
        <v>5.7500000000000002E-2</v>
      </c>
      <c r="AW154" s="446">
        <v>4.3078999999999999E-2</v>
      </c>
      <c r="AX154" s="260">
        <f t="shared" si="704"/>
        <v>4.3078999999999999E-2</v>
      </c>
      <c r="AY154" s="446">
        <v>0</v>
      </c>
      <c r="AZ154" s="446">
        <v>0</v>
      </c>
      <c r="BA154" s="446">
        <v>0</v>
      </c>
      <c r="BB154" s="447">
        <f t="shared" si="690"/>
        <v>5.7500000000000002E-2</v>
      </c>
      <c r="BC154" s="447" t="str">
        <f t="shared" si="691"/>
        <v/>
      </c>
      <c r="BD154" s="437" t="s">
        <v>247</v>
      </c>
      <c r="BE154" s="448" t="s">
        <v>333</v>
      </c>
      <c r="BF154" s="437" t="s">
        <v>7</v>
      </c>
      <c r="BG154" s="437" t="s">
        <v>460</v>
      </c>
      <c r="BH154" s="432" t="s">
        <v>246</v>
      </c>
      <c r="BI154" s="449" t="str">
        <f t="shared" si="559"/>
        <v>No</v>
      </c>
      <c r="BJ154" s="449" t="str">
        <f t="shared" si="560"/>
        <v>No</v>
      </c>
      <c r="BK154" s="432" t="s">
        <v>246</v>
      </c>
      <c r="BL154" s="432" t="s">
        <v>246</v>
      </c>
      <c r="BM154" s="246" t="s">
        <v>64</v>
      </c>
      <c r="BN154" s="246" t="s">
        <v>64</v>
      </c>
      <c r="BO154" s="432" t="s">
        <v>246</v>
      </c>
      <c r="BP154" s="432" t="s">
        <v>246</v>
      </c>
      <c r="BQ154" s="432" t="s">
        <v>246</v>
      </c>
      <c r="BR154" s="432" t="s">
        <v>246</v>
      </c>
      <c r="BS154" s="432" t="s">
        <v>246</v>
      </c>
      <c r="BT154" s="432" t="s">
        <v>246</v>
      </c>
      <c r="BU154" s="432" t="s">
        <v>246</v>
      </c>
      <c r="BV154" s="432" t="s">
        <v>246</v>
      </c>
      <c r="BW154" s="432" t="s">
        <v>246</v>
      </c>
      <c r="BX154" s="432" t="s">
        <v>246</v>
      </c>
      <c r="BY154" s="432" t="s">
        <v>246</v>
      </c>
      <c r="BZ154" s="432" t="s">
        <v>246</v>
      </c>
      <c r="CA154" s="432" t="s">
        <v>246</v>
      </c>
      <c r="CB154" s="432" t="s">
        <v>64</v>
      </c>
      <c r="CC154" s="450">
        <f t="shared" si="705"/>
        <v>35060.713021600001</v>
      </c>
      <c r="CD154" s="450">
        <f t="shared" si="706"/>
        <v>0</v>
      </c>
      <c r="CF154" s="263">
        <f t="shared" si="562"/>
        <v>0</v>
      </c>
      <c r="CG154" s="263">
        <f t="shared" si="563"/>
        <v>0</v>
      </c>
      <c r="CH154" s="263">
        <f t="shared" si="564"/>
        <v>0</v>
      </c>
      <c r="CI154" s="263">
        <f t="shared" si="565"/>
        <v>0</v>
      </c>
      <c r="CJ154" s="263">
        <f t="shared" si="566"/>
        <v>0</v>
      </c>
      <c r="CK154" s="263">
        <f t="shared" si="567"/>
        <v>0</v>
      </c>
      <c r="CL154" s="263">
        <f t="shared" si="568"/>
        <v>0</v>
      </c>
      <c r="CM154" s="263">
        <f t="shared" si="569"/>
        <v>0</v>
      </c>
      <c r="CN154" s="263">
        <f t="shared" si="570"/>
        <v>0</v>
      </c>
      <c r="CO154" s="263">
        <f t="shared" si="571"/>
        <v>0</v>
      </c>
      <c r="CP154" s="263">
        <f t="shared" si="572"/>
        <v>0</v>
      </c>
      <c r="CQ154" s="263">
        <f t="shared" si="573"/>
        <v>0</v>
      </c>
      <c r="CR154" s="263">
        <f t="shared" si="574"/>
        <v>0</v>
      </c>
      <c r="CS154" s="263">
        <f t="shared" si="575"/>
        <v>0</v>
      </c>
      <c r="CT154" s="263">
        <f t="shared" si="576"/>
        <v>0</v>
      </c>
      <c r="CU154" s="263">
        <f t="shared" si="577"/>
        <v>0</v>
      </c>
      <c r="CV154" s="263">
        <f t="shared" si="578"/>
        <v>0</v>
      </c>
      <c r="CW154" s="263">
        <f t="shared" si="579"/>
        <v>0</v>
      </c>
      <c r="CX154" s="263">
        <f t="shared" si="580"/>
        <v>0</v>
      </c>
      <c r="CY154" s="263">
        <f t="shared" si="581"/>
        <v>0</v>
      </c>
      <c r="CZ154" s="263">
        <f t="shared" si="582"/>
        <v>0</v>
      </c>
      <c r="DA154" s="263">
        <f t="shared" si="583"/>
        <v>0</v>
      </c>
      <c r="DB154" s="263">
        <f t="shared" si="584"/>
        <v>0</v>
      </c>
      <c r="DC154" s="263">
        <f t="shared" si="585"/>
        <v>0</v>
      </c>
      <c r="DD154" s="263">
        <f t="shared" si="586"/>
        <v>0</v>
      </c>
      <c r="DE154" s="263">
        <f t="shared" si="587"/>
        <v>0</v>
      </c>
      <c r="DF154" s="263">
        <f t="shared" si="588"/>
        <v>611276</v>
      </c>
      <c r="DG154" s="263">
        <f t="shared" si="589"/>
        <v>0</v>
      </c>
      <c r="DH154" s="263">
        <f t="shared" si="590"/>
        <v>611276</v>
      </c>
      <c r="DI154" s="263">
        <f t="shared" si="591"/>
        <v>611276</v>
      </c>
      <c r="DJ154" s="263">
        <f t="shared" si="592"/>
        <v>0</v>
      </c>
      <c r="DK154" s="263">
        <f t="shared" si="593"/>
        <v>0</v>
      </c>
      <c r="DL154" s="263">
        <f t="shared" si="594"/>
        <v>0</v>
      </c>
      <c r="DM154" s="263">
        <f t="shared" si="595"/>
        <v>0</v>
      </c>
      <c r="DO154" s="264">
        <f t="shared" si="596"/>
        <v>0</v>
      </c>
      <c r="DP154" s="265">
        <f t="shared" si="597"/>
        <v>0</v>
      </c>
      <c r="DQ154" s="264">
        <f t="shared" si="598"/>
        <v>611276</v>
      </c>
      <c r="DR154" s="264">
        <f t="shared" si="599"/>
        <v>0</v>
      </c>
      <c r="DS154" s="265">
        <f t="shared" si="600"/>
        <v>0</v>
      </c>
      <c r="DT154" s="264">
        <f t="shared" si="601"/>
        <v>611276</v>
      </c>
      <c r="DU154" s="264">
        <f t="shared" si="602"/>
        <v>0</v>
      </c>
      <c r="DV154" s="265">
        <f t="shared" si="603"/>
        <v>0</v>
      </c>
      <c r="DW154" s="264">
        <f t="shared" si="604"/>
        <v>611276</v>
      </c>
      <c r="DX154" s="264">
        <f t="shared" si="605"/>
        <v>0</v>
      </c>
      <c r="DY154" s="265">
        <f t="shared" si="606"/>
        <v>0</v>
      </c>
      <c r="DZ154" s="264">
        <f t="shared" si="607"/>
        <v>611276</v>
      </c>
      <c r="EA154" s="264">
        <f t="shared" si="608"/>
        <v>0</v>
      </c>
      <c r="EB154" s="265">
        <f t="shared" si="609"/>
        <v>0</v>
      </c>
      <c r="EC154" s="264">
        <f t="shared" si="610"/>
        <v>611276</v>
      </c>
      <c r="ED154" s="264">
        <f t="shared" si="611"/>
        <v>0</v>
      </c>
      <c r="EE154" s="265">
        <f t="shared" si="612"/>
        <v>0</v>
      </c>
      <c r="EF154" s="264">
        <f t="shared" si="613"/>
        <v>611276</v>
      </c>
      <c r="EG154" s="264">
        <f t="shared" si="614"/>
        <v>0</v>
      </c>
      <c r="EH154" s="265">
        <f t="shared" si="615"/>
        <v>0</v>
      </c>
      <c r="EI154" s="264">
        <f t="shared" si="616"/>
        <v>611276</v>
      </c>
      <c r="EJ154" s="264">
        <f t="shared" si="617"/>
        <v>0</v>
      </c>
      <c r="EK154" s="265">
        <f t="shared" si="618"/>
        <v>0</v>
      </c>
      <c r="EL154" s="264">
        <f t="shared" si="619"/>
        <v>611276</v>
      </c>
      <c r="EM154" s="264">
        <f t="shared" si="620"/>
        <v>0</v>
      </c>
      <c r="EN154" s="265">
        <f t="shared" si="621"/>
        <v>0</v>
      </c>
      <c r="EO154" s="264">
        <f t="shared" si="622"/>
        <v>611276</v>
      </c>
      <c r="EP154" s="264">
        <f t="shared" si="623"/>
        <v>0</v>
      </c>
      <c r="EQ154" s="265">
        <f t="shared" si="624"/>
        <v>0</v>
      </c>
      <c r="ER154" s="264">
        <f t="shared" si="625"/>
        <v>611276</v>
      </c>
      <c r="ES154" s="264">
        <f t="shared" si="626"/>
        <v>0</v>
      </c>
      <c r="ET154" s="265">
        <f t="shared" si="627"/>
        <v>0</v>
      </c>
      <c r="EU154" s="264">
        <f t="shared" si="628"/>
        <v>611276</v>
      </c>
      <c r="EV154" s="264">
        <f>IF(AND(BM154="Yes",OR(BN154="No",AND(BN154="Yes",Inputs!$J$8=Inputs!$J$17+75))),EU154,0)</f>
        <v>0</v>
      </c>
      <c r="EW154" s="265">
        <f t="shared" si="629"/>
        <v>0</v>
      </c>
      <c r="EX154" s="264">
        <f t="shared" si="630"/>
        <v>611276</v>
      </c>
      <c r="EY154" s="264">
        <f t="shared" si="631"/>
        <v>0</v>
      </c>
      <c r="EZ154" s="265">
        <f t="shared" si="632"/>
        <v>0</v>
      </c>
      <c r="FA154" s="264">
        <f t="shared" si="633"/>
        <v>611276</v>
      </c>
      <c r="FB154" s="264">
        <f t="shared" si="634"/>
        <v>0</v>
      </c>
      <c r="FC154" s="265">
        <f t="shared" si="635"/>
        <v>0</v>
      </c>
      <c r="FD154" s="264">
        <f t="shared" si="636"/>
        <v>611276</v>
      </c>
      <c r="FE154" s="264">
        <f t="shared" si="637"/>
        <v>0</v>
      </c>
      <c r="FF154" s="265">
        <f t="shared" si="638"/>
        <v>0</v>
      </c>
      <c r="FG154" s="264">
        <f t="shared" si="639"/>
        <v>611276</v>
      </c>
      <c r="FH154" s="264">
        <f t="shared" si="640"/>
        <v>611276</v>
      </c>
      <c r="FI154" s="264">
        <f t="shared" si="641"/>
        <v>0</v>
      </c>
      <c r="FJ154" s="264">
        <f t="shared" si="642"/>
        <v>611276</v>
      </c>
      <c r="FK154" s="264">
        <f t="shared" si="643"/>
        <v>611276</v>
      </c>
      <c r="FL154" s="264">
        <f t="shared" si="644"/>
        <v>0</v>
      </c>
      <c r="FM154" s="264">
        <f t="shared" si="645"/>
        <v>611276</v>
      </c>
      <c r="FN154" s="264">
        <f t="shared" si="646"/>
        <v>611276</v>
      </c>
      <c r="FO154" s="264">
        <f t="shared" si="647"/>
        <v>0</v>
      </c>
      <c r="FP154" s="264">
        <f t="shared" si="648"/>
        <v>611276</v>
      </c>
      <c r="FQ154" s="264">
        <f t="shared" si="649"/>
        <v>0</v>
      </c>
      <c r="FR154" s="265">
        <f t="shared" si="650"/>
        <v>0</v>
      </c>
      <c r="FS154" s="264">
        <f t="shared" si="651"/>
        <v>611276</v>
      </c>
      <c r="FT154" s="264">
        <f t="shared" si="652"/>
        <v>0</v>
      </c>
      <c r="FU154" s="265">
        <f t="shared" si="653"/>
        <v>0</v>
      </c>
      <c r="FV154" s="264">
        <f t="shared" si="654"/>
        <v>611276</v>
      </c>
      <c r="FW154" s="264">
        <f t="shared" si="655"/>
        <v>0</v>
      </c>
      <c r="FX154" s="264">
        <f t="shared" si="656"/>
        <v>0</v>
      </c>
      <c r="FY154" s="264">
        <f t="shared" si="657"/>
        <v>0</v>
      </c>
      <c r="FZ154" s="264">
        <f t="shared" si="658"/>
        <v>0</v>
      </c>
      <c r="GA154" s="265">
        <f t="shared" si="659"/>
        <v>0</v>
      </c>
      <c r="GB154" s="264">
        <f t="shared" si="660"/>
        <v>611276</v>
      </c>
      <c r="GC154" s="264">
        <f t="shared" si="661"/>
        <v>611276</v>
      </c>
      <c r="GD154" s="266">
        <f t="shared" si="662"/>
        <v>443175.1</v>
      </c>
      <c r="GE154" s="138">
        <f t="shared" si="663"/>
        <v>0.72499999999999998</v>
      </c>
      <c r="GF154" s="267">
        <f t="shared" si="664"/>
        <v>4</v>
      </c>
      <c r="GG154" s="264">
        <f t="array" ref="GG154">IF(SUM(IF(IC$9:IC153=IC154,1,0))&gt;0,0,SUMIF($IC$10:$IC$406,IC154,$FJ$10:$FJ$406))</f>
        <v>0</v>
      </c>
      <c r="GH154" s="268">
        <f t="shared" si="665"/>
        <v>0</v>
      </c>
      <c r="GI154" s="137">
        <f t="shared" si="126"/>
        <v>145</v>
      </c>
      <c r="GJ154" s="269">
        <f t="shared" si="666"/>
        <v>0</v>
      </c>
      <c r="GK154" s="269">
        <f t="shared" si="667"/>
        <v>0</v>
      </c>
      <c r="GL154" s="163">
        <f t="shared" si="668"/>
        <v>0</v>
      </c>
      <c r="GM154" s="137">
        <f t="array" ref="GM154">IF(GJ154=0,0,LARGE(IF($GG$10:$GG$406=GJ154,$GF$10:$GF$406,0),COUNTIF($GJ$10:$GJ$406,GJ154)-COUNTIF(GJ$9:GJ153,GJ154)))</f>
        <v>0</v>
      </c>
      <c r="GN154" s="270">
        <f t="shared" si="669"/>
        <v>0</v>
      </c>
      <c r="GP154" s="137">
        <f>IF(C154="","",IF(ISERROR(MATCH(C154,C$10:C153,0)),MAX(GP$10:GP153)+1,INDEX(GP$10:GP153,MATCH(C154,C$10:C153,0))))</f>
        <v>111</v>
      </c>
      <c r="GQ154" s="264">
        <f>IF(COUNTIF($A$10:A154,A154)&lt;=1,SUMIF($A$10:$A$406,A154,$FH$10:$FH$406),0)</f>
        <v>611276</v>
      </c>
      <c r="GR154" s="137">
        <f t="shared" si="130"/>
        <v>145</v>
      </c>
      <c r="GS154" s="269">
        <f t="shared" si="707"/>
        <v>0</v>
      </c>
      <c r="GT154" s="269">
        <f t="shared" si="708"/>
        <v>0</v>
      </c>
      <c r="GU154" s="163">
        <f t="shared" si="709"/>
        <v>0</v>
      </c>
      <c r="GV154" s="137">
        <f t="array" ref="GV154">IF(GS154=0,0,LARGE(IF($GQ$10:$GQ$406=GS154,$GP$10:$GP$406,0),COUNTIF($GS$10:$GS$406,GS154)-COUNTIF(GS$9:GS153,GS154)))</f>
        <v>0</v>
      </c>
      <c r="GW154" s="270">
        <f t="shared" si="710"/>
        <v>0</v>
      </c>
      <c r="GY154" s="137">
        <f>IF(C154="","",IF(ISERROR(MATCH(C154,C$10:C153,0)),MAX(GP$10:GP153)+1,INDEX(GP$10:GP153,MATCH(C154,C$10:C153,0))))</f>
        <v>111</v>
      </c>
      <c r="GZ154" s="264">
        <f>IF(COUNTIF($A$10:A154,A154)&lt;=1,SUMIF($A$10:$A$406,A154,$FH$10:$FH$406),0)</f>
        <v>611276</v>
      </c>
      <c r="HA154" s="137">
        <f t="shared" si="134"/>
        <v>145</v>
      </c>
      <c r="HB154" s="269">
        <f t="shared" si="670"/>
        <v>0</v>
      </c>
      <c r="HC154" s="414" t="s">
        <v>622</v>
      </c>
      <c r="HD154" s="163">
        <f t="shared" si="671"/>
        <v>0</v>
      </c>
      <c r="HE154" s="137">
        <f t="array" ref="HE154">IF(HB154=0,0,LARGE(IF($GZ$10:$GZ$406=HB154,$GY$10:$GY$406,0),COUNTIF($HB$10:$HB$406,HB154)-COUNTIF(HB$9:HB153,HB154)))</f>
        <v>0</v>
      </c>
      <c r="HF154" s="270">
        <f t="shared" si="672"/>
        <v>0</v>
      </c>
      <c r="HH154" s="268">
        <f t="shared" si="673"/>
        <v>0</v>
      </c>
      <c r="HI154" s="271">
        <v>0</v>
      </c>
      <c r="HJ154" s="264">
        <f t="shared" si="674"/>
        <v>0</v>
      </c>
      <c r="HL154" s="137" t="str">
        <f t="shared" si="675"/>
        <v/>
      </c>
      <c r="HM154" s="264">
        <f t="shared" si="676"/>
        <v>0</v>
      </c>
      <c r="HO154" s="199">
        <f t="shared" si="677"/>
        <v>611276</v>
      </c>
      <c r="HP154" s="199">
        <f t="shared" si="678"/>
        <v>611276</v>
      </c>
      <c r="HQ154" s="199" t="str">
        <f t="shared" si="679"/>
        <v/>
      </c>
      <c r="HR154" s="199" t="str">
        <f t="shared" si="680"/>
        <v/>
      </c>
      <c r="HS154" s="199" t="str">
        <f t="shared" si="693"/>
        <v/>
      </c>
      <c r="HT154" s="199" t="str">
        <f t="shared" si="681"/>
        <v/>
      </c>
      <c r="HU154" s="199" t="str">
        <f t="shared" si="682"/>
        <v/>
      </c>
      <c r="HV154" s="200">
        <f t="shared" si="683"/>
        <v>0</v>
      </c>
      <c r="HW154" s="272">
        <f t="shared" si="684"/>
        <v>1</v>
      </c>
      <c r="HX154" s="200" t="str">
        <f t="shared" si="685"/>
        <v/>
      </c>
      <c r="HY154" s="200">
        <f t="shared" si="686"/>
        <v>0</v>
      </c>
      <c r="HZ154" s="200" t="str">
        <f t="shared" si="692"/>
        <v/>
      </c>
      <c r="IA154" s="200" t="str">
        <f t="shared" si="687"/>
        <v/>
      </c>
      <c r="IB154" s="200" t="str">
        <f t="shared" si="688"/>
        <v/>
      </c>
      <c r="IC154" s="273">
        <f>IF(C154="","",INDEX(Lookups!$E$2:$E$69,MATCH('Loan List'!BE154,Lookups!$F$2:$F$69,0)))</f>
        <v>4</v>
      </c>
      <c r="ID154" t="b">
        <f t="shared" si="689"/>
        <v>1</v>
      </c>
    </row>
    <row r="155" spans="1:238">
      <c r="A155" t="s">
        <v>798</v>
      </c>
      <c r="B155" s="242">
        <f t="shared" si="694"/>
        <v>146</v>
      </c>
      <c r="C155" s="242">
        <f>IF(COUNTIF($A$10:A154,A155)&gt;0,C154,C154+1)</f>
        <v>112</v>
      </c>
      <c r="D155" s="431" t="s">
        <v>798</v>
      </c>
      <c r="E155" s="428" t="s">
        <v>853</v>
      </c>
      <c r="F155" s="429"/>
      <c r="G155" s="430">
        <v>4625535</v>
      </c>
      <c r="H155" s="430">
        <v>4625535</v>
      </c>
      <c r="I155" s="244">
        <f>IF(B155="","",VLOOKUP(BF155,Inputs!$A$12:$J$15,10,FALSE))</f>
        <v>1</v>
      </c>
      <c r="J155" s="245">
        <f t="shared" si="695"/>
        <v>4625535</v>
      </c>
      <c r="K155" s="245">
        <f t="shared" si="696"/>
        <v>4625535</v>
      </c>
      <c r="L155" s="245">
        <f t="shared" si="697"/>
        <v>4625535</v>
      </c>
      <c r="M155" s="245">
        <f t="shared" si="698"/>
        <v>4625535</v>
      </c>
      <c r="N155" s="432" t="s">
        <v>246</v>
      </c>
      <c r="O155" s="432" t="s">
        <v>245</v>
      </c>
      <c r="P155" s="433">
        <f>IF(B155="","",IF(OR(O155="N/A",O155=""),0,YEARFRAC('Borrowing Base'!$J$4,'Loan List'!O155)*12))</f>
        <v>0</v>
      </c>
      <c r="Q155" s="432" t="s">
        <v>246</v>
      </c>
      <c r="R155" s="434">
        <v>0.97599999999999998</v>
      </c>
      <c r="S155" s="435" t="str">
        <f t="shared" si="699"/>
        <v>No</v>
      </c>
      <c r="T155" s="434">
        <v>0.97599999999999998</v>
      </c>
      <c r="U155" s="436">
        <f t="shared" si="700"/>
        <v>0.5</v>
      </c>
      <c r="V155" s="436">
        <f t="shared" si="701"/>
        <v>0.71625868867593956</v>
      </c>
      <c r="W155" s="251">
        <f t="shared" si="561"/>
        <v>4625535</v>
      </c>
      <c r="X155" s="432" t="s">
        <v>64</v>
      </c>
      <c r="Y155" s="437" t="s">
        <v>483</v>
      </c>
      <c r="Z155" s="437" t="s">
        <v>484</v>
      </c>
      <c r="AA155" s="438" t="s">
        <v>407</v>
      </c>
      <c r="AB155" s="438" t="s">
        <v>713</v>
      </c>
      <c r="AC155" s="439">
        <v>1.59</v>
      </c>
      <c r="AD155" s="439">
        <v>1.1604153599312041</v>
      </c>
      <c r="AE155" s="439">
        <v>1.3437618072000639</v>
      </c>
      <c r="AF155" s="439">
        <v>0.41073310388103274</v>
      </c>
      <c r="AG155" s="440">
        <v>3.6965979349292946</v>
      </c>
      <c r="AH155" s="440">
        <v>4.60739922949125</v>
      </c>
      <c r="AI155" s="440">
        <v>5.0045799622197666</v>
      </c>
      <c r="AJ155" s="440">
        <v>6.3906472142028319</v>
      </c>
      <c r="AK155" s="441">
        <v>54896716.000000007</v>
      </c>
      <c r="AL155" s="441">
        <v>50502600</v>
      </c>
      <c r="AM155" s="258">
        <v>45747</v>
      </c>
      <c r="AN155" s="442" t="str">
        <f t="shared" si="702"/>
        <v>Tier 1</v>
      </c>
      <c r="AO155" s="443">
        <v>46843</v>
      </c>
      <c r="AP155" s="444">
        <f>IF(C155="","",DAYS360(Inputs!$J$8,AO155)/360)</f>
        <v>2.6027777777777779</v>
      </c>
      <c r="AQ155" s="444">
        <f t="shared" si="703"/>
        <v>2.6027777777777779</v>
      </c>
      <c r="AR155" s="432" t="s">
        <v>246</v>
      </c>
      <c r="AS155" s="445">
        <v>0</v>
      </c>
      <c r="AT155" s="432" t="s">
        <v>64</v>
      </c>
      <c r="AU155" s="446">
        <v>0.01</v>
      </c>
      <c r="AV155" s="446">
        <v>4.7500000000000001E-2</v>
      </c>
      <c r="AW155" s="446">
        <v>4.3078999999999999E-2</v>
      </c>
      <c r="AX155" s="260">
        <f t="shared" si="704"/>
        <v>4.3078999999999999E-2</v>
      </c>
      <c r="AY155" s="446">
        <v>0</v>
      </c>
      <c r="AZ155" s="446">
        <v>0</v>
      </c>
      <c r="BA155" s="446">
        <v>0</v>
      </c>
      <c r="BB155" s="447">
        <f t="shared" si="690"/>
        <v>4.7500000000000001E-2</v>
      </c>
      <c r="BC155" s="447" t="str">
        <f t="shared" si="691"/>
        <v/>
      </c>
      <c r="BD155" s="437" t="s">
        <v>247</v>
      </c>
      <c r="BE155" s="448" t="s">
        <v>427</v>
      </c>
      <c r="BF155" s="437" t="s">
        <v>7</v>
      </c>
      <c r="BG155" s="437" t="s">
        <v>460</v>
      </c>
      <c r="BH155" s="432" t="s">
        <v>246</v>
      </c>
      <c r="BI155" s="449" t="str">
        <f t="shared" si="559"/>
        <v>No</v>
      </c>
      <c r="BJ155" s="449" t="str">
        <f t="shared" si="560"/>
        <v>No</v>
      </c>
      <c r="BK155" s="432" t="s">
        <v>246</v>
      </c>
      <c r="BL155" s="432" t="s">
        <v>246</v>
      </c>
      <c r="BM155" s="246" t="s">
        <v>64</v>
      </c>
      <c r="BN155" s="246" t="s">
        <v>64</v>
      </c>
      <c r="BO155" s="432" t="s">
        <v>246</v>
      </c>
      <c r="BP155" s="432" t="s">
        <v>246</v>
      </c>
      <c r="BQ155" s="432" t="s">
        <v>246</v>
      </c>
      <c r="BR155" s="432" t="s">
        <v>246</v>
      </c>
      <c r="BS155" s="432" t="s">
        <v>246</v>
      </c>
      <c r="BT155" s="432" t="s">
        <v>246</v>
      </c>
      <c r="BU155" s="432" t="s">
        <v>246</v>
      </c>
      <c r="BV155" s="432" t="s">
        <v>246</v>
      </c>
      <c r="BW155" s="432" t="s">
        <v>246</v>
      </c>
      <c r="BX155" s="432" t="s">
        <v>246</v>
      </c>
      <c r="BY155" s="432" t="s">
        <v>246</v>
      </c>
      <c r="BZ155" s="432" t="s">
        <v>246</v>
      </c>
      <c r="CA155" s="432" t="s">
        <v>246</v>
      </c>
      <c r="CB155" s="432" t="s">
        <v>64</v>
      </c>
      <c r="CC155" s="450">
        <f t="shared" si="705"/>
        <v>219049.61078099997</v>
      </c>
      <c r="CD155" s="450">
        <f t="shared" si="706"/>
        <v>0</v>
      </c>
      <c r="CF155" s="263">
        <f t="shared" si="562"/>
        <v>0</v>
      </c>
      <c r="CG155" s="263">
        <f t="shared" si="563"/>
        <v>0</v>
      </c>
      <c r="CH155" s="263">
        <f t="shared" si="564"/>
        <v>0</v>
      </c>
      <c r="CI155" s="263">
        <f t="shared" si="565"/>
        <v>0</v>
      </c>
      <c r="CJ155" s="263">
        <f t="shared" si="566"/>
        <v>0</v>
      </c>
      <c r="CK155" s="263">
        <f t="shared" si="567"/>
        <v>0</v>
      </c>
      <c r="CL155" s="263">
        <f t="shared" si="568"/>
        <v>0</v>
      </c>
      <c r="CM155" s="263">
        <f t="shared" si="569"/>
        <v>0</v>
      </c>
      <c r="CN155" s="263">
        <f t="shared" si="570"/>
        <v>0</v>
      </c>
      <c r="CO155" s="263">
        <f t="shared" si="571"/>
        <v>0</v>
      </c>
      <c r="CP155" s="263">
        <f t="shared" si="572"/>
        <v>0</v>
      </c>
      <c r="CQ155" s="263">
        <f t="shared" si="573"/>
        <v>0</v>
      </c>
      <c r="CR155" s="263">
        <f t="shared" si="574"/>
        <v>0</v>
      </c>
      <c r="CS155" s="263">
        <f t="shared" si="575"/>
        <v>0</v>
      </c>
      <c r="CT155" s="263">
        <f t="shared" si="576"/>
        <v>0</v>
      </c>
      <c r="CU155" s="263">
        <f t="shared" si="577"/>
        <v>0</v>
      </c>
      <c r="CV155" s="263">
        <f t="shared" si="578"/>
        <v>0</v>
      </c>
      <c r="CW155" s="263">
        <f t="shared" si="579"/>
        <v>0</v>
      </c>
      <c r="CX155" s="263">
        <f t="shared" si="580"/>
        <v>0</v>
      </c>
      <c r="CY155" s="263">
        <f t="shared" si="581"/>
        <v>0</v>
      </c>
      <c r="CZ155" s="263">
        <f t="shared" si="582"/>
        <v>0</v>
      </c>
      <c r="DA155" s="263">
        <f t="shared" si="583"/>
        <v>0</v>
      </c>
      <c r="DB155" s="263">
        <f t="shared" si="584"/>
        <v>0</v>
      </c>
      <c r="DC155" s="263">
        <f t="shared" si="585"/>
        <v>0</v>
      </c>
      <c r="DD155" s="263">
        <f t="shared" si="586"/>
        <v>0</v>
      </c>
      <c r="DE155" s="263">
        <f t="shared" si="587"/>
        <v>0</v>
      </c>
      <c r="DF155" s="263">
        <f t="shared" si="588"/>
        <v>4625535</v>
      </c>
      <c r="DG155" s="263">
        <f t="shared" si="589"/>
        <v>0</v>
      </c>
      <c r="DH155" s="263">
        <f t="shared" si="590"/>
        <v>4625535</v>
      </c>
      <c r="DI155" s="263">
        <f t="shared" si="591"/>
        <v>4625535</v>
      </c>
      <c r="DJ155" s="263">
        <f t="shared" si="592"/>
        <v>0</v>
      </c>
      <c r="DK155" s="263">
        <f t="shared" si="593"/>
        <v>0</v>
      </c>
      <c r="DL155" s="263">
        <f t="shared" si="594"/>
        <v>0</v>
      </c>
      <c r="DM155" s="263">
        <f t="shared" si="595"/>
        <v>0</v>
      </c>
      <c r="DO155" s="264">
        <f t="shared" si="596"/>
        <v>0</v>
      </c>
      <c r="DP155" s="265">
        <f t="shared" si="597"/>
        <v>0</v>
      </c>
      <c r="DQ155" s="264">
        <f t="shared" si="598"/>
        <v>4625535</v>
      </c>
      <c r="DR155" s="264">
        <f t="shared" si="599"/>
        <v>0</v>
      </c>
      <c r="DS155" s="265">
        <f t="shared" si="600"/>
        <v>0</v>
      </c>
      <c r="DT155" s="264">
        <f t="shared" si="601"/>
        <v>4625535</v>
      </c>
      <c r="DU155" s="264">
        <f t="shared" si="602"/>
        <v>0</v>
      </c>
      <c r="DV155" s="265">
        <f t="shared" si="603"/>
        <v>0</v>
      </c>
      <c r="DW155" s="264">
        <f t="shared" si="604"/>
        <v>4625535</v>
      </c>
      <c r="DX155" s="264">
        <f t="shared" si="605"/>
        <v>0</v>
      </c>
      <c r="DY155" s="265">
        <f t="shared" si="606"/>
        <v>0</v>
      </c>
      <c r="DZ155" s="264">
        <f t="shared" si="607"/>
        <v>4625535</v>
      </c>
      <c r="EA155" s="264">
        <f t="shared" si="608"/>
        <v>0</v>
      </c>
      <c r="EB155" s="265">
        <f t="shared" si="609"/>
        <v>0</v>
      </c>
      <c r="EC155" s="264">
        <f t="shared" si="610"/>
        <v>4625535</v>
      </c>
      <c r="ED155" s="264">
        <f t="shared" si="611"/>
        <v>0</v>
      </c>
      <c r="EE155" s="265">
        <f t="shared" si="612"/>
        <v>0</v>
      </c>
      <c r="EF155" s="264">
        <f t="shared" si="613"/>
        <v>4625535</v>
      </c>
      <c r="EG155" s="264">
        <f t="shared" si="614"/>
        <v>0</v>
      </c>
      <c r="EH155" s="265">
        <f t="shared" si="615"/>
        <v>0</v>
      </c>
      <c r="EI155" s="264">
        <f t="shared" si="616"/>
        <v>4625535</v>
      </c>
      <c r="EJ155" s="264">
        <f t="shared" si="617"/>
        <v>0</v>
      </c>
      <c r="EK155" s="265">
        <f t="shared" si="618"/>
        <v>0</v>
      </c>
      <c r="EL155" s="264">
        <f t="shared" si="619"/>
        <v>4625535</v>
      </c>
      <c r="EM155" s="264">
        <f t="shared" si="620"/>
        <v>0</v>
      </c>
      <c r="EN155" s="265">
        <f t="shared" si="621"/>
        <v>0</v>
      </c>
      <c r="EO155" s="264">
        <f t="shared" si="622"/>
        <v>4625535</v>
      </c>
      <c r="EP155" s="264">
        <f t="shared" si="623"/>
        <v>0</v>
      </c>
      <c r="EQ155" s="265">
        <f t="shared" si="624"/>
        <v>0</v>
      </c>
      <c r="ER155" s="264">
        <f t="shared" si="625"/>
        <v>4625535</v>
      </c>
      <c r="ES155" s="264">
        <f t="shared" si="626"/>
        <v>0</v>
      </c>
      <c r="ET155" s="265">
        <f t="shared" si="627"/>
        <v>0</v>
      </c>
      <c r="EU155" s="264">
        <f t="shared" si="628"/>
        <v>4625535</v>
      </c>
      <c r="EV155" s="264">
        <f>IF(AND(BM155="Yes",OR(BN155="No",AND(BN155="Yes",Inputs!$J$8=Inputs!$J$17+75))),EU155,0)</f>
        <v>0</v>
      </c>
      <c r="EW155" s="265">
        <f t="shared" si="629"/>
        <v>0</v>
      </c>
      <c r="EX155" s="264">
        <f t="shared" si="630"/>
        <v>4625535</v>
      </c>
      <c r="EY155" s="264">
        <f t="shared" si="631"/>
        <v>0</v>
      </c>
      <c r="EZ155" s="265">
        <f t="shared" si="632"/>
        <v>0</v>
      </c>
      <c r="FA155" s="264">
        <f t="shared" si="633"/>
        <v>4625535</v>
      </c>
      <c r="FB155" s="264">
        <f t="shared" si="634"/>
        <v>0</v>
      </c>
      <c r="FC155" s="265">
        <f t="shared" si="635"/>
        <v>0</v>
      </c>
      <c r="FD155" s="264">
        <f t="shared" si="636"/>
        <v>4625535</v>
      </c>
      <c r="FE155" s="264">
        <f t="shared" si="637"/>
        <v>0</v>
      </c>
      <c r="FF155" s="265">
        <f t="shared" si="638"/>
        <v>0</v>
      </c>
      <c r="FG155" s="264">
        <f t="shared" si="639"/>
        <v>4625535</v>
      </c>
      <c r="FH155" s="264">
        <f t="shared" si="640"/>
        <v>4625535</v>
      </c>
      <c r="FI155" s="264">
        <f t="shared" si="641"/>
        <v>0</v>
      </c>
      <c r="FJ155" s="264">
        <f t="shared" si="642"/>
        <v>4625535</v>
      </c>
      <c r="FK155" s="264">
        <f t="shared" si="643"/>
        <v>4625535</v>
      </c>
      <c r="FL155" s="264">
        <f t="shared" si="644"/>
        <v>0</v>
      </c>
      <c r="FM155" s="264">
        <f t="shared" si="645"/>
        <v>4625535</v>
      </c>
      <c r="FN155" s="264">
        <f t="shared" si="646"/>
        <v>4625535</v>
      </c>
      <c r="FO155" s="264">
        <f t="shared" si="647"/>
        <v>0</v>
      </c>
      <c r="FP155" s="264">
        <f t="shared" si="648"/>
        <v>4625535</v>
      </c>
      <c r="FQ155" s="264">
        <f t="shared" si="649"/>
        <v>0</v>
      </c>
      <c r="FR155" s="265">
        <f t="shared" si="650"/>
        <v>0</v>
      </c>
      <c r="FS155" s="264">
        <f t="shared" si="651"/>
        <v>4625535</v>
      </c>
      <c r="FT155" s="264">
        <f t="shared" si="652"/>
        <v>0</v>
      </c>
      <c r="FU155" s="265">
        <f t="shared" si="653"/>
        <v>0</v>
      </c>
      <c r="FV155" s="264">
        <f t="shared" si="654"/>
        <v>4625535</v>
      </c>
      <c r="FW155" s="264">
        <f t="shared" si="655"/>
        <v>0</v>
      </c>
      <c r="FX155" s="264">
        <f t="shared" si="656"/>
        <v>0</v>
      </c>
      <c r="FY155" s="264">
        <f t="shared" si="657"/>
        <v>4625535</v>
      </c>
      <c r="FZ155" s="264">
        <f t="shared" si="658"/>
        <v>4625535</v>
      </c>
      <c r="GA155" s="265">
        <f t="shared" si="659"/>
        <v>20724.454648482559</v>
      </c>
      <c r="GB155" s="264">
        <f t="shared" si="660"/>
        <v>4604810.5453515174</v>
      </c>
      <c r="GC155" s="264">
        <f t="shared" si="661"/>
        <v>4604810.5453515174</v>
      </c>
      <c r="GD155" s="266">
        <f t="shared" si="662"/>
        <v>3298235.5628146161</v>
      </c>
      <c r="GE155" s="138">
        <f t="shared" si="663"/>
        <v>0.71304953109523894</v>
      </c>
      <c r="GF155" s="267">
        <f t="shared" si="664"/>
        <v>41</v>
      </c>
      <c r="GG155" s="264">
        <f t="array" ref="GG155">IF(SUM(IF(IC$9:IC154=IC155,1,0))&gt;0,0,SUMIF($IC$10:$IC$406,IC155,$FJ$10:$FJ$406))</f>
        <v>0</v>
      </c>
      <c r="GH155" s="268">
        <f t="shared" si="665"/>
        <v>0</v>
      </c>
      <c r="GI155" s="137">
        <f t="shared" si="126"/>
        <v>146</v>
      </c>
      <c r="GJ155" s="269">
        <f t="shared" si="666"/>
        <v>0</v>
      </c>
      <c r="GK155" s="269">
        <f t="shared" si="667"/>
        <v>0</v>
      </c>
      <c r="GL155" s="163">
        <f t="shared" si="668"/>
        <v>0</v>
      </c>
      <c r="GM155" s="137">
        <f t="array" ref="GM155">IF(GJ155=0,0,LARGE(IF($GG$10:$GG$406=GJ155,$GF$10:$GF$406,0),COUNTIF($GJ$10:$GJ$406,GJ155)-COUNTIF(GJ$9:GJ154,GJ155)))</f>
        <v>0</v>
      </c>
      <c r="GN155" s="270">
        <f t="shared" si="669"/>
        <v>0</v>
      </c>
      <c r="GP155" s="137">
        <f>IF(C155="","",IF(ISERROR(MATCH(C155,C$10:C154,0)),MAX(GP$10:GP154)+1,INDEX(GP$10:GP154,MATCH(C155,C$10:C154,0))))</f>
        <v>112</v>
      </c>
      <c r="GQ155" s="264">
        <f>IF(COUNTIF($A$10:A155,A155)&lt;=1,SUMIF($A$10:$A$406,A155,$FH$10:$FH$406),0)</f>
        <v>4625535</v>
      </c>
      <c r="GR155" s="137">
        <f t="shared" si="130"/>
        <v>146</v>
      </c>
      <c r="GS155" s="269">
        <f t="shared" si="707"/>
        <v>0</v>
      </c>
      <c r="GT155" s="269">
        <f t="shared" si="708"/>
        <v>0</v>
      </c>
      <c r="GU155" s="163">
        <f t="shared" si="709"/>
        <v>0</v>
      </c>
      <c r="GV155" s="137">
        <f t="array" ref="GV155">IF(GS155=0,0,LARGE(IF($GQ$10:$GQ$406=GS155,$GP$10:$GP$406,0),COUNTIF($GS$10:$GS$406,GS155)-COUNTIF(GS$9:GS154,GS155)))</f>
        <v>0</v>
      </c>
      <c r="GW155" s="270">
        <f t="shared" si="710"/>
        <v>0</v>
      </c>
      <c r="GY155" s="137">
        <f>IF(C155="","",IF(ISERROR(MATCH(C155,C$10:C154,0)),MAX(GP$10:GP154)+1,INDEX(GP$10:GP154,MATCH(C155,C$10:C154,0))))</f>
        <v>112</v>
      </c>
      <c r="GZ155" s="264">
        <f>IF(COUNTIF($A$10:A155,A155)&lt;=1,SUMIF($A$10:$A$406,A155,$FH$10:$FH$406),0)</f>
        <v>4625535</v>
      </c>
      <c r="HA155" s="137">
        <f t="shared" si="134"/>
        <v>146</v>
      </c>
      <c r="HB155" s="269">
        <f t="shared" si="670"/>
        <v>0</v>
      </c>
      <c r="HC155" s="414" t="s">
        <v>622</v>
      </c>
      <c r="HD155" s="163">
        <f t="shared" si="671"/>
        <v>0</v>
      </c>
      <c r="HE155" s="137">
        <f t="array" ref="HE155">IF(HB155=0,0,LARGE(IF($GZ$10:$GZ$406=HB155,$GY$10:$GY$406,0),COUNTIF($HB$10:$HB$406,HB155)-COUNTIF(HB$9:HB154,HB155)))</f>
        <v>0</v>
      </c>
      <c r="HF155" s="270">
        <f t="shared" si="672"/>
        <v>0</v>
      </c>
      <c r="HH155" s="268">
        <f t="shared" si="673"/>
        <v>20724.454648482613</v>
      </c>
      <c r="HI155" s="271">
        <v>0</v>
      </c>
      <c r="HJ155" s="264">
        <f t="shared" si="674"/>
        <v>0</v>
      </c>
      <c r="HL155" s="137" t="str">
        <f t="shared" si="675"/>
        <v/>
      </c>
      <c r="HM155" s="264">
        <f t="shared" si="676"/>
        <v>0</v>
      </c>
      <c r="HO155" s="199">
        <f t="shared" si="677"/>
        <v>4625535</v>
      </c>
      <c r="HP155" s="199">
        <f t="shared" si="678"/>
        <v>4625535</v>
      </c>
      <c r="HQ155" s="199" t="str">
        <f t="shared" si="679"/>
        <v/>
      </c>
      <c r="HR155" s="199" t="str">
        <f t="shared" si="680"/>
        <v/>
      </c>
      <c r="HS155" s="199" t="str">
        <f t="shared" si="693"/>
        <v/>
      </c>
      <c r="HT155" s="199" t="str">
        <f t="shared" si="681"/>
        <v/>
      </c>
      <c r="HU155" s="199" t="str">
        <f t="shared" si="682"/>
        <v/>
      </c>
      <c r="HV155" s="200">
        <f t="shared" si="683"/>
        <v>0</v>
      </c>
      <c r="HW155" s="272">
        <f t="shared" si="684"/>
        <v>1</v>
      </c>
      <c r="HX155" s="200" t="str">
        <f t="shared" si="685"/>
        <v/>
      </c>
      <c r="HY155" s="200">
        <f t="shared" si="686"/>
        <v>0</v>
      </c>
      <c r="HZ155" s="200" t="str">
        <f t="shared" si="692"/>
        <v/>
      </c>
      <c r="IA155" s="200" t="str">
        <f t="shared" si="687"/>
        <v/>
      </c>
      <c r="IB155" s="200" t="str">
        <f t="shared" si="688"/>
        <v/>
      </c>
      <c r="IC155" s="273">
        <f>IF(C155="","",INDEX(Lookups!$E$2:$E$69,MATCH('Loan List'!BE155,Lookups!$F$2:$F$69,0)))</f>
        <v>41</v>
      </c>
      <c r="ID155" t="b">
        <f t="shared" si="689"/>
        <v>1</v>
      </c>
    </row>
    <row r="156" spans="1:238">
      <c r="A156" t="s">
        <v>799</v>
      </c>
      <c r="B156" s="242">
        <f t="shared" si="694"/>
        <v>147</v>
      </c>
      <c r="C156" s="242">
        <f>IF(COUNTIF($A$10:A155,A156)&gt;0,C155,C155+1)</f>
        <v>113</v>
      </c>
      <c r="D156" s="431" t="s">
        <v>799</v>
      </c>
      <c r="E156" s="428" t="s">
        <v>854</v>
      </c>
      <c r="F156" s="429"/>
      <c r="G156" s="430">
        <v>1984733</v>
      </c>
      <c r="H156" s="430">
        <v>1984733</v>
      </c>
      <c r="I156" s="244">
        <f>IF(B156="","",VLOOKUP(BF156,Inputs!$A$12:$J$15,10,FALSE))</f>
        <v>1</v>
      </c>
      <c r="J156" s="245">
        <f t="shared" si="695"/>
        <v>1984733</v>
      </c>
      <c r="K156" s="245">
        <f t="shared" si="696"/>
        <v>1984733</v>
      </c>
      <c r="L156" s="245">
        <f t="shared" si="697"/>
        <v>1984733</v>
      </c>
      <c r="M156" s="245">
        <f t="shared" si="698"/>
        <v>1984733</v>
      </c>
      <c r="N156" s="432" t="s">
        <v>246</v>
      </c>
      <c r="O156" s="432" t="s">
        <v>245</v>
      </c>
      <c r="P156" s="433">
        <f>IF(B156="","",IF(OR(O156="N/A",O156=""),0,YEARFRAC('Borrowing Base'!$J$4,'Loan List'!O156)*12))</f>
        <v>0</v>
      </c>
      <c r="Q156" s="432" t="s">
        <v>246</v>
      </c>
      <c r="R156" s="434">
        <v>0.996</v>
      </c>
      <c r="S156" s="435" t="str">
        <f t="shared" si="699"/>
        <v>No</v>
      </c>
      <c r="T156" s="434">
        <v>0.97599999999999998</v>
      </c>
      <c r="U156" s="436">
        <f t="shared" si="700"/>
        <v>0.5</v>
      </c>
      <c r="V156" s="436">
        <f t="shared" si="701"/>
        <v>0.65612587528904376</v>
      </c>
      <c r="W156" s="251">
        <f t="shared" si="561"/>
        <v>1984733</v>
      </c>
      <c r="X156" s="432" t="s">
        <v>64</v>
      </c>
      <c r="Y156" s="437" t="s">
        <v>483</v>
      </c>
      <c r="Z156" s="437" t="s">
        <v>484</v>
      </c>
      <c r="AA156" s="438" t="s">
        <v>407</v>
      </c>
      <c r="AB156" s="438" t="s">
        <v>713</v>
      </c>
      <c r="AC156" s="439">
        <v>1.5256436153461319</v>
      </c>
      <c r="AD156" s="439">
        <v>1.4430858069612476</v>
      </c>
      <c r="AE156" s="439">
        <v>1.7749515312213437</v>
      </c>
      <c r="AF156" s="439">
        <v>0.4984133344603302</v>
      </c>
      <c r="AG156" s="440">
        <v>5.5124383014231118</v>
      </c>
      <c r="AH156" s="440">
        <v>5.5124383014231118</v>
      </c>
      <c r="AI156" s="440">
        <v>4.4294337509804729</v>
      </c>
      <c r="AJ156" s="440">
        <v>4.4294337509804729</v>
      </c>
      <c r="AK156" s="441">
        <v>86645686.333884865</v>
      </c>
      <c r="AL156" s="441">
        <v>121115000</v>
      </c>
      <c r="AM156" s="258">
        <v>45747</v>
      </c>
      <c r="AN156" s="442" t="str">
        <f t="shared" si="702"/>
        <v>Tier 1</v>
      </c>
      <c r="AO156" s="443">
        <v>46553</v>
      </c>
      <c r="AP156" s="444">
        <f>IF(C156="","",DAYS360(Inputs!$J$8,AO156)/360)</f>
        <v>1.8083333333333333</v>
      </c>
      <c r="AQ156" s="444">
        <f t="shared" si="703"/>
        <v>1.8083333333333333</v>
      </c>
      <c r="AR156" s="432" t="s">
        <v>246</v>
      </c>
      <c r="AS156" s="445">
        <v>0</v>
      </c>
      <c r="AT156" s="432" t="s">
        <v>64</v>
      </c>
      <c r="AU156" s="446">
        <v>0.01</v>
      </c>
      <c r="AV156" s="446">
        <v>5.5E-2</v>
      </c>
      <c r="AW156" s="446">
        <v>4.3078999999999999E-2</v>
      </c>
      <c r="AX156" s="260">
        <f t="shared" si="704"/>
        <v>4.3078999999999999E-2</v>
      </c>
      <c r="AY156" s="446">
        <v>0</v>
      </c>
      <c r="AZ156" s="446">
        <v>0</v>
      </c>
      <c r="BA156" s="446">
        <v>0</v>
      </c>
      <c r="BB156" s="447">
        <f t="shared" si="690"/>
        <v>5.5E-2</v>
      </c>
      <c r="BC156" s="447" t="str">
        <f t="shared" si="691"/>
        <v/>
      </c>
      <c r="BD156" s="437" t="s">
        <v>247</v>
      </c>
      <c r="BE156" s="448" t="s">
        <v>408</v>
      </c>
      <c r="BF156" s="437" t="s">
        <v>7</v>
      </c>
      <c r="BG156" s="437" t="s">
        <v>460</v>
      </c>
      <c r="BH156" s="432" t="s">
        <v>246</v>
      </c>
      <c r="BI156" s="449" t="str">
        <f t="shared" si="559"/>
        <v>No</v>
      </c>
      <c r="BJ156" s="449" t="str">
        <f t="shared" si="560"/>
        <v>No</v>
      </c>
      <c r="BK156" s="432" t="s">
        <v>246</v>
      </c>
      <c r="BL156" s="432" t="s">
        <v>246</v>
      </c>
      <c r="BM156" s="246" t="s">
        <v>64</v>
      </c>
      <c r="BN156" s="246" t="s">
        <v>64</v>
      </c>
      <c r="BO156" s="432" t="s">
        <v>246</v>
      </c>
      <c r="BP156" s="432" t="s">
        <v>246</v>
      </c>
      <c r="BQ156" s="432" t="s">
        <v>246</v>
      </c>
      <c r="BR156" s="432" t="s">
        <v>246</v>
      </c>
      <c r="BS156" s="432" t="s">
        <v>246</v>
      </c>
      <c r="BT156" s="432" t="s">
        <v>246</v>
      </c>
      <c r="BU156" s="432" t="s">
        <v>246</v>
      </c>
      <c r="BV156" s="432" t="s">
        <v>246</v>
      </c>
      <c r="BW156" s="432" t="s">
        <v>246</v>
      </c>
      <c r="BX156" s="432" t="s">
        <v>246</v>
      </c>
      <c r="BY156" s="432" t="s">
        <v>246</v>
      </c>
      <c r="BZ156" s="432" t="s">
        <v>246</v>
      </c>
      <c r="CA156" s="432" t="s">
        <v>246</v>
      </c>
      <c r="CB156" s="432" t="s">
        <v>64</v>
      </c>
      <c r="CC156" s="450">
        <f t="shared" si="705"/>
        <v>108875.70428779999</v>
      </c>
      <c r="CD156" s="450">
        <f t="shared" si="706"/>
        <v>0</v>
      </c>
      <c r="CF156" s="263">
        <f t="shared" si="562"/>
        <v>0</v>
      </c>
      <c r="CG156" s="263">
        <f t="shared" si="563"/>
        <v>0</v>
      </c>
      <c r="CH156" s="263">
        <f t="shared" si="564"/>
        <v>0</v>
      </c>
      <c r="CI156" s="263">
        <f t="shared" si="565"/>
        <v>0</v>
      </c>
      <c r="CJ156" s="263">
        <f t="shared" si="566"/>
        <v>0</v>
      </c>
      <c r="CK156" s="263">
        <f t="shared" si="567"/>
        <v>0</v>
      </c>
      <c r="CL156" s="263">
        <f t="shared" si="568"/>
        <v>0</v>
      </c>
      <c r="CM156" s="263">
        <f t="shared" si="569"/>
        <v>0</v>
      </c>
      <c r="CN156" s="263">
        <f t="shared" si="570"/>
        <v>0</v>
      </c>
      <c r="CO156" s="263">
        <f t="shared" si="571"/>
        <v>0</v>
      </c>
      <c r="CP156" s="263">
        <f t="shared" si="572"/>
        <v>0</v>
      </c>
      <c r="CQ156" s="263">
        <f t="shared" si="573"/>
        <v>0</v>
      </c>
      <c r="CR156" s="263">
        <f t="shared" si="574"/>
        <v>0</v>
      </c>
      <c r="CS156" s="263">
        <f t="shared" si="575"/>
        <v>0</v>
      </c>
      <c r="CT156" s="263">
        <f t="shared" si="576"/>
        <v>0</v>
      </c>
      <c r="CU156" s="263">
        <f t="shared" si="577"/>
        <v>0</v>
      </c>
      <c r="CV156" s="263">
        <f t="shared" si="578"/>
        <v>0</v>
      </c>
      <c r="CW156" s="263">
        <f t="shared" si="579"/>
        <v>0</v>
      </c>
      <c r="CX156" s="263">
        <f t="shared" si="580"/>
        <v>0</v>
      </c>
      <c r="CY156" s="263">
        <f t="shared" si="581"/>
        <v>0</v>
      </c>
      <c r="CZ156" s="263">
        <f t="shared" si="582"/>
        <v>0</v>
      </c>
      <c r="DA156" s="263">
        <f t="shared" si="583"/>
        <v>0</v>
      </c>
      <c r="DB156" s="263">
        <f t="shared" si="584"/>
        <v>0</v>
      </c>
      <c r="DC156" s="263">
        <f t="shared" si="585"/>
        <v>0</v>
      </c>
      <c r="DD156" s="263">
        <f t="shared" si="586"/>
        <v>0</v>
      </c>
      <c r="DE156" s="263">
        <f t="shared" si="587"/>
        <v>0</v>
      </c>
      <c r="DF156" s="263">
        <f t="shared" si="588"/>
        <v>1984733</v>
      </c>
      <c r="DG156" s="263">
        <f t="shared" si="589"/>
        <v>0</v>
      </c>
      <c r="DH156" s="263">
        <f t="shared" si="590"/>
        <v>1984733</v>
      </c>
      <c r="DI156" s="263">
        <f t="shared" si="591"/>
        <v>1984733</v>
      </c>
      <c r="DJ156" s="263">
        <f t="shared" si="592"/>
        <v>0</v>
      </c>
      <c r="DK156" s="263">
        <f t="shared" si="593"/>
        <v>0</v>
      </c>
      <c r="DL156" s="263">
        <f t="shared" si="594"/>
        <v>0</v>
      </c>
      <c r="DM156" s="263">
        <f t="shared" si="595"/>
        <v>0</v>
      </c>
      <c r="DO156" s="264">
        <f t="shared" si="596"/>
        <v>0</v>
      </c>
      <c r="DP156" s="265">
        <f t="shared" si="597"/>
        <v>0</v>
      </c>
      <c r="DQ156" s="264">
        <f t="shared" si="598"/>
        <v>1984733</v>
      </c>
      <c r="DR156" s="264">
        <f t="shared" si="599"/>
        <v>0</v>
      </c>
      <c r="DS156" s="265">
        <f t="shared" si="600"/>
        <v>0</v>
      </c>
      <c r="DT156" s="264">
        <f t="shared" si="601"/>
        <v>1984733</v>
      </c>
      <c r="DU156" s="264">
        <f t="shared" si="602"/>
        <v>0</v>
      </c>
      <c r="DV156" s="265">
        <f t="shared" si="603"/>
        <v>0</v>
      </c>
      <c r="DW156" s="264">
        <f t="shared" si="604"/>
        <v>1984733</v>
      </c>
      <c r="DX156" s="264">
        <f t="shared" si="605"/>
        <v>0</v>
      </c>
      <c r="DY156" s="265">
        <f t="shared" si="606"/>
        <v>0</v>
      </c>
      <c r="DZ156" s="264">
        <f t="shared" si="607"/>
        <v>1984733</v>
      </c>
      <c r="EA156" s="264">
        <f t="shared" si="608"/>
        <v>0</v>
      </c>
      <c r="EB156" s="265">
        <f t="shared" si="609"/>
        <v>0</v>
      </c>
      <c r="EC156" s="264">
        <f t="shared" si="610"/>
        <v>1984733</v>
      </c>
      <c r="ED156" s="264">
        <f t="shared" si="611"/>
        <v>0</v>
      </c>
      <c r="EE156" s="265">
        <f t="shared" si="612"/>
        <v>0</v>
      </c>
      <c r="EF156" s="264">
        <f t="shared" si="613"/>
        <v>1984733</v>
      </c>
      <c r="EG156" s="264">
        <f t="shared" si="614"/>
        <v>0</v>
      </c>
      <c r="EH156" s="265">
        <f t="shared" si="615"/>
        <v>0</v>
      </c>
      <c r="EI156" s="264">
        <f t="shared" si="616"/>
        <v>1984733</v>
      </c>
      <c r="EJ156" s="264">
        <f t="shared" si="617"/>
        <v>0</v>
      </c>
      <c r="EK156" s="265">
        <f t="shared" si="618"/>
        <v>0</v>
      </c>
      <c r="EL156" s="264">
        <f t="shared" si="619"/>
        <v>1984733</v>
      </c>
      <c r="EM156" s="264">
        <f t="shared" si="620"/>
        <v>0</v>
      </c>
      <c r="EN156" s="265">
        <f t="shared" si="621"/>
        <v>0</v>
      </c>
      <c r="EO156" s="264">
        <f t="shared" si="622"/>
        <v>1984733</v>
      </c>
      <c r="EP156" s="264">
        <f t="shared" si="623"/>
        <v>0</v>
      </c>
      <c r="EQ156" s="265">
        <f t="shared" si="624"/>
        <v>0</v>
      </c>
      <c r="ER156" s="264">
        <f t="shared" si="625"/>
        <v>1984733</v>
      </c>
      <c r="ES156" s="264">
        <f t="shared" si="626"/>
        <v>0</v>
      </c>
      <c r="ET156" s="265">
        <f t="shared" si="627"/>
        <v>0</v>
      </c>
      <c r="EU156" s="264">
        <f t="shared" si="628"/>
        <v>1984733</v>
      </c>
      <c r="EV156" s="264">
        <f>IF(AND(BM156="Yes",OR(BN156="No",AND(BN156="Yes",Inputs!$J$8=Inputs!$J$17+75))),EU156,0)</f>
        <v>0</v>
      </c>
      <c r="EW156" s="265">
        <f t="shared" si="629"/>
        <v>0</v>
      </c>
      <c r="EX156" s="264">
        <f t="shared" si="630"/>
        <v>1984733</v>
      </c>
      <c r="EY156" s="264">
        <f t="shared" si="631"/>
        <v>0</v>
      </c>
      <c r="EZ156" s="265">
        <f t="shared" si="632"/>
        <v>0</v>
      </c>
      <c r="FA156" s="264">
        <f t="shared" si="633"/>
        <v>1984733</v>
      </c>
      <c r="FB156" s="264">
        <f t="shared" si="634"/>
        <v>0</v>
      </c>
      <c r="FC156" s="265">
        <f t="shared" si="635"/>
        <v>0</v>
      </c>
      <c r="FD156" s="264">
        <f t="shared" si="636"/>
        <v>1984733</v>
      </c>
      <c r="FE156" s="264">
        <f t="shared" si="637"/>
        <v>0</v>
      </c>
      <c r="FF156" s="265">
        <f t="shared" si="638"/>
        <v>0</v>
      </c>
      <c r="FG156" s="264">
        <f t="shared" si="639"/>
        <v>1984733</v>
      </c>
      <c r="FH156" s="264">
        <f t="shared" si="640"/>
        <v>1984733</v>
      </c>
      <c r="FI156" s="264">
        <f t="shared" si="641"/>
        <v>0</v>
      </c>
      <c r="FJ156" s="264">
        <f t="shared" si="642"/>
        <v>1984733</v>
      </c>
      <c r="FK156" s="264">
        <f t="shared" si="643"/>
        <v>1984733</v>
      </c>
      <c r="FL156" s="264">
        <f t="shared" si="644"/>
        <v>0</v>
      </c>
      <c r="FM156" s="264">
        <f t="shared" si="645"/>
        <v>1984733</v>
      </c>
      <c r="FN156" s="264">
        <f t="shared" si="646"/>
        <v>1984733</v>
      </c>
      <c r="FO156" s="264">
        <f t="shared" si="647"/>
        <v>0</v>
      </c>
      <c r="FP156" s="264">
        <f t="shared" si="648"/>
        <v>1984733</v>
      </c>
      <c r="FQ156" s="264">
        <f t="shared" si="649"/>
        <v>0</v>
      </c>
      <c r="FR156" s="265">
        <f t="shared" si="650"/>
        <v>0</v>
      </c>
      <c r="FS156" s="264">
        <f t="shared" si="651"/>
        <v>1984733</v>
      </c>
      <c r="FT156" s="264">
        <f t="shared" si="652"/>
        <v>0</v>
      </c>
      <c r="FU156" s="265">
        <f t="shared" si="653"/>
        <v>0</v>
      </c>
      <c r="FV156" s="264">
        <f t="shared" si="654"/>
        <v>1984733</v>
      </c>
      <c r="FW156" s="264">
        <f t="shared" si="655"/>
        <v>0</v>
      </c>
      <c r="FX156" s="264">
        <f t="shared" si="656"/>
        <v>0</v>
      </c>
      <c r="FY156" s="264">
        <f t="shared" si="657"/>
        <v>0</v>
      </c>
      <c r="FZ156" s="264">
        <f t="shared" si="658"/>
        <v>0</v>
      </c>
      <c r="GA156" s="265">
        <f t="shared" si="659"/>
        <v>0</v>
      </c>
      <c r="GB156" s="264">
        <f t="shared" si="660"/>
        <v>1984733</v>
      </c>
      <c r="GC156" s="264">
        <f t="shared" si="661"/>
        <v>1984733</v>
      </c>
      <c r="GD156" s="266">
        <f t="shared" si="662"/>
        <v>1302234.6768400497</v>
      </c>
      <c r="GE156" s="138">
        <f t="shared" si="663"/>
        <v>0.65612587528904376</v>
      </c>
      <c r="GF156" s="267">
        <f t="shared" si="664"/>
        <v>31</v>
      </c>
      <c r="GG156" s="264">
        <f t="array" ref="GG156">IF(SUM(IF(IC$9:IC155=IC156,1,0))&gt;0,0,SUMIF($IC$10:$IC$406,IC156,$FJ$10:$FJ$406))</f>
        <v>0</v>
      </c>
      <c r="GH156" s="268">
        <f t="shared" si="665"/>
        <v>0</v>
      </c>
      <c r="GI156" s="137">
        <f t="shared" si="126"/>
        <v>147</v>
      </c>
      <c r="GJ156" s="269">
        <f t="shared" si="666"/>
        <v>0</v>
      </c>
      <c r="GK156" s="269">
        <f t="shared" si="667"/>
        <v>0</v>
      </c>
      <c r="GL156" s="163">
        <f t="shared" si="668"/>
        <v>0</v>
      </c>
      <c r="GM156" s="137">
        <f t="array" ref="GM156">IF(GJ156=0,0,LARGE(IF($GG$10:$GG$406=GJ156,$GF$10:$GF$406,0),COUNTIF($GJ$10:$GJ$406,GJ156)-COUNTIF(GJ$9:GJ155,GJ156)))</f>
        <v>0</v>
      </c>
      <c r="GN156" s="270">
        <f t="shared" si="669"/>
        <v>0</v>
      </c>
      <c r="GP156" s="137">
        <f>IF(C156="","",IF(ISERROR(MATCH(C156,C$10:C155,0)),MAX(GP$10:GP155)+1,INDEX(GP$10:GP155,MATCH(C156,C$10:C155,0))))</f>
        <v>113</v>
      </c>
      <c r="GQ156" s="264">
        <f>IF(COUNTIF($A$10:A156,A156)&lt;=1,SUMIF($A$10:$A$406,A156,$FH$10:$FH$406),0)</f>
        <v>1984733</v>
      </c>
      <c r="GR156" s="137">
        <f t="shared" si="130"/>
        <v>147</v>
      </c>
      <c r="GS156" s="269">
        <f t="shared" si="707"/>
        <v>0</v>
      </c>
      <c r="GT156" s="269">
        <f t="shared" si="708"/>
        <v>0</v>
      </c>
      <c r="GU156" s="163">
        <f t="shared" si="709"/>
        <v>0</v>
      </c>
      <c r="GV156" s="137">
        <f t="array" ref="GV156">IF(GS156=0,0,LARGE(IF($GQ$10:$GQ$406=GS156,$GP$10:$GP$406,0),COUNTIF($GS$10:$GS$406,GS156)-COUNTIF(GS$9:GS155,GS156)))</f>
        <v>0</v>
      </c>
      <c r="GW156" s="270">
        <f t="shared" si="710"/>
        <v>0</v>
      </c>
      <c r="GY156" s="137">
        <f>IF(C156="","",IF(ISERROR(MATCH(C156,C$10:C155,0)),MAX(GP$10:GP155)+1,INDEX(GP$10:GP155,MATCH(C156,C$10:C155,0))))</f>
        <v>113</v>
      </c>
      <c r="GZ156" s="264">
        <f>IF(COUNTIF($A$10:A156,A156)&lt;=1,SUMIF($A$10:$A$406,A156,$FH$10:$FH$406),0)</f>
        <v>1984733</v>
      </c>
      <c r="HA156" s="137">
        <f t="shared" si="134"/>
        <v>147</v>
      </c>
      <c r="HB156" s="269">
        <f t="shared" si="670"/>
        <v>0</v>
      </c>
      <c r="HC156" s="414" t="s">
        <v>622</v>
      </c>
      <c r="HD156" s="163">
        <f t="shared" si="671"/>
        <v>0</v>
      </c>
      <c r="HE156" s="137">
        <f t="array" ref="HE156">IF(HB156=0,0,LARGE(IF($GZ$10:$GZ$406=HB156,$GY$10:$GY$406,0),COUNTIF($HB$10:$HB$406,HB156)-COUNTIF(HB$9:HB155,HB156)))</f>
        <v>0</v>
      </c>
      <c r="HF156" s="270">
        <f t="shared" si="672"/>
        <v>0</v>
      </c>
      <c r="HH156" s="268">
        <f t="shared" si="673"/>
        <v>0</v>
      </c>
      <c r="HI156" s="271">
        <v>0</v>
      </c>
      <c r="HJ156" s="264">
        <f t="shared" si="674"/>
        <v>0</v>
      </c>
      <c r="HL156" s="137" t="str">
        <f t="shared" si="675"/>
        <v/>
      </c>
      <c r="HM156" s="264">
        <f t="shared" si="676"/>
        <v>0</v>
      </c>
      <c r="HO156" s="199">
        <f t="shared" si="677"/>
        <v>1984733</v>
      </c>
      <c r="HP156" s="199">
        <f t="shared" si="678"/>
        <v>1984733</v>
      </c>
      <c r="HQ156" s="199" t="str">
        <f t="shared" si="679"/>
        <v/>
      </c>
      <c r="HR156" s="199" t="str">
        <f t="shared" si="680"/>
        <v/>
      </c>
      <c r="HS156" s="199" t="str">
        <f t="shared" si="693"/>
        <v/>
      </c>
      <c r="HT156" s="199" t="str">
        <f t="shared" si="681"/>
        <v/>
      </c>
      <c r="HU156" s="199" t="str">
        <f t="shared" si="682"/>
        <v/>
      </c>
      <c r="HV156" s="200">
        <f t="shared" si="683"/>
        <v>0</v>
      </c>
      <c r="HW156" s="272">
        <f t="shared" si="684"/>
        <v>1</v>
      </c>
      <c r="HX156" s="200" t="str">
        <f t="shared" si="685"/>
        <v/>
      </c>
      <c r="HY156" s="200">
        <f t="shared" si="686"/>
        <v>0</v>
      </c>
      <c r="HZ156" s="200" t="str">
        <f t="shared" si="692"/>
        <v/>
      </c>
      <c r="IA156" s="200" t="str">
        <f t="shared" si="687"/>
        <v/>
      </c>
      <c r="IB156" s="200" t="str">
        <f t="shared" si="688"/>
        <v/>
      </c>
      <c r="IC156" s="273">
        <f>IF(C156="","",INDEX(Lookups!$E$2:$E$69,MATCH('Loan List'!BE156,Lookups!$F$2:$F$69,0)))</f>
        <v>31</v>
      </c>
      <c r="ID156" t="b">
        <f t="shared" si="689"/>
        <v>1</v>
      </c>
    </row>
    <row r="157" spans="1:238">
      <c r="A157" t="s">
        <v>800</v>
      </c>
      <c r="B157" s="242">
        <f t="shared" si="694"/>
        <v>148</v>
      </c>
      <c r="C157" s="242">
        <f>IF(COUNTIF($A$10:A156,A157)&gt;0,C156,C156+1)</f>
        <v>114</v>
      </c>
      <c r="D157" s="431" t="s">
        <v>800</v>
      </c>
      <c r="E157" s="428" t="s">
        <v>855</v>
      </c>
      <c r="F157" s="429"/>
      <c r="G157" s="430">
        <v>1990000</v>
      </c>
      <c r="H157" s="430">
        <v>1990000</v>
      </c>
      <c r="I157" s="244">
        <f>IF(B157="","",VLOOKUP(BF157,Inputs!$A$12:$J$15,10,FALSE))</f>
        <v>1</v>
      </c>
      <c r="J157" s="245">
        <f t="shared" si="695"/>
        <v>1990000</v>
      </c>
      <c r="K157" s="245">
        <f t="shared" si="696"/>
        <v>1990000</v>
      </c>
      <c r="L157" s="245">
        <f t="shared" si="697"/>
        <v>1990000</v>
      </c>
      <c r="M157" s="245">
        <f t="shared" si="698"/>
        <v>1990000</v>
      </c>
      <c r="N157" s="432" t="s">
        <v>246</v>
      </c>
      <c r="O157" s="432" t="s">
        <v>245</v>
      </c>
      <c r="P157" s="433">
        <f>IF(B157="","",IF(OR(O157="N/A",O157=""),0,YEARFRAC('Borrowing Base'!$J$4,'Loan List'!O157)*12))</f>
        <v>0</v>
      </c>
      <c r="Q157" s="432" t="s">
        <v>246</v>
      </c>
      <c r="R157" s="434">
        <v>1.0005999999999999</v>
      </c>
      <c r="S157" s="435" t="str">
        <f t="shared" si="699"/>
        <v>No</v>
      </c>
      <c r="T157" s="434">
        <v>1.0005999999999999</v>
      </c>
      <c r="U157" s="436">
        <f t="shared" si="700"/>
        <v>0.5</v>
      </c>
      <c r="V157" s="436">
        <f t="shared" si="701"/>
        <v>0.72499999999999998</v>
      </c>
      <c r="W157" s="251">
        <f t="shared" si="561"/>
        <v>1990000</v>
      </c>
      <c r="X157" s="432" t="s">
        <v>246</v>
      </c>
      <c r="Y157" s="437" t="s">
        <v>483</v>
      </c>
      <c r="Z157" s="437" t="s">
        <v>484</v>
      </c>
      <c r="AA157" s="438" t="s">
        <v>407</v>
      </c>
      <c r="AB157" s="438" t="s">
        <v>713</v>
      </c>
      <c r="AC157" s="439">
        <v>1.566355140186916</v>
      </c>
      <c r="AD157" s="439">
        <v>1.2036650566754146</v>
      </c>
      <c r="AE157" s="439">
        <v>1.8066465256797581</v>
      </c>
      <c r="AF157" s="439">
        <v>0.27555110220440882</v>
      </c>
      <c r="AG157" s="440">
        <v>4.6875178995129705</v>
      </c>
      <c r="AH157" s="440">
        <v>4.6875178995129705</v>
      </c>
      <c r="AI157" s="440">
        <v>4.4801351351351348</v>
      </c>
      <c r="AJ157" s="440">
        <v>4.4801351351351348</v>
      </c>
      <c r="AK157" s="441">
        <v>110919833.11059916</v>
      </c>
      <c r="AL157" s="441">
        <v>125800000</v>
      </c>
      <c r="AM157" s="258">
        <v>45838</v>
      </c>
      <c r="AN157" s="442" t="str">
        <f t="shared" si="702"/>
        <v>Tier 1</v>
      </c>
      <c r="AO157" s="443">
        <v>48132</v>
      </c>
      <c r="AP157" s="444">
        <f>IF(C157="","",DAYS360(Inputs!$J$8,AO157)/360)</f>
        <v>6.1305555555555555</v>
      </c>
      <c r="AQ157" s="444">
        <f t="shared" si="703"/>
        <v>6.1305555555555555</v>
      </c>
      <c r="AR157" s="432" t="s">
        <v>246</v>
      </c>
      <c r="AS157" s="445">
        <v>0</v>
      </c>
      <c r="AT157" s="432" t="s">
        <v>64</v>
      </c>
      <c r="AU157" s="446">
        <v>0.01</v>
      </c>
      <c r="AV157" s="446">
        <v>4.4999999999999998E-2</v>
      </c>
      <c r="AW157" s="446">
        <v>4.3078999999999999E-2</v>
      </c>
      <c r="AX157" s="260">
        <f t="shared" si="704"/>
        <v>4.3078999999999999E-2</v>
      </c>
      <c r="AY157" s="446">
        <v>0</v>
      </c>
      <c r="AZ157" s="446">
        <v>0</v>
      </c>
      <c r="BA157" s="446">
        <v>0</v>
      </c>
      <c r="BB157" s="447">
        <f t="shared" si="690"/>
        <v>4.4999999999999998E-2</v>
      </c>
      <c r="BC157" s="447" t="str">
        <f t="shared" si="691"/>
        <v/>
      </c>
      <c r="BD157" s="437" t="s">
        <v>247</v>
      </c>
      <c r="BE157" s="448" t="s">
        <v>408</v>
      </c>
      <c r="BF157" s="437" t="s">
        <v>7</v>
      </c>
      <c r="BG157" s="437" t="s">
        <v>460</v>
      </c>
      <c r="BH157" s="432" t="s">
        <v>246</v>
      </c>
      <c r="BI157" s="449" t="str">
        <f t="shared" si="559"/>
        <v>No</v>
      </c>
      <c r="BJ157" s="449" t="str">
        <f t="shared" si="560"/>
        <v>No</v>
      </c>
      <c r="BK157" s="432" t="s">
        <v>246</v>
      </c>
      <c r="BL157" s="432" t="s">
        <v>246</v>
      </c>
      <c r="BM157" s="246" t="s">
        <v>64</v>
      </c>
      <c r="BN157" s="246" t="s">
        <v>64</v>
      </c>
      <c r="BO157" s="432" t="s">
        <v>246</v>
      </c>
      <c r="BP157" s="432" t="s">
        <v>246</v>
      </c>
      <c r="BQ157" s="432" t="s">
        <v>246</v>
      </c>
      <c r="BR157" s="432" t="s">
        <v>246</v>
      </c>
      <c r="BS157" s="432" t="s">
        <v>246</v>
      </c>
      <c r="BT157" s="432" t="s">
        <v>246</v>
      </c>
      <c r="BU157" s="432" t="s">
        <v>246</v>
      </c>
      <c r="BV157" s="432" t="s">
        <v>246</v>
      </c>
      <c r="BW157" s="432" t="s">
        <v>246</v>
      </c>
      <c r="BX157" s="432" t="s">
        <v>246</v>
      </c>
      <c r="BY157" s="432" t="s">
        <v>246</v>
      </c>
      <c r="BZ157" s="432" t="s">
        <v>246</v>
      </c>
      <c r="CA157" s="432" t="s">
        <v>246</v>
      </c>
      <c r="CB157" s="432" t="s">
        <v>64</v>
      </c>
      <c r="CC157" s="450">
        <f t="shared" si="705"/>
        <v>89264.633999999976</v>
      </c>
      <c r="CD157" s="450">
        <f t="shared" si="706"/>
        <v>0</v>
      </c>
      <c r="CF157" s="263">
        <f t="shared" si="562"/>
        <v>0</v>
      </c>
      <c r="CG157" s="263">
        <f t="shared" si="563"/>
        <v>0</v>
      </c>
      <c r="CH157" s="263">
        <f t="shared" si="564"/>
        <v>0</v>
      </c>
      <c r="CI157" s="263">
        <f t="shared" si="565"/>
        <v>0</v>
      </c>
      <c r="CJ157" s="263">
        <f t="shared" si="566"/>
        <v>0</v>
      </c>
      <c r="CK157" s="263">
        <f t="shared" si="567"/>
        <v>0</v>
      </c>
      <c r="CL157" s="263">
        <f t="shared" si="568"/>
        <v>0</v>
      </c>
      <c r="CM157" s="263">
        <f t="shared" si="569"/>
        <v>0</v>
      </c>
      <c r="CN157" s="263">
        <f t="shared" si="570"/>
        <v>0</v>
      </c>
      <c r="CO157" s="263">
        <f t="shared" si="571"/>
        <v>0</v>
      </c>
      <c r="CP157" s="263">
        <f t="shared" si="572"/>
        <v>0</v>
      </c>
      <c r="CQ157" s="263">
        <f t="shared" si="573"/>
        <v>0</v>
      </c>
      <c r="CR157" s="263">
        <f t="shared" si="574"/>
        <v>0</v>
      </c>
      <c r="CS157" s="263">
        <f t="shared" si="575"/>
        <v>0</v>
      </c>
      <c r="CT157" s="263">
        <f t="shared" si="576"/>
        <v>0</v>
      </c>
      <c r="CU157" s="263">
        <f t="shared" si="577"/>
        <v>0</v>
      </c>
      <c r="CV157" s="263">
        <f t="shared" si="578"/>
        <v>0</v>
      </c>
      <c r="CW157" s="263">
        <f t="shared" si="579"/>
        <v>0</v>
      </c>
      <c r="CX157" s="263">
        <f t="shared" si="580"/>
        <v>0</v>
      </c>
      <c r="CY157" s="263">
        <f t="shared" si="581"/>
        <v>0</v>
      </c>
      <c r="CZ157" s="263">
        <f t="shared" si="582"/>
        <v>0</v>
      </c>
      <c r="DA157" s="263">
        <f t="shared" si="583"/>
        <v>0</v>
      </c>
      <c r="DB157" s="263">
        <f t="shared" si="584"/>
        <v>0</v>
      </c>
      <c r="DC157" s="263">
        <f t="shared" si="585"/>
        <v>0</v>
      </c>
      <c r="DD157" s="263">
        <f t="shared" si="586"/>
        <v>0</v>
      </c>
      <c r="DE157" s="263">
        <f t="shared" si="587"/>
        <v>0</v>
      </c>
      <c r="DF157" s="263">
        <f t="shared" si="588"/>
        <v>1990000</v>
      </c>
      <c r="DG157" s="263">
        <f t="shared" si="589"/>
        <v>0</v>
      </c>
      <c r="DH157" s="263">
        <f t="shared" si="590"/>
        <v>1990000</v>
      </c>
      <c r="DI157" s="263">
        <f t="shared" si="591"/>
        <v>1990000</v>
      </c>
      <c r="DJ157" s="263">
        <f t="shared" si="592"/>
        <v>0</v>
      </c>
      <c r="DK157" s="263">
        <f t="shared" si="593"/>
        <v>0</v>
      </c>
      <c r="DL157" s="263">
        <f t="shared" si="594"/>
        <v>0</v>
      </c>
      <c r="DM157" s="263">
        <f t="shared" si="595"/>
        <v>0</v>
      </c>
      <c r="DO157" s="264">
        <f t="shared" si="596"/>
        <v>0</v>
      </c>
      <c r="DP157" s="265">
        <f t="shared" si="597"/>
        <v>0</v>
      </c>
      <c r="DQ157" s="264">
        <f t="shared" si="598"/>
        <v>1990000</v>
      </c>
      <c r="DR157" s="264">
        <f t="shared" si="599"/>
        <v>0</v>
      </c>
      <c r="DS157" s="265">
        <f t="shared" si="600"/>
        <v>0</v>
      </c>
      <c r="DT157" s="264">
        <f t="shared" si="601"/>
        <v>1990000</v>
      </c>
      <c r="DU157" s="264">
        <f t="shared" si="602"/>
        <v>0</v>
      </c>
      <c r="DV157" s="265">
        <f t="shared" si="603"/>
        <v>0</v>
      </c>
      <c r="DW157" s="264">
        <f t="shared" si="604"/>
        <v>1990000</v>
      </c>
      <c r="DX157" s="264">
        <f t="shared" si="605"/>
        <v>0</v>
      </c>
      <c r="DY157" s="265">
        <f t="shared" si="606"/>
        <v>0</v>
      </c>
      <c r="DZ157" s="264">
        <f t="shared" si="607"/>
        <v>1990000</v>
      </c>
      <c r="EA157" s="264">
        <f t="shared" si="608"/>
        <v>0</v>
      </c>
      <c r="EB157" s="265">
        <f t="shared" si="609"/>
        <v>0</v>
      </c>
      <c r="EC157" s="264">
        <f t="shared" si="610"/>
        <v>1990000</v>
      </c>
      <c r="ED157" s="264">
        <f t="shared" si="611"/>
        <v>0</v>
      </c>
      <c r="EE157" s="265">
        <f t="shared" si="612"/>
        <v>0</v>
      </c>
      <c r="EF157" s="264">
        <f t="shared" si="613"/>
        <v>1990000</v>
      </c>
      <c r="EG157" s="264">
        <f t="shared" si="614"/>
        <v>0</v>
      </c>
      <c r="EH157" s="265">
        <f t="shared" si="615"/>
        <v>0</v>
      </c>
      <c r="EI157" s="264">
        <f t="shared" si="616"/>
        <v>1990000</v>
      </c>
      <c r="EJ157" s="264">
        <f t="shared" si="617"/>
        <v>0</v>
      </c>
      <c r="EK157" s="265">
        <f t="shared" si="618"/>
        <v>0</v>
      </c>
      <c r="EL157" s="264">
        <f t="shared" si="619"/>
        <v>1990000</v>
      </c>
      <c r="EM157" s="264">
        <f t="shared" si="620"/>
        <v>0</v>
      </c>
      <c r="EN157" s="265">
        <f t="shared" si="621"/>
        <v>0</v>
      </c>
      <c r="EO157" s="264">
        <f t="shared" si="622"/>
        <v>1990000</v>
      </c>
      <c r="EP157" s="264">
        <f t="shared" si="623"/>
        <v>0</v>
      </c>
      <c r="EQ157" s="265">
        <f t="shared" si="624"/>
        <v>0</v>
      </c>
      <c r="ER157" s="264">
        <f t="shared" si="625"/>
        <v>1990000</v>
      </c>
      <c r="ES157" s="264">
        <f t="shared" si="626"/>
        <v>0</v>
      </c>
      <c r="ET157" s="265">
        <f t="shared" si="627"/>
        <v>0</v>
      </c>
      <c r="EU157" s="264">
        <f t="shared" si="628"/>
        <v>1990000</v>
      </c>
      <c r="EV157" s="264">
        <f>IF(AND(BM157="Yes",OR(BN157="No",AND(BN157="Yes",Inputs!$J$8=Inputs!$J$17+75))),EU157,0)</f>
        <v>0</v>
      </c>
      <c r="EW157" s="265">
        <f t="shared" si="629"/>
        <v>0</v>
      </c>
      <c r="EX157" s="264">
        <f t="shared" si="630"/>
        <v>1990000</v>
      </c>
      <c r="EY157" s="264">
        <f t="shared" si="631"/>
        <v>0</v>
      </c>
      <c r="EZ157" s="265">
        <f t="shared" si="632"/>
        <v>0</v>
      </c>
      <c r="FA157" s="264">
        <f t="shared" si="633"/>
        <v>1990000</v>
      </c>
      <c r="FB157" s="264">
        <f t="shared" si="634"/>
        <v>0</v>
      </c>
      <c r="FC157" s="265">
        <f t="shared" si="635"/>
        <v>0</v>
      </c>
      <c r="FD157" s="264">
        <f t="shared" si="636"/>
        <v>1990000</v>
      </c>
      <c r="FE157" s="264">
        <f t="shared" si="637"/>
        <v>0</v>
      </c>
      <c r="FF157" s="265">
        <f t="shared" si="638"/>
        <v>0</v>
      </c>
      <c r="FG157" s="264">
        <f t="shared" si="639"/>
        <v>1990000</v>
      </c>
      <c r="FH157" s="264">
        <f t="shared" si="640"/>
        <v>1990000</v>
      </c>
      <c r="FI157" s="264">
        <f t="shared" si="641"/>
        <v>0</v>
      </c>
      <c r="FJ157" s="264">
        <f t="shared" si="642"/>
        <v>1990000</v>
      </c>
      <c r="FK157" s="264">
        <f t="shared" si="643"/>
        <v>1990000</v>
      </c>
      <c r="FL157" s="264">
        <f t="shared" si="644"/>
        <v>0</v>
      </c>
      <c r="FM157" s="264">
        <f t="shared" si="645"/>
        <v>1990000</v>
      </c>
      <c r="FN157" s="264">
        <f t="shared" si="646"/>
        <v>1990000</v>
      </c>
      <c r="FO157" s="264">
        <f t="shared" si="647"/>
        <v>0</v>
      </c>
      <c r="FP157" s="264">
        <f t="shared" si="648"/>
        <v>1990000</v>
      </c>
      <c r="FQ157" s="264">
        <f t="shared" si="649"/>
        <v>0</v>
      </c>
      <c r="FR157" s="265">
        <f t="shared" si="650"/>
        <v>0</v>
      </c>
      <c r="FS157" s="264">
        <f t="shared" si="651"/>
        <v>1990000</v>
      </c>
      <c r="FT157" s="264">
        <f t="shared" si="652"/>
        <v>0</v>
      </c>
      <c r="FU157" s="265">
        <f t="shared" si="653"/>
        <v>0</v>
      </c>
      <c r="FV157" s="264">
        <f t="shared" si="654"/>
        <v>1990000</v>
      </c>
      <c r="FW157" s="264">
        <f t="shared" si="655"/>
        <v>0</v>
      </c>
      <c r="FX157" s="264">
        <f t="shared" si="656"/>
        <v>0</v>
      </c>
      <c r="FY157" s="264">
        <f t="shared" si="657"/>
        <v>0</v>
      </c>
      <c r="FZ157" s="264">
        <f t="shared" si="658"/>
        <v>0</v>
      </c>
      <c r="GA157" s="265">
        <f t="shared" si="659"/>
        <v>0</v>
      </c>
      <c r="GB157" s="264">
        <f t="shared" si="660"/>
        <v>1990000</v>
      </c>
      <c r="GC157" s="264">
        <f t="shared" si="661"/>
        <v>1990000</v>
      </c>
      <c r="GD157" s="266">
        <f t="shared" si="662"/>
        <v>1442750</v>
      </c>
      <c r="GE157" s="138">
        <f t="shared" si="663"/>
        <v>0.72499999999999998</v>
      </c>
      <c r="GF157" s="267">
        <f t="shared" si="664"/>
        <v>31</v>
      </c>
      <c r="GG157" s="264">
        <f t="array" ref="GG157">IF(SUM(IF(IC$9:IC156=IC157,1,0))&gt;0,0,SUMIF($IC$10:$IC$406,IC157,$FJ$10:$FJ$406))</f>
        <v>0</v>
      </c>
      <c r="GH157" s="268">
        <f t="shared" si="665"/>
        <v>0</v>
      </c>
      <c r="GI157" s="137">
        <f t="shared" si="126"/>
        <v>148</v>
      </c>
      <c r="GJ157" s="269">
        <f t="shared" si="666"/>
        <v>0</v>
      </c>
      <c r="GK157" s="269">
        <f t="shared" si="667"/>
        <v>0</v>
      </c>
      <c r="GL157" s="163">
        <f t="shared" si="668"/>
        <v>0</v>
      </c>
      <c r="GM157" s="137">
        <f t="array" ref="GM157">IF(GJ157=0,0,LARGE(IF($GG$10:$GG$406=GJ157,$GF$10:$GF$406,0),COUNTIF($GJ$10:$GJ$406,GJ157)-COUNTIF(GJ$9:GJ156,GJ157)))</f>
        <v>0</v>
      </c>
      <c r="GN157" s="270">
        <f t="shared" si="669"/>
        <v>0</v>
      </c>
      <c r="GP157" s="137">
        <f>IF(C157="","",IF(ISERROR(MATCH(C157,C$10:C156,0)),MAX(GP$10:GP156)+1,INDEX(GP$10:GP156,MATCH(C157,C$10:C156,0))))</f>
        <v>114</v>
      </c>
      <c r="GQ157" s="264">
        <f>IF(COUNTIF($A$10:A157,A157)&lt;=1,SUMIF($A$10:$A$406,A157,$FH$10:$FH$406),0)</f>
        <v>1990000</v>
      </c>
      <c r="GR157" s="137">
        <f t="shared" si="130"/>
        <v>148</v>
      </c>
      <c r="GS157" s="269">
        <f t="shared" si="707"/>
        <v>0</v>
      </c>
      <c r="GT157" s="269">
        <f t="shared" si="708"/>
        <v>0</v>
      </c>
      <c r="GU157" s="163">
        <f t="shared" si="709"/>
        <v>0</v>
      </c>
      <c r="GV157" s="137">
        <f t="array" ref="GV157">IF(GS157=0,0,LARGE(IF($GQ$10:$GQ$406=GS157,$GP$10:$GP$406,0),COUNTIF($GS$10:$GS$406,GS157)-COUNTIF(GS$9:GS156,GS157)))</f>
        <v>0</v>
      </c>
      <c r="GW157" s="270">
        <f t="shared" si="710"/>
        <v>0</v>
      </c>
      <c r="GY157" s="137">
        <f>IF(C157="","",IF(ISERROR(MATCH(C157,C$10:C156,0)),MAX(GP$10:GP156)+1,INDEX(GP$10:GP156,MATCH(C157,C$10:C156,0))))</f>
        <v>114</v>
      </c>
      <c r="GZ157" s="264">
        <f>IF(COUNTIF($A$10:A157,A157)&lt;=1,SUMIF($A$10:$A$406,A157,$FH$10:$FH$406),0)</f>
        <v>1990000</v>
      </c>
      <c r="HA157" s="137">
        <f t="shared" si="134"/>
        <v>148</v>
      </c>
      <c r="HB157" s="269">
        <f t="shared" si="670"/>
        <v>0</v>
      </c>
      <c r="HC157" s="414" t="s">
        <v>622</v>
      </c>
      <c r="HD157" s="163">
        <f t="shared" si="671"/>
        <v>0</v>
      </c>
      <c r="HE157" s="137">
        <f t="array" ref="HE157">IF(HB157=0,0,LARGE(IF($GZ$10:$GZ$406=HB157,$GY$10:$GY$406,0),COUNTIF($HB$10:$HB$406,HB157)-COUNTIF(HB$9:HB156,HB157)))</f>
        <v>0</v>
      </c>
      <c r="HF157" s="270">
        <f t="shared" si="672"/>
        <v>0</v>
      </c>
      <c r="HH157" s="268">
        <f t="shared" si="673"/>
        <v>0</v>
      </c>
      <c r="HI157" s="271">
        <v>0</v>
      </c>
      <c r="HJ157" s="264">
        <f t="shared" si="674"/>
        <v>0</v>
      </c>
      <c r="HL157" s="137" t="str">
        <f t="shared" si="675"/>
        <v/>
      </c>
      <c r="HM157" s="264">
        <f t="shared" si="676"/>
        <v>0</v>
      </c>
      <c r="HO157" s="199">
        <f t="shared" si="677"/>
        <v>1990000</v>
      </c>
      <c r="HP157" s="199">
        <f t="shared" si="678"/>
        <v>1990000</v>
      </c>
      <c r="HQ157" s="199" t="str">
        <f t="shared" si="679"/>
        <v/>
      </c>
      <c r="HR157" s="199" t="str">
        <f t="shared" si="680"/>
        <v/>
      </c>
      <c r="HS157" s="199" t="str">
        <f t="shared" si="693"/>
        <v/>
      </c>
      <c r="HT157" s="199" t="str">
        <f t="shared" si="681"/>
        <v/>
      </c>
      <c r="HU157" s="199" t="str">
        <f t="shared" si="682"/>
        <v/>
      </c>
      <c r="HV157" s="200">
        <f t="shared" si="683"/>
        <v>0</v>
      </c>
      <c r="HW157" s="272">
        <f t="shared" si="684"/>
        <v>1</v>
      </c>
      <c r="HX157" s="200" t="str">
        <f t="shared" si="685"/>
        <v/>
      </c>
      <c r="HY157" s="200">
        <f t="shared" si="686"/>
        <v>0</v>
      </c>
      <c r="HZ157" s="200" t="str">
        <f t="shared" si="692"/>
        <v/>
      </c>
      <c r="IA157" s="200" t="str">
        <f t="shared" si="687"/>
        <v/>
      </c>
      <c r="IB157" s="200" t="str">
        <f t="shared" si="688"/>
        <v/>
      </c>
      <c r="IC157" s="273">
        <f>IF(C157="","",INDEX(Lookups!$E$2:$E$69,MATCH('Loan List'!BE157,Lookups!$F$2:$F$69,0)))</f>
        <v>31</v>
      </c>
      <c r="ID157" t="b">
        <f t="shared" si="689"/>
        <v>1</v>
      </c>
    </row>
    <row r="158" spans="1:238">
      <c r="A158" t="s">
        <v>615</v>
      </c>
      <c r="B158" s="242">
        <f t="shared" si="694"/>
        <v>149</v>
      </c>
      <c r="C158" s="242">
        <f>IF(COUNTIF($A$10:A157,A158)&gt;0,C157,C157+1)</f>
        <v>115</v>
      </c>
      <c r="D158" s="428" t="s">
        <v>615</v>
      </c>
      <c r="E158" s="428" t="s">
        <v>588</v>
      </c>
      <c r="F158" s="429"/>
      <c r="G158" s="430">
        <v>412657.25</v>
      </c>
      <c r="H158" s="430">
        <v>412657.25</v>
      </c>
      <c r="I158" s="244">
        <f>IF(B158="","",VLOOKUP(BF158,Inputs!$A$12:$J$15,10,FALSE))</f>
        <v>1</v>
      </c>
      <c r="J158" s="245">
        <f t="shared" si="695"/>
        <v>412657.25</v>
      </c>
      <c r="K158" s="245">
        <f t="shared" si="696"/>
        <v>412657.25</v>
      </c>
      <c r="L158" s="245">
        <f t="shared" si="697"/>
        <v>412657.25</v>
      </c>
      <c r="M158" s="245">
        <f t="shared" si="698"/>
        <v>412657.25</v>
      </c>
      <c r="N158" s="432" t="s">
        <v>246</v>
      </c>
      <c r="O158" s="432" t="s">
        <v>245</v>
      </c>
      <c r="P158" s="433">
        <f>IF(B158="","",IF(OR(O158="N/A",O158=""),0,YEARFRAC('Borrowing Base'!$J$4,'Loan List'!O158)*12))</f>
        <v>0</v>
      </c>
      <c r="Q158" s="432" t="s">
        <v>246</v>
      </c>
      <c r="R158" s="434">
        <v>0.98633072757594753</v>
      </c>
      <c r="S158" s="435" t="str">
        <f t="shared" si="699"/>
        <v>No</v>
      </c>
      <c r="T158" s="434">
        <v>0.99750000757287072</v>
      </c>
      <c r="U158" s="436">
        <f t="shared" si="700"/>
        <v>0.5</v>
      </c>
      <c r="V158" s="436">
        <f t="shared" si="701"/>
        <v>0.72499999999999998</v>
      </c>
      <c r="W158" s="251">
        <f t="shared" si="561"/>
        <v>412657.25</v>
      </c>
      <c r="X158" s="432" t="s">
        <v>246</v>
      </c>
      <c r="Y158" s="437" t="s">
        <v>483</v>
      </c>
      <c r="Z158" s="437" t="s">
        <v>484</v>
      </c>
      <c r="AA158" s="438" t="s">
        <v>368</v>
      </c>
      <c r="AB158" s="438" t="s">
        <v>717</v>
      </c>
      <c r="AC158" s="439">
        <v>2.0834708017156056</v>
      </c>
      <c r="AD158" s="439">
        <v>1.8302791910019816</v>
      </c>
      <c r="AE158" s="439">
        <v>2.1270831424740364</v>
      </c>
      <c r="AF158" s="439">
        <v>0.44527363184079605</v>
      </c>
      <c r="AG158" s="440">
        <v>3.9285714285714284</v>
      </c>
      <c r="AH158" s="440">
        <v>5.5590062111801242</v>
      </c>
      <c r="AI158" s="440">
        <v>3.3042353005665599</v>
      </c>
      <c r="AJ158" s="440">
        <v>3.793661731943101</v>
      </c>
      <c r="AK158" s="441">
        <v>64400000.000000007</v>
      </c>
      <c r="AL158" s="441">
        <v>255401000</v>
      </c>
      <c r="AM158" s="258">
        <v>45747</v>
      </c>
      <c r="AN158" s="442" t="str">
        <f t="shared" si="702"/>
        <v>Tier 1</v>
      </c>
      <c r="AO158" s="443">
        <v>46741</v>
      </c>
      <c r="AP158" s="444">
        <f>IF(C158="","",DAYS360(Inputs!$J$8,AO158)/360)</f>
        <v>2.3222222222222224</v>
      </c>
      <c r="AQ158" s="444">
        <f t="shared" si="703"/>
        <v>2.3222222222222224</v>
      </c>
      <c r="AR158" s="432" t="s">
        <v>246</v>
      </c>
      <c r="AS158" s="445">
        <v>0</v>
      </c>
      <c r="AT158" s="432" t="s">
        <v>64</v>
      </c>
      <c r="AU158" s="446">
        <v>0.01</v>
      </c>
      <c r="AV158" s="446">
        <v>5.2499999999999998E-2</v>
      </c>
      <c r="AW158" s="446">
        <v>4.3078999999999999E-2</v>
      </c>
      <c r="AX158" s="260">
        <f t="shared" si="704"/>
        <v>4.3078999999999999E-2</v>
      </c>
      <c r="AY158" s="446">
        <v>0</v>
      </c>
      <c r="AZ158" s="446">
        <v>0</v>
      </c>
      <c r="BA158" s="446">
        <v>0</v>
      </c>
      <c r="BB158" s="447">
        <f t="shared" si="690"/>
        <v>5.2499999999999998E-2</v>
      </c>
      <c r="BC158" s="447" t="str">
        <f t="shared" si="691"/>
        <v/>
      </c>
      <c r="BD158" s="437" t="s">
        <v>247</v>
      </c>
      <c r="BE158" s="448" t="s">
        <v>408</v>
      </c>
      <c r="BF158" s="437" t="s">
        <v>7</v>
      </c>
      <c r="BG158" s="437" t="s">
        <v>460</v>
      </c>
      <c r="BH158" s="432" t="s">
        <v>246</v>
      </c>
      <c r="BI158" s="449" t="str">
        <f t="shared" si="559"/>
        <v>No</v>
      </c>
      <c r="BJ158" s="449" t="str">
        <f t="shared" si="560"/>
        <v>No</v>
      </c>
      <c r="BK158" s="432" t="s">
        <v>246</v>
      </c>
      <c r="BL158" s="432" t="s">
        <v>246</v>
      </c>
      <c r="BM158" s="432" t="s">
        <v>246</v>
      </c>
      <c r="BN158" s="432" t="s">
        <v>246</v>
      </c>
      <c r="BO158" s="432" t="s">
        <v>246</v>
      </c>
      <c r="BP158" s="432" t="s">
        <v>246</v>
      </c>
      <c r="BQ158" s="432" t="s">
        <v>246</v>
      </c>
      <c r="BR158" s="432" t="s">
        <v>246</v>
      </c>
      <c r="BS158" s="432" t="s">
        <v>246</v>
      </c>
      <c r="BT158" s="432" t="s">
        <v>246</v>
      </c>
      <c r="BU158" s="432" t="s">
        <v>246</v>
      </c>
      <c r="BV158" s="432" t="s">
        <v>246</v>
      </c>
      <c r="BW158" s="432" t="s">
        <v>246</v>
      </c>
      <c r="BX158" s="432" t="s">
        <v>246</v>
      </c>
      <c r="BY158" s="432" t="s">
        <v>246</v>
      </c>
      <c r="BZ158" s="432" t="s">
        <v>246</v>
      </c>
      <c r="CA158" s="432" t="s">
        <v>246</v>
      </c>
      <c r="CB158" s="432" t="s">
        <v>64</v>
      </c>
      <c r="CC158" s="450">
        <f t="shared" si="705"/>
        <v>21605.330575349999</v>
      </c>
      <c r="CD158" s="450">
        <f t="shared" si="706"/>
        <v>0</v>
      </c>
      <c r="CF158" s="263">
        <f t="shared" si="562"/>
        <v>0</v>
      </c>
      <c r="CG158" s="263">
        <f t="shared" si="563"/>
        <v>0</v>
      </c>
      <c r="CH158" s="263">
        <f t="shared" si="564"/>
        <v>0</v>
      </c>
      <c r="CI158" s="263">
        <f t="shared" si="565"/>
        <v>0</v>
      </c>
      <c r="CJ158" s="263">
        <f t="shared" si="566"/>
        <v>0</v>
      </c>
      <c r="CK158" s="263">
        <f t="shared" si="567"/>
        <v>0</v>
      </c>
      <c r="CL158" s="263">
        <f t="shared" si="568"/>
        <v>0</v>
      </c>
      <c r="CM158" s="263">
        <f t="shared" si="569"/>
        <v>0</v>
      </c>
      <c r="CN158" s="263">
        <f t="shared" si="570"/>
        <v>0</v>
      </c>
      <c r="CO158" s="263">
        <f t="shared" si="571"/>
        <v>0</v>
      </c>
      <c r="CP158" s="263">
        <f t="shared" si="572"/>
        <v>0</v>
      </c>
      <c r="CQ158" s="263">
        <f t="shared" si="573"/>
        <v>0</v>
      </c>
      <c r="CR158" s="263">
        <f t="shared" si="574"/>
        <v>0</v>
      </c>
      <c r="CS158" s="263">
        <f t="shared" si="575"/>
        <v>0</v>
      </c>
      <c r="CT158" s="263">
        <f t="shared" si="576"/>
        <v>0</v>
      </c>
      <c r="CU158" s="263">
        <f t="shared" si="577"/>
        <v>0</v>
      </c>
      <c r="CV158" s="263">
        <f t="shared" si="578"/>
        <v>0</v>
      </c>
      <c r="CW158" s="263">
        <f t="shared" si="579"/>
        <v>0</v>
      </c>
      <c r="CX158" s="263">
        <f t="shared" si="580"/>
        <v>0</v>
      </c>
      <c r="CY158" s="263">
        <f t="shared" si="581"/>
        <v>0</v>
      </c>
      <c r="CZ158" s="263">
        <f t="shared" si="582"/>
        <v>0</v>
      </c>
      <c r="DA158" s="263">
        <f t="shared" si="583"/>
        <v>0</v>
      </c>
      <c r="DB158" s="263">
        <f t="shared" si="584"/>
        <v>0</v>
      </c>
      <c r="DC158" s="263">
        <f t="shared" si="585"/>
        <v>0</v>
      </c>
      <c r="DD158" s="263">
        <f t="shared" si="586"/>
        <v>0</v>
      </c>
      <c r="DE158" s="263">
        <f t="shared" si="587"/>
        <v>0</v>
      </c>
      <c r="DF158" s="263">
        <f t="shared" si="588"/>
        <v>412657.25</v>
      </c>
      <c r="DG158" s="263">
        <f t="shared" si="589"/>
        <v>0</v>
      </c>
      <c r="DH158" s="263">
        <f t="shared" si="590"/>
        <v>412657.25</v>
      </c>
      <c r="DI158" s="263">
        <f t="shared" si="591"/>
        <v>412657.25</v>
      </c>
      <c r="DJ158" s="263">
        <f t="shared" si="592"/>
        <v>0</v>
      </c>
      <c r="DK158" s="263">
        <f t="shared" si="593"/>
        <v>0</v>
      </c>
      <c r="DL158" s="263">
        <f t="shared" si="594"/>
        <v>0</v>
      </c>
      <c r="DM158" s="263">
        <f t="shared" si="595"/>
        <v>0</v>
      </c>
      <c r="DO158" s="264">
        <f t="shared" si="596"/>
        <v>0</v>
      </c>
      <c r="DP158" s="265">
        <f t="shared" si="597"/>
        <v>0</v>
      </c>
      <c r="DQ158" s="264">
        <f t="shared" si="598"/>
        <v>412657.25</v>
      </c>
      <c r="DR158" s="264">
        <f t="shared" si="599"/>
        <v>0</v>
      </c>
      <c r="DS158" s="265">
        <f t="shared" si="600"/>
        <v>0</v>
      </c>
      <c r="DT158" s="264">
        <f t="shared" si="601"/>
        <v>412657.25</v>
      </c>
      <c r="DU158" s="264">
        <f t="shared" si="602"/>
        <v>0</v>
      </c>
      <c r="DV158" s="265">
        <f t="shared" si="603"/>
        <v>0</v>
      </c>
      <c r="DW158" s="264">
        <f t="shared" si="604"/>
        <v>412657.25</v>
      </c>
      <c r="DX158" s="264">
        <f t="shared" si="605"/>
        <v>0</v>
      </c>
      <c r="DY158" s="265">
        <f t="shared" si="606"/>
        <v>0</v>
      </c>
      <c r="DZ158" s="264">
        <f t="shared" si="607"/>
        <v>412657.25</v>
      </c>
      <c r="EA158" s="264">
        <f t="shared" si="608"/>
        <v>0</v>
      </c>
      <c r="EB158" s="265">
        <f t="shared" si="609"/>
        <v>0</v>
      </c>
      <c r="EC158" s="264">
        <f t="shared" si="610"/>
        <v>412657.25</v>
      </c>
      <c r="ED158" s="264">
        <f t="shared" si="611"/>
        <v>0</v>
      </c>
      <c r="EE158" s="265">
        <f t="shared" si="612"/>
        <v>0</v>
      </c>
      <c r="EF158" s="264">
        <f t="shared" si="613"/>
        <v>412657.25</v>
      </c>
      <c r="EG158" s="264">
        <f t="shared" si="614"/>
        <v>0</v>
      </c>
      <c r="EH158" s="265">
        <f t="shared" si="615"/>
        <v>0</v>
      </c>
      <c r="EI158" s="264">
        <f t="shared" si="616"/>
        <v>412657.25</v>
      </c>
      <c r="EJ158" s="264">
        <f t="shared" si="617"/>
        <v>0</v>
      </c>
      <c r="EK158" s="265">
        <f t="shared" si="618"/>
        <v>0</v>
      </c>
      <c r="EL158" s="264">
        <f t="shared" si="619"/>
        <v>412657.25</v>
      </c>
      <c r="EM158" s="264">
        <f t="shared" si="620"/>
        <v>0</v>
      </c>
      <c r="EN158" s="265">
        <f t="shared" si="621"/>
        <v>0</v>
      </c>
      <c r="EO158" s="264">
        <f t="shared" si="622"/>
        <v>412657.25</v>
      </c>
      <c r="EP158" s="264">
        <f t="shared" si="623"/>
        <v>0</v>
      </c>
      <c r="EQ158" s="265">
        <f t="shared" si="624"/>
        <v>0</v>
      </c>
      <c r="ER158" s="264">
        <f t="shared" si="625"/>
        <v>412657.25</v>
      </c>
      <c r="ES158" s="264">
        <f t="shared" si="626"/>
        <v>0</v>
      </c>
      <c r="ET158" s="265">
        <f t="shared" si="627"/>
        <v>0</v>
      </c>
      <c r="EU158" s="264">
        <f t="shared" si="628"/>
        <v>412657.25</v>
      </c>
      <c r="EV158" s="264">
        <f>IF(AND(BM158="Yes",OR(BN158="No",AND(BN158="Yes",Inputs!$J$8=Inputs!$J$17+75))),EU158,0)</f>
        <v>0</v>
      </c>
      <c r="EW158" s="265">
        <f t="shared" si="629"/>
        <v>0</v>
      </c>
      <c r="EX158" s="264">
        <f t="shared" si="630"/>
        <v>412657.25</v>
      </c>
      <c r="EY158" s="264">
        <f t="shared" si="631"/>
        <v>0</v>
      </c>
      <c r="EZ158" s="265">
        <f t="shared" si="632"/>
        <v>0</v>
      </c>
      <c r="FA158" s="264">
        <f t="shared" si="633"/>
        <v>412657.25</v>
      </c>
      <c r="FB158" s="264">
        <f t="shared" si="634"/>
        <v>0</v>
      </c>
      <c r="FC158" s="265">
        <f t="shared" si="635"/>
        <v>0</v>
      </c>
      <c r="FD158" s="264">
        <f t="shared" si="636"/>
        <v>412657.25</v>
      </c>
      <c r="FE158" s="264">
        <f t="shared" si="637"/>
        <v>0</v>
      </c>
      <c r="FF158" s="265">
        <f t="shared" si="638"/>
        <v>0</v>
      </c>
      <c r="FG158" s="264">
        <f t="shared" si="639"/>
        <v>412657.25</v>
      </c>
      <c r="FH158" s="264">
        <f t="shared" si="640"/>
        <v>412657.25</v>
      </c>
      <c r="FI158" s="264">
        <f t="shared" si="641"/>
        <v>0</v>
      </c>
      <c r="FJ158" s="264">
        <f t="shared" si="642"/>
        <v>412657.25</v>
      </c>
      <c r="FK158" s="264">
        <f t="shared" si="643"/>
        <v>412657.25</v>
      </c>
      <c r="FL158" s="264">
        <f t="shared" si="644"/>
        <v>0</v>
      </c>
      <c r="FM158" s="264">
        <f t="shared" si="645"/>
        <v>412657.25</v>
      </c>
      <c r="FN158" s="264">
        <f t="shared" si="646"/>
        <v>412657.25</v>
      </c>
      <c r="FO158" s="264">
        <f t="shared" si="647"/>
        <v>0</v>
      </c>
      <c r="FP158" s="264">
        <f t="shared" si="648"/>
        <v>412657.25</v>
      </c>
      <c r="FQ158" s="264">
        <f t="shared" si="649"/>
        <v>0</v>
      </c>
      <c r="FR158" s="265">
        <f t="shared" si="650"/>
        <v>0</v>
      </c>
      <c r="FS158" s="264">
        <f t="shared" si="651"/>
        <v>412657.25</v>
      </c>
      <c r="FT158" s="264">
        <f t="shared" si="652"/>
        <v>0</v>
      </c>
      <c r="FU158" s="265">
        <f t="shared" si="653"/>
        <v>0</v>
      </c>
      <c r="FV158" s="264">
        <f t="shared" si="654"/>
        <v>412657.25</v>
      </c>
      <c r="FW158" s="264">
        <f t="shared" si="655"/>
        <v>0</v>
      </c>
      <c r="FX158" s="264">
        <f t="shared" si="656"/>
        <v>0</v>
      </c>
      <c r="FY158" s="264">
        <f t="shared" si="657"/>
        <v>0</v>
      </c>
      <c r="FZ158" s="264">
        <f t="shared" si="658"/>
        <v>0</v>
      </c>
      <c r="GA158" s="265">
        <f t="shared" si="659"/>
        <v>0</v>
      </c>
      <c r="GB158" s="264">
        <f t="shared" si="660"/>
        <v>412657.25</v>
      </c>
      <c r="GC158" s="264">
        <f t="shared" si="661"/>
        <v>412657.25</v>
      </c>
      <c r="GD158" s="266">
        <f t="shared" si="662"/>
        <v>299176.50624999998</v>
      </c>
      <c r="GE158" s="138">
        <f t="shared" si="663"/>
        <v>0.72499999999999998</v>
      </c>
      <c r="GF158" s="267">
        <f t="shared" si="664"/>
        <v>31</v>
      </c>
      <c r="GG158" s="264">
        <f t="array" ref="GG158">IF(SUM(IF(IC$9:IC157=IC158,1,0))&gt;0,0,SUMIF($IC$10:$IC$406,IC158,$FJ$10:$FJ$406))</f>
        <v>0</v>
      </c>
      <c r="GH158" s="268">
        <f t="shared" si="665"/>
        <v>0</v>
      </c>
      <c r="GI158" s="137">
        <f t="shared" si="126"/>
        <v>149</v>
      </c>
      <c r="GJ158" s="269">
        <f t="shared" si="666"/>
        <v>0</v>
      </c>
      <c r="GK158" s="269">
        <f t="shared" si="667"/>
        <v>0</v>
      </c>
      <c r="GL158" s="163">
        <f t="shared" si="668"/>
        <v>0</v>
      </c>
      <c r="GM158" s="137">
        <f t="array" ref="GM158">IF(GJ158=0,0,LARGE(IF($GG$10:$GG$406=GJ158,$GF$10:$GF$406,0),COUNTIF($GJ$10:$GJ$406,GJ158)-COUNTIF(GJ$9:GJ157,GJ158)))</f>
        <v>0</v>
      </c>
      <c r="GN158" s="270">
        <f t="shared" si="669"/>
        <v>0</v>
      </c>
      <c r="GP158" s="137">
        <f>IF(C158="","",IF(ISERROR(MATCH(C158,C$10:C157,0)),MAX(GP$10:GP157)+1,INDEX(GP$10:GP157,MATCH(C158,C$10:C157,0))))</f>
        <v>115</v>
      </c>
      <c r="GQ158" s="264">
        <f>IF(COUNTIF($A$10:A158,A158)&lt;=1,SUMIF($A$10:$A$406,A158,$FH$10:$FH$406),0)</f>
        <v>6864468.25</v>
      </c>
      <c r="GR158" s="137">
        <f t="shared" si="130"/>
        <v>149</v>
      </c>
      <c r="GS158" s="269">
        <f t="shared" si="707"/>
        <v>0</v>
      </c>
      <c r="GT158" s="269">
        <f t="shared" si="708"/>
        <v>0</v>
      </c>
      <c r="GU158" s="163">
        <f t="shared" si="709"/>
        <v>0</v>
      </c>
      <c r="GV158" s="137">
        <f t="array" ref="GV158">IF(GS158=0,0,LARGE(IF($GQ$10:$GQ$406=GS158,$GP$10:$GP$406,0),COUNTIF($GS$10:$GS$406,GS158)-COUNTIF(GS$9:GS157,GS158)))</f>
        <v>0</v>
      </c>
      <c r="GW158" s="270">
        <f t="shared" si="710"/>
        <v>0</v>
      </c>
      <c r="GY158" s="137">
        <f>IF(C158="","",IF(ISERROR(MATCH(C158,C$10:C157,0)),MAX(GP$10:GP157)+1,INDEX(GP$10:GP157,MATCH(C158,C$10:C157,0))))</f>
        <v>115</v>
      </c>
      <c r="GZ158" s="264">
        <f>IF(COUNTIF($A$10:A158,A158)&lt;=1,SUMIF($A$10:$A$406,A158,$FH$10:$FH$406),0)</f>
        <v>6864468.25</v>
      </c>
      <c r="HA158" s="137">
        <f t="shared" si="134"/>
        <v>149</v>
      </c>
      <c r="HB158" s="269">
        <f t="shared" si="670"/>
        <v>0</v>
      </c>
      <c r="HC158" s="414" t="s">
        <v>622</v>
      </c>
      <c r="HD158" s="163">
        <f t="shared" si="671"/>
        <v>0</v>
      </c>
      <c r="HE158" s="137">
        <f t="array" ref="HE158">IF(HB158=0,0,LARGE(IF($GZ$10:$GZ$406=HB158,$GY$10:$GY$406,0),COUNTIF($HB$10:$HB$406,HB158)-COUNTIF(HB$9:HB157,HB158)))</f>
        <v>0</v>
      </c>
      <c r="HF158" s="270">
        <f t="shared" si="672"/>
        <v>0</v>
      </c>
      <c r="HH158" s="268">
        <f t="shared" si="673"/>
        <v>0</v>
      </c>
      <c r="HI158" s="271">
        <v>0</v>
      </c>
      <c r="HJ158" s="264">
        <f t="shared" si="674"/>
        <v>0</v>
      </c>
      <c r="HL158" s="137" t="str">
        <f t="shared" si="675"/>
        <v/>
      </c>
      <c r="HM158" s="264">
        <f t="shared" si="676"/>
        <v>0</v>
      </c>
      <c r="HO158" s="199">
        <f t="shared" si="677"/>
        <v>412657.25</v>
      </c>
      <c r="HP158" s="199">
        <f t="shared" si="678"/>
        <v>412657.25</v>
      </c>
      <c r="HQ158" s="199" t="str">
        <f t="shared" si="679"/>
        <v/>
      </c>
      <c r="HR158" s="199" t="str">
        <f t="shared" si="680"/>
        <v/>
      </c>
      <c r="HS158" s="199" t="str">
        <f t="shared" si="693"/>
        <v/>
      </c>
      <c r="HT158" s="199" t="str">
        <f t="shared" si="681"/>
        <v/>
      </c>
      <c r="HU158" s="199" t="str">
        <f t="shared" si="682"/>
        <v/>
      </c>
      <c r="HV158" s="200">
        <f t="shared" si="683"/>
        <v>0</v>
      </c>
      <c r="HW158" s="272">
        <f t="shared" si="684"/>
        <v>1</v>
      </c>
      <c r="HX158" s="200" t="str">
        <f t="shared" si="685"/>
        <v/>
      </c>
      <c r="HY158" s="200">
        <f t="shared" si="686"/>
        <v>0</v>
      </c>
      <c r="HZ158" s="200" t="str">
        <f t="shared" si="692"/>
        <v/>
      </c>
      <c r="IA158" s="200" t="str">
        <f t="shared" si="687"/>
        <v/>
      </c>
      <c r="IB158" s="200" t="str">
        <f t="shared" si="688"/>
        <v/>
      </c>
      <c r="IC158" s="273">
        <f>IF(C158="","",INDEX(Lookups!$E$2:$E$69,MATCH('Loan List'!BE158,Lookups!$F$2:$F$69,0)))</f>
        <v>31</v>
      </c>
      <c r="ID158" t="b">
        <f t="shared" si="689"/>
        <v>1</v>
      </c>
    </row>
    <row r="159" spans="1:238">
      <c r="A159" t="s">
        <v>615</v>
      </c>
      <c r="B159" s="242">
        <f t="shared" si="694"/>
        <v>150</v>
      </c>
      <c r="C159" s="242">
        <f>IF(COUNTIF($A$10:A158,A159)&gt;0,C158,C158+1)</f>
        <v>115</v>
      </c>
      <c r="D159" s="431" t="s">
        <v>801</v>
      </c>
      <c r="E159" s="428" t="s">
        <v>588</v>
      </c>
      <c r="F159" s="429"/>
      <c r="G159" s="430">
        <v>5451811</v>
      </c>
      <c r="H159" s="430">
        <v>5451811</v>
      </c>
      <c r="I159" s="244">
        <f>IF(B159="","",VLOOKUP(BF159,Inputs!$A$12:$J$15,10,FALSE))</f>
        <v>1</v>
      </c>
      <c r="J159" s="245">
        <f t="shared" si="695"/>
        <v>5451811</v>
      </c>
      <c r="K159" s="245">
        <f t="shared" si="696"/>
        <v>5451811</v>
      </c>
      <c r="L159" s="245">
        <f t="shared" si="697"/>
        <v>5451811</v>
      </c>
      <c r="M159" s="245">
        <f t="shared" si="698"/>
        <v>5451811</v>
      </c>
      <c r="N159" s="432" t="s">
        <v>246</v>
      </c>
      <c r="O159" s="432" t="s">
        <v>245</v>
      </c>
      <c r="P159" s="433">
        <f>IF(B159="","",IF(OR(O159="N/A",O159=""),0,YEARFRAC('Borrowing Base'!$J$4,'Loan List'!O159)*12))</f>
        <v>0</v>
      </c>
      <c r="Q159" s="432" t="s">
        <v>246</v>
      </c>
      <c r="R159" s="434">
        <v>0.98633072757594753</v>
      </c>
      <c r="S159" s="435" t="str">
        <f t="shared" si="699"/>
        <v>No</v>
      </c>
      <c r="T159" s="434">
        <v>0.99750000757287072</v>
      </c>
      <c r="U159" s="436">
        <f t="shared" si="700"/>
        <v>0.5</v>
      </c>
      <c r="V159" s="436">
        <f t="shared" si="701"/>
        <v>0.72499999999999998</v>
      </c>
      <c r="W159" s="251">
        <f t="shared" si="561"/>
        <v>5451811</v>
      </c>
      <c r="X159" s="432" t="s">
        <v>246</v>
      </c>
      <c r="Y159" s="437" t="s">
        <v>483</v>
      </c>
      <c r="Z159" s="437" t="s">
        <v>484</v>
      </c>
      <c r="AA159" s="438" t="s">
        <v>368</v>
      </c>
      <c r="AB159" s="438" t="s">
        <v>717</v>
      </c>
      <c r="AC159" s="439">
        <v>2.0834708017156056</v>
      </c>
      <c r="AD159" s="439">
        <v>1.8302791910019816</v>
      </c>
      <c r="AE159" s="439">
        <v>2.1270831424740364</v>
      </c>
      <c r="AF159" s="439">
        <v>0.44527363184079605</v>
      </c>
      <c r="AG159" s="440">
        <v>3.3042353005665599</v>
      </c>
      <c r="AH159" s="440">
        <v>3.793661731943101</v>
      </c>
      <c r="AI159" s="440">
        <v>3.3042353005665599</v>
      </c>
      <c r="AJ159" s="440">
        <v>3.793661731943101</v>
      </c>
      <c r="AK159" s="441">
        <v>255401000</v>
      </c>
      <c r="AL159" s="441">
        <v>255401000</v>
      </c>
      <c r="AM159" s="258">
        <v>45747</v>
      </c>
      <c r="AN159" s="442" t="str">
        <f t="shared" si="702"/>
        <v>Tier 1</v>
      </c>
      <c r="AO159" s="443">
        <v>46741</v>
      </c>
      <c r="AP159" s="444">
        <f>IF(C159="","",DAYS360(Inputs!$J$8,AO159)/360)</f>
        <v>2.3222222222222224</v>
      </c>
      <c r="AQ159" s="444">
        <f t="shared" si="703"/>
        <v>2.3222222222222224</v>
      </c>
      <c r="AR159" s="432" t="s">
        <v>246</v>
      </c>
      <c r="AS159" s="445">
        <v>0</v>
      </c>
      <c r="AT159" s="432" t="s">
        <v>64</v>
      </c>
      <c r="AU159" s="446">
        <v>0.01</v>
      </c>
      <c r="AV159" s="446">
        <v>5.2499999999999998E-2</v>
      </c>
      <c r="AW159" s="446">
        <v>4.3078999999999999E-2</v>
      </c>
      <c r="AX159" s="260">
        <f t="shared" si="704"/>
        <v>4.3078999999999999E-2</v>
      </c>
      <c r="AY159" s="446">
        <v>0</v>
      </c>
      <c r="AZ159" s="446">
        <v>0</v>
      </c>
      <c r="BA159" s="446">
        <v>0</v>
      </c>
      <c r="BB159" s="447">
        <f t="shared" si="690"/>
        <v>5.2499999999999998E-2</v>
      </c>
      <c r="BC159" s="447" t="str">
        <f t="shared" si="691"/>
        <v/>
      </c>
      <c r="BD159" s="437" t="s">
        <v>247</v>
      </c>
      <c r="BE159" s="448" t="s">
        <v>408</v>
      </c>
      <c r="BF159" s="437" t="s">
        <v>7</v>
      </c>
      <c r="BG159" s="437" t="s">
        <v>460</v>
      </c>
      <c r="BH159" s="432" t="s">
        <v>246</v>
      </c>
      <c r="BI159" s="449" t="str">
        <f t="shared" si="559"/>
        <v>No</v>
      </c>
      <c r="BJ159" s="449" t="str">
        <f t="shared" si="560"/>
        <v>No</v>
      </c>
      <c r="BK159" s="432" t="s">
        <v>246</v>
      </c>
      <c r="BL159" s="432" t="s">
        <v>246</v>
      </c>
      <c r="BM159" s="246" t="s">
        <v>64</v>
      </c>
      <c r="BN159" s="246" t="s">
        <v>64</v>
      </c>
      <c r="BO159" s="432" t="s">
        <v>246</v>
      </c>
      <c r="BP159" s="432" t="s">
        <v>246</v>
      </c>
      <c r="BQ159" s="432" t="s">
        <v>246</v>
      </c>
      <c r="BR159" s="432" t="s">
        <v>246</v>
      </c>
      <c r="BS159" s="432" t="s">
        <v>246</v>
      </c>
      <c r="BT159" s="432" t="s">
        <v>246</v>
      </c>
      <c r="BU159" s="432" t="s">
        <v>246</v>
      </c>
      <c r="BV159" s="432" t="s">
        <v>246</v>
      </c>
      <c r="BW159" s="432" t="s">
        <v>246</v>
      </c>
      <c r="BX159" s="432" t="s">
        <v>246</v>
      </c>
      <c r="BY159" s="432" t="s">
        <v>246</v>
      </c>
      <c r="BZ159" s="432" t="s">
        <v>246</v>
      </c>
      <c r="CA159" s="432" t="s">
        <v>246</v>
      </c>
      <c r="CB159" s="432" t="s">
        <v>64</v>
      </c>
      <c r="CC159" s="450">
        <f t="shared" si="705"/>
        <v>285438.28780259995</v>
      </c>
      <c r="CD159" s="450">
        <f t="shared" si="706"/>
        <v>0</v>
      </c>
      <c r="CF159" s="263">
        <f t="shared" si="562"/>
        <v>0</v>
      </c>
      <c r="CG159" s="263">
        <f t="shared" si="563"/>
        <v>0</v>
      </c>
      <c r="CH159" s="263">
        <f t="shared" si="564"/>
        <v>0</v>
      </c>
      <c r="CI159" s="263">
        <f t="shared" si="565"/>
        <v>0</v>
      </c>
      <c r="CJ159" s="263">
        <f t="shared" si="566"/>
        <v>0</v>
      </c>
      <c r="CK159" s="263">
        <f t="shared" si="567"/>
        <v>0</v>
      </c>
      <c r="CL159" s="263">
        <f t="shared" si="568"/>
        <v>0</v>
      </c>
      <c r="CM159" s="263">
        <f t="shared" si="569"/>
        <v>0</v>
      </c>
      <c r="CN159" s="263">
        <f t="shared" si="570"/>
        <v>0</v>
      </c>
      <c r="CO159" s="263">
        <f t="shared" si="571"/>
        <v>0</v>
      </c>
      <c r="CP159" s="263">
        <f t="shared" si="572"/>
        <v>0</v>
      </c>
      <c r="CQ159" s="263">
        <f t="shared" si="573"/>
        <v>0</v>
      </c>
      <c r="CR159" s="263">
        <f t="shared" si="574"/>
        <v>0</v>
      </c>
      <c r="CS159" s="263">
        <f t="shared" si="575"/>
        <v>0</v>
      </c>
      <c r="CT159" s="263">
        <f t="shared" si="576"/>
        <v>0</v>
      </c>
      <c r="CU159" s="263">
        <f t="shared" si="577"/>
        <v>0</v>
      </c>
      <c r="CV159" s="263">
        <f t="shared" si="578"/>
        <v>0</v>
      </c>
      <c r="CW159" s="263">
        <f t="shared" si="579"/>
        <v>0</v>
      </c>
      <c r="CX159" s="263">
        <f t="shared" si="580"/>
        <v>0</v>
      </c>
      <c r="CY159" s="263">
        <f t="shared" si="581"/>
        <v>0</v>
      </c>
      <c r="CZ159" s="263">
        <f t="shared" si="582"/>
        <v>0</v>
      </c>
      <c r="DA159" s="263">
        <f t="shared" si="583"/>
        <v>0</v>
      </c>
      <c r="DB159" s="263">
        <f t="shared" si="584"/>
        <v>0</v>
      </c>
      <c r="DC159" s="263">
        <f t="shared" si="585"/>
        <v>0</v>
      </c>
      <c r="DD159" s="263">
        <f t="shared" si="586"/>
        <v>0</v>
      </c>
      <c r="DE159" s="263">
        <f t="shared" si="587"/>
        <v>0</v>
      </c>
      <c r="DF159" s="263">
        <f t="shared" si="588"/>
        <v>5451811</v>
      </c>
      <c r="DG159" s="263">
        <f t="shared" si="589"/>
        <v>0</v>
      </c>
      <c r="DH159" s="263">
        <f t="shared" si="590"/>
        <v>5451811</v>
      </c>
      <c r="DI159" s="263">
        <f t="shared" si="591"/>
        <v>5451811</v>
      </c>
      <c r="DJ159" s="263">
        <f t="shared" si="592"/>
        <v>0</v>
      </c>
      <c r="DK159" s="263">
        <f t="shared" si="593"/>
        <v>0</v>
      </c>
      <c r="DL159" s="263">
        <f t="shared" si="594"/>
        <v>0</v>
      </c>
      <c r="DM159" s="263">
        <f t="shared" si="595"/>
        <v>0</v>
      </c>
      <c r="DO159" s="264">
        <f t="shared" si="596"/>
        <v>0</v>
      </c>
      <c r="DP159" s="265">
        <f t="shared" si="597"/>
        <v>0</v>
      </c>
      <c r="DQ159" s="264">
        <f t="shared" si="598"/>
        <v>5451811</v>
      </c>
      <c r="DR159" s="264">
        <f t="shared" si="599"/>
        <v>0</v>
      </c>
      <c r="DS159" s="265">
        <f t="shared" si="600"/>
        <v>0</v>
      </c>
      <c r="DT159" s="264">
        <f t="shared" si="601"/>
        <v>5451811</v>
      </c>
      <c r="DU159" s="264">
        <f t="shared" si="602"/>
        <v>0</v>
      </c>
      <c r="DV159" s="265">
        <f t="shared" si="603"/>
        <v>0</v>
      </c>
      <c r="DW159" s="264">
        <f t="shared" si="604"/>
        <v>5451811</v>
      </c>
      <c r="DX159" s="264">
        <f t="shared" si="605"/>
        <v>0</v>
      </c>
      <c r="DY159" s="265">
        <f t="shared" si="606"/>
        <v>0</v>
      </c>
      <c r="DZ159" s="264">
        <f t="shared" si="607"/>
        <v>5451811</v>
      </c>
      <c r="EA159" s="264">
        <f t="shared" si="608"/>
        <v>0</v>
      </c>
      <c r="EB159" s="265">
        <f t="shared" si="609"/>
        <v>0</v>
      </c>
      <c r="EC159" s="264">
        <f t="shared" si="610"/>
        <v>5451811</v>
      </c>
      <c r="ED159" s="264">
        <f t="shared" si="611"/>
        <v>0</v>
      </c>
      <c r="EE159" s="265">
        <f t="shared" si="612"/>
        <v>0</v>
      </c>
      <c r="EF159" s="264">
        <f t="shared" si="613"/>
        <v>5451811</v>
      </c>
      <c r="EG159" s="264">
        <f t="shared" si="614"/>
        <v>0</v>
      </c>
      <c r="EH159" s="265">
        <f t="shared" si="615"/>
        <v>0</v>
      </c>
      <c r="EI159" s="264">
        <f t="shared" si="616"/>
        <v>5451811</v>
      </c>
      <c r="EJ159" s="264">
        <f t="shared" si="617"/>
        <v>0</v>
      </c>
      <c r="EK159" s="265">
        <f t="shared" si="618"/>
        <v>0</v>
      </c>
      <c r="EL159" s="264">
        <f t="shared" si="619"/>
        <v>5451811</v>
      </c>
      <c r="EM159" s="264">
        <f t="shared" si="620"/>
        <v>0</v>
      </c>
      <c r="EN159" s="265">
        <f t="shared" si="621"/>
        <v>0</v>
      </c>
      <c r="EO159" s="264">
        <f t="shared" si="622"/>
        <v>5451811</v>
      </c>
      <c r="EP159" s="264">
        <f t="shared" si="623"/>
        <v>0</v>
      </c>
      <c r="EQ159" s="265">
        <f t="shared" si="624"/>
        <v>0</v>
      </c>
      <c r="ER159" s="264">
        <f t="shared" si="625"/>
        <v>5451811</v>
      </c>
      <c r="ES159" s="264">
        <f t="shared" si="626"/>
        <v>0</v>
      </c>
      <c r="ET159" s="265">
        <f t="shared" si="627"/>
        <v>0</v>
      </c>
      <c r="EU159" s="264">
        <f t="shared" si="628"/>
        <v>5451811</v>
      </c>
      <c r="EV159" s="264">
        <f>IF(AND(BM159="Yes",OR(BN159="No",AND(BN159="Yes",Inputs!$J$8=Inputs!$J$17+75))),EU159,0)</f>
        <v>0</v>
      </c>
      <c r="EW159" s="265">
        <f t="shared" si="629"/>
        <v>0</v>
      </c>
      <c r="EX159" s="264">
        <f t="shared" si="630"/>
        <v>5451811</v>
      </c>
      <c r="EY159" s="264">
        <f t="shared" si="631"/>
        <v>0</v>
      </c>
      <c r="EZ159" s="265">
        <f t="shared" si="632"/>
        <v>0</v>
      </c>
      <c r="FA159" s="264">
        <f t="shared" si="633"/>
        <v>5451811</v>
      </c>
      <c r="FB159" s="264">
        <f t="shared" si="634"/>
        <v>0</v>
      </c>
      <c r="FC159" s="265">
        <f t="shared" si="635"/>
        <v>0</v>
      </c>
      <c r="FD159" s="264">
        <f t="shared" si="636"/>
        <v>5451811</v>
      </c>
      <c r="FE159" s="264">
        <f t="shared" si="637"/>
        <v>0</v>
      </c>
      <c r="FF159" s="265">
        <f t="shared" si="638"/>
        <v>0</v>
      </c>
      <c r="FG159" s="264">
        <f t="shared" si="639"/>
        <v>5451811</v>
      </c>
      <c r="FH159" s="264">
        <f t="shared" si="640"/>
        <v>5451811</v>
      </c>
      <c r="FI159" s="264">
        <f t="shared" si="641"/>
        <v>0</v>
      </c>
      <c r="FJ159" s="264">
        <f t="shared" si="642"/>
        <v>5451811</v>
      </c>
      <c r="FK159" s="264">
        <f t="shared" si="643"/>
        <v>5451811</v>
      </c>
      <c r="FL159" s="264">
        <f t="shared" si="644"/>
        <v>0</v>
      </c>
      <c r="FM159" s="264">
        <f t="shared" si="645"/>
        <v>5451811</v>
      </c>
      <c r="FN159" s="264">
        <f t="shared" si="646"/>
        <v>5451811</v>
      </c>
      <c r="FO159" s="264">
        <f t="shared" si="647"/>
        <v>0</v>
      </c>
      <c r="FP159" s="264">
        <f t="shared" si="648"/>
        <v>5451811</v>
      </c>
      <c r="FQ159" s="264">
        <f t="shared" si="649"/>
        <v>0</v>
      </c>
      <c r="FR159" s="265">
        <f t="shared" si="650"/>
        <v>0</v>
      </c>
      <c r="FS159" s="264">
        <f t="shared" si="651"/>
        <v>5451811</v>
      </c>
      <c r="FT159" s="264">
        <f t="shared" si="652"/>
        <v>0</v>
      </c>
      <c r="FU159" s="265">
        <f t="shared" si="653"/>
        <v>0</v>
      </c>
      <c r="FV159" s="264">
        <f t="shared" si="654"/>
        <v>5451811</v>
      </c>
      <c r="FW159" s="264">
        <f t="shared" si="655"/>
        <v>0</v>
      </c>
      <c r="FX159" s="264">
        <f t="shared" si="656"/>
        <v>0</v>
      </c>
      <c r="FY159" s="264">
        <f t="shared" si="657"/>
        <v>0</v>
      </c>
      <c r="FZ159" s="264">
        <f t="shared" si="658"/>
        <v>0</v>
      </c>
      <c r="GA159" s="265">
        <f t="shared" si="659"/>
        <v>0</v>
      </c>
      <c r="GB159" s="264">
        <f t="shared" si="660"/>
        <v>5451811</v>
      </c>
      <c r="GC159" s="264">
        <f t="shared" si="661"/>
        <v>5451811</v>
      </c>
      <c r="GD159" s="266">
        <f t="shared" si="662"/>
        <v>3952562.9750000001</v>
      </c>
      <c r="GE159" s="138">
        <f t="shared" si="663"/>
        <v>0.72499999999999998</v>
      </c>
      <c r="GF159" s="267">
        <f t="shared" si="664"/>
        <v>31</v>
      </c>
      <c r="GG159" s="264">
        <f t="array" ref="GG159">IF(SUM(IF(IC$9:IC158=IC159,1,0))&gt;0,0,SUMIF($IC$10:$IC$406,IC159,$FJ$10:$FJ$406))</f>
        <v>0</v>
      </c>
      <c r="GH159" s="268">
        <f t="shared" si="665"/>
        <v>0</v>
      </c>
      <c r="GI159" s="137">
        <f t="shared" si="126"/>
        <v>150</v>
      </c>
      <c r="GJ159" s="269">
        <f t="shared" si="666"/>
        <v>0</v>
      </c>
      <c r="GK159" s="269">
        <f t="shared" si="667"/>
        <v>0</v>
      </c>
      <c r="GL159" s="163">
        <f t="shared" si="668"/>
        <v>0</v>
      </c>
      <c r="GM159" s="137">
        <f t="array" ref="GM159">IF(GJ159=0,0,LARGE(IF($GG$10:$GG$406=GJ159,$GF$10:$GF$406,0),COUNTIF($GJ$10:$GJ$406,GJ159)-COUNTIF(GJ$9:GJ158,GJ159)))</f>
        <v>0</v>
      </c>
      <c r="GN159" s="270">
        <f t="shared" si="669"/>
        <v>0</v>
      </c>
      <c r="GP159" s="137">
        <f>IF(C159="","",IF(ISERROR(MATCH(C159,C$10:C158,0)),MAX(GP$10:GP158)+1,INDEX(GP$10:GP158,MATCH(C159,C$10:C158,0))))</f>
        <v>115</v>
      </c>
      <c r="GQ159" s="264">
        <f>IF(COUNTIF($A$10:A159,A159)&lt;=1,SUMIF($A$10:$A$406,A159,$FH$10:$FH$406),0)</f>
        <v>0</v>
      </c>
      <c r="GR159" s="137">
        <f t="shared" si="130"/>
        <v>150</v>
      </c>
      <c r="GS159" s="269">
        <f t="shared" si="707"/>
        <v>0</v>
      </c>
      <c r="GT159" s="269">
        <f t="shared" si="708"/>
        <v>0</v>
      </c>
      <c r="GU159" s="163">
        <f t="shared" si="709"/>
        <v>0</v>
      </c>
      <c r="GV159" s="137">
        <f t="array" ref="GV159">IF(GS159=0,0,LARGE(IF($GQ$10:$GQ$406=GS159,$GP$10:$GP$406,0),COUNTIF($GS$10:$GS$406,GS159)-COUNTIF(GS$9:GS158,GS159)))</f>
        <v>0</v>
      </c>
      <c r="GW159" s="270">
        <f t="shared" si="710"/>
        <v>0</v>
      </c>
      <c r="GY159" s="137">
        <f>IF(C159="","",IF(ISERROR(MATCH(C159,C$10:C158,0)),MAX(GP$10:GP158)+1,INDEX(GP$10:GP158,MATCH(C159,C$10:C158,0))))</f>
        <v>115</v>
      </c>
      <c r="GZ159" s="264">
        <f>IF(COUNTIF($A$10:A159,A159)&lt;=1,SUMIF($A$10:$A$406,A159,$FH$10:$FH$406),0)</f>
        <v>0</v>
      </c>
      <c r="HA159" s="137">
        <f t="shared" si="134"/>
        <v>150</v>
      </c>
      <c r="HB159" s="269">
        <f t="shared" si="670"/>
        <v>0</v>
      </c>
      <c r="HC159" s="414" t="s">
        <v>622</v>
      </c>
      <c r="HD159" s="163">
        <f t="shared" si="671"/>
        <v>0</v>
      </c>
      <c r="HE159" s="137">
        <f t="array" ref="HE159">IF(HB159=0,0,LARGE(IF($GZ$10:$GZ$406=HB159,$GY$10:$GY$406,0),COUNTIF($HB$10:$HB$406,HB159)-COUNTIF(HB$9:HB158,HB159)))</f>
        <v>0</v>
      </c>
      <c r="HF159" s="270">
        <f t="shared" si="672"/>
        <v>0</v>
      </c>
      <c r="HH159" s="268">
        <f t="shared" si="673"/>
        <v>0</v>
      </c>
      <c r="HI159" s="271">
        <v>0</v>
      </c>
      <c r="HJ159" s="264">
        <f t="shared" si="674"/>
        <v>0</v>
      </c>
      <c r="HL159" s="137" t="str">
        <f t="shared" si="675"/>
        <v/>
      </c>
      <c r="HM159" s="264">
        <f t="shared" si="676"/>
        <v>0</v>
      </c>
      <c r="HO159" s="199">
        <f t="shared" si="677"/>
        <v>5451811</v>
      </c>
      <c r="HP159" s="199">
        <f t="shared" si="678"/>
        <v>5451811</v>
      </c>
      <c r="HQ159" s="199" t="str">
        <f t="shared" si="679"/>
        <v/>
      </c>
      <c r="HR159" s="199" t="str">
        <f t="shared" si="680"/>
        <v/>
      </c>
      <c r="HS159" s="199" t="str">
        <f t="shared" si="693"/>
        <v/>
      </c>
      <c r="HT159" s="199" t="str">
        <f t="shared" si="681"/>
        <v/>
      </c>
      <c r="HU159" s="199" t="str">
        <f t="shared" si="682"/>
        <v/>
      </c>
      <c r="HV159" s="200">
        <f t="shared" si="683"/>
        <v>0</v>
      </c>
      <c r="HW159" s="272">
        <f t="shared" si="684"/>
        <v>1</v>
      </c>
      <c r="HX159" s="200" t="str">
        <f t="shared" si="685"/>
        <v/>
      </c>
      <c r="HY159" s="200">
        <f t="shared" si="686"/>
        <v>0</v>
      </c>
      <c r="HZ159" s="200" t="str">
        <f t="shared" si="692"/>
        <v/>
      </c>
      <c r="IA159" s="200" t="str">
        <f t="shared" si="687"/>
        <v/>
      </c>
      <c r="IB159" s="200" t="str">
        <f t="shared" si="688"/>
        <v/>
      </c>
      <c r="IC159" s="273">
        <f>IF(C159="","",INDEX(Lookups!$E$2:$E$69,MATCH('Loan List'!BE159,Lookups!$F$2:$F$69,0)))</f>
        <v>31</v>
      </c>
      <c r="ID159" t="b">
        <f t="shared" si="689"/>
        <v>1</v>
      </c>
    </row>
    <row r="160" spans="1:238">
      <c r="A160" t="s">
        <v>615</v>
      </c>
      <c r="B160" s="242">
        <f t="shared" si="694"/>
        <v>151</v>
      </c>
      <c r="C160" s="242">
        <f>IF(COUNTIF($A$10:A159,A160)&gt;0,C159,C159+1)</f>
        <v>115</v>
      </c>
      <c r="D160" s="431" t="s">
        <v>802</v>
      </c>
      <c r="E160" s="428" t="s">
        <v>856</v>
      </c>
      <c r="F160" s="429"/>
      <c r="G160" s="430">
        <v>1000000</v>
      </c>
      <c r="H160" s="430">
        <v>1000000</v>
      </c>
      <c r="I160" s="244">
        <f>IF(B160="","",VLOOKUP(BF160,Inputs!$A$12:$J$15,10,FALSE))</f>
        <v>1</v>
      </c>
      <c r="J160" s="245">
        <f t="shared" si="695"/>
        <v>1000000</v>
      </c>
      <c r="K160" s="245">
        <f t="shared" si="696"/>
        <v>1000000</v>
      </c>
      <c r="L160" s="245">
        <f t="shared" si="697"/>
        <v>1000000</v>
      </c>
      <c r="M160" s="245">
        <f t="shared" si="698"/>
        <v>1000000</v>
      </c>
      <c r="N160" s="432" t="s">
        <v>246</v>
      </c>
      <c r="O160" s="432" t="s">
        <v>245</v>
      </c>
      <c r="P160" s="433">
        <f>IF(B160="","",IF(OR(O160="N/A",O160=""),0,YEARFRAC('Borrowing Base'!$J$4,'Loan List'!O160)*12))</f>
        <v>0</v>
      </c>
      <c r="Q160" s="432" t="s">
        <v>246</v>
      </c>
      <c r="R160" s="434">
        <v>0.995</v>
      </c>
      <c r="S160" s="435" t="str">
        <f t="shared" si="699"/>
        <v>No</v>
      </c>
      <c r="T160" s="434">
        <v>0.995</v>
      </c>
      <c r="U160" s="436">
        <f t="shared" si="700"/>
        <v>0.3</v>
      </c>
      <c r="V160" s="436">
        <f t="shared" si="701"/>
        <v>0.35</v>
      </c>
      <c r="W160" s="251">
        <f t="shared" si="561"/>
        <v>1000000</v>
      </c>
      <c r="X160" s="432" t="s">
        <v>246</v>
      </c>
      <c r="Y160" s="437" t="s">
        <v>196</v>
      </c>
      <c r="Z160" s="437" t="s">
        <v>484</v>
      </c>
      <c r="AA160" s="438" t="s">
        <v>407</v>
      </c>
      <c r="AB160" s="438" t="s">
        <v>713</v>
      </c>
      <c r="AC160" s="439">
        <v>2.0834708017156056</v>
      </c>
      <c r="AD160" s="439">
        <v>5.5590062111801242</v>
      </c>
      <c r="AE160" s="439">
        <v>3.793661731943101</v>
      </c>
      <c r="AF160" s="439">
        <v>0.44527363184079605</v>
      </c>
      <c r="AG160" s="440">
        <v>3.3042353005665599</v>
      </c>
      <c r="AH160" s="440">
        <v>3.793661731943101</v>
      </c>
      <c r="AI160" s="440">
        <v>3.3042353005665599</v>
      </c>
      <c r="AJ160" s="440">
        <v>3.793661731943101</v>
      </c>
      <c r="AK160" s="441">
        <v>255401000</v>
      </c>
      <c r="AL160" s="441">
        <v>255401000</v>
      </c>
      <c r="AM160" s="258">
        <v>45747</v>
      </c>
      <c r="AN160" s="442" t="str">
        <f t="shared" si="702"/>
        <v>Tier 1</v>
      </c>
      <c r="AO160" s="443">
        <v>46741</v>
      </c>
      <c r="AP160" s="444">
        <f>IF(C160="","",DAYS360(Inputs!$J$8,AO160)/360)</f>
        <v>2.3222222222222224</v>
      </c>
      <c r="AQ160" s="444">
        <f t="shared" si="703"/>
        <v>2.3222222222222224</v>
      </c>
      <c r="AR160" s="432" t="s">
        <v>246</v>
      </c>
      <c r="AS160" s="445">
        <v>0</v>
      </c>
      <c r="AT160" s="432" t="s">
        <v>64</v>
      </c>
      <c r="AU160" s="446">
        <v>0.01</v>
      </c>
      <c r="AV160" s="446">
        <v>0.09</v>
      </c>
      <c r="AW160" s="446">
        <v>4.3078999999999999E-2</v>
      </c>
      <c r="AX160" s="260">
        <f t="shared" si="704"/>
        <v>4.3078999999999999E-2</v>
      </c>
      <c r="AY160" s="446">
        <v>0</v>
      </c>
      <c r="AZ160" s="446">
        <v>0</v>
      </c>
      <c r="BA160" s="446">
        <v>0</v>
      </c>
      <c r="BB160" s="447">
        <f t="shared" si="690"/>
        <v>0.09</v>
      </c>
      <c r="BC160" s="447" t="str">
        <f t="shared" si="691"/>
        <v/>
      </c>
      <c r="BD160" s="437" t="s">
        <v>247</v>
      </c>
      <c r="BE160" s="448" t="s">
        <v>408</v>
      </c>
      <c r="BF160" s="437" t="s">
        <v>7</v>
      </c>
      <c r="BG160" s="437" t="s">
        <v>460</v>
      </c>
      <c r="BH160" s="432" t="s">
        <v>246</v>
      </c>
      <c r="BI160" s="449" t="str">
        <f t="shared" si="559"/>
        <v>No</v>
      </c>
      <c r="BJ160" s="449" t="str">
        <f t="shared" si="560"/>
        <v>No</v>
      </c>
      <c r="BK160" s="432" t="s">
        <v>246</v>
      </c>
      <c r="BL160" s="432" t="s">
        <v>246</v>
      </c>
      <c r="BM160" s="246" t="s">
        <v>64</v>
      </c>
      <c r="BN160" s="246" t="s">
        <v>64</v>
      </c>
      <c r="BO160" s="432" t="s">
        <v>246</v>
      </c>
      <c r="BP160" s="432" t="s">
        <v>246</v>
      </c>
      <c r="BQ160" s="432" t="s">
        <v>246</v>
      </c>
      <c r="BR160" s="432" t="s">
        <v>246</v>
      </c>
      <c r="BS160" s="432" t="s">
        <v>246</v>
      </c>
      <c r="BT160" s="432" t="s">
        <v>246</v>
      </c>
      <c r="BU160" s="432" t="s">
        <v>246</v>
      </c>
      <c r="BV160" s="432" t="s">
        <v>246</v>
      </c>
      <c r="BW160" s="432" t="s">
        <v>246</v>
      </c>
      <c r="BX160" s="432" t="s">
        <v>246</v>
      </c>
      <c r="BY160" s="432" t="s">
        <v>246</v>
      </c>
      <c r="BZ160" s="432" t="s">
        <v>246</v>
      </c>
      <c r="CA160" s="432" t="s">
        <v>246</v>
      </c>
      <c r="CB160" s="432" t="s">
        <v>64</v>
      </c>
      <c r="CC160" s="450">
        <f t="shared" si="705"/>
        <v>89856.6</v>
      </c>
      <c r="CD160" s="450">
        <f t="shared" si="706"/>
        <v>0</v>
      </c>
      <c r="CF160" s="263">
        <f t="shared" si="562"/>
        <v>0</v>
      </c>
      <c r="CG160" s="263">
        <f t="shared" si="563"/>
        <v>0</v>
      </c>
      <c r="CH160" s="263">
        <f t="shared" si="564"/>
        <v>0</v>
      </c>
      <c r="CI160" s="263">
        <f t="shared" si="565"/>
        <v>0</v>
      </c>
      <c r="CJ160" s="263">
        <f t="shared" si="566"/>
        <v>0</v>
      </c>
      <c r="CK160" s="263">
        <f t="shared" si="567"/>
        <v>0</v>
      </c>
      <c r="CL160" s="263">
        <f t="shared" si="568"/>
        <v>0</v>
      </c>
      <c r="CM160" s="263">
        <f t="shared" si="569"/>
        <v>0</v>
      </c>
      <c r="CN160" s="263">
        <f t="shared" si="570"/>
        <v>0</v>
      </c>
      <c r="CO160" s="263">
        <f t="shared" si="571"/>
        <v>0</v>
      </c>
      <c r="CP160" s="263">
        <f t="shared" si="572"/>
        <v>0</v>
      </c>
      <c r="CQ160" s="263">
        <f t="shared" si="573"/>
        <v>0</v>
      </c>
      <c r="CR160" s="263">
        <f t="shared" si="574"/>
        <v>0</v>
      </c>
      <c r="CS160" s="263">
        <f t="shared" si="575"/>
        <v>0</v>
      </c>
      <c r="CT160" s="263">
        <f t="shared" si="576"/>
        <v>0</v>
      </c>
      <c r="CU160" s="263">
        <f t="shared" si="577"/>
        <v>0</v>
      </c>
      <c r="CV160" s="263">
        <f t="shared" si="578"/>
        <v>0</v>
      </c>
      <c r="CW160" s="263">
        <f t="shared" si="579"/>
        <v>0</v>
      </c>
      <c r="CX160" s="263">
        <f t="shared" si="580"/>
        <v>0</v>
      </c>
      <c r="CY160" s="263">
        <f t="shared" si="581"/>
        <v>0</v>
      </c>
      <c r="CZ160" s="263">
        <f t="shared" si="582"/>
        <v>0</v>
      </c>
      <c r="DA160" s="263">
        <f t="shared" si="583"/>
        <v>0</v>
      </c>
      <c r="DB160" s="263">
        <f t="shared" si="584"/>
        <v>0</v>
      </c>
      <c r="DC160" s="263">
        <f t="shared" si="585"/>
        <v>0</v>
      </c>
      <c r="DD160" s="263">
        <f t="shared" si="586"/>
        <v>0</v>
      </c>
      <c r="DE160" s="263">
        <f t="shared" si="587"/>
        <v>0</v>
      </c>
      <c r="DF160" s="263">
        <f t="shared" si="588"/>
        <v>1000000</v>
      </c>
      <c r="DG160" s="263">
        <f t="shared" si="589"/>
        <v>0</v>
      </c>
      <c r="DH160" s="263">
        <f t="shared" si="590"/>
        <v>1000000</v>
      </c>
      <c r="DI160" s="263">
        <f t="shared" si="591"/>
        <v>1000000</v>
      </c>
      <c r="DJ160" s="263">
        <f t="shared" si="592"/>
        <v>0</v>
      </c>
      <c r="DK160" s="263">
        <f t="shared" si="593"/>
        <v>0</v>
      </c>
      <c r="DL160" s="263">
        <f t="shared" si="594"/>
        <v>0</v>
      </c>
      <c r="DM160" s="263">
        <f t="shared" si="595"/>
        <v>0</v>
      </c>
      <c r="DO160" s="264">
        <f t="shared" si="596"/>
        <v>1000000</v>
      </c>
      <c r="DP160" s="265">
        <f t="shared" si="597"/>
        <v>0</v>
      </c>
      <c r="DQ160" s="264">
        <f t="shared" si="598"/>
        <v>1000000</v>
      </c>
      <c r="DR160" s="264">
        <f t="shared" si="599"/>
        <v>1000000</v>
      </c>
      <c r="DS160" s="265">
        <f t="shared" si="600"/>
        <v>0</v>
      </c>
      <c r="DT160" s="264">
        <f t="shared" si="601"/>
        <v>1000000</v>
      </c>
      <c r="DU160" s="264">
        <f t="shared" si="602"/>
        <v>0</v>
      </c>
      <c r="DV160" s="265">
        <f t="shared" si="603"/>
        <v>0</v>
      </c>
      <c r="DW160" s="264">
        <f t="shared" si="604"/>
        <v>1000000</v>
      </c>
      <c r="DX160" s="264">
        <f t="shared" si="605"/>
        <v>0</v>
      </c>
      <c r="DY160" s="265">
        <f t="shared" si="606"/>
        <v>0</v>
      </c>
      <c r="DZ160" s="264">
        <f t="shared" si="607"/>
        <v>1000000</v>
      </c>
      <c r="EA160" s="264">
        <f t="shared" si="608"/>
        <v>0</v>
      </c>
      <c r="EB160" s="265">
        <f t="shared" si="609"/>
        <v>0</v>
      </c>
      <c r="EC160" s="264">
        <f t="shared" si="610"/>
        <v>1000000</v>
      </c>
      <c r="ED160" s="264">
        <f t="shared" si="611"/>
        <v>0</v>
      </c>
      <c r="EE160" s="265">
        <f t="shared" si="612"/>
        <v>0</v>
      </c>
      <c r="EF160" s="264">
        <f t="shared" si="613"/>
        <v>1000000</v>
      </c>
      <c r="EG160" s="264">
        <f t="shared" si="614"/>
        <v>0</v>
      </c>
      <c r="EH160" s="265">
        <f t="shared" si="615"/>
        <v>0</v>
      </c>
      <c r="EI160" s="264">
        <f t="shared" si="616"/>
        <v>1000000</v>
      </c>
      <c r="EJ160" s="264">
        <f t="shared" si="617"/>
        <v>0</v>
      </c>
      <c r="EK160" s="265">
        <f t="shared" si="618"/>
        <v>0</v>
      </c>
      <c r="EL160" s="264">
        <f t="shared" si="619"/>
        <v>1000000</v>
      </c>
      <c r="EM160" s="264">
        <f t="shared" si="620"/>
        <v>0</v>
      </c>
      <c r="EN160" s="265">
        <f t="shared" si="621"/>
        <v>0</v>
      </c>
      <c r="EO160" s="264">
        <f t="shared" si="622"/>
        <v>1000000</v>
      </c>
      <c r="EP160" s="264">
        <f t="shared" si="623"/>
        <v>0</v>
      </c>
      <c r="EQ160" s="265">
        <f t="shared" si="624"/>
        <v>0</v>
      </c>
      <c r="ER160" s="264">
        <f t="shared" si="625"/>
        <v>1000000</v>
      </c>
      <c r="ES160" s="264">
        <f t="shared" si="626"/>
        <v>0</v>
      </c>
      <c r="ET160" s="265">
        <f t="shared" si="627"/>
        <v>0</v>
      </c>
      <c r="EU160" s="264">
        <f t="shared" si="628"/>
        <v>1000000</v>
      </c>
      <c r="EV160" s="264">
        <f>IF(AND(BM160="Yes",OR(BN160="No",AND(BN160="Yes",Inputs!$J$8=Inputs!$J$17+75))),EU160,0)</f>
        <v>0</v>
      </c>
      <c r="EW160" s="265">
        <f t="shared" si="629"/>
        <v>0</v>
      </c>
      <c r="EX160" s="264">
        <f t="shared" si="630"/>
        <v>1000000</v>
      </c>
      <c r="EY160" s="264">
        <f t="shared" si="631"/>
        <v>0</v>
      </c>
      <c r="EZ160" s="265">
        <f t="shared" si="632"/>
        <v>0</v>
      </c>
      <c r="FA160" s="264">
        <f t="shared" si="633"/>
        <v>1000000</v>
      </c>
      <c r="FB160" s="264">
        <f t="shared" si="634"/>
        <v>0</v>
      </c>
      <c r="FC160" s="265">
        <f t="shared" si="635"/>
        <v>0</v>
      </c>
      <c r="FD160" s="264">
        <f t="shared" si="636"/>
        <v>1000000</v>
      </c>
      <c r="FE160" s="264">
        <f t="shared" si="637"/>
        <v>0</v>
      </c>
      <c r="FF160" s="265">
        <f t="shared" si="638"/>
        <v>0</v>
      </c>
      <c r="FG160" s="264">
        <f t="shared" si="639"/>
        <v>1000000</v>
      </c>
      <c r="FH160" s="264">
        <f t="shared" si="640"/>
        <v>1000000</v>
      </c>
      <c r="FI160" s="264">
        <f t="shared" si="641"/>
        <v>0</v>
      </c>
      <c r="FJ160" s="264">
        <f t="shared" si="642"/>
        <v>1000000</v>
      </c>
      <c r="FK160" s="264">
        <f t="shared" si="643"/>
        <v>1000000</v>
      </c>
      <c r="FL160" s="264">
        <f t="shared" si="644"/>
        <v>0</v>
      </c>
      <c r="FM160" s="264">
        <f t="shared" si="645"/>
        <v>1000000</v>
      </c>
      <c r="FN160" s="264">
        <f t="shared" si="646"/>
        <v>1000000</v>
      </c>
      <c r="FO160" s="264">
        <f t="shared" si="647"/>
        <v>0</v>
      </c>
      <c r="FP160" s="264">
        <f t="shared" si="648"/>
        <v>1000000</v>
      </c>
      <c r="FQ160" s="264">
        <f t="shared" si="649"/>
        <v>0</v>
      </c>
      <c r="FR160" s="265">
        <f t="shared" si="650"/>
        <v>0</v>
      </c>
      <c r="FS160" s="264">
        <f t="shared" si="651"/>
        <v>1000000</v>
      </c>
      <c r="FT160" s="264">
        <f t="shared" si="652"/>
        <v>0</v>
      </c>
      <c r="FU160" s="265">
        <f t="shared" si="653"/>
        <v>0</v>
      </c>
      <c r="FV160" s="264">
        <f t="shared" si="654"/>
        <v>1000000</v>
      </c>
      <c r="FW160" s="264">
        <f t="shared" si="655"/>
        <v>0</v>
      </c>
      <c r="FX160" s="264">
        <f t="shared" si="656"/>
        <v>0</v>
      </c>
      <c r="FY160" s="264">
        <f t="shared" si="657"/>
        <v>0</v>
      </c>
      <c r="FZ160" s="264">
        <f t="shared" si="658"/>
        <v>0</v>
      </c>
      <c r="GA160" s="265">
        <f t="shared" si="659"/>
        <v>0</v>
      </c>
      <c r="GB160" s="264">
        <f t="shared" si="660"/>
        <v>1000000</v>
      </c>
      <c r="GC160" s="264">
        <f t="shared" si="661"/>
        <v>1000000</v>
      </c>
      <c r="GD160" s="266">
        <f t="shared" si="662"/>
        <v>350000</v>
      </c>
      <c r="GE160" s="138">
        <f t="shared" si="663"/>
        <v>0.35</v>
      </c>
      <c r="GF160" s="267">
        <f t="shared" si="664"/>
        <v>31</v>
      </c>
      <c r="GG160" s="264">
        <f t="array" ref="GG160">IF(SUM(IF(IC$9:IC159=IC160,1,0))&gt;0,0,SUMIF($IC$10:$IC$406,IC160,$FJ$10:$FJ$406))</f>
        <v>0</v>
      </c>
      <c r="GH160" s="268">
        <f t="shared" si="665"/>
        <v>0</v>
      </c>
      <c r="GI160" s="137">
        <f t="shared" si="126"/>
        <v>151</v>
      </c>
      <c r="GJ160" s="269">
        <f t="shared" si="666"/>
        <v>0</v>
      </c>
      <c r="GK160" s="269">
        <f t="shared" si="667"/>
        <v>0</v>
      </c>
      <c r="GL160" s="163">
        <f t="shared" si="668"/>
        <v>0</v>
      </c>
      <c r="GM160" s="137">
        <f t="array" ref="GM160">IF(GJ160=0,0,LARGE(IF($GG$10:$GG$406=GJ160,$GF$10:$GF$406,0),COUNTIF($GJ$10:$GJ$406,GJ160)-COUNTIF(GJ$9:GJ159,GJ160)))</f>
        <v>0</v>
      </c>
      <c r="GN160" s="270">
        <f t="shared" si="669"/>
        <v>0</v>
      </c>
      <c r="GP160" s="137">
        <f>IF(C160="","",IF(ISERROR(MATCH(C160,C$10:C159,0)),MAX(GP$10:GP159)+1,INDEX(GP$10:GP159,MATCH(C160,C$10:C159,0))))</f>
        <v>115</v>
      </c>
      <c r="GQ160" s="264">
        <f>IF(COUNTIF($A$10:A160,A160)&lt;=1,SUMIF($A$10:$A$406,A160,$FH$10:$FH$406),0)</f>
        <v>0</v>
      </c>
      <c r="GR160" s="137">
        <f t="shared" si="130"/>
        <v>151</v>
      </c>
      <c r="GS160" s="269">
        <f t="shared" si="707"/>
        <v>0</v>
      </c>
      <c r="GT160" s="269">
        <f t="shared" si="708"/>
        <v>0</v>
      </c>
      <c r="GU160" s="163">
        <f t="shared" si="709"/>
        <v>0</v>
      </c>
      <c r="GV160" s="137">
        <f t="array" ref="GV160">IF(GS160=0,0,LARGE(IF($GQ$10:$GQ$406=GS160,$GP$10:$GP$406,0),COUNTIF($GS$10:$GS$406,GS160)-COUNTIF(GS$9:GS159,GS160)))</f>
        <v>0</v>
      </c>
      <c r="GW160" s="270">
        <f t="shared" si="710"/>
        <v>0</v>
      </c>
      <c r="GY160" s="137">
        <f>IF(C160="","",IF(ISERROR(MATCH(C160,C$10:C159,0)),MAX(GP$10:GP159)+1,INDEX(GP$10:GP159,MATCH(C160,C$10:C159,0))))</f>
        <v>115</v>
      </c>
      <c r="GZ160" s="264">
        <f>IF(COUNTIF($A$10:A160,A160)&lt;=1,SUMIF($A$10:$A$406,A160,$FH$10:$FH$406),0)</f>
        <v>0</v>
      </c>
      <c r="HA160" s="137">
        <f t="shared" si="134"/>
        <v>151</v>
      </c>
      <c r="HB160" s="269">
        <f t="shared" si="670"/>
        <v>0</v>
      </c>
      <c r="HC160" s="414" t="s">
        <v>622</v>
      </c>
      <c r="HD160" s="163">
        <f t="shared" si="671"/>
        <v>0</v>
      </c>
      <c r="HE160" s="137">
        <f t="array" ref="HE160">IF(HB160=0,0,LARGE(IF($GZ$10:$GZ$406=HB160,$GY$10:$GY$406,0),COUNTIF($HB$10:$HB$406,HB160)-COUNTIF(HB$9:HB159,HB160)))</f>
        <v>0</v>
      </c>
      <c r="HF160" s="270">
        <f t="shared" si="672"/>
        <v>0</v>
      </c>
      <c r="HH160" s="268">
        <f t="shared" si="673"/>
        <v>0</v>
      </c>
      <c r="HI160" s="271">
        <v>0</v>
      </c>
      <c r="HJ160" s="264">
        <f t="shared" si="674"/>
        <v>0</v>
      </c>
      <c r="HL160" s="137" t="str">
        <f t="shared" si="675"/>
        <v/>
      </c>
      <c r="HM160" s="264">
        <f t="shared" si="676"/>
        <v>0</v>
      </c>
      <c r="HO160" s="199">
        <f t="shared" si="677"/>
        <v>1000000</v>
      </c>
      <c r="HP160" s="199">
        <f t="shared" si="678"/>
        <v>1000000</v>
      </c>
      <c r="HQ160" s="199" t="str">
        <f t="shared" si="679"/>
        <v/>
      </c>
      <c r="HR160" s="199" t="str">
        <f t="shared" si="680"/>
        <v/>
      </c>
      <c r="HS160" s="199" t="str">
        <f t="shared" si="693"/>
        <v/>
      </c>
      <c r="HT160" s="199" t="str">
        <f t="shared" si="681"/>
        <v/>
      </c>
      <c r="HU160" s="199" t="str">
        <f t="shared" si="682"/>
        <v/>
      </c>
      <c r="HV160" s="200">
        <f t="shared" si="683"/>
        <v>0</v>
      </c>
      <c r="HW160" s="272">
        <f t="shared" si="684"/>
        <v>1</v>
      </c>
      <c r="HX160" s="200" t="str">
        <f t="shared" si="685"/>
        <v/>
      </c>
      <c r="HY160" s="200">
        <f t="shared" si="686"/>
        <v>0</v>
      </c>
      <c r="HZ160" s="200" t="str">
        <f t="shared" si="692"/>
        <v/>
      </c>
      <c r="IA160" s="200" t="str">
        <f t="shared" si="687"/>
        <v/>
      </c>
      <c r="IB160" s="200" t="str">
        <f t="shared" si="688"/>
        <v/>
      </c>
      <c r="IC160" s="273">
        <f>IF(C160="","",INDEX(Lookups!$E$2:$E$69,MATCH('Loan List'!BE160,Lookups!$F$2:$F$69,0)))</f>
        <v>31</v>
      </c>
      <c r="ID160" t="b">
        <f t="shared" si="689"/>
        <v>1</v>
      </c>
    </row>
    <row r="161" spans="1:240">
      <c r="A161" t="s">
        <v>681</v>
      </c>
      <c r="B161" s="242">
        <f t="shared" si="694"/>
        <v>152</v>
      </c>
      <c r="C161" s="242">
        <f>IF(COUNTIF($A$10:A160,A161)&gt;0,C160,C160+1)</f>
        <v>116</v>
      </c>
      <c r="D161" s="428" t="s">
        <v>681</v>
      </c>
      <c r="E161" s="428" t="s">
        <v>679</v>
      </c>
      <c r="F161" s="429"/>
      <c r="G161" s="430">
        <v>3963790.73</v>
      </c>
      <c r="H161" s="430">
        <v>3963790.73</v>
      </c>
      <c r="I161" s="244">
        <f>IF(B161="","",VLOOKUP(BF161,Inputs!$A$12:$J$15,10,FALSE))</f>
        <v>1</v>
      </c>
      <c r="J161" s="245">
        <f t="shared" si="695"/>
        <v>3963790.73</v>
      </c>
      <c r="K161" s="245">
        <f t="shared" si="696"/>
        <v>3963790.73</v>
      </c>
      <c r="L161" s="245">
        <f t="shared" si="697"/>
        <v>3963790.73</v>
      </c>
      <c r="M161" s="245">
        <f t="shared" si="698"/>
        <v>3963790.73</v>
      </c>
      <c r="N161" s="432" t="s">
        <v>246</v>
      </c>
      <c r="O161" s="432" t="s">
        <v>245</v>
      </c>
      <c r="P161" s="433">
        <f>IF(B161="","",IF(OR(O161="N/A",O161=""),0,YEARFRAC('Borrowing Base'!$J$4,'Loan List'!O161)*12))</f>
        <v>0</v>
      </c>
      <c r="Q161" s="432" t="s">
        <v>246</v>
      </c>
      <c r="R161" s="434">
        <v>0.99</v>
      </c>
      <c r="S161" s="435" t="str">
        <f t="shared" si="699"/>
        <v>No</v>
      </c>
      <c r="T161" s="434">
        <v>1.0100000006811662</v>
      </c>
      <c r="U161" s="436">
        <f t="shared" si="700"/>
        <v>0.5</v>
      </c>
      <c r="V161" s="436">
        <f t="shared" si="701"/>
        <v>0.72499999999999998</v>
      </c>
      <c r="W161" s="251">
        <f t="shared" si="561"/>
        <v>3963790.73</v>
      </c>
      <c r="X161" s="432" t="s">
        <v>246</v>
      </c>
      <c r="Y161" s="437" t="s">
        <v>483</v>
      </c>
      <c r="Z161" s="437" t="s">
        <v>484</v>
      </c>
      <c r="AA161" s="438" t="s">
        <v>407</v>
      </c>
      <c r="AB161" s="438" t="s">
        <v>713</v>
      </c>
      <c r="AC161" s="439">
        <v>2.35</v>
      </c>
      <c r="AD161" s="439">
        <v>2.8413837168136142</v>
      </c>
      <c r="AE161" s="439">
        <v>3.3290033060558661</v>
      </c>
      <c r="AF161" s="439">
        <v>0.44516990651431959</v>
      </c>
      <c r="AG161" s="440">
        <v>2.791887336900249</v>
      </c>
      <c r="AH161" s="440">
        <v>2.791887336900249</v>
      </c>
      <c r="AI161" s="440">
        <v>1.5888520944152911</v>
      </c>
      <c r="AJ161" s="440">
        <v>1.5888520944152911</v>
      </c>
      <c r="AK161" s="441">
        <v>107500000</v>
      </c>
      <c r="AL161" s="441">
        <v>119026182.90571326</v>
      </c>
      <c r="AM161" s="258">
        <v>45777</v>
      </c>
      <c r="AN161" s="442" t="str">
        <f t="shared" si="702"/>
        <v>Tier 1</v>
      </c>
      <c r="AO161" s="443">
        <v>47848</v>
      </c>
      <c r="AP161" s="444">
        <f>IF(C161="","",DAYS360(Inputs!$J$8,AO161)/360)</f>
        <v>5.3527777777777779</v>
      </c>
      <c r="AQ161" s="444">
        <f t="shared" si="703"/>
        <v>5.3527777777777779</v>
      </c>
      <c r="AR161" s="432" t="s">
        <v>246</v>
      </c>
      <c r="AS161" s="445">
        <v>0</v>
      </c>
      <c r="AT161" s="432" t="s">
        <v>64</v>
      </c>
      <c r="AU161" s="446">
        <v>0.01</v>
      </c>
      <c r="AV161" s="446">
        <v>5.7500000000000002E-2</v>
      </c>
      <c r="AW161" s="446">
        <v>4.2956000000000001E-2</v>
      </c>
      <c r="AX161" s="260">
        <f t="shared" si="704"/>
        <v>4.2956000000000001E-2</v>
      </c>
      <c r="AY161" s="446">
        <v>0</v>
      </c>
      <c r="AZ161" s="446">
        <v>0</v>
      </c>
      <c r="BA161" s="446">
        <v>0</v>
      </c>
      <c r="BB161" s="447">
        <f t="shared" si="690"/>
        <v>5.7500000000000002E-2</v>
      </c>
      <c r="BC161" s="447" t="str">
        <f t="shared" si="691"/>
        <v/>
      </c>
      <c r="BD161" s="437" t="s">
        <v>249</v>
      </c>
      <c r="BE161" s="448" t="s">
        <v>421</v>
      </c>
      <c r="BF161" s="437" t="s">
        <v>7</v>
      </c>
      <c r="BG161" s="437" t="s">
        <v>460</v>
      </c>
      <c r="BH161" s="432" t="s">
        <v>246</v>
      </c>
      <c r="BI161" s="449" t="str">
        <f t="shared" si="559"/>
        <v>No</v>
      </c>
      <c r="BJ161" s="449" t="str">
        <f t="shared" si="560"/>
        <v>No</v>
      </c>
      <c r="BK161" s="432" t="s">
        <v>246</v>
      </c>
      <c r="BL161" s="432" t="s">
        <v>246</v>
      </c>
      <c r="BM161" s="432" t="s">
        <v>246</v>
      </c>
      <c r="BN161" s="432" t="s">
        <v>246</v>
      </c>
      <c r="BO161" s="432" t="s">
        <v>246</v>
      </c>
      <c r="BP161" s="432" t="s">
        <v>246</v>
      </c>
      <c r="BQ161" s="432" t="s">
        <v>246</v>
      </c>
      <c r="BR161" s="432" t="s">
        <v>246</v>
      </c>
      <c r="BS161" s="432" t="s">
        <v>246</v>
      </c>
      <c r="BT161" s="432" t="s">
        <v>246</v>
      </c>
      <c r="BU161" s="432" t="s">
        <v>246</v>
      </c>
      <c r="BV161" s="432" t="s">
        <v>246</v>
      </c>
      <c r="BW161" s="432" t="s">
        <v>246</v>
      </c>
      <c r="BX161" s="432" t="s">
        <v>246</v>
      </c>
      <c r="BY161" s="432" t="s">
        <v>246</v>
      </c>
      <c r="BZ161" s="432" t="s">
        <v>246</v>
      </c>
      <c r="CA161" s="432" t="s">
        <v>246</v>
      </c>
      <c r="CB161" s="432" t="s">
        <v>64</v>
      </c>
      <c r="CC161" s="450">
        <f t="shared" si="705"/>
        <v>226862.01312452802</v>
      </c>
      <c r="CD161" s="450">
        <f t="shared" si="706"/>
        <v>0</v>
      </c>
      <c r="CF161" s="263">
        <f t="shared" si="562"/>
        <v>0</v>
      </c>
      <c r="CG161" s="263">
        <f t="shared" si="563"/>
        <v>0</v>
      </c>
      <c r="CH161" s="263">
        <f t="shared" si="564"/>
        <v>0</v>
      </c>
      <c r="CI161" s="263">
        <f t="shared" si="565"/>
        <v>0</v>
      </c>
      <c r="CJ161" s="263">
        <f t="shared" si="566"/>
        <v>0</v>
      </c>
      <c r="CK161" s="263">
        <f t="shared" si="567"/>
        <v>0</v>
      </c>
      <c r="CL161" s="263">
        <f t="shared" si="568"/>
        <v>0</v>
      </c>
      <c r="CM161" s="263">
        <f t="shared" si="569"/>
        <v>0</v>
      </c>
      <c r="CN161" s="263">
        <f t="shared" si="570"/>
        <v>0</v>
      </c>
      <c r="CO161" s="263">
        <f t="shared" si="571"/>
        <v>0</v>
      </c>
      <c r="CP161" s="263">
        <f t="shared" si="572"/>
        <v>0</v>
      </c>
      <c r="CQ161" s="263">
        <f t="shared" si="573"/>
        <v>0</v>
      </c>
      <c r="CR161" s="263">
        <f t="shared" si="574"/>
        <v>0</v>
      </c>
      <c r="CS161" s="263">
        <f t="shared" si="575"/>
        <v>0</v>
      </c>
      <c r="CT161" s="263">
        <f t="shared" si="576"/>
        <v>0</v>
      </c>
      <c r="CU161" s="263">
        <f t="shared" si="577"/>
        <v>0</v>
      </c>
      <c r="CV161" s="263">
        <f t="shared" si="578"/>
        <v>0</v>
      </c>
      <c r="CW161" s="263">
        <f t="shared" si="579"/>
        <v>0</v>
      </c>
      <c r="CX161" s="263">
        <f t="shared" si="580"/>
        <v>0</v>
      </c>
      <c r="CY161" s="263">
        <f t="shared" si="581"/>
        <v>0</v>
      </c>
      <c r="CZ161" s="263">
        <f t="shared" si="582"/>
        <v>0</v>
      </c>
      <c r="DA161" s="263">
        <f t="shared" si="583"/>
        <v>0</v>
      </c>
      <c r="DB161" s="263">
        <f t="shared" si="584"/>
        <v>0</v>
      </c>
      <c r="DC161" s="263">
        <f t="shared" si="585"/>
        <v>0</v>
      </c>
      <c r="DD161" s="263">
        <f t="shared" si="586"/>
        <v>0</v>
      </c>
      <c r="DE161" s="263">
        <f t="shared" si="587"/>
        <v>0</v>
      </c>
      <c r="DF161" s="263">
        <f t="shared" si="588"/>
        <v>3963790.73</v>
      </c>
      <c r="DG161" s="263">
        <f t="shared" si="589"/>
        <v>0</v>
      </c>
      <c r="DH161" s="263">
        <f t="shared" si="590"/>
        <v>3963790.73</v>
      </c>
      <c r="DI161" s="263">
        <f t="shared" si="591"/>
        <v>3963790.73</v>
      </c>
      <c r="DJ161" s="263">
        <f t="shared" si="592"/>
        <v>0</v>
      </c>
      <c r="DK161" s="263">
        <f t="shared" si="593"/>
        <v>0</v>
      </c>
      <c r="DL161" s="263">
        <f t="shared" si="594"/>
        <v>0</v>
      </c>
      <c r="DM161" s="263">
        <f t="shared" si="595"/>
        <v>0</v>
      </c>
      <c r="DO161" s="264">
        <f t="shared" si="596"/>
        <v>0</v>
      </c>
      <c r="DP161" s="265">
        <f t="shared" si="597"/>
        <v>0</v>
      </c>
      <c r="DQ161" s="264">
        <f t="shared" si="598"/>
        <v>3963790.73</v>
      </c>
      <c r="DR161" s="264">
        <f t="shared" si="599"/>
        <v>0</v>
      </c>
      <c r="DS161" s="265">
        <f t="shared" si="600"/>
        <v>0</v>
      </c>
      <c r="DT161" s="264">
        <f t="shared" si="601"/>
        <v>3963790.73</v>
      </c>
      <c r="DU161" s="264">
        <f t="shared" si="602"/>
        <v>0</v>
      </c>
      <c r="DV161" s="265">
        <f t="shared" si="603"/>
        <v>0</v>
      </c>
      <c r="DW161" s="264">
        <f t="shared" si="604"/>
        <v>3963790.73</v>
      </c>
      <c r="DX161" s="264">
        <f t="shared" si="605"/>
        <v>0</v>
      </c>
      <c r="DY161" s="265">
        <f t="shared" si="606"/>
        <v>0</v>
      </c>
      <c r="DZ161" s="264">
        <f t="shared" si="607"/>
        <v>3963790.73</v>
      </c>
      <c r="EA161" s="264">
        <f t="shared" si="608"/>
        <v>0</v>
      </c>
      <c r="EB161" s="265">
        <f t="shared" si="609"/>
        <v>0</v>
      </c>
      <c r="EC161" s="264">
        <f t="shared" si="610"/>
        <v>3963790.73</v>
      </c>
      <c r="ED161" s="264">
        <f t="shared" si="611"/>
        <v>0</v>
      </c>
      <c r="EE161" s="265">
        <f t="shared" si="612"/>
        <v>0</v>
      </c>
      <c r="EF161" s="264">
        <f t="shared" si="613"/>
        <v>3963790.73</v>
      </c>
      <c r="EG161" s="264">
        <f t="shared" si="614"/>
        <v>0</v>
      </c>
      <c r="EH161" s="265">
        <f t="shared" si="615"/>
        <v>0</v>
      </c>
      <c r="EI161" s="264">
        <f t="shared" si="616"/>
        <v>3963790.73</v>
      </c>
      <c r="EJ161" s="264">
        <f t="shared" si="617"/>
        <v>0</v>
      </c>
      <c r="EK161" s="265">
        <f t="shared" si="618"/>
        <v>0</v>
      </c>
      <c r="EL161" s="264">
        <f t="shared" si="619"/>
        <v>3963790.73</v>
      </c>
      <c r="EM161" s="264">
        <f t="shared" si="620"/>
        <v>0</v>
      </c>
      <c r="EN161" s="265">
        <f t="shared" si="621"/>
        <v>0</v>
      </c>
      <c r="EO161" s="264">
        <f t="shared" si="622"/>
        <v>3963790.73</v>
      </c>
      <c r="EP161" s="264">
        <f t="shared" si="623"/>
        <v>0</v>
      </c>
      <c r="EQ161" s="265">
        <f t="shared" si="624"/>
        <v>0</v>
      </c>
      <c r="ER161" s="264">
        <f t="shared" si="625"/>
        <v>3963790.73</v>
      </c>
      <c r="ES161" s="264">
        <f t="shared" si="626"/>
        <v>0</v>
      </c>
      <c r="ET161" s="265">
        <f t="shared" si="627"/>
        <v>0</v>
      </c>
      <c r="EU161" s="264">
        <f t="shared" si="628"/>
        <v>3963790.73</v>
      </c>
      <c r="EV161" s="264">
        <f>IF(AND(BM161="Yes",OR(BN161="No",AND(BN161="Yes",Inputs!$J$8=Inputs!$J$17+75))),EU161,0)</f>
        <v>0</v>
      </c>
      <c r="EW161" s="265">
        <f t="shared" si="629"/>
        <v>0</v>
      </c>
      <c r="EX161" s="264">
        <f t="shared" si="630"/>
        <v>3963790.73</v>
      </c>
      <c r="EY161" s="264">
        <f t="shared" si="631"/>
        <v>0</v>
      </c>
      <c r="EZ161" s="265">
        <f t="shared" si="632"/>
        <v>0</v>
      </c>
      <c r="FA161" s="264">
        <f t="shared" si="633"/>
        <v>3963790.73</v>
      </c>
      <c r="FB161" s="264">
        <f t="shared" si="634"/>
        <v>0</v>
      </c>
      <c r="FC161" s="265">
        <f t="shared" si="635"/>
        <v>0</v>
      </c>
      <c r="FD161" s="264">
        <f t="shared" si="636"/>
        <v>3963790.73</v>
      </c>
      <c r="FE161" s="264">
        <f t="shared" si="637"/>
        <v>0</v>
      </c>
      <c r="FF161" s="265">
        <f t="shared" si="638"/>
        <v>0</v>
      </c>
      <c r="FG161" s="264">
        <f t="shared" si="639"/>
        <v>3963790.73</v>
      </c>
      <c r="FH161" s="264">
        <f t="shared" si="640"/>
        <v>3963790.73</v>
      </c>
      <c r="FI161" s="264">
        <f t="shared" si="641"/>
        <v>0</v>
      </c>
      <c r="FJ161" s="264">
        <f t="shared" si="642"/>
        <v>3963790.73</v>
      </c>
      <c r="FK161" s="264">
        <f t="shared" si="643"/>
        <v>3963790.73</v>
      </c>
      <c r="FL161" s="264">
        <f t="shared" si="644"/>
        <v>0</v>
      </c>
      <c r="FM161" s="264">
        <f t="shared" si="645"/>
        <v>3963790.73</v>
      </c>
      <c r="FN161" s="264">
        <f t="shared" si="646"/>
        <v>3963790.73</v>
      </c>
      <c r="FO161" s="264">
        <f t="shared" si="647"/>
        <v>0</v>
      </c>
      <c r="FP161" s="264">
        <f t="shared" si="648"/>
        <v>3963790.73</v>
      </c>
      <c r="FQ161" s="264">
        <f t="shared" si="649"/>
        <v>0</v>
      </c>
      <c r="FR161" s="265">
        <f t="shared" si="650"/>
        <v>0</v>
      </c>
      <c r="FS161" s="264">
        <f t="shared" si="651"/>
        <v>3963790.73</v>
      </c>
      <c r="FT161" s="264">
        <f t="shared" si="652"/>
        <v>0</v>
      </c>
      <c r="FU161" s="265">
        <f t="shared" si="653"/>
        <v>0</v>
      </c>
      <c r="FV161" s="264">
        <f t="shared" si="654"/>
        <v>3963790.73</v>
      </c>
      <c r="FW161" s="264">
        <f t="shared" si="655"/>
        <v>0</v>
      </c>
      <c r="FX161" s="264">
        <f t="shared" si="656"/>
        <v>0</v>
      </c>
      <c r="FY161" s="264">
        <f t="shared" si="657"/>
        <v>0</v>
      </c>
      <c r="FZ161" s="264">
        <f t="shared" si="658"/>
        <v>0</v>
      </c>
      <c r="GA161" s="265">
        <f t="shared" si="659"/>
        <v>0</v>
      </c>
      <c r="GB161" s="264">
        <f t="shared" si="660"/>
        <v>3963790.73</v>
      </c>
      <c r="GC161" s="264">
        <f t="shared" si="661"/>
        <v>3963790.73</v>
      </c>
      <c r="GD161" s="266">
        <f t="shared" si="662"/>
        <v>2873748.2792499997</v>
      </c>
      <c r="GE161" s="138">
        <f t="shared" si="663"/>
        <v>0.72499999999999987</v>
      </c>
      <c r="GF161" s="267">
        <f t="shared" si="664"/>
        <v>38</v>
      </c>
      <c r="GG161" s="264">
        <f t="array" ref="GG161">IF(SUM(IF(IC$9:IC160=IC161,1,0))&gt;0,0,SUMIF($IC$10:$IC$406,IC161,$FJ$10:$FJ$406))</f>
        <v>3963790.73</v>
      </c>
      <c r="GH161" s="268">
        <f t="shared" si="665"/>
        <v>3963790.73</v>
      </c>
      <c r="GI161" s="137">
        <f t="shared" si="126"/>
        <v>152</v>
      </c>
      <c r="GJ161" s="269">
        <f t="shared" si="666"/>
        <v>0</v>
      </c>
      <c r="GK161" s="269">
        <f t="shared" si="667"/>
        <v>0</v>
      </c>
      <c r="GL161" s="163">
        <f t="shared" si="668"/>
        <v>0</v>
      </c>
      <c r="GM161" s="137">
        <f t="array" ref="GM161">IF(GJ161=0,0,LARGE(IF($GG$10:$GG$406=GJ161,$GF$10:$GF$406,0),COUNTIF($GJ$10:$GJ$406,GJ161)-COUNTIF(GJ$9:GJ160,GJ161)))</f>
        <v>0</v>
      </c>
      <c r="GN161" s="270">
        <f t="shared" si="669"/>
        <v>0</v>
      </c>
      <c r="GP161" s="137">
        <f>IF(C161="","",IF(ISERROR(MATCH(C161,C$10:C160,0)),MAX(GP$10:GP160)+1,INDEX(GP$10:GP160,MATCH(C161,C$10:C160,0))))</f>
        <v>116</v>
      </c>
      <c r="GQ161" s="264">
        <f>IF(COUNTIF($A$10:A161,A161)&lt;=1,SUMIF($A$10:$A$406,A161,$FH$10:$FH$406),0)</f>
        <v>3963790.73</v>
      </c>
      <c r="GR161" s="137">
        <f t="shared" si="130"/>
        <v>152</v>
      </c>
      <c r="GS161" s="269">
        <f t="shared" si="707"/>
        <v>0</v>
      </c>
      <c r="GT161" s="269">
        <f t="shared" si="708"/>
        <v>0</v>
      </c>
      <c r="GU161" s="163">
        <f t="shared" si="709"/>
        <v>0</v>
      </c>
      <c r="GV161" s="137">
        <f t="array" ref="GV161">IF(GS161=0,0,LARGE(IF($GQ$10:$GQ$406=GS161,$GP$10:$GP$406,0),COUNTIF($GS$10:$GS$406,GS161)-COUNTIF(GS$9:GS160,GS161)))</f>
        <v>0</v>
      </c>
      <c r="GW161" s="270">
        <f t="shared" si="710"/>
        <v>0</v>
      </c>
      <c r="GY161" s="137">
        <f>IF(C161="","",IF(ISERROR(MATCH(C161,C$10:C160,0)),MAX(GP$10:GP160)+1,INDEX(GP$10:GP160,MATCH(C161,C$10:C160,0))))</f>
        <v>116</v>
      </c>
      <c r="GZ161" s="264">
        <f>IF(COUNTIF($A$10:A161,A161)&lt;=1,SUMIF($A$10:$A$406,A161,$FH$10:$FH$406),0)</f>
        <v>3963790.73</v>
      </c>
      <c r="HA161" s="137">
        <f t="shared" si="134"/>
        <v>152</v>
      </c>
      <c r="HB161" s="269">
        <f t="shared" si="670"/>
        <v>0</v>
      </c>
      <c r="HC161" s="414" t="s">
        <v>622</v>
      </c>
      <c r="HD161" s="163">
        <f t="shared" si="671"/>
        <v>0</v>
      </c>
      <c r="HE161" s="137">
        <f t="array" ref="HE161">IF(HB161=0,0,LARGE(IF($GZ$10:$GZ$406=HB161,$GY$10:$GY$406,0),COUNTIF($HB$10:$HB$406,HB161)-COUNTIF(HB$9:HB160,HB161)))</f>
        <v>0</v>
      </c>
      <c r="HF161" s="270">
        <f t="shared" si="672"/>
        <v>0</v>
      </c>
      <c r="HH161" s="268">
        <f t="shared" si="673"/>
        <v>0</v>
      </c>
      <c r="HI161" s="271">
        <v>0</v>
      </c>
      <c r="HJ161" s="264">
        <f t="shared" si="674"/>
        <v>0</v>
      </c>
      <c r="HL161" s="137" t="str">
        <f t="shared" si="675"/>
        <v/>
      </c>
      <c r="HM161" s="264">
        <f t="shared" si="676"/>
        <v>0</v>
      </c>
      <c r="HO161" s="199">
        <f t="shared" si="677"/>
        <v>3963790.73</v>
      </c>
      <c r="HP161" s="199">
        <f t="shared" si="678"/>
        <v>3963790.73</v>
      </c>
      <c r="HQ161" s="199" t="str">
        <f t="shared" si="679"/>
        <v/>
      </c>
      <c r="HR161" s="199" t="str">
        <f t="shared" si="680"/>
        <v/>
      </c>
      <c r="HS161" s="199" t="str">
        <f t="shared" si="693"/>
        <v/>
      </c>
      <c r="HT161" s="199" t="str">
        <f t="shared" si="681"/>
        <v/>
      </c>
      <c r="HU161" s="199" t="str">
        <f t="shared" si="682"/>
        <v/>
      </c>
      <c r="HV161" s="200">
        <f t="shared" si="683"/>
        <v>0</v>
      </c>
      <c r="HW161" s="272">
        <f t="shared" si="684"/>
        <v>1</v>
      </c>
      <c r="HX161" s="200" t="str">
        <f t="shared" si="685"/>
        <v/>
      </c>
      <c r="HY161" s="200">
        <f t="shared" si="686"/>
        <v>0</v>
      </c>
      <c r="HZ161" s="200" t="str">
        <f t="shared" si="692"/>
        <v/>
      </c>
      <c r="IA161" s="200" t="str">
        <f t="shared" si="687"/>
        <v/>
      </c>
      <c r="IB161" s="200" t="str">
        <f t="shared" si="688"/>
        <v/>
      </c>
      <c r="IC161" s="273">
        <f>IF(C161="","",INDEX(Lookups!$E$2:$E$69,MATCH('Loan List'!BE161,Lookups!$F$2:$F$69,0)))</f>
        <v>38</v>
      </c>
      <c r="ID161" t="b">
        <f t="shared" si="689"/>
        <v>1</v>
      </c>
    </row>
    <row r="162" spans="1:240">
      <c r="A162" t="s">
        <v>608</v>
      </c>
      <c r="B162" s="242">
        <f t="shared" si="694"/>
        <v>153</v>
      </c>
      <c r="C162" s="242">
        <f>IF(COUNTIF($A$10:A161,A162)&gt;0,C161,C161+1)</f>
        <v>117</v>
      </c>
      <c r="D162" s="428" t="s">
        <v>608</v>
      </c>
      <c r="E162" s="428" t="s">
        <v>528</v>
      </c>
      <c r="F162" s="429"/>
      <c r="G162" s="430">
        <v>3262037.6100000003</v>
      </c>
      <c r="H162" s="430">
        <v>3262037.6100000003</v>
      </c>
      <c r="I162" s="244">
        <f>IF(B162="","",VLOOKUP(BF162,Inputs!$A$12:$J$15,10,FALSE))</f>
        <v>1</v>
      </c>
      <c r="J162" s="245">
        <f t="shared" si="695"/>
        <v>3262037.6100000003</v>
      </c>
      <c r="K162" s="245">
        <f t="shared" si="696"/>
        <v>3262037.6100000003</v>
      </c>
      <c r="L162" s="245">
        <f t="shared" si="697"/>
        <v>3262037.6100000003</v>
      </c>
      <c r="M162" s="245">
        <f t="shared" si="698"/>
        <v>3262037.6100000003</v>
      </c>
      <c r="N162" s="432" t="s">
        <v>246</v>
      </c>
      <c r="O162" s="432" t="s">
        <v>245</v>
      </c>
      <c r="P162" s="433">
        <f>IF(B162="","",IF(OR(O162="N/A",O162=""),0,YEARFRAC('Borrowing Base'!$J$4,'Loan List'!O162)*12))</f>
        <v>0</v>
      </c>
      <c r="Q162" s="432" t="s">
        <v>246</v>
      </c>
      <c r="R162" s="434">
        <v>0.98</v>
      </c>
      <c r="S162" s="435" t="str">
        <f t="shared" si="699"/>
        <v>No</v>
      </c>
      <c r="T162" s="434">
        <v>0.99800000211669004</v>
      </c>
      <c r="U162" s="436">
        <f t="shared" si="700"/>
        <v>0.5</v>
      </c>
      <c r="V162" s="436">
        <f t="shared" si="701"/>
        <v>0.6560450000000001</v>
      </c>
      <c r="W162" s="251">
        <f t="shared" si="561"/>
        <v>3262037.6100000003</v>
      </c>
      <c r="X162" s="432" t="s">
        <v>64</v>
      </c>
      <c r="Y162" s="437" t="s">
        <v>483</v>
      </c>
      <c r="Z162" s="437" t="s">
        <v>484</v>
      </c>
      <c r="AA162" s="438" t="s">
        <v>407</v>
      </c>
      <c r="AB162" s="438" t="s">
        <v>713</v>
      </c>
      <c r="AC162" s="439">
        <v>1.94</v>
      </c>
      <c r="AD162" s="439">
        <v>1.9451132287888497</v>
      </c>
      <c r="AE162" s="439">
        <v>2.641579733310456</v>
      </c>
      <c r="AF162" s="439">
        <v>0.47633475066637648</v>
      </c>
      <c r="AG162" s="440">
        <v>5.5138950154389059</v>
      </c>
      <c r="AH162" s="440">
        <v>5.5138950154389059</v>
      </c>
      <c r="AI162" s="440">
        <v>5.4193199184921044</v>
      </c>
      <c r="AJ162" s="440">
        <v>5.4193199184921044</v>
      </c>
      <c r="AK162" s="441">
        <v>13602000</v>
      </c>
      <c r="AL162" s="441">
        <v>31407999.999999996</v>
      </c>
      <c r="AM162" s="258">
        <v>45777</v>
      </c>
      <c r="AN162" s="442" t="str">
        <f t="shared" si="702"/>
        <v>Tier 2</v>
      </c>
      <c r="AO162" s="443">
        <v>46996</v>
      </c>
      <c r="AP162" s="444">
        <f>IF(C162="","",DAYS360(Inputs!$J$8,AO162)/360)</f>
        <v>3.0194444444444444</v>
      </c>
      <c r="AQ162" s="444">
        <f t="shared" si="703"/>
        <v>3.0194444444444444</v>
      </c>
      <c r="AR162" s="432" t="s">
        <v>246</v>
      </c>
      <c r="AS162" s="445">
        <v>0</v>
      </c>
      <c r="AT162" s="432" t="s">
        <v>64</v>
      </c>
      <c r="AU162" s="446">
        <v>0.01</v>
      </c>
      <c r="AV162" s="446">
        <v>5.0999999999999997E-2</v>
      </c>
      <c r="AW162" s="446">
        <v>4.2356999999999999E-2</v>
      </c>
      <c r="AX162" s="260">
        <f t="shared" si="704"/>
        <v>4.2356999999999999E-2</v>
      </c>
      <c r="AY162" s="446">
        <v>0</v>
      </c>
      <c r="AZ162" s="446">
        <v>0</v>
      </c>
      <c r="BA162" s="446">
        <v>0</v>
      </c>
      <c r="BB162" s="447">
        <f t="shared" si="690"/>
        <v>5.0999999999999997E-2</v>
      </c>
      <c r="BC162" s="447" t="str">
        <f t="shared" si="691"/>
        <v/>
      </c>
      <c r="BD162" s="437" t="s">
        <v>247</v>
      </c>
      <c r="BE162" s="448" t="s">
        <v>363</v>
      </c>
      <c r="BF162" s="437" t="s">
        <v>7</v>
      </c>
      <c r="BG162" s="437" t="s">
        <v>460</v>
      </c>
      <c r="BH162" s="432" t="s">
        <v>246</v>
      </c>
      <c r="BI162" s="449" t="str">
        <f t="shared" si="559"/>
        <v>No</v>
      </c>
      <c r="BJ162" s="449" t="str">
        <f t="shared" si="560"/>
        <v>No</v>
      </c>
      <c r="BK162" s="432" t="s">
        <v>246</v>
      </c>
      <c r="BL162" s="432" t="s">
        <v>246</v>
      </c>
      <c r="BM162" s="432" t="s">
        <v>246</v>
      </c>
      <c r="BN162" s="432" t="s">
        <v>246</v>
      </c>
      <c r="BO162" s="432" t="s">
        <v>246</v>
      </c>
      <c r="BP162" s="432" t="s">
        <v>246</v>
      </c>
      <c r="BQ162" s="432" t="s">
        <v>246</v>
      </c>
      <c r="BR162" s="432" t="s">
        <v>246</v>
      </c>
      <c r="BS162" s="432" t="s">
        <v>246</v>
      </c>
      <c r="BT162" s="432" t="s">
        <v>246</v>
      </c>
      <c r="BU162" s="432" t="s">
        <v>246</v>
      </c>
      <c r="BV162" s="432" t="s">
        <v>246</v>
      </c>
      <c r="BW162" s="432" t="s">
        <v>246</v>
      </c>
      <c r="BX162" s="432" t="s">
        <v>246</v>
      </c>
      <c r="BY162" s="432" t="s">
        <v>246</v>
      </c>
      <c r="BZ162" s="432" t="s">
        <v>246</v>
      </c>
      <c r="CA162" s="432" t="s">
        <v>246</v>
      </c>
      <c r="CB162" s="432" t="s">
        <v>64</v>
      </c>
      <c r="CC162" s="450">
        <f t="shared" si="705"/>
        <v>163540.95076230599</v>
      </c>
      <c r="CD162" s="450">
        <f t="shared" si="706"/>
        <v>0</v>
      </c>
      <c r="CF162" s="263">
        <f t="shared" si="562"/>
        <v>0</v>
      </c>
      <c r="CG162" s="263">
        <f t="shared" si="563"/>
        <v>0</v>
      </c>
      <c r="CH162" s="263">
        <f t="shared" si="564"/>
        <v>0</v>
      </c>
      <c r="CI162" s="263">
        <f t="shared" si="565"/>
        <v>0</v>
      </c>
      <c r="CJ162" s="263">
        <f t="shared" si="566"/>
        <v>0</v>
      </c>
      <c r="CK162" s="263">
        <f t="shared" si="567"/>
        <v>0</v>
      </c>
      <c r="CL162" s="263">
        <f t="shared" si="568"/>
        <v>0</v>
      </c>
      <c r="CM162" s="263">
        <f t="shared" si="569"/>
        <v>0</v>
      </c>
      <c r="CN162" s="263">
        <f t="shared" si="570"/>
        <v>0</v>
      </c>
      <c r="CO162" s="263">
        <f t="shared" si="571"/>
        <v>0</v>
      </c>
      <c r="CP162" s="263">
        <f t="shared" si="572"/>
        <v>0</v>
      </c>
      <c r="CQ162" s="263">
        <f t="shared" si="573"/>
        <v>0</v>
      </c>
      <c r="CR162" s="263">
        <f t="shared" si="574"/>
        <v>0</v>
      </c>
      <c r="CS162" s="263">
        <f t="shared" si="575"/>
        <v>0</v>
      </c>
      <c r="CT162" s="263">
        <f t="shared" si="576"/>
        <v>0</v>
      </c>
      <c r="CU162" s="263">
        <f t="shared" si="577"/>
        <v>0</v>
      </c>
      <c r="CV162" s="263">
        <f t="shared" si="578"/>
        <v>0</v>
      </c>
      <c r="CW162" s="263">
        <f t="shared" si="579"/>
        <v>0</v>
      </c>
      <c r="CX162" s="263">
        <f t="shared" si="580"/>
        <v>0</v>
      </c>
      <c r="CY162" s="263">
        <f t="shared" si="581"/>
        <v>0</v>
      </c>
      <c r="CZ162" s="263">
        <f t="shared" si="582"/>
        <v>0</v>
      </c>
      <c r="DA162" s="263">
        <f t="shared" si="583"/>
        <v>0</v>
      </c>
      <c r="DB162" s="263">
        <f t="shared" si="584"/>
        <v>0</v>
      </c>
      <c r="DC162" s="263">
        <f t="shared" si="585"/>
        <v>0</v>
      </c>
      <c r="DD162" s="263">
        <f t="shared" si="586"/>
        <v>0</v>
      </c>
      <c r="DE162" s="263">
        <f t="shared" si="587"/>
        <v>0</v>
      </c>
      <c r="DF162" s="263">
        <f t="shared" si="588"/>
        <v>3262037.6100000003</v>
      </c>
      <c r="DG162" s="263">
        <f t="shared" si="589"/>
        <v>0</v>
      </c>
      <c r="DH162" s="263">
        <f t="shared" si="590"/>
        <v>3262037.6100000003</v>
      </c>
      <c r="DI162" s="263">
        <f t="shared" si="591"/>
        <v>3262037.6100000003</v>
      </c>
      <c r="DJ162" s="263">
        <f t="shared" si="592"/>
        <v>0</v>
      </c>
      <c r="DK162" s="263">
        <f t="shared" si="593"/>
        <v>0</v>
      </c>
      <c r="DL162" s="263">
        <f t="shared" si="594"/>
        <v>0</v>
      </c>
      <c r="DM162" s="263">
        <f t="shared" si="595"/>
        <v>0</v>
      </c>
      <c r="DO162" s="264">
        <f t="shared" si="596"/>
        <v>0</v>
      </c>
      <c r="DP162" s="265">
        <f t="shared" si="597"/>
        <v>0</v>
      </c>
      <c r="DQ162" s="264">
        <f t="shared" si="598"/>
        <v>3262037.6100000003</v>
      </c>
      <c r="DR162" s="264">
        <f t="shared" si="599"/>
        <v>0</v>
      </c>
      <c r="DS162" s="265">
        <f t="shared" si="600"/>
        <v>0</v>
      </c>
      <c r="DT162" s="264">
        <f t="shared" si="601"/>
        <v>3262037.6100000003</v>
      </c>
      <c r="DU162" s="264">
        <f t="shared" si="602"/>
        <v>0</v>
      </c>
      <c r="DV162" s="265">
        <f t="shared" si="603"/>
        <v>0</v>
      </c>
      <c r="DW162" s="264">
        <f t="shared" si="604"/>
        <v>3262037.6100000003</v>
      </c>
      <c r="DX162" s="264">
        <f t="shared" si="605"/>
        <v>0</v>
      </c>
      <c r="DY162" s="265">
        <f t="shared" si="606"/>
        <v>0</v>
      </c>
      <c r="DZ162" s="264">
        <f t="shared" si="607"/>
        <v>3262037.6100000003</v>
      </c>
      <c r="EA162" s="264">
        <f t="shared" si="608"/>
        <v>0</v>
      </c>
      <c r="EB162" s="265">
        <f t="shared" si="609"/>
        <v>0</v>
      </c>
      <c r="EC162" s="264">
        <f t="shared" si="610"/>
        <v>3262037.6100000003</v>
      </c>
      <c r="ED162" s="264">
        <f t="shared" si="611"/>
        <v>0</v>
      </c>
      <c r="EE162" s="265">
        <f t="shared" si="612"/>
        <v>0</v>
      </c>
      <c r="EF162" s="264">
        <f t="shared" si="613"/>
        <v>3262037.6100000003</v>
      </c>
      <c r="EG162" s="264">
        <f t="shared" si="614"/>
        <v>0</v>
      </c>
      <c r="EH162" s="265">
        <f t="shared" si="615"/>
        <v>0</v>
      </c>
      <c r="EI162" s="264">
        <f t="shared" si="616"/>
        <v>3262037.6100000003</v>
      </c>
      <c r="EJ162" s="264">
        <f t="shared" si="617"/>
        <v>0</v>
      </c>
      <c r="EK162" s="265">
        <f t="shared" si="618"/>
        <v>0</v>
      </c>
      <c r="EL162" s="264">
        <f t="shared" si="619"/>
        <v>3262037.6100000003</v>
      </c>
      <c r="EM162" s="264">
        <f t="shared" si="620"/>
        <v>0</v>
      </c>
      <c r="EN162" s="265">
        <f t="shared" si="621"/>
        <v>0</v>
      </c>
      <c r="EO162" s="264">
        <f t="shared" si="622"/>
        <v>3262037.6100000003</v>
      </c>
      <c r="EP162" s="264">
        <f t="shared" si="623"/>
        <v>0</v>
      </c>
      <c r="EQ162" s="265">
        <f t="shared" si="624"/>
        <v>0</v>
      </c>
      <c r="ER162" s="264">
        <f t="shared" si="625"/>
        <v>3262037.6100000003</v>
      </c>
      <c r="ES162" s="264">
        <f t="shared" si="626"/>
        <v>0</v>
      </c>
      <c r="ET162" s="265">
        <f t="shared" si="627"/>
        <v>0</v>
      </c>
      <c r="EU162" s="264">
        <f t="shared" si="628"/>
        <v>3262037.6100000003</v>
      </c>
      <c r="EV162" s="264">
        <f>IF(AND(BM162="Yes",OR(BN162="No",AND(BN162="Yes",Inputs!$J$8=Inputs!$J$17+75))),EU162,0)</f>
        <v>0</v>
      </c>
      <c r="EW162" s="265">
        <f t="shared" si="629"/>
        <v>0</v>
      </c>
      <c r="EX162" s="264">
        <f t="shared" si="630"/>
        <v>3262037.6100000003</v>
      </c>
      <c r="EY162" s="264">
        <f t="shared" si="631"/>
        <v>0</v>
      </c>
      <c r="EZ162" s="265">
        <f t="shared" si="632"/>
        <v>0</v>
      </c>
      <c r="FA162" s="264">
        <f t="shared" si="633"/>
        <v>3262037.6100000003</v>
      </c>
      <c r="FB162" s="264">
        <f t="shared" si="634"/>
        <v>0</v>
      </c>
      <c r="FC162" s="265">
        <f t="shared" si="635"/>
        <v>0</v>
      </c>
      <c r="FD162" s="264">
        <f t="shared" si="636"/>
        <v>3262037.6100000003</v>
      </c>
      <c r="FE162" s="264">
        <f t="shared" si="637"/>
        <v>0</v>
      </c>
      <c r="FF162" s="265">
        <f t="shared" si="638"/>
        <v>0</v>
      </c>
      <c r="FG162" s="264">
        <f t="shared" si="639"/>
        <v>3262037.6100000003</v>
      </c>
      <c r="FH162" s="264">
        <f t="shared" si="640"/>
        <v>3262037.6100000003</v>
      </c>
      <c r="FI162" s="264">
        <f t="shared" si="641"/>
        <v>0</v>
      </c>
      <c r="FJ162" s="264">
        <f t="shared" si="642"/>
        <v>3262037.6100000003</v>
      </c>
      <c r="FK162" s="264">
        <f t="shared" si="643"/>
        <v>3262037.6100000003</v>
      </c>
      <c r="FL162" s="264">
        <f t="shared" si="644"/>
        <v>0</v>
      </c>
      <c r="FM162" s="264">
        <f t="shared" si="645"/>
        <v>3262037.6100000003</v>
      </c>
      <c r="FN162" s="264">
        <f t="shared" si="646"/>
        <v>3262037.6100000003</v>
      </c>
      <c r="FO162" s="264">
        <f t="shared" si="647"/>
        <v>0</v>
      </c>
      <c r="FP162" s="264">
        <f t="shared" si="648"/>
        <v>3262037.6100000003</v>
      </c>
      <c r="FQ162" s="264">
        <f t="shared" si="649"/>
        <v>0</v>
      </c>
      <c r="FR162" s="265">
        <f t="shared" si="650"/>
        <v>0</v>
      </c>
      <c r="FS162" s="264">
        <f t="shared" si="651"/>
        <v>3262037.6100000003</v>
      </c>
      <c r="FT162" s="264">
        <f t="shared" si="652"/>
        <v>0</v>
      </c>
      <c r="FU162" s="265">
        <f t="shared" si="653"/>
        <v>0</v>
      </c>
      <c r="FV162" s="264">
        <f t="shared" si="654"/>
        <v>3262037.6100000003</v>
      </c>
      <c r="FW162" s="264">
        <f t="shared" si="655"/>
        <v>0</v>
      </c>
      <c r="FX162" s="264">
        <f t="shared" si="656"/>
        <v>0</v>
      </c>
      <c r="FY162" s="264">
        <f t="shared" si="657"/>
        <v>3262037.6100000003</v>
      </c>
      <c r="FZ162" s="264">
        <f t="shared" si="658"/>
        <v>3262037.6100000003</v>
      </c>
      <c r="GA162" s="265">
        <f t="shared" si="659"/>
        <v>14615.379736633588</v>
      </c>
      <c r="GB162" s="264">
        <f t="shared" si="660"/>
        <v>3247422.2302633668</v>
      </c>
      <c r="GC162" s="264">
        <f t="shared" si="661"/>
        <v>3247422.2302633668</v>
      </c>
      <c r="GD162" s="266">
        <f t="shared" si="662"/>
        <v>2130455.1170531306</v>
      </c>
      <c r="GE162" s="138">
        <f t="shared" si="663"/>
        <v>0.65310562653296034</v>
      </c>
      <c r="GF162" s="267">
        <f t="shared" si="664"/>
        <v>14</v>
      </c>
      <c r="GG162" s="264">
        <f t="array" ref="GG162">IF(SUM(IF(IC$9:IC161=IC162,1,0))&gt;0,0,SUMIF($IC$10:$IC$406,IC162,$FJ$10:$FJ$406))</f>
        <v>0</v>
      </c>
      <c r="GH162" s="268">
        <f t="shared" si="665"/>
        <v>0</v>
      </c>
      <c r="GI162" s="137">
        <f t="shared" si="126"/>
        <v>153</v>
      </c>
      <c r="GJ162" s="269">
        <f t="shared" si="666"/>
        <v>0</v>
      </c>
      <c r="GK162" s="269">
        <f t="shared" si="667"/>
        <v>0</v>
      </c>
      <c r="GL162" s="163">
        <f t="shared" si="668"/>
        <v>0</v>
      </c>
      <c r="GM162" s="137">
        <f t="array" ref="GM162">IF(GJ162=0,0,LARGE(IF($GG$10:$GG$406=GJ162,$GF$10:$GF$406,0),COUNTIF($GJ$10:$GJ$406,GJ162)-COUNTIF(GJ$9:GJ161,GJ162)))</f>
        <v>0</v>
      </c>
      <c r="GN162" s="270">
        <f t="shared" si="669"/>
        <v>0</v>
      </c>
      <c r="GP162" s="137">
        <f>IF(C162="","",IF(ISERROR(MATCH(C162,C$10:C161,0)),MAX(GP$10:GP161)+1,INDEX(GP$10:GP161,MATCH(C162,C$10:C161,0))))</f>
        <v>117</v>
      </c>
      <c r="GQ162" s="264">
        <f>IF(COUNTIF($A$10:A162,A162)&lt;=1,SUMIF($A$10:$A$406,A162,$FH$10:$FH$406),0)</f>
        <v>6569983.6100000003</v>
      </c>
      <c r="GR162" s="137">
        <f t="shared" si="130"/>
        <v>153</v>
      </c>
      <c r="GS162" s="269">
        <f t="shared" si="707"/>
        <v>0</v>
      </c>
      <c r="GT162" s="269">
        <f t="shared" si="708"/>
        <v>0</v>
      </c>
      <c r="GU162" s="163">
        <f t="shared" si="709"/>
        <v>0</v>
      </c>
      <c r="GV162" s="137">
        <f t="array" ref="GV162">IF(GS162=0,0,LARGE(IF($GQ$10:$GQ$406=GS162,$GP$10:$GP$406,0),COUNTIF($GS$10:$GS$406,GS162)-COUNTIF(GS$9:GS161,GS162)))</f>
        <v>0</v>
      </c>
      <c r="GW162" s="270">
        <f t="shared" si="710"/>
        <v>0</v>
      </c>
      <c r="GY162" s="137">
        <f>IF(C162="","",IF(ISERROR(MATCH(C162,C$10:C161,0)),MAX(GP$10:GP161)+1,INDEX(GP$10:GP161,MATCH(C162,C$10:C161,0))))</f>
        <v>117</v>
      </c>
      <c r="GZ162" s="264">
        <f>IF(COUNTIF($A$10:A162,A162)&lt;=1,SUMIF($A$10:$A$406,A162,$FH$10:$FH$406),0)</f>
        <v>6569983.6100000003</v>
      </c>
      <c r="HA162" s="137">
        <f t="shared" si="134"/>
        <v>153</v>
      </c>
      <c r="HB162" s="269">
        <f t="shared" si="670"/>
        <v>0</v>
      </c>
      <c r="HC162" s="414" t="s">
        <v>622</v>
      </c>
      <c r="HD162" s="163">
        <f t="shared" si="671"/>
        <v>0</v>
      </c>
      <c r="HE162" s="137">
        <f t="array" ref="HE162">IF(HB162=0,0,LARGE(IF($GZ$10:$GZ$406=HB162,$GY$10:$GY$406,0),COUNTIF($HB$10:$HB$406,HB162)-COUNTIF(HB$9:HB161,HB162)))</f>
        <v>0</v>
      </c>
      <c r="HF162" s="270">
        <f t="shared" si="672"/>
        <v>0</v>
      </c>
      <c r="HH162" s="268">
        <f t="shared" si="673"/>
        <v>14615.379736633506</v>
      </c>
      <c r="HI162" s="271">
        <v>0</v>
      </c>
      <c r="HJ162" s="264">
        <f t="shared" si="674"/>
        <v>0</v>
      </c>
      <c r="HL162" s="137" t="str">
        <f t="shared" si="675"/>
        <v/>
      </c>
      <c r="HM162" s="264">
        <f t="shared" si="676"/>
        <v>0</v>
      </c>
      <c r="HO162" s="199">
        <f t="shared" si="677"/>
        <v>3262037.6100000003</v>
      </c>
      <c r="HP162" s="199">
        <f t="shared" si="678"/>
        <v>3262037.6100000003</v>
      </c>
      <c r="HQ162" s="199" t="str">
        <f t="shared" si="679"/>
        <v/>
      </c>
      <c r="HR162" s="199" t="str">
        <f t="shared" si="680"/>
        <v/>
      </c>
      <c r="HS162" s="199" t="str">
        <f t="shared" si="693"/>
        <v/>
      </c>
      <c r="HT162" s="199" t="str">
        <f t="shared" si="681"/>
        <v/>
      </c>
      <c r="HU162" s="199" t="str">
        <f t="shared" si="682"/>
        <v/>
      </c>
      <c r="HV162" s="200">
        <f t="shared" si="683"/>
        <v>0</v>
      </c>
      <c r="HW162" s="272">
        <f t="shared" si="684"/>
        <v>1</v>
      </c>
      <c r="HX162" s="200" t="str">
        <f t="shared" si="685"/>
        <v/>
      </c>
      <c r="HY162" s="200">
        <f t="shared" si="686"/>
        <v>0</v>
      </c>
      <c r="HZ162" s="200" t="str">
        <f t="shared" si="692"/>
        <v/>
      </c>
      <c r="IA162" s="200" t="str">
        <f t="shared" si="687"/>
        <v/>
      </c>
      <c r="IB162" s="200" t="str">
        <f t="shared" si="688"/>
        <v/>
      </c>
      <c r="IC162" s="273">
        <f>IF(C162="","",INDEX(Lookups!$E$2:$E$69,MATCH('Loan List'!BE162,Lookups!$F$2:$F$69,0)))</f>
        <v>14</v>
      </c>
      <c r="ID162" t="b">
        <f t="shared" si="689"/>
        <v>1</v>
      </c>
    </row>
    <row r="163" spans="1:240">
      <c r="A163" t="s">
        <v>608</v>
      </c>
      <c r="B163" s="242">
        <f t="shared" si="694"/>
        <v>154</v>
      </c>
      <c r="C163" s="242">
        <f>IF(COUNTIF($A$10:A162,A163)&gt;0,C162,C162+1)</f>
        <v>117</v>
      </c>
      <c r="D163" s="431" t="s">
        <v>803</v>
      </c>
      <c r="E163" s="428" t="s">
        <v>528</v>
      </c>
      <c r="F163" s="429"/>
      <c r="G163" s="430">
        <v>3307946</v>
      </c>
      <c r="H163" s="430">
        <v>3307946</v>
      </c>
      <c r="I163" s="244">
        <f>IF(B163="","",VLOOKUP(BF163,Inputs!$A$12:$J$15,10,FALSE))</f>
        <v>1</v>
      </c>
      <c r="J163" s="245">
        <f t="shared" si="695"/>
        <v>3307946</v>
      </c>
      <c r="K163" s="245">
        <f t="shared" si="696"/>
        <v>3307946</v>
      </c>
      <c r="L163" s="245">
        <f t="shared" si="697"/>
        <v>3307946</v>
      </c>
      <c r="M163" s="245">
        <f t="shared" si="698"/>
        <v>3307946</v>
      </c>
      <c r="N163" s="432" t="s">
        <v>246</v>
      </c>
      <c r="O163" s="432" t="s">
        <v>245</v>
      </c>
      <c r="P163" s="433">
        <f>IF(B163="","",IF(OR(O163="N/A",O163=""),0,YEARFRAC('Borrowing Base'!$J$4,'Loan List'!O163)*12))</f>
        <v>0</v>
      </c>
      <c r="Q163" s="432" t="s">
        <v>246</v>
      </c>
      <c r="R163" s="434">
        <v>0.98</v>
      </c>
      <c r="S163" s="435" t="str">
        <f t="shared" si="699"/>
        <v>No</v>
      </c>
      <c r="T163" s="434">
        <v>0.99800000211669004</v>
      </c>
      <c r="U163" s="436">
        <f t="shared" si="700"/>
        <v>0.5</v>
      </c>
      <c r="V163" s="436">
        <f t="shared" si="701"/>
        <v>0.66138593502144405</v>
      </c>
      <c r="W163" s="251">
        <f t="shared" si="561"/>
        <v>3307946</v>
      </c>
      <c r="X163" s="432" t="s">
        <v>64</v>
      </c>
      <c r="Y163" s="437" t="s">
        <v>483</v>
      </c>
      <c r="Z163" s="437" t="s">
        <v>484</v>
      </c>
      <c r="AA163" s="438" t="s">
        <v>407</v>
      </c>
      <c r="AB163" s="438" t="s">
        <v>713</v>
      </c>
      <c r="AC163" s="439">
        <v>1.94</v>
      </c>
      <c r="AD163" s="439">
        <v>1.9451132287888497</v>
      </c>
      <c r="AE163" s="439">
        <v>2.641579733310456</v>
      </c>
      <c r="AF163" s="439">
        <v>0.47633475066637648</v>
      </c>
      <c r="AG163" s="440">
        <v>5.4193199184921044</v>
      </c>
      <c r="AH163" s="440">
        <v>5.4193199184921044</v>
      </c>
      <c r="AI163" s="440">
        <v>5.4193199184921044</v>
      </c>
      <c r="AJ163" s="440">
        <v>5.4193199184921044</v>
      </c>
      <c r="AK163" s="441">
        <v>31407999.999999996</v>
      </c>
      <c r="AL163" s="441">
        <v>31407999.999999996</v>
      </c>
      <c r="AM163" s="258">
        <v>45777</v>
      </c>
      <c r="AN163" s="442" t="str">
        <f t="shared" si="702"/>
        <v>Tier 2</v>
      </c>
      <c r="AO163" s="443">
        <v>46996</v>
      </c>
      <c r="AP163" s="444">
        <f>IF(C163="","",DAYS360(Inputs!$J$8,AO163)/360)</f>
        <v>3.0194444444444444</v>
      </c>
      <c r="AQ163" s="444">
        <f t="shared" si="703"/>
        <v>3.0194444444444444</v>
      </c>
      <c r="AR163" s="432" t="s">
        <v>246</v>
      </c>
      <c r="AS163" s="445">
        <v>0</v>
      </c>
      <c r="AT163" s="432" t="s">
        <v>64</v>
      </c>
      <c r="AU163" s="446">
        <v>0.01</v>
      </c>
      <c r="AV163" s="446">
        <v>5.0999999999999997E-2</v>
      </c>
      <c r="AW163" s="446">
        <v>4.2356999999999999E-2</v>
      </c>
      <c r="AX163" s="260">
        <f t="shared" si="704"/>
        <v>4.2356999999999999E-2</v>
      </c>
      <c r="AY163" s="446">
        <v>0</v>
      </c>
      <c r="AZ163" s="446">
        <v>0</v>
      </c>
      <c r="BA163" s="446">
        <v>0</v>
      </c>
      <c r="BB163" s="447">
        <f t="shared" si="690"/>
        <v>5.0999999999999997E-2</v>
      </c>
      <c r="BC163" s="447" t="str">
        <f t="shared" si="691"/>
        <v/>
      </c>
      <c r="BD163" s="437" t="s">
        <v>247</v>
      </c>
      <c r="BE163" s="448" t="s">
        <v>363</v>
      </c>
      <c r="BF163" s="437" t="s">
        <v>7</v>
      </c>
      <c r="BG163" s="437" t="s">
        <v>460</v>
      </c>
      <c r="BH163" s="432" t="s">
        <v>246</v>
      </c>
      <c r="BI163" s="449" t="str">
        <f t="shared" si="559"/>
        <v>No</v>
      </c>
      <c r="BJ163" s="449" t="str">
        <f t="shared" si="560"/>
        <v>No</v>
      </c>
      <c r="BK163" s="432" t="s">
        <v>246</v>
      </c>
      <c r="BL163" s="432" t="s">
        <v>246</v>
      </c>
      <c r="BM163" s="246" t="s">
        <v>64</v>
      </c>
      <c r="BN163" s="246" t="s">
        <v>64</v>
      </c>
      <c r="BO163" s="432" t="s">
        <v>246</v>
      </c>
      <c r="BP163" s="432" t="s">
        <v>246</v>
      </c>
      <c r="BQ163" s="432" t="s">
        <v>246</v>
      </c>
      <c r="BR163" s="432" t="s">
        <v>246</v>
      </c>
      <c r="BS163" s="432" t="s">
        <v>246</v>
      </c>
      <c r="BT163" s="432" t="s">
        <v>246</v>
      </c>
      <c r="BU163" s="432" t="s">
        <v>246</v>
      </c>
      <c r="BV163" s="432" t="s">
        <v>246</v>
      </c>
      <c r="BW163" s="432" t="s">
        <v>246</v>
      </c>
      <c r="BX163" s="432" t="s">
        <v>246</v>
      </c>
      <c r="BY163" s="432" t="s">
        <v>246</v>
      </c>
      <c r="BZ163" s="432" t="s">
        <v>246</v>
      </c>
      <c r="CA163" s="432" t="s">
        <v>246</v>
      </c>
      <c r="CB163" s="432" t="s">
        <v>64</v>
      </c>
      <c r="CC163" s="450">
        <f t="shared" si="705"/>
        <v>165842.54953159997</v>
      </c>
      <c r="CD163" s="450">
        <f t="shared" si="706"/>
        <v>0</v>
      </c>
      <c r="CF163" s="263">
        <f t="shared" si="562"/>
        <v>0</v>
      </c>
      <c r="CG163" s="263">
        <f t="shared" si="563"/>
        <v>0</v>
      </c>
      <c r="CH163" s="263">
        <f t="shared" si="564"/>
        <v>0</v>
      </c>
      <c r="CI163" s="263">
        <f t="shared" si="565"/>
        <v>0</v>
      </c>
      <c r="CJ163" s="263">
        <f t="shared" si="566"/>
        <v>0</v>
      </c>
      <c r="CK163" s="263">
        <f t="shared" si="567"/>
        <v>0</v>
      </c>
      <c r="CL163" s="263">
        <f t="shared" si="568"/>
        <v>0</v>
      </c>
      <c r="CM163" s="263">
        <f t="shared" si="569"/>
        <v>0</v>
      </c>
      <c r="CN163" s="263">
        <f t="shared" si="570"/>
        <v>0</v>
      </c>
      <c r="CO163" s="263">
        <f t="shared" si="571"/>
        <v>0</v>
      </c>
      <c r="CP163" s="263">
        <f t="shared" si="572"/>
        <v>0</v>
      </c>
      <c r="CQ163" s="263">
        <f t="shared" si="573"/>
        <v>0</v>
      </c>
      <c r="CR163" s="263">
        <f t="shared" si="574"/>
        <v>0</v>
      </c>
      <c r="CS163" s="263">
        <f t="shared" si="575"/>
        <v>0</v>
      </c>
      <c r="CT163" s="263">
        <f t="shared" si="576"/>
        <v>0</v>
      </c>
      <c r="CU163" s="263">
        <f t="shared" si="577"/>
        <v>0</v>
      </c>
      <c r="CV163" s="263">
        <f t="shared" si="578"/>
        <v>0</v>
      </c>
      <c r="CW163" s="263">
        <f t="shared" si="579"/>
        <v>0</v>
      </c>
      <c r="CX163" s="263">
        <f t="shared" si="580"/>
        <v>0</v>
      </c>
      <c r="CY163" s="263">
        <f t="shared" si="581"/>
        <v>0</v>
      </c>
      <c r="CZ163" s="263">
        <f t="shared" si="582"/>
        <v>0</v>
      </c>
      <c r="DA163" s="263">
        <f t="shared" si="583"/>
        <v>0</v>
      </c>
      <c r="DB163" s="263">
        <f t="shared" si="584"/>
        <v>0</v>
      </c>
      <c r="DC163" s="263">
        <f t="shared" si="585"/>
        <v>0</v>
      </c>
      <c r="DD163" s="263">
        <f t="shared" si="586"/>
        <v>0</v>
      </c>
      <c r="DE163" s="263">
        <f t="shared" si="587"/>
        <v>0</v>
      </c>
      <c r="DF163" s="263">
        <f t="shared" si="588"/>
        <v>3307946</v>
      </c>
      <c r="DG163" s="263">
        <f t="shared" si="589"/>
        <v>0</v>
      </c>
      <c r="DH163" s="263">
        <f t="shared" si="590"/>
        <v>3307946</v>
      </c>
      <c r="DI163" s="263">
        <f t="shared" si="591"/>
        <v>3307946</v>
      </c>
      <c r="DJ163" s="263">
        <f t="shared" si="592"/>
        <v>0</v>
      </c>
      <c r="DK163" s="263">
        <f t="shared" si="593"/>
        <v>0</v>
      </c>
      <c r="DL163" s="263">
        <f t="shared" si="594"/>
        <v>0</v>
      </c>
      <c r="DM163" s="263">
        <f t="shared" si="595"/>
        <v>0</v>
      </c>
      <c r="DO163" s="264">
        <f t="shared" si="596"/>
        <v>0</v>
      </c>
      <c r="DP163" s="265">
        <f t="shared" si="597"/>
        <v>0</v>
      </c>
      <c r="DQ163" s="264">
        <f t="shared" si="598"/>
        <v>3307946</v>
      </c>
      <c r="DR163" s="264">
        <f t="shared" si="599"/>
        <v>0</v>
      </c>
      <c r="DS163" s="265">
        <f t="shared" si="600"/>
        <v>0</v>
      </c>
      <c r="DT163" s="264">
        <f t="shared" si="601"/>
        <v>3307946</v>
      </c>
      <c r="DU163" s="264">
        <f t="shared" si="602"/>
        <v>0</v>
      </c>
      <c r="DV163" s="265">
        <f t="shared" si="603"/>
        <v>0</v>
      </c>
      <c r="DW163" s="264">
        <f t="shared" si="604"/>
        <v>3307946</v>
      </c>
      <c r="DX163" s="264">
        <f t="shared" si="605"/>
        <v>0</v>
      </c>
      <c r="DY163" s="265">
        <f t="shared" si="606"/>
        <v>0</v>
      </c>
      <c r="DZ163" s="264">
        <f t="shared" si="607"/>
        <v>3307946</v>
      </c>
      <c r="EA163" s="264">
        <f t="shared" si="608"/>
        <v>0</v>
      </c>
      <c r="EB163" s="265">
        <f t="shared" si="609"/>
        <v>0</v>
      </c>
      <c r="EC163" s="264">
        <f t="shared" si="610"/>
        <v>3307946</v>
      </c>
      <c r="ED163" s="264">
        <f t="shared" si="611"/>
        <v>0</v>
      </c>
      <c r="EE163" s="265">
        <f t="shared" si="612"/>
        <v>0</v>
      </c>
      <c r="EF163" s="264">
        <f t="shared" si="613"/>
        <v>3307946</v>
      </c>
      <c r="EG163" s="264">
        <f t="shared" si="614"/>
        <v>0</v>
      </c>
      <c r="EH163" s="265">
        <f t="shared" si="615"/>
        <v>0</v>
      </c>
      <c r="EI163" s="264">
        <f t="shared" si="616"/>
        <v>3307946</v>
      </c>
      <c r="EJ163" s="264">
        <f t="shared" si="617"/>
        <v>0</v>
      </c>
      <c r="EK163" s="265">
        <f t="shared" si="618"/>
        <v>0</v>
      </c>
      <c r="EL163" s="264">
        <f t="shared" si="619"/>
        <v>3307946</v>
      </c>
      <c r="EM163" s="264">
        <f t="shared" si="620"/>
        <v>0</v>
      </c>
      <c r="EN163" s="265">
        <f t="shared" si="621"/>
        <v>0</v>
      </c>
      <c r="EO163" s="264">
        <f t="shared" si="622"/>
        <v>3307946</v>
      </c>
      <c r="EP163" s="264">
        <f t="shared" si="623"/>
        <v>0</v>
      </c>
      <c r="EQ163" s="265">
        <f t="shared" si="624"/>
        <v>0</v>
      </c>
      <c r="ER163" s="264">
        <f t="shared" si="625"/>
        <v>3307946</v>
      </c>
      <c r="ES163" s="264">
        <f t="shared" si="626"/>
        <v>0</v>
      </c>
      <c r="ET163" s="265">
        <f t="shared" si="627"/>
        <v>0</v>
      </c>
      <c r="EU163" s="264">
        <f t="shared" si="628"/>
        <v>3307946</v>
      </c>
      <c r="EV163" s="264">
        <f>IF(AND(BM163="Yes",OR(BN163="No",AND(BN163="Yes",Inputs!$J$8=Inputs!$J$17+75))),EU163,0)</f>
        <v>0</v>
      </c>
      <c r="EW163" s="265">
        <f t="shared" si="629"/>
        <v>0</v>
      </c>
      <c r="EX163" s="264">
        <f t="shared" si="630"/>
        <v>3307946</v>
      </c>
      <c r="EY163" s="264">
        <f t="shared" si="631"/>
        <v>0</v>
      </c>
      <c r="EZ163" s="265">
        <f t="shared" si="632"/>
        <v>0</v>
      </c>
      <c r="FA163" s="264">
        <f t="shared" si="633"/>
        <v>3307946</v>
      </c>
      <c r="FB163" s="264">
        <f t="shared" si="634"/>
        <v>0</v>
      </c>
      <c r="FC163" s="265">
        <f t="shared" si="635"/>
        <v>0</v>
      </c>
      <c r="FD163" s="264">
        <f t="shared" si="636"/>
        <v>3307946</v>
      </c>
      <c r="FE163" s="264">
        <f t="shared" si="637"/>
        <v>0</v>
      </c>
      <c r="FF163" s="265">
        <f t="shared" si="638"/>
        <v>0</v>
      </c>
      <c r="FG163" s="264">
        <f t="shared" si="639"/>
        <v>3307946</v>
      </c>
      <c r="FH163" s="264">
        <f t="shared" si="640"/>
        <v>3307946</v>
      </c>
      <c r="FI163" s="264">
        <f t="shared" si="641"/>
        <v>0</v>
      </c>
      <c r="FJ163" s="264">
        <f t="shared" si="642"/>
        <v>3307946</v>
      </c>
      <c r="FK163" s="264">
        <f t="shared" si="643"/>
        <v>3307946</v>
      </c>
      <c r="FL163" s="264">
        <f t="shared" si="644"/>
        <v>0</v>
      </c>
      <c r="FM163" s="264">
        <f t="shared" si="645"/>
        <v>3307946</v>
      </c>
      <c r="FN163" s="264">
        <f t="shared" si="646"/>
        <v>3307946</v>
      </c>
      <c r="FO163" s="264">
        <f t="shared" si="647"/>
        <v>0</v>
      </c>
      <c r="FP163" s="264">
        <f t="shared" si="648"/>
        <v>3307946</v>
      </c>
      <c r="FQ163" s="264">
        <f t="shared" si="649"/>
        <v>0</v>
      </c>
      <c r="FR163" s="265">
        <f t="shared" si="650"/>
        <v>0</v>
      </c>
      <c r="FS163" s="264">
        <f t="shared" si="651"/>
        <v>3307946</v>
      </c>
      <c r="FT163" s="264">
        <f t="shared" si="652"/>
        <v>0</v>
      </c>
      <c r="FU163" s="265">
        <f t="shared" si="653"/>
        <v>0</v>
      </c>
      <c r="FV163" s="264">
        <f t="shared" si="654"/>
        <v>3307946</v>
      </c>
      <c r="FW163" s="264">
        <f t="shared" si="655"/>
        <v>0</v>
      </c>
      <c r="FX163" s="264">
        <f t="shared" si="656"/>
        <v>0</v>
      </c>
      <c r="FY163" s="264">
        <f t="shared" si="657"/>
        <v>3307946</v>
      </c>
      <c r="FZ163" s="264">
        <f t="shared" si="658"/>
        <v>3307946</v>
      </c>
      <c r="GA163" s="265">
        <f t="shared" si="659"/>
        <v>14821.069747959811</v>
      </c>
      <c r="GB163" s="264">
        <f t="shared" si="660"/>
        <v>3293124.9302520403</v>
      </c>
      <c r="GC163" s="264">
        <f t="shared" si="661"/>
        <v>3293124.9302520403</v>
      </c>
      <c r="GD163" s="266">
        <f t="shared" si="662"/>
        <v>2178026.5111371735</v>
      </c>
      <c r="GE163" s="138">
        <f t="shared" si="663"/>
        <v>0.65842263178938643</v>
      </c>
      <c r="GF163" s="267">
        <f t="shared" si="664"/>
        <v>14</v>
      </c>
      <c r="GG163" s="264">
        <f t="array" ref="GG163">IF(SUM(IF(IC$9:IC162=IC163,1,0))&gt;0,0,SUMIF($IC$10:$IC$406,IC163,$FJ$10:$FJ$406))</f>
        <v>0</v>
      </c>
      <c r="GH163" s="268">
        <f t="shared" si="665"/>
        <v>0</v>
      </c>
      <c r="GI163" s="137">
        <f t="shared" si="126"/>
        <v>154</v>
      </c>
      <c r="GJ163" s="269">
        <f t="shared" si="666"/>
        <v>0</v>
      </c>
      <c r="GK163" s="269">
        <f t="shared" si="667"/>
        <v>0</v>
      </c>
      <c r="GL163" s="163">
        <f t="shared" si="668"/>
        <v>0</v>
      </c>
      <c r="GM163" s="137">
        <f t="array" ref="GM163">IF(GJ163=0,0,LARGE(IF($GG$10:$GG$406=GJ163,$GF$10:$GF$406,0),COUNTIF($GJ$10:$GJ$406,GJ163)-COUNTIF(GJ$9:GJ162,GJ163)))</f>
        <v>0</v>
      </c>
      <c r="GN163" s="270">
        <f t="shared" si="669"/>
        <v>0</v>
      </c>
      <c r="GP163" s="137">
        <f>IF(C163="","",IF(ISERROR(MATCH(C163,C$10:C162,0)),MAX(GP$10:GP162)+1,INDEX(GP$10:GP162,MATCH(C163,C$10:C162,0))))</f>
        <v>117</v>
      </c>
      <c r="GQ163" s="264">
        <f>IF(COUNTIF($A$10:A163,A163)&lt;=1,SUMIF($A$10:$A$406,A163,$FH$10:$FH$406),0)</f>
        <v>0</v>
      </c>
      <c r="GR163" s="137">
        <f t="shared" si="130"/>
        <v>154</v>
      </c>
      <c r="GS163" s="269">
        <f t="shared" si="707"/>
        <v>0</v>
      </c>
      <c r="GT163" s="269">
        <f t="shared" si="708"/>
        <v>0</v>
      </c>
      <c r="GU163" s="163">
        <f t="shared" si="709"/>
        <v>0</v>
      </c>
      <c r="GV163" s="137">
        <f t="array" ref="GV163">IF(GS163=0,0,LARGE(IF($GQ$10:$GQ$406=GS163,$GP$10:$GP$406,0),COUNTIF($GS$10:$GS$406,GS163)-COUNTIF(GS$9:GS162,GS163)))</f>
        <v>0</v>
      </c>
      <c r="GW163" s="270">
        <f t="shared" si="710"/>
        <v>0</v>
      </c>
      <c r="GY163" s="137">
        <f>IF(C163="","",IF(ISERROR(MATCH(C163,C$10:C162,0)),MAX(GP$10:GP162)+1,INDEX(GP$10:GP162,MATCH(C163,C$10:C162,0))))</f>
        <v>117</v>
      </c>
      <c r="GZ163" s="264">
        <f>IF(COUNTIF($A$10:A163,A163)&lt;=1,SUMIF($A$10:$A$406,A163,$FH$10:$FH$406),0)</f>
        <v>0</v>
      </c>
      <c r="HA163" s="137">
        <f t="shared" si="134"/>
        <v>154</v>
      </c>
      <c r="HB163" s="269">
        <f t="shared" si="670"/>
        <v>0</v>
      </c>
      <c r="HC163" s="414" t="s">
        <v>622</v>
      </c>
      <c r="HD163" s="163">
        <f t="shared" si="671"/>
        <v>0</v>
      </c>
      <c r="HE163" s="137">
        <f t="array" ref="HE163">IF(HB163=0,0,LARGE(IF($GZ$10:$GZ$406=HB163,$GY$10:$GY$406,0),COUNTIF($HB$10:$HB$406,HB163)-COUNTIF(HB$9:HB162,HB163)))</f>
        <v>0</v>
      </c>
      <c r="HF163" s="270">
        <f t="shared" si="672"/>
        <v>0</v>
      </c>
      <c r="HH163" s="268">
        <f t="shared" si="673"/>
        <v>14821.069747959729</v>
      </c>
      <c r="HI163" s="271">
        <v>0</v>
      </c>
      <c r="HJ163" s="264">
        <f t="shared" si="674"/>
        <v>0</v>
      </c>
      <c r="HL163" s="137" t="str">
        <f t="shared" si="675"/>
        <v/>
      </c>
      <c r="HM163" s="264">
        <f t="shared" si="676"/>
        <v>0</v>
      </c>
      <c r="HO163" s="199">
        <f t="shared" si="677"/>
        <v>3307946</v>
      </c>
      <c r="HP163" s="199">
        <f t="shared" si="678"/>
        <v>3307946</v>
      </c>
      <c r="HQ163" s="199" t="str">
        <f t="shared" si="679"/>
        <v/>
      </c>
      <c r="HR163" s="199" t="str">
        <f t="shared" si="680"/>
        <v/>
      </c>
      <c r="HS163" s="199" t="str">
        <f t="shared" si="693"/>
        <v/>
      </c>
      <c r="HT163" s="199" t="str">
        <f t="shared" si="681"/>
        <v/>
      </c>
      <c r="HU163" s="199" t="str">
        <f t="shared" si="682"/>
        <v/>
      </c>
      <c r="HV163" s="200">
        <f t="shared" si="683"/>
        <v>0</v>
      </c>
      <c r="HW163" s="272">
        <f t="shared" si="684"/>
        <v>1</v>
      </c>
      <c r="HX163" s="200" t="str">
        <f t="shared" si="685"/>
        <v/>
      </c>
      <c r="HY163" s="200">
        <f t="shared" si="686"/>
        <v>0</v>
      </c>
      <c r="HZ163" s="200" t="str">
        <f t="shared" si="692"/>
        <v/>
      </c>
      <c r="IA163" s="200" t="str">
        <f t="shared" si="687"/>
        <v/>
      </c>
      <c r="IB163" s="200" t="str">
        <f t="shared" si="688"/>
        <v/>
      </c>
      <c r="IC163" s="273">
        <f>IF(C163="","",INDEX(Lookups!$E$2:$E$69,MATCH('Loan List'!BE163,Lookups!$F$2:$F$69,0)))</f>
        <v>14</v>
      </c>
      <c r="ID163" t="b">
        <f t="shared" si="689"/>
        <v>1</v>
      </c>
    </row>
    <row r="164" spans="1:240">
      <c r="A164" t="s">
        <v>552</v>
      </c>
      <c r="B164" s="242">
        <f t="shared" si="694"/>
        <v>155</v>
      </c>
      <c r="C164" s="242">
        <f>IF(COUNTIF($A$10:A163,A164)&gt;0,C163,C163+1)</f>
        <v>118</v>
      </c>
      <c r="D164" s="428" t="s">
        <v>552</v>
      </c>
      <c r="E164" s="428" t="s">
        <v>482</v>
      </c>
      <c r="F164" s="429"/>
      <c r="G164" s="430">
        <v>1679427.6099999999</v>
      </c>
      <c r="H164" s="430">
        <v>1679427.6099999999</v>
      </c>
      <c r="I164" s="244">
        <f>IF(B164="","",VLOOKUP(BF164,Inputs!$A$12:$J$15,10,FALSE))</f>
        <v>1</v>
      </c>
      <c r="J164" s="245">
        <f t="shared" si="695"/>
        <v>1679427.6099999999</v>
      </c>
      <c r="K164" s="245">
        <f t="shared" si="696"/>
        <v>1679427.6099999999</v>
      </c>
      <c r="L164" s="245">
        <f t="shared" si="697"/>
        <v>1679427.6099999999</v>
      </c>
      <c r="M164" s="245">
        <f t="shared" si="698"/>
        <v>1679427.6099999999</v>
      </c>
      <c r="N164" s="432" t="s">
        <v>64</v>
      </c>
      <c r="O164" s="432">
        <v>44925</v>
      </c>
      <c r="P164" s="433">
        <f>IF(B164="","",IF(OR(O164="N/A",O164=""),0,YEARFRAC('Borrowing Base'!$J$4,'Loan List'!O164)*12))</f>
        <v>31.799999999999997</v>
      </c>
      <c r="Q164" s="432" t="s">
        <v>246</v>
      </c>
      <c r="R164" s="434">
        <v>1</v>
      </c>
      <c r="S164" s="435" t="str">
        <f t="shared" si="699"/>
        <v>No</v>
      </c>
      <c r="T164" s="434">
        <v>0</v>
      </c>
      <c r="U164" s="436">
        <f t="shared" si="700"/>
        <v>0.3</v>
      </c>
      <c r="V164" s="436">
        <f t="shared" si="701"/>
        <v>0.35</v>
      </c>
      <c r="W164" s="251">
        <f t="shared" si="561"/>
        <v>0</v>
      </c>
      <c r="X164" s="432" t="s">
        <v>64</v>
      </c>
      <c r="Y164" s="437" t="s">
        <v>196</v>
      </c>
      <c r="Z164" s="437" t="s">
        <v>484</v>
      </c>
      <c r="AA164" s="438" t="s">
        <v>407</v>
      </c>
      <c r="AB164" s="438" t="s">
        <v>713</v>
      </c>
      <c r="AC164" s="439">
        <v>2.6044881889763798</v>
      </c>
      <c r="AD164" s="439" t="s">
        <v>409</v>
      </c>
      <c r="AE164" s="439" t="s">
        <v>515</v>
      </c>
      <c r="AF164" s="439">
        <v>0.33002358653566999</v>
      </c>
      <c r="AG164" s="440">
        <v>3.5214800044311505</v>
      </c>
      <c r="AH164" s="440">
        <v>3.5214800044311505</v>
      </c>
      <c r="AI164" s="440">
        <v>-10.819656498230156</v>
      </c>
      <c r="AJ164" s="440">
        <v>-10.819656498230156</v>
      </c>
      <c r="AK164" s="441">
        <v>90270000</v>
      </c>
      <c r="AL164" s="441">
        <v>-20855560.436406747</v>
      </c>
      <c r="AM164" s="258">
        <v>45808</v>
      </c>
      <c r="AN164" s="442" t="str">
        <f t="shared" si="702"/>
        <v>Tier 1</v>
      </c>
      <c r="AO164" s="443">
        <v>47178</v>
      </c>
      <c r="AP164" s="444">
        <f>IF(C164="","",DAYS360(Inputs!$J$8,AO164)/360)</f>
        <v>3.5194444444444444</v>
      </c>
      <c r="AQ164" s="444">
        <f t="shared" si="703"/>
        <v>3.5194444444444444</v>
      </c>
      <c r="AR164" s="432" t="s">
        <v>246</v>
      </c>
      <c r="AS164" s="445">
        <v>0</v>
      </c>
      <c r="AT164" s="432" t="s">
        <v>64</v>
      </c>
      <c r="AU164" s="446">
        <v>0.01</v>
      </c>
      <c r="AV164" s="446">
        <v>0.201742</v>
      </c>
      <c r="AW164" s="446">
        <v>0</v>
      </c>
      <c r="AX164" s="260">
        <f t="shared" si="704"/>
        <v>0.01</v>
      </c>
      <c r="AY164" s="446">
        <v>0</v>
      </c>
      <c r="AZ164" s="446">
        <v>0.14424200000000001</v>
      </c>
      <c r="BA164" s="446">
        <v>0</v>
      </c>
      <c r="BB164" s="447">
        <f t="shared" si="690"/>
        <v>5.7499999999999996E-2</v>
      </c>
      <c r="BC164" s="447" t="str">
        <f t="shared" si="691"/>
        <v/>
      </c>
      <c r="BD164" s="437" t="s">
        <v>247</v>
      </c>
      <c r="BE164" s="448" t="s">
        <v>415</v>
      </c>
      <c r="BF164" s="437" t="s">
        <v>7</v>
      </c>
      <c r="BG164" s="437" t="s">
        <v>460</v>
      </c>
      <c r="BH164" s="432" t="s">
        <v>246</v>
      </c>
      <c r="BI164" s="449" t="str">
        <f t="shared" si="559"/>
        <v>No</v>
      </c>
      <c r="BJ164" s="449" t="str">
        <f t="shared" si="560"/>
        <v>No</v>
      </c>
      <c r="BK164" s="432" t="s">
        <v>246</v>
      </c>
      <c r="BL164" s="432" t="s">
        <v>246</v>
      </c>
      <c r="BM164" s="432" t="s">
        <v>246</v>
      </c>
      <c r="BN164" s="432" t="s">
        <v>246</v>
      </c>
      <c r="BO164" s="432" t="s">
        <v>246</v>
      </c>
      <c r="BP164" s="432" t="s">
        <v>246</v>
      </c>
      <c r="BQ164" s="432" t="s">
        <v>246</v>
      </c>
      <c r="BR164" s="432" t="s">
        <v>246</v>
      </c>
      <c r="BS164" s="432" t="s">
        <v>246</v>
      </c>
      <c r="BT164" s="432" t="s">
        <v>246</v>
      </c>
      <c r="BU164" s="432" t="s">
        <v>246</v>
      </c>
      <c r="BV164" s="432" t="s">
        <v>246</v>
      </c>
      <c r="BW164" s="432" t="s">
        <v>246</v>
      </c>
      <c r="BX164" s="432" t="s">
        <v>246</v>
      </c>
      <c r="BY164" s="432" t="s">
        <v>246</v>
      </c>
      <c r="BZ164" s="432" t="s">
        <v>246</v>
      </c>
      <c r="CA164" s="432" t="s">
        <v>246</v>
      </c>
      <c r="CB164" s="432" t="s">
        <v>64</v>
      </c>
      <c r="CC164" s="450">
        <f t="shared" si="705"/>
        <v>40772.471744535978</v>
      </c>
      <c r="CD164" s="450">
        <f t="shared" si="706"/>
        <v>0</v>
      </c>
      <c r="CF164" s="263">
        <f t="shared" si="562"/>
        <v>0</v>
      </c>
      <c r="CG164" s="263">
        <f t="shared" si="563"/>
        <v>0</v>
      </c>
      <c r="CH164" s="263">
        <f t="shared" si="564"/>
        <v>0</v>
      </c>
      <c r="CI164" s="263">
        <f t="shared" si="565"/>
        <v>0</v>
      </c>
      <c r="CJ164" s="263">
        <f t="shared" si="566"/>
        <v>0</v>
      </c>
      <c r="CK164" s="263">
        <f t="shared" si="567"/>
        <v>0</v>
      </c>
      <c r="CL164" s="263">
        <f t="shared" si="568"/>
        <v>0</v>
      </c>
      <c r="CM164" s="263">
        <f t="shared" si="569"/>
        <v>0</v>
      </c>
      <c r="CN164" s="263">
        <f t="shared" si="570"/>
        <v>0</v>
      </c>
      <c r="CO164" s="263">
        <f t="shared" si="571"/>
        <v>0</v>
      </c>
      <c r="CP164" s="263">
        <f t="shared" si="572"/>
        <v>0</v>
      </c>
      <c r="CQ164" s="263">
        <f t="shared" si="573"/>
        <v>0</v>
      </c>
      <c r="CR164" s="263">
        <f t="shared" si="574"/>
        <v>0</v>
      </c>
      <c r="CS164" s="263">
        <f t="shared" si="575"/>
        <v>0</v>
      </c>
      <c r="CT164" s="263">
        <f t="shared" si="576"/>
        <v>0</v>
      </c>
      <c r="CU164" s="263">
        <f t="shared" si="577"/>
        <v>0</v>
      </c>
      <c r="CV164" s="263">
        <f t="shared" si="578"/>
        <v>0</v>
      </c>
      <c r="CW164" s="263">
        <f t="shared" si="579"/>
        <v>0</v>
      </c>
      <c r="CX164" s="263">
        <f t="shared" si="580"/>
        <v>0</v>
      </c>
      <c r="CY164" s="263">
        <f t="shared" si="581"/>
        <v>0</v>
      </c>
      <c r="CZ164" s="263">
        <f t="shared" si="582"/>
        <v>1</v>
      </c>
      <c r="DA164" s="263">
        <f t="shared" si="583"/>
        <v>0</v>
      </c>
      <c r="DB164" s="263">
        <f t="shared" si="584"/>
        <v>0</v>
      </c>
      <c r="DC164" s="263">
        <f t="shared" si="585"/>
        <v>0</v>
      </c>
      <c r="DD164" s="263">
        <f t="shared" si="586"/>
        <v>0</v>
      </c>
      <c r="DE164" s="263">
        <f t="shared" si="587"/>
        <v>0</v>
      </c>
      <c r="DF164" s="263">
        <f t="shared" si="588"/>
        <v>0</v>
      </c>
      <c r="DG164" s="263">
        <f t="shared" si="589"/>
        <v>0</v>
      </c>
      <c r="DH164" s="263">
        <f t="shared" si="590"/>
        <v>0</v>
      </c>
      <c r="DI164" s="263">
        <f t="shared" si="591"/>
        <v>1679427.6099999999</v>
      </c>
      <c r="DJ164" s="263">
        <f t="shared" si="592"/>
        <v>0</v>
      </c>
      <c r="DK164" s="263">
        <f t="shared" si="593"/>
        <v>0</v>
      </c>
      <c r="DL164" s="263">
        <f t="shared" si="594"/>
        <v>0</v>
      </c>
      <c r="DM164" s="263">
        <f t="shared" si="595"/>
        <v>0</v>
      </c>
      <c r="DO164" s="264">
        <f t="shared" si="596"/>
        <v>0</v>
      </c>
      <c r="DP164" s="265">
        <f t="shared" si="597"/>
        <v>0</v>
      </c>
      <c r="DQ164" s="264">
        <f t="shared" si="598"/>
        <v>0</v>
      </c>
      <c r="DR164" s="264">
        <f t="shared" si="599"/>
        <v>0</v>
      </c>
      <c r="DS164" s="265">
        <f t="shared" si="600"/>
        <v>0</v>
      </c>
      <c r="DT164" s="264">
        <f t="shared" si="601"/>
        <v>0</v>
      </c>
      <c r="DU164" s="264">
        <f t="shared" si="602"/>
        <v>0</v>
      </c>
      <c r="DV164" s="265">
        <f t="shared" si="603"/>
        <v>0</v>
      </c>
      <c r="DW164" s="264">
        <f t="shared" si="604"/>
        <v>0</v>
      </c>
      <c r="DX164" s="264">
        <f t="shared" si="605"/>
        <v>0</v>
      </c>
      <c r="DY164" s="265">
        <f t="shared" si="606"/>
        <v>0</v>
      </c>
      <c r="DZ164" s="264">
        <f t="shared" si="607"/>
        <v>0</v>
      </c>
      <c r="EA164" s="264">
        <f t="shared" si="608"/>
        <v>0</v>
      </c>
      <c r="EB164" s="265">
        <f t="shared" si="609"/>
        <v>0</v>
      </c>
      <c r="EC164" s="264">
        <f t="shared" si="610"/>
        <v>0</v>
      </c>
      <c r="ED164" s="264">
        <f t="shared" si="611"/>
        <v>0</v>
      </c>
      <c r="EE164" s="265">
        <f t="shared" si="612"/>
        <v>0</v>
      </c>
      <c r="EF164" s="264">
        <f t="shared" si="613"/>
        <v>0</v>
      </c>
      <c r="EG164" s="264">
        <f t="shared" si="614"/>
        <v>0</v>
      </c>
      <c r="EH164" s="265">
        <f t="shared" si="615"/>
        <v>0</v>
      </c>
      <c r="EI164" s="264">
        <f t="shared" si="616"/>
        <v>0</v>
      </c>
      <c r="EJ164" s="264">
        <f t="shared" si="617"/>
        <v>0</v>
      </c>
      <c r="EK164" s="265">
        <f t="shared" si="618"/>
        <v>0</v>
      </c>
      <c r="EL164" s="264">
        <f t="shared" si="619"/>
        <v>0</v>
      </c>
      <c r="EM164" s="264">
        <f t="shared" si="620"/>
        <v>0</v>
      </c>
      <c r="EN164" s="265">
        <f t="shared" si="621"/>
        <v>0</v>
      </c>
      <c r="EO164" s="264">
        <f t="shared" si="622"/>
        <v>0</v>
      </c>
      <c r="EP164" s="264">
        <f t="shared" si="623"/>
        <v>0</v>
      </c>
      <c r="EQ164" s="265">
        <f t="shared" si="624"/>
        <v>0</v>
      </c>
      <c r="ER164" s="264">
        <f t="shared" si="625"/>
        <v>0</v>
      </c>
      <c r="ES164" s="264">
        <f t="shared" si="626"/>
        <v>0</v>
      </c>
      <c r="ET164" s="265">
        <f t="shared" si="627"/>
        <v>0</v>
      </c>
      <c r="EU164" s="264">
        <f t="shared" si="628"/>
        <v>0</v>
      </c>
      <c r="EV164" s="264">
        <f>IF(AND(BM164="Yes",OR(BN164="No",AND(BN164="Yes",Inputs!$J$8=Inputs!$J$17+75))),EU164,0)</f>
        <v>0</v>
      </c>
      <c r="EW164" s="265">
        <f t="shared" si="629"/>
        <v>0</v>
      </c>
      <c r="EX164" s="264">
        <f t="shared" si="630"/>
        <v>0</v>
      </c>
      <c r="EY164" s="264">
        <f t="shared" si="631"/>
        <v>0</v>
      </c>
      <c r="EZ164" s="265">
        <f t="shared" si="632"/>
        <v>0</v>
      </c>
      <c r="FA164" s="264">
        <f t="shared" si="633"/>
        <v>0</v>
      </c>
      <c r="FB164" s="264">
        <f t="shared" si="634"/>
        <v>0</v>
      </c>
      <c r="FC164" s="265">
        <f t="shared" si="635"/>
        <v>0</v>
      </c>
      <c r="FD164" s="264">
        <f t="shared" si="636"/>
        <v>0</v>
      </c>
      <c r="FE164" s="264">
        <f t="shared" si="637"/>
        <v>0</v>
      </c>
      <c r="FF164" s="265">
        <f t="shared" si="638"/>
        <v>0</v>
      </c>
      <c r="FG164" s="264">
        <f t="shared" si="639"/>
        <v>0</v>
      </c>
      <c r="FH164" s="264">
        <f t="shared" si="640"/>
        <v>0</v>
      </c>
      <c r="FI164" s="264">
        <f t="shared" si="641"/>
        <v>0</v>
      </c>
      <c r="FJ164" s="264">
        <f t="shared" si="642"/>
        <v>0</v>
      </c>
      <c r="FK164" s="264">
        <f t="shared" si="643"/>
        <v>0</v>
      </c>
      <c r="FL164" s="264">
        <f t="shared" si="644"/>
        <v>0</v>
      </c>
      <c r="FM164" s="264">
        <f t="shared" si="645"/>
        <v>0</v>
      </c>
      <c r="FN164" s="264">
        <f t="shared" si="646"/>
        <v>0</v>
      </c>
      <c r="FO164" s="264">
        <f t="shared" si="647"/>
        <v>0</v>
      </c>
      <c r="FP164" s="264">
        <f t="shared" si="648"/>
        <v>0</v>
      </c>
      <c r="FQ164" s="264">
        <f t="shared" si="649"/>
        <v>0</v>
      </c>
      <c r="FR164" s="265">
        <f t="shared" si="650"/>
        <v>0</v>
      </c>
      <c r="FS164" s="264">
        <f t="shared" si="651"/>
        <v>0</v>
      </c>
      <c r="FT164" s="264">
        <f t="shared" si="652"/>
        <v>0</v>
      </c>
      <c r="FU164" s="265">
        <f t="shared" si="653"/>
        <v>0</v>
      </c>
      <c r="FV164" s="264">
        <f t="shared" si="654"/>
        <v>0</v>
      </c>
      <c r="FW164" s="264">
        <f t="shared" si="655"/>
        <v>0</v>
      </c>
      <c r="FX164" s="264">
        <f t="shared" si="656"/>
        <v>0</v>
      </c>
      <c r="FY164" s="264">
        <f t="shared" si="657"/>
        <v>0</v>
      </c>
      <c r="FZ164" s="264">
        <f t="shared" si="658"/>
        <v>0</v>
      </c>
      <c r="GA164" s="265">
        <f t="shared" si="659"/>
        <v>0</v>
      </c>
      <c r="GB164" s="264">
        <f t="shared" si="660"/>
        <v>0</v>
      </c>
      <c r="GC164" s="264">
        <f t="shared" si="661"/>
        <v>0</v>
      </c>
      <c r="GD164" s="266">
        <f t="shared" si="662"/>
        <v>0</v>
      </c>
      <c r="GE164" s="138">
        <f t="shared" si="663"/>
        <v>0</v>
      </c>
      <c r="GF164" s="267">
        <f t="shared" si="664"/>
        <v>35</v>
      </c>
      <c r="GG164" s="264">
        <f t="array" ref="GG164">IF(SUM(IF(IC$9:IC163=IC164,1,0))&gt;0,0,SUMIF($IC$10:$IC$406,IC164,$FJ$10:$FJ$406))</f>
        <v>0</v>
      </c>
      <c r="GH164" s="268">
        <f t="shared" si="665"/>
        <v>0</v>
      </c>
      <c r="GI164" s="137">
        <f t="shared" si="126"/>
        <v>155</v>
      </c>
      <c r="GJ164" s="269">
        <f t="shared" si="666"/>
        <v>0</v>
      </c>
      <c r="GK164" s="269">
        <f t="shared" si="667"/>
        <v>0</v>
      </c>
      <c r="GL164" s="163">
        <f t="shared" si="668"/>
        <v>0</v>
      </c>
      <c r="GM164" s="137">
        <f t="array" ref="GM164">IF(GJ164=0,0,LARGE(IF($GG$10:$GG$406=GJ164,$GF$10:$GF$406,0),COUNTIF($GJ$10:$GJ$406,GJ164)-COUNTIF(GJ$9:GJ163,GJ164)))</f>
        <v>0</v>
      </c>
      <c r="GN164" s="270">
        <f t="shared" si="669"/>
        <v>0</v>
      </c>
      <c r="GP164" s="137">
        <f>IF(C164="","",IF(ISERROR(MATCH(C164,C$10:C163,0)),MAX(GP$10:GP163)+1,INDEX(GP$10:GP163,MATCH(C164,C$10:C163,0))))</f>
        <v>118</v>
      </c>
      <c r="GQ164" s="264">
        <f>IF(COUNTIF($A$10:A164,A164)&lt;=1,SUMIF($A$10:$A$406,A164,$FH$10:$FH$406),0)</f>
        <v>0</v>
      </c>
      <c r="GR164" s="137">
        <f t="shared" si="130"/>
        <v>155</v>
      </c>
      <c r="GS164" s="269">
        <f t="shared" si="707"/>
        <v>0</v>
      </c>
      <c r="GT164" s="269">
        <f t="shared" si="708"/>
        <v>0</v>
      </c>
      <c r="GU164" s="163">
        <f t="shared" si="709"/>
        <v>0</v>
      </c>
      <c r="GV164" s="137">
        <f t="array" ref="GV164">IF(GS164=0,0,LARGE(IF($GQ$10:$GQ$406=GS164,$GP$10:$GP$406,0),COUNTIF($GS$10:$GS$406,GS164)-COUNTIF(GS$9:GS163,GS164)))</f>
        <v>0</v>
      </c>
      <c r="GW164" s="270">
        <f t="shared" si="710"/>
        <v>0</v>
      </c>
      <c r="GY164" s="137">
        <f>IF(C164="","",IF(ISERROR(MATCH(C164,C$10:C163,0)),MAX(GP$10:GP163)+1,INDEX(GP$10:GP163,MATCH(C164,C$10:C163,0))))</f>
        <v>118</v>
      </c>
      <c r="GZ164" s="264">
        <f>IF(COUNTIF($A$10:A164,A164)&lt;=1,SUMIF($A$10:$A$406,A164,$FH$10:$FH$406),0)</f>
        <v>0</v>
      </c>
      <c r="HA164" s="137">
        <f t="shared" si="134"/>
        <v>155</v>
      </c>
      <c r="HB164" s="269">
        <f t="shared" si="670"/>
        <v>0</v>
      </c>
      <c r="HC164" s="414" t="s">
        <v>622</v>
      </c>
      <c r="HD164" s="163">
        <f t="shared" si="671"/>
        <v>0</v>
      </c>
      <c r="HE164" s="137">
        <f t="array" ref="HE164">IF(HB164=0,0,LARGE(IF($GZ$10:$GZ$406=HB164,$GY$10:$GY$406,0),COUNTIF($HB$10:$HB$406,HB164)-COUNTIF(HB$9:HB163,HB164)))</f>
        <v>0</v>
      </c>
      <c r="HF164" s="270">
        <f t="shared" si="672"/>
        <v>0</v>
      </c>
      <c r="HH164" s="268">
        <f t="shared" si="673"/>
        <v>0</v>
      </c>
      <c r="HI164" s="271">
        <v>0</v>
      </c>
      <c r="HJ164" s="264">
        <f t="shared" si="674"/>
        <v>0</v>
      </c>
      <c r="HL164" s="137" t="str">
        <f t="shared" si="675"/>
        <v/>
      </c>
      <c r="HM164" s="264">
        <f t="shared" si="676"/>
        <v>0</v>
      </c>
      <c r="HO164" s="199">
        <f t="shared" si="677"/>
        <v>0</v>
      </c>
      <c r="HP164" s="199">
        <f t="shared" si="678"/>
        <v>1679427.6099999999</v>
      </c>
      <c r="HQ164" s="199">
        <f t="shared" si="679"/>
        <v>0</v>
      </c>
      <c r="HR164" s="199" t="str">
        <f t="shared" si="680"/>
        <v/>
      </c>
      <c r="HS164" s="199" t="str">
        <f t="shared" si="693"/>
        <v/>
      </c>
      <c r="HT164" s="199" t="str">
        <f t="shared" si="681"/>
        <v/>
      </c>
      <c r="HU164" s="199" t="str">
        <f t="shared" si="682"/>
        <v/>
      </c>
      <c r="HV164" s="200">
        <f t="shared" si="683"/>
        <v>0</v>
      </c>
      <c r="HW164" s="272" t="str">
        <f t="shared" si="684"/>
        <v/>
      </c>
      <c r="HX164" s="200" t="str">
        <f t="shared" si="685"/>
        <v/>
      </c>
      <c r="HY164" s="200" t="str">
        <f t="shared" si="686"/>
        <v/>
      </c>
      <c r="HZ164" s="200" t="str">
        <f t="shared" si="692"/>
        <v/>
      </c>
      <c r="IA164" s="200" t="str">
        <f t="shared" si="687"/>
        <v/>
      </c>
      <c r="IB164" s="200">
        <f t="shared" si="688"/>
        <v>0</v>
      </c>
      <c r="IC164" s="273">
        <f>IF(C164="","",INDEX(Lookups!$E$2:$E$69,MATCH('Loan List'!BE164,Lookups!$F$2:$F$69,0)))</f>
        <v>35</v>
      </c>
      <c r="ID164" t="b">
        <f t="shared" si="689"/>
        <v>1</v>
      </c>
    </row>
    <row r="165" spans="1:240">
      <c r="A165" t="s">
        <v>530</v>
      </c>
      <c r="B165" s="242">
        <f t="shared" si="694"/>
        <v>156</v>
      </c>
      <c r="C165" s="242">
        <f>IF(COUNTIF($A$10:A164,A165)&gt;0,C164,C164+1)</f>
        <v>119</v>
      </c>
      <c r="D165" s="428" t="s">
        <v>530</v>
      </c>
      <c r="E165" s="428" t="s">
        <v>697</v>
      </c>
      <c r="F165" s="429"/>
      <c r="G165" s="430">
        <v>6992939.5600000005</v>
      </c>
      <c r="H165" s="430">
        <v>6992939.5600000005</v>
      </c>
      <c r="I165" s="244">
        <f>IF(B165="","",VLOOKUP(BF165,Inputs!$A$12:$J$15,10,FALSE))</f>
        <v>1</v>
      </c>
      <c r="J165" s="245">
        <f t="shared" si="695"/>
        <v>6992939.5600000005</v>
      </c>
      <c r="K165" s="245">
        <f t="shared" si="696"/>
        <v>6992939.5600000005</v>
      </c>
      <c r="L165" s="245">
        <f t="shared" si="697"/>
        <v>0</v>
      </c>
      <c r="M165" s="245">
        <f t="shared" si="698"/>
        <v>0</v>
      </c>
      <c r="N165" s="432" t="s">
        <v>246</v>
      </c>
      <c r="O165" s="432" t="s">
        <v>245</v>
      </c>
      <c r="P165" s="433">
        <f>IF(B165="","",IF(OR(O165="N/A",O165=""),0,YEARFRAC('Borrowing Base'!$J$4,'Loan List'!O165)*12))</f>
        <v>0</v>
      </c>
      <c r="Q165" s="432" t="s">
        <v>246</v>
      </c>
      <c r="R165" s="434">
        <v>1</v>
      </c>
      <c r="S165" s="435" t="str">
        <f t="shared" si="699"/>
        <v>No</v>
      </c>
      <c r="T165" s="434">
        <v>1.0199999996845202</v>
      </c>
      <c r="U165" s="436">
        <f t="shared" si="700"/>
        <v>0.5</v>
      </c>
      <c r="V165" s="436">
        <f t="shared" si="701"/>
        <v>0.72499999999999998</v>
      </c>
      <c r="W165" s="251">
        <f t="shared" si="561"/>
        <v>0</v>
      </c>
      <c r="X165" s="432" t="s">
        <v>246</v>
      </c>
      <c r="Y165" s="437" t="s">
        <v>483</v>
      </c>
      <c r="Z165" s="437" t="s">
        <v>484</v>
      </c>
      <c r="AA165" s="438" t="s">
        <v>407</v>
      </c>
      <c r="AB165" s="438" t="s">
        <v>713</v>
      </c>
      <c r="AC165" s="439">
        <v>1.0139645339403989</v>
      </c>
      <c r="AD165" s="439">
        <v>1.3455583300450025</v>
      </c>
      <c r="AE165" s="439">
        <v>2.7060438137656018</v>
      </c>
      <c r="AF165" s="439">
        <v>0.32957375128167565</v>
      </c>
      <c r="AG165" s="440">
        <v>4.1728040572035878</v>
      </c>
      <c r="AH165" s="440">
        <v>6.9695896183319981</v>
      </c>
      <c r="AI165" s="440">
        <v>4.0829266425522954</v>
      </c>
      <c r="AJ165" s="440">
        <v>4.0829266425522954</v>
      </c>
      <c r="AK165" s="441">
        <v>53632999.999999993</v>
      </c>
      <c r="AL165" s="441">
        <v>52251000</v>
      </c>
      <c r="AM165" s="258">
        <v>45838</v>
      </c>
      <c r="AN165" s="442" t="str">
        <f t="shared" si="702"/>
        <v>Tier 1</v>
      </c>
      <c r="AO165" s="443">
        <v>46873</v>
      </c>
      <c r="AP165" s="444">
        <f>IF(C165="","",DAYS360(Inputs!$J$8,AO165)/360)</f>
        <v>2.6833333333333331</v>
      </c>
      <c r="AQ165" s="444">
        <f t="shared" si="703"/>
        <v>2.6833333333333331</v>
      </c>
      <c r="AR165" s="432" t="s">
        <v>246</v>
      </c>
      <c r="AS165" s="445">
        <v>0</v>
      </c>
      <c r="AT165" s="432" t="s">
        <v>64</v>
      </c>
      <c r="AU165" s="446">
        <v>0.01</v>
      </c>
      <c r="AV165" s="446">
        <v>7.3499999999999996E-2</v>
      </c>
      <c r="AW165" s="446">
        <v>4.2796999999999995E-2</v>
      </c>
      <c r="AX165" s="260">
        <f t="shared" si="704"/>
        <v>4.2796999999999995E-2</v>
      </c>
      <c r="AY165" s="446">
        <v>0</v>
      </c>
      <c r="AZ165" s="446">
        <v>7.3499999999999996E-2</v>
      </c>
      <c r="BA165" s="446">
        <v>0</v>
      </c>
      <c r="BB165" s="447">
        <f t="shared" si="690"/>
        <v>0</v>
      </c>
      <c r="BC165" s="447" t="str">
        <f t="shared" si="691"/>
        <v/>
      </c>
      <c r="BD165" s="437" t="s">
        <v>247</v>
      </c>
      <c r="BE165" s="448" t="s">
        <v>369</v>
      </c>
      <c r="BF165" s="437" t="s">
        <v>7</v>
      </c>
      <c r="BG165" s="437" t="s">
        <v>460</v>
      </c>
      <c r="BH165" s="432" t="s">
        <v>246</v>
      </c>
      <c r="BI165" s="449" t="str">
        <f t="shared" si="559"/>
        <v>No</v>
      </c>
      <c r="BJ165" s="449" t="str">
        <f t="shared" si="560"/>
        <v>Yes</v>
      </c>
      <c r="BK165" s="432" t="s">
        <v>246</v>
      </c>
      <c r="BL165" s="432" t="s">
        <v>246</v>
      </c>
      <c r="BM165" s="432" t="s">
        <v>246</v>
      </c>
      <c r="BN165" s="432" t="s">
        <v>246</v>
      </c>
      <c r="BO165" s="432" t="s">
        <v>246</v>
      </c>
      <c r="BP165" s="432" t="s">
        <v>246</v>
      </c>
      <c r="BQ165" s="432" t="s">
        <v>246</v>
      </c>
      <c r="BR165" s="432" t="s">
        <v>246</v>
      </c>
      <c r="BS165" s="432" t="s">
        <v>246</v>
      </c>
      <c r="BT165" s="432" t="s">
        <v>246</v>
      </c>
      <c r="BU165" s="432" t="s">
        <v>246</v>
      </c>
      <c r="BV165" s="432" t="s">
        <v>246</v>
      </c>
      <c r="BW165" s="432" t="s">
        <v>246</v>
      </c>
      <c r="BX165" s="432" t="s">
        <v>246</v>
      </c>
      <c r="BY165" s="432" t="s">
        <v>246</v>
      </c>
      <c r="BZ165" s="432" t="s">
        <v>246</v>
      </c>
      <c r="CA165" s="432" t="s">
        <v>246</v>
      </c>
      <c r="CB165" s="432" t="s">
        <v>64</v>
      </c>
      <c r="CC165" s="450">
        <f t="shared" si="705"/>
        <v>0</v>
      </c>
      <c r="CD165" s="450">
        <f t="shared" si="706"/>
        <v>0</v>
      </c>
      <c r="CF165" s="263">
        <f t="shared" si="562"/>
        <v>0</v>
      </c>
      <c r="CG165" s="263">
        <f t="shared" si="563"/>
        <v>0</v>
      </c>
      <c r="CH165" s="263">
        <f t="shared" si="564"/>
        <v>0</v>
      </c>
      <c r="CI165" s="263">
        <f t="shared" si="565"/>
        <v>0</v>
      </c>
      <c r="CJ165" s="263">
        <f t="shared" si="566"/>
        <v>0</v>
      </c>
      <c r="CK165" s="263">
        <f t="shared" si="567"/>
        <v>0</v>
      </c>
      <c r="CL165" s="263">
        <f t="shared" si="568"/>
        <v>0</v>
      </c>
      <c r="CM165" s="263">
        <f t="shared" si="569"/>
        <v>0</v>
      </c>
      <c r="CN165" s="263">
        <f t="shared" si="570"/>
        <v>0</v>
      </c>
      <c r="CO165" s="263">
        <f t="shared" si="571"/>
        <v>1</v>
      </c>
      <c r="CP165" s="263">
        <f t="shared" si="572"/>
        <v>0</v>
      </c>
      <c r="CQ165" s="263">
        <f t="shared" si="573"/>
        <v>0</v>
      </c>
      <c r="CR165" s="263">
        <f t="shared" si="574"/>
        <v>0</v>
      </c>
      <c r="CS165" s="263">
        <f t="shared" si="575"/>
        <v>0</v>
      </c>
      <c r="CT165" s="263">
        <f t="shared" si="576"/>
        <v>0</v>
      </c>
      <c r="CU165" s="263">
        <f t="shared" si="577"/>
        <v>0</v>
      </c>
      <c r="CV165" s="263">
        <f t="shared" si="578"/>
        <v>0</v>
      </c>
      <c r="CW165" s="263">
        <f t="shared" si="579"/>
        <v>0</v>
      </c>
      <c r="CX165" s="263">
        <f t="shared" si="580"/>
        <v>0</v>
      </c>
      <c r="CY165" s="263">
        <f t="shared" si="581"/>
        <v>0</v>
      </c>
      <c r="CZ165" s="263">
        <f t="shared" si="582"/>
        <v>0</v>
      </c>
      <c r="DA165" s="263">
        <f t="shared" si="583"/>
        <v>0</v>
      </c>
      <c r="DB165" s="263">
        <f t="shared" si="584"/>
        <v>0</v>
      </c>
      <c r="DC165" s="263">
        <f t="shared" si="585"/>
        <v>0</v>
      </c>
      <c r="DD165" s="263">
        <f t="shared" si="586"/>
        <v>0</v>
      </c>
      <c r="DE165" s="263">
        <f t="shared" si="587"/>
        <v>0</v>
      </c>
      <c r="DF165" s="263">
        <f t="shared" si="588"/>
        <v>0</v>
      </c>
      <c r="DG165" s="263">
        <f t="shared" si="589"/>
        <v>0</v>
      </c>
      <c r="DH165" s="263">
        <f t="shared" si="590"/>
        <v>0</v>
      </c>
      <c r="DI165" s="263">
        <f t="shared" si="591"/>
        <v>0</v>
      </c>
      <c r="DJ165" s="263">
        <f t="shared" si="592"/>
        <v>0</v>
      </c>
      <c r="DK165" s="263">
        <f t="shared" si="593"/>
        <v>0</v>
      </c>
      <c r="DL165" s="263">
        <f t="shared" si="594"/>
        <v>0</v>
      </c>
      <c r="DM165" s="263">
        <f t="shared" si="595"/>
        <v>0</v>
      </c>
      <c r="DO165" s="264">
        <f t="shared" si="596"/>
        <v>0</v>
      </c>
      <c r="DP165" s="265">
        <f t="shared" si="597"/>
        <v>0</v>
      </c>
      <c r="DQ165" s="264">
        <f t="shared" si="598"/>
        <v>0</v>
      </c>
      <c r="DR165" s="264">
        <f t="shared" si="599"/>
        <v>0</v>
      </c>
      <c r="DS165" s="265">
        <f t="shared" si="600"/>
        <v>0</v>
      </c>
      <c r="DT165" s="264">
        <f t="shared" si="601"/>
        <v>0</v>
      </c>
      <c r="DU165" s="264">
        <f t="shared" si="602"/>
        <v>0</v>
      </c>
      <c r="DV165" s="265">
        <f t="shared" si="603"/>
        <v>0</v>
      </c>
      <c r="DW165" s="264">
        <f t="shared" si="604"/>
        <v>0</v>
      </c>
      <c r="DX165" s="264">
        <f t="shared" si="605"/>
        <v>0</v>
      </c>
      <c r="DY165" s="265">
        <f t="shared" si="606"/>
        <v>0</v>
      </c>
      <c r="DZ165" s="264">
        <f t="shared" si="607"/>
        <v>0</v>
      </c>
      <c r="EA165" s="264">
        <f t="shared" si="608"/>
        <v>0</v>
      </c>
      <c r="EB165" s="265">
        <f t="shared" si="609"/>
        <v>0</v>
      </c>
      <c r="EC165" s="264">
        <f t="shared" si="610"/>
        <v>0</v>
      </c>
      <c r="ED165" s="264">
        <f t="shared" si="611"/>
        <v>0</v>
      </c>
      <c r="EE165" s="265">
        <f t="shared" si="612"/>
        <v>0</v>
      </c>
      <c r="EF165" s="264">
        <f t="shared" si="613"/>
        <v>0</v>
      </c>
      <c r="EG165" s="264">
        <f t="shared" si="614"/>
        <v>0</v>
      </c>
      <c r="EH165" s="265">
        <f t="shared" si="615"/>
        <v>0</v>
      </c>
      <c r="EI165" s="264">
        <f t="shared" si="616"/>
        <v>0</v>
      </c>
      <c r="EJ165" s="264">
        <f t="shared" si="617"/>
        <v>0</v>
      </c>
      <c r="EK165" s="265">
        <f t="shared" si="618"/>
        <v>0</v>
      </c>
      <c r="EL165" s="264">
        <f t="shared" si="619"/>
        <v>0</v>
      </c>
      <c r="EM165" s="264">
        <f t="shared" si="620"/>
        <v>0</v>
      </c>
      <c r="EN165" s="265">
        <f t="shared" si="621"/>
        <v>0</v>
      </c>
      <c r="EO165" s="264">
        <f t="shared" si="622"/>
        <v>0</v>
      </c>
      <c r="EP165" s="264">
        <f t="shared" si="623"/>
        <v>0</v>
      </c>
      <c r="EQ165" s="265">
        <f t="shared" si="624"/>
        <v>0</v>
      </c>
      <c r="ER165" s="264">
        <f t="shared" si="625"/>
        <v>0</v>
      </c>
      <c r="ES165" s="264">
        <f t="shared" si="626"/>
        <v>0</v>
      </c>
      <c r="ET165" s="265">
        <f t="shared" si="627"/>
        <v>0</v>
      </c>
      <c r="EU165" s="264">
        <f t="shared" si="628"/>
        <v>0</v>
      </c>
      <c r="EV165" s="264">
        <f>IF(AND(BM165="Yes",OR(BN165="No",AND(BN165="Yes",Inputs!$J$8=Inputs!$J$17+75))),EU165,0)</f>
        <v>0</v>
      </c>
      <c r="EW165" s="265">
        <f t="shared" si="629"/>
        <v>0</v>
      </c>
      <c r="EX165" s="264">
        <f t="shared" si="630"/>
        <v>0</v>
      </c>
      <c r="EY165" s="264">
        <f t="shared" si="631"/>
        <v>0</v>
      </c>
      <c r="EZ165" s="265">
        <f t="shared" si="632"/>
        <v>0</v>
      </c>
      <c r="FA165" s="264">
        <f t="shared" si="633"/>
        <v>0</v>
      </c>
      <c r="FB165" s="264">
        <f t="shared" si="634"/>
        <v>0</v>
      </c>
      <c r="FC165" s="265">
        <f t="shared" si="635"/>
        <v>0</v>
      </c>
      <c r="FD165" s="264">
        <f t="shared" si="636"/>
        <v>0</v>
      </c>
      <c r="FE165" s="264">
        <f t="shared" si="637"/>
        <v>0</v>
      </c>
      <c r="FF165" s="265">
        <f t="shared" si="638"/>
        <v>0</v>
      </c>
      <c r="FG165" s="264">
        <f t="shared" si="639"/>
        <v>0</v>
      </c>
      <c r="FH165" s="264">
        <f t="shared" si="640"/>
        <v>0</v>
      </c>
      <c r="FI165" s="264">
        <f t="shared" si="641"/>
        <v>0</v>
      </c>
      <c r="FJ165" s="264">
        <f t="shared" si="642"/>
        <v>0</v>
      </c>
      <c r="FK165" s="264">
        <f t="shared" si="643"/>
        <v>0</v>
      </c>
      <c r="FL165" s="264">
        <f t="shared" si="644"/>
        <v>0</v>
      </c>
      <c r="FM165" s="264">
        <f t="shared" si="645"/>
        <v>0</v>
      </c>
      <c r="FN165" s="264">
        <f t="shared" si="646"/>
        <v>0</v>
      </c>
      <c r="FO165" s="264">
        <f t="shared" si="647"/>
        <v>0</v>
      </c>
      <c r="FP165" s="264">
        <f t="shared" si="648"/>
        <v>0</v>
      </c>
      <c r="FQ165" s="264">
        <f t="shared" si="649"/>
        <v>0</v>
      </c>
      <c r="FR165" s="265">
        <f t="shared" si="650"/>
        <v>0</v>
      </c>
      <c r="FS165" s="264">
        <f t="shared" si="651"/>
        <v>0</v>
      </c>
      <c r="FT165" s="264">
        <f t="shared" si="652"/>
        <v>0</v>
      </c>
      <c r="FU165" s="265">
        <f t="shared" si="653"/>
        <v>0</v>
      </c>
      <c r="FV165" s="264">
        <f t="shared" si="654"/>
        <v>0</v>
      </c>
      <c r="FW165" s="264">
        <f t="shared" si="655"/>
        <v>0</v>
      </c>
      <c r="FX165" s="264">
        <f t="shared" si="656"/>
        <v>0</v>
      </c>
      <c r="FY165" s="264">
        <f t="shared" si="657"/>
        <v>0</v>
      </c>
      <c r="FZ165" s="264">
        <f t="shared" si="658"/>
        <v>0</v>
      </c>
      <c r="GA165" s="265">
        <f t="shared" si="659"/>
        <v>0</v>
      </c>
      <c r="GB165" s="264">
        <f t="shared" si="660"/>
        <v>0</v>
      </c>
      <c r="GC165" s="264">
        <f t="shared" si="661"/>
        <v>0</v>
      </c>
      <c r="GD165" s="266">
        <f t="shared" si="662"/>
        <v>0</v>
      </c>
      <c r="GE165" s="138">
        <f t="shared" si="663"/>
        <v>0</v>
      </c>
      <c r="GF165" s="267">
        <f t="shared" si="664"/>
        <v>16</v>
      </c>
      <c r="GG165" s="264">
        <f t="array" ref="GG165">IF(SUM(IF(IC$9:IC164=IC165,1,0))&gt;0,0,SUMIF($IC$10:$IC$406,IC165,$FJ$10:$FJ$406))</f>
        <v>0</v>
      </c>
      <c r="GH165" s="268">
        <f t="shared" si="665"/>
        <v>0</v>
      </c>
      <c r="GI165" s="137">
        <f t="shared" si="126"/>
        <v>156</v>
      </c>
      <c r="GJ165" s="269">
        <f t="shared" si="666"/>
        <v>0</v>
      </c>
      <c r="GK165" s="269">
        <f t="shared" si="667"/>
        <v>0</v>
      </c>
      <c r="GL165" s="163">
        <f t="shared" si="668"/>
        <v>0</v>
      </c>
      <c r="GM165" s="137">
        <f t="array" ref="GM165">IF(GJ165=0,0,LARGE(IF($GG$10:$GG$406=GJ165,$GF$10:$GF$406,0),COUNTIF($GJ$10:$GJ$406,GJ165)-COUNTIF(GJ$9:GJ164,GJ165)))</f>
        <v>0</v>
      </c>
      <c r="GN165" s="270">
        <f t="shared" si="669"/>
        <v>0</v>
      </c>
      <c r="GP165" s="137">
        <f>IF(C165="","",IF(ISERROR(MATCH(C165,C$10:C164,0)),MAX(GP$10:GP164)+1,INDEX(GP$10:GP164,MATCH(C165,C$10:C164,0))))</f>
        <v>119</v>
      </c>
      <c r="GQ165" s="264">
        <f>IF(COUNTIF($A$10:A165,A165)&lt;=1,SUMIF($A$10:$A$406,A165,$FH$10:$FH$406),0)</f>
        <v>0</v>
      </c>
      <c r="GR165" s="137">
        <f t="shared" si="130"/>
        <v>156</v>
      </c>
      <c r="GS165" s="269">
        <f t="shared" si="707"/>
        <v>0</v>
      </c>
      <c r="GT165" s="269">
        <f t="shared" si="708"/>
        <v>0</v>
      </c>
      <c r="GU165" s="163">
        <f t="shared" si="709"/>
        <v>0</v>
      </c>
      <c r="GV165" s="137">
        <f t="array" ref="GV165">IF(GS165=0,0,LARGE(IF($GQ$10:$GQ$406=GS165,$GP$10:$GP$406,0),COUNTIF($GS$10:$GS$406,GS165)-COUNTIF(GS$9:GS164,GS165)))</f>
        <v>0</v>
      </c>
      <c r="GW165" s="270">
        <f t="shared" si="710"/>
        <v>0</v>
      </c>
      <c r="GY165" s="137">
        <f>IF(C165="","",IF(ISERROR(MATCH(C165,C$10:C164,0)),MAX(GP$10:GP164)+1,INDEX(GP$10:GP164,MATCH(C165,C$10:C164,0))))</f>
        <v>119</v>
      </c>
      <c r="GZ165" s="264">
        <f>IF(COUNTIF($A$10:A165,A165)&lt;=1,SUMIF($A$10:$A$406,A165,$FH$10:$FH$406),0)</f>
        <v>0</v>
      </c>
      <c r="HA165" s="137">
        <f t="shared" si="134"/>
        <v>156</v>
      </c>
      <c r="HB165" s="269">
        <f t="shared" si="670"/>
        <v>0</v>
      </c>
      <c r="HC165" s="414" t="s">
        <v>622</v>
      </c>
      <c r="HD165" s="163">
        <f t="shared" si="671"/>
        <v>0</v>
      </c>
      <c r="HE165" s="137">
        <f t="array" ref="HE165">IF(HB165=0,0,LARGE(IF($GZ$10:$GZ$406=HB165,$GY$10:$GY$406,0),COUNTIF($HB$10:$HB$406,HB165)-COUNTIF(HB$9:HB164,HB165)))</f>
        <v>0</v>
      </c>
      <c r="HF165" s="270">
        <f t="shared" si="672"/>
        <v>0</v>
      </c>
      <c r="HH165" s="268">
        <f t="shared" si="673"/>
        <v>0</v>
      </c>
      <c r="HI165" s="271">
        <v>0</v>
      </c>
      <c r="HJ165" s="264">
        <f t="shared" si="674"/>
        <v>0</v>
      </c>
      <c r="HL165" s="137" t="str">
        <f t="shared" si="675"/>
        <v/>
      </c>
      <c r="HM165" s="264">
        <f t="shared" si="676"/>
        <v>0</v>
      </c>
      <c r="HO165" s="199">
        <f t="shared" si="677"/>
        <v>0</v>
      </c>
      <c r="HP165" s="199">
        <f t="shared" si="678"/>
        <v>0</v>
      </c>
      <c r="HQ165" s="199" t="str">
        <f t="shared" si="679"/>
        <v/>
      </c>
      <c r="HR165" s="199" t="str">
        <f t="shared" si="680"/>
        <v/>
      </c>
      <c r="HS165" s="199" t="str">
        <f t="shared" si="693"/>
        <v/>
      </c>
      <c r="HT165" s="199" t="str">
        <f t="shared" si="681"/>
        <v/>
      </c>
      <c r="HU165" s="199" t="str">
        <f t="shared" si="682"/>
        <v/>
      </c>
      <c r="HV165" s="200">
        <f t="shared" si="683"/>
        <v>0</v>
      </c>
      <c r="HW165" s="272">
        <f t="shared" si="684"/>
        <v>1</v>
      </c>
      <c r="HX165" s="200" t="str">
        <f t="shared" si="685"/>
        <v/>
      </c>
      <c r="HY165" s="200">
        <f t="shared" si="686"/>
        <v>0</v>
      </c>
      <c r="HZ165" s="200" t="str">
        <f t="shared" si="692"/>
        <v/>
      </c>
      <c r="IA165" s="200" t="str">
        <f t="shared" si="687"/>
        <v/>
      </c>
      <c r="IB165" s="200" t="str">
        <f t="shared" si="688"/>
        <v/>
      </c>
      <c r="IC165" s="273">
        <f>IF(C165="","",INDEX(Lookups!$E$2:$E$69,MATCH('Loan List'!BE165,Lookups!$F$2:$F$69,0)))</f>
        <v>16</v>
      </c>
      <c r="ID165" t="b">
        <f t="shared" si="689"/>
        <v>1</v>
      </c>
      <c r="IF165" s="346" t="str">
        <f t="shared" ref="IF165:IF167" si="711">IF(B165="","",IF(AND(Y165="Second Lien",OR(DA165=1,DB165=1,DC165=1)),50%,IF(DA165=1,90%,IF(DB165=1,80%,IF(DC165=1,65%,"No Initial Haircut")))))</f>
        <v>No Initial Haircut</v>
      </c>
    </row>
    <row r="166" spans="1:240">
      <c r="A166" t="s">
        <v>509</v>
      </c>
      <c r="B166" s="242">
        <f t="shared" si="694"/>
        <v>157</v>
      </c>
      <c r="C166" s="242">
        <f>IF(COUNTIF($A$10:A165,A166)&gt;0,C165,C165+1)</f>
        <v>119</v>
      </c>
      <c r="D166" s="428" t="s">
        <v>578</v>
      </c>
      <c r="E166" s="428" t="s">
        <v>581</v>
      </c>
      <c r="F166" s="429"/>
      <c r="G166" s="430">
        <v>80170</v>
      </c>
      <c r="H166" s="430">
        <v>80170</v>
      </c>
      <c r="I166" s="244">
        <f>IF(B166="","",VLOOKUP(BF166,Inputs!$A$12:$J$15,10,FALSE))</f>
        <v>1</v>
      </c>
      <c r="J166" s="245">
        <f t="shared" si="695"/>
        <v>80170</v>
      </c>
      <c r="K166" s="245">
        <f t="shared" si="696"/>
        <v>80170</v>
      </c>
      <c r="L166" s="245">
        <f t="shared" si="697"/>
        <v>0</v>
      </c>
      <c r="M166" s="245">
        <f t="shared" si="698"/>
        <v>0</v>
      </c>
      <c r="N166" s="432" t="s">
        <v>246</v>
      </c>
      <c r="O166" s="432" t="s">
        <v>245</v>
      </c>
      <c r="P166" s="433">
        <f>IF(B166="","",IF(OR(O166="N/A",O166=""),0,YEARFRAC('Borrowing Base'!$J$4,'Loan List'!O166)*12))</f>
        <v>0</v>
      </c>
      <c r="Q166" s="432" t="s">
        <v>246</v>
      </c>
      <c r="R166" s="434">
        <v>0</v>
      </c>
      <c r="S166" s="435" t="str">
        <f t="shared" si="699"/>
        <v>Yes</v>
      </c>
      <c r="T166" s="434">
        <v>0.11</v>
      </c>
      <c r="U166" s="436">
        <f t="shared" si="700"/>
        <v>0.5</v>
      </c>
      <c r="V166" s="436">
        <f t="shared" si="701"/>
        <v>0.72499999999999998</v>
      </c>
      <c r="W166" s="251">
        <f t="shared" si="561"/>
        <v>0</v>
      </c>
      <c r="X166" s="432" t="s">
        <v>246</v>
      </c>
      <c r="Y166" s="437" t="s">
        <v>483</v>
      </c>
      <c r="Z166" s="437" t="s">
        <v>484</v>
      </c>
      <c r="AA166" s="438" t="s">
        <v>374</v>
      </c>
      <c r="AB166" s="438" t="s">
        <v>715</v>
      </c>
      <c r="AC166" s="439">
        <v>1.3</v>
      </c>
      <c r="AD166" s="439">
        <v>1.8240168113187472</v>
      </c>
      <c r="AE166" s="439">
        <v>2.3430169762186179</v>
      </c>
      <c r="AF166" s="439">
        <v>0.74339999999999995</v>
      </c>
      <c r="AG166" s="440">
        <v>3.99</v>
      </c>
      <c r="AH166" s="440">
        <v>5.2</v>
      </c>
      <c r="AI166" s="440">
        <v>0.97498372588110693</v>
      </c>
      <c r="AJ166" s="440">
        <v>3.4916721196468701</v>
      </c>
      <c r="AK166" s="441">
        <v>52980000</v>
      </c>
      <c r="AL166" s="441">
        <v>53641921.000000007</v>
      </c>
      <c r="AM166" s="258">
        <v>45808</v>
      </c>
      <c r="AN166" s="442" t="str">
        <f t="shared" si="702"/>
        <v>Tier 1</v>
      </c>
      <c r="AO166" s="443"/>
      <c r="AP166" s="444"/>
      <c r="AQ166" s="444"/>
      <c r="AR166" s="432" t="s">
        <v>246</v>
      </c>
      <c r="AS166" s="445">
        <v>0</v>
      </c>
      <c r="AT166" s="432"/>
      <c r="AU166" s="446" t="s">
        <v>487</v>
      </c>
      <c r="AV166" s="446">
        <v>0</v>
      </c>
      <c r="AW166" s="446" t="s">
        <v>488</v>
      </c>
      <c r="AX166" s="260">
        <f t="shared" si="704"/>
        <v>0</v>
      </c>
      <c r="AY166" s="446">
        <v>0</v>
      </c>
      <c r="AZ166" s="446">
        <v>0</v>
      </c>
      <c r="BA166" s="446">
        <v>0</v>
      </c>
      <c r="BB166" s="447">
        <f t="shared" si="690"/>
        <v>0</v>
      </c>
      <c r="BC166" s="447" t="str">
        <f t="shared" si="691"/>
        <v/>
      </c>
      <c r="BD166" s="437" t="s">
        <v>247</v>
      </c>
      <c r="BE166" s="448" t="s">
        <v>455</v>
      </c>
      <c r="BF166" s="437" t="s">
        <v>7</v>
      </c>
      <c r="BG166" s="437" t="s">
        <v>460</v>
      </c>
      <c r="BH166" s="432" t="s">
        <v>246</v>
      </c>
      <c r="BI166" s="449" t="str">
        <f t="shared" si="559"/>
        <v>No</v>
      </c>
      <c r="BJ166" s="449" t="str">
        <f t="shared" si="560"/>
        <v>No</v>
      </c>
      <c r="BK166" s="432" t="s">
        <v>246</v>
      </c>
      <c r="BL166" s="432" t="s">
        <v>246</v>
      </c>
      <c r="BM166" s="432" t="s">
        <v>246</v>
      </c>
      <c r="BN166" s="432" t="s">
        <v>246</v>
      </c>
      <c r="BO166" s="432" t="s">
        <v>246</v>
      </c>
      <c r="BP166" s="432" t="s">
        <v>64</v>
      </c>
      <c r="BQ166" s="432" t="s">
        <v>246</v>
      </c>
      <c r="BR166" s="432" t="s">
        <v>246</v>
      </c>
      <c r="BS166" s="432" t="s">
        <v>246</v>
      </c>
      <c r="BT166" s="432" t="s">
        <v>246</v>
      </c>
      <c r="BU166" s="432" t="s">
        <v>246</v>
      </c>
      <c r="BV166" s="432" t="s">
        <v>246</v>
      </c>
      <c r="BW166" s="432" t="s">
        <v>246</v>
      </c>
      <c r="BX166" s="432" t="s">
        <v>246</v>
      </c>
      <c r="BY166" s="432" t="s">
        <v>246</v>
      </c>
      <c r="BZ166" s="432" t="s">
        <v>246</v>
      </c>
      <c r="CA166" s="432" t="s">
        <v>246</v>
      </c>
      <c r="CB166" s="432" t="s">
        <v>64</v>
      </c>
      <c r="CC166" s="450">
        <f t="shared" si="705"/>
        <v>0</v>
      </c>
      <c r="CD166" s="450">
        <f t="shared" si="706"/>
        <v>0</v>
      </c>
      <c r="CF166" s="263">
        <f t="shared" si="562"/>
        <v>1</v>
      </c>
      <c r="CG166" s="263">
        <f t="shared" si="563"/>
        <v>0</v>
      </c>
      <c r="CH166" s="263">
        <f t="shared" si="564"/>
        <v>0</v>
      </c>
      <c r="CI166" s="263">
        <f t="shared" si="565"/>
        <v>0</v>
      </c>
      <c r="CJ166" s="263">
        <f t="shared" si="566"/>
        <v>1</v>
      </c>
      <c r="CK166" s="263">
        <f t="shared" si="567"/>
        <v>0</v>
      </c>
      <c r="CL166" s="263">
        <f t="shared" si="568"/>
        <v>0</v>
      </c>
      <c r="CM166" s="263">
        <f t="shared" si="569"/>
        <v>0</v>
      </c>
      <c r="CN166" s="263">
        <f t="shared" si="570"/>
        <v>0</v>
      </c>
      <c r="CO166" s="263">
        <f t="shared" si="571"/>
        <v>0</v>
      </c>
      <c r="CP166" s="263">
        <f t="shared" si="572"/>
        <v>0</v>
      </c>
      <c r="CQ166" s="263">
        <f t="shared" si="573"/>
        <v>0</v>
      </c>
      <c r="CR166" s="263">
        <f t="shared" si="574"/>
        <v>0</v>
      </c>
      <c r="CS166" s="263">
        <f t="shared" si="575"/>
        <v>0</v>
      </c>
      <c r="CT166" s="263">
        <f t="shared" si="576"/>
        <v>0</v>
      </c>
      <c r="CU166" s="263">
        <f t="shared" si="577"/>
        <v>0</v>
      </c>
      <c r="CV166" s="263">
        <f t="shared" si="578"/>
        <v>0</v>
      </c>
      <c r="CW166" s="263">
        <f t="shared" si="579"/>
        <v>0</v>
      </c>
      <c r="CX166" s="263">
        <f t="shared" si="580"/>
        <v>0</v>
      </c>
      <c r="CY166" s="263">
        <f t="shared" si="581"/>
        <v>0</v>
      </c>
      <c r="CZ166" s="263">
        <f t="shared" si="582"/>
        <v>0</v>
      </c>
      <c r="DA166" s="263">
        <f t="shared" si="583"/>
        <v>0</v>
      </c>
      <c r="DB166" s="263">
        <f t="shared" si="584"/>
        <v>0</v>
      </c>
      <c r="DC166" s="263">
        <f t="shared" si="585"/>
        <v>0</v>
      </c>
      <c r="DD166" s="263">
        <f t="shared" si="586"/>
        <v>0</v>
      </c>
      <c r="DE166" s="263">
        <f t="shared" si="587"/>
        <v>0</v>
      </c>
      <c r="DF166" s="263">
        <f t="shared" si="588"/>
        <v>0</v>
      </c>
      <c r="DG166" s="263">
        <f t="shared" si="589"/>
        <v>0</v>
      </c>
      <c r="DH166" s="263">
        <f t="shared" si="590"/>
        <v>0</v>
      </c>
      <c r="DI166" s="263">
        <f t="shared" si="591"/>
        <v>0</v>
      </c>
      <c r="DJ166" s="263">
        <f t="shared" si="592"/>
        <v>0</v>
      </c>
      <c r="DK166" s="263">
        <f t="shared" si="593"/>
        <v>0</v>
      </c>
      <c r="DL166" s="263">
        <f t="shared" si="594"/>
        <v>0</v>
      </c>
      <c r="DM166" s="263">
        <f t="shared" si="595"/>
        <v>0</v>
      </c>
      <c r="DO166" s="264">
        <f t="shared" si="596"/>
        <v>0</v>
      </c>
      <c r="DP166" s="265">
        <f t="shared" si="597"/>
        <v>0</v>
      </c>
      <c r="DQ166" s="264">
        <f t="shared" si="598"/>
        <v>0</v>
      </c>
      <c r="DR166" s="264">
        <f t="shared" si="599"/>
        <v>0</v>
      </c>
      <c r="DS166" s="265">
        <f t="shared" si="600"/>
        <v>0</v>
      </c>
      <c r="DT166" s="264">
        <f t="shared" si="601"/>
        <v>0</v>
      </c>
      <c r="DU166" s="264">
        <f t="shared" si="602"/>
        <v>0</v>
      </c>
      <c r="DV166" s="265">
        <f t="shared" si="603"/>
        <v>0</v>
      </c>
      <c r="DW166" s="264">
        <f t="shared" si="604"/>
        <v>0</v>
      </c>
      <c r="DX166" s="264">
        <f t="shared" si="605"/>
        <v>0</v>
      </c>
      <c r="DY166" s="265">
        <f t="shared" si="606"/>
        <v>0</v>
      </c>
      <c r="DZ166" s="264">
        <f t="shared" si="607"/>
        <v>0</v>
      </c>
      <c r="EA166" s="264">
        <f t="shared" si="608"/>
        <v>0</v>
      </c>
      <c r="EB166" s="265">
        <f t="shared" si="609"/>
        <v>0</v>
      </c>
      <c r="EC166" s="264">
        <f t="shared" si="610"/>
        <v>0</v>
      </c>
      <c r="ED166" s="264">
        <f t="shared" si="611"/>
        <v>0</v>
      </c>
      <c r="EE166" s="265">
        <f t="shared" si="612"/>
        <v>0</v>
      </c>
      <c r="EF166" s="264">
        <f t="shared" si="613"/>
        <v>0</v>
      </c>
      <c r="EG166" s="264">
        <f t="shared" si="614"/>
        <v>0</v>
      </c>
      <c r="EH166" s="265">
        <f t="shared" si="615"/>
        <v>0</v>
      </c>
      <c r="EI166" s="264">
        <f t="shared" si="616"/>
        <v>0</v>
      </c>
      <c r="EJ166" s="264">
        <f t="shared" si="617"/>
        <v>0</v>
      </c>
      <c r="EK166" s="265">
        <f t="shared" si="618"/>
        <v>0</v>
      </c>
      <c r="EL166" s="264">
        <f t="shared" si="619"/>
        <v>0</v>
      </c>
      <c r="EM166" s="264">
        <f t="shared" si="620"/>
        <v>0</v>
      </c>
      <c r="EN166" s="265">
        <f t="shared" si="621"/>
        <v>0</v>
      </c>
      <c r="EO166" s="264">
        <f t="shared" si="622"/>
        <v>0</v>
      </c>
      <c r="EP166" s="264">
        <f t="shared" si="623"/>
        <v>0</v>
      </c>
      <c r="EQ166" s="265">
        <f t="shared" si="624"/>
        <v>0</v>
      </c>
      <c r="ER166" s="264">
        <f t="shared" si="625"/>
        <v>0</v>
      </c>
      <c r="ES166" s="264">
        <f t="shared" si="626"/>
        <v>0</v>
      </c>
      <c r="ET166" s="265">
        <f t="shared" si="627"/>
        <v>0</v>
      </c>
      <c r="EU166" s="264">
        <f t="shared" si="628"/>
        <v>0</v>
      </c>
      <c r="EV166" s="264">
        <f>IF(AND(BM166="Yes",OR(BN166="No",AND(BN166="Yes",Inputs!$J$8=Inputs!$J$17+75))),EU166,0)</f>
        <v>0</v>
      </c>
      <c r="EW166" s="265">
        <f t="shared" si="629"/>
        <v>0</v>
      </c>
      <c r="EX166" s="264">
        <f t="shared" si="630"/>
        <v>0</v>
      </c>
      <c r="EY166" s="264">
        <f t="shared" si="631"/>
        <v>0</v>
      </c>
      <c r="EZ166" s="265">
        <f t="shared" si="632"/>
        <v>0</v>
      </c>
      <c r="FA166" s="264">
        <f t="shared" si="633"/>
        <v>0</v>
      </c>
      <c r="FB166" s="264">
        <f t="shared" si="634"/>
        <v>0</v>
      </c>
      <c r="FC166" s="265">
        <f t="shared" si="635"/>
        <v>0</v>
      </c>
      <c r="FD166" s="264">
        <f t="shared" si="636"/>
        <v>0</v>
      </c>
      <c r="FE166" s="264">
        <f t="shared" si="637"/>
        <v>0</v>
      </c>
      <c r="FF166" s="265">
        <f t="shared" si="638"/>
        <v>0</v>
      </c>
      <c r="FG166" s="264">
        <f t="shared" si="639"/>
        <v>0</v>
      </c>
      <c r="FH166" s="264">
        <f t="shared" si="640"/>
        <v>0</v>
      </c>
      <c r="FI166" s="264">
        <f t="shared" si="641"/>
        <v>0</v>
      </c>
      <c r="FJ166" s="264">
        <f t="shared" si="642"/>
        <v>0</v>
      </c>
      <c r="FK166" s="264">
        <f t="shared" si="643"/>
        <v>0</v>
      </c>
      <c r="FL166" s="264">
        <f t="shared" si="644"/>
        <v>0</v>
      </c>
      <c r="FM166" s="264">
        <f t="shared" si="645"/>
        <v>0</v>
      </c>
      <c r="FN166" s="264">
        <f t="shared" si="646"/>
        <v>0</v>
      </c>
      <c r="FO166" s="264">
        <f t="shared" si="647"/>
        <v>0</v>
      </c>
      <c r="FP166" s="264">
        <f t="shared" si="648"/>
        <v>0</v>
      </c>
      <c r="FQ166" s="264">
        <f t="shared" si="649"/>
        <v>0</v>
      </c>
      <c r="FR166" s="265">
        <f t="shared" si="650"/>
        <v>0</v>
      </c>
      <c r="FS166" s="264">
        <f t="shared" si="651"/>
        <v>0</v>
      </c>
      <c r="FT166" s="264">
        <f t="shared" si="652"/>
        <v>0</v>
      </c>
      <c r="FU166" s="265">
        <f t="shared" si="653"/>
        <v>0</v>
      </c>
      <c r="FV166" s="264">
        <f t="shared" si="654"/>
        <v>0</v>
      </c>
      <c r="FW166" s="264">
        <f t="shared" si="655"/>
        <v>0</v>
      </c>
      <c r="FX166" s="264">
        <f t="shared" si="656"/>
        <v>0</v>
      </c>
      <c r="FY166" s="264">
        <f t="shared" si="657"/>
        <v>0</v>
      </c>
      <c r="FZ166" s="264">
        <f t="shared" si="658"/>
        <v>0</v>
      </c>
      <c r="GA166" s="265">
        <f t="shared" si="659"/>
        <v>0</v>
      </c>
      <c r="GB166" s="264">
        <f t="shared" si="660"/>
        <v>0</v>
      </c>
      <c r="GC166" s="264">
        <f t="shared" si="661"/>
        <v>0</v>
      </c>
      <c r="GD166" s="266">
        <f t="shared" si="662"/>
        <v>0</v>
      </c>
      <c r="GE166" s="138">
        <f t="shared" si="663"/>
        <v>0</v>
      </c>
      <c r="GF166" s="267">
        <f t="shared" si="664"/>
        <v>55</v>
      </c>
      <c r="GG166" s="264">
        <f t="array" ref="GG166">IF(SUM(IF(IC$9:IC165=IC166,1,0))&gt;0,0,SUMIF($IC$10:$IC$406,IC166,$FJ$10:$FJ$406))</f>
        <v>0</v>
      </c>
      <c r="GH166" s="268">
        <f t="shared" si="665"/>
        <v>0</v>
      </c>
      <c r="GI166" s="137">
        <f t="shared" si="126"/>
        <v>157</v>
      </c>
      <c r="GJ166" s="269">
        <f t="shared" si="666"/>
        <v>0</v>
      </c>
      <c r="GK166" s="269">
        <f t="shared" si="667"/>
        <v>0</v>
      </c>
      <c r="GL166" s="163">
        <f t="shared" si="668"/>
        <v>0</v>
      </c>
      <c r="GM166" s="137">
        <f t="array" ref="GM166">IF(GJ166=0,0,LARGE(IF($GG$10:$GG$406=GJ166,$GF$10:$GF$406,0),COUNTIF($GJ$10:$GJ$406,GJ166)-COUNTIF(GJ$9:GJ165,GJ166)))</f>
        <v>0</v>
      </c>
      <c r="GN166" s="270">
        <f t="shared" si="669"/>
        <v>0</v>
      </c>
      <c r="GP166" s="137">
        <f>IF(C166="","",IF(ISERROR(MATCH(C166,C$10:C165,0)),MAX(GP$10:GP165)+1,INDEX(GP$10:GP165,MATCH(C166,C$10:C165,0))))</f>
        <v>119</v>
      </c>
      <c r="GQ166" s="264">
        <f>IF(COUNTIF($A$10:A166,A166)&lt;=1,SUMIF($A$10:$A$406,A166,$FH$10:$FH$406),0)</f>
        <v>0</v>
      </c>
      <c r="GR166" s="137">
        <f t="shared" si="130"/>
        <v>157</v>
      </c>
      <c r="GS166" s="269">
        <f t="shared" si="707"/>
        <v>0</v>
      </c>
      <c r="GT166" s="269">
        <f t="shared" si="708"/>
        <v>0</v>
      </c>
      <c r="GU166" s="163">
        <f t="shared" si="709"/>
        <v>0</v>
      </c>
      <c r="GV166" s="137">
        <f t="array" ref="GV166">IF(GS166=0,0,LARGE(IF($GQ$10:$GQ$406=GS166,$GP$10:$GP$406,0),COUNTIF($GS$10:$GS$406,GS166)-COUNTIF(GS$9:GS165,GS166)))</f>
        <v>0</v>
      </c>
      <c r="GW166" s="270">
        <f t="shared" si="710"/>
        <v>0</v>
      </c>
      <c r="GY166" s="137">
        <f>IF(C166="","",IF(ISERROR(MATCH(C166,C$10:C165,0)),MAX(GP$10:GP165)+1,INDEX(GP$10:GP165,MATCH(C166,C$10:C165,0))))</f>
        <v>119</v>
      </c>
      <c r="GZ166" s="264">
        <f>IF(COUNTIF($A$10:A166,A166)&lt;=1,SUMIF($A$10:$A$406,A166,$FH$10:$FH$406),0)</f>
        <v>0</v>
      </c>
      <c r="HA166" s="137">
        <f t="shared" si="134"/>
        <v>157</v>
      </c>
      <c r="HB166" s="269">
        <f t="shared" si="670"/>
        <v>0</v>
      </c>
      <c r="HC166" s="414" t="s">
        <v>622</v>
      </c>
      <c r="HD166" s="163">
        <f t="shared" si="671"/>
        <v>0</v>
      </c>
      <c r="HE166" s="137">
        <f t="array" ref="HE166">IF(HB166=0,0,LARGE(IF($GZ$10:$GZ$406=HB166,$GY$10:$GY$406,0),COUNTIF($HB$10:$HB$406,HB166)-COUNTIF(HB$9:HB165,HB166)))</f>
        <v>0</v>
      </c>
      <c r="HF166" s="270">
        <f t="shared" si="672"/>
        <v>0</v>
      </c>
      <c r="HH166" s="268">
        <f t="shared" si="673"/>
        <v>0</v>
      </c>
      <c r="HI166" s="271">
        <v>0</v>
      </c>
      <c r="HJ166" s="264">
        <f t="shared" si="674"/>
        <v>0</v>
      </c>
      <c r="HL166" s="137" t="str">
        <f t="shared" si="675"/>
        <v/>
      </c>
      <c r="HM166" s="264">
        <f t="shared" si="676"/>
        <v>0</v>
      </c>
      <c r="HO166" s="199">
        <f t="shared" si="677"/>
        <v>0</v>
      </c>
      <c r="HP166" s="199">
        <f t="shared" si="678"/>
        <v>0</v>
      </c>
      <c r="HQ166" s="199" t="str">
        <f t="shared" si="679"/>
        <v/>
      </c>
      <c r="HR166" s="199">
        <f t="shared" si="680"/>
        <v>0</v>
      </c>
      <c r="HS166" s="199" t="str">
        <f t="shared" si="693"/>
        <v/>
      </c>
      <c r="HT166" s="199" t="str">
        <f t="shared" si="681"/>
        <v/>
      </c>
      <c r="HU166" s="199" t="str">
        <f t="shared" si="682"/>
        <v/>
      </c>
      <c r="HV166" s="200">
        <f t="shared" si="683"/>
        <v>0</v>
      </c>
      <c r="HW166" s="272">
        <f t="shared" si="684"/>
        <v>1</v>
      </c>
      <c r="HX166" s="200" t="str">
        <f t="shared" si="685"/>
        <v/>
      </c>
      <c r="HY166" s="200">
        <f t="shared" si="686"/>
        <v>0</v>
      </c>
      <c r="HZ166" s="200" t="str">
        <f t="shared" si="692"/>
        <v/>
      </c>
      <c r="IA166" s="200">
        <f t="shared" si="687"/>
        <v>0</v>
      </c>
      <c r="IB166" s="200" t="str">
        <f t="shared" si="688"/>
        <v/>
      </c>
      <c r="IC166" s="273">
        <f>IF(C166="","",INDEX(Lookups!$E$2:$E$69,MATCH('Loan List'!BE166,Lookups!$F$2:$F$69,0)))</f>
        <v>55</v>
      </c>
      <c r="ID166" t="b">
        <f t="shared" si="689"/>
        <v>1</v>
      </c>
      <c r="IF166" s="346" t="str">
        <f t="shared" si="711"/>
        <v>No Initial Haircut</v>
      </c>
    </row>
    <row r="167" spans="1:240">
      <c r="A167" t="s">
        <v>552</v>
      </c>
      <c r="B167" s="242">
        <f t="shared" si="694"/>
        <v>158</v>
      </c>
      <c r="C167" s="242">
        <f>IF(COUNTIF($A$10:A166,A167)&gt;0,C166,C166+1)</f>
        <v>119</v>
      </c>
      <c r="D167" s="428" t="s">
        <v>561</v>
      </c>
      <c r="E167" s="428" t="s">
        <v>559</v>
      </c>
      <c r="F167" s="429"/>
      <c r="G167" s="430">
        <v>21875</v>
      </c>
      <c r="H167" s="430">
        <v>21875</v>
      </c>
      <c r="I167" s="244">
        <f>IF(B167="","",VLOOKUP(BF167,Inputs!$A$12:$J$15,10,FALSE))</f>
        <v>1</v>
      </c>
      <c r="J167" s="245">
        <f t="shared" si="695"/>
        <v>21875</v>
      </c>
      <c r="K167" s="245">
        <f t="shared" si="696"/>
        <v>21875</v>
      </c>
      <c r="L167" s="245">
        <f t="shared" si="697"/>
        <v>0</v>
      </c>
      <c r="M167" s="245">
        <f t="shared" si="698"/>
        <v>0</v>
      </c>
      <c r="N167" s="432" t="s">
        <v>64</v>
      </c>
      <c r="O167" s="432" t="s">
        <v>245</v>
      </c>
      <c r="P167" s="433">
        <f>IF(B167="","",IF(OR(O167="N/A",O167=""),0,YEARFRAC('Borrowing Base'!$J$4,'Loan List'!O167)*12))</f>
        <v>0</v>
      </c>
      <c r="Q167" s="432" t="s">
        <v>246</v>
      </c>
      <c r="R167" s="434">
        <v>0</v>
      </c>
      <c r="S167" s="435" t="str">
        <f t="shared" si="699"/>
        <v>Yes</v>
      </c>
      <c r="T167" s="434">
        <v>0</v>
      </c>
      <c r="U167" s="436">
        <f t="shared" si="700"/>
        <v>0.3</v>
      </c>
      <c r="V167" s="436">
        <f t="shared" si="701"/>
        <v>0.35</v>
      </c>
      <c r="W167" s="251">
        <f t="shared" si="561"/>
        <v>0</v>
      </c>
      <c r="X167" s="432" t="s">
        <v>246</v>
      </c>
      <c r="Y167" s="437" t="s">
        <v>486</v>
      </c>
      <c r="Z167" s="437" t="s">
        <v>486</v>
      </c>
      <c r="AA167" s="438" t="s">
        <v>407</v>
      </c>
      <c r="AB167" s="438" t="s">
        <v>713</v>
      </c>
      <c r="AC167" s="439">
        <v>2.6044881889763798</v>
      </c>
      <c r="AD167" s="439" t="s">
        <v>409</v>
      </c>
      <c r="AE167" s="439" t="s">
        <v>515</v>
      </c>
      <c r="AF167" s="439">
        <v>0.33002358653566999</v>
      </c>
      <c r="AG167" s="440">
        <v>3.5214800044311505</v>
      </c>
      <c r="AH167" s="440">
        <v>3.5214800044311505</v>
      </c>
      <c r="AI167" s="440">
        <v>-10.819656498230156</v>
      </c>
      <c r="AJ167" s="440">
        <v>-10.819656498230156</v>
      </c>
      <c r="AK167" s="441">
        <v>90270000</v>
      </c>
      <c r="AL167" s="441">
        <v>-20855560.436406747</v>
      </c>
      <c r="AM167" s="258">
        <v>45808</v>
      </c>
      <c r="AN167" s="442" t="str">
        <f t="shared" si="702"/>
        <v>Tier 1</v>
      </c>
      <c r="AO167" s="443"/>
      <c r="AP167" s="444"/>
      <c r="AQ167" s="444"/>
      <c r="AR167" s="432" t="s">
        <v>246</v>
      </c>
      <c r="AS167" s="445">
        <v>1</v>
      </c>
      <c r="AT167" s="432"/>
      <c r="AU167" s="446" t="s">
        <v>487</v>
      </c>
      <c r="AV167" s="446">
        <v>1</v>
      </c>
      <c r="AW167" s="446" t="s">
        <v>488</v>
      </c>
      <c r="AX167" s="260">
        <f t="shared" si="704"/>
        <v>0</v>
      </c>
      <c r="AY167" s="446">
        <v>0</v>
      </c>
      <c r="AZ167" s="446">
        <v>0</v>
      </c>
      <c r="BA167" s="446">
        <v>0</v>
      </c>
      <c r="BB167" s="447">
        <f t="shared" si="690"/>
        <v>1</v>
      </c>
      <c r="BC167" s="447" t="str">
        <f t="shared" si="691"/>
        <v/>
      </c>
      <c r="BD167" s="437" t="s">
        <v>247</v>
      </c>
      <c r="BE167" s="448" t="s">
        <v>415</v>
      </c>
      <c r="BF167" s="437" t="s">
        <v>7</v>
      </c>
      <c r="BG167" s="437" t="s">
        <v>460</v>
      </c>
      <c r="BH167" s="432" t="s">
        <v>246</v>
      </c>
      <c r="BI167" s="449" t="str">
        <f t="shared" si="559"/>
        <v>No</v>
      </c>
      <c r="BJ167" s="449" t="str">
        <f t="shared" si="560"/>
        <v>No</v>
      </c>
      <c r="BK167" s="432" t="s">
        <v>246</v>
      </c>
      <c r="BL167" s="432" t="s">
        <v>246</v>
      </c>
      <c r="BM167" s="432" t="s">
        <v>246</v>
      </c>
      <c r="BN167" s="432" t="s">
        <v>246</v>
      </c>
      <c r="BO167" s="432" t="s">
        <v>246</v>
      </c>
      <c r="BP167" s="432" t="s">
        <v>64</v>
      </c>
      <c r="BQ167" s="432" t="s">
        <v>246</v>
      </c>
      <c r="BR167" s="432" t="s">
        <v>246</v>
      </c>
      <c r="BS167" s="432" t="s">
        <v>246</v>
      </c>
      <c r="BT167" s="432" t="s">
        <v>246</v>
      </c>
      <c r="BU167" s="432" t="s">
        <v>246</v>
      </c>
      <c r="BV167" s="432" t="s">
        <v>246</v>
      </c>
      <c r="BW167" s="432" t="s">
        <v>246</v>
      </c>
      <c r="BX167" s="432" t="s">
        <v>246</v>
      </c>
      <c r="BY167" s="432" t="s">
        <v>246</v>
      </c>
      <c r="BZ167" s="432" t="s">
        <v>246</v>
      </c>
      <c r="CA167" s="432" t="s">
        <v>246</v>
      </c>
      <c r="CB167" s="432" t="s">
        <v>64</v>
      </c>
      <c r="CC167" s="450">
        <f t="shared" si="705"/>
        <v>0</v>
      </c>
      <c r="CD167" s="450">
        <f t="shared" si="706"/>
        <v>0</v>
      </c>
      <c r="CF167" s="263">
        <f t="shared" si="562"/>
        <v>1</v>
      </c>
      <c r="CG167" s="263">
        <f t="shared" si="563"/>
        <v>0</v>
      </c>
      <c r="CH167" s="263">
        <f t="shared" si="564"/>
        <v>0</v>
      </c>
      <c r="CI167" s="263">
        <f t="shared" si="565"/>
        <v>0</v>
      </c>
      <c r="CJ167" s="263">
        <f t="shared" si="566"/>
        <v>1</v>
      </c>
      <c r="CK167" s="263">
        <f t="shared" si="567"/>
        <v>0</v>
      </c>
      <c r="CL167" s="263">
        <f t="shared" si="568"/>
        <v>0</v>
      </c>
      <c r="CM167" s="263">
        <f t="shared" si="569"/>
        <v>0</v>
      </c>
      <c r="CN167" s="263">
        <f t="shared" si="570"/>
        <v>0</v>
      </c>
      <c r="CO167" s="263">
        <f t="shared" si="571"/>
        <v>0</v>
      </c>
      <c r="CP167" s="263">
        <f t="shared" si="572"/>
        <v>0</v>
      </c>
      <c r="CQ167" s="263">
        <f t="shared" si="573"/>
        <v>0</v>
      </c>
      <c r="CR167" s="263">
        <f t="shared" si="574"/>
        <v>0</v>
      </c>
      <c r="CS167" s="263">
        <f t="shared" si="575"/>
        <v>0</v>
      </c>
      <c r="CT167" s="263">
        <f t="shared" si="576"/>
        <v>0</v>
      </c>
      <c r="CU167" s="263">
        <f t="shared" si="577"/>
        <v>0</v>
      </c>
      <c r="CV167" s="263">
        <f t="shared" si="578"/>
        <v>0</v>
      </c>
      <c r="CW167" s="263">
        <f t="shared" si="579"/>
        <v>0</v>
      </c>
      <c r="CX167" s="263">
        <f t="shared" si="580"/>
        <v>0</v>
      </c>
      <c r="CY167" s="263">
        <f t="shared" si="581"/>
        <v>0</v>
      </c>
      <c r="CZ167" s="263">
        <f t="shared" si="582"/>
        <v>1</v>
      </c>
      <c r="DA167" s="263">
        <f t="shared" si="583"/>
        <v>0</v>
      </c>
      <c r="DB167" s="263">
        <f t="shared" si="584"/>
        <v>0</v>
      </c>
      <c r="DC167" s="263">
        <f t="shared" si="585"/>
        <v>0</v>
      </c>
      <c r="DD167" s="263">
        <f t="shared" si="586"/>
        <v>0</v>
      </c>
      <c r="DE167" s="263">
        <f t="shared" si="587"/>
        <v>0</v>
      </c>
      <c r="DF167" s="263">
        <f t="shared" si="588"/>
        <v>0</v>
      </c>
      <c r="DG167" s="263">
        <f t="shared" si="589"/>
        <v>0</v>
      </c>
      <c r="DH167" s="263">
        <f t="shared" si="590"/>
        <v>0</v>
      </c>
      <c r="DI167" s="263">
        <f t="shared" si="591"/>
        <v>0</v>
      </c>
      <c r="DJ167" s="263">
        <f t="shared" si="592"/>
        <v>0</v>
      </c>
      <c r="DK167" s="263">
        <f t="shared" si="593"/>
        <v>0</v>
      </c>
      <c r="DL167" s="263">
        <f t="shared" si="594"/>
        <v>0</v>
      </c>
      <c r="DM167" s="263">
        <f t="shared" si="595"/>
        <v>0</v>
      </c>
      <c r="DO167" s="264">
        <f t="shared" si="596"/>
        <v>0</v>
      </c>
      <c r="DP167" s="265">
        <f t="shared" si="597"/>
        <v>0</v>
      </c>
      <c r="DQ167" s="264">
        <f t="shared" si="598"/>
        <v>0</v>
      </c>
      <c r="DR167" s="264">
        <f t="shared" si="599"/>
        <v>0</v>
      </c>
      <c r="DS167" s="265">
        <f t="shared" si="600"/>
        <v>0</v>
      </c>
      <c r="DT167" s="264">
        <f t="shared" si="601"/>
        <v>0</v>
      </c>
      <c r="DU167" s="264">
        <f t="shared" si="602"/>
        <v>0</v>
      </c>
      <c r="DV167" s="265">
        <f t="shared" si="603"/>
        <v>0</v>
      </c>
      <c r="DW167" s="264">
        <f t="shared" si="604"/>
        <v>0</v>
      </c>
      <c r="DX167" s="264">
        <f t="shared" si="605"/>
        <v>0</v>
      </c>
      <c r="DY167" s="265">
        <f t="shared" si="606"/>
        <v>0</v>
      </c>
      <c r="DZ167" s="264">
        <f t="shared" si="607"/>
        <v>0</v>
      </c>
      <c r="EA167" s="264">
        <f t="shared" si="608"/>
        <v>0</v>
      </c>
      <c r="EB167" s="265">
        <f t="shared" si="609"/>
        <v>0</v>
      </c>
      <c r="EC167" s="264">
        <f t="shared" si="610"/>
        <v>0</v>
      </c>
      <c r="ED167" s="264">
        <f t="shared" si="611"/>
        <v>0</v>
      </c>
      <c r="EE167" s="265">
        <f t="shared" si="612"/>
        <v>0</v>
      </c>
      <c r="EF167" s="264">
        <f t="shared" si="613"/>
        <v>0</v>
      </c>
      <c r="EG167" s="264">
        <f t="shared" si="614"/>
        <v>0</v>
      </c>
      <c r="EH167" s="265">
        <f t="shared" si="615"/>
        <v>0</v>
      </c>
      <c r="EI167" s="264">
        <f t="shared" si="616"/>
        <v>0</v>
      </c>
      <c r="EJ167" s="264">
        <f t="shared" si="617"/>
        <v>0</v>
      </c>
      <c r="EK167" s="265">
        <f t="shared" si="618"/>
        <v>0</v>
      </c>
      <c r="EL167" s="264">
        <f t="shared" si="619"/>
        <v>0</v>
      </c>
      <c r="EM167" s="264">
        <f t="shared" si="620"/>
        <v>0</v>
      </c>
      <c r="EN167" s="265">
        <f t="shared" si="621"/>
        <v>0</v>
      </c>
      <c r="EO167" s="264">
        <f t="shared" si="622"/>
        <v>0</v>
      </c>
      <c r="EP167" s="264">
        <f t="shared" si="623"/>
        <v>0</v>
      </c>
      <c r="EQ167" s="265">
        <f t="shared" si="624"/>
        <v>0</v>
      </c>
      <c r="ER167" s="264">
        <f t="shared" si="625"/>
        <v>0</v>
      </c>
      <c r="ES167" s="264">
        <f t="shared" si="626"/>
        <v>0</v>
      </c>
      <c r="ET167" s="265">
        <f t="shared" si="627"/>
        <v>0</v>
      </c>
      <c r="EU167" s="264">
        <f t="shared" si="628"/>
        <v>0</v>
      </c>
      <c r="EV167" s="264">
        <f>IF(AND(BM167="Yes",OR(BN167="No",AND(BN167="Yes",Inputs!$J$8=Inputs!$J$17+75))),EU167,0)</f>
        <v>0</v>
      </c>
      <c r="EW167" s="265">
        <f t="shared" si="629"/>
        <v>0</v>
      </c>
      <c r="EX167" s="264">
        <f t="shared" si="630"/>
        <v>0</v>
      </c>
      <c r="EY167" s="264">
        <f t="shared" si="631"/>
        <v>0</v>
      </c>
      <c r="EZ167" s="265">
        <f t="shared" si="632"/>
        <v>0</v>
      </c>
      <c r="FA167" s="264">
        <f t="shared" si="633"/>
        <v>0</v>
      </c>
      <c r="FB167" s="264">
        <f t="shared" si="634"/>
        <v>0</v>
      </c>
      <c r="FC167" s="265">
        <f t="shared" si="635"/>
        <v>0</v>
      </c>
      <c r="FD167" s="264">
        <f t="shared" si="636"/>
        <v>0</v>
      </c>
      <c r="FE167" s="264">
        <f t="shared" si="637"/>
        <v>0</v>
      </c>
      <c r="FF167" s="265">
        <f t="shared" si="638"/>
        <v>0</v>
      </c>
      <c r="FG167" s="264">
        <f t="shared" si="639"/>
        <v>0</v>
      </c>
      <c r="FH167" s="264">
        <f t="shared" si="640"/>
        <v>0</v>
      </c>
      <c r="FI167" s="264">
        <f t="shared" si="641"/>
        <v>0</v>
      </c>
      <c r="FJ167" s="264">
        <f t="shared" si="642"/>
        <v>0</v>
      </c>
      <c r="FK167" s="264">
        <f t="shared" si="643"/>
        <v>0</v>
      </c>
      <c r="FL167" s="264">
        <f t="shared" si="644"/>
        <v>0</v>
      </c>
      <c r="FM167" s="264">
        <f t="shared" si="645"/>
        <v>0</v>
      </c>
      <c r="FN167" s="264">
        <f t="shared" si="646"/>
        <v>0</v>
      </c>
      <c r="FO167" s="264">
        <f t="shared" si="647"/>
        <v>0</v>
      </c>
      <c r="FP167" s="264">
        <f t="shared" si="648"/>
        <v>0</v>
      </c>
      <c r="FQ167" s="264">
        <f t="shared" si="649"/>
        <v>0</v>
      </c>
      <c r="FR167" s="265">
        <f t="shared" si="650"/>
        <v>0</v>
      </c>
      <c r="FS167" s="264">
        <f t="shared" si="651"/>
        <v>0</v>
      </c>
      <c r="FT167" s="264">
        <f t="shared" si="652"/>
        <v>0</v>
      </c>
      <c r="FU167" s="265">
        <f t="shared" si="653"/>
        <v>0</v>
      </c>
      <c r="FV167" s="264">
        <f t="shared" si="654"/>
        <v>0</v>
      </c>
      <c r="FW167" s="264">
        <f t="shared" si="655"/>
        <v>0</v>
      </c>
      <c r="FX167" s="264">
        <f t="shared" si="656"/>
        <v>0</v>
      </c>
      <c r="FY167" s="264">
        <f t="shared" si="657"/>
        <v>0</v>
      </c>
      <c r="FZ167" s="264">
        <f t="shared" si="658"/>
        <v>0</v>
      </c>
      <c r="GA167" s="265">
        <f t="shared" si="659"/>
        <v>0</v>
      </c>
      <c r="GB167" s="264">
        <f t="shared" si="660"/>
        <v>0</v>
      </c>
      <c r="GC167" s="264">
        <f t="shared" si="661"/>
        <v>0</v>
      </c>
      <c r="GD167" s="266">
        <f t="shared" si="662"/>
        <v>0</v>
      </c>
      <c r="GE167" s="138">
        <f t="shared" si="663"/>
        <v>0</v>
      </c>
      <c r="GF167" s="267">
        <f t="shared" si="664"/>
        <v>35</v>
      </c>
      <c r="GG167" s="264">
        <f t="array" ref="GG167">IF(SUM(IF(IC$9:IC166=IC167,1,0))&gt;0,0,SUMIF($IC$10:$IC$406,IC167,$FJ$10:$FJ$406))</f>
        <v>0</v>
      </c>
      <c r="GH167" s="268">
        <f t="shared" si="665"/>
        <v>0</v>
      </c>
      <c r="GI167" s="137">
        <f t="shared" si="126"/>
        <v>158</v>
      </c>
      <c r="GJ167" s="269">
        <f t="shared" si="666"/>
        <v>0</v>
      </c>
      <c r="GK167" s="269">
        <f t="shared" si="667"/>
        <v>0</v>
      </c>
      <c r="GL167" s="163">
        <f t="shared" si="668"/>
        <v>0</v>
      </c>
      <c r="GM167" s="137">
        <f t="array" ref="GM167">IF(GJ167=0,0,LARGE(IF($GG$10:$GG$406=GJ167,$GF$10:$GF$406,0),COUNTIF($GJ$10:$GJ$406,GJ167)-COUNTIF(GJ$9:GJ166,GJ167)))</f>
        <v>0</v>
      </c>
      <c r="GN167" s="270">
        <f t="shared" si="669"/>
        <v>0</v>
      </c>
      <c r="GP167" s="137">
        <f>IF(C167="","",IF(ISERROR(MATCH(C167,C$10:C166,0)),MAX(GP$10:GP166)+1,INDEX(GP$10:GP166,MATCH(C167,C$10:C166,0))))</f>
        <v>119</v>
      </c>
      <c r="GQ167" s="264">
        <f>IF(COUNTIF($A$10:A167,A167)&lt;=1,SUMIF($A$10:$A$406,A167,$FH$10:$FH$406),0)</f>
        <v>0</v>
      </c>
      <c r="GR167" s="137">
        <f t="shared" si="130"/>
        <v>158</v>
      </c>
      <c r="GS167" s="269">
        <f t="shared" si="707"/>
        <v>0</v>
      </c>
      <c r="GT167" s="269">
        <f t="shared" si="708"/>
        <v>0</v>
      </c>
      <c r="GU167" s="163">
        <f t="shared" si="709"/>
        <v>0</v>
      </c>
      <c r="GV167" s="137">
        <f t="array" ref="GV167">IF(GS167=0,0,LARGE(IF($GQ$10:$GQ$406=GS167,$GP$10:$GP$406,0),COUNTIF($GS$10:$GS$406,GS167)-COUNTIF(GS$9:GS166,GS167)))</f>
        <v>0</v>
      </c>
      <c r="GW167" s="270">
        <f t="shared" si="710"/>
        <v>0</v>
      </c>
      <c r="GY167" s="137">
        <f>IF(C167="","",IF(ISERROR(MATCH(C167,C$10:C166,0)),MAX(GP$10:GP166)+1,INDEX(GP$10:GP166,MATCH(C167,C$10:C166,0))))</f>
        <v>119</v>
      </c>
      <c r="GZ167" s="264">
        <f>IF(COUNTIF($A$10:A167,A167)&lt;=1,SUMIF($A$10:$A$406,A167,$FH$10:$FH$406),0)</f>
        <v>0</v>
      </c>
      <c r="HA167" s="137">
        <f t="shared" si="134"/>
        <v>158</v>
      </c>
      <c r="HB167" s="269">
        <f t="shared" si="670"/>
        <v>0</v>
      </c>
      <c r="HC167" s="414" t="s">
        <v>622</v>
      </c>
      <c r="HD167" s="163">
        <f t="shared" si="671"/>
        <v>0</v>
      </c>
      <c r="HE167" s="137">
        <f t="array" ref="HE167">IF(HB167=0,0,LARGE(IF($GZ$10:$GZ$406=HB167,$GY$10:$GY$406,0),COUNTIF($HB$10:$HB$406,HB167)-COUNTIF(HB$9:HB166,HB167)))</f>
        <v>0</v>
      </c>
      <c r="HF167" s="270">
        <f t="shared" si="672"/>
        <v>0</v>
      </c>
      <c r="HH167" s="268">
        <f t="shared" si="673"/>
        <v>0</v>
      </c>
      <c r="HI167" s="271">
        <v>0</v>
      </c>
      <c r="HJ167" s="264">
        <f t="shared" si="674"/>
        <v>0</v>
      </c>
      <c r="HL167" s="137" t="str">
        <f t="shared" si="675"/>
        <v/>
      </c>
      <c r="HM167" s="264">
        <f t="shared" si="676"/>
        <v>0</v>
      </c>
      <c r="HO167" s="199">
        <f t="shared" si="677"/>
        <v>0</v>
      </c>
      <c r="HP167" s="199">
        <f t="shared" si="678"/>
        <v>0</v>
      </c>
      <c r="HQ167" s="199">
        <f t="shared" si="679"/>
        <v>0</v>
      </c>
      <c r="HR167" s="199">
        <f t="shared" si="680"/>
        <v>0</v>
      </c>
      <c r="HS167" s="199" t="str">
        <f t="shared" si="693"/>
        <v/>
      </c>
      <c r="HT167" s="199">
        <f t="shared" si="681"/>
        <v>0</v>
      </c>
      <c r="HU167" s="199" t="str">
        <f t="shared" si="682"/>
        <v/>
      </c>
      <c r="HV167" s="200">
        <f t="shared" si="683"/>
        <v>0</v>
      </c>
      <c r="HW167" s="272">
        <f t="shared" si="684"/>
        <v>1</v>
      </c>
      <c r="HX167" s="200" t="str">
        <f t="shared" si="685"/>
        <v/>
      </c>
      <c r="HY167" s="200">
        <f t="shared" si="686"/>
        <v>0</v>
      </c>
      <c r="HZ167" s="200" t="str">
        <f t="shared" si="692"/>
        <v/>
      </c>
      <c r="IA167" s="200">
        <f t="shared" si="687"/>
        <v>0</v>
      </c>
      <c r="IB167" s="200">
        <f t="shared" si="688"/>
        <v>0</v>
      </c>
      <c r="IC167" s="273">
        <f>IF(C167="","",INDEX(Lookups!$E$2:$E$69,MATCH('Loan List'!BE167,Lookups!$F$2:$F$69,0)))</f>
        <v>35</v>
      </c>
      <c r="ID167" t="b">
        <f t="shared" si="689"/>
        <v>1</v>
      </c>
      <c r="IF167" s="346" t="str">
        <f t="shared" si="711"/>
        <v>No Initial Haircut</v>
      </c>
    </row>
    <row r="168" spans="1:240">
      <c r="BB168" s="407" t="str">
        <f t="shared" si="690"/>
        <v/>
      </c>
      <c r="BC168" s="407" t="str">
        <f t="shared" si="691"/>
        <v/>
      </c>
      <c r="GY168" s="137"/>
      <c r="GZ168" s="264"/>
      <c r="HA168" s="137"/>
      <c r="HB168" s="269"/>
      <c r="HC168" s="414"/>
      <c r="HD168" s="163"/>
      <c r="HE168" s="137"/>
      <c r="HF168" s="270"/>
    </row>
    <row r="169" spans="1:240">
      <c r="BB169" s="407" t="str">
        <f t="shared" si="690"/>
        <v/>
      </c>
      <c r="BC169" s="407" t="str">
        <f t="shared" si="691"/>
        <v/>
      </c>
      <c r="GY169" s="137"/>
      <c r="GZ169" s="264"/>
      <c r="HA169" s="137"/>
      <c r="HB169" s="269"/>
      <c r="HC169" s="414"/>
      <c r="HD169" s="163"/>
      <c r="HE169" s="137"/>
      <c r="HF169" s="270"/>
    </row>
    <row r="170" spans="1:240">
      <c r="BB170" s="407" t="str">
        <f t="shared" si="690"/>
        <v/>
      </c>
      <c r="BC170" s="407" t="str">
        <f t="shared" si="691"/>
        <v/>
      </c>
      <c r="GY170" s="137"/>
      <c r="GZ170" s="264"/>
      <c r="HA170" s="137"/>
      <c r="HB170" s="269"/>
      <c r="HC170" s="414"/>
      <c r="HD170" s="163"/>
      <c r="HE170" s="137"/>
      <c r="HF170" s="270"/>
    </row>
    <row r="171" spans="1:240">
      <c r="BB171" s="407" t="str">
        <f t="shared" si="690"/>
        <v/>
      </c>
      <c r="BC171" s="407" t="str">
        <f t="shared" si="691"/>
        <v/>
      </c>
      <c r="GY171" s="137"/>
      <c r="GZ171" s="264"/>
      <c r="HA171" s="137"/>
      <c r="HB171" s="269"/>
      <c r="HC171" s="414"/>
      <c r="HD171" s="163"/>
      <c r="HE171" s="137"/>
      <c r="HF171" s="270"/>
    </row>
    <row r="172" spans="1:240">
      <c r="BB172" s="407" t="str">
        <f t="shared" si="690"/>
        <v/>
      </c>
      <c r="BC172" s="407" t="str">
        <f t="shared" si="691"/>
        <v/>
      </c>
      <c r="GY172" s="137"/>
      <c r="GZ172" s="264"/>
      <c r="HA172" s="137"/>
      <c r="HB172" s="269"/>
      <c r="HC172" s="414"/>
      <c r="HD172" s="163"/>
      <c r="HE172" s="137"/>
      <c r="HF172" s="270"/>
    </row>
    <row r="173" spans="1:240">
      <c r="BB173" s="407" t="str">
        <f t="shared" si="690"/>
        <v/>
      </c>
      <c r="BC173" s="407" t="str">
        <f t="shared" si="691"/>
        <v/>
      </c>
      <c r="GY173" s="137"/>
      <c r="GZ173" s="264"/>
      <c r="HA173" s="137"/>
      <c r="HB173" s="269"/>
      <c r="HC173" s="414"/>
      <c r="HD173" s="163"/>
      <c r="HE173" s="137"/>
      <c r="HF173" s="270"/>
    </row>
    <row r="174" spans="1:240">
      <c r="BB174" s="407" t="str">
        <f t="shared" si="690"/>
        <v/>
      </c>
      <c r="BC174" s="407" t="str">
        <f t="shared" si="691"/>
        <v/>
      </c>
      <c r="GY174" s="137"/>
      <c r="GZ174" s="264"/>
      <c r="HA174" s="137"/>
      <c r="HB174" s="269"/>
      <c r="HC174" s="414"/>
      <c r="HD174" s="163"/>
      <c r="HE174" s="137"/>
      <c r="HF174" s="270"/>
    </row>
    <row r="175" spans="1:240">
      <c r="BB175" s="407" t="str">
        <f t="shared" si="690"/>
        <v/>
      </c>
      <c r="BC175" s="407" t="str">
        <f t="shared" si="691"/>
        <v/>
      </c>
      <c r="GY175" s="137"/>
      <c r="GZ175" s="264"/>
      <c r="HA175" s="137"/>
      <c r="HB175" s="269"/>
      <c r="HC175" s="414"/>
      <c r="HD175" s="163"/>
      <c r="HE175" s="137"/>
      <c r="HF175" s="270"/>
    </row>
    <row r="176" spans="1:240">
      <c r="BB176" s="407" t="str">
        <f t="shared" si="690"/>
        <v/>
      </c>
      <c r="BC176" s="407" t="str">
        <f t="shared" si="691"/>
        <v/>
      </c>
      <c r="GY176" s="137"/>
      <c r="GZ176" s="264"/>
      <c r="HA176" s="137"/>
      <c r="HB176" s="269"/>
      <c r="HC176" s="414"/>
      <c r="HD176" s="163"/>
      <c r="HE176" s="137"/>
      <c r="HF176" s="270"/>
    </row>
    <row r="177" spans="54:214">
      <c r="BB177" s="407" t="str">
        <f t="shared" si="690"/>
        <v/>
      </c>
      <c r="BC177" s="407" t="str">
        <f t="shared" si="691"/>
        <v/>
      </c>
      <c r="GY177" s="137"/>
      <c r="GZ177" s="264"/>
      <c r="HA177" s="137"/>
      <c r="HB177" s="269"/>
      <c r="HC177" s="414"/>
      <c r="HD177" s="163"/>
      <c r="HE177" s="137"/>
      <c r="HF177" s="270"/>
    </row>
    <row r="178" spans="54:214">
      <c r="BB178" s="407" t="str">
        <f t="shared" si="690"/>
        <v/>
      </c>
      <c r="BC178" s="407" t="str">
        <f t="shared" si="691"/>
        <v/>
      </c>
      <c r="GY178" s="137"/>
      <c r="GZ178" s="264"/>
      <c r="HA178" s="137"/>
      <c r="HB178" s="269"/>
      <c r="HC178" s="414"/>
      <c r="HD178" s="163"/>
      <c r="HE178" s="137"/>
      <c r="HF178" s="270"/>
    </row>
    <row r="179" spans="54:214">
      <c r="BB179" s="407" t="str">
        <f t="shared" si="690"/>
        <v/>
      </c>
      <c r="BC179" s="407" t="str">
        <f t="shared" si="691"/>
        <v/>
      </c>
      <c r="GY179" s="137"/>
      <c r="GZ179" s="264"/>
      <c r="HA179" s="137"/>
      <c r="HB179" s="269"/>
      <c r="HC179" s="414"/>
      <c r="HD179" s="163"/>
      <c r="HE179" s="137"/>
      <c r="HF179" s="270"/>
    </row>
    <row r="180" spans="54:214">
      <c r="BB180" s="407" t="str">
        <f t="shared" si="690"/>
        <v/>
      </c>
      <c r="BC180" s="407" t="str">
        <f t="shared" si="691"/>
        <v/>
      </c>
      <c r="GY180" s="137"/>
      <c r="GZ180" s="264"/>
      <c r="HA180" s="137"/>
      <c r="HB180" s="269"/>
      <c r="HC180" s="414"/>
      <c r="HD180" s="163"/>
      <c r="HE180" s="137"/>
      <c r="HF180" s="270"/>
    </row>
    <row r="181" spans="54:214">
      <c r="BB181" s="407" t="str">
        <f t="shared" si="690"/>
        <v/>
      </c>
      <c r="BC181" s="407" t="str">
        <f t="shared" si="691"/>
        <v/>
      </c>
      <c r="GY181" s="137"/>
      <c r="GZ181" s="264"/>
      <c r="HA181" s="137"/>
      <c r="HB181" s="269"/>
      <c r="HC181" s="414"/>
      <c r="HD181" s="163"/>
      <c r="HE181" s="137"/>
      <c r="HF181" s="270"/>
    </row>
    <row r="182" spans="54:214">
      <c r="BB182" s="407" t="str">
        <f t="shared" si="690"/>
        <v/>
      </c>
      <c r="BC182" s="407" t="str">
        <f t="shared" si="691"/>
        <v/>
      </c>
      <c r="GY182" s="137"/>
      <c r="GZ182" s="264"/>
      <c r="HA182" s="137"/>
      <c r="HB182" s="269"/>
      <c r="HC182" s="414"/>
      <c r="HD182" s="163"/>
      <c r="HE182" s="137"/>
      <c r="HF182" s="270"/>
    </row>
    <row r="183" spans="54:214">
      <c r="BB183" s="407" t="str">
        <f t="shared" si="690"/>
        <v/>
      </c>
      <c r="BC183" s="407" t="str">
        <f t="shared" si="691"/>
        <v/>
      </c>
      <c r="GY183" s="137"/>
      <c r="GZ183" s="264"/>
      <c r="HA183" s="137"/>
      <c r="HB183" s="269"/>
      <c r="HC183" s="414"/>
      <c r="HD183" s="163"/>
      <c r="HE183" s="137"/>
      <c r="HF183" s="270"/>
    </row>
    <row r="184" spans="54:214">
      <c r="BB184" s="407" t="str">
        <f t="shared" si="690"/>
        <v/>
      </c>
      <c r="BC184" s="407" t="str">
        <f t="shared" si="691"/>
        <v/>
      </c>
      <c r="GY184" s="137"/>
      <c r="GZ184" s="264"/>
      <c r="HA184" s="137"/>
      <c r="HB184" s="269"/>
      <c r="HC184" s="414"/>
      <c r="HD184" s="163"/>
      <c r="HE184" s="137"/>
      <c r="HF184" s="270"/>
    </row>
    <row r="185" spans="54:214">
      <c r="BB185" s="407" t="str">
        <f t="shared" si="690"/>
        <v/>
      </c>
      <c r="BC185" s="407" t="str">
        <f t="shared" si="691"/>
        <v/>
      </c>
      <c r="GY185" s="137"/>
      <c r="GZ185" s="264"/>
      <c r="HA185" s="137"/>
      <c r="HB185" s="269"/>
      <c r="HC185" s="414"/>
      <c r="HD185" s="163"/>
      <c r="HE185" s="137"/>
      <c r="HF185" s="270"/>
    </row>
    <row r="186" spans="54:214">
      <c r="BB186" s="407" t="str">
        <f t="shared" si="690"/>
        <v/>
      </c>
      <c r="BC186" s="407" t="str">
        <f t="shared" si="691"/>
        <v/>
      </c>
      <c r="GY186" s="137"/>
      <c r="GZ186" s="264"/>
      <c r="HA186" s="137"/>
      <c r="HB186" s="269"/>
      <c r="HC186" s="414"/>
      <c r="HD186" s="163"/>
      <c r="HE186" s="137"/>
      <c r="HF186" s="270"/>
    </row>
    <row r="187" spans="54:214">
      <c r="BB187" s="407" t="str">
        <f t="shared" si="690"/>
        <v/>
      </c>
      <c r="BC187" s="407" t="str">
        <f t="shared" si="691"/>
        <v/>
      </c>
      <c r="GY187" s="137"/>
      <c r="GZ187" s="264"/>
      <c r="HA187" s="137"/>
      <c r="HB187" s="269"/>
      <c r="HC187" s="414"/>
      <c r="HD187" s="163"/>
      <c r="HE187" s="137"/>
      <c r="HF187" s="270"/>
    </row>
    <row r="188" spans="54:214">
      <c r="BB188" s="407" t="str">
        <f t="shared" si="690"/>
        <v/>
      </c>
      <c r="BC188" s="407" t="str">
        <f t="shared" si="691"/>
        <v/>
      </c>
      <c r="GY188" s="137"/>
      <c r="GZ188" s="264"/>
      <c r="HA188" s="137"/>
      <c r="HB188" s="269"/>
      <c r="HC188" s="414"/>
      <c r="HD188" s="163"/>
      <c r="HE188" s="137"/>
      <c r="HF188" s="270"/>
    </row>
    <row r="189" spans="54:214">
      <c r="BB189" s="407" t="str">
        <f t="shared" si="690"/>
        <v/>
      </c>
      <c r="BC189" s="407" t="str">
        <f t="shared" si="691"/>
        <v/>
      </c>
      <c r="GY189" s="137"/>
      <c r="GZ189" s="264"/>
      <c r="HA189" s="137"/>
      <c r="HB189" s="269"/>
      <c r="HC189" s="414"/>
      <c r="HD189" s="163"/>
      <c r="HE189" s="137"/>
      <c r="HF189" s="270"/>
    </row>
    <row r="190" spans="54:214">
      <c r="BB190" s="407" t="str">
        <f t="shared" si="690"/>
        <v/>
      </c>
      <c r="BC190" s="407" t="str">
        <f t="shared" si="691"/>
        <v/>
      </c>
      <c r="GY190" s="137"/>
      <c r="GZ190" s="264"/>
      <c r="HA190" s="137"/>
      <c r="HB190" s="269"/>
      <c r="HC190" s="414"/>
      <c r="HD190" s="163"/>
      <c r="HE190" s="137"/>
      <c r="HF190" s="270"/>
    </row>
    <row r="191" spans="54:214">
      <c r="BB191" s="407" t="str">
        <f t="shared" si="690"/>
        <v/>
      </c>
      <c r="BC191" s="407" t="str">
        <f t="shared" si="691"/>
        <v/>
      </c>
      <c r="GY191" s="137"/>
      <c r="GZ191" s="264"/>
      <c r="HA191" s="137"/>
      <c r="HB191" s="269"/>
      <c r="HC191" s="414"/>
      <c r="HD191" s="163"/>
      <c r="HE191" s="137"/>
      <c r="HF191" s="270"/>
    </row>
    <row r="192" spans="54:214">
      <c r="BB192" s="407" t="str">
        <f t="shared" si="690"/>
        <v/>
      </c>
      <c r="BC192" s="407" t="str">
        <f t="shared" si="691"/>
        <v/>
      </c>
      <c r="GY192" s="137"/>
      <c r="GZ192" s="264"/>
      <c r="HA192" s="137"/>
      <c r="HB192" s="269"/>
      <c r="HC192" s="414"/>
      <c r="HD192" s="163"/>
      <c r="HE192" s="137"/>
      <c r="HF192" s="270"/>
    </row>
    <row r="193" spans="54:214">
      <c r="BB193" s="407" t="str">
        <f t="shared" si="690"/>
        <v/>
      </c>
      <c r="BC193" s="407" t="str">
        <f t="shared" si="691"/>
        <v/>
      </c>
      <c r="GY193" s="137"/>
      <c r="GZ193" s="264"/>
      <c r="HA193" s="137"/>
      <c r="HB193" s="269"/>
      <c r="HC193" s="414"/>
      <c r="HD193" s="163"/>
      <c r="HE193" s="137"/>
      <c r="HF193" s="270"/>
    </row>
    <row r="194" spans="54:214">
      <c r="BB194" s="407" t="str">
        <f t="shared" si="690"/>
        <v/>
      </c>
      <c r="BC194" s="407" t="str">
        <f t="shared" si="691"/>
        <v/>
      </c>
      <c r="GY194" s="137"/>
      <c r="GZ194" s="264"/>
      <c r="HA194" s="137"/>
      <c r="HB194" s="269"/>
      <c r="HC194" s="414"/>
      <c r="HD194" s="163"/>
      <c r="HE194" s="137"/>
      <c r="HF194" s="270"/>
    </row>
    <row r="195" spans="54:214">
      <c r="BB195" s="407" t="str">
        <f t="shared" si="690"/>
        <v/>
      </c>
      <c r="BC195" s="407" t="str">
        <f t="shared" si="691"/>
        <v/>
      </c>
      <c r="GY195" s="137"/>
      <c r="GZ195" s="264"/>
      <c r="HA195" s="137"/>
      <c r="HB195" s="269"/>
      <c r="HC195" s="414"/>
      <c r="HD195" s="163"/>
      <c r="HE195" s="137"/>
      <c r="HF195" s="270"/>
    </row>
    <row r="196" spans="54:214">
      <c r="BB196" s="407" t="str">
        <f t="shared" si="690"/>
        <v/>
      </c>
      <c r="BC196" s="407" t="str">
        <f t="shared" si="691"/>
        <v/>
      </c>
      <c r="GY196" s="137"/>
      <c r="GZ196" s="264"/>
      <c r="HA196" s="137"/>
      <c r="HB196" s="269"/>
      <c r="HC196" s="414"/>
      <c r="HD196" s="163"/>
      <c r="HE196" s="137"/>
      <c r="HF196" s="270"/>
    </row>
    <row r="197" spans="54:214">
      <c r="BB197" s="407" t="str">
        <f t="shared" si="690"/>
        <v/>
      </c>
      <c r="BC197" s="407" t="str">
        <f t="shared" si="691"/>
        <v/>
      </c>
      <c r="GY197" s="137"/>
      <c r="GZ197" s="264"/>
      <c r="HA197" s="137"/>
      <c r="HB197" s="269"/>
      <c r="HC197" s="414"/>
      <c r="HD197" s="163"/>
      <c r="HE197" s="137"/>
      <c r="HF197" s="270"/>
    </row>
    <row r="198" spans="54:214">
      <c r="BB198" s="407" t="str">
        <f t="shared" si="690"/>
        <v/>
      </c>
      <c r="BC198" s="407" t="str">
        <f t="shared" si="691"/>
        <v/>
      </c>
      <c r="GY198" s="137"/>
      <c r="GZ198" s="264"/>
      <c r="HA198" s="137"/>
      <c r="HB198" s="269"/>
      <c r="HC198" s="414"/>
      <c r="HD198" s="163"/>
      <c r="HE198" s="137"/>
      <c r="HF198" s="270"/>
    </row>
    <row r="199" spans="54:214">
      <c r="BB199" s="407" t="str">
        <f t="shared" si="690"/>
        <v/>
      </c>
      <c r="BC199" s="407" t="str">
        <f t="shared" si="691"/>
        <v/>
      </c>
      <c r="GY199" s="137"/>
      <c r="GZ199" s="264"/>
      <c r="HA199" s="137"/>
      <c r="HB199" s="269"/>
      <c r="HC199" s="414"/>
      <c r="HD199" s="163"/>
      <c r="HE199" s="137"/>
      <c r="HF199" s="270"/>
    </row>
    <row r="200" spans="54:214">
      <c r="BB200" s="407" t="str">
        <f t="shared" si="690"/>
        <v/>
      </c>
      <c r="BC200" s="407" t="str">
        <f t="shared" si="691"/>
        <v/>
      </c>
      <c r="GY200" s="137"/>
      <c r="GZ200" s="264"/>
      <c r="HA200" s="137"/>
      <c r="HB200" s="269"/>
      <c r="HC200" s="414"/>
      <c r="HD200" s="163"/>
      <c r="HE200" s="137"/>
      <c r="HF200" s="270"/>
    </row>
    <row r="201" spans="54:214">
      <c r="BB201" s="407" t="str">
        <f t="shared" si="690"/>
        <v/>
      </c>
      <c r="BC201" s="407" t="str">
        <f t="shared" si="691"/>
        <v/>
      </c>
      <c r="GY201" s="137"/>
      <c r="GZ201" s="264"/>
      <c r="HA201" s="137"/>
      <c r="HB201" s="269"/>
      <c r="HC201" s="414"/>
      <c r="HD201" s="163"/>
      <c r="HE201" s="137"/>
      <c r="HF201" s="270"/>
    </row>
    <row r="202" spans="54:214">
      <c r="BB202" s="407" t="str">
        <f t="shared" si="690"/>
        <v/>
      </c>
      <c r="BC202" s="407" t="str">
        <f t="shared" si="691"/>
        <v/>
      </c>
      <c r="GY202" s="137"/>
      <c r="GZ202" s="264"/>
      <c r="HA202" s="137"/>
      <c r="HB202" s="269"/>
      <c r="HC202" s="414"/>
      <c r="HD202" s="163"/>
      <c r="HE202" s="137"/>
      <c r="HF202" s="270"/>
    </row>
    <row r="203" spans="54:214">
      <c r="BB203" s="407" t="str">
        <f t="shared" si="690"/>
        <v/>
      </c>
      <c r="BC203" s="407" t="str">
        <f t="shared" si="691"/>
        <v/>
      </c>
      <c r="GY203" s="137"/>
      <c r="GZ203" s="264"/>
      <c r="HA203" s="137"/>
      <c r="HB203" s="269"/>
      <c r="HC203" s="414"/>
      <c r="HD203" s="163"/>
      <c r="HE203" s="137"/>
      <c r="HF203" s="270"/>
    </row>
    <row r="204" spans="54:214">
      <c r="BB204" s="407" t="str">
        <f t="shared" si="690"/>
        <v/>
      </c>
      <c r="BC204" s="407" t="str">
        <f t="shared" si="691"/>
        <v/>
      </c>
      <c r="GY204" s="137"/>
      <c r="GZ204" s="264"/>
      <c r="HA204" s="137"/>
      <c r="HB204" s="269"/>
      <c r="HC204" s="414"/>
      <c r="HD204" s="163"/>
      <c r="HE204" s="137"/>
      <c r="HF204" s="270"/>
    </row>
    <row r="205" spans="54:214">
      <c r="BB205" s="407" t="str">
        <f t="shared" si="690"/>
        <v/>
      </c>
      <c r="BC205" s="407" t="str">
        <f t="shared" si="691"/>
        <v/>
      </c>
      <c r="GY205" s="137"/>
      <c r="GZ205" s="264"/>
      <c r="HA205" s="137"/>
      <c r="HB205" s="269"/>
      <c r="HC205" s="414"/>
      <c r="HD205" s="163"/>
      <c r="HE205" s="137"/>
      <c r="HF205" s="270"/>
    </row>
    <row r="206" spans="54:214">
      <c r="BB206" s="407" t="str">
        <f t="shared" si="690"/>
        <v/>
      </c>
      <c r="BC206" s="407" t="str">
        <f t="shared" si="691"/>
        <v/>
      </c>
      <c r="GY206" s="137"/>
      <c r="GZ206" s="264"/>
      <c r="HA206" s="137"/>
      <c r="HB206" s="269"/>
      <c r="HC206" s="414"/>
      <c r="HD206" s="163"/>
      <c r="HE206" s="137"/>
      <c r="HF206" s="270"/>
    </row>
    <row r="207" spans="54:214">
      <c r="BB207" s="407" t="str">
        <f t="shared" si="690"/>
        <v/>
      </c>
      <c r="BC207" s="407" t="str">
        <f t="shared" si="691"/>
        <v/>
      </c>
      <c r="GY207" s="137"/>
      <c r="GZ207" s="264"/>
      <c r="HA207" s="137"/>
      <c r="HB207" s="269"/>
      <c r="HC207" s="414"/>
      <c r="HD207" s="163"/>
      <c r="HE207" s="137"/>
      <c r="HF207" s="270"/>
    </row>
    <row r="208" spans="54:214">
      <c r="BB208" s="407" t="str">
        <f t="shared" si="690"/>
        <v/>
      </c>
      <c r="BC208" s="407" t="str">
        <f t="shared" si="691"/>
        <v/>
      </c>
      <c r="GY208" s="137"/>
      <c r="GZ208" s="264"/>
      <c r="HA208" s="137"/>
      <c r="HB208" s="269"/>
      <c r="HC208" s="414"/>
      <c r="HD208" s="163"/>
      <c r="HE208" s="137"/>
      <c r="HF208" s="270"/>
    </row>
    <row r="209" spans="54:214">
      <c r="BB209" s="407" t="str">
        <f t="shared" ref="BB209:BB272" si="712">IF(B209="","",IF(AR209="No",AV209-AZ209,""))</f>
        <v/>
      </c>
      <c r="BC209" s="407" t="str">
        <f t="shared" ref="BC209:BC272" si="713">IF(B209="","",IF(AR209="Yes",AS209-BA209,""))</f>
        <v/>
      </c>
      <c r="GY209" s="137"/>
      <c r="GZ209" s="264"/>
      <c r="HA209" s="137"/>
      <c r="HB209" s="269"/>
      <c r="HC209" s="414"/>
      <c r="HD209" s="163"/>
      <c r="HE209" s="137"/>
      <c r="HF209" s="270"/>
    </row>
    <row r="210" spans="54:214">
      <c r="BB210" s="407" t="str">
        <f t="shared" si="712"/>
        <v/>
      </c>
      <c r="BC210" s="407" t="str">
        <f t="shared" si="713"/>
        <v/>
      </c>
      <c r="GY210" s="137"/>
      <c r="GZ210" s="264"/>
      <c r="HA210" s="137"/>
      <c r="HB210" s="269"/>
      <c r="HC210" s="414"/>
      <c r="HD210" s="163"/>
      <c r="HE210" s="137"/>
      <c r="HF210" s="270"/>
    </row>
    <row r="211" spans="54:214">
      <c r="BB211" s="407" t="str">
        <f t="shared" si="712"/>
        <v/>
      </c>
      <c r="BC211" s="407" t="str">
        <f t="shared" si="713"/>
        <v/>
      </c>
      <c r="GY211" s="137"/>
      <c r="GZ211" s="264"/>
      <c r="HA211" s="137"/>
      <c r="HB211" s="269"/>
      <c r="HC211" s="414"/>
      <c r="HD211" s="163"/>
      <c r="HE211" s="137"/>
      <c r="HF211" s="270"/>
    </row>
    <row r="212" spans="54:214">
      <c r="BB212" s="407" t="str">
        <f t="shared" si="712"/>
        <v/>
      </c>
      <c r="BC212" s="407" t="str">
        <f t="shared" si="713"/>
        <v/>
      </c>
      <c r="GY212" s="137"/>
      <c r="GZ212" s="264"/>
      <c r="HA212" s="137"/>
      <c r="HB212" s="269"/>
      <c r="HC212" s="414"/>
      <c r="HD212" s="163"/>
      <c r="HE212" s="137"/>
      <c r="HF212" s="270"/>
    </row>
    <row r="213" spans="54:214">
      <c r="BB213" s="407" t="str">
        <f t="shared" si="712"/>
        <v/>
      </c>
      <c r="BC213" s="407" t="str">
        <f t="shared" si="713"/>
        <v/>
      </c>
      <c r="GY213" s="137"/>
      <c r="GZ213" s="264"/>
      <c r="HA213" s="137"/>
      <c r="HB213" s="269"/>
      <c r="HC213" s="414"/>
      <c r="HD213" s="163"/>
      <c r="HE213" s="137"/>
      <c r="HF213" s="270"/>
    </row>
    <row r="214" spans="54:214">
      <c r="BB214" s="407" t="str">
        <f t="shared" si="712"/>
        <v/>
      </c>
      <c r="BC214" s="407" t="str">
        <f t="shared" si="713"/>
        <v/>
      </c>
      <c r="GY214" s="137"/>
      <c r="GZ214" s="264"/>
      <c r="HA214" s="137"/>
      <c r="HB214" s="269"/>
      <c r="HC214" s="414"/>
      <c r="HD214" s="163"/>
      <c r="HE214" s="137"/>
      <c r="HF214" s="270"/>
    </row>
    <row r="215" spans="54:214">
      <c r="BB215" s="407" t="str">
        <f t="shared" si="712"/>
        <v/>
      </c>
      <c r="BC215" s="407" t="str">
        <f t="shared" si="713"/>
        <v/>
      </c>
      <c r="GY215" s="137"/>
      <c r="GZ215" s="264"/>
      <c r="HA215" s="137"/>
      <c r="HB215" s="269"/>
      <c r="HC215" s="414"/>
      <c r="HD215" s="163"/>
      <c r="HE215" s="137"/>
      <c r="HF215" s="270"/>
    </row>
    <row r="216" spans="54:214">
      <c r="BB216" s="407" t="str">
        <f t="shared" si="712"/>
        <v/>
      </c>
      <c r="BC216" s="407" t="str">
        <f t="shared" si="713"/>
        <v/>
      </c>
      <c r="GY216" s="137"/>
      <c r="GZ216" s="264"/>
      <c r="HA216" s="137"/>
      <c r="HB216" s="269"/>
      <c r="HC216" s="414"/>
      <c r="HD216" s="163"/>
      <c r="HE216" s="137"/>
      <c r="HF216" s="270"/>
    </row>
    <row r="217" spans="54:214">
      <c r="BB217" s="407" t="str">
        <f t="shared" si="712"/>
        <v/>
      </c>
      <c r="BC217" s="407" t="str">
        <f t="shared" si="713"/>
        <v/>
      </c>
      <c r="GY217" s="137"/>
      <c r="GZ217" s="264"/>
      <c r="HA217" s="137"/>
      <c r="HB217" s="269"/>
      <c r="HC217" s="414"/>
      <c r="HD217" s="163"/>
      <c r="HE217" s="137"/>
      <c r="HF217" s="270"/>
    </row>
    <row r="218" spans="54:214">
      <c r="BB218" s="407" t="str">
        <f t="shared" si="712"/>
        <v/>
      </c>
      <c r="BC218" s="407" t="str">
        <f t="shared" si="713"/>
        <v/>
      </c>
      <c r="GY218" s="137"/>
      <c r="GZ218" s="264"/>
      <c r="HA218" s="137"/>
      <c r="HB218" s="269"/>
      <c r="HC218" s="414"/>
      <c r="HD218" s="163"/>
      <c r="HE218" s="137"/>
      <c r="HF218" s="270"/>
    </row>
    <row r="219" spans="54:214">
      <c r="BB219" s="407" t="str">
        <f t="shared" si="712"/>
        <v/>
      </c>
      <c r="BC219" s="407" t="str">
        <f t="shared" si="713"/>
        <v/>
      </c>
      <c r="GY219" s="137"/>
      <c r="GZ219" s="264"/>
      <c r="HA219" s="137"/>
      <c r="HB219" s="269"/>
      <c r="HC219" s="414"/>
      <c r="HD219" s="163"/>
      <c r="HE219" s="137"/>
      <c r="HF219" s="270"/>
    </row>
    <row r="220" spans="54:214">
      <c r="BB220" s="407" t="str">
        <f t="shared" si="712"/>
        <v/>
      </c>
      <c r="BC220" s="407" t="str">
        <f t="shared" si="713"/>
        <v/>
      </c>
      <c r="GY220" s="137"/>
      <c r="GZ220" s="264"/>
      <c r="HA220" s="137"/>
      <c r="HB220" s="269"/>
      <c r="HC220" s="414"/>
      <c r="HD220" s="163"/>
      <c r="HE220" s="137"/>
      <c r="HF220" s="270"/>
    </row>
    <row r="221" spans="54:214">
      <c r="BB221" s="407" t="str">
        <f t="shared" si="712"/>
        <v/>
      </c>
      <c r="BC221" s="407" t="str">
        <f t="shared" si="713"/>
        <v/>
      </c>
      <c r="GY221" s="137"/>
      <c r="GZ221" s="264"/>
      <c r="HA221" s="137"/>
      <c r="HB221" s="269"/>
      <c r="HC221" s="414"/>
      <c r="HD221" s="163"/>
      <c r="HE221" s="137"/>
      <c r="HF221" s="270"/>
    </row>
    <row r="222" spans="54:214">
      <c r="BB222" s="407" t="str">
        <f t="shared" si="712"/>
        <v/>
      </c>
      <c r="BC222" s="407" t="str">
        <f t="shared" si="713"/>
        <v/>
      </c>
      <c r="GY222" s="137"/>
      <c r="GZ222" s="264"/>
      <c r="HA222" s="137"/>
      <c r="HB222" s="269"/>
      <c r="HC222" s="414"/>
      <c r="HD222" s="163"/>
      <c r="HE222" s="137"/>
      <c r="HF222" s="270"/>
    </row>
    <row r="223" spans="54:214">
      <c r="BB223" s="407" t="str">
        <f t="shared" si="712"/>
        <v/>
      </c>
      <c r="BC223" s="407" t="str">
        <f t="shared" si="713"/>
        <v/>
      </c>
      <c r="GY223" s="137"/>
      <c r="GZ223" s="264"/>
      <c r="HA223" s="137"/>
      <c r="HB223" s="269"/>
      <c r="HC223" s="414"/>
      <c r="HD223" s="163"/>
      <c r="HE223" s="137"/>
      <c r="HF223" s="270"/>
    </row>
    <row r="224" spans="54:214">
      <c r="BB224" s="407" t="str">
        <f t="shared" si="712"/>
        <v/>
      </c>
      <c r="BC224" s="407" t="str">
        <f t="shared" si="713"/>
        <v/>
      </c>
      <c r="GY224" s="137"/>
      <c r="GZ224" s="264"/>
      <c r="HA224" s="137"/>
      <c r="HB224" s="269"/>
      <c r="HC224" s="414"/>
      <c r="HD224" s="163"/>
      <c r="HE224" s="137"/>
      <c r="HF224" s="270"/>
    </row>
    <row r="225" spans="54:214">
      <c r="BB225" s="407" t="str">
        <f t="shared" si="712"/>
        <v/>
      </c>
      <c r="BC225" s="407" t="str">
        <f t="shared" si="713"/>
        <v/>
      </c>
      <c r="GY225" s="137"/>
      <c r="GZ225" s="264"/>
      <c r="HA225" s="137"/>
      <c r="HB225" s="269"/>
      <c r="HC225" s="414"/>
      <c r="HD225" s="163"/>
      <c r="HE225" s="137"/>
      <c r="HF225" s="270"/>
    </row>
    <row r="226" spans="54:214">
      <c r="BB226" s="407" t="str">
        <f t="shared" si="712"/>
        <v/>
      </c>
      <c r="BC226" s="407" t="str">
        <f t="shared" si="713"/>
        <v/>
      </c>
      <c r="GY226" s="137"/>
      <c r="GZ226" s="264"/>
      <c r="HA226" s="137"/>
      <c r="HB226" s="269"/>
      <c r="HC226" s="414"/>
      <c r="HD226" s="163"/>
      <c r="HE226" s="137"/>
      <c r="HF226" s="270"/>
    </row>
    <row r="227" spans="54:214">
      <c r="BB227" s="407" t="str">
        <f t="shared" si="712"/>
        <v/>
      </c>
      <c r="BC227" s="407" t="str">
        <f t="shared" si="713"/>
        <v/>
      </c>
      <c r="GY227" s="137"/>
      <c r="GZ227" s="264"/>
      <c r="HA227" s="137"/>
      <c r="HB227" s="269"/>
      <c r="HC227" s="414"/>
      <c r="HD227" s="163"/>
      <c r="HE227" s="137"/>
      <c r="HF227" s="270"/>
    </row>
    <row r="228" spans="54:214">
      <c r="BB228" s="407" t="str">
        <f t="shared" si="712"/>
        <v/>
      </c>
      <c r="BC228" s="407" t="str">
        <f t="shared" si="713"/>
        <v/>
      </c>
      <c r="GY228" s="137"/>
      <c r="GZ228" s="264"/>
      <c r="HA228" s="137"/>
      <c r="HB228" s="269"/>
      <c r="HC228" s="414"/>
      <c r="HD228" s="163"/>
      <c r="HE228" s="137"/>
      <c r="HF228" s="270"/>
    </row>
    <row r="229" spans="54:214">
      <c r="BB229" s="407" t="str">
        <f t="shared" si="712"/>
        <v/>
      </c>
      <c r="BC229" s="407" t="str">
        <f t="shared" si="713"/>
        <v/>
      </c>
      <c r="GY229" s="137"/>
      <c r="GZ229" s="264"/>
      <c r="HA229" s="137"/>
      <c r="HB229" s="269"/>
      <c r="HC229" s="414"/>
      <c r="HD229" s="163"/>
      <c r="HE229" s="137"/>
      <c r="HF229" s="270"/>
    </row>
    <row r="230" spans="54:214">
      <c r="BB230" s="407" t="str">
        <f t="shared" si="712"/>
        <v/>
      </c>
      <c r="BC230" s="407" t="str">
        <f t="shared" si="713"/>
        <v/>
      </c>
      <c r="GY230" s="137"/>
      <c r="GZ230" s="264"/>
      <c r="HA230" s="137"/>
      <c r="HB230" s="269"/>
      <c r="HC230" s="414"/>
      <c r="HD230" s="163"/>
      <c r="HE230" s="137"/>
      <c r="HF230" s="270"/>
    </row>
    <row r="231" spans="54:214">
      <c r="BB231" s="407" t="str">
        <f t="shared" si="712"/>
        <v/>
      </c>
      <c r="BC231" s="407" t="str">
        <f t="shared" si="713"/>
        <v/>
      </c>
      <c r="GY231" s="137"/>
      <c r="GZ231" s="264"/>
      <c r="HA231" s="137"/>
      <c r="HB231" s="269"/>
      <c r="HC231" s="414"/>
      <c r="HD231" s="163"/>
      <c r="HE231" s="137"/>
      <c r="HF231" s="270"/>
    </row>
    <row r="232" spans="54:214">
      <c r="BB232" s="407" t="str">
        <f t="shared" si="712"/>
        <v/>
      </c>
      <c r="BC232" s="407" t="str">
        <f t="shared" si="713"/>
        <v/>
      </c>
      <c r="GY232" s="137"/>
      <c r="GZ232" s="264"/>
      <c r="HA232" s="137"/>
      <c r="HB232" s="269"/>
      <c r="HC232" s="414"/>
      <c r="HD232" s="163"/>
      <c r="HE232" s="137"/>
      <c r="HF232" s="270"/>
    </row>
    <row r="233" spans="54:214">
      <c r="BB233" s="407" t="str">
        <f t="shared" si="712"/>
        <v/>
      </c>
      <c r="BC233" s="407" t="str">
        <f t="shared" si="713"/>
        <v/>
      </c>
      <c r="GY233" s="137"/>
      <c r="GZ233" s="264"/>
      <c r="HA233" s="137"/>
      <c r="HB233" s="269"/>
      <c r="HC233" s="414"/>
      <c r="HD233" s="163"/>
      <c r="HE233" s="137"/>
      <c r="HF233" s="270"/>
    </row>
    <row r="234" spans="54:214">
      <c r="BB234" s="407" t="str">
        <f t="shared" si="712"/>
        <v/>
      </c>
      <c r="BC234" s="407" t="str">
        <f t="shared" si="713"/>
        <v/>
      </c>
      <c r="GY234" s="137"/>
      <c r="GZ234" s="264"/>
      <c r="HA234" s="137"/>
      <c r="HB234" s="269"/>
      <c r="HC234" s="414"/>
      <c r="HD234" s="163"/>
      <c r="HE234" s="137"/>
      <c r="HF234" s="270"/>
    </row>
    <row r="235" spans="54:214">
      <c r="BB235" s="407" t="str">
        <f t="shared" si="712"/>
        <v/>
      </c>
      <c r="BC235" s="407" t="str">
        <f t="shared" si="713"/>
        <v/>
      </c>
      <c r="GY235" s="137"/>
      <c r="GZ235" s="264"/>
      <c r="HA235" s="137"/>
      <c r="HB235" s="269"/>
      <c r="HC235" s="414"/>
      <c r="HD235" s="163"/>
      <c r="HE235" s="137"/>
      <c r="HF235" s="270"/>
    </row>
    <row r="236" spans="54:214">
      <c r="BB236" s="407" t="str">
        <f t="shared" si="712"/>
        <v/>
      </c>
      <c r="BC236" s="407" t="str">
        <f t="shared" si="713"/>
        <v/>
      </c>
      <c r="GY236" s="137"/>
      <c r="GZ236" s="264"/>
      <c r="HA236" s="137"/>
      <c r="HB236" s="269"/>
      <c r="HC236" s="414"/>
      <c r="HD236" s="163"/>
      <c r="HE236" s="137"/>
      <c r="HF236" s="270"/>
    </row>
    <row r="237" spans="54:214">
      <c r="BB237" s="407" t="str">
        <f t="shared" si="712"/>
        <v/>
      </c>
      <c r="BC237" s="407" t="str">
        <f t="shared" si="713"/>
        <v/>
      </c>
      <c r="GY237" s="137"/>
      <c r="GZ237" s="264"/>
      <c r="HA237" s="137"/>
      <c r="HB237" s="269"/>
      <c r="HC237" s="414"/>
      <c r="HD237" s="163"/>
      <c r="HE237" s="137"/>
      <c r="HF237" s="270"/>
    </row>
    <row r="238" spans="54:214">
      <c r="BB238" s="407" t="str">
        <f t="shared" si="712"/>
        <v/>
      </c>
      <c r="BC238" s="407" t="str">
        <f t="shared" si="713"/>
        <v/>
      </c>
      <c r="GY238" s="137"/>
      <c r="GZ238" s="264"/>
      <c r="HA238" s="137"/>
      <c r="HB238" s="269"/>
      <c r="HC238" s="414"/>
      <c r="HD238" s="163"/>
      <c r="HE238" s="137"/>
      <c r="HF238" s="270"/>
    </row>
    <row r="239" spans="54:214">
      <c r="BB239" s="407" t="str">
        <f t="shared" si="712"/>
        <v/>
      </c>
      <c r="BC239" s="407" t="str">
        <f t="shared" si="713"/>
        <v/>
      </c>
      <c r="GY239" s="137"/>
      <c r="GZ239" s="264"/>
      <c r="HA239" s="137"/>
      <c r="HB239" s="269"/>
      <c r="HC239" s="414"/>
      <c r="HD239" s="163"/>
      <c r="HE239" s="137"/>
      <c r="HF239" s="270"/>
    </row>
    <row r="240" spans="54:214">
      <c r="BB240" s="407" t="str">
        <f t="shared" si="712"/>
        <v/>
      </c>
      <c r="BC240" s="407" t="str">
        <f t="shared" si="713"/>
        <v/>
      </c>
      <c r="GY240" s="137"/>
      <c r="GZ240" s="264"/>
      <c r="HA240" s="137"/>
      <c r="HB240" s="269"/>
      <c r="HC240" s="414"/>
      <c r="HD240" s="163"/>
      <c r="HE240" s="137"/>
      <c r="HF240" s="270"/>
    </row>
    <row r="241" spans="54:214">
      <c r="BB241" s="407" t="str">
        <f t="shared" si="712"/>
        <v/>
      </c>
      <c r="BC241" s="407" t="str">
        <f t="shared" si="713"/>
        <v/>
      </c>
      <c r="GY241" s="137"/>
      <c r="GZ241" s="264"/>
      <c r="HA241" s="137"/>
      <c r="HB241" s="269"/>
      <c r="HC241" s="414"/>
      <c r="HD241" s="163"/>
      <c r="HE241" s="137"/>
      <c r="HF241" s="270"/>
    </row>
    <row r="242" spans="54:214">
      <c r="BB242" s="407" t="str">
        <f t="shared" si="712"/>
        <v/>
      </c>
      <c r="BC242" s="407" t="str">
        <f t="shared" si="713"/>
        <v/>
      </c>
      <c r="GY242" s="137"/>
      <c r="GZ242" s="264"/>
      <c r="HA242" s="137"/>
      <c r="HB242" s="269"/>
      <c r="HC242" s="414"/>
      <c r="HD242" s="163"/>
      <c r="HE242" s="137"/>
      <c r="HF242" s="270"/>
    </row>
    <row r="243" spans="54:214">
      <c r="BB243" s="407" t="str">
        <f t="shared" si="712"/>
        <v/>
      </c>
      <c r="BC243" s="407" t="str">
        <f t="shared" si="713"/>
        <v/>
      </c>
      <c r="GY243" s="137"/>
      <c r="GZ243" s="264"/>
      <c r="HA243" s="137"/>
      <c r="HB243" s="269"/>
      <c r="HC243" s="414"/>
      <c r="HD243" s="163"/>
      <c r="HE243" s="137"/>
      <c r="HF243" s="270"/>
    </row>
    <row r="244" spans="54:214">
      <c r="BB244" s="407" t="str">
        <f t="shared" si="712"/>
        <v/>
      </c>
      <c r="BC244" s="407" t="str">
        <f t="shared" si="713"/>
        <v/>
      </c>
      <c r="GY244" s="137"/>
      <c r="GZ244" s="264"/>
      <c r="HA244" s="137"/>
      <c r="HB244" s="269"/>
      <c r="HC244" s="414"/>
      <c r="HD244" s="163"/>
      <c r="HE244" s="137"/>
      <c r="HF244" s="270"/>
    </row>
    <row r="245" spans="54:214">
      <c r="BB245" s="407" t="str">
        <f t="shared" si="712"/>
        <v/>
      </c>
      <c r="BC245" s="407" t="str">
        <f t="shared" si="713"/>
        <v/>
      </c>
      <c r="GY245" s="137"/>
      <c r="GZ245" s="264"/>
      <c r="HA245" s="137"/>
      <c r="HB245" s="269"/>
      <c r="HC245" s="414"/>
      <c r="HD245" s="163"/>
      <c r="HE245" s="137"/>
      <c r="HF245" s="270"/>
    </row>
    <row r="246" spans="54:214">
      <c r="BB246" s="407" t="str">
        <f t="shared" si="712"/>
        <v/>
      </c>
      <c r="BC246" s="407" t="str">
        <f t="shared" si="713"/>
        <v/>
      </c>
      <c r="GY246" s="137"/>
      <c r="GZ246" s="264"/>
      <c r="HA246" s="137"/>
      <c r="HB246" s="269"/>
      <c r="HC246" s="414"/>
      <c r="HD246" s="163"/>
      <c r="HE246" s="137"/>
      <c r="HF246" s="270"/>
    </row>
    <row r="247" spans="54:214">
      <c r="BB247" s="407" t="str">
        <f t="shared" si="712"/>
        <v/>
      </c>
      <c r="BC247" s="407" t="str">
        <f t="shared" si="713"/>
        <v/>
      </c>
      <c r="GY247" s="137"/>
      <c r="GZ247" s="264"/>
      <c r="HA247" s="137"/>
      <c r="HB247" s="269"/>
      <c r="HC247" s="414"/>
      <c r="HD247" s="163"/>
      <c r="HE247" s="137"/>
      <c r="HF247" s="270"/>
    </row>
    <row r="248" spans="54:214">
      <c r="BB248" s="407" t="str">
        <f t="shared" si="712"/>
        <v/>
      </c>
      <c r="BC248" s="407" t="str">
        <f t="shared" si="713"/>
        <v/>
      </c>
      <c r="GY248" s="137"/>
      <c r="GZ248" s="264"/>
      <c r="HA248" s="137"/>
      <c r="HB248" s="269"/>
      <c r="HC248" s="414"/>
      <c r="HD248" s="163"/>
      <c r="HE248" s="137"/>
      <c r="HF248" s="270"/>
    </row>
    <row r="249" spans="54:214">
      <c r="BB249" s="407" t="str">
        <f t="shared" si="712"/>
        <v/>
      </c>
      <c r="BC249" s="407" t="str">
        <f t="shared" si="713"/>
        <v/>
      </c>
      <c r="GY249" s="137"/>
      <c r="GZ249" s="264"/>
      <c r="HA249" s="137"/>
      <c r="HB249" s="269"/>
      <c r="HC249" s="414"/>
      <c r="HD249" s="163"/>
      <c r="HE249" s="137"/>
      <c r="HF249" s="270"/>
    </row>
    <row r="250" spans="54:214">
      <c r="BB250" s="407" t="str">
        <f t="shared" si="712"/>
        <v/>
      </c>
      <c r="BC250" s="407" t="str">
        <f t="shared" si="713"/>
        <v/>
      </c>
      <c r="GY250" s="137"/>
      <c r="GZ250" s="264"/>
      <c r="HA250" s="137"/>
      <c r="HB250" s="269"/>
      <c r="HC250" s="414"/>
      <c r="HD250" s="163"/>
      <c r="HE250" s="137"/>
      <c r="HF250" s="270"/>
    </row>
    <row r="251" spans="54:214">
      <c r="BB251" s="407" t="str">
        <f t="shared" si="712"/>
        <v/>
      </c>
      <c r="BC251" s="407" t="str">
        <f t="shared" si="713"/>
        <v/>
      </c>
      <c r="GY251" s="137"/>
      <c r="GZ251" s="264"/>
      <c r="HA251" s="137"/>
      <c r="HB251" s="269"/>
      <c r="HC251" s="414"/>
      <c r="HD251" s="163"/>
      <c r="HE251" s="137"/>
      <c r="HF251" s="270"/>
    </row>
    <row r="252" spans="54:214">
      <c r="BB252" s="407" t="str">
        <f t="shared" si="712"/>
        <v/>
      </c>
      <c r="BC252" s="407" t="str">
        <f t="shared" si="713"/>
        <v/>
      </c>
      <c r="GY252" s="137"/>
      <c r="GZ252" s="264"/>
      <c r="HA252" s="137"/>
      <c r="HB252" s="269"/>
      <c r="HC252" s="414"/>
      <c r="HD252" s="163"/>
      <c r="HE252" s="137"/>
      <c r="HF252" s="270"/>
    </row>
    <row r="253" spans="54:214">
      <c r="BB253" s="407" t="str">
        <f t="shared" si="712"/>
        <v/>
      </c>
      <c r="BC253" s="407" t="str">
        <f t="shared" si="713"/>
        <v/>
      </c>
      <c r="GY253" s="137"/>
      <c r="GZ253" s="264"/>
      <c r="HA253" s="137"/>
      <c r="HB253" s="269"/>
      <c r="HC253" s="414"/>
      <c r="HD253" s="163"/>
      <c r="HE253" s="137"/>
      <c r="HF253" s="270"/>
    </row>
    <row r="254" spans="54:214">
      <c r="BB254" s="407" t="str">
        <f t="shared" si="712"/>
        <v/>
      </c>
      <c r="BC254" s="407" t="str">
        <f t="shared" si="713"/>
        <v/>
      </c>
      <c r="GY254" s="137"/>
      <c r="GZ254" s="264"/>
      <c r="HA254" s="137"/>
      <c r="HB254" s="269"/>
      <c r="HC254" s="414"/>
      <c r="HD254" s="163"/>
      <c r="HE254" s="137"/>
      <c r="HF254" s="270"/>
    </row>
    <row r="255" spans="54:214">
      <c r="BB255" s="407" t="str">
        <f t="shared" si="712"/>
        <v/>
      </c>
      <c r="BC255" s="407" t="str">
        <f t="shared" si="713"/>
        <v/>
      </c>
      <c r="GY255" s="137"/>
      <c r="GZ255" s="264"/>
      <c r="HA255" s="137"/>
      <c r="HB255" s="269"/>
      <c r="HC255" s="414"/>
      <c r="HD255" s="163"/>
      <c r="HE255" s="137"/>
      <c r="HF255" s="270"/>
    </row>
    <row r="256" spans="54:214">
      <c r="BB256" s="407" t="str">
        <f t="shared" si="712"/>
        <v/>
      </c>
      <c r="BC256" s="407" t="str">
        <f t="shared" si="713"/>
        <v/>
      </c>
      <c r="GY256" s="137"/>
      <c r="GZ256" s="264"/>
      <c r="HA256" s="137"/>
      <c r="HB256" s="269"/>
      <c r="HC256" s="414"/>
      <c r="HD256" s="163"/>
      <c r="HE256" s="137"/>
      <c r="HF256" s="270"/>
    </row>
    <row r="257" spans="54:214">
      <c r="BB257" s="407" t="str">
        <f t="shared" si="712"/>
        <v/>
      </c>
      <c r="BC257" s="407" t="str">
        <f t="shared" si="713"/>
        <v/>
      </c>
      <c r="GY257" s="137"/>
      <c r="GZ257" s="264"/>
      <c r="HA257" s="137"/>
      <c r="HB257" s="269"/>
      <c r="HC257" s="414"/>
      <c r="HD257" s="163"/>
      <c r="HE257" s="137"/>
      <c r="HF257" s="270"/>
    </row>
    <row r="258" spans="54:214">
      <c r="BB258" s="407" t="str">
        <f t="shared" si="712"/>
        <v/>
      </c>
      <c r="BC258" s="407" t="str">
        <f t="shared" si="713"/>
        <v/>
      </c>
      <c r="GY258" s="137"/>
      <c r="GZ258" s="264"/>
      <c r="HA258" s="137"/>
      <c r="HB258" s="269"/>
      <c r="HC258" s="414"/>
      <c r="HD258" s="163"/>
      <c r="HE258" s="137"/>
      <c r="HF258" s="270"/>
    </row>
    <row r="259" spans="54:214">
      <c r="BB259" s="407" t="str">
        <f t="shared" si="712"/>
        <v/>
      </c>
      <c r="BC259" s="407" t="str">
        <f t="shared" si="713"/>
        <v/>
      </c>
      <c r="GY259" s="137"/>
      <c r="GZ259" s="264"/>
      <c r="HA259" s="137"/>
      <c r="HB259" s="269"/>
      <c r="HC259" s="414"/>
      <c r="HD259" s="163"/>
      <c r="HE259" s="137"/>
      <c r="HF259" s="270"/>
    </row>
    <row r="260" spans="54:214">
      <c r="BB260" s="407" t="str">
        <f t="shared" si="712"/>
        <v/>
      </c>
      <c r="BC260" s="407" t="str">
        <f t="shared" si="713"/>
        <v/>
      </c>
      <c r="GY260" s="137"/>
      <c r="GZ260" s="264"/>
      <c r="HA260" s="137"/>
      <c r="HB260" s="269"/>
      <c r="HC260" s="414"/>
      <c r="HD260" s="163"/>
      <c r="HE260" s="137"/>
      <c r="HF260" s="270"/>
    </row>
    <row r="261" spans="54:214">
      <c r="BB261" s="407" t="str">
        <f t="shared" si="712"/>
        <v/>
      </c>
      <c r="BC261" s="407" t="str">
        <f t="shared" si="713"/>
        <v/>
      </c>
      <c r="GY261" s="137"/>
      <c r="GZ261" s="264"/>
      <c r="HA261" s="137"/>
      <c r="HB261" s="269"/>
      <c r="HC261" s="414"/>
      <c r="HD261" s="163"/>
      <c r="HE261" s="137"/>
      <c r="HF261" s="270"/>
    </row>
    <row r="262" spans="54:214">
      <c r="BB262" s="407" t="str">
        <f t="shared" si="712"/>
        <v/>
      </c>
      <c r="BC262" s="407" t="str">
        <f t="shared" si="713"/>
        <v/>
      </c>
      <c r="GY262" s="137"/>
      <c r="GZ262" s="264"/>
      <c r="HA262" s="137"/>
      <c r="HB262" s="269"/>
      <c r="HC262" s="414"/>
      <c r="HD262" s="163"/>
      <c r="HE262" s="137"/>
      <c r="HF262" s="270"/>
    </row>
    <row r="263" spans="54:214">
      <c r="BB263" s="407" t="str">
        <f t="shared" si="712"/>
        <v/>
      </c>
      <c r="BC263" s="407" t="str">
        <f t="shared" si="713"/>
        <v/>
      </c>
      <c r="GY263" s="137"/>
      <c r="GZ263" s="264"/>
      <c r="HA263" s="137"/>
      <c r="HB263" s="269"/>
      <c r="HC263" s="414"/>
      <c r="HD263" s="163"/>
      <c r="HE263" s="137"/>
      <c r="HF263" s="270"/>
    </row>
    <row r="264" spans="54:214">
      <c r="BB264" s="407" t="str">
        <f t="shared" si="712"/>
        <v/>
      </c>
      <c r="BC264" s="407" t="str">
        <f t="shared" si="713"/>
        <v/>
      </c>
      <c r="GY264" s="137"/>
      <c r="GZ264" s="264"/>
      <c r="HA264" s="137"/>
      <c r="HB264" s="269"/>
      <c r="HC264" s="414"/>
      <c r="HD264" s="163"/>
      <c r="HE264" s="137"/>
      <c r="HF264" s="270"/>
    </row>
    <row r="265" spans="54:214">
      <c r="BB265" s="407" t="str">
        <f t="shared" si="712"/>
        <v/>
      </c>
      <c r="BC265" s="407" t="str">
        <f t="shared" si="713"/>
        <v/>
      </c>
      <c r="GY265" s="137"/>
      <c r="GZ265" s="264"/>
      <c r="HA265" s="137"/>
      <c r="HB265" s="269"/>
      <c r="HC265" s="414"/>
      <c r="HD265" s="163"/>
      <c r="HE265" s="137"/>
      <c r="HF265" s="270"/>
    </row>
    <row r="266" spans="54:214">
      <c r="BB266" s="407" t="str">
        <f t="shared" si="712"/>
        <v/>
      </c>
      <c r="BC266" s="407" t="str">
        <f t="shared" si="713"/>
        <v/>
      </c>
      <c r="GY266" s="137"/>
      <c r="GZ266" s="264"/>
      <c r="HA266" s="137"/>
      <c r="HB266" s="269"/>
      <c r="HC266" s="414"/>
      <c r="HD266" s="163"/>
      <c r="HE266" s="137"/>
      <c r="HF266" s="270"/>
    </row>
    <row r="267" spans="54:214">
      <c r="BB267" s="407" t="str">
        <f t="shared" si="712"/>
        <v/>
      </c>
      <c r="BC267" s="407" t="str">
        <f t="shared" si="713"/>
        <v/>
      </c>
      <c r="GY267" s="137"/>
      <c r="GZ267" s="264"/>
      <c r="HA267" s="137"/>
      <c r="HB267" s="269"/>
      <c r="HC267" s="414"/>
      <c r="HD267" s="163"/>
      <c r="HE267" s="137"/>
      <c r="HF267" s="270"/>
    </row>
    <row r="268" spans="54:214">
      <c r="BB268" s="407" t="str">
        <f t="shared" si="712"/>
        <v/>
      </c>
      <c r="BC268" s="407" t="str">
        <f t="shared" si="713"/>
        <v/>
      </c>
      <c r="GY268" s="137"/>
      <c r="GZ268" s="264"/>
      <c r="HA268" s="137"/>
      <c r="HB268" s="269"/>
      <c r="HC268" s="414"/>
      <c r="HD268" s="163"/>
      <c r="HE268" s="137"/>
      <c r="HF268" s="270"/>
    </row>
    <row r="269" spans="54:214">
      <c r="BB269" s="407" t="str">
        <f t="shared" si="712"/>
        <v/>
      </c>
      <c r="BC269" s="407" t="str">
        <f t="shared" si="713"/>
        <v/>
      </c>
      <c r="GY269" s="137"/>
      <c r="GZ269" s="264"/>
      <c r="HA269" s="137"/>
      <c r="HB269" s="269"/>
      <c r="HC269" s="414"/>
      <c r="HD269" s="163"/>
      <c r="HE269" s="137"/>
      <c r="HF269" s="270"/>
    </row>
    <row r="270" spans="54:214">
      <c r="BB270" s="407" t="str">
        <f t="shared" si="712"/>
        <v/>
      </c>
      <c r="BC270" s="407" t="str">
        <f t="shared" si="713"/>
        <v/>
      </c>
      <c r="GY270" s="137"/>
      <c r="GZ270" s="264"/>
      <c r="HA270" s="137"/>
      <c r="HB270" s="269"/>
      <c r="HC270" s="414"/>
      <c r="HD270" s="163"/>
      <c r="HE270" s="137"/>
      <c r="HF270" s="270"/>
    </row>
    <row r="271" spans="54:214">
      <c r="BB271" s="407" t="str">
        <f t="shared" si="712"/>
        <v/>
      </c>
      <c r="BC271" s="407" t="str">
        <f t="shared" si="713"/>
        <v/>
      </c>
      <c r="GY271" s="137"/>
      <c r="GZ271" s="264"/>
      <c r="HA271" s="137"/>
      <c r="HB271" s="269"/>
      <c r="HC271" s="414"/>
      <c r="HD271" s="163"/>
      <c r="HE271" s="137"/>
      <c r="HF271" s="270"/>
    </row>
    <row r="272" spans="54:214">
      <c r="BB272" s="407" t="str">
        <f t="shared" si="712"/>
        <v/>
      </c>
      <c r="BC272" s="407" t="str">
        <f t="shared" si="713"/>
        <v/>
      </c>
      <c r="GY272" s="137"/>
      <c r="GZ272" s="264"/>
      <c r="HA272" s="137"/>
      <c r="HB272" s="269"/>
      <c r="HC272" s="414"/>
      <c r="HD272" s="163"/>
      <c r="HE272" s="137"/>
      <c r="HF272" s="270"/>
    </row>
    <row r="273" spans="54:214">
      <c r="BB273" s="407" t="str">
        <f t="shared" ref="BB273:BB336" si="714">IF(B273="","",IF(AR273="No",AV273-AZ273,""))</f>
        <v/>
      </c>
      <c r="BC273" s="407" t="str">
        <f t="shared" ref="BC273:BC336" si="715">IF(B273="","",IF(AR273="Yes",AS273-BA273,""))</f>
        <v/>
      </c>
      <c r="GY273" s="137"/>
      <c r="GZ273" s="264"/>
      <c r="HA273" s="137"/>
      <c r="HB273" s="269"/>
      <c r="HC273" s="414"/>
      <c r="HD273" s="163"/>
      <c r="HE273" s="137"/>
      <c r="HF273" s="270"/>
    </row>
    <row r="274" spans="54:214">
      <c r="BB274" s="407" t="str">
        <f t="shared" si="714"/>
        <v/>
      </c>
      <c r="BC274" s="407" t="str">
        <f t="shared" si="715"/>
        <v/>
      </c>
      <c r="GY274" s="137"/>
      <c r="GZ274" s="264"/>
      <c r="HA274" s="137"/>
      <c r="HB274" s="269"/>
      <c r="HC274" s="414"/>
      <c r="HD274" s="163"/>
      <c r="HE274" s="137"/>
      <c r="HF274" s="270"/>
    </row>
    <row r="275" spans="54:214">
      <c r="BB275" s="407" t="str">
        <f t="shared" si="714"/>
        <v/>
      </c>
      <c r="BC275" s="407" t="str">
        <f t="shared" si="715"/>
        <v/>
      </c>
      <c r="GY275" s="137"/>
      <c r="GZ275" s="264"/>
      <c r="HA275" s="137"/>
      <c r="HB275" s="269"/>
      <c r="HC275" s="414"/>
      <c r="HD275" s="163"/>
      <c r="HE275" s="137"/>
      <c r="HF275" s="270"/>
    </row>
    <row r="276" spans="54:214">
      <c r="BB276" s="407" t="str">
        <f t="shared" si="714"/>
        <v/>
      </c>
      <c r="BC276" s="407" t="str">
        <f t="shared" si="715"/>
        <v/>
      </c>
      <c r="GY276" s="137"/>
      <c r="GZ276" s="264"/>
      <c r="HA276" s="137"/>
      <c r="HB276" s="269"/>
      <c r="HC276" s="414"/>
      <c r="HD276" s="163"/>
      <c r="HE276" s="137"/>
      <c r="HF276" s="270"/>
    </row>
    <row r="277" spans="54:214">
      <c r="BB277" s="407" t="str">
        <f t="shared" si="714"/>
        <v/>
      </c>
      <c r="BC277" s="407" t="str">
        <f t="shared" si="715"/>
        <v/>
      </c>
      <c r="GY277" s="137"/>
      <c r="GZ277" s="264"/>
      <c r="HA277" s="137"/>
      <c r="HB277" s="269"/>
      <c r="HC277" s="414"/>
      <c r="HD277" s="163"/>
      <c r="HE277" s="137"/>
      <c r="HF277" s="270"/>
    </row>
    <row r="278" spans="54:214">
      <c r="BB278" s="407" t="str">
        <f t="shared" si="714"/>
        <v/>
      </c>
      <c r="BC278" s="407" t="str">
        <f t="shared" si="715"/>
        <v/>
      </c>
      <c r="GY278" s="137"/>
      <c r="GZ278" s="264"/>
      <c r="HA278" s="137"/>
      <c r="HB278" s="269"/>
      <c r="HC278" s="414"/>
      <c r="HD278" s="163"/>
      <c r="HE278" s="137"/>
      <c r="HF278" s="270"/>
    </row>
    <row r="279" spans="54:214">
      <c r="BB279" s="407" t="str">
        <f t="shared" si="714"/>
        <v/>
      </c>
      <c r="BC279" s="407" t="str">
        <f t="shared" si="715"/>
        <v/>
      </c>
      <c r="GY279" s="137"/>
      <c r="GZ279" s="264"/>
      <c r="HA279" s="137"/>
      <c r="HB279" s="269"/>
      <c r="HC279" s="414"/>
      <c r="HD279" s="163"/>
      <c r="HE279" s="137"/>
      <c r="HF279" s="270"/>
    </row>
    <row r="280" spans="54:214">
      <c r="BB280" s="407" t="str">
        <f t="shared" si="714"/>
        <v/>
      </c>
      <c r="BC280" s="407" t="str">
        <f t="shared" si="715"/>
        <v/>
      </c>
      <c r="GY280" s="137"/>
      <c r="GZ280" s="264"/>
      <c r="HA280" s="137"/>
      <c r="HB280" s="269"/>
      <c r="HC280" s="414"/>
      <c r="HD280" s="163"/>
      <c r="HE280" s="137"/>
      <c r="HF280" s="270"/>
    </row>
    <row r="281" spans="54:214">
      <c r="BB281" s="407" t="str">
        <f t="shared" si="714"/>
        <v/>
      </c>
      <c r="BC281" s="407" t="str">
        <f t="shared" si="715"/>
        <v/>
      </c>
      <c r="GY281" s="137"/>
      <c r="GZ281" s="264"/>
      <c r="HA281" s="137"/>
      <c r="HB281" s="269"/>
      <c r="HC281" s="414"/>
      <c r="HD281" s="163"/>
      <c r="HE281" s="137"/>
      <c r="HF281" s="270"/>
    </row>
    <row r="282" spans="54:214">
      <c r="BB282" s="407" t="str">
        <f t="shared" si="714"/>
        <v/>
      </c>
      <c r="BC282" s="407" t="str">
        <f t="shared" si="715"/>
        <v/>
      </c>
      <c r="GY282" s="137"/>
      <c r="GZ282" s="264"/>
      <c r="HA282" s="137"/>
      <c r="HB282" s="269"/>
      <c r="HC282" s="414"/>
      <c r="HD282" s="163"/>
      <c r="HE282" s="137"/>
      <c r="HF282" s="270"/>
    </row>
    <row r="283" spans="54:214">
      <c r="BB283" s="407" t="str">
        <f t="shared" si="714"/>
        <v/>
      </c>
      <c r="BC283" s="407" t="str">
        <f t="shared" si="715"/>
        <v/>
      </c>
      <c r="GY283" s="137"/>
      <c r="GZ283" s="264"/>
      <c r="HA283" s="137"/>
      <c r="HB283" s="269"/>
      <c r="HC283" s="414"/>
      <c r="HD283" s="163"/>
      <c r="HE283" s="137"/>
      <c r="HF283" s="270"/>
    </row>
    <row r="284" spans="54:214">
      <c r="BB284" s="407" t="str">
        <f t="shared" si="714"/>
        <v/>
      </c>
      <c r="BC284" s="407" t="str">
        <f t="shared" si="715"/>
        <v/>
      </c>
      <c r="GY284" s="137"/>
      <c r="GZ284" s="264"/>
      <c r="HA284" s="137"/>
      <c r="HB284" s="269"/>
      <c r="HC284" s="414"/>
      <c r="HD284" s="163"/>
      <c r="HE284" s="137"/>
      <c r="HF284" s="270"/>
    </row>
    <row r="285" spans="54:214">
      <c r="BB285" s="407" t="str">
        <f t="shared" si="714"/>
        <v/>
      </c>
      <c r="BC285" s="407" t="str">
        <f t="shared" si="715"/>
        <v/>
      </c>
      <c r="GY285" s="137"/>
      <c r="GZ285" s="264"/>
      <c r="HA285" s="137"/>
      <c r="HB285" s="269"/>
      <c r="HC285" s="414"/>
      <c r="HD285" s="163"/>
      <c r="HE285" s="137"/>
      <c r="HF285" s="270"/>
    </row>
    <row r="286" spans="54:214">
      <c r="BB286" s="407" t="str">
        <f t="shared" si="714"/>
        <v/>
      </c>
      <c r="BC286" s="407" t="str">
        <f t="shared" si="715"/>
        <v/>
      </c>
      <c r="GY286" s="137"/>
      <c r="GZ286" s="264"/>
      <c r="HA286" s="137"/>
      <c r="HB286" s="269"/>
      <c r="HC286" s="414"/>
      <c r="HD286" s="163"/>
      <c r="HE286" s="137"/>
      <c r="HF286" s="270"/>
    </row>
    <row r="287" spans="54:214">
      <c r="BB287" s="407" t="str">
        <f t="shared" si="714"/>
        <v/>
      </c>
      <c r="BC287" s="407" t="str">
        <f t="shared" si="715"/>
        <v/>
      </c>
      <c r="GY287" s="137"/>
      <c r="GZ287" s="264"/>
      <c r="HA287" s="137"/>
      <c r="HB287" s="269"/>
      <c r="HC287" s="414"/>
      <c r="HD287" s="163"/>
      <c r="HE287" s="137"/>
      <c r="HF287" s="270"/>
    </row>
    <row r="288" spans="54:214">
      <c r="BB288" s="407" t="str">
        <f t="shared" si="714"/>
        <v/>
      </c>
      <c r="BC288" s="407" t="str">
        <f t="shared" si="715"/>
        <v/>
      </c>
      <c r="GY288" s="137"/>
      <c r="GZ288" s="264"/>
      <c r="HA288" s="137"/>
      <c r="HB288" s="269"/>
      <c r="HC288" s="414"/>
      <c r="HD288" s="163"/>
      <c r="HE288" s="137"/>
      <c r="HF288" s="270"/>
    </row>
    <row r="289" spans="54:214">
      <c r="BB289" s="407" t="str">
        <f t="shared" si="714"/>
        <v/>
      </c>
      <c r="BC289" s="407" t="str">
        <f t="shared" si="715"/>
        <v/>
      </c>
      <c r="GY289" s="137"/>
      <c r="GZ289" s="264"/>
      <c r="HA289" s="137"/>
      <c r="HB289" s="269"/>
      <c r="HC289" s="414"/>
      <c r="HD289" s="163"/>
      <c r="HE289" s="137"/>
      <c r="HF289" s="270"/>
    </row>
    <row r="290" spans="54:214">
      <c r="BB290" s="407" t="str">
        <f t="shared" si="714"/>
        <v/>
      </c>
      <c r="BC290" s="407" t="str">
        <f t="shared" si="715"/>
        <v/>
      </c>
      <c r="GY290" s="137"/>
      <c r="GZ290" s="264"/>
      <c r="HA290" s="137"/>
      <c r="HB290" s="269"/>
      <c r="HC290" s="414"/>
      <c r="HD290" s="163"/>
      <c r="HE290" s="137"/>
      <c r="HF290" s="270"/>
    </row>
    <row r="291" spans="54:214">
      <c r="BB291" s="407" t="str">
        <f t="shared" si="714"/>
        <v/>
      </c>
      <c r="BC291" s="407" t="str">
        <f t="shared" si="715"/>
        <v/>
      </c>
      <c r="GY291" s="137"/>
      <c r="GZ291" s="264"/>
      <c r="HA291" s="137"/>
      <c r="HB291" s="269"/>
      <c r="HC291" s="414"/>
      <c r="HD291" s="163"/>
      <c r="HE291" s="137"/>
      <c r="HF291" s="270"/>
    </row>
    <row r="292" spans="54:214">
      <c r="BB292" s="407" t="str">
        <f t="shared" si="714"/>
        <v/>
      </c>
      <c r="BC292" s="407" t="str">
        <f t="shared" si="715"/>
        <v/>
      </c>
      <c r="GY292" s="137"/>
      <c r="GZ292" s="264"/>
      <c r="HA292" s="137"/>
      <c r="HB292" s="269"/>
      <c r="HC292" s="414"/>
      <c r="HD292" s="163"/>
      <c r="HE292" s="137"/>
      <c r="HF292" s="270"/>
    </row>
    <row r="293" spans="54:214">
      <c r="BB293" s="407" t="str">
        <f t="shared" si="714"/>
        <v/>
      </c>
      <c r="BC293" s="407" t="str">
        <f t="shared" si="715"/>
        <v/>
      </c>
      <c r="GY293" s="137"/>
      <c r="GZ293" s="264"/>
      <c r="HA293" s="137"/>
      <c r="HB293" s="269"/>
      <c r="HC293" s="414"/>
      <c r="HD293" s="163"/>
      <c r="HE293" s="137"/>
      <c r="HF293" s="270"/>
    </row>
    <row r="294" spans="54:214">
      <c r="BB294" s="407" t="str">
        <f t="shared" si="714"/>
        <v/>
      </c>
      <c r="BC294" s="407" t="str">
        <f t="shared" si="715"/>
        <v/>
      </c>
      <c r="GY294" s="137"/>
      <c r="GZ294" s="264"/>
      <c r="HA294" s="137"/>
      <c r="HB294" s="269"/>
      <c r="HC294" s="414"/>
      <c r="HD294" s="163"/>
      <c r="HE294" s="137"/>
      <c r="HF294" s="270"/>
    </row>
    <row r="295" spans="54:214">
      <c r="BB295" s="407" t="str">
        <f t="shared" si="714"/>
        <v/>
      </c>
      <c r="BC295" s="407" t="str">
        <f t="shared" si="715"/>
        <v/>
      </c>
      <c r="GY295" s="137"/>
      <c r="GZ295" s="264"/>
      <c r="HA295" s="137"/>
      <c r="HB295" s="269"/>
      <c r="HC295" s="414"/>
      <c r="HD295" s="163"/>
      <c r="HE295" s="137"/>
      <c r="HF295" s="270"/>
    </row>
    <row r="296" spans="54:214">
      <c r="BB296" s="407" t="str">
        <f t="shared" si="714"/>
        <v/>
      </c>
      <c r="BC296" s="407" t="str">
        <f t="shared" si="715"/>
        <v/>
      </c>
      <c r="GY296" s="137"/>
      <c r="GZ296" s="264"/>
      <c r="HA296" s="137"/>
      <c r="HB296" s="269"/>
      <c r="HC296" s="414"/>
      <c r="HD296" s="163"/>
      <c r="HE296" s="137"/>
      <c r="HF296" s="270"/>
    </row>
    <row r="297" spans="54:214">
      <c r="BB297" s="407" t="str">
        <f t="shared" si="714"/>
        <v/>
      </c>
      <c r="BC297" s="407" t="str">
        <f t="shared" si="715"/>
        <v/>
      </c>
      <c r="GY297" s="137"/>
      <c r="GZ297" s="264"/>
      <c r="HA297" s="137"/>
      <c r="HB297" s="269"/>
      <c r="HC297" s="414"/>
      <c r="HD297" s="163"/>
      <c r="HE297" s="137"/>
      <c r="HF297" s="270"/>
    </row>
    <row r="298" spans="54:214">
      <c r="BB298" s="407" t="str">
        <f t="shared" si="714"/>
        <v/>
      </c>
      <c r="BC298" s="407" t="str">
        <f t="shared" si="715"/>
        <v/>
      </c>
      <c r="GY298" s="137"/>
      <c r="GZ298" s="264"/>
      <c r="HA298" s="137"/>
      <c r="HB298" s="269"/>
      <c r="HC298" s="414"/>
      <c r="HD298" s="163"/>
      <c r="HE298" s="137"/>
      <c r="HF298" s="270"/>
    </row>
    <row r="299" spans="54:214">
      <c r="BB299" s="407" t="str">
        <f t="shared" si="714"/>
        <v/>
      </c>
      <c r="BC299" s="407" t="str">
        <f t="shared" si="715"/>
        <v/>
      </c>
      <c r="GY299" s="137"/>
      <c r="GZ299" s="264"/>
      <c r="HA299" s="137"/>
      <c r="HB299" s="269"/>
      <c r="HC299" s="414"/>
      <c r="HD299" s="163"/>
      <c r="HE299" s="137"/>
      <c r="HF299" s="270"/>
    </row>
    <row r="300" spans="54:214">
      <c r="BB300" s="407" t="str">
        <f t="shared" si="714"/>
        <v/>
      </c>
      <c r="BC300" s="407" t="str">
        <f t="shared" si="715"/>
        <v/>
      </c>
      <c r="GY300" s="137"/>
      <c r="GZ300" s="264"/>
      <c r="HA300" s="137"/>
      <c r="HB300" s="269"/>
      <c r="HC300" s="414"/>
      <c r="HD300" s="163"/>
      <c r="HE300" s="137"/>
      <c r="HF300" s="270"/>
    </row>
    <row r="301" spans="54:214">
      <c r="BB301" s="407" t="str">
        <f t="shared" si="714"/>
        <v/>
      </c>
      <c r="BC301" s="407" t="str">
        <f t="shared" si="715"/>
        <v/>
      </c>
      <c r="GY301" s="137"/>
      <c r="GZ301" s="264"/>
      <c r="HA301" s="137"/>
      <c r="HB301" s="269"/>
      <c r="HC301" s="414"/>
      <c r="HD301" s="163"/>
      <c r="HE301" s="137"/>
      <c r="HF301" s="270"/>
    </row>
    <row r="302" spans="54:214">
      <c r="BB302" s="407" t="str">
        <f t="shared" si="714"/>
        <v/>
      </c>
      <c r="BC302" s="407" t="str">
        <f t="shared" si="715"/>
        <v/>
      </c>
      <c r="GY302" s="137"/>
      <c r="GZ302" s="264"/>
      <c r="HA302" s="137"/>
      <c r="HB302" s="269"/>
      <c r="HC302" s="414"/>
      <c r="HD302" s="163"/>
      <c r="HE302" s="137"/>
      <c r="HF302" s="270"/>
    </row>
    <row r="303" spans="54:214">
      <c r="BB303" s="407" t="str">
        <f t="shared" si="714"/>
        <v/>
      </c>
      <c r="BC303" s="407" t="str">
        <f t="shared" si="715"/>
        <v/>
      </c>
      <c r="GY303" s="137"/>
      <c r="GZ303" s="264"/>
      <c r="HA303" s="137"/>
      <c r="HB303" s="269"/>
      <c r="HC303" s="414"/>
      <c r="HD303" s="163"/>
      <c r="HE303" s="137"/>
      <c r="HF303" s="270"/>
    </row>
    <row r="304" spans="54:214">
      <c r="BB304" s="407" t="str">
        <f t="shared" si="714"/>
        <v/>
      </c>
      <c r="BC304" s="407" t="str">
        <f t="shared" si="715"/>
        <v/>
      </c>
      <c r="GY304" s="137"/>
      <c r="GZ304" s="264"/>
      <c r="HA304" s="137"/>
      <c r="HB304" s="269"/>
      <c r="HC304" s="414"/>
      <c r="HD304" s="163"/>
      <c r="HE304" s="137"/>
      <c r="HF304" s="270"/>
    </row>
    <row r="305" spans="54:214">
      <c r="BB305" s="407" t="str">
        <f t="shared" si="714"/>
        <v/>
      </c>
      <c r="BC305" s="407" t="str">
        <f t="shared" si="715"/>
        <v/>
      </c>
      <c r="GY305" s="137"/>
      <c r="GZ305" s="264"/>
      <c r="HA305" s="137"/>
      <c r="HB305" s="269"/>
      <c r="HC305" s="414"/>
      <c r="HD305" s="163"/>
      <c r="HE305" s="137"/>
      <c r="HF305" s="270"/>
    </row>
    <row r="306" spans="54:214">
      <c r="BB306" s="407" t="str">
        <f t="shared" si="714"/>
        <v/>
      </c>
      <c r="BC306" s="407" t="str">
        <f t="shared" si="715"/>
        <v/>
      </c>
      <c r="GY306" s="137"/>
      <c r="GZ306" s="264"/>
      <c r="HA306" s="137"/>
      <c r="HB306" s="269"/>
      <c r="HC306" s="414"/>
      <c r="HD306" s="163"/>
      <c r="HE306" s="137"/>
      <c r="HF306" s="270"/>
    </row>
    <row r="307" spans="54:214">
      <c r="BB307" s="407" t="str">
        <f t="shared" si="714"/>
        <v/>
      </c>
      <c r="BC307" s="407" t="str">
        <f t="shared" si="715"/>
        <v/>
      </c>
      <c r="GY307" s="137"/>
      <c r="GZ307" s="264"/>
      <c r="HA307" s="137"/>
      <c r="HB307" s="269"/>
      <c r="HC307" s="414"/>
      <c r="HD307" s="163"/>
      <c r="HE307" s="137"/>
      <c r="HF307" s="270"/>
    </row>
    <row r="308" spans="54:214">
      <c r="BB308" s="407" t="str">
        <f t="shared" si="714"/>
        <v/>
      </c>
      <c r="BC308" s="407" t="str">
        <f t="shared" si="715"/>
        <v/>
      </c>
      <c r="GY308" s="137"/>
      <c r="GZ308" s="264"/>
      <c r="HA308" s="137"/>
      <c r="HB308" s="269"/>
      <c r="HC308" s="414"/>
      <c r="HD308" s="163"/>
      <c r="HE308" s="137"/>
      <c r="HF308" s="270"/>
    </row>
    <row r="309" spans="54:214">
      <c r="BB309" s="407" t="str">
        <f t="shared" si="714"/>
        <v/>
      </c>
      <c r="BC309" s="407" t="str">
        <f t="shared" si="715"/>
        <v/>
      </c>
      <c r="GY309" s="137"/>
      <c r="GZ309" s="264"/>
      <c r="HA309" s="137"/>
      <c r="HB309" s="269"/>
      <c r="HC309" s="414"/>
      <c r="HD309" s="163"/>
      <c r="HE309" s="137"/>
      <c r="HF309" s="270"/>
    </row>
    <row r="310" spans="54:214">
      <c r="BB310" s="407" t="str">
        <f t="shared" si="714"/>
        <v/>
      </c>
      <c r="BC310" s="407" t="str">
        <f t="shared" si="715"/>
        <v/>
      </c>
      <c r="GY310" s="137"/>
      <c r="GZ310" s="264"/>
      <c r="HA310" s="137"/>
      <c r="HB310" s="269"/>
      <c r="HC310" s="414"/>
      <c r="HD310" s="163"/>
      <c r="HE310" s="137"/>
      <c r="HF310" s="270"/>
    </row>
    <row r="311" spans="54:214">
      <c r="BB311" s="407" t="str">
        <f t="shared" si="714"/>
        <v/>
      </c>
      <c r="BC311" s="407" t="str">
        <f t="shared" si="715"/>
        <v/>
      </c>
      <c r="GY311" s="137"/>
      <c r="GZ311" s="264"/>
      <c r="HA311" s="137"/>
      <c r="HB311" s="269"/>
      <c r="HC311" s="414"/>
      <c r="HD311" s="163"/>
      <c r="HE311" s="137"/>
      <c r="HF311" s="270"/>
    </row>
    <row r="312" spans="54:214">
      <c r="BB312" s="407" t="str">
        <f t="shared" si="714"/>
        <v/>
      </c>
      <c r="BC312" s="407" t="str">
        <f t="shared" si="715"/>
        <v/>
      </c>
      <c r="GY312" s="137"/>
      <c r="GZ312" s="264"/>
      <c r="HA312" s="137"/>
      <c r="HB312" s="269"/>
      <c r="HC312" s="414"/>
      <c r="HD312" s="163"/>
      <c r="HE312" s="137"/>
      <c r="HF312" s="270"/>
    </row>
    <row r="313" spans="54:214">
      <c r="BB313" s="407" t="str">
        <f t="shared" si="714"/>
        <v/>
      </c>
      <c r="BC313" s="407" t="str">
        <f t="shared" si="715"/>
        <v/>
      </c>
      <c r="GY313" s="137"/>
      <c r="GZ313" s="264"/>
      <c r="HA313" s="137"/>
      <c r="HB313" s="269"/>
      <c r="HC313" s="414"/>
      <c r="HD313" s="163"/>
      <c r="HE313" s="137"/>
      <c r="HF313" s="270"/>
    </row>
    <row r="314" spans="54:214">
      <c r="BB314" s="407" t="str">
        <f t="shared" si="714"/>
        <v/>
      </c>
      <c r="BC314" s="407" t="str">
        <f t="shared" si="715"/>
        <v/>
      </c>
      <c r="GY314" s="137"/>
      <c r="GZ314" s="264"/>
      <c r="HA314" s="137"/>
      <c r="HB314" s="269"/>
      <c r="HC314" s="414"/>
      <c r="HD314" s="163"/>
      <c r="HE314" s="137"/>
      <c r="HF314" s="270"/>
    </row>
    <row r="315" spans="54:214">
      <c r="BB315" s="407" t="str">
        <f t="shared" si="714"/>
        <v/>
      </c>
      <c r="BC315" s="407" t="str">
        <f t="shared" si="715"/>
        <v/>
      </c>
      <c r="GY315" s="137"/>
      <c r="GZ315" s="264"/>
      <c r="HA315" s="137"/>
      <c r="HB315" s="269"/>
      <c r="HC315" s="414"/>
      <c r="HD315" s="163"/>
      <c r="HE315" s="137"/>
      <c r="HF315" s="270"/>
    </row>
    <row r="316" spans="54:214">
      <c r="BB316" s="407" t="str">
        <f t="shared" si="714"/>
        <v/>
      </c>
      <c r="BC316" s="407" t="str">
        <f t="shared" si="715"/>
        <v/>
      </c>
      <c r="GY316" s="137"/>
      <c r="GZ316" s="264"/>
      <c r="HA316" s="137"/>
      <c r="HB316" s="269"/>
      <c r="HC316" s="414"/>
      <c r="HD316" s="163"/>
      <c r="HE316" s="137"/>
      <c r="HF316" s="270"/>
    </row>
    <row r="317" spans="54:214">
      <c r="BB317" s="407" t="str">
        <f t="shared" si="714"/>
        <v/>
      </c>
      <c r="BC317" s="407" t="str">
        <f t="shared" si="715"/>
        <v/>
      </c>
      <c r="GY317" s="137"/>
      <c r="GZ317" s="264"/>
      <c r="HA317" s="137"/>
      <c r="HB317" s="269"/>
      <c r="HC317" s="414"/>
      <c r="HD317" s="163"/>
      <c r="HE317" s="137"/>
      <c r="HF317" s="270"/>
    </row>
    <row r="318" spans="54:214">
      <c r="BB318" s="407" t="str">
        <f t="shared" si="714"/>
        <v/>
      </c>
      <c r="BC318" s="407" t="str">
        <f t="shared" si="715"/>
        <v/>
      </c>
      <c r="GY318" s="137"/>
      <c r="GZ318" s="264"/>
      <c r="HA318" s="137"/>
      <c r="HB318" s="269"/>
      <c r="HC318" s="414"/>
      <c r="HD318" s="163"/>
      <c r="HE318" s="137"/>
      <c r="HF318" s="270"/>
    </row>
    <row r="319" spans="54:214">
      <c r="BB319" s="407" t="str">
        <f t="shared" si="714"/>
        <v/>
      </c>
      <c r="BC319" s="407" t="str">
        <f t="shared" si="715"/>
        <v/>
      </c>
      <c r="GY319" s="137"/>
      <c r="GZ319" s="264"/>
      <c r="HA319" s="137"/>
      <c r="HB319" s="269"/>
      <c r="HC319" s="414"/>
      <c r="HD319" s="163"/>
      <c r="HE319" s="137"/>
      <c r="HF319" s="270"/>
    </row>
    <row r="320" spans="54:214">
      <c r="BB320" s="407" t="str">
        <f t="shared" si="714"/>
        <v/>
      </c>
      <c r="BC320" s="407" t="str">
        <f t="shared" si="715"/>
        <v/>
      </c>
      <c r="GY320" s="137"/>
      <c r="GZ320" s="264"/>
      <c r="HA320" s="137"/>
      <c r="HB320" s="269"/>
      <c r="HC320" s="414"/>
      <c r="HD320" s="163"/>
      <c r="HE320" s="137"/>
      <c r="HF320" s="270"/>
    </row>
    <row r="321" spans="54:214">
      <c r="BB321" s="407" t="str">
        <f t="shared" si="714"/>
        <v/>
      </c>
      <c r="BC321" s="407" t="str">
        <f t="shared" si="715"/>
        <v/>
      </c>
      <c r="GY321" s="137"/>
      <c r="GZ321" s="264"/>
      <c r="HA321" s="137"/>
      <c r="HB321" s="269"/>
      <c r="HC321" s="414"/>
      <c r="HD321" s="163"/>
      <c r="HE321" s="137"/>
      <c r="HF321" s="270"/>
    </row>
    <row r="322" spans="54:214">
      <c r="BB322" s="407" t="str">
        <f t="shared" si="714"/>
        <v/>
      </c>
      <c r="BC322" s="407" t="str">
        <f t="shared" si="715"/>
        <v/>
      </c>
      <c r="GY322" s="137"/>
      <c r="GZ322" s="264"/>
      <c r="HA322" s="137"/>
      <c r="HB322" s="269"/>
      <c r="HC322" s="414"/>
      <c r="HD322" s="163"/>
      <c r="HE322" s="137"/>
      <c r="HF322" s="270"/>
    </row>
    <row r="323" spans="54:214">
      <c r="BB323" s="407" t="str">
        <f t="shared" si="714"/>
        <v/>
      </c>
      <c r="BC323" s="407" t="str">
        <f t="shared" si="715"/>
        <v/>
      </c>
      <c r="GY323" s="137"/>
      <c r="GZ323" s="264"/>
      <c r="HA323" s="137"/>
      <c r="HB323" s="269"/>
      <c r="HC323" s="414"/>
      <c r="HD323" s="163"/>
      <c r="HE323" s="137"/>
      <c r="HF323" s="270"/>
    </row>
    <row r="324" spans="54:214">
      <c r="BB324" s="407" t="str">
        <f t="shared" si="714"/>
        <v/>
      </c>
      <c r="BC324" s="407" t="str">
        <f t="shared" si="715"/>
        <v/>
      </c>
      <c r="GY324" s="137"/>
      <c r="GZ324" s="264"/>
      <c r="HA324" s="137"/>
      <c r="HB324" s="269"/>
      <c r="HC324" s="414"/>
      <c r="HD324" s="163"/>
      <c r="HE324" s="137"/>
      <c r="HF324" s="270"/>
    </row>
    <row r="325" spans="54:214">
      <c r="BB325" s="407" t="str">
        <f t="shared" si="714"/>
        <v/>
      </c>
      <c r="BC325" s="407" t="str">
        <f t="shared" si="715"/>
        <v/>
      </c>
      <c r="GY325" s="137"/>
      <c r="GZ325" s="264"/>
      <c r="HA325" s="137"/>
      <c r="HB325" s="269"/>
      <c r="HC325" s="414"/>
      <c r="HD325" s="163"/>
      <c r="HE325" s="137"/>
      <c r="HF325" s="270"/>
    </row>
    <row r="326" spans="54:214">
      <c r="BB326" s="407" t="str">
        <f t="shared" si="714"/>
        <v/>
      </c>
      <c r="BC326" s="407" t="str">
        <f t="shared" si="715"/>
        <v/>
      </c>
      <c r="GY326" s="137"/>
      <c r="GZ326" s="264"/>
      <c r="HA326" s="137"/>
      <c r="HB326" s="269"/>
      <c r="HC326" s="414"/>
      <c r="HD326" s="163"/>
      <c r="HE326" s="137"/>
      <c r="HF326" s="270"/>
    </row>
    <row r="327" spans="54:214">
      <c r="BB327" s="407" t="str">
        <f t="shared" si="714"/>
        <v/>
      </c>
      <c r="BC327" s="407" t="str">
        <f t="shared" si="715"/>
        <v/>
      </c>
      <c r="GY327" s="137"/>
      <c r="GZ327" s="264"/>
      <c r="HA327" s="137"/>
      <c r="HB327" s="269"/>
      <c r="HC327" s="414"/>
      <c r="HD327" s="163"/>
      <c r="HE327" s="137"/>
      <c r="HF327" s="270"/>
    </row>
    <row r="328" spans="54:214">
      <c r="BB328" s="407" t="str">
        <f t="shared" si="714"/>
        <v/>
      </c>
      <c r="BC328" s="407" t="str">
        <f t="shared" si="715"/>
        <v/>
      </c>
      <c r="GY328" s="137"/>
      <c r="GZ328" s="264"/>
      <c r="HA328" s="137"/>
      <c r="HB328" s="269"/>
      <c r="HC328" s="414"/>
      <c r="HD328" s="163"/>
      <c r="HE328" s="137"/>
      <c r="HF328" s="270"/>
    </row>
    <row r="329" spans="54:214">
      <c r="BB329" s="407" t="str">
        <f t="shared" si="714"/>
        <v/>
      </c>
      <c r="BC329" s="407" t="str">
        <f t="shared" si="715"/>
        <v/>
      </c>
      <c r="GY329" s="137"/>
      <c r="GZ329" s="264"/>
      <c r="HA329" s="137"/>
      <c r="HB329" s="269"/>
      <c r="HC329" s="414"/>
      <c r="HD329" s="163"/>
      <c r="HE329" s="137"/>
      <c r="HF329" s="270"/>
    </row>
    <row r="330" spans="54:214">
      <c r="BB330" s="407" t="str">
        <f t="shared" si="714"/>
        <v/>
      </c>
      <c r="BC330" s="407" t="str">
        <f t="shared" si="715"/>
        <v/>
      </c>
      <c r="GY330" s="137"/>
      <c r="GZ330" s="264"/>
      <c r="HA330" s="137"/>
      <c r="HB330" s="269"/>
      <c r="HC330" s="414"/>
      <c r="HD330" s="163"/>
      <c r="HE330" s="137"/>
      <c r="HF330" s="270"/>
    </row>
    <row r="331" spans="54:214">
      <c r="BB331" s="407" t="str">
        <f t="shared" si="714"/>
        <v/>
      </c>
      <c r="BC331" s="407" t="str">
        <f t="shared" si="715"/>
        <v/>
      </c>
      <c r="GY331" s="137"/>
      <c r="GZ331" s="264"/>
      <c r="HA331" s="137"/>
      <c r="HB331" s="269"/>
      <c r="HC331" s="414"/>
      <c r="HD331" s="163"/>
      <c r="HE331" s="137"/>
      <c r="HF331" s="270"/>
    </row>
    <row r="332" spans="54:214">
      <c r="BB332" s="407" t="str">
        <f t="shared" si="714"/>
        <v/>
      </c>
      <c r="BC332" s="407" t="str">
        <f t="shared" si="715"/>
        <v/>
      </c>
      <c r="GY332" s="137"/>
      <c r="GZ332" s="264"/>
      <c r="HA332" s="137"/>
      <c r="HB332" s="269"/>
      <c r="HC332" s="414"/>
      <c r="HD332" s="163"/>
      <c r="HE332" s="137"/>
      <c r="HF332" s="270"/>
    </row>
    <row r="333" spans="54:214">
      <c r="BB333" s="407" t="str">
        <f t="shared" si="714"/>
        <v/>
      </c>
      <c r="BC333" s="407" t="str">
        <f t="shared" si="715"/>
        <v/>
      </c>
      <c r="GY333" s="137"/>
      <c r="GZ333" s="264"/>
      <c r="HA333" s="137"/>
      <c r="HB333" s="269"/>
      <c r="HC333" s="414"/>
      <c r="HD333" s="163"/>
      <c r="HE333" s="137"/>
      <c r="HF333" s="270"/>
    </row>
    <row r="334" spans="54:214">
      <c r="BB334" s="407" t="str">
        <f t="shared" si="714"/>
        <v/>
      </c>
      <c r="BC334" s="407" t="str">
        <f t="shared" si="715"/>
        <v/>
      </c>
      <c r="GY334" s="137"/>
      <c r="GZ334" s="264"/>
      <c r="HA334" s="137"/>
      <c r="HB334" s="269"/>
      <c r="HC334" s="414"/>
      <c r="HD334" s="163"/>
      <c r="HE334" s="137"/>
      <c r="HF334" s="270"/>
    </row>
    <row r="335" spans="54:214">
      <c r="BB335" s="407" t="str">
        <f t="shared" si="714"/>
        <v/>
      </c>
      <c r="BC335" s="407" t="str">
        <f t="shared" si="715"/>
        <v/>
      </c>
      <c r="GY335" s="137"/>
      <c r="GZ335" s="264"/>
      <c r="HA335" s="137"/>
      <c r="HB335" s="269"/>
      <c r="HC335" s="414"/>
      <c r="HD335" s="163"/>
      <c r="HE335" s="137"/>
      <c r="HF335" s="270"/>
    </row>
    <row r="336" spans="54:214">
      <c r="BB336" s="407" t="str">
        <f t="shared" si="714"/>
        <v/>
      </c>
      <c r="BC336" s="407" t="str">
        <f t="shared" si="715"/>
        <v/>
      </c>
      <c r="GY336" s="137"/>
      <c r="GZ336" s="264"/>
      <c r="HA336" s="137"/>
      <c r="HB336" s="269"/>
      <c r="HC336" s="414"/>
      <c r="HD336" s="163"/>
      <c r="HE336" s="137"/>
      <c r="HF336" s="270"/>
    </row>
    <row r="337" spans="54:214">
      <c r="BB337" s="407" t="str">
        <f t="shared" ref="BB337:BB400" si="716">IF(B337="","",IF(AR337="No",AV337-AZ337,""))</f>
        <v/>
      </c>
      <c r="BC337" s="407" t="str">
        <f t="shared" ref="BC337:BC400" si="717">IF(B337="","",IF(AR337="Yes",AS337-BA337,""))</f>
        <v/>
      </c>
      <c r="GY337" s="137"/>
      <c r="GZ337" s="264"/>
      <c r="HA337" s="137"/>
      <c r="HB337" s="269"/>
      <c r="HC337" s="414"/>
      <c r="HD337" s="163"/>
      <c r="HE337" s="137"/>
      <c r="HF337" s="270"/>
    </row>
    <row r="338" spans="54:214">
      <c r="BB338" s="407" t="str">
        <f t="shared" si="716"/>
        <v/>
      </c>
      <c r="BC338" s="407" t="str">
        <f t="shared" si="717"/>
        <v/>
      </c>
      <c r="GY338" s="137"/>
      <c r="GZ338" s="264"/>
      <c r="HA338" s="137"/>
      <c r="HB338" s="269"/>
      <c r="HC338" s="414"/>
      <c r="HD338" s="163"/>
      <c r="HE338" s="137"/>
      <c r="HF338" s="270"/>
    </row>
    <row r="339" spans="54:214">
      <c r="BB339" s="407" t="str">
        <f t="shared" si="716"/>
        <v/>
      </c>
      <c r="BC339" s="407" t="str">
        <f t="shared" si="717"/>
        <v/>
      </c>
      <c r="GY339" s="137"/>
      <c r="GZ339" s="264"/>
      <c r="HA339" s="137"/>
      <c r="HB339" s="269"/>
      <c r="HC339" s="414"/>
      <c r="HD339" s="163"/>
      <c r="HE339" s="137"/>
      <c r="HF339" s="270"/>
    </row>
    <row r="340" spans="54:214">
      <c r="BB340" s="407" t="str">
        <f t="shared" si="716"/>
        <v/>
      </c>
      <c r="BC340" s="407" t="str">
        <f t="shared" si="717"/>
        <v/>
      </c>
      <c r="GY340" s="137"/>
      <c r="GZ340" s="264"/>
      <c r="HA340" s="137"/>
      <c r="HB340" s="269"/>
      <c r="HC340" s="414"/>
      <c r="HD340" s="163"/>
      <c r="HE340" s="137"/>
      <c r="HF340" s="270"/>
    </row>
    <row r="341" spans="54:214">
      <c r="BB341" s="407" t="str">
        <f t="shared" si="716"/>
        <v/>
      </c>
      <c r="BC341" s="407" t="str">
        <f t="shared" si="717"/>
        <v/>
      </c>
      <c r="GY341" s="137"/>
      <c r="GZ341" s="264"/>
      <c r="HA341" s="137"/>
      <c r="HB341" s="269"/>
      <c r="HC341" s="414"/>
      <c r="HD341" s="163"/>
      <c r="HE341" s="137"/>
      <c r="HF341" s="270"/>
    </row>
    <row r="342" spans="54:214">
      <c r="BB342" s="407" t="str">
        <f t="shared" si="716"/>
        <v/>
      </c>
      <c r="BC342" s="407" t="str">
        <f t="shared" si="717"/>
        <v/>
      </c>
      <c r="GY342" s="137"/>
      <c r="GZ342" s="264"/>
      <c r="HA342" s="137"/>
      <c r="HB342" s="269"/>
      <c r="HC342" s="414"/>
      <c r="HD342" s="163"/>
      <c r="HE342" s="137"/>
      <c r="HF342" s="270"/>
    </row>
    <row r="343" spans="54:214">
      <c r="BB343" s="407" t="str">
        <f t="shared" si="716"/>
        <v/>
      </c>
      <c r="BC343" s="407" t="str">
        <f t="shared" si="717"/>
        <v/>
      </c>
      <c r="GY343" s="137"/>
      <c r="GZ343" s="264"/>
      <c r="HA343" s="137"/>
      <c r="HB343" s="269"/>
      <c r="HC343" s="414"/>
      <c r="HD343" s="163"/>
      <c r="HE343" s="137"/>
      <c r="HF343" s="270"/>
    </row>
    <row r="344" spans="54:214">
      <c r="BB344" s="407" t="str">
        <f t="shared" si="716"/>
        <v/>
      </c>
      <c r="BC344" s="407" t="str">
        <f t="shared" si="717"/>
        <v/>
      </c>
      <c r="GY344" s="137"/>
      <c r="GZ344" s="264"/>
      <c r="HA344" s="137"/>
      <c r="HB344" s="269"/>
      <c r="HC344" s="414"/>
      <c r="HD344" s="163"/>
      <c r="HE344" s="137"/>
      <c r="HF344" s="270"/>
    </row>
    <row r="345" spans="54:214">
      <c r="BB345" s="407" t="str">
        <f t="shared" si="716"/>
        <v/>
      </c>
      <c r="BC345" s="407" t="str">
        <f t="shared" si="717"/>
        <v/>
      </c>
      <c r="GY345" s="137"/>
      <c r="GZ345" s="264"/>
      <c r="HA345" s="137"/>
      <c r="HB345" s="269"/>
      <c r="HC345" s="414"/>
      <c r="HD345" s="163"/>
      <c r="HE345" s="137"/>
      <c r="HF345" s="270"/>
    </row>
    <row r="346" spans="54:214">
      <c r="BB346" s="407" t="str">
        <f t="shared" si="716"/>
        <v/>
      </c>
      <c r="BC346" s="407" t="str">
        <f t="shared" si="717"/>
        <v/>
      </c>
      <c r="GY346" s="137"/>
      <c r="GZ346" s="264"/>
      <c r="HA346" s="137"/>
      <c r="HB346" s="269"/>
      <c r="HC346" s="414"/>
      <c r="HD346" s="163"/>
      <c r="HE346" s="137"/>
      <c r="HF346" s="270"/>
    </row>
    <row r="347" spans="54:214">
      <c r="BB347" s="407" t="str">
        <f t="shared" si="716"/>
        <v/>
      </c>
      <c r="BC347" s="407" t="str">
        <f t="shared" si="717"/>
        <v/>
      </c>
      <c r="GY347" s="137"/>
      <c r="GZ347" s="264"/>
      <c r="HA347" s="137"/>
      <c r="HB347" s="269"/>
      <c r="HC347" s="414"/>
      <c r="HD347" s="163"/>
      <c r="HE347" s="137"/>
      <c r="HF347" s="270"/>
    </row>
    <row r="348" spans="54:214">
      <c r="BB348" s="407" t="str">
        <f t="shared" si="716"/>
        <v/>
      </c>
      <c r="BC348" s="407" t="str">
        <f t="shared" si="717"/>
        <v/>
      </c>
      <c r="GY348" s="137"/>
      <c r="GZ348" s="264"/>
      <c r="HA348" s="137"/>
      <c r="HB348" s="269"/>
      <c r="HC348" s="414"/>
      <c r="HD348" s="163"/>
      <c r="HE348" s="137"/>
      <c r="HF348" s="270"/>
    </row>
    <row r="349" spans="54:214">
      <c r="BB349" s="407" t="str">
        <f t="shared" si="716"/>
        <v/>
      </c>
      <c r="BC349" s="407" t="str">
        <f t="shared" si="717"/>
        <v/>
      </c>
      <c r="GY349" s="137"/>
      <c r="GZ349" s="264"/>
      <c r="HA349" s="137"/>
      <c r="HB349" s="269"/>
      <c r="HC349" s="414"/>
      <c r="HD349" s="163"/>
      <c r="HE349" s="137"/>
      <c r="HF349" s="270"/>
    </row>
    <row r="350" spans="54:214">
      <c r="BB350" s="407" t="str">
        <f t="shared" si="716"/>
        <v/>
      </c>
      <c r="BC350" s="407" t="str">
        <f t="shared" si="717"/>
        <v/>
      </c>
      <c r="GY350" s="137"/>
      <c r="GZ350" s="264"/>
      <c r="HA350" s="137"/>
      <c r="HB350" s="269"/>
      <c r="HC350" s="414"/>
      <c r="HD350" s="163"/>
      <c r="HE350" s="137"/>
      <c r="HF350" s="270"/>
    </row>
    <row r="351" spans="54:214">
      <c r="BB351" s="407" t="str">
        <f t="shared" si="716"/>
        <v/>
      </c>
      <c r="BC351" s="407" t="str">
        <f t="shared" si="717"/>
        <v/>
      </c>
      <c r="GY351" s="137"/>
      <c r="GZ351" s="264"/>
      <c r="HA351" s="137"/>
      <c r="HB351" s="269"/>
      <c r="HC351" s="414"/>
      <c r="HD351" s="163"/>
      <c r="HE351" s="137"/>
      <c r="HF351" s="270"/>
    </row>
    <row r="352" spans="54:214">
      <c r="BB352" s="407" t="str">
        <f t="shared" si="716"/>
        <v/>
      </c>
      <c r="BC352" s="407" t="str">
        <f t="shared" si="717"/>
        <v/>
      </c>
      <c r="GY352" s="137"/>
      <c r="GZ352" s="264"/>
      <c r="HA352" s="137"/>
      <c r="HB352" s="269"/>
      <c r="HC352" s="414"/>
      <c r="HD352" s="163"/>
      <c r="HE352" s="137"/>
      <c r="HF352" s="270"/>
    </row>
    <row r="353" spans="54:214">
      <c r="BB353" s="407" t="str">
        <f t="shared" si="716"/>
        <v/>
      </c>
      <c r="BC353" s="407" t="str">
        <f t="shared" si="717"/>
        <v/>
      </c>
      <c r="GY353" s="137"/>
      <c r="GZ353" s="264"/>
      <c r="HA353" s="137"/>
      <c r="HB353" s="269"/>
      <c r="HC353" s="414"/>
      <c r="HD353" s="163"/>
      <c r="HE353" s="137"/>
      <c r="HF353" s="270"/>
    </row>
    <row r="354" spans="54:214">
      <c r="BB354" s="407" t="str">
        <f t="shared" si="716"/>
        <v/>
      </c>
      <c r="BC354" s="407" t="str">
        <f t="shared" si="717"/>
        <v/>
      </c>
      <c r="GY354" s="137"/>
      <c r="GZ354" s="264"/>
      <c r="HA354" s="137"/>
      <c r="HB354" s="269"/>
      <c r="HC354" s="414"/>
      <c r="HD354" s="163"/>
      <c r="HE354" s="137"/>
      <c r="HF354" s="270"/>
    </row>
    <row r="355" spans="54:214">
      <c r="BB355" s="407" t="str">
        <f t="shared" si="716"/>
        <v/>
      </c>
      <c r="BC355" s="407" t="str">
        <f t="shared" si="717"/>
        <v/>
      </c>
      <c r="GY355" s="137"/>
      <c r="GZ355" s="264"/>
      <c r="HA355" s="137"/>
      <c r="HB355" s="269"/>
      <c r="HC355" s="414"/>
      <c r="HD355" s="163"/>
      <c r="HE355" s="137"/>
      <c r="HF355" s="270"/>
    </row>
    <row r="356" spans="54:214">
      <c r="BB356" s="407" t="str">
        <f t="shared" si="716"/>
        <v/>
      </c>
      <c r="BC356" s="407" t="str">
        <f t="shared" si="717"/>
        <v/>
      </c>
      <c r="GY356" s="137"/>
      <c r="GZ356" s="264"/>
      <c r="HA356" s="137"/>
      <c r="HB356" s="269"/>
      <c r="HC356" s="414"/>
      <c r="HD356" s="163"/>
      <c r="HE356" s="137"/>
      <c r="HF356" s="270"/>
    </row>
    <row r="357" spans="54:214">
      <c r="BB357" s="407" t="str">
        <f t="shared" si="716"/>
        <v/>
      </c>
      <c r="BC357" s="407" t="str">
        <f t="shared" si="717"/>
        <v/>
      </c>
      <c r="GY357" s="137"/>
      <c r="GZ357" s="264"/>
      <c r="HA357" s="137"/>
      <c r="HB357" s="269"/>
      <c r="HC357" s="414"/>
      <c r="HD357" s="163"/>
      <c r="HE357" s="137"/>
      <c r="HF357" s="270"/>
    </row>
    <row r="358" spans="54:214">
      <c r="BB358" s="407" t="str">
        <f t="shared" si="716"/>
        <v/>
      </c>
      <c r="BC358" s="407" t="str">
        <f t="shared" si="717"/>
        <v/>
      </c>
      <c r="GY358" s="137"/>
      <c r="GZ358" s="264"/>
      <c r="HA358" s="137"/>
      <c r="HB358" s="269"/>
      <c r="HC358" s="414"/>
      <c r="HD358" s="163"/>
      <c r="HE358" s="137"/>
      <c r="HF358" s="270"/>
    </row>
    <row r="359" spans="54:214">
      <c r="BB359" s="407" t="str">
        <f t="shared" si="716"/>
        <v/>
      </c>
      <c r="BC359" s="407" t="str">
        <f t="shared" si="717"/>
        <v/>
      </c>
      <c r="GY359" s="137"/>
      <c r="GZ359" s="264"/>
      <c r="HA359" s="137"/>
      <c r="HB359" s="269"/>
      <c r="HC359" s="414"/>
      <c r="HD359" s="163"/>
      <c r="HE359" s="137"/>
      <c r="HF359" s="270"/>
    </row>
    <row r="360" spans="54:214">
      <c r="BB360" s="407" t="str">
        <f t="shared" si="716"/>
        <v/>
      </c>
      <c r="BC360" s="407" t="str">
        <f t="shared" si="717"/>
        <v/>
      </c>
      <c r="GY360" s="137"/>
      <c r="GZ360" s="264"/>
      <c r="HA360" s="137"/>
      <c r="HB360" s="269"/>
      <c r="HC360" s="414"/>
      <c r="HD360" s="163"/>
      <c r="HE360" s="137"/>
      <c r="HF360" s="270"/>
    </row>
    <row r="361" spans="54:214">
      <c r="BB361" s="407" t="str">
        <f t="shared" si="716"/>
        <v/>
      </c>
      <c r="BC361" s="407" t="str">
        <f t="shared" si="717"/>
        <v/>
      </c>
      <c r="GY361" s="137"/>
      <c r="GZ361" s="264"/>
      <c r="HA361" s="137"/>
      <c r="HB361" s="269"/>
      <c r="HC361" s="414"/>
      <c r="HD361" s="163"/>
      <c r="HE361" s="137"/>
      <c r="HF361" s="270"/>
    </row>
    <row r="362" spans="54:214">
      <c r="BB362" s="407" t="str">
        <f t="shared" si="716"/>
        <v/>
      </c>
      <c r="BC362" s="407" t="str">
        <f t="shared" si="717"/>
        <v/>
      </c>
      <c r="GY362" s="137"/>
      <c r="GZ362" s="264"/>
      <c r="HA362" s="137"/>
      <c r="HB362" s="269"/>
      <c r="HC362" s="414"/>
      <c r="HD362" s="163"/>
      <c r="HE362" s="137"/>
      <c r="HF362" s="270"/>
    </row>
    <row r="363" spans="54:214">
      <c r="BB363" s="407" t="str">
        <f t="shared" si="716"/>
        <v/>
      </c>
      <c r="BC363" s="407" t="str">
        <f t="shared" si="717"/>
        <v/>
      </c>
      <c r="GY363" s="137"/>
      <c r="GZ363" s="264"/>
      <c r="HA363" s="137"/>
      <c r="HB363" s="269"/>
      <c r="HC363" s="414"/>
      <c r="HD363" s="163"/>
      <c r="HE363" s="137"/>
      <c r="HF363" s="270"/>
    </row>
    <row r="364" spans="54:214">
      <c r="BB364" s="407" t="str">
        <f t="shared" si="716"/>
        <v/>
      </c>
      <c r="BC364" s="407" t="str">
        <f t="shared" si="717"/>
        <v/>
      </c>
      <c r="GY364" s="137"/>
      <c r="GZ364" s="264"/>
      <c r="HA364" s="137"/>
      <c r="HB364" s="269"/>
      <c r="HC364" s="414"/>
      <c r="HD364" s="163"/>
      <c r="HE364" s="137"/>
      <c r="HF364" s="270"/>
    </row>
    <row r="365" spans="54:214">
      <c r="BB365" s="407" t="str">
        <f t="shared" si="716"/>
        <v/>
      </c>
      <c r="BC365" s="407" t="str">
        <f t="shared" si="717"/>
        <v/>
      </c>
      <c r="GY365" s="137"/>
      <c r="GZ365" s="264"/>
      <c r="HA365" s="137"/>
      <c r="HB365" s="269"/>
      <c r="HC365" s="414"/>
      <c r="HD365" s="163"/>
      <c r="HE365" s="137"/>
      <c r="HF365" s="270"/>
    </row>
    <row r="366" spans="54:214">
      <c r="BB366" s="407" t="str">
        <f t="shared" si="716"/>
        <v/>
      </c>
      <c r="BC366" s="407" t="str">
        <f t="shared" si="717"/>
        <v/>
      </c>
      <c r="GY366" s="137"/>
      <c r="GZ366" s="264"/>
      <c r="HA366" s="137"/>
      <c r="HB366" s="269"/>
      <c r="HC366" s="414"/>
      <c r="HD366" s="163"/>
      <c r="HE366" s="137"/>
      <c r="HF366" s="270"/>
    </row>
    <row r="367" spans="54:214">
      <c r="BB367" s="407" t="str">
        <f t="shared" si="716"/>
        <v/>
      </c>
      <c r="BC367" s="407" t="str">
        <f t="shared" si="717"/>
        <v/>
      </c>
      <c r="GY367" s="137"/>
      <c r="GZ367" s="264"/>
      <c r="HA367" s="137"/>
      <c r="HB367" s="269"/>
      <c r="HC367" s="414"/>
      <c r="HD367" s="163"/>
      <c r="HE367" s="137"/>
      <c r="HF367" s="270"/>
    </row>
    <row r="368" spans="54:214">
      <c r="BB368" s="407" t="str">
        <f t="shared" si="716"/>
        <v/>
      </c>
      <c r="BC368" s="407" t="str">
        <f t="shared" si="717"/>
        <v/>
      </c>
      <c r="GY368" s="137"/>
      <c r="GZ368" s="264"/>
      <c r="HA368" s="137"/>
      <c r="HB368" s="269"/>
      <c r="HC368" s="414"/>
      <c r="HD368" s="163"/>
      <c r="HE368" s="137"/>
      <c r="HF368" s="270"/>
    </row>
    <row r="369" spans="54:214">
      <c r="BB369" s="407" t="str">
        <f t="shared" si="716"/>
        <v/>
      </c>
      <c r="BC369" s="407" t="str">
        <f t="shared" si="717"/>
        <v/>
      </c>
      <c r="GY369" s="137"/>
      <c r="GZ369" s="264"/>
      <c r="HA369" s="137"/>
      <c r="HB369" s="269"/>
      <c r="HC369" s="414"/>
      <c r="HD369" s="163"/>
      <c r="HE369" s="137"/>
      <c r="HF369" s="270"/>
    </row>
    <row r="370" spans="54:214">
      <c r="BB370" s="407" t="str">
        <f t="shared" si="716"/>
        <v/>
      </c>
      <c r="BC370" s="407" t="str">
        <f t="shared" si="717"/>
        <v/>
      </c>
      <c r="GY370" s="137"/>
      <c r="GZ370" s="264"/>
      <c r="HA370" s="137"/>
      <c r="HB370" s="269"/>
      <c r="HC370" s="414"/>
      <c r="HD370" s="163"/>
      <c r="HE370" s="137"/>
      <c r="HF370" s="270"/>
    </row>
    <row r="371" spans="54:214">
      <c r="BB371" s="407" t="str">
        <f t="shared" si="716"/>
        <v/>
      </c>
      <c r="BC371" s="407" t="str">
        <f t="shared" si="717"/>
        <v/>
      </c>
      <c r="GY371" s="137"/>
      <c r="GZ371" s="264"/>
      <c r="HA371" s="137"/>
      <c r="HB371" s="269"/>
      <c r="HC371" s="414"/>
      <c r="HD371" s="163"/>
      <c r="HE371" s="137"/>
      <c r="HF371" s="270"/>
    </row>
    <row r="372" spans="54:214">
      <c r="BB372" s="407" t="str">
        <f t="shared" si="716"/>
        <v/>
      </c>
      <c r="BC372" s="407" t="str">
        <f t="shared" si="717"/>
        <v/>
      </c>
      <c r="GY372" s="137"/>
      <c r="GZ372" s="264"/>
      <c r="HA372" s="137"/>
      <c r="HB372" s="269"/>
      <c r="HC372" s="414"/>
      <c r="HD372" s="163"/>
      <c r="HE372" s="137"/>
      <c r="HF372" s="270"/>
    </row>
    <row r="373" spans="54:214">
      <c r="BB373" s="407" t="str">
        <f t="shared" si="716"/>
        <v/>
      </c>
      <c r="BC373" s="407" t="str">
        <f t="shared" si="717"/>
        <v/>
      </c>
      <c r="GY373" s="137"/>
      <c r="GZ373" s="264"/>
      <c r="HA373" s="137"/>
      <c r="HB373" s="269"/>
      <c r="HC373" s="414"/>
      <c r="HD373" s="163"/>
      <c r="HE373" s="137"/>
      <c r="HF373" s="270"/>
    </row>
    <row r="374" spans="54:214">
      <c r="BB374" s="407" t="str">
        <f t="shared" si="716"/>
        <v/>
      </c>
      <c r="BC374" s="407" t="str">
        <f t="shared" si="717"/>
        <v/>
      </c>
      <c r="GY374" s="137"/>
      <c r="GZ374" s="264"/>
      <c r="HA374" s="137"/>
      <c r="HB374" s="269"/>
      <c r="HC374" s="414"/>
      <c r="HD374" s="163"/>
      <c r="HE374" s="137"/>
      <c r="HF374" s="270"/>
    </row>
    <row r="375" spans="54:214">
      <c r="BB375" s="407" t="str">
        <f t="shared" si="716"/>
        <v/>
      </c>
      <c r="BC375" s="407" t="str">
        <f t="shared" si="717"/>
        <v/>
      </c>
      <c r="GY375" s="137"/>
      <c r="GZ375" s="264"/>
      <c r="HA375" s="137"/>
      <c r="HB375" s="269"/>
      <c r="HC375" s="414"/>
      <c r="HD375" s="163"/>
      <c r="HE375" s="137"/>
      <c r="HF375" s="270"/>
    </row>
    <row r="376" spans="54:214">
      <c r="BB376" s="407" t="str">
        <f t="shared" si="716"/>
        <v/>
      </c>
      <c r="BC376" s="407" t="str">
        <f t="shared" si="717"/>
        <v/>
      </c>
      <c r="GY376" s="137"/>
      <c r="GZ376" s="264"/>
      <c r="HA376" s="137"/>
      <c r="HB376" s="269"/>
      <c r="HC376" s="414"/>
      <c r="HD376" s="163"/>
      <c r="HE376" s="137"/>
      <c r="HF376" s="270"/>
    </row>
    <row r="377" spans="54:214">
      <c r="BB377" s="407" t="str">
        <f t="shared" si="716"/>
        <v/>
      </c>
      <c r="BC377" s="407" t="str">
        <f t="shared" si="717"/>
        <v/>
      </c>
      <c r="GY377" s="137"/>
      <c r="GZ377" s="264"/>
      <c r="HA377" s="137"/>
      <c r="HB377" s="269"/>
      <c r="HC377" s="414"/>
      <c r="HD377" s="163"/>
      <c r="HE377" s="137"/>
      <c r="HF377" s="270"/>
    </row>
    <row r="378" spans="54:214">
      <c r="BB378" s="407" t="str">
        <f t="shared" si="716"/>
        <v/>
      </c>
      <c r="BC378" s="407" t="str">
        <f t="shared" si="717"/>
        <v/>
      </c>
      <c r="GY378" s="137"/>
      <c r="GZ378" s="264"/>
      <c r="HA378" s="137"/>
      <c r="HB378" s="269"/>
      <c r="HC378" s="414"/>
      <c r="HD378" s="163"/>
      <c r="HE378" s="137"/>
      <c r="HF378" s="270"/>
    </row>
    <row r="379" spans="54:214">
      <c r="BB379" s="407" t="str">
        <f t="shared" si="716"/>
        <v/>
      </c>
      <c r="BC379" s="407" t="str">
        <f t="shared" si="717"/>
        <v/>
      </c>
      <c r="GY379" s="137"/>
      <c r="GZ379" s="264"/>
      <c r="HA379" s="137"/>
      <c r="HB379" s="269"/>
      <c r="HC379" s="414"/>
      <c r="HD379" s="163"/>
      <c r="HE379" s="137"/>
      <c r="HF379" s="270"/>
    </row>
    <row r="380" spans="54:214">
      <c r="BB380" s="407" t="str">
        <f t="shared" si="716"/>
        <v/>
      </c>
      <c r="BC380" s="407" t="str">
        <f t="shared" si="717"/>
        <v/>
      </c>
      <c r="GY380" s="137"/>
      <c r="GZ380" s="264"/>
      <c r="HA380" s="137"/>
      <c r="HB380" s="269"/>
      <c r="HC380" s="414"/>
      <c r="HD380" s="163"/>
      <c r="HE380" s="137"/>
      <c r="HF380" s="270"/>
    </row>
    <row r="381" spans="54:214">
      <c r="BB381" s="407" t="str">
        <f t="shared" si="716"/>
        <v/>
      </c>
      <c r="BC381" s="407" t="str">
        <f t="shared" si="717"/>
        <v/>
      </c>
      <c r="GY381" s="137"/>
      <c r="GZ381" s="264"/>
      <c r="HA381" s="137"/>
      <c r="HB381" s="269"/>
      <c r="HC381" s="414"/>
      <c r="HD381" s="163"/>
      <c r="HE381" s="137"/>
      <c r="HF381" s="270"/>
    </row>
    <row r="382" spans="54:214">
      <c r="BB382" s="407" t="str">
        <f t="shared" si="716"/>
        <v/>
      </c>
      <c r="BC382" s="407" t="str">
        <f t="shared" si="717"/>
        <v/>
      </c>
      <c r="GY382" s="137"/>
      <c r="GZ382" s="264"/>
      <c r="HA382" s="137"/>
      <c r="HB382" s="269"/>
      <c r="HC382" s="414"/>
      <c r="HD382" s="163"/>
      <c r="HE382" s="137"/>
      <c r="HF382" s="270"/>
    </row>
    <row r="383" spans="54:214">
      <c r="BB383" s="407" t="str">
        <f t="shared" si="716"/>
        <v/>
      </c>
      <c r="BC383" s="407" t="str">
        <f t="shared" si="717"/>
        <v/>
      </c>
      <c r="GY383" s="137"/>
      <c r="GZ383" s="264"/>
      <c r="HA383" s="137"/>
      <c r="HB383" s="269"/>
      <c r="HC383" s="414"/>
      <c r="HD383" s="163"/>
      <c r="HE383" s="137"/>
      <c r="HF383" s="270"/>
    </row>
    <row r="384" spans="54:214">
      <c r="BB384" s="407" t="str">
        <f t="shared" si="716"/>
        <v/>
      </c>
      <c r="BC384" s="407" t="str">
        <f t="shared" si="717"/>
        <v/>
      </c>
      <c r="GY384" s="137"/>
      <c r="GZ384" s="264"/>
      <c r="HA384" s="137"/>
      <c r="HB384" s="269"/>
      <c r="HC384" s="414"/>
      <c r="HD384" s="163"/>
      <c r="HE384" s="137"/>
      <c r="HF384" s="270"/>
    </row>
    <row r="385" spans="54:214">
      <c r="BB385" s="407" t="str">
        <f t="shared" si="716"/>
        <v/>
      </c>
      <c r="BC385" s="407" t="str">
        <f t="shared" si="717"/>
        <v/>
      </c>
      <c r="GY385" s="137"/>
      <c r="GZ385" s="264"/>
      <c r="HA385" s="137"/>
      <c r="HB385" s="269"/>
      <c r="HC385" s="414"/>
      <c r="HD385" s="163"/>
      <c r="HE385" s="137"/>
      <c r="HF385" s="270"/>
    </row>
    <row r="386" spans="54:214">
      <c r="BB386" s="407" t="str">
        <f t="shared" si="716"/>
        <v/>
      </c>
      <c r="BC386" s="407" t="str">
        <f t="shared" si="717"/>
        <v/>
      </c>
      <c r="GY386" s="137"/>
      <c r="GZ386" s="264"/>
      <c r="HA386" s="137"/>
      <c r="HB386" s="269"/>
      <c r="HC386" s="414"/>
      <c r="HD386" s="163"/>
      <c r="HE386" s="137"/>
      <c r="HF386" s="270"/>
    </row>
    <row r="387" spans="54:214">
      <c r="BB387" s="407" t="str">
        <f t="shared" si="716"/>
        <v/>
      </c>
      <c r="BC387" s="407" t="str">
        <f t="shared" si="717"/>
        <v/>
      </c>
      <c r="GY387" s="137"/>
      <c r="GZ387" s="264"/>
      <c r="HA387" s="137"/>
      <c r="HB387" s="269"/>
      <c r="HC387" s="414"/>
      <c r="HD387" s="163"/>
      <c r="HE387" s="137"/>
      <c r="HF387" s="270"/>
    </row>
    <row r="388" spans="54:214">
      <c r="BB388" s="407" t="str">
        <f t="shared" si="716"/>
        <v/>
      </c>
      <c r="BC388" s="407" t="str">
        <f t="shared" si="717"/>
        <v/>
      </c>
      <c r="GY388" s="137"/>
      <c r="GZ388" s="264"/>
      <c r="HA388" s="137"/>
      <c r="HB388" s="269"/>
      <c r="HC388" s="414"/>
      <c r="HD388" s="163"/>
      <c r="HE388" s="137"/>
      <c r="HF388" s="270"/>
    </row>
    <row r="389" spans="54:214">
      <c r="BB389" s="407" t="str">
        <f t="shared" si="716"/>
        <v/>
      </c>
      <c r="BC389" s="407" t="str">
        <f t="shared" si="717"/>
        <v/>
      </c>
      <c r="GY389" s="137"/>
      <c r="GZ389" s="264"/>
      <c r="HA389" s="137"/>
      <c r="HB389" s="269"/>
      <c r="HC389" s="414"/>
      <c r="HD389" s="163"/>
      <c r="HE389" s="137"/>
      <c r="HF389" s="270"/>
    </row>
    <row r="390" spans="54:214">
      <c r="BB390" s="407" t="str">
        <f t="shared" si="716"/>
        <v/>
      </c>
      <c r="BC390" s="407" t="str">
        <f t="shared" si="717"/>
        <v/>
      </c>
      <c r="GY390" s="137"/>
      <c r="GZ390" s="264"/>
      <c r="HA390" s="137"/>
      <c r="HB390" s="269"/>
      <c r="HC390" s="414"/>
      <c r="HD390" s="163"/>
      <c r="HE390" s="137"/>
      <c r="HF390" s="270"/>
    </row>
    <row r="391" spans="54:214">
      <c r="BB391" s="407" t="str">
        <f t="shared" si="716"/>
        <v/>
      </c>
      <c r="BC391" s="407" t="str">
        <f t="shared" si="717"/>
        <v/>
      </c>
      <c r="GY391" s="137"/>
      <c r="GZ391" s="264"/>
      <c r="HA391" s="137"/>
      <c r="HB391" s="269"/>
      <c r="HC391" s="414"/>
      <c r="HD391" s="163"/>
      <c r="HE391" s="137"/>
      <c r="HF391" s="270"/>
    </row>
    <row r="392" spans="54:214">
      <c r="BB392" s="407" t="str">
        <f t="shared" si="716"/>
        <v/>
      </c>
      <c r="BC392" s="407" t="str">
        <f t="shared" si="717"/>
        <v/>
      </c>
      <c r="GY392" s="137"/>
      <c r="GZ392" s="264"/>
      <c r="HA392" s="137"/>
      <c r="HB392" s="269"/>
      <c r="HC392" s="414"/>
      <c r="HD392" s="163"/>
      <c r="HE392" s="137"/>
      <c r="HF392" s="270"/>
    </row>
    <row r="393" spans="54:214">
      <c r="BB393" s="407" t="str">
        <f t="shared" si="716"/>
        <v/>
      </c>
      <c r="BC393" s="407" t="str">
        <f t="shared" si="717"/>
        <v/>
      </c>
      <c r="GY393" s="137"/>
      <c r="GZ393" s="264"/>
      <c r="HA393" s="137"/>
      <c r="HB393" s="269"/>
      <c r="HC393" s="414"/>
      <c r="HD393" s="163"/>
      <c r="HE393" s="137"/>
      <c r="HF393" s="270"/>
    </row>
    <row r="394" spans="54:214">
      <c r="BB394" s="407" t="str">
        <f t="shared" si="716"/>
        <v/>
      </c>
      <c r="BC394" s="407" t="str">
        <f t="shared" si="717"/>
        <v/>
      </c>
      <c r="GY394" s="137"/>
      <c r="GZ394" s="264"/>
      <c r="HA394" s="137"/>
      <c r="HB394" s="269"/>
      <c r="HC394" s="414"/>
      <c r="HD394" s="163"/>
      <c r="HE394" s="137"/>
      <c r="HF394" s="270"/>
    </row>
    <row r="395" spans="54:214">
      <c r="BB395" s="407" t="str">
        <f t="shared" si="716"/>
        <v/>
      </c>
      <c r="BC395" s="407" t="str">
        <f t="shared" si="717"/>
        <v/>
      </c>
      <c r="GY395" s="137"/>
      <c r="GZ395" s="264"/>
      <c r="HA395" s="137"/>
      <c r="HB395" s="269"/>
      <c r="HC395" s="414"/>
      <c r="HD395" s="163"/>
      <c r="HE395" s="137"/>
      <c r="HF395" s="270"/>
    </row>
    <row r="396" spans="54:214">
      <c r="BB396" s="407" t="str">
        <f t="shared" si="716"/>
        <v/>
      </c>
      <c r="BC396" s="407" t="str">
        <f t="shared" si="717"/>
        <v/>
      </c>
      <c r="GY396" s="137"/>
      <c r="GZ396" s="264"/>
      <c r="HA396" s="137"/>
      <c r="HB396" s="269"/>
      <c r="HC396" s="414"/>
      <c r="HD396" s="163"/>
      <c r="HE396" s="137"/>
      <c r="HF396" s="270"/>
    </row>
    <row r="397" spans="54:214">
      <c r="BB397" s="407" t="str">
        <f t="shared" si="716"/>
        <v/>
      </c>
      <c r="BC397" s="407" t="str">
        <f t="shared" si="717"/>
        <v/>
      </c>
      <c r="GY397" s="137"/>
      <c r="GZ397" s="264"/>
      <c r="HA397" s="137"/>
      <c r="HB397" s="269"/>
      <c r="HC397" s="414"/>
      <c r="HD397" s="163"/>
      <c r="HE397" s="137"/>
      <c r="HF397" s="270"/>
    </row>
    <row r="398" spans="54:214">
      <c r="BB398" s="407" t="str">
        <f t="shared" si="716"/>
        <v/>
      </c>
      <c r="BC398" s="407" t="str">
        <f t="shared" si="717"/>
        <v/>
      </c>
      <c r="GY398" s="137"/>
      <c r="GZ398" s="264"/>
      <c r="HA398" s="137"/>
      <c r="HB398" s="269"/>
      <c r="HC398" s="414"/>
      <c r="HD398" s="163"/>
      <c r="HE398" s="137"/>
      <c r="HF398" s="270"/>
    </row>
    <row r="399" spans="54:214">
      <c r="BB399" s="407" t="str">
        <f t="shared" si="716"/>
        <v/>
      </c>
      <c r="BC399" s="407" t="str">
        <f t="shared" si="717"/>
        <v/>
      </c>
      <c r="GY399" s="137"/>
      <c r="GZ399" s="264"/>
      <c r="HA399" s="137"/>
      <c r="HB399" s="269"/>
      <c r="HC399" s="414"/>
      <c r="HD399" s="163"/>
      <c r="HE399" s="137"/>
      <c r="HF399" s="270"/>
    </row>
    <row r="400" spans="54:214">
      <c r="BB400" s="407" t="str">
        <f t="shared" si="716"/>
        <v/>
      </c>
      <c r="BC400" s="407" t="str">
        <f t="shared" si="717"/>
        <v/>
      </c>
      <c r="GY400" s="137"/>
      <c r="GZ400" s="264"/>
      <c r="HA400" s="137"/>
      <c r="HB400" s="269"/>
      <c r="HC400" s="414"/>
      <c r="HD400" s="163"/>
      <c r="HE400" s="137"/>
      <c r="HF400" s="270"/>
    </row>
    <row r="401" spans="54:214">
      <c r="BB401" s="407" t="str">
        <f t="shared" ref="BB401:BB406" si="718">IF(B401="","",IF(AR401="No",AV401-AZ401,""))</f>
        <v/>
      </c>
      <c r="BC401" s="407" t="str">
        <f t="shared" ref="BC401:BC406" si="719">IF(B401="","",IF(AR401="Yes",AS401-BA401,""))</f>
        <v/>
      </c>
      <c r="GY401" s="137"/>
      <c r="GZ401" s="264"/>
      <c r="HA401" s="137"/>
      <c r="HB401" s="269"/>
      <c r="HC401" s="414"/>
      <c r="HD401" s="163"/>
      <c r="HE401" s="137"/>
      <c r="HF401" s="270"/>
    </row>
    <row r="402" spans="54:214">
      <c r="BB402" s="407" t="str">
        <f t="shared" si="718"/>
        <v/>
      </c>
      <c r="BC402" s="407" t="str">
        <f t="shared" si="719"/>
        <v/>
      </c>
      <c r="GY402" s="137"/>
      <c r="GZ402" s="264"/>
      <c r="HA402" s="137"/>
      <c r="HB402" s="269"/>
      <c r="HC402" s="414"/>
      <c r="HD402" s="163"/>
      <c r="HE402" s="137"/>
      <c r="HF402" s="270"/>
    </row>
    <row r="403" spans="54:214">
      <c r="BB403" s="407" t="str">
        <f t="shared" si="718"/>
        <v/>
      </c>
      <c r="BC403" s="407" t="str">
        <f t="shared" si="719"/>
        <v/>
      </c>
      <c r="GY403" s="137"/>
      <c r="GZ403" s="264"/>
      <c r="HA403" s="137"/>
      <c r="HB403" s="269"/>
      <c r="HC403" s="414"/>
      <c r="HD403" s="163"/>
      <c r="HE403" s="137"/>
      <c r="HF403" s="270"/>
    </row>
    <row r="404" spans="54:214">
      <c r="BB404" s="407" t="str">
        <f t="shared" si="718"/>
        <v/>
      </c>
      <c r="BC404" s="407" t="str">
        <f t="shared" si="719"/>
        <v/>
      </c>
      <c r="GY404" s="137"/>
      <c r="GZ404" s="264"/>
      <c r="HA404" s="137"/>
      <c r="HB404" s="269"/>
      <c r="HC404" s="414"/>
      <c r="HD404" s="163"/>
      <c r="HE404" s="137"/>
      <c r="HF404" s="270"/>
    </row>
    <row r="405" spans="54:214">
      <c r="BB405" s="407" t="str">
        <f t="shared" si="718"/>
        <v/>
      </c>
      <c r="BC405" s="407" t="str">
        <f t="shared" si="719"/>
        <v/>
      </c>
      <c r="GY405" s="137"/>
      <c r="GZ405" s="264"/>
      <c r="HA405" s="137"/>
      <c r="HB405" s="269"/>
      <c r="HC405" s="414"/>
      <c r="HD405" s="163"/>
      <c r="HE405" s="137"/>
      <c r="HF405" s="270"/>
    </row>
    <row r="406" spans="54:214">
      <c r="BB406" s="407" t="str">
        <f t="shared" si="718"/>
        <v/>
      </c>
      <c r="BC406" s="407" t="str">
        <f t="shared" si="719"/>
        <v/>
      </c>
      <c r="GY406" s="137"/>
      <c r="GZ406" s="264"/>
      <c r="HA406" s="137"/>
      <c r="HB406" s="269"/>
      <c r="HC406" s="414"/>
      <c r="HD406" s="163"/>
      <c r="HE406" s="137"/>
      <c r="HF406" s="270"/>
    </row>
    <row r="407" spans="54:214">
      <c r="GY407" s="415"/>
      <c r="GZ407" s="121"/>
      <c r="HA407" s="23"/>
      <c r="HB407" s="23"/>
      <c r="HC407" s="23"/>
      <c r="HD407" s="23"/>
      <c r="HE407" s="23"/>
      <c r="HF407" s="23"/>
    </row>
    <row r="408" spans="54:214">
      <c r="GY408" s="137"/>
    </row>
  </sheetData>
  <autoFilter ref="B9:IE406" xr:uid="{00000000-0009-0000-0000-000002000000}"/>
  <mergeCells count="7">
    <mergeCell ref="HV6:HV7"/>
    <mergeCell ref="AJ1:AL1"/>
    <mergeCell ref="AM1:AO1"/>
    <mergeCell ref="AP1:AR1"/>
    <mergeCell ref="AS1:AU1"/>
    <mergeCell ref="AJ6:AS6"/>
    <mergeCell ref="DA7:DD7"/>
  </mergeCells>
  <conditionalFormatting sqref="DQ5">
    <cfRule type="cellIs" dxfId="21" priority="12" operator="greaterThan">
      <formula>0</formula>
    </cfRule>
  </conditionalFormatting>
  <conditionalFormatting sqref="DT5">
    <cfRule type="cellIs" dxfId="20" priority="11" operator="greaterThan">
      <formula>0</formula>
    </cfRule>
  </conditionalFormatting>
  <conditionalFormatting sqref="DU6:DU7">
    <cfRule type="cellIs" dxfId="19" priority="10" operator="greaterThan">
      <formula>0</formula>
    </cfRule>
  </conditionalFormatting>
  <conditionalFormatting sqref="DW5">
    <cfRule type="cellIs" dxfId="18" priority="25" operator="greaterThan">
      <formula>0</formula>
    </cfRule>
  </conditionalFormatting>
  <conditionalFormatting sqref="DZ5 EC5 EF5 GB5:GF5 EJ7 EM7 EP7 ES7 FB7 FE7">
    <cfRule type="cellIs" dxfId="17" priority="27" operator="greaterThan">
      <formula>0</formula>
    </cfRule>
  </conditionalFormatting>
  <conditionalFormatting sqref="EA5:EA7">
    <cfRule type="cellIs" dxfId="16" priority="8" operator="greaterThan">
      <formula>0</formula>
    </cfRule>
  </conditionalFormatting>
  <conditionalFormatting sqref="EI5">
    <cfRule type="cellIs" dxfId="15" priority="6" operator="greaterThan">
      <formula>0</formula>
    </cfRule>
  </conditionalFormatting>
  <conditionalFormatting sqref="EL5 EO5 ER5 EU5 FD5 FV5">
    <cfRule type="cellIs" dxfId="14" priority="7" operator="greaterThan">
      <formula>0</formula>
    </cfRule>
  </conditionalFormatting>
  <conditionalFormatting sqref="EX5">
    <cfRule type="cellIs" dxfId="13" priority="3" operator="greaterThan">
      <formula>0</formula>
    </cfRule>
  </conditionalFormatting>
  <conditionalFormatting sqref="FA5">
    <cfRule type="cellIs" dxfId="12" priority="2" operator="greaterThan">
      <formula>0</formula>
    </cfRule>
  </conditionalFormatting>
  <conditionalFormatting sqref="FG5">
    <cfRule type="cellIs" dxfId="11" priority="5" operator="greaterThan">
      <formula>0</formula>
    </cfRule>
  </conditionalFormatting>
  <conditionalFormatting sqref="FS5">
    <cfRule type="cellIs" dxfId="10" priority="1" operator="greaterThan">
      <formula>0</formula>
    </cfRule>
  </conditionalFormatting>
  <conditionalFormatting sqref="FY5">
    <cfRule type="cellIs" dxfId="9" priority="4" operator="greaterThan">
      <formula>0</formula>
    </cfRule>
  </conditionalFormatting>
  <conditionalFormatting sqref="GG6:GG7">
    <cfRule type="cellIs" dxfId="8" priority="22" operator="greaterThan">
      <formula>0</formula>
    </cfRule>
  </conditionalFormatting>
  <dataValidations count="8">
    <dataValidation type="list" allowBlank="1" showInputMessage="1" showErrorMessage="1" error="Yes / No" sqref="Q83:Q116 X83:X116 N83:N116" xr:uid="{00000000-0002-0000-0200-000004000000}">
      <formula1>"Yes, No"</formula1>
    </dataValidation>
    <dataValidation type="list" allowBlank="1" showInputMessage="1" showErrorMessage="1" error="First Lien, Split Lien or Second Lien" sqref="Y83:Y116" xr:uid="{00000000-0002-0000-0200-000005000000}">
      <formula1>"First Lien, Split First Lien, Split Lien, Second Lien"</formula1>
    </dataValidation>
    <dataValidation type="list" allowBlank="1" showInputMessage="1" showErrorMessage="1" sqref="Z83:Z116" xr:uid="{00000000-0002-0000-0200-000006000000}">
      <formula1>"Term, Revolver, Delayed Draw"</formula1>
    </dataValidation>
    <dataValidation type="list" allowBlank="1" showDropDown="1" showInputMessage="1" showErrorMessage="1" error="Monthly / Quarterly / Semi-Annually" sqref="BD10:BD116" xr:uid="{00000000-0002-0000-0200-000000000000}">
      <formula1>"Monthly, Quarterly, Semi-Annually"</formula1>
    </dataValidation>
    <dataValidation allowBlank="1" showDropDown="1" showInputMessage="1" showErrorMessage="1" error="Yes / No" sqref="O10:O116 P10:P167" xr:uid="{00000000-0002-0000-0200-000001000000}"/>
    <dataValidation type="list" allowBlank="1" showDropDown="1" showInputMessage="1" showErrorMessage="1" error="Yes / No" sqref="N10:N82 BH10:BH116 Q10:Q82 X10:X82 AR10:AR116 AT10:AT116 BM163:BN163 BM119:BN119 BM121:BN121 BM123:BN123 BM125:BN125 BM128:BN128 BM130:BN132 BM134:BN134 BM136:BN137 BM139:BN139 BM141:BN142 BM144:BN144 BM147:BN147 BM149:BN149 BM151:BN157 BM159:BN160 BK10:CB116" xr:uid="{00000000-0002-0000-0200-000002000000}">
      <formula1>"Yes, No"</formula1>
    </dataValidation>
    <dataValidation type="list" allowBlank="1" showDropDown="1" showInputMessage="1" showErrorMessage="1" error="USD / CAD / AUD / EUR / GBP / Other" sqref="BF10:BF85" xr:uid="{00000000-0002-0000-0200-000003000000}">
      <formula1>"USD, CAD, AUD, EUR, GBP, Other"</formula1>
    </dataValidation>
    <dataValidation type="list" allowBlank="1" showDropDown="1" showInputMessage="1" showErrorMessage="1" error="First Lien, Split Lien or Second Lien" sqref="Y10:Y82" xr:uid="{EDF641FC-3F76-4897-9BC1-9C4377E1617A}">
      <formula1>"First Lien, Split Lien, Second Lien"</formula1>
    </dataValidation>
  </dataValidations>
  <pageMargins left="0.5" right="0.5" top="0.5" bottom="0.5" header="0.25" footer="0.25"/>
  <pageSetup paperSize="3" scale="1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DropDown="1" showInputMessage="1" showErrorMessage="1" error="See List on Lookups Tab" xr:uid="{00000000-0002-0000-0200-000007000000}">
          <x14:formula1>
            <xm:f>Lookups!$A$37:$A$59</xm:f>
          </x14:formula1>
          <xm:sqref>BG83:BG116</xm:sqref>
        </x14:dataValidation>
        <x14:dataValidation type="list" allowBlank="1" showDropDown="1" showInputMessage="1" showErrorMessage="1" error="See List on Lookups Tab" xr:uid="{00000000-0002-0000-0200-000008000000}">
          <x14:formula1>
            <xm:f>Lookups!$F$2:$F$69</xm:f>
          </x14:formula1>
          <xm:sqref>BE83:BE116</xm:sqref>
        </x14:dataValidation>
        <x14:dataValidation type="list" allowBlank="1" showDropDown="1" showInputMessage="1" showErrorMessage="1" error="See List on Lookups Tab" xr:uid="{7E0A852E-2CCE-47AB-B392-4A6E5D82752C}">
          <x14:formula1>
            <xm:f>Lookups!#REF!</xm:f>
          </x14:formula1>
          <xm:sqref>BG10:BG82 BE10:BE82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E1:P69"/>
  <sheetViews>
    <sheetView topLeftCell="E1" zoomScaleNormal="100" workbookViewId="0">
      <selection activeCell="E1" sqref="E1"/>
    </sheetView>
  </sheetViews>
  <sheetFormatPr defaultColWidth="9.140625" defaultRowHeight="12"/>
  <cols>
    <col min="1" max="4" width="0" style="3" hidden="1" customWidth="1"/>
    <col min="5" max="5" width="4.5703125" style="3" customWidth="1"/>
    <col min="6" max="6" width="2.85546875" style="3" customWidth="1"/>
    <col min="7" max="9" width="4.7109375" style="3" customWidth="1"/>
    <col min="10" max="10" width="28.28515625" style="3" customWidth="1"/>
    <col min="11" max="11" width="17.140625" style="3" customWidth="1"/>
    <col min="12" max="12" width="7.140625" style="3" customWidth="1"/>
    <col min="13" max="13" width="16.5703125" style="3" customWidth="1"/>
    <col min="14" max="14" width="15.7109375" style="3" customWidth="1"/>
    <col min="15" max="15" width="17.28515625" style="3" bestFit="1" customWidth="1"/>
    <col min="16" max="16" width="12" style="3" customWidth="1"/>
    <col min="17" max="16384" width="9.140625" style="3"/>
  </cols>
  <sheetData>
    <row r="1" spans="6:15" ht="18">
      <c r="F1" s="1" t="str">
        <f>'Borrowing Base'!A1</f>
        <v>PENNANTPARK FLOATING RATE FUNDING I, LLC</v>
      </c>
      <c r="G1" s="2"/>
      <c r="H1" s="2"/>
      <c r="I1" s="2"/>
      <c r="J1" s="2"/>
      <c r="K1" s="2"/>
      <c r="L1" s="2"/>
      <c r="M1" s="2"/>
      <c r="N1" s="2"/>
      <c r="O1" s="2"/>
    </row>
    <row r="2" spans="6:15" ht="15.75">
      <c r="F2" s="4" t="s">
        <v>1</v>
      </c>
      <c r="G2" s="2"/>
      <c r="H2" s="2"/>
      <c r="I2" s="2"/>
      <c r="J2" s="2"/>
      <c r="K2" s="2"/>
      <c r="L2" s="2"/>
      <c r="M2" s="2"/>
      <c r="N2" s="2"/>
      <c r="O2" s="2"/>
    </row>
    <row r="4" spans="6:15">
      <c r="F4" s="280"/>
      <c r="G4" s="280"/>
      <c r="H4" s="280"/>
      <c r="I4" s="280"/>
      <c r="J4" s="280"/>
      <c r="K4" s="280"/>
      <c r="L4" s="280"/>
      <c r="M4" s="280"/>
      <c r="N4" s="280"/>
      <c r="O4" s="280"/>
    </row>
    <row r="5" spans="6:15">
      <c r="F5" s="7" t="s">
        <v>256</v>
      </c>
      <c r="O5" s="281" t="str">
        <f>IF(AND(O7="PASS",O11="PASS",O15="PASS"),"PASS","FAIL")</f>
        <v>PASS</v>
      </c>
    </row>
    <row r="6" spans="6:15" ht="14.45" customHeight="1"/>
    <row r="7" spans="6:15">
      <c r="F7" s="7" t="s">
        <v>257</v>
      </c>
      <c r="O7" s="281" t="str">
        <f>IF(O8&lt;=O9,"PASS","FAIL")</f>
        <v>PASS</v>
      </c>
    </row>
    <row r="8" spans="6:15">
      <c r="G8" s="3" t="s">
        <v>54</v>
      </c>
      <c r="H8" s="3" t="s">
        <v>258</v>
      </c>
      <c r="J8" s="282"/>
      <c r="O8" s="283">
        <f>'Loan List'!AW5</f>
        <v>4.1797276407121204</v>
      </c>
    </row>
    <row r="9" spans="6:15">
      <c r="G9" s="3" t="s">
        <v>56</v>
      </c>
      <c r="H9" s="3" t="s">
        <v>259</v>
      </c>
      <c r="O9" s="283">
        <v>6</v>
      </c>
    </row>
    <row r="11" spans="6:15">
      <c r="F11" s="7" t="s">
        <v>260</v>
      </c>
      <c r="M11" s="284"/>
      <c r="O11" s="281" t="str">
        <f>IF(O12&gt;=O13,"PASS","FAIL")</f>
        <v>PASS</v>
      </c>
    </row>
    <row r="12" spans="6:15">
      <c r="G12" s="3" t="s">
        <v>54</v>
      </c>
      <c r="H12" s="3" t="s">
        <v>258</v>
      </c>
      <c r="J12" s="285"/>
      <c r="K12" s="285"/>
      <c r="L12" s="285"/>
      <c r="M12" s="286"/>
      <c r="O12" s="14">
        <f>'Loan List'!AZ5</f>
        <v>5.8597603189206052E-2</v>
      </c>
    </row>
    <row r="13" spans="6:15">
      <c r="G13" s="3" t="s">
        <v>56</v>
      </c>
      <c r="H13" s="3" t="s">
        <v>261</v>
      </c>
      <c r="J13" s="285">
        <v>0.75897000000000003</v>
      </c>
      <c r="K13" s="285"/>
      <c r="L13" s="285"/>
      <c r="M13" s="287"/>
      <c r="O13" s="14">
        <v>4.4999999999999998E-2</v>
      </c>
    </row>
    <row r="14" spans="6:15">
      <c r="J14" s="285">
        <v>0.71645999999999999</v>
      </c>
      <c r="K14" s="285"/>
      <c r="L14" s="285"/>
      <c r="M14" s="287"/>
      <c r="O14" s="14"/>
    </row>
    <row r="15" spans="6:15">
      <c r="F15" s="7" t="s">
        <v>262</v>
      </c>
      <c r="M15" s="284"/>
      <c r="O15" s="281" t="str">
        <f>IF(O16&gt;=O17,"PASS","FAIL")</f>
        <v>PASS</v>
      </c>
    </row>
    <row r="16" spans="6:15">
      <c r="G16" s="3" t="s">
        <v>54</v>
      </c>
      <c r="H16" s="3" t="s">
        <v>258</v>
      </c>
      <c r="J16" s="285"/>
      <c r="K16" s="285"/>
      <c r="L16" s="285"/>
      <c r="M16" s="286"/>
      <c r="O16" s="288" t="str">
        <f>'Loan List'!AZ3</f>
        <v>N/A</v>
      </c>
    </row>
    <row r="17" spans="6:16">
      <c r="G17" s="3" t="s">
        <v>56</v>
      </c>
      <c r="H17" s="3" t="s">
        <v>261</v>
      </c>
      <c r="J17" s="285"/>
      <c r="K17" s="285"/>
      <c r="L17" s="285"/>
      <c r="M17" s="287"/>
      <c r="O17" s="14">
        <v>0.08</v>
      </c>
    </row>
    <row r="18" spans="6:16">
      <c r="F18" s="280"/>
      <c r="G18" s="280"/>
      <c r="H18" s="280"/>
      <c r="I18" s="280"/>
      <c r="J18" s="289"/>
      <c r="K18" s="289"/>
      <c r="L18" s="289"/>
      <c r="M18" s="290"/>
      <c r="N18" s="280"/>
      <c r="O18" s="291"/>
    </row>
    <row r="19" spans="6:16">
      <c r="F19" s="7" t="s">
        <v>263</v>
      </c>
      <c r="J19" s="285"/>
      <c r="K19" s="292" t="s">
        <v>258</v>
      </c>
      <c r="L19" s="292"/>
      <c r="M19" s="292" t="s">
        <v>73</v>
      </c>
      <c r="N19" s="292" t="s">
        <v>76</v>
      </c>
      <c r="O19" s="292" t="s">
        <v>92</v>
      </c>
    </row>
    <row r="20" spans="6:16">
      <c r="F20" s="7"/>
      <c r="J20" s="285"/>
      <c r="K20" s="286"/>
      <c r="L20" s="286"/>
      <c r="M20" s="286"/>
      <c r="N20" s="6"/>
      <c r="O20" s="6"/>
    </row>
    <row r="21" spans="6:16" ht="15">
      <c r="F21" s="3" t="s">
        <v>264</v>
      </c>
      <c r="K21" s="293">
        <f>'Loan List'!DO4</f>
        <v>1000000</v>
      </c>
      <c r="L21" s="294" t="s">
        <v>265</v>
      </c>
      <c r="M21" s="293">
        <f>'Loan List'!DO3</f>
        <v>152892852.51729038</v>
      </c>
      <c r="N21" s="288">
        <f>'Loan List'!DO2</f>
        <v>0.15</v>
      </c>
      <c r="O21" s="293">
        <f>'Loan List'!DO5</f>
        <v>0</v>
      </c>
      <c r="P21" s="10"/>
    </row>
    <row r="22" spans="6:16" ht="15">
      <c r="F22" s="3" t="s">
        <v>266</v>
      </c>
      <c r="K22" s="293">
        <f>'Loan List'!DR4</f>
        <v>1000000</v>
      </c>
      <c r="L22" s="294" t="s">
        <v>265</v>
      </c>
      <c r="M22" s="293">
        <f>'Loan List'!DR3</f>
        <v>101928568.34486026</v>
      </c>
      <c r="N22" s="288">
        <f>'Loan List'!DR2</f>
        <v>0.1</v>
      </c>
      <c r="O22" s="293">
        <f>'Loan List'!DS6</f>
        <v>0</v>
      </c>
      <c r="P22" s="10"/>
    </row>
    <row r="23" spans="6:16" ht="15">
      <c r="F23" s="3" t="s">
        <v>197</v>
      </c>
      <c r="K23" s="293">
        <f>'Loan List'!DU4</f>
        <v>0</v>
      </c>
      <c r="L23" s="294" t="s">
        <v>265</v>
      </c>
      <c r="M23" s="293">
        <f>'Loan List'!DU3</f>
        <v>50964284.172430128</v>
      </c>
      <c r="N23" s="288">
        <f>'Loan List'!DU2</f>
        <v>0.05</v>
      </c>
      <c r="O23" s="293">
        <f>'Loan List'!DU5</f>
        <v>0</v>
      </c>
      <c r="P23" s="10"/>
    </row>
    <row r="24" spans="6:16" ht="15">
      <c r="F24" s="3" t="s">
        <v>198</v>
      </c>
      <c r="K24" s="293">
        <f>'Loan List'!DX4</f>
        <v>0</v>
      </c>
      <c r="L24" s="294" t="s">
        <v>265</v>
      </c>
      <c r="M24" s="293">
        <f>'Loan List'!DX3</f>
        <v>152892852.51729038</v>
      </c>
      <c r="N24" s="288">
        <f>'Loan List'!DX2</f>
        <v>0.15</v>
      </c>
      <c r="O24" s="293">
        <f>'Loan List'!DX5</f>
        <v>0</v>
      </c>
      <c r="P24" s="10"/>
    </row>
    <row r="25" spans="6:16" ht="15">
      <c r="F25" s="3" t="s">
        <v>267</v>
      </c>
      <c r="K25" s="293">
        <f>'Loan List'!EA4</f>
        <v>15340518.084849998</v>
      </c>
      <c r="L25" s="294" t="s">
        <v>265</v>
      </c>
      <c r="M25" s="293">
        <f>'Loan List'!EA3</f>
        <v>101928568.34486026</v>
      </c>
      <c r="N25" s="288">
        <f>'Loan List'!EA2</f>
        <v>0.1</v>
      </c>
      <c r="O25" s="293">
        <f>'Loan List'!EA5</f>
        <v>0</v>
      </c>
      <c r="P25" s="10"/>
    </row>
    <row r="26" spans="6:16" ht="15">
      <c r="F26" s="3" t="s">
        <v>268</v>
      </c>
      <c r="K26" s="293">
        <f>'Loan List'!ED4</f>
        <v>21097585.718902603</v>
      </c>
      <c r="L26" s="294" t="s">
        <v>265</v>
      </c>
      <c r="M26" s="293">
        <f>'Loan List'!ED3</f>
        <v>152892852.51729038</v>
      </c>
      <c r="N26" s="288">
        <f>'Loan List'!ED2</f>
        <v>0.15</v>
      </c>
      <c r="O26" s="293">
        <f>'Loan List'!ED5</f>
        <v>0</v>
      </c>
      <c r="P26" s="10"/>
    </row>
    <row r="27" spans="6:16" ht="15">
      <c r="F27" s="3" t="s">
        <v>269</v>
      </c>
      <c r="K27" s="293">
        <f>'Loan List'!EG4</f>
        <v>14663827.1109</v>
      </c>
      <c r="L27" s="294" t="s">
        <v>265</v>
      </c>
      <c r="M27" s="293">
        <f>'Loan List'!EG3</f>
        <v>101928568.34486026</v>
      </c>
      <c r="N27" s="288">
        <f>'Loan List'!EG2</f>
        <v>0.1</v>
      </c>
      <c r="O27" s="293">
        <f>'Loan List'!EG5</f>
        <v>0</v>
      </c>
      <c r="P27" s="10"/>
    </row>
    <row r="28" spans="6:16" ht="15">
      <c r="F28" s="3" t="s">
        <v>202</v>
      </c>
      <c r="K28" s="293">
        <f>'Loan List'!EJ4</f>
        <v>0</v>
      </c>
      <c r="L28" s="294" t="s">
        <v>265</v>
      </c>
      <c r="M28" s="293">
        <f>'Loan List'!EJ3</f>
        <v>254821420.86215064</v>
      </c>
      <c r="N28" s="288">
        <f>'Loan List'!EJ2</f>
        <v>0.25</v>
      </c>
      <c r="O28" s="293">
        <f>'Loan List'!EJ5</f>
        <v>0</v>
      </c>
      <c r="P28" s="10"/>
    </row>
    <row r="29" spans="6:16" ht="15">
      <c r="F29" s="3" t="s">
        <v>270</v>
      </c>
      <c r="K29" s="293">
        <f>'Loan List'!EM4</f>
        <v>0</v>
      </c>
      <c r="L29" s="294" t="s">
        <v>265</v>
      </c>
      <c r="M29" s="293">
        <f>'Loan List'!EM3</f>
        <v>101928568.34486026</v>
      </c>
      <c r="N29" s="288">
        <f>'Loan List'!EM2</f>
        <v>0.1</v>
      </c>
      <c r="O29" s="293">
        <f>'Loan List'!EM5</f>
        <v>0</v>
      </c>
      <c r="P29" s="10"/>
    </row>
    <row r="30" spans="6:16" ht="15">
      <c r="F30" s="3" t="s">
        <v>204</v>
      </c>
      <c r="K30" s="293">
        <f>'Loan List'!EP4</f>
        <v>0</v>
      </c>
      <c r="L30" s="294" t="s">
        <v>265</v>
      </c>
      <c r="M30" s="293">
        <f>'Loan List'!EP3</f>
        <v>30578570.503458075</v>
      </c>
      <c r="N30" s="288">
        <f>'Loan List'!EP2</f>
        <v>0.03</v>
      </c>
      <c r="O30" s="293">
        <f>'Loan List'!EP5</f>
        <v>0</v>
      </c>
      <c r="P30" s="10"/>
    </row>
    <row r="31" spans="6:16" ht="15">
      <c r="F31" s="3" t="s">
        <v>271</v>
      </c>
      <c r="K31" s="293">
        <f>'Loan List'!ES4</f>
        <v>0</v>
      </c>
      <c r="L31" s="294" t="s">
        <v>265</v>
      </c>
      <c r="M31" s="293">
        <f>'Loan List'!ES3</f>
        <v>152892852.51729038</v>
      </c>
      <c r="N31" s="288">
        <f>'Loan List'!ES2</f>
        <v>0.15</v>
      </c>
      <c r="O31" s="293">
        <f>'Loan List'!ES5</f>
        <v>0</v>
      </c>
      <c r="P31" s="10"/>
    </row>
    <row r="32" spans="6:16" ht="15">
      <c r="F32" s="3" t="s">
        <v>206</v>
      </c>
      <c r="K32" s="293">
        <f>'Loan List'!EV4</f>
        <v>0</v>
      </c>
      <c r="L32" s="294" t="s">
        <v>265</v>
      </c>
      <c r="M32" s="293">
        <f>'Loan List'!EV3</f>
        <v>50964284.172430128</v>
      </c>
      <c r="N32" s="288">
        <f>'Loan List'!EV2</f>
        <v>0.05</v>
      </c>
      <c r="O32" s="293">
        <f>'Loan List'!EW6</f>
        <v>0</v>
      </c>
      <c r="P32" s="10"/>
    </row>
    <row r="33" spans="5:16" ht="15">
      <c r="F33" s="3" t="s">
        <v>272</v>
      </c>
      <c r="K33" s="293">
        <f>'Loan List'!EY4</f>
        <v>11464651.42</v>
      </c>
      <c r="L33" s="294" t="s">
        <v>265</v>
      </c>
      <c r="M33" s="293">
        <f>'Loan List'!EY3</f>
        <v>152892852.51729038</v>
      </c>
      <c r="N33" s="288">
        <f>'Loan List'!EY2</f>
        <v>0.15</v>
      </c>
      <c r="O33" s="293">
        <f>'Loan List'!EZ6</f>
        <v>0</v>
      </c>
      <c r="P33" s="295"/>
    </row>
    <row r="34" spans="5:16" ht="15">
      <c r="F34" s="3" t="s">
        <v>273</v>
      </c>
      <c r="K34" s="293">
        <f>'Loan List'!FB4</f>
        <v>0</v>
      </c>
      <c r="L34" s="294" t="s">
        <v>265</v>
      </c>
      <c r="M34" s="293">
        <f>'Loan List'!FB3</f>
        <v>101928568.34486026</v>
      </c>
      <c r="N34" s="288">
        <f>'Loan List'!FB2</f>
        <v>0.1</v>
      </c>
      <c r="O34" s="293">
        <f>'Loan List'!FB5</f>
        <v>0</v>
      </c>
      <c r="P34" s="10"/>
    </row>
    <row r="35" spans="5:16" ht="15">
      <c r="F35" s="3" t="s">
        <v>274</v>
      </c>
      <c r="K35" s="293">
        <f>'Loan List'!FE4</f>
        <v>1232469.6289026001</v>
      </c>
      <c r="L35" s="294" t="s">
        <v>265</v>
      </c>
      <c r="M35" s="293">
        <f>'Loan List'!FE3</f>
        <v>152892852.51729038</v>
      </c>
      <c r="N35" s="288">
        <f>'Loan List'!FE2</f>
        <v>0.15</v>
      </c>
      <c r="O35" s="293">
        <f>'Loan List'!FF6</f>
        <v>0</v>
      </c>
      <c r="P35" s="10"/>
    </row>
    <row r="36" spans="5:16" ht="15">
      <c r="F36" s="3" t="s">
        <v>638</v>
      </c>
      <c r="K36" s="293">
        <f>SUM('Loan List'!HB10:HB14)</f>
        <v>197804859.88</v>
      </c>
      <c r="L36" s="294" t="s">
        <v>265</v>
      </c>
      <c r="M36" s="293">
        <f>'Loan List'!HC2</f>
        <v>305785705.03458077</v>
      </c>
      <c r="N36" s="288">
        <f>'Loan List'!HB2</f>
        <v>0.3</v>
      </c>
      <c r="O36" s="293">
        <f>'Loan List'!HD2</f>
        <v>0</v>
      </c>
      <c r="P36" s="10"/>
    </row>
    <row r="37" spans="5:16" ht="15">
      <c r="F37" s="3" t="s">
        <v>211</v>
      </c>
      <c r="K37" s="293">
        <f>'Loan List'!FT4</f>
        <v>79136452.739999995</v>
      </c>
      <c r="L37" s="294" t="s">
        <v>265</v>
      </c>
      <c r="M37" s="293">
        <f>'Loan List'!FT3</f>
        <v>203857136.68972051</v>
      </c>
      <c r="N37" s="288">
        <f>'Loan List'!FT2</f>
        <v>0.2</v>
      </c>
      <c r="O37" s="293">
        <f>'Loan List'!FU6</f>
        <v>0</v>
      </c>
      <c r="P37" s="295"/>
    </row>
    <row r="38" spans="5:16" ht="15">
      <c r="F38" s="3" t="s">
        <v>506</v>
      </c>
      <c r="K38" s="293">
        <f>'Loan List'!FQ4</f>
        <v>8000000</v>
      </c>
      <c r="L38" s="294" t="s">
        <v>265</v>
      </c>
      <c r="M38" s="293">
        <f>'Loan List'!FQ3</f>
        <v>50964284.172430128</v>
      </c>
      <c r="N38" s="288">
        <f>'Loan List'!FQ2</f>
        <v>0.05</v>
      </c>
      <c r="O38" s="293">
        <f>'Loan List'!FR6</f>
        <v>0</v>
      </c>
      <c r="P38" s="295"/>
    </row>
    <row r="39" spans="5:16" ht="15">
      <c r="F39" s="3" t="s">
        <v>275</v>
      </c>
      <c r="K39" s="293">
        <f>'Loan List'!FW4</f>
        <v>213419269.43890265</v>
      </c>
      <c r="L39" s="294" t="s">
        <v>265</v>
      </c>
      <c r="M39" s="293">
        <f>'Loan List'!FW3</f>
        <v>203857136.68972051</v>
      </c>
      <c r="N39" s="288">
        <f>'Loan List'!FW2</f>
        <v>0.2</v>
      </c>
      <c r="O39" s="293">
        <f>'Loan List'!GA6</f>
        <v>956213.27491821314</v>
      </c>
      <c r="P39" s="296"/>
    </row>
    <row r="40" spans="5:16" ht="15">
      <c r="K40" s="293"/>
      <c r="L40" s="294"/>
      <c r="M40" s="293"/>
      <c r="N40" s="288"/>
      <c r="O40" s="293"/>
      <c r="P40" s="10"/>
    </row>
    <row r="41" spans="5:16" ht="15">
      <c r="F41" s="7" t="s">
        <v>276</v>
      </c>
      <c r="K41" s="292" t="s">
        <v>258</v>
      </c>
      <c r="L41" s="292"/>
      <c r="M41" s="292" t="s">
        <v>73</v>
      </c>
      <c r="N41" s="292" t="s">
        <v>76</v>
      </c>
      <c r="O41" s="292" t="s">
        <v>92</v>
      </c>
      <c r="P41" s="10"/>
    </row>
    <row r="42" spans="5:16" ht="15">
      <c r="E42" s="6">
        <v>1</v>
      </c>
      <c r="F42" s="3" t="str">
        <f>IF(ISERROR(VLOOKUP('Loan List'!GV10,'Loan List'!$C$10:$D$406,2,FALSE)),"",(VLOOKUP('Loan List'!GV10,'Loan List'!$C$10:$D$406,2,FALSE)))</f>
        <v>NARS</v>
      </c>
      <c r="K42" s="293">
        <f>IF($F42&lt;&gt;"",'Loan List'!GS10,"")</f>
        <v>50000000</v>
      </c>
      <c r="L42" s="294" t="s">
        <v>265</v>
      </c>
      <c r="M42" s="293">
        <f>IF($F42&lt;&gt;"",'Loan List'!GT10,"")</f>
        <v>67952372.101335615</v>
      </c>
      <c r="N42" s="288">
        <f>IF(F42&lt;&gt;"",M42/'Borrowing Base'!J5,"")</f>
        <v>6.6666660000000003E-2</v>
      </c>
      <c r="O42" s="293">
        <f>IF(F42&lt;&gt;"",'Loan List'!GU10,"")</f>
        <v>0</v>
      </c>
      <c r="P42" s="296"/>
    </row>
    <row r="43" spans="5:16" ht="15">
      <c r="E43" s="6">
        <v>2</v>
      </c>
      <c r="F43" s="3" t="str">
        <f>IF(ISERROR(VLOOKUP('Loan List'!GV11,'Loan List'!$C$10:$D$406,2,FALSE)),"",(VLOOKUP('Loan List'!GV11,'Loan List'!$C$10:$D$406,2,FALSE)))</f>
        <v>Best Practice Associates, LLC</v>
      </c>
      <c r="K43" s="293">
        <f>IF($F43&lt;&gt;"",'Loan List'!GS11,"")</f>
        <v>41568911</v>
      </c>
      <c r="L43" s="294" t="s">
        <v>265</v>
      </c>
      <c r="M43" s="293">
        <f>IF($F43&lt;&gt;"",'Loan List'!GT11,"")</f>
        <v>67952372.101335615</v>
      </c>
      <c r="N43" s="288">
        <f>IF(F43&lt;&gt;"",M43/'Borrowing Base'!J5,"")</f>
        <v>6.6666660000000003E-2</v>
      </c>
      <c r="O43" s="293">
        <f>IF(F43&lt;&gt;"",'Loan List'!GU11,"")</f>
        <v>0</v>
      </c>
      <c r="P43" s="296"/>
    </row>
    <row r="44" spans="5:16" ht="15">
      <c r="E44" s="6">
        <v>3</v>
      </c>
      <c r="F44" s="3" t="str">
        <f>IF(ISERROR(VLOOKUP('Loan List'!GV12,'Loan List'!$C$10:$D$406,2,FALSE)),"",(VLOOKUP('Loan List'!GV12,'Loan List'!$C$10:$D$406,2,FALSE)))</f>
        <v>Marketplace Events Acquisition, LLC</v>
      </c>
      <c r="K44" s="293">
        <f>IF($F44&lt;&gt;"",'Loan List'!GS12,"")</f>
        <v>37406250</v>
      </c>
      <c r="L44" s="294" t="s">
        <v>265</v>
      </c>
      <c r="M44" s="293">
        <f>IF($F44&lt;&gt;"",'Loan List'!GT12,"")</f>
        <v>67952372.101335615</v>
      </c>
      <c r="N44" s="288">
        <f>IF(F44&lt;&gt;"",M44/'Borrowing Base'!J5,"")</f>
        <v>6.6666660000000003E-2</v>
      </c>
      <c r="O44" s="293">
        <f>IF(F44&lt;&gt;"",'Loan List'!GU12,"")</f>
        <v>0</v>
      </c>
      <c r="P44" s="296"/>
    </row>
    <row r="45" spans="5:16" ht="15">
      <c r="E45" s="6">
        <v>4</v>
      </c>
      <c r="F45" s="3" t="str">
        <f>IF(ISERROR(VLOOKUP('Loan List'!GV13,'Loan List'!$C$10:$D$406,2,FALSE)),"",(VLOOKUP('Loan List'!GV13,'Loan List'!$C$10:$D$406,2,FALSE)))</f>
        <v>ARGANO, LLC</v>
      </c>
      <c r="K45" s="293">
        <f>IF($F45&lt;&gt;"",'Loan List'!GS13,"")</f>
        <v>34673920.380000003</v>
      </c>
      <c r="L45" s="294" t="s">
        <v>265</v>
      </c>
      <c r="M45" s="293">
        <f>IF($F45&lt;&gt;"",'Loan List'!GT13,"")</f>
        <v>61157141.00691615</v>
      </c>
      <c r="N45" s="288">
        <f>IF(F45&lt;&gt;"",M45/'Borrowing Base'!J5,"")</f>
        <v>0.06</v>
      </c>
      <c r="O45" s="293">
        <f>IF(F45&lt;&gt;"",'Loan List'!GU13,"")</f>
        <v>0</v>
      </c>
      <c r="P45" s="296"/>
    </row>
    <row r="46" spans="5:16" ht="15">
      <c r="E46" s="6">
        <v>5</v>
      </c>
      <c r="F46" s="3" t="str">
        <f>IF(ISERROR(VLOOKUP('Loan List'!GV14,'Loan List'!$C$10:$D$406,2,FALSE)),"",(VLOOKUP('Loan List'!GV14,'Loan List'!$C$10:$D$406,2,FALSE)))</f>
        <v>Loving Tan Intermediate II, Inc.</v>
      </c>
      <c r="K46" s="293">
        <f>IF($F46&lt;&gt;"",'Loan List'!GS15,"")</f>
        <v>29454620.510000002</v>
      </c>
      <c r="L46" s="294" t="s">
        <v>265</v>
      </c>
      <c r="M46" s="293">
        <f>IF($F46&lt;&gt;"",'Loan List'!GT15,"")</f>
        <v>50964284.172430128</v>
      </c>
      <c r="N46" s="288">
        <f>IF(F46&lt;&gt;"",M46/'Borrowing Base'!J5,"")</f>
        <v>0.05</v>
      </c>
      <c r="O46" s="293">
        <f>IF(F46&lt;&gt;"",'Loan List'!GU15,"")</f>
        <v>0</v>
      </c>
      <c r="P46" s="296"/>
    </row>
    <row r="47" spans="5:16" ht="15">
      <c r="E47" s="6">
        <v>6</v>
      </c>
      <c r="F47" s="3" t="str">
        <f>IF(ISERROR(VLOOKUP('Loan List'!GV15,'Loan List'!$C$10:$D$406,2,FALSE)),"",(VLOOKUP('Loan List'!GV15,'Loan List'!$C$10:$D$406,2,FALSE)))</f>
        <v>Harris &amp; Co. LLC</v>
      </c>
      <c r="K47" s="293">
        <f>IF($F47&lt;&gt;"",'Loan List'!GS16,"")</f>
        <v>27620404</v>
      </c>
      <c r="L47" s="294" t="s">
        <v>265</v>
      </c>
      <c r="M47" s="293">
        <f>IF($F47&lt;&gt;"",'Loan List'!GT16,"")</f>
        <v>50964284.172430128</v>
      </c>
      <c r="N47" s="288">
        <f>IF(F47&lt;&gt;"",M47/'Borrowing Base'!J5,"")</f>
        <v>0.05</v>
      </c>
      <c r="O47" s="293">
        <f>IF(F47&lt;&gt;"",'Loan List'!GU16,"")</f>
        <v>0</v>
      </c>
      <c r="P47" s="296"/>
    </row>
    <row r="48" spans="5:16" ht="15">
      <c r="E48" s="6">
        <v>7</v>
      </c>
      <c r="F48" s="3" t="str">
        <f>IF(ISERROR(VLOOKUP('Loan List'!GV16,'Loan List'!$C$10:$D$406,2,FALSE)),"",(VLOOKUP('Loan List'!GV16,'Loan List'!$C$10:$D$406,2,FALSE)))</f>
        <v>RTIC Subsidiary Holdings, LLC</v>
      </c>
      <c r="K48" s="293">
        <f>IF($F48&lt;&gt;"",'Loan List'!GS17,"")</f>
        <v>27610421.649999999</v>
      </c>
      <c r="L48" s="294" t="s">
        <v>265</v>
      </c>
      <c r="M48" s="293">
        <f>IF($F48&lt;&gt;"",'Loan List'!GT17,"")</f>
        <v>50964284.172430128</v>
      </c>
      <c r="N48" s="288">
        <f>IF(F48&lt;&gt;"",M48/'Borrowing Base'!J5,"")</f>
        <v>0.05</v>
      </c>
      <c r="O48" s="293">
        <f>IF(F48&lt;&gt;"",'Loan List'!GU17,"")</f>
        <v>0</v>
      </c>
      <c r="P48" s="296"/>
    </row>
    <row r="49" spans="5:16" ht="15">
      <c r="E49" s="6">
        <v>8</v>
      </c>
      <c r="F49" s="3" t="str">
        <f>IF(ISERROR(VLOOKUP('Loan List'!GV17,'Loan List'!$C$10:$D$406,2,FALSE)),"",(VLOOKUP('Loan List'!GV17,'Loan List'!$C$10:$D$406,2,FALSE)))</f>
        <v>By Light Professional IT Services, LLC</v>
      </c>
      <c r="K49" s="293">
        <f>IF($F49&lt;&gt;"",'Loan List'!GS18,"")</f>
        <v>26818060.030000001</v>
      </c>
      <c r="L49" s="294" t="s">
        <v>265</v>
      </c>
      <c r="M49" s="293">
        <f>IF($F49&lt;&gt;"",'Loan List'!GT18,"")</f>
        <v>50964284.172430128</v>
      </c>
      <c r="N49" s="288">
        <f>IF(F49&lt;&gt;"",M49/'Borrowing Base'!J5,"")</f>
        <v>0.05</v>
      </c>
      <c r="O49" s="293">
        <f>IF(F49&lt;&gt;"",'Loan List'!GU18,"")</f>
        <v>0</v>
      </c>
      <c r="P49" s="296"/>
    </row>
    <row r="50" spans="5:16" ht="15">
      <c r="E50" s="6">
        <v>9</v>
      </c>
      <c r="F50" s="3" t="str">
        <f>IF(ISERROR(VLOOKUP('Loan List'!GV18,'Loan List'!$C$10:$D$406,2,FALSE)),"",(VLOOKUP('Loan List'!GV18,'Loan List'!$C$10:$D$406,2,FALSE)))</f>
        <v>ACP Avenu Buyer, LLC</v>
      </c>
      <c r="K50" s="293">
        <f>IF($F50&lt;&gt;"",'Loan List'!GS20,"")</f>
        <v>25111100</v>
      </c>
      <c r="L50" s="294" t="s">
        <v>265</v>
      </c>
      <c r="M50" s="293">
        <f>IF($F50&lt;&gt;"",'Loan List'!GT20,"")</f>
        <v>50964284.172430128</v>
      </c>
      <c r="N50" s="288">
        <f>IF(F50&lt;&gt;"",M50/'Borrowing Base'!J5,"")</f>
        <v>0.05</v>
      </c>
      <c r="O50" s="293">
        <f>IF(F50&lt;&gt;"",'Loan List'!GU20,"")</f>
        <v>0</v>
      </c>
      <c r="P50" s="296"/>
    </row>
    <row r="51" spans="5:16" ht="15">
      <c r="E51" s="6">
        <v>10</v>
      </c>
      <c r="F51" s="3" t="str">
        <f>IF(ISERROR(VLOOKUP('Loan List'!GV19,'Loan List'!$C$10:$D$406,2,FALSE)),"",(VLOOKUP('Loan List'!GV19,'Loan List'!$C$10:$D$406,2,FALSE)))</f>
        <v>Commercial Fire Protection Holdings, LLC</v>
      </c>
      <c r="K51" s="293">
        <f>IF($F51&lt;&gt;"",'Loan List'!GS21,"")</f>
        <v>25000000</v>
      </c>
      <c r="L51" s="294" t="s">
        <v>265</v>
      </c>
      <c r="M51" s="293">
        <f>IF($F51&lt;&gt;"",'Loan List'!GT21,"")</f>
        <v>50964284.172430128</v>
      </c>
      <c r="N51" s="288">
        <f>IF(F51&lt;&gt;"",M51/'Borrowing Base'!J5,"")</f>
        <v>0.05</v>
      </c>
      <c r="O51" s="293">
        <f>IF(F51&lt;&gt;"",'Loan List'!GU21,"")</f>
        <v>0</v>
      </c>
      <c r="P51" s="296"/>
    </row>
    <row r="52" spans="5:16" ht="15">
      <c r="K52" s="293"/>
      <c r="L52" s="294"/>
      <c r="M52" s="293"/>
      <c r="N52" s="288"/>
      <c r="O52" s="293"/>
      <c r="P52" s="10"/>
    </row>
    <row r="53" spans="5:16" ht="15">
      <c r="P53" s="10"/>
    </row>
    <row r="54" spans="5:16" ht="15">
      <c r="F54" s="7" t="s">
        <v>277</v>
      </c>
      <c r="K54" s="292" t="s">
        <v>258</v>
      </c>
      <c r="L54" s="292"/>
      <c r="M54" s="292" t="s">
        <v>73</v>
      </c>
      <c r="N54" s="292" t="s">
        <v>76</v>
      </c>
      <c r="O54" s="292" t="s">
        <v>92</v>
      </c>
      <c r="P54" s="10"/>
    </row>
    <row r="55" spans="5:16" ht="15">
      <c r="E55" s="6">
        <v>1</v>
      </c>
      <c r="F55" s="3" t="str">
        <f>IF(ISERROR(VLOOKUP('Loan List'!GM10,Lookups!$E$2:$F$69,2,FALSE)),"",VLOOKUP('Loan List'!GM10,Lookups!$E$2:$F$69,2,FALSE))</f>
        <v>IT Services</v>
      </c>
      <c r="K55" s="293">
        <f>IF(F55&lt;&gt;"",'Loan List'!GJ10,"")</f>
        <v>126749995.42000002</v>
      </c>
      <c r="L55" s="294" t="str">
        <f>IF(F55&lt;&gt;"","&lt;","")</f>
        <v>&lt;</v>
      </c>
      <c r="M55" s="293">
        <f>IF(F55&lt;&gt;"",'Loan List'!GK10,"")</f>
        <v>254821420.86215064</v>
      </c>
      <c r="N55" s="288">
        <f>IF(F55&lt;&gt;"",M55/'Borrowing Base'!J5,"")</f>
        <v>0.25</v>
      </c>
      <c r="O55" s="293">
        <f>IF(F55&lt;&gt;"",'Loan List'!GL10,"")</f>
        <v>0</v>
      </c>
      <c r="P55" s="10"/>
    </row>
    <row r="56" spans="5:16" ht="15">
      <c r="E56" s="6">
        <v>2</v>
      </c>
      <c r="F56" s="3" t="str">
        <f>IF(ISERROR(VLOOKUP('Loan List'!GM11,Lookups!$E$2:$F$69,2,FALSE)),"",VLOOKUP('Loan List'!GM11,Lookups!$E$2:$F$69,2,FALSE))</f>
        <v>Media</v>
      </c>
      <c r="K56" s="293">
        <f>IF(F56&lt;&gt;"",'Loan List'!GJ11,"")</f>
        <v>105924673.35995001</v>
      </c>
      <c r="L56" s="294" t="str">
        <f t="shared" ref="L56:L65" si="0">IF(F56&lt;&gt;"","&lt;","")</f>
        <v>&lt;</v>
      </c>
      <c r="M56" s="293">
        <f>IF(F56&lt;&gt;"",'Loan List'!GK11,"")</f>
        <v>152892852.51729038</v>
      </c>
      <c r="N56" s="288">
        <f>IF(F56&lt;&gt;"",M56/'Borrowing Base'!J5,"")</f>
        <v>0.15</v>
      </c>
      <c r="O56" s="293">
        <f>IF(F56&lt;&gt;"",'Loan List'!GL11,"")</f>
        <v>0</v>
      </c>
      <c r="P56" s="10"/>
    </row>
    <row r="57" spans="5:16" ht="15">
      <c r="E57" s="6">
        <v>3</v>
      </c>
      <c r="F57" s="3" t="str">
        <f>IF(ISERROR(VLOOKUP('Loan List'!GM12,Lookups!$E$2:$F$69,2,FALSE)),"",VLOOKUP('Loan List'!GM12,Lookups!$E$2:$F$69,2,FALSE))</f>
        <v>Health Care Providers &amp; Services</v>
      </c>
      <c r="K57" s="293">
        <f>IF(F57&lt;&gt;"",'Loan List'!GJ12,"")</f>
        <v>84429923.036949992</v>
      </c>
      <c r="L57" s="294" t="str">
        <f t="shared" si="0"/>
        <v>&lt;</v>
      </c>
      <c r="M57" s="293">
        <f>IF(F57&lt;&gt;"",'Loan List'!GK12,"")</f>
        <v>152892852.51729038</v>
      </c>
      <c r="N57" s="288">
        <f>IF(F57&lt;&gt;"",M57/'Borrowing Base'!J5,"")</f>
        <v>0.15</v>
      </c>
      <c r="O57" s="293">
        <f>IF(F57&lt;&gt;"",'Loan List'!GL12,"")</f>
        <v>0</v>
      </c>
      <c r="P57" s="10"/>
    </row>
    <row r="58" spans="5:16" ht="15">
      <c r="E58" s="6">
        <v>4</v>
      </c>
      <c r="F58" s="3" t="str">
        <f>IF(ISERROR(VLOOKUP('Loan List'!GM13,Lookups!$E$2:$F$69,2,FALSE)),"",VLOOKUP('Loan List'!GM13,Lookups!$E$2:$F$69,2,FALSE))</f>
        <v>Professional Services</v>
      </c>
      <c r="K58" s="293">
        <f>IF(F58&lt;&gt;"",'Loan List'!GJ13,"")</f>
        <v>66360671.208000004</v>
      </c>
      <c r="L58" s="294" t="str">
        <f>IF(F58&lt;&gt;"","&lt;","")</f>
        <v>&lt;</v>
      </c>
      <c r="M58" s="293">
        <f>IF(F58&lt;&gt;"",'Loan List'!GK13,"")</f>
        <v>152892852.51729038</v>
      </c>
      <c r="N58" s="288">
        <f>IF(F58&lt;&gt;"",M58/'Borrowing Base'!J5,"")</f>
        <v>0.15</v>
      </c>
      <c r="O58" s="293">
        <f>IF(F58&lt;&gt;"",'Loan List'!GL13,"")</f>
        <v>0</v>
      </c>
      <c r="P58" s="10"/>
    </row>
    <row r="59" spans="5:16" ht="15">
      <c r="E59" s="6">
        <v>5</v>
      </c>
      <c r="F59" s="3" t="str">
        <f>IF(ISERROR(VLOOKUP('Loan List'!GM15,Lookups!$E$2:$F$69,2,FALSE)),"",VLOOKUP('Loan List'!GM15,Lookups!$E$2:$F$69,2,FALSE))</f>
        <v>Diversified Consumer Services</v>
      </c>
      <c r="K59" s="293">
        <f>IF(F59&lt;&gt;"",'Loan List'!GJ15,"")</f>
        <v>56358064.983802594</v>
      </c>
      <c r="L59" s="294" t="str">
        <f t="shared" si="0"/>
        <v>&lt;</v>
      </c>
      <c r="M59" s="293">
        <f>IF(F59&lt;&gt;"",'Loan List'!GK15,"")</f>
        <v>152892852.51729038</v>
      </c>
      <c r="N59" s="288">
        <f>IF(F59&lt;&gt;"",M59/'Borrowing Base'!J5,"")</f>
        <v>0.15</v>
      </c>
      <c r="O59" s="293">
        <f>IF(F59&lt;&gt;"",'Loan List'!GL15,"")</f>
        <v>0</v>
      </c>
      <c r="P59" s="10"/>
    </row>
    <row r="60" spans="5:16" ht="15">
      <c r="E60" s="6">
        <v>6</v>
      </c>
      <c r="F60" s="3" t="str">
        <f>IF(ISERROR(VLOOKUP('Loan List'!GM16,Lookups!$E$2:$F$69,2,FALSE)),"",VLOOKUP('Loan List'!GM16,Lookups!$E$2:$F$69,2,FALSE))</f>
        <v>Leisure Products</v>
      </c>
      <c r="K60" s="293">
        <f>IF(F60&lt;&gt;"",'Loan List'!GJ16,"")</f>
        <v>56100012.079999998</v>
      </c>
      <c r="L60" s="294" t="str">
        <f t="shared" si="0"/>
        <v>&lt;</v>
      </c>
      <c r="M60" s="293">
        <f>IF(F60&lt;&gt;"",'Loan List'!GK16,"")</f>
        <v>152892852.51729038</v>
      </c>
      <c r="N60" s="288">
        <f>IF(F60&lt;&gt;"",M60/'Borrowing Base'!J5,"")</f>
        <v>0.15</v>
      </c>
      <c r="O60" s="293">
        <f>IF(F60&lt;&gt;"",'Loan List'!GL16,"")</f>
        <v>0</v>
      </c>
      <c r="P60" s="10"/>
    </row>
    <row r="61" spans="5:16" ht="15">
      <c r="E61" s="6">
        <v>7</v>
      </c>
      <c r="F61" s="3" t="str">
        <f>IF(ISERROR(VLOOKUP('Loan List'!GM17,Lookups!$E$2:$F$69,2,FALSE)),"",VLOOKUP('Loan List'!GM17,Lookups!$E$2:$F$69,2,FALSE))</f>
        <v>Commercial Services &amp; Supplies</v>
      </c>
      <c r="K61" s="293">
        <f>IF(F61&lt;&gt;"",'Loan List'!GJ17,"")</f>
        <v>52656704</v>
      </c>
      <c r="L61" s="294" t="str">
        <f t="shared" si="0"/>
        <v>&lt;</v>
      </c>
      <c r="M61" s="293">
        <f>IF(F61&lt;&gt;"",'Loan List'!GK17,"")</f>
        <v>152892852.51729038</v>
      </c>
      <c r="N61" s="288">
        <f>IF(F61&lt;&gt;"",M61/'Borrowing Base'!J5,"")</f>
        <v>0.15</v>
      </c>
      <c r="O61" s="293">
        <f>IF(F61&lt;&gt;"",'Loan List'!GL17,"")</f>
        <v>0</v>
      </c>
      <c r="P61" s="10"/>
    </row>
    <row r="62" spans="5:16" ht="15">
      <c r="E62" s="6">
        <v>8</v>
      </c>
      <c r="F62" s="3" t="str">
        <f>IF(ISERROR(VLOOKUP('Loan List'!GM18,Lookups!$E$2:$F$69,2,FALSE)),"",VLOOKUP('Loan List'!GM18,Lookups!$E$2:$F$69,2,FALSE))</f>
        <v>Diversified Financial Services</v>
      </c>
      <c r="K62" s="293">
        <f>IF(F62&lt;&gt;"",'Loan List'!GJ18,"")</f>
        <v>51605988.703000002</v>
      </c>
      <c r="L62" s="294" t="str">
        <f t="shared" si="0"/>
        <v>&lt;</v>
      </c>
      <c r="M62" s="293">
        <f>IF(F62&lt;&gt;"",'Loan List'!GK18,"")</f>
        <v>152892852.51729038</v>
      </c>
      <c r="N62" s="288">
        <f>IF(F62&lt;&gt;"",M62/'Borrowing Base'!J5,"")</f>
        <v>0.15</v>
      </c>
      <c r="O62" s="293">
        <f>IF(F62&lt;&gt;"",'Loan List'!GL18,"")</f>
        <v>0</v>
      </c>
      <c r="P62" s="10"/>
    </row>
    <row r="63" spans="5:16" ht="15">
      <c r="E63" s="6">
        <v>9</v>
      </c>
      <c r="F63" s="3" t="str">
        <f>IF(ISERROR(VLOOKUP('Loan List'!GM20,Lookups!$E$2:$F$69,2,FALSE)),"",VLOOKUP('Loan List'!GM20,Lookups!$E$2:$F$69,2,FALSE))</f>
        <v>Personal Products</v>
      </c>
      <c r="K63" s="293">
        <f>IF(F63&lt;&gt;"",'Loan List'!GJ20,"")</f>
        <v>48659572.185049996</v>
      </c>
      <c r="L63" s="294" t="str">
        <f t="shared" si="0"/>
        <v>&lt;</v>
      </c>
      <c r="M63" s="293">
        <f>IF(F63&lt;&gt;"",'Loan List'!GK20,"")</f>
        <v>152892852.51729038</v>
      </c>
      <c r="N63" s="288">
        <f>IF(F63&lt;&gt;"",M63/'Borrowing Base'!J5,"")</f>
        <v>0.15</v>
      </c>
      <c r="O63" s="293">
        <f>IF(F63&lt;&gt;"",'Loan List'!GL20,"")</f>
        <v>0</v>
      </c>
      <c r="P63" s="10"/>
    </row>
    <row r="64" spans="5:16" ht="15">
      <c r="E64" s="6">
        <v>10</v>
      </c>
      <c r="F64" s="3" t="str">
        <f>IF(ISERROR(VLOOKUP('Loan List'!GM21,Lookups!$E$2:$F$69,2,FALSE)),"",VLOOKUP('Loan List'!GM21,Lookups!$E$2:$F$69,2,FALSE))</f>
        <v>Construction &amp; Engineering</v>
      </c>
      <c r="K64" s="293">
        <f>IF(F64&lt;&gt;"",'Loan List'!GJ21,"")</f>
        <v>46330725.82</v>
      </c>
      <c r="L64" s="294" t="str">
        <f>IF(F64&lt;&gt;"","&lt;","")</f>
        <v>&lt;</v>
      </c>
      <c r="M64" s="293">
        <f>IF(F64&lt;&gt;"",'Loan List'!GK21,"")</f>
        <v>152892852.51729038</v>
      </c>
      <c r="N64" s="288">
        <f>IF(F64&lt;&gt;"",M64/'Borrowing Base'!J5,"")</f>
        <v>0.15</v>
      </c>
      <c r="O64" s="293">
        <f>IF(F64&lt;&gt;"",'Loan List'!GL21,"")</f>
        <v>0</v>
      </c>
      <c r="P64" s="10"/>
    </row>
    <row r="65" spans="6:16" ht="15">
      <c r="F65" s="465"/>
      <c r="G65" s="465"/>
      <c r="H65" s="465"/>
      <c r="I65" s="465"/>
      <c r="J65" s="465"/>
      <c r="K65" s="293"/>
      <c r="L65" s="294" t="str">
        <f t="shared" si="0"/>
        <v/>
      </c>
      <c r="M65" s="293" t="str">
        <f>IF(F65&lt;&gt;"",'Loan List'!GK22,"")</f>
        <v/>
      </c>
      <c r="N65" s="288" t="str">
        <f>IF(F65&lt;&gt;"",M65/'Borrowing Base'!J5,"")</f>
        <v/>
      </c>
      <c r="O65" s="293"/>
      <c r="P65" s="10"/>
    </row>
    <row r="67" spans="6:16">
      <c r="F67" s="7" t="s">
        <v>278</v>
      </c>
      <c r="O67" s="297">
        <f>SUM(O21:O39)+SUM(O42:O51)+SUM(O55:O64)</f>
        <v>956213.27491821314</v>
      </c>
      <c r="P67" s="298"/>
    </row>
    <row r="69" spans="6:16">
      <c r="O69" s="299"/>
    </row>
  </sheetData>
  <dataConsolidate link="1"/>
  <mergeCells count="1">
    <mergeCell ref="F65:J65"/>
  </mergeCells>
  <conditionalFormatting sqref="O5 O7 O11">
    <cfRule type="cellIs" dxfId="7" priority="2" operator="equal">
      <formula>"FAIL"</formula>
    </cfRule>
  </conditionalFormatting>
  <conditionalFormatting sqref="O15">
    <cfRule type="cellIs" dxfId="6" priority="1" operator="equal">
      <formula>"FAIL"</formula>
    </cfRule>
  </conditionalFormatting>
  <pageMargins left="0.7" right="0.7" top="0.75" bottom="0.75" header="0.3" footer="0.3"/>
  <pageSetup paperSize="3" scale="60" orientation="portrait" r:id="rId1"/>
  <headerFooter>
    <oddFooter>&amp;L&amp;Z&amp;F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O93"/>
  <sheetViews>
    <sheetView showGridLines="0" zoomScaleNormal="100" workbookViewId="0"/>
  </sheetViews>
  <sheetFormatPr defaultRowHeight="15"/>
  <cols>
    <col min="1" max="1" width="2.85546875" customWidth="1"/>
    <col min="2" max="4" width="4.7109375" customWidth="1"/>
    <col min="5" max="5" width="24.7109375" customWidth="1"/>
    <col min="6" max="6" width="18.5703125" customWidth="1"/>
    <col min="7" max="7" width="9.85546875" customWidth="1"/>
    <col min="8" max="8" width="20.7109375" customWidth="1"/>
    <col min="9" max="9" width="7.7109375" customWidth="1"/>
    <col min="10" max="10" width="20.7109375" customWidth="1"/>
    <col min="11" max="11" width="14.85546875" bestFit="1" customWidth="1"/>
    <col min="12" max="12" width="11.140625" style="300" bestFit="1" customWidth="1"/>
    <col min="13" max="14" width="13.28515625" bestFit="1" customWidth="1"/>
    <col min="15" max="15" width="14.28515625" bestFit="1" customWidth="1"/>
  </cols>
  <sheetData>
    <row r="1" spans="1:14" ht="18">
      <c r="A1" s="1" t="str">
        <f>'Borrowing Base'!A1</f>
        <v>PENNANTPARK FLOATING RATE FUNDING I, LLC</v>
      </c>
      <c r="B1" s="2"/>
      <c r="C1" s="2"/>
      <c r="D1" s="2"/>
      <c r="E1" s="2"/>
      <c r="F1" s="2"/>
      <c r="G1" s="2"/>
      <c r="H1" s="2"/>
      <c r="I1" s="2"/>
      <c r="J1" s="2"/>
    </row>
    <row r="2" spans="1:14" ht="15.75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</row>
    <row r="4" spans="1:14">
      <c r="A4" s="280"/>
      <c r="B4" s="280"/>
      <c r="C4" s="280"/>
      <c r="D4" s="280"/>
      <c r="E4" s="280"/>
      <c r="F4" s="280"/>
      <c r="G4" s="280"/>
      <c r="H4" s="280"/>
      <c r="I4" s="280"/>
      <c r="J4" s="280"/>
    </row>
    <row r="5" spans="1:14">
      <c r="A5" s="7" t="s">
        <v>61</v>
      </c>
      <c r="B5" s="3"/>
      <c r="C5" s="3"/>
      <c r="D5" s="3"/>
      <c r="E5" s="3"/>
      <c r="F5" s="3"/>
      <c r="G5" s="3"/>
      <c r="H5" s="3"/>
      <c r="I5" s="3"/>
      <c r="J5" s="301" t="str">
        <f>IF(AND(J7="PASS",J14="PASS"),"PASS","FAIL")</f>
        <v>PASS</v>
      </c>
      <c r="L5" s="347"/>
      <c r="M5" s="10"/>
      <c r="N5" s="10"/>
    </row>
    <row r="6" spans="1:14">
      <c r="A6" s="3"/>
      <c r="B6" s="3"/>
      <c r="C6" s="3"/>
      <c r="D6" s="3"/>
      <c r="E6" s="3"/>
      <c r="F6" s="3"/>
      <c r="G6" s="3"/>
      <c r="H6" s="3"/>
      <c r="I6" s="3"/>
      <c r="J6" s="3"/>
    </row>
    <row r="7" spans="1:14">
      <c r="A7" s="7" t="s">
        <v>279</v>
      </c>
      <c r="B7" s="3"/>
      <c r="C7" s="3"/>
      <c r="D7" s="3"/>
      <c r="E7" s="3"/>
      <c r="F7" s="3"/>
      <c r="G7" s="3"/>
      <c r="H7" s="3"/>
      <c r="I7" s="3"/>
      <c r="J7" s="301" t="str">
        <f>IF(J8&lt;=J9,"PASS",IF(AND(J8&gt;J9,J8&lt;=103.5%*J9),"CASH TRAP","FAIL"))</f>
        <v>PASS</v>
      </c>
    </row>
    <row r="8" spans="1:14">
      <c r="A8" s="3"/>
      <c r="B8" s="3" t="s">
        <v>54</v>
      </c>
      <c r="C8" s="3" t="s">
        <v>280</v>
      </c>
      <c r="D8" s="3"/>
      <c r="E8" s="3"/>
      <c r="F8" s="3"/>
      <c r="G8" s="3"/>
      <c r="H8" s="3"/>
      <c r="I8" s="3"/>
      <c r="J8" s="302">
        <f>'Borrowing Base'!J46</f>
        <v>683842760</v>
      </c>
    </row>
    <row r="9" spans="1:14">
      <c r="A9" s="3"/>
      <c r="B9" s="3" t="s">
        <v>56</v>
      </c>
      <c r="C9" s="3" t="s">
        <v>55</v>
      </c>
      <c r="D9" s="3"/>
      <c r="E9" s="3"/>
      <c r="F9" s="3"/>
      <c r="G9" s="3"/>
      <c r="H9" s="3"/>
      <c r="I9" s="3"/>
      <c r="J9" s="302">
        <f>'Borrowing Base'!J50</f>
        <v>692321077.58009839</v>
      </c>
    </row>
    <row r="10" spans="1:14">
      <c r="A10" s="3"/>
      <c r="B10" s="3"/>
      <c r="C10" s="303" t="s">
        <v>281</v>
      </c>
      <c r="D10" s="298"/>
      <c r="E10" s="298"/>
      <c r="F10" s="298"/>
      <c r="G10" s="298"/>
      <c r="H10" s="298"/>
      <c r="I10" s="3"/>
      <c r="J10" s="304" t="s">
        <v>245</v>
      </c>
    </row>
    <row r="11" spans="1:14">
      <c r="A11" s="3"/>
      <c r="B11" s="3"/>
      <c r="C11" s="303" t="s">
        <v>282</v>
      </c>
      <c r="D11" s="298"/>
      <c r="E11" s="298"/>
      <c r="F11" s="298"/>
      <c r="G11" s="298"/>
      <c r="H11" s="298"/>
      <c r="I11" s="3"/>
      <c r="J11" s="304" t="s">
        <v>245</v>
      </c>
    </row>
    <row r="12" spans="1:14">
      <c r="A12" s="3"/>
      <c r="B12" s="3"/>
      <c r="C12" s="303" t="s">
        <v>283</v>
      </c>
      <c r="D12" s="298"/>
      <c r="E12" s="298"/>
      <c r="F12" s="298"/>
      <c r="G12" s="298"/>
      <c r="H12" s="298"/>
      <c r="I12" s="3"/>
      <c r="J12" s="305" t="s">
        <v>245</v>
      </c>
    </row>
    <row r="13" spans="1:14">
      <c r="A13" s="3"/>
      <c r="B13" s="3"/>
      <c r="C13" s="306" t="s">
        <v>284</v>
      </c>
      <c r="D13" s="3"/>
      <c r="E13" s="3"/>
      <c r="F13" s="3"/>
      <c r="G13" s="3"/>
      <c r="H13" s="3"/>
      <c r="I13" s="3"/>
      <c r="J13" s="3"/>
    </row>
    <row r="14" spans="1:14">
      <c r="A14" s="7" t="s">
        <v>285</v>
      </c>
      <c r="B14" s="3"/>
      <c r="C14" s="3"/>
      <c r="D14" s="3"/>
      <c r="E14" s="3"/>
      <c r="F14" s="3"/>
      <c r="G14" s="3"/>
      <c r="H14" s="284"/>
      <c r="I14" s="3"/>
      <c r="J14" s="301" t="str">
        <f>IF(J19&gt;=J20,"PASS","FAIL")</f>
        <v>PASS</v>
      </c>
    </row>
    <row r="15" spans="1:14">
      <c r="A15" s="7"/>
      <c r="B15" s="3"/>
      <c r="C15" s="3" t="s">
        <v>286</v>
      </c>
      <c r="D15" s="3"/>
      <c r="E15" s="3"/>
      <c r="F15" s="3"/>
      <c r="G15" s="3"/>
      <c r="H15" s="284"/>
      <c r="I15" s="3"/>
      <c r="J15" s="88">
        <v>15001172.010000002</v>
      </c>
      <c r="L15" s="307"/>
      <c r="M15" s="307"/>
    </row>
    <row r="16" spans="1:14">
      <c r="A16" s="7"/>
      <c r="B16" s="3"/>
      <c r="C16" s="308" t="s">
        <v>287</v>
      </c>
      <c r="D16" s="3"/>
      <c r="E16" s="3"/>
      <c r="F16" s="3"/>
      <c r="G16" s="3"/>
      <c r="H16" s="284"/>
      <c r="I16" s="3"/>
      <c r="J16" s="88">
        <v>5672232.9115295997</v>
      </c>
      <c r="L16" s="307"/>
      <c r="M16" s="307"/>
    </row>
    <row r="17" spans="1:13">
      <c r="A17" s="7"/>
      <c r="B17" s="3"/>
      <c r="C17" s="308" t="s">
        <v>288</v>
      </c>
      <c r="D17" s="3"/>
      <c r="E17" s="3"/>
      <c r="F17" s="3"/>
      <c r="G17" s="3"/>
      <c r="H17" s="284"/>
      <c r="I17" s="3"/>
      <c r="J17" s="88">
        <v>58042.629259085094</v>
      </c>
      <c r="L17" s="307"/>
      <c r="M17" s="307"/>
    </row>
    <row r="18" spans="1:13">
      <c r="A18" s="7"/>
      <c r="B18" s="3"/>
      <c r="C18" s="308" t="s">
        <v>289</v>
      </c>
      <c r="D18" s="3"/>
      <c r="E18" s="3"/>
      <c r="F18" s="3"/>
      <c r="G18" s="3"/>
      <c r="H18" s="284"/>
      <c r="I18" s="3"/>
      <c r="J18" s="88">
        <v>844246.28695496358</v>
      </c>
      <c r="K18" s="323"/>
      <c r="L18" s="307"/>
      <c r="M18" s="307"/>
    </row>
    <row r="19" spans="1:13">
      <c r="A19" s="7"/>
      <c r="B19" s="3" t="s">
        <v>54</v>
      </c>
      <c r="C19" s="3" t="s">
        <v>290</v>
      </c>
      <c r="D19" s="3"/>
      <c r="E19" s="3"/>
      <c r="F19" s="3"/>
      <c r="G19" s="3"/>
      <c r="H19" s="284"/>
      <c r="I19" s="3"/>
      <c r="J19" s="14">
        <f>J15/SUM(J16:J18)</f>
        <v>2.2817130132106276</v>
      </c>
      <c r="K19" s="396"/>
    </row>
    <row r="20" spans="1:13">
      <c r="A20" s="3"/>
      <c r="B20" s="3" t="s">
        <v>56</v>
      </c>
      <c r="C20" s="3" t="s">
        <v>261</v>
      </c>
      <c r="D20" s="3"/>
      <c r="E20" s="285"/>
      <c r="F20" s="285"/>
      <c r="G20" s="285"/>
      <c r="H20" s="286"/>
      <c r="I20" s="3"/>
      <c r="J20" s="14">
        <v>1.25</v>
      </c>
    </row>
    <row r="21" spans="1:13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3">
      <c r="A22" s="280"/>
      <c r="B22" s="280"/>
      <c r="C22" s="280"/>
      <c r="D22" s="280"/>
      <c r="E22" s="280"/>
      <c r="F22" s="280"/>
      <c r="G22" s="280"/>
      <c r="H22" s="280"/>
      <c r="I22" s="280"/>
      <c r="J22" s="280"/>
    </row>
    <row r="23" spans="1:13">
      <c r="A23" s="30" t="s">
        <v>291</v>
      </c>
      <c r="B23" s="3"/>
      <c r="C23" s="39"/>
      <c r="D23" s="3"/>
      <c r="E23" s="30"/>
      <c r="F23" s="18"/>
      <c r="G23" s="18"/>
      <c r="H23" s="18"/>
      <c r="I23" s="18"/>
      <c r="J23" s="301" t="str">
        <f>IF(AND(J25="PASS",J29="PASS"),"PASS","FAIL")</f>
        <v>PASS</v>
      </c>
    </row>
    <row r="24" spans="1:13">
      <c r="A24" s="30"/>
      <c r="B24" s="3"/>
      <c r="C24" s="39"/>
      <c r="D24" s="18"/>
      <c r="E24" s="30"/>
      <c r="F24" s="18"/>
      <c r="G24" s="18"/>
      <c r="H24" s="18"/>
      <c r="I24" s="18"/>
      <c r="J24" s="43"/>
    </row>
    <row r="25" spans="1:13">
      <c r="A25" s="30" t="s">
        <v>292</v>
      </c>
      <c r="B25" s="3"/>
      <c r="C25" s="39"/>
      <c r="D25" s="18"/>
      <c r="E25" s="30"/>
      <c r="F25" s="18"/>
      <c r="G25" s="18"/>
      <c r="H25" s="18"/>
      <c r="I25" s="18"/>
      <c r="J25" s="301" t="str">
        <f>IF(J26&gt;=J27,"PASS","FAIL")</f>
        <v>PASS</v>
      </c>
    </row>
    <row r="26" spans="1:13">
      <c r="A26" s="30"/>
      <c r="B26" s="3" t="s">
        <v>54</v>
      </c>
      <c r="C26" s="3" t="s">
        <v>293</v>
      </c>
      <c r="D26" s="18"/>
      <c r="E26" s="30"/>
      <c r="F26" s="18"/>
      <c r="G26" s="18"/>
      <c r="H26" s="18"/>
      <c r="I26" s="309"/>
      <c r="J26" s="310">
        <v>10</v>
      </c>
      <c r="K26" s="311" t="s">
        <v>294</v>
      </c>
      <c r="L26" s="312">
        <v>45747</v>
      </c>
      <c r="M26" s="307" t="s">
        <v>247</v>
      </c>
    </row>
    <row r="27" spans="1:13">
      <c r="A27" s="30"/>
      <c r="B27" s="3" t="s">
        <v>56</v>
      </c>
      <c r="C27" s="3" t="s">
        <v>295</v>
      </c>
      <c r="D27" s="18"/>
      <c r="E27" s="30"/>
      <c r="F27" s="18"/>
      <c r="G27" s="18"/>
      <c r="H27" s="18"/>
      <c r="I27" s="18"/>
      <c r="J27" s="313">
        <v>0.55000000000000004</v>
      </c>
      <c r="K27" s="311" t="s">
        <v>294</v>
      </c>
    </row>
    <row r="28" spans="1:13">
      <c r="A28" s="30"/>
      <c r="B28" s="3"/>
      <c r="C28" s="39"/>
      <c r="D28" s="18"/>
      <c r="E28" s="30"/>
      <c r="F28" s="18"/>
      <c r="G28" s="18"/>
      <c r="H28" s="18"/>
      <c r="I28" s="18"/>
      <c r="J28" s="43"/>
    </row>
    <row r="29" spans="1:13">
      <c r="A29" s="30" t="s">
        <v>296</v>
      </c>
      <c r="B29" s="3"/>
      <c r="C29" s="39"/>
      <c r="D29" s="18"/>
      <c r="E29" s="30"/>
      <c r="F29" s="18"/>
      <c r="G29" s="18"/>
      <c r="H29" s="18"/>
      <c r="I29" s="18"/>
      <c r="J29" s="314" t="s">
        <v>297</v>
      </c>
    </row>
    <row r="30" spans="1:13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3">
      <c r="A31" s="280"/>
      <c r="B31" s="280"/>
      <c r="C31" s="280"/>
      <c r="D31" s="280"/>
      <c r="E31" s="280"/>
      <c r="F31" s="280"/>
      <c r="G31" s="280"/>
      <c r="H31" s="280"/>
      <c r="I31" s="280"/>
      <c r="J31" s="280"/>
    </row>
    <row r="32" spans="1:13">
      <c r="A32" s="30" t="s">
        <v>298</v>
      </c>
      <c r="B32" s="3"/>
      <c r="C32" s="3"/>
      <c r="D32" s="3"/>
      <c r="E32" s="3"/>
      <c r="F32" s="3"/>
      <c r="G32" s="3"/>
      <c r="H32" s="3"/>
      <c r="I32" s="3"/>
      <c r="J32" s="3"/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5">
      <c r="A34" s="7" t="s">
        <v>299</v>
      </c>
      <c r="B34" s="3"/>
      <c r="C34" s="3"/>
      <c r="D34" s="3"/>
      <c r="E34" s="3"/>
      <c r="F34" s="3"/>
      <c r="G34" s="3"/>
      <c r="H34" s="3"/>
      <c r="I34" s="3"/>
      <c r="J34" s="301" t="str">
        <f>IF(J35&lt;=J36,"PASS","FAIL")</f>
        <v>PASS</v>
      </c>
    </row>
    <row r="35" spans="1:15">
      <c r="A35" s="3"/>
      <c r="B35" s="3" t="s">
        <v>54</v>
      </c>
      <c r="C35" s="3" t="s">
        <v>300</v>
      </c>
      <c r="D35" s="3"/>
      <c r="E35" s="3"/>
      <c r="F35" s="3"/>
      <c r="G35" s="3"/>
      <c r="H35" s="3"/>
      <c r="I35" s="3"/>
      <c r="J35" s="14">
        <f>(H51*(1-J51))/(J66)</f>
        <v>4.6539704186977383E-3</v>
      </c>
    </row>
    <row r="36" spans="1:15">
      <c r="A36" s="3"/>
      <c r="B36" s="3" t="s">
        <v>56</v>
      </c>
      <c r="C36" s="3" t="s">
        <v>259</v>
      </c>
      <c r="D36" s="3"/>
      <c r="E36" s="3"/>
      <c r="F36" s="3"/>
      <c r="G36" s="3"/>
      <c r="H36" s="3"/>
      <c r="I36" s="3"/>
      <c r="J36" s="14">
        <v>0.1</v>
      </c>
    </row>
    <row r="37" spans="1:1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5">
      <c r="A38" s="3"/>
      <c r="B38" s="3"/>
      <c r="C38" s="3"/>
      <c r="D38" s="7" t="s">
        <v>301</v>
      </c>
      <c r="E38" s="7"/>
      <c r="F38" s="3"/>
      <c r="G38" s="3"/>
      <c r="H38" s="294" t="s">
        <v>302</v>
      </c>
      <c r="I38" s="294"/>
      <c r="J38" s="294" t="s">
        <v>122</v>
      </c>
    </row>
    <row r="39" spans="1:15">
      <c r="A39" s="3"/>
      <c r="B39" s="3"/>
      <c r="C39" s="3"/>
      <c r="D39" s="3" t="s">
        <v>303</v>
      </c>
      <c r="E39" s="3"/>
      <c r="F39" s="3"/>
      <c r="G39" s="3"/>
      <c r="H39" s="88"/>
      <c r="I39" s="3"/>
      <c r="J39" s="315">
        <v>0.5</v>
      </c>
      <c r="M39" s="316"/>
      <c r="N39" s="316"/>
      <c r="O39" s="317"/>
    </row>
    <row r="40" spans="1:15">
      <c r="A40" s="3"/>
      <c r="B40" s="3"/>
      <c r="C40" s="3"/>
      <c r="D40" s="3" t="s">
        <v>304</v>
      </c>
      <c r="E40" s="3"/>
      <c r="F40" s="3"/>
      <c r="G40" s="3"/>
      <c r="H40" s="88"/>
      <c r="I40" s="3"/>
      <c r="J40" s="315">
        <v>0.5</v>
      </c>
      <c r="M40" s="316"/>
      <c r="N40" s="316"/>
      <c r="O40" s="317"/>
    </row>
    <row r="41" spans="1:15">
      <c r="A41" s="3"/>
      <c r="B41" s="3"/>
      <c r="C41" s="3"/>
      <c r="D41" s="3" t="s">
        <v>305</v>
      </c>
      <c r="E41" s="3"/>
      <c r="F41" s="3"/>
      <c r="G41" s="3"/>
      <c r="H41" s="88"/>
      <c r="I41" s="3"/>
      <c r="J41" s="315">
        <v>0.5</v>
      </c>
      <c r="M41" s="316"/>
      <c r="N41" s="316"/>
      <c r="O41" s="317"/>
    </row>
    <row r="42" spans="1:15">
      <c r="A42" s="3"/>
      <c r="B42" s="3"/>
      <c r="C42" s="3"/>
      <c r="D42" s="3" t="s">
        <v>306</v>
      </c>
      <c r="E42" s="3"/>
      <c r="F42" s="3"/>
      <c r="G42" s="3"/>
      <c r="H42" s="88"/>
      <c r="I42" s="3"/>
      <c r="J42" s="315">
        <v>0.5</v>
      </c>
      <c r="M42" s="316"/>
      <c r="N42" s="316"/>
      <c r="O42" s="317"/>
    </row>
    <row r="43" spans="1:15">
      <c r="A43" s="3"/>
      <c r="B43" s="3"/>
      <c r="C43" s="3"/>
      <c r="D43" s="3" t="s">
        <v>307</v>
      </c>
      <c r="E43" s="3"/>
      <c r="F43" s="3"/>
      <c r="G43" s="3"/>
      <c r="H43" s="88"/>
      <c r="I43" s="3"/>
      <c r="J43" s="315">
        <v>0.5</v>
      </c>
      <c r="M43" s="316"/>
      <c r="N43" s="316"/>
      <c r="O43" s="317"/>
    </row>
    <row r="44" spans="1:15">
      <c r="A44" s="3"/>
      <c r="B44" s="3"/>
      <c r="C44" s="3"/>
      <c r="D44" s="3" t="s">
        <v>308</v>
      </c>
      <c r="E44" s="3"/>
      <c r="F44" s="3"/>
      <c r="G44" s="3"/>
      <c r="H44" s="88"/>
      <c r="I44" s="3"/>
      <c r="J44" s="315">
        <v>0.5</v>
      </c>
      <c r="M44" s="316"/>
      <c r="N44" s="316"/>
    </row>
    <row r="45" spans="1:15">
      <c r="A45" s="3"/>
      <c r="B45" s="3"/>
      <c r="C45" s="3"/>
      <c r="D45" s="3" t="s">
        <v>309</v>
      </c>
      <c r="E45" s="3"/>
      <c r="F45" s="3"/>
      <c r="G45" s="3"/>
      <c r="H45" s="88"/>
      <c r="I45" s="3"/>
      <c r="J45" s="315">
        <v>0.5</v>
      </c>
      <c r="M45" s="316"/>
      <c r="N45" s="316"/>
    </row>
    <row r="46" spans="1:15">
      <c r="A46" s="3"/>
      <c r="B46" s="3"/>
      <c r="C46" s="3"/>
      <c r="D46" s="3" t="s">
        <v>310</v>
      </c>
      <c r="E46" s="3"/>
      <c r="F46" s="3"/>
      <c r="G46" s="3"/>
      <c r="H46" s="88">
        <v>7050492.5599999996</v>
      </c>
      <c r="I46" s="3"/>
      <c r="J46" s="315">
        <v>0.5</v>
      </c>
      <c r="M46" s="316"/>
      <c r="N46" s="316"/>
    </row>
    <row r="47" spans="1:15">
      <c r="A47" s="3"/>
      <c r="B47" s="3"/>
      <c r="C47" s="3"/>
      <c r="D47" s="3" t="s">
        <v>311</v>
      </c>
      <c r="E47" s="3"/>
      <c r="F47" s="3"/>
      <c r="G47" s="3"/>
      <c r="H47" s="88"/>
      <c r="I47" s="3"/>
      <c r="J47" s="315">
        <v>0.5</v>
      </c>
      <c r="M47" s="316"/>
      <c r="N47" s="316"/>
    </row>
    <row r="48" spans="1:15">
      <c r="A48" s="3"/>
      <c r="B48" s="3"/>
      <c r="C48" s="3"/>
      <c r="D48" s="3" t="s">
        <v>312</v>
      </c>
      <c r="E48" s="3"/>
      <c r="F48" s="3"/>
      <c r="G48" s="3"/>
      <c r="H48" s="88"/>
      <c r="I48" s="3"/>
      <c r="J48" s="315">
        <v>0.5</v>
      </c>
      <c r="M48" s="316"/>
      <c r="N48" s="316"/>
    </row>
    <row r="49" spans="1:13">
      <c r="A49" s="3"/>
      <c r="B49" s="3"/>
      <c r="C49" s="3"/>
      <c r="D49" s="3" t="s">
        <v>313</v>
      </c>
      <c r="E49" s="3"/>
      <c r="F49" s="3"/>
      <c r="G49" s="3"/>
      <c r="H49" s="88"/>
      <c r="I49" s="3"/>
      <c r="J49" s="315">
        <v>0.5</v>
      </c>
      <c r="M49" s="317"/>
    </row>
    <row r="50" spans="1:13">
      <c r="A50" s="3"/>
      <c r="B50" s="3"/>
      <c r="C50" s="3"/>
      <c r="D50" s="3" t="s">
        <v>314</v>
      </c>
      <c r="E50" s="3"/>
      <c r="F50" s="3"/>
      <c r="G50" s="3"/>
      <c r="H50" s="88"/>
      <c r="I50" s="3"/>
      <c r="J50" s="315">
        <v>0.5</v>
      </c>
      <c r="M50" s="317"/>
    </row>
    <row r="51" spans="1:13">
      <c r="A51" s="3"/>
      <c r="B51" s="3"/>
      <c r="C51" s="3"/>
      <c r="D51" s="7" t="s">
        <v>87</v>
      </c>
      <c r="E51" s="3"/>
      <c r="F51" s="3"/>
      <c r="G51" s="3"/>
      <c r="H51" s="318">
        <f>SUM(H39:H50)</f>
        <v>7050492.5599999996</v>
      </c>
      <c r="I51" s="3"/>
      <c r="J51" s="319">
        <f>IFERROR(SUMPRODUCT(J39:J50,H39:H50)/SUM(H39:H50),0)</f>
        <v>0.5</v>
      </c>
    </row>
    <row r="52" spans="1:13">
      <c r="A52" s="3"/>
      <c r="B52" s="3"/>
      <c r="C52" s="3"/>
      <c r="D52" s="3"/>
      <c r="E52" s="3"/>
      <c r="F52" s="3"/>
      <c r="G52" s="3"/>
      <c r="H52" s="320"/>
      <c r="I52" s="3"/>
      <c r="J52" s="320"/>
    </row>
    <row r="53" spans="1:13">
      <c r="A53" s="3"/>
      <c r="B53" s="3"/>
      <c r="C53" s="3"/>
      <c r="D53" s="7" t="s">
        <v>315</v>
      </c>
      <c r="E53" s="7"/>
      <c r="F53" s="3"/>
      <c r="G53" s="3"/>
      <c r="H53" s="320"/>
      <c r="I53" s="294"/>
      <c r="J53" s="294" t="s">
        <v>302</v>
      </c>
    </row>
    <row r="54" spans="1:13">
      <c r="A54" s="3"/>
      <c r="B54" s="3"/>
      <c r="C54" s="3"/>
      <c r="D54" s="3" t="s">
        <v>303</v>
      </c>
      <c r="E54" s="3"/>
      <c r="F54" s="3"/>
      <c r="G54" s="3"/>
      <c r="H54" s="320"/>
      <c r="I54" s="3"/>
      <c r="J54" s="88">
        <f>+'Loan List'!K7</f>
        <v>1033457428.7786025</v>
      </c>
    </row>
    <row r="55" spans="1:13">
      <c r="A55" s="3"/>
      <c r="B55" s="3"/>
      <c r="C55" s="3"/>
      <c r="D55" s="3" t="s">
        <v>304</v>
      </c>
      <c r="E55" s="3"/>
      <c r="F55" s="3"/>
      <c r="G55" s="3"/>
      <c r="H55" s="320"/>
      <c r="I55" s="3"/>
      <c r="J55" s="88">
        <v>680332763.44430363</v>
      </c>
      <c r="M55" s="426"/>
    </row>
    <row r="56" spans="1:13">
      <c r="A56" s="3"/>
      <c r="B56" s="3"/>
      <c r="C56" s="3"/>
      <c r="D56" s="3" t="s">
        <v>305</v>
      </c>
      <c r="E56" s="3"/>
      <c r="F56" s="3"/>
      <c r="G56" s="3"/>
      <c r="H56" s="320"/>
      <c r="I56" s="3"/>
      <c r="J56" s="88">
        <v>671229076.53233695</v>
      </c>
      <c r="M56" s="426"/>
    </row>
    <row r="57" spans="1:13">
      <c r="A57" s="3"/>
      <c r="B57" s="3"/>
      <c r="C57" s="3"/>
      <c r="D57" s="3" t="s">
        <v>306</v>
      </c>
      <c r="E57" s="3"/>
      <c r="F57" s="3"/>
      <c r="G57" s="3"/>
      <c r="H57" s="320"/>
      <c r="I57" s="3"/>
      <c r="J57" s="88">
        <v>624254211.51626444</v>
      </c>
      <c r="L57" s="427"/>
      <c r="M57" s="426"/>
    </row>
    <row r="58" spans="1:13">
      <c r="A58" s="3"/>
      <c r="B58" s="3"/>
      <c r="C58" s="3"/>
      <c r="D58" s="3" t="s">
        <v>307</v>
      </c>
      <c r="E58" s="3"/>
      <c r="F58" s="3"/>
      <c r="G58" s="3"/>
      <c r="H58" s="320"/>
      <c r="I58" s="3"/>
      <c r="J58" s="88">
        <v>592991127.98509002</v>
      </c>
      <c r="M58" s="426"/>
    </row>
    <row r="59" spans="1:13">
      <c r="A59" s="3"/>
      <c r="B59" s="3"/>
      <c r="C59" s="3"/>
      <c r="D59" s="3" t="s">
        <v>308</v>
      </c>
      <c r="E59" s="3"/>
      <c r="F59" s="3"/>
      <c r="G59" s="3"/>
      <c r="H59" s="320"/>
      <c r="I59" s="3"/>
      <c r="J59" s="88">
        <v>614504434.03603494</v>
      </c>
      <c r="M59" s="426"/>
    </row>
    <row r="60" spans="1:13">
      <c r="A60" s="3"/>
      <c r="B60" s="3"/>
      <c r="C60" s="3"/>
      <c r="D60" s="3" t="s">
        <v>309</v>
      </c>
      <c r="E60" s="3"/>
      <c r="F60" s="3"/>
      <c r="G60" s="3"/>
      <c r="H60" s="320"/>
      <c r="I60" s="3"/>
      <c r="J60" s="88">
        <v>1003938194.2441279</v>
      </c>
      <c r="M60" s="426"/>
    </row>
    <row r="61" spans="1:13">
      <c r="A61" s="3"/>
      <c r="B61" s="3"/>
      <c r="C61" s="3"/>
      <c r="D61" s="3" t="s">
        <v>310</v>
      </c>
      <c r="E61" s="3"/>
      <c r="F61" s="3"/>
      <c r="G61" s="3"/>
      <c r="H61" s="320"/>
      <c r="I61" s="3"/>
      <c r="J61" s="88">
        <v>977808088.85755622</v>
      </c>
      <c r="M61" s="426"/>
    </row>
    <row r="62" spans="1:13">
      <c r="A62" s="3"/>
      <c r="B62" s="3"/>
      <c r="C62" s="3"/>
      <c r="D62" s="3" t="s">
        <v>311</v>
      </c>
      <c r="E62" s="3"/>
      <c r="F62" s="3"/>
      <c r="G62" s="3"/>
      <c r="H62" s="320"/>
      <c r="I62" s="3"/>
      <c r="J62" s="88">
        <v>863084085.44195414</v>
      </c>
      <c r="M62" s="426"/>
    </row>
    <row r="63" spans="1:13">
      <c r="A63" s="3"/>
      <c r="B63" s="3"/>
      <c r="C63" s="3"/>
      <c r="D63" s="3" t="s">
        <v>312</v>
      </c>
      <c r="E63" s="3"/>
      <c r="F63" s="3"/>
      <c r="G63" s="3"/>
      <c r="H63" s="320"/>
      <c r="I63" s="3"/>
      <c r="J63" s="88">
        <v>812286908.20285046</v>
      </c>
      <c r="M63" s="426"/>
    </row>
    <row r="64" spans="1:13">
      <c r="A64" s="3"/>
      <c r="B64" s="3"/>
      <c r="C64" s="3"/>
      <c r="D64" s="3" t="s">
        <v>313</v>
      </c>
      <c r="E64" s="3"/>
      <c r="F64" s="3"/>
      <c r="G64" s="3"/>
      <c r="H64" s="320"/>
      <c r="I64" s="3"/>
      <c r="J64" s="88">
        <v>686972706.64396083</v>
      </c>
      <c r="M64" s="426"/>
    </row>
    <row r="65" spans="1:13">
      <c r="A65" s="3"/>
      <c r="B65" s="3"/>
      <c r="C65" s="3"/>
      <c r="D65" s="3" t="s">
        <v>314</v>
      </c>
      <c r="E65" s="3"/>
      <c r="F65" s="3"/>
      <c r="G65" s="3"/>
      <c r="H65" s="320"/>
      <c r="I65" s="3"/>
      <c r="J65" s="88">
        <v>528789501.0982939</v>
      </c>
      <c r="M65" s="426"/>
    </row>
    <row r="66" spans="1:13">
      <c r="A66" s="3"/>
      <c r="B66" s="3"/>
      <c r="C66" s="3"/>
      <c r="D66" s="7" t="s">
        <v>87</v>
      </c>
      <c r="E66" s="3"/>
      <c r="F66" s="3"/>
      <c r="G66" s="3"/>
      <c r="H66" s="320"/>
      <c r="I66" s="3"/>
      <c r="J66" s="318">
        <f>AVERAGE(J54:J65)</f>
        <v>757470710.56511462</v>
      </c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3">
      <c r="A68" s="7"/>
      <c r="B68" s="3"/>
      <c r="C68" s="3"/>
      <c r="D68" s="3"/>
      <c r="E68" s="3"/>
      <c r="F68" s="3"/>
      <c r="G68" s="3"/>
      <c r="H68" s="3"/>
      <c r="I68" s="3"/>
    </row>
    <row r="69" spans="1:13">
      <c r="A69" s="7"/>
      <c r="B69" s="3"/>
      <c r="C69" s="3"/>
      <c r="D69" s="3"/>
      <c r="E69" s="3"/>
      <c r="F69" s="3"/>
      <c r="G69" s="3"/>
      <c r="H69" s="3"/>
      <c r="I69" s="3"/>
    </row>
    <row r="70" spans="1:13">
      <c r="A70" s="7"/>
      <c r="B70" s="3"/>
      <c r="C70" s="3"/>
      <c r="D70" s="343"/>
      <c r="E70" s="3"/>
      <c r="F70" s="3"/>
      <c r="G70" s="3"/>
      <c r="H70" s="3"/>
      <c r="I70" s="3"/>
      <c r="J70" s="321"/>
      <c r="L70" s="322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14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14"/>
    </row>
    <row r="73" spans="1:13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r="74" spans="1:13">
      <c r="A74" s="280"/>
      <c r="B74" s="280"/>
      <c r="C74" s="280"/>
      <c r="D74" s="280"/>
      <c r="E74" s="280"/>
      <c r="F74" s="280"/>
      <c r="G74" s="280"/>
      <c r="H74" s="280"/>
      <c r="I74" s="280"/>
      <c r="J74" s="280"/>
    </row>
    <row r="75" spans="1:13">
      <c r="A75" s="30" t="s">
        <v>60</v>
      </c>
      <c r="B75" s="3"/>
      <c r="C75" s="3"/>
      <c r="D75" s="3"/>
      <c r="E75" s="3"/>
      <c r="F75" s="3"/>
      <c r="G75" s="3"/>
      <c r="H75" s="3"/>
      <c r="I75" s="3"/>
      <c r="J75" s="301" t="str">
        <f>IF(AND(J77="PASS",J78="PASS",J79="PASS",J80="PASS"),"PASS",IF(AND(J77="CASH TRAP",J78="PASS",J79="PASS",J80="PASS"),"CASH TRAP","FAIL"))</f>
        <v>PASS</v>
      </c>
      <c r="K75" s="10"/>
      <c r="L75" s="347"/>
      <c r="M75" s="10"/>
    </row>
    <row r="76" spans="1:13">
      <c r="A76" s="3"/>
      <c r="B76" s="3"/>
      <c r="C76" s="3"/>
      <c r="D76" s="3"/>
      <c r="E76" s="3"/>
      <c r="F76" s="3"/>
      <c r="G76" s="3"/>
      <c r="H76" s="3"/>
      <c r="I76" s="3"/>
      <c r="J76" s="6"/>
    </row>
    <row r="77" spans="1:13">
      <c r="A77" s="7" t="s">
        <v>279</v>
      </c>
      <c r="B77" s="3"/>
      <c r="C77" s="3"/>
      <c r="D77" s="3"/>
      <c r="E77" s="3"/>
      <c r="F77" s="3"/>
      <c r="G77" s="3"/>
      <c r="H77" s="3"/>
      <c r="I77" s="3"/>
      <c r="J77" s="301" t="str">
        <f>J7</f>
        <v>PASS</v>
      </c>
    </row>
    <row r="78" spans="1:13">
      <c r="A78" s="7" t="s">
        <v>285</v>
      </c>
      <c r="B78" s="3"/>
      <c r="C78" s="3"/>
      <c r="D78" s="3"/>
      <c r="E78" s="3"/>
      <c r="F78" s="3"/>
      <c r="G78" s="3"/>
      <c r="H78" s="3"/>
      <c r="I78" s="3"/>
      <c r="J78" s="301" t="str">
        <f>J14</f>
        <v>PASS</v>
      </c>
    </row>
    <row r="79" spans="1:13">
      <c r="A79" s="30" t="s">
        <v>291</v>
      </c>
      <c r="B79" s="3"/>
      <c r="C79" s="3"/>
      <c r="D79" s="3"/>
      <c r="E79" s="3"/>
      <c r="F79" s="3"/>
      <c r="G79" s="3"/>
      <c r="H79" s="3"/>
      <c r="I79" s="3"/>
      <c r="J79" s="301" t="str">
        <f>J23</f>
        <v>PASS</v>
      </c>
    </row>
    <row r="80" spans="1:13">
      <c r="A80" s="30" t="s">
        <v>316</v>
      </c>
      <c r="B80" s="3"/>
      <c r="C80" s="3"/>
      <c r="D80" s="3"/>
      <c r="E80" s="3"/>
      <c r="F80" s="3"/>
      <c r="G80" s="3"/>
      <c r="H80" s="3"/>
      <c r="I80" s="3"/>
      <c r="J80" s="314" t="s">
        <v>297</v>
      </c>
    </row>
    <row r="81" spans="1:13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r="82" spans="1:13">
      <c r="A82" s="280"/>
      <c r="B82" s="280"/>
      <c r="C82" s="280"/>
      <c r="D82" s="280"/>
      <c r="E82" s="280"/>
      <c r="F82" s="280"/>
      <c r="G82" s="280"/>
      <c r="H82" s="280"/>
      <c r="I82" s="280"/>
      <c r="J82" s="280"/>
    </row>
    <row r="83" spans="1:13">
      <c r="A83" s="7" t="s">
        <v>317</v>
      </c>
      <c r="B83" s="3"/>
      <c r="C83" s="3"/>
      <c r="D83" s="3"/>
      <c r="E83" s="3"/>
      <c r="F83" s="3"/>
      <c r="G83" s="3"/>
      <c r="H83" s="3"/>
      <c r="I83" s="3"/>
      <c r="J83" s="301" t="str">
        <f>IF(J84&lt;=J85,"PASS","FAIL")</f>
        <v>PASS</v>
      </c>
    </row>
    <row r="84" spans="1:13">
      <c r="A84" s="3"/>
      <c r="B84" s="3" t="s">
        <v>54</v>
      </c>
      <c r="C84" s="3" t="s">
        <v>318</v>
      </c>
      <c r="D84" s="3"/>
      <c r="E84" s="3"/>
      <c r="F84" s="3"/>
      <c r="G84" s="3"/>
      <c r="H84" s="3"/>
      <c r="I84" s="3"/>
      <c r="J84" s="88">
        <v>150721991.78</v>
      </c>
      <c r="L84" s="312"/>
      <c r="M84" s="307"/>
    </row>
    <row r="85" spans="1:13">
      <c r="A85" s="3"/>
      <c r="B85" s="3" t="s">
        <v>56</v>
      </c>
      <c r="C85" s="3" t="s">
        <v>502</v>
      </c>
      <c r="D85" s="3"/>
      <c r="E85" s="3"/>
      <c r="F85" s="3"/>
      <c r="G85" s="3"/>
      <c r="H85" s="3"/>
      <c r="I85" s="3"/>
      <c r="J85" s="302">
        <f>20%*MAX(J54:J65)</f>
        <v>206691485.7557205</v>
      </c>
      <c r="K85" s="396"/>
      <c r="L85" s="312"/>
      <c r="M85" s="307"/>
    </row>
    <row r="86" spans="1:13">
      <c r="A86" s="10"/>
      <c r="B86" s="10"/>
      <c r="C86" s="10"/>
      <c r="D86" s="10"/>
      <c r="E86" s="10"/>
      <c r="F86" s="10"/>
      <c r="G86" s="10"/>
      <c r="H86" s="10"/>
      <c r="I86" s="10"/>
      <c r="J86" s="10"/>
      <c r="M86" s="307"/>
    </row>
    <row r="87" spans="1:13">
      <c r="A87" s="3"/>
      <c r="B87" s="3" t="s">
        <v>54</v>
      </c>
      <c r="C87" s="3" t="s">
        <v>319</v>
      </c>
      <c r="D87" s="3"/>
      <c r="E87" s="3"/>
      <c r="F87" s="3"/>
      <c r="G87" s="3"/>
      <c r="H87" s="3"/>
      <c r="I87" s="3"/>
      <c r="J87" s="88">
        <v>0</v>
      </c>
    </row>
    <row r="88" spans="1:13">
      <c r="A88" s="3"/>
      <c r="B88" s="3" t="s">
        <v>56</v>
      </c>
      <c r="C88" s="3" t="s">
        <v>503</v>
      </c>
      <c r="D88" s="3"/>
      <c r="E88" s="3"/>
      <c r="F88" s="3"/>
      <c r="G88" s="3"/>
      <c r="H88" s="3"/>
      <c r="I88" s="3"/>
      <c r="J88" s="302">
        <f>10%*MAX(J54:J65)</f>
        <v>103345742.87786025</v>
      </c>
    </row>
    <row r="89" spans="1:13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r="93" spans="1:13">
      <c r="J93" s="323"/>
    </row>
  </sheetData>
  <conditionalFormatting sqref="J5 J7 J14 J34 J83">
    <cfRule type="cellIs" dxfId="5" priority="8" operator="equal">
      <formula>"FAIL"</formula>
    </cfRule>
  </conditionalFormatting>
  <conditionalFormatting sqref="J23">
    <cfRule type="cellIs" dxfId="4" priority="7" operator="equal">
      <formula>"FAIL"</formula>
    </cfRule>
  </conditionalFormatting>
  <conditionalFormatting sqref="J25">
    <cfRule type="cellIs" dxfId="3" priority="6" operator="equal">
      <formula>"FAIL"</formula>
    </cfRule>
  </conditionalFormatting>
  <conditionalFormatting sqref="J70">
    <cfRule type="cellIs" dxfId="2" priority="5" operator="equal">
      <formula>"FAIL"</formula>
    </cfRule>
  </conditionalFormatting>
  <conditionalFormatting sqref="J75">
    <cfRule type="cellIs" dxfId="1" priority="4" operator="equal">
      <formula>"FAIL"</formula>
    </cfRule>
  </conditionalFormatting>
  <conditionalFormatting sqref="J77:J79">
    <cfRule type="cellIs" dxfId="0" priority="1" operator="equal">
      <formula>"FAIL"</formula>
    </cfRule>
  </conditionalFormatting>
  <dataValidations count="2">
    <dataValidation type="list" allowBlank="1" showInputMessage="1" showErrorMessage="1" sqref="J29 J80" xr:uid="{00000000-0002-0000-0400-000000000000}">
      <formula1>"PASS,FAIL"</formula1>
    </dataValidation>
    <dataValidation type="list" allowBlank="1" showInputMessage="1" showErrorMessage="1" sqref="J12" xr:uid="{00000000-0002-0000-0400-000001000000}">
      <formula1>"Yes, No, N/A"</formula1>
    </dataValidation>
  </dataValidations>
  <pageMargins left="0.7" right="0.7" top="0.75" bottom="0.75" header="0.3" footer="0.3"/>
  <pageSetup scale="52" orientation="portrait" r:id="rId1"/>
  <ignoredErrors>
    <ignoredError sqref="J88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S69"/>
  <sheetViews>
    <sheetView showGridLines="0" workbookViewId="0"/>
  </sheetViews>
  <sheetFormatPr defaultColWidth="9.140625" defaultRowHeight="11.25"/>
  <cols>
    <col min="1" max="1" width="7" style="328" customWidth="1"/>
    <col min="2" max="2" width="8" style="328" customWidth="1"/>
    <col min="3" max="3" width="9.140625" style="328" customWidth="1"/>
    <col min="4" max="4" width="1.85546875" style="328" customWidth="1"/>
    <col min="5" max="5" width="7.42578125" style="328" customWidth="1"/>
    <col min="6" max="6" width="38.85546875" style="328" bestFit="1" customWidth="1"/>
    <col min="7" max="7" width="1.85546875" style="328" customWidth="1"/>
    <col min="8" max="8" width="11.85546875" style="328" bestFit="1" customWidth="1"/>
    <col min="9" max="16384" width="9.140625" style="328"/>
  </cols>
  <sheetData>
    <row r="1" spans="1:19" ht="22.5">
      <c r="A1" s="324" t="s">
        <v>320</v>
      </c>
      <c r="B1" s="325" t="s">
        <v>321</v>
      </c>
      <c r="C1" s="325" t="s">
        <v>322</v>
      </c>
      <c r="D1" s="326"/>
      <c r="E1" s="327" t="s">
        <v>219</v>
      </c>
      <c r="F1" s="327" t="s">
        <v>323</v>
      </c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  <c r="S1" s="326"/>
    </row>
    <row r="2" spans="1:19">
      <c r="A2" s="329"/>
      <c r="B2" s="330"/>
      <c r="C2" s="331">
        <v>0</v>
      </c>
      <c r="D2" s="326"/>
      <c r="E2" s="332">
        <v>1</v>
      </c>
      <c r="F2" s="326" t="s">
        <v>324</v>
      </c>
      <c r="G2" s="326"/>
      <c r="H2" s="326"/>
      <c r="I2" s="326"/>
      <c r="J2" s="326"/>
      <c r="K2" s="326"/>
      <c r="L2" s="326"/>
      <c r="M2" s="326"/>
      <c r="N2" s="326"/>
      <c r="O2" s="326"/>
      <c r="P2" s="326"/>
      <c r="Q2" s="326"/>
      <c r="R2" s="326"/>
      <c r="S2" s="326"/>
    </row>
    <row r="3" spans="1:19">
      <c r="A3" s="333" t="s">
        <v>325</v>
      </c>
      <c r="B3" s="334" t="s">
        <v>326</v>
      </c>
      <c r="C3" s="334">
        <v>1</v>
      </c>
      <c r="D3" s="326"/>
      <c r="E3" s="332">
        <v>2</v>
      </c>
      <c r="F3" s="326" t="s">
        <v>327</v>
      </c>
      <c r="G3" s="326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</row>
    <row r="4" spans="1:19">
      <c r="A4" s="333" t="s">
        <v>328</v>
      </c>
      <c r="B4" s="334" t="s">
        <v>329</v>
      </c>
      <c r="C4" s="334">
        <v>2</v>
      </c>
      <c r="D4" s="326"/>
      <c r="E4" s="332">
        <v>3</v>
      </c>
      <c r="F4" s="326" t="s">
        <v>330</v>
      </c>
      <c r="G4" s="326"/>
      <c r="H4" s="326"/>
      <c r="I4" s="326"/>
      <c r="J4" s="326"/>
      <c r="K4" s="326"/>
      <c r="L4" s="326"/>
      <c r="M4" s="326"/>
      <c r="N4" s="326"/>
      <c r="O4" s="326"/>
      <c r="P4" s="326"/>
      <c r="Q4" s="326"/>
      <c r="R4" s="326"/>
      <c r="S4" s="326"/>
    </row>
    <row r="5" spans="1:19">
      <c r="A5" s="333" t="s">
        <v>331</v>
      </c>
      <c r="B5" s="334" t="s">
        <v>332</v>
      </c>
      <c r="C5" s="334">
        <v>3</v>
      </c>
      <c r="D5" s="326"/>
      <c r="E5" s="332">
        <v>4</v>
      </c>
      <c r="F5" s="326" t="s">
        <v>333</v>
      </c>
      <c r="G5" s="326"/>
      <c r="H5" s="326"/>
      <c r="I5" s="326"/>
      <c r="J5" s="326"/>
      <c r="K5" s="326"/>
      <c r="L5" s="326"/>
      <c r="M5" s="326"/>
      <c r="N5" s="326"/>
      <c r="O5" s="326"/>
      <c r="P5" s="326"/>
      <c r="Q5" s="326"/>
      <c r="R5" s="326"/>
      <c r="S5" s="326"/>
    </row>
    <row r="6" spans="1:19">
      <c r="A6" s="333" t="s">
        <v>334</v>
      </c>
      <c r="B6" s="334" t="s">
        <v>335</v>
      </c>
      <c r="C6" s="334">
        <v>4</v>
      </c>
      <c r="D6" s="326"/>
      <c r="E6" s="332">
        <v>5</v>
      </c>
      <c r="F6" s="326" t="s">
        <v>336</v>
      </c>
      <c r="G6" s="326"/>
      <c r="H6" s="326"/>
      <c r="I6" s="326"/>
      <c r="J6" s="326"/>
      <c r="K6" s="326"/>
      <c r="L6" s="326"/>
      <c r="M6" s="326"/>
      <c r="N6" s="326"/>
      <c r="O6" s="326"/>
      <c r="P6" s="326"/>
      <c r="Q6" s="326"/>
      <c r="R6" s="326"/>
      <c r="S6" s="326"/>
    </row>
    <row r="7" spans="1:19">
      <c r="A7" s="333" t="s">
        <v>337</v>
      </c>
      <c r="B7" s="334" t="s">
        <v>338</v>
      </c>
      <c r="C7" s="334">
        <v>5</v>
      </c>
      <c r="D7" s="326"/>
      <c r="E7" s="332">
        <v>6</v>
      </c>
      <c r="F7" s="326" t="s">
        <v>339</v>
      </c>
      <c r="G7" s="326"/>
      <c r="H7" s="326"/>
      <c r="I7" s="326"/>
      <c r="J7" s="326"/>
      <c r="K7" s="326"/>
      <c r="L7" s="326"/>
      <c r="M7" s="326"/>
      <c r="N7" s="326"/>
      <c r="O7" s="326"/>
      <c r="P7" s="326"/>
      <c r="Q7" s="326"/>
      <c r="R7" s="326"/>
      <c r="S7" s="326"/>
    </row>
    <row r="8" spans="1:19">
      <c r="A8" s="333" t="s">
        <v>340</v>
      </c>
      <c r="B8" s="334" t="s">
        <v>341</v>
      </c>
      <c r="C8" s="334">
        <v>6</v>
      </c>
      <c r="D8" s="326"/>
      <c r="E8" s="332">
        <v>7</v>
      </c>
      <c r="F8" s="326" t="s">
        <v>342</v>
      </c>
      <c r="G8" s="326"/>
      <c r="H8" s="326"/>
      <c r="I8" s="326"/>
      <c r="J8" s="335"/>
      <c r="K8" s="326"/>
      <c r="L8" s="326"/>
      <c r="M8" s="326"/>
      <c r="N8" s="326"/>
      <c r="O8" s="326"/>
      <c r="P8" s="326"/>
      <c r="Q8" s="326"/>
      <c r="R8" s="326"/>
      <c r="S8" s="326"/>
    </row>
    <row r="9" spans="1:19">
      <c r="A9" s="333" t="s">
        <v>343</v>
      </c>
      <c r="B9" s="334" t="s">
        <v>344</v>
      </c>
      <c r="C9" s="334">
        <v>7</v>
      </c>
      <c r="D9" s="326"/>
      <c r="E9" s="332">
        <v>8</v>
      </c>
      <c r="F9" s="326" t="s">
        <v>345</v>
      </c>
      <c r="G9" s="326"/>
      <c r="H9" s="326"/>
      <c r="I9" s="326"/>
      <c r="J9" s="326"/>
      <c r="K9" s="326"/>
      <c r="L9" s="326"/>
      <c r="M9" s="326"/>
      <c r="N9" s="326"/>
      <c r="O9" s="326"/>
      <c r="P9" s="326"/>
      <c r="Q9" s="326"/>
      <c r="R9" s="326"/>
      <c r="S9" s="326"/>
    </row>
    <row r="10" spans="1:19">
      <c r="A10" s="333" t="s">
        <v>346</v>
      </c>
      <c r="B10" s="334" t="s">
        <v>347</v>
      </c>
      <c r="C10" s="334">
        <v>8</v>
      </c>
      <c r="D10" s="326"/>
      <c r="E10" s="332">
        <v>9</v>
      </c>
      <c r="F10" s="326" t="s">
        <v>348</v>
      </c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  <c r="R10" s="326"/>
      <c r="S10" s="326"/>
    </row>
    <row r="11" spans="1:19">
      <c r="A11" s="333" t="s">
        <v>349</v>
      </c>
      <c r="B11" s="334" t="s">
        <v>350</v>
      </c>
      <c r="C11" s="334">
        <v>9</v>
      </c>
      <c r="D11" s="326"/>
      <c r="E11" s="332">
        <v>10</v>
      </c>
      <c r="F11" s="326" t="s">
        <v>351</v>
      </c>
      <c r="G11" s="326"/>
      <c r="H11" s="326"/>
      <c r="I11" s="326"/>
      <c r="J11" s="326"/>
      <c r="K11" s="326"/>
      <c r="L11" s="326"/>
      <c r="M11" s="326"/>
      <c r="N11" s="326"/>
      <c r="O11" s="326"/>
      <c r="P11" s="326"/>
      <c r="Q11" s="326"/>
      <c r="R11" s="326"/>
      <c r="S11" s="326"/>
    </row>
    <row r="12" spans="1:19">
      <c r="A12" s="333" t="s">
        <v>352</v>
      </c>
      <c r="B12" s="334" t="s">
        <v>353</v>
      </c>
      <c r="C12" s="334">
        <v>10</v>
      </c>
      <c r="D12" s="326"/>
      <c r="E12" s="332">
        <v>11</v>
      </c>
      <c r="F12" s="326" t="s">
        <v>354</v>
      </c>
      <c r="G12" s="326"/>
      <c r="H12" s="326"/>
      <c r="I12" s="326"/>
      <c r="J12" s="326"/>
      <c r="K12" s="326"/>
      <c r="L12" s="326"/>
      <c r="M12" s="326"/>
      <c r="N12" s="326"/>
      <c r="O12" s="326"/>
      <c r="P12" s="326"/>
      <c r="Q12" s="326"/>
      <c r="R12" s="326"/>
      <c r="S12" s="326"/>
    </row>
    <row r="13" spans="1:19">
      <c r="A13" s="333" t="s">
        <v>355</v>
      </c>
      <c r="B13" s="334" t="s">
        <v>356</v>
      </c>
      <c r="C13" s="334">
        <v>11</v>
      </c>
      <c r="D13" s="326"/>
      <c r="E13" s="332">
        <v>12</v>
      </c>
      <c r="F13" s="326" t="s">
        <v>357</v>
      </c>
      <c r="G13" s="326"/>
      <c r="H13" s="326"/>
      <c r="I13" s="326"/>
      <c r="J13" s="326"/>
      <c r="K13" s="326"/>
      <c r="L13" s="326"/>
      <c r="M13" s="326"/>
      <c r="N13" s="326"/>
      <c r="O13" s="326"/>
      <c r="P13" s="326"/>
      <c r="Q13" s="326"/>
      <c r="R13" s="326"/>
      <c r="S13" s="326"/>
    </row>
    <row r="14" spans="1:19">
      <c r="A14" s="333" t="s">
        <v>358</v>
      </c>
      <c r="B14" s="334" t="s">
        <v>359</v>
      </c>
      <c r="C14" s="334">
        <v>12</v>
      </c>
      <c r="D14" s="326"/>
      <c r="E14" s="332">
        <v>13</v>
      </c>
      <c r="F14" s="326" t="s">
        <v>360</v>
      </c>
      <c r="G14" s="326"/>
      <c r="H14" s="326"/>
      <c r="I14" s="326"/>
      <c r="J14" s="326"/>
      <c r="K14" s="326"/>
      <c r="L14" s="326"/>
      <c r="M14" s="326"/>
      <c r="N14" s="326"/>
      <c r="O14" s="326"/>
      <c r="P14" s="326"/>
      <c r="Q14" s="326"/>
      <c r="R14" s="326"/>
      <c r="S14" s="326"/>
    </row>
    <row r="15" spans="1:19">
      <c r="A15" s="333" t="s">
        <v>361</v>
      </c>
      <c r="B15" s="334" t="s">
        <v>362</v>
      </c>
      <c r="C15" s="334">
        <v>13</v>
      </c>
      <c r="D15" s="326"/>
      <c r="E15" s="332">
        <v>14</v>
      </c>
      <c r="F15" s="326" t="s">
        <v>363</v>
      </c>
      <c r="G15" s="326"/>
      <c r="H15" s="326"/>
      <c r="I15" s="326"/>
      <c r="J15" s="326"/>
      <c r="K15" s="326"/>
      <c r="L15" s="326"/>
      <c r="M15" s="326"/>
      <c r="N15" s="326"/>
      <c r="O15" s="326"/>
      <c r="P15" s="326"/>
      <c r="Q15" s="326"/>
      <c r="R15" s="326"/>
      <c r="S15" s="326"/>
    </row>
    <row r="16" spans="1:19">
      <c r="A16" s="333" t="s">
        <v>364</v>
      </c>
      <c r="B16" s="334" t="s">
        <v>365</v>
      </c>
      <c r="C16" s="334">
        <v>14</v>
      </c>
      <c r="D16" s="326"/>
      <c r="E16" s="332">
        <v>15</v>
      </c>
      <c r="F16" s="326" t="s">
        <v>366</v>
      </c>
      <c r="G16" s="326"/>
      <c r="H16" s="326"/>
      <c r="I16" s="326"/>
      <c r="J16" s="326"/>
      <c r="K16" s="326"/>
      <c r="L16" s="326"/>
      <c r="M16" s="326"/>
      <c r="N16" s="326"/>
      <c r="O16" s="326"/>
      <c r="P16" s="326"/>
      <c r="Q16" s="326"/>
      <c r="R16" s="326"/>
      <c r="S16" s="326"/>
    </row>
    <row r="17" spans="1:19">
      <c r="A17" s="333" t="s">
        <v>367</v>
      </c>
      <c r="B17" s="334" t="s">
        <v>368</v>
      </c>
      <c r="C17" s="334">
        <v>15</v>
      </c>
      <c r="D17" s="326"/>
      <c r="E17" s="332">
        <v>16</v>
      </c>
      <c r="F17" s="326" t="s">
        <v>369</v>
      </c>
      <c r="G17" s="326"/>
      <c r="H17" s="326"/>
      <c r="I17" s="326"/>
      <c r="J17" s="326"/>
      <c r="K17" s="326"/>
      <c r="L17" s="326"/>
      <c r="M17" s="326"/>
      <c r="N17" s="326"/>
      <c r="O17" s="326"/>
      <c r="P17" s="326"/>
      <c r="Q17" s="326"/>
      <c r="R17" s="326"/>
      <c r="S17" s="326"/>
    </row>
    <row r="18" spans="1:19">
      <c r="A18" s="333" t="s">
        <v>370</v>
      </c>
      <c r="B18" s="334" t="s">
        <v>371</v>
      </c>
      <c r="C18" s="334">
        <v>16</v>
      </c>
      <c r="D18" s="326"/>
      <c r="E18" s="332">
        <v>17</v>
      </c>
      <c r="F18" s="326" t="s">
        <v>372</v>
      </c>
      <c r="G18" s="326"/>
      <c r="H18" s="326"/>
      <c r="I18" s="326"/>
      <c r="J18" s="326"/>
      <c r="K18" s="326"/>
      <c r="L18" s="326"/>
      <c r="M18" s="326"/>
      <c r="N18" s="326"/>
      <c r="O18" s="326"/>
      <c r="P18" s="326"/>
      <c r="Q18" s="326"/>
      <c r="R18" s="326"/>
      <c r="S18" s="326"/>
    </row>
    <row r="19" spans="1:19">
      <c r="A19" s="333" t="s">
        <v>373</v>
      </c>
      <c r="B19" s="334" t="s">
        <v>374</v>
      </c>
      <c r="C19" s="334">
        <v>17</v>
      </c>
      <c r="D19" s="326"/>
      <c r="E19" s="332">
        <v>18</v>
      </c>
      <c r="F19" s="326" t="s">
        <v>375</v>
      </c>
      <c r="G19" s="326"/>
      <c r="H19" s="326"/>
      <c r="I19" s="326"/>
      <c r="J19" s="326"/>
      <c r="K19" s="326"/>
      <c r="L19" s="326"/>
      <c r="M19" s="326"/>
      <c r="N19" s="326"/>
      <c r="O19" s="326"/>
      <c r="P19" s="326"/>
      <c r="Q19" s="326"/>
      <c r="R19" s="326"/>
      <c r="S19" s="326"/>
    </row>
    <row r="20" spans="1:19">
      <c r="A20" s="334" t="s">
        <v>376</v>
      </c>
      <c r="B20" s="334" t="s">
        <v>377</v>
      </c>
      <c r="C20" s="334">
        <v>17</v>
      </c>
      <c r="D20" s="326"/>
      <c r="E20" s="332">
        <v>19</v>
      </c>
      <c r="F20" s="326" t="s">
        <v>378</v>
      </c>
      <c r="G20" s="326"/>
      <c r="H20" s="326"/>
      <c r="I20" s="326"/>
      <c r="J20" s="326"/>
      <c r="K20" s="326"/>
      <c r="L20" s="326"/>
      <c r="M20" s="326"/>
      <c r="N20" s="326"/>
      <c r="O20" s="326"/>
      <c r="P20" s="326"/>
      <c r="Q20" s="326"/>
      <c r="R20" s="326"/>
      <c r="S20" s="326"/>
    </row>
    <row r="21" spans="1:19">
      <c r="A21" s="333" t="s">
        <v>376</v>
      </c>
      <c r="B21" s="334" t="s">
        <v>379</v>
      </c>
      <c r="C21" s="334">
        <v>18</v>
      </c>
      <c r="D21" s="326"/>
      <c r="E21" s="332">
        <v>20</v>
      </c>
      <c r="F21" s="326" t="s">
        <v>380</v>
      </c>
      <c r="G21" s="326"/>
      <c r="H21" s="326"/>
      <c r="I21" s="326"/>
      <c r="J21" s="326"/>
      <c r="K21" s="326"/>
      <c r="L21" s="326"/>
      <c r="M21" s="326"/>
      <c r="N21" s="326"/>
      <c r="O21" s="326"/>
      <c r="P21" s="326"/>
      <c r="Q21" s="326"/>
      <c r="R21" s="326"/>
      <c r="S21" s="326"/>
    </row>
    <row r="22" spans="1:19">
      <c r="A22" s="333" t="s">
        <v>381</v>
      </c>
      <c r="B22" s="334" t="s">
        <v>382</v>
      </c>
      <c r="C22" s="334">
        <v>19</v>
      </c>
      <c r="D22" s="326"/>
      <c r="E22" s="332">
        <v>21</v>
      </c>
      <c r="F22" s="326" t="s">
        <v>383</v>
      </c>
      <c r="G22" s="326"/>
      <c r="H22" s="326"/>
      <c r="I22" s="326"/>
      <c r="J22" s="326"/>
      <c r="K22" s="326"/>
      <c r="L22" s="326"/>
      <c r="M22" s="326"/>
      <c r="N22" s="326"/>
      <c r="O22" s="326"/>
      <c r="P22" s="326"/>
      <c r="Q22" s="326"/>
      <c r="R22" s="326"/>
      <c r="S22" s="326"/>
    </row>
    <row r="23" spans="1:19">
      <c r="A23" s="333" t="s">
        <v>384</v>
      </c>
      <c r="B23" s="334" t="s">
        <v>385</v>
      </c>
      <c r="C23" s="334">
        <v>20</v>
      </c>
      <c r="D23" s="326"/>
      <c r="E23" s="332">
        <v>22</v>
      </c>
      <c r="F23" s="326" t="s">
        <v>386</v>
      </c>
      <c r="G23" s="326"/>
      <c r="H23" s="326"/>
      <c r="I23" s="326"/>
      <c r="J23" s="326"/>
      <c r="K23" s="326"/>
      <c r="L23" s="326"/>
      <c r="M23" s="326"/>
      <c r="N23" s="326"/>
      <c r="O23" s="326"/>
      <c r="P23" s="326"/>
      <c r="Q23" s="326"/>
      <c r="R23" s="326"/>
      <c r="S23" s="326"/>
    </row>
    <row r="24" spans="1:19">
      <c r="A24" s="333" t="s">
        <v>387</v>
      </c>
      <c r="B24" s="334" t="s">
        <v>388</v>
      </c>
      <c r="C24" s="334">
        <v>21</v>
      </c>
      <c r="D24" s="326"/>
      <c r="E24" s="332">
        <v>23</v>
      </c>
      <c r="F24" s="326" t="s">
        <v>389</v>
      </c>
      <c r="G24" s="326"/>
      <c r="H24" s="326"/>
      <c r="I24" s="326"/>
      <c r="J24" s="326"/>
      <c r="K24" s="326"/>
      <c r="L24" s="326"/>
      <c r="M24" s="326"/>
      <c r="N24" s="326"/>
      <c r="O24" s="326"/>
      <c r="P24" s="326"/>
      <c r="Q24" s="326"/>
      <c r="R24" s="326"/>
      <c r="S24" s="326"/>
    </row>
    <row r="25" spans="1:19">
      <c r="A25" s="333" t="s">
        <v>387</v>
      </c>
      <c r="B25" s="334" t="s">
        <v>390</v>
      </c>
      <c r="C25" s="334">
        <v>22</v>
      </c>
      <c r="D25" s="326"/>
      <c r="E25" s="332">
        <v>24</v>
      </c>
      <c r="F25" s="326" t="s">
        <v>391</v>
      </c>
      <c r="G25" s="326"/>
      <c r="H25" s="326"/>
      <c r="I25" s="326"/>
      <c r="J25" s="326"/>
      <c r="K25" s="326"/>
      <c r="L25" s="326"/>
      <c r="M25" s="326"/>
      <c r="N25" s="326"/>
      <c r="O25" s="326"/>
      <c r="P25" s="326"/>
      <c r="Q25" s="326"/>
      <c r="R25" s="326"/>
      <c r="S25" s="326"/>
    </row>
    <row r="26" spans="1:19">
      <c r="A26" s="333" t="s">
        <v>392</v>
      </c>
      <c r="B26" s="334" t="s">
        <v>393</v>
      </c>
      <c r="C26" s="334">
        <v>23</v>
      </c>
      <c r="D26" s="326"/>
      <c r="E26" s="332">
        <v>25</v>
      </c>
      <c r="F26" s="326" t="s">
        <v>394</v>
      </c>
      <c r="G26" s="326"/>
      <c r="H26" s="326"/>
      <c r="I26" s="326"/>
      <c r="J26" s="326"/>
      <c r="K26" s="326"/>
      <c r="L26" s="326"/>
      <c r="M26" s="326"/>
      <c r="N26" s="326"/>
      <c r="O26" s="326"/>
      <c r="P26" s="326"/>
      <c r="Q26" s="326"/>
      <c r="R26" s="326"/>
      <c r="S26" s="326"/>
    </row>
    <row r="27" spans="1:19">
      <c r="A27" s="333" t="s">
        <v>395</v>
      </c>
      <c r="B27" s="334" t="s">
        <v>396</v>
      </c>
      <c r="C27" s="334">
        <v>24</v>
      </c>
      <c r="D27" s="326"/>
      <c r="E27" s="332">
        <v>26</v>
      </c>
      <c r="F27" s="326" t="s">
        <v>397</v>
      </c>
      <c r="G27" s="326"/>
      <c r="H27" s="326"/>
      <c r="I27" s="326"/>
      <c r="J27" s="326"/>
      <c r="K27" s="326"/>
      <c r="L27" s="326"/>
      <c r="M27" s="326"/>
      <c r="N27" s="326"/>
      <c r="O27" s="326"/>
      <c r="P27" s="326"/>
      <c r="Q27" s="326"/>
      <c r="R27" s="326"/>
      <c r="S27" s="326"/>
    </row>
    <row r="28" spans="1:19">
      <c r="A28" s="333" t="s">
        <v>398</v>
      </c>
      <c r="B28" s="334" t="s">
        <v>399</v>
      </c>
      <c r="C28" s="334">
        <v>25</v>
      </c>
      <c r="D28" s="326"/>
      <c r="E28" s="332">
        <v>27</v>
      </c>
      <c r="F28" s="326" t="s">
        <v>400</v>
      </c>
      <c r="G28" s="326"/>
      <c r="H28" s="326"/>
      <c r="I28" s="326"/>
      <c r="J28" s="326"/>
      <c r="K28" s="326"/>
      <c r="L28" s="326"/>
      <c r="M28" s="326"/>
      <c r="N28" s="326"/>
      <c r="O28" s="326"/>
      <c r="P28" s="326"/>
      <c r="Q28" s="326"/>
      <c r="R28" s="326"/>
      <c r="S28" s="326"/>
    </row>
    <row r="29" spans="1:19">
      <c r="A29" s="333" t="s">
        <v>401</v>
      </c>
      <c r="B29" s="334" t="s">
        <v>402</v>
      </c>
      <c r="C29" s="334">
        <v>26</v>
      </c>
      <c r="D29" s="326"/>
      <c r="E29" s="332">
        <v>28</v>
      </c>
      <c r="F29" s="326" t="s">
        <v>403</v>
      </c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</row>
    <row r="30" spans="1:19">
      <c r="A30" s="333" t="s">
        <v>404</v>
      </c>
      <c r="B30" s="334" t="s">
        <v>404</v>
      </c>
      <c r="C30" s="334">
        <v>27</v>
      </c>
      <c r="D30" s="326"/>
      <c r="E30" s="332">
        <v>29</v>
      </c>
      <c r="F30" s="326" t="s">
        <v>405</v>
      </c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</row>
    <row r="31" spans="1:19">
      <c r="A31" s="333" t="s">
        <v>245</v>
      </c>
      <c r="B31" s="334" t="s">
        <v>245</v>
      </c>
      <c r="C31" s="334">
        <v>0</v>
      </c>
      <c r="D31" s="326"/>
      <c r="E31" s="332">
        <v>30</v>
      </c>
      <c r="F31" s="326" t="s">
        <v>406</v>
      </c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</row>
    <row r="32" spans="1:19">
      <c r="A32" s="333" t="s">
        <v>407</v>
      </c>
      <c r="B32" s="334" t="s">
        <v>407</v>
      </c>
      <c r="C32" s="334">
        <v>0</v>
      </c>
      <c r="D32" s="326"/>
      <c r="E32" s="332">
        <v>31</v>
      </c>
      <c r="F32" s="328" t="s">
        <v>408</v>
      </c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</row>
    <row r="33" spans="1:19">
      <c r="A33" s="333" t="s">
        <v>409</v>
      </c>
      <c r="B33" s="336" t="s">
        <v>409</v>
      </c>
      <c r="C33" s="334">
        <v>0</v>
      </c>
      <c r="D33" s="326"/>
      <c r="E33" s="332">
        <v>32</v>
      </c>
      <c r="F33" s="326" t="s">
        <v>410</v>
      </c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</row>
    <row r="34" spans="1:19">
      <c r="A34" s="337" t="s">
        <v>411</v>
      </c>
      <c r="B34" s="334" t="s">
        <v>411</v>
      </c>
      <c r="C34" s="334">
        <v>0</v>
      </c>
      <c r="D34" s="326"/>
      <c r="E34" s="332">
        <v>33</v>
      </c>
      <c r="F34" s="326" t="s">
        <v>412</v>
      </c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</row>
    <row r="35" spans="1:19">
      <c r="A35" s="338" t="s">
        <v>413</v>
      </c>
      <c r="B35" s="339" t="s">
        <v>413</v>
      </c>
      <c r="C35" s="339">
        <v>0</v>
      </c>
      <c r="D35" s="326"/>
      <c r="E35" s="332">
        <v>34</v>
      </c>
      <c r="F35" s="326" t="s">
        <v>414</v>
      </c>
      <c r="G35" s="326"/>
      <c r="H35" s="326"/>
      <c r="I35" s="326"/>
      <c r="J35" s="326"/>
      <c r="K35" s="326"/>
      <c r="L35" s="326"/>
      <c r="M35" s="326"/>
      <c r="N35" s="326"/>
      <c r="O35" s="326"/>
      <c r="P35" s="326"/>
      <c r="Q35" s="326"/>
      <c r="R35" s="326"/>
      <c r="S35" s="326"/>
    </row>
    <row r="36" spans="1:19">
      <c r="A36" s="326"/>
      <c r="B36" s="326"/>
      <c r="C36" s="326"/>
      <c r="D36" s="326"/>
      <c r="E36" s="332">
        <v>35</v>
      </c>
      <c r="F36" s="326" t="s">
        <v>415</v>
      </c>
      <c r="G36" s="326"/>
      <c r="H36" s="326"/>
      <c r="I36" s="326"/>
      <c r="J36" s="326"/>
      <c r="K36" s="326"/>
      <c r="L36" s="326"/>
      <c r="M36" s="326"/>
      <c r="N36" s="326"/>
      <c r="O36" s="326"/>
      <c r="P36" s="326"/>
      <c r="Q36" s="326"/>
      <c r="R36" s="326"/>
      <c r="S36" s="326"/>
    </row>
    <row r="37" spans="1:19">
      <c r="A37" s="326" t="s">
        <v>416</v>
      </c>
      <c r="B37" s="326"/>
      <c r="C37" s="326"/>
      <c r="D37" s="326"/>
      <c r="E37" s="332">
        <v>36</v>
      </c>
      <c r="F37" s="326" t="s">
        <v>417</v>
      </c>
      <c r="G37" s="326"/>
      <c r="H37" s="326"/>
      <c r="I37" s="326"/>
      <c r="J37" s="326"/>
      <c r="K37" s="326"/>
      <c r="L37" s="326"/>
      <c r="M37" s="326"/>
      <c r="N37" s="326"/>
      <c r="O37" s="326"/>
      <c r="P37" s="326"/>
      <c r="Q37" s="326"/>
      <c r="R37" s="326"/>
      <c r="S37" s="326"/>
    </row>
    <row r="38" spans="1:19">
      <c r="A38" s="326" t="s">
        <v>418</v>
      </c>
      <c r="B38" s="326"/>
      <c r="C38" s="326"/>
      <c r="D38" s="326"/>
      <c r="E38" s="332">
        <v>37</v>
      </c>
      <c r="F38" s="326" t="s">
        <v>419</v>
      </c>
      <c r="G38" s="326"/>
      <c r="H38" s="326"/>
      <c r="I38" s="326"/>
      <c r="J38" s="326"/>
      <c r="K38" s="326"/>
      <c r="L38" s="326"/>
      <c r="M38" s="326"/>
      <c r="N38" s="326"/>
      <c r="O38" s="326"/>
      <c r="P38" s="326"/>
      <c r="Q38" s="326"/>
      <c r="R38" s="326"/>
      <c r="S38" s="326"/>
    </row>
    <row r="39" spans="1:19">
      <c r="A39" s="326" t="s">
        <v>420</v>
      </c>
      <c r="B39" s="326"/>
      <c r="C39" s="326"/>
      <c r="D39" s="326"/>
      <c r="E39" s="332">
        <v>38</v>
      </c>
      <c r="F39" s="326" t="s">
        <v>421</v>
      </c>
      <c r="G39" s="326"/>
      <c r="H39" s="326"/>
      <c r="I39" s="326"/>
      <c r="J39" s="326"/>
      <c r="K39" s="326"/>
      <c r="L39" s="326"/>
      <c r="M39" s="326"/>
      <c r="N39" s="326"/>
      <c r="O39" s="326"/>
      <c r="P39" s="326"/>
      <c r="Q39" s="326"/>
      <c r="R39" s="326"/>
      <c r="S39" s="326"/>
    </row>
    <row r="40" spans="1:19">
      <c r="A40" s="326" t="s">
        <v>422</v>
      </c>
      <c r="B40" s="326"/>
      <c r="C40" s="326"/>
      <c r="D40" s="326"/>
      <c r="E40" s="332">
        <v>39</v>
      </c>
      <c r="F40" s="326" t="s">
        <v>423</v>
      </c>
      <c r="G40" s="326"/>
      <c r="H40" s="326"/>
      <c r="I40" s="326"/>
      <c r="J40" s="326"/>
      <c r="K40" s="326"/>
      <c r="L40" s="326"/>
      <c r="M40" s="326"/>
      <c r="N40" s="326"/>
      <c r="O40" s="326"/>
      <c r="P40" s="326"/>
      <c r="Q40" s="326"/>
      <c r="R40" s="326"/>
      <c r="S40" s="326"/>
    </row>
    <row r="41" spans="1:19">
      <c r="A41" s="326" t="s">
        <v>424</v>
      </c>
      <c r="B41" s="326"/>
      <c r="C41" s="326"/>
      <c r="D41" s="326"/>
      <c r="E41" s="332">
        <v>40</v>
      </c>
      <c r="F41" s="326" t="s">
        <v>425</v>
      </c>
      <c r="G41" s="326"/>
      <c r="H41" s="326"/>
      <c r="I41" s="326"/>
      <c r="J41" s="326"/>
      <c r="K41" s="326"/>
      <c r="L41" s="326"/>
      <c r="M41" s="326"/>
      <c r="N41" s="326"/>
      <c r="O41" s="326"/>
      <c r="P41" s="326"/>
      <c r="Q41" s="326"/>
      <c r="R41" s="326"/>
      <c r="S41" s="326"/>
    </row>
    <row r="42" spans="1:19">
      <c r="A42" s="326" t="s">
        <v>426</v>
      </c>
      <c r="B42" s="326"/>
      <c r="C42" s="326"/>
      <c r="D42" s="326"/>
      <c r="E42" s="332">
        <v>41</v>
      </c>
      <c r="F42" s="326" t="s">
        <v>427</v>
      </c>
      <c r="G42" s="326"/>
      <c r="H42" s="326"/>
      <c r="I42" s="326"/>
      <c r="J42" s="326"/>
      <c r="K42" s="326"/>
      <c r="L42" s="326"/>
      <c r="M42" s="326"/>
      <c r="N42" s="326"/>
      <c r="O42" s="326"/>
      <c r="P42" s="326"/>
      <c r="Q42" s="326"/>
      <c r="R42" s="326"/>
      <c r="S42" s="326"/>
    </row>
    <row r="43" spans="1:19">
      <c r="A43" s="326" t="s">
        <v>428</v>
      </c>
      <c r="B43" s="326"/>
      <c r="C43" s="326"/>
      <c r="D43" s="326"/>
      <c r="E43" s="332">
        <v>42</v>
      </c>
      <c r="F43" s="326" t="s">
        <v>429</v>
      </c>
      <c r="G43" s="326"/>
      <c r="H43" s="326"/>
      <c r="I43" s="326"/>
      <c r="J43" s="326"/>
      <c r="K43" s="326"/>
      <c r="L43" s="326"/>
      <c r="M43" s="326"/>
      <c r="N43" s="326"/>
      <c r="O43" s="326"/>
      <c r="P43" s="326"/>
      <c r="Q43" s="326"/>
      <c r="R43" s="326"/>
      <c r="S43" s="326"/>
    </row>
    <row r="44" spans="1:19">
      <c r="A44" s="326" t="s">
        <v>430</v>
      </c>
      <c r="B44" s="326"/>
      <c r="C44" s="326"/>
      <c r="D44" s="326"/>
      <c r="E44" s="332">
        <v>43</v>
      </c>
      <c r="F44" s="326" t="s">
        <v>431</v>
      </c>
      <c r="G44" s="326"/>
      <c r="H44" s="326"/>
      <c r="I44" s="326"/>
      <c r="J44" s="326"/>
      <c r="K44" s="326"/>
      <c r="L44" s="326"/>
      <c r="M44" s="326"/>
      <c r="N44" s="326"/>
      <c r="O44" s="326"/>
      <c r="P44" s="326"/>
      <c r="Q44" s="326"/>
      <c r="R44" s="326"/>
      <c r="S44" s="326"/>
    </row>
    <row r="45" spans="1:19">
      <c r="A45" s="326" t="s">
        <v>432</v>
      </c>
      <c r="B45" s="326"/>
      <c r="C45" s="326"/>
      <c r="D45" s="326"/>
      <c r="E45" s="332">
        <v>44</v>
      </c>
      <c r="F45" s="326" t="s">
        <v>433</v>
      </c>
      <c r="G45" s="326"/>
      <c r="H45" s="326"/>
      <c r="I45" s="326"/>
      <c r="J45" s="326"/>
      <c r="K45" s="326"/>
      <c r="L45" s="326"/>
      <c r="M45" s="326"/>
      <c r="N45" s="326"/>
      <c r="O45" s="326"/>
      <c r="P45" s="326"/>
      <c r="Q45" s="326"/>
      <c r="R45" s="326"/>
      <c r="S45" s="326"/>
    </row>
    <row r="46" spans="1:19">
      <c r="A46" s="326" t="s">
        <v>434</v>
      </c>
      <c r="B46" s="326"/>
      <c r="C46" s="326"/>
      <c r="D46" s="326"/>
      <c r="E46" s="332">
        <v>45</v>
      </c>
      <c r="F46" s="326" t="s">
        <v>435</v>
      </c>
      <c r="G46" s="326"/>
      <c r="H46" s="326"/>
      <c r="I46" s="326"/>
      <c r="J46" s="326"/>
      <c r="K46" s="326"/>
      <c r="L46" s="326"/>
      <c r="M46" s="326"/>
      <c r="N46" s="326"/>
      <c r="O46" s="326"/>
      <c r="P46" s="326"/>
      <c r="Q46" s="326"/>
      <c r="R46" s="326"/>
      <c r="S46" s="326"/>
    </row>
    <row r="47" spans="1:19">
      <c r="A47" s="326" t="s">
        <v>436</v>
      </c>
      <c r="B47" s="326"/>
      <c r="C47" s="326"/>
      <c r="D47" s="326"/>
      <c r="E47" s="332">
        <v>46</v>
      </c>
      <c r="F47" s="326" t="s">
        <v>437</v>
      </c>
      <c r="G47" s="326"/>
      <c r="H47" s="326"/>
      <c r="I47" s="326"/>
      <c r="J47" s="326"/>
      <c r="K47" s="326"/>
      <c r="L47" s="326"/>
      <c r="M47" s="326"/>
      <c r="N47" s="326"/>
      <c r="O47" s="326"/>
      <c r="P47" s="326"/>
      <c r="Q47" s="326"/>
      <c r="R47" s="326"/>
      <c r="S47" s="326"/>
    </row>
    <row r="48" spans="1:19">
      <c r="A48" s="326" t="s">
        <v>438</v>
      </c>
      <c r="B48" s="326"/>
      <c r="C48" s="326"/>
      <c r="D48" s="326"/>
      <c r="E48" s="332">
        <v>47</v>
      </c>
      <c r="F48" s="326" t="s">
        <v>439</v>
      </c>
      <c r="G48" s="326"/>
      <c r="H48" s="326"/>
      <c r="I48" s="326"/>
      <c r="J48" s="326"/>
      <c r="K48" s="326"/>
      <c r="L48" s="326"/>
      <c r="M48" s="326"/>
      <c r="N48" s="326"/>
      <c r="O48" s="326"/>
      <c r="P48" s="326"/>
      <c r="Q48" s="326"/>
      <c r="R48" s="326"/>
      <c r="S48" s="326"/>
    </row>
    <row r="49" spans="1:19">
      <c r="A49" s="326" t="s">
        <v>440</v>
      </c>
      <c r="B49" s="326"/>
      <c r="C49" s="326"/>
      <c r="D49" s="326"/>
      <c r="E49" s="332">
        <v>48</v>
      </c>
      <c r="F49" s="326" t="s">
        <v>441</v>
      </c>
      <c r="G49" s="326"/>
      <c r="H49" s="326"/>
      <c r="I49" s="326"/>
      <c r="J49" s="326"/>
      <c r="K49" s="326"/>
      <c r="L49" s="326"/>
      <c r="M49" s="326"/>
      <c r="N49" s="326"/>
      <c r="O49" s="326"/>
      <c r="P49" s="326"/>
      <c r="Q49" s="326"/>
      <c r="R49" s="326"/>
      <c r="S49" s="326"/>
    </row>
    <row r="50" spans="1:19">
      <c r="A50" s="326" t="s">
        <v>442</v>
      </c>
      <c r="B50" s="326"/>
      <c r="C50" s="326"/>
      <c r="D50" s="326"/>
      <c r="E50" s="332">
        <v>49</v>
      </c>
      <c r="F50" s="326" t="s">
        <v>443</v>
      </c>
      <c r="G50" s="326"/>
      <c r="H50" s="326"/>
      <c r="I50" s="326"/>
      <c r="J50" s="326"/>
      <c r="K50" s="326"/>
      <c r="L50" s="326"/>
      <c r="M50" s="326"/>
      <c r="N50" s="326"/>
      <c r="O50" s="326"/>
      <c r="P50" s="326"/>
      <c r="Q50" s="326"/>
      <c r="R50" s="326"/>
      <c r="S50" s="326"/>
    </row>
    <row r="51" spans="1:19">
      <c r="A51" s="326" t="s">
        <v>444</v>
      </c>
      <c r="B51" s="326"/>
      <c r="C51" s="326"/>
      <c r="D51" s="326"/>
      <c r="E51" s="332">
        <v>50</v>
      </c>
      <c r="F51" s="326" t="s">
        <v>445</v>
      </c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</row>
    <row r="52" spans="1:19">
      <c r="A52" s="326" t="s">
        <v>446</v>
      </c>
      <c r="B52" s="326"/>
      <c r="C52" s="326"/>
      <c r="D52" s="326"/>
      <c r="E52" s="332">
        <v>51</v>
      </c>
      <c r="F52" s="328" t="s">
        <v>447</v>
      </c>
      <c r="G52" s="326"/>
      <c r="H52" s="326"/>
      <c r="I52" s="326"/>
      <c r="J52" s="326"/>
      <c r="K52" s="326"/>
      <c r="L52" s="326"/>
      <c r="M52" s="326"/>
      <c r="N52" s="326"/>
      <c r="O52" s="326"/>
      <c r="P52" s="326"/>
      <c r="Q52" s="326"/>
      <c r="R52" s="326"/>
      <c r="S52" s="326"/>
    </row>
    <row r="53" spans="1:19">
      <c r="A53" s="326" t="s">
        <v>448</v>
      </c>
      <c r="B53" s="326"/>
      <c r="C53" s="326"/>
      <c r="D53" s="326"/>
      <c r="E53" s="332">
        <v>52</v>
      </c>
      <c r="F53" s="326" t="s">
        <v>449</v>
      </c>
      <c r="G53" s="326"/>
      <c r="H53" s="326"/>
      <c r="I53" s="326"/>
      <c r="J53" s="326"/>
      <c r="K53" s="326"/>
      <c r="L53" s="326"/>
      <c r="M53" s="326"/>
      <c r="N53" s="326"/>
      <c r="O53" s="326"/>
      <c r="P53" s="326"/>
      <c r="Q53" s="326"/>
      <c r="R53" s="326"/>
      <c r="S53" s="326"/>
    </row>
    <row r="54" spans="1:19">
      <c r="A54" s="326" t="s">
        <v>450</v>
      </c>
      <c r="B54" s="326"/>
      <c r="C54" s="326"/>
      <c r="D54" s="326"/>
      <c r="E54" s="332">
        <v>53</v>
      </c>
      <c r="F54" s="326" t="s">
        <v>451</v>
      </c>
      <c r="G54" s="326"/>
      <c r="H54" s="326"/>
      <c r="I54" s="326"/>
      <c r="J54" s="326"/>
      <c r="K54" s="326"/>
      <c r="L54" s="326"/>
      <c r="M54" s="326"/>
      <c r="N54" s="326"/>
      <c r="O54" s="326"/>
      <c r="P54" s="326"/>
      <c r="Q54" s="326"/>
      <c r="R54" s="326"/>
      <c r="S54" s="326"/>
    </row>
    <row r="55" spans="1:19">
      <c r="A55" s="326" t="s">
        <v>452</v>
      </c>
      <c r="B55" s="326"/>
      <c r="C55" s="326"/>
      <c r="D55" s="326"/>
      <c r="E55" s="332">
        <v>54</v>
      </c>
      <c r="F55" s="326" t="s">
        <v>453</v>
      </c>
      <c r="G55" s="326"/>
      <c r="H55" s="326"/>
      <c r="I55" s="326"/>
      <c r="J55" s="326"/>
      <c r="K55" s="326"/>
      <c r="L55" s="326"/>
      <c r="M55" s="326"/>
      <c r="N55" s="326"/>
      <c r="O55" s="326"/>
      <c r="P55" s="326"/>
      <c r="Q55" s="326"/>
      <c r="R55" s="326"/>
      <c r="S55" s="326"/>
    </row>
    <row r="56" spans="1:19">
      <c r="A56" s="326" t="s">
        <v>454</v>
      </c>
      <c r="B56" s="326"/>
      <c r="C56" s="326"/>
      <c r="D56" s="326"/>
      <c r="E56" s="332">
        <v>55</v>
      </c>
      <c r="F56" s="326" t="s">
        <v>455</v>
      </c>
      <c r="G56" s="326"/>
      <c r="H56" s="326"/>
      <c r="I56" s="326"/>
      <c r="J56" s="326"/>
      <c r="K56" s="326"/>
      <c r="L56" s="326"/>
      <c r="M56" s="326"/>
      <c r="N56" s="326"/>
      <c r="O56" s="326"/>
      <c r="P56" s="326"/>
      <c r="Q56" s="326"/>
      <c r="R56" s="326"/>
      <c r="S56" s="326"/>
    </row>
    <row r="57" spans="1:19">
      <c r="A57" s="326" t="s">
        <v>456</v>
      </c>
      <c r="B57" s="326"/>
      <c r="C57" s="326"/>
      <c r="D57" s="326"/>
      <c r="E57" s="332">
        <v>56</v>
      </c>
      <c r="F57" s="326" t="s">
        <v>457</v>
      </c>
      <c r="G57" s="326"/>
      <c r="H57" s="326"/>
      <c r="I57" s="326"/>
      <c r="J57" s="326"/>
      <c r="K57" s="326"/>
      <c r="L57" s="326"/>
      <c r="M57" s="326"/>
      <c r="N57" s="326"/>
      <c r="O57" s="326"/>
      <c r="P57" s="326"/>
      <c r="Q57" s="326"/>
      <c r="R57" s="326"/>
      <c r="S57" s="326"/>
    </row>
    <row r="58" spans="1:19">
      <c r="A58" s="326" t="s">
        <v>458</v>
      </c>
      <c r="B58" s="326"/>
      <c r="C58" s="326"/>
      <c r="D58" s="326"/>
      <c r="E58" s="332">
        <v>57</v>
      </c>
      <c r="F58" s="326" t="s">
        <v>459</v>
      </c>
      <c r="G58" s="326"/>
      <c r="H58" s="326"/>
      <c r="I58" s="326"/>
      <c r="J58" s="326"/>
      <c r="K58" s="326"/>
      <c r="L58" s="326"/>
      <c r="M58" s="326"/>
      <c r="N58" s="326"/>
      <c r="O58" s="326"/>
      <c r="P58" s="326"/>
      <c r="Q58" s="326"/>
      <c r="R58" s="326"/>
      <c r="S58" s="326"/>
    </row>
    <row r="59" spans="1:19">
      <c r="A59" s="326" t="s">
        <v>460</v>
      </c>
      <c r="B59" s="326"/>
      <c r="C59" s="326"/>
      <c r="D59" s="326"/>
      <c r="E59" s="332">
        <v>58</v>
      </c>
      <c r="F59" s="326" t="s">
        <v>461</v>
      </c>
      <c r="G59" s="326"/>
      <c r="H59" s="326"/>
      <c r="I59" s="326"/>
      <c r="J59" s="326"/>
      <c r="K59" s="326"/>
      <c r="L59" s="326"/>
      <c r="M59" s="326"/>
      <c r="N59" s="326"/>
      <c r="O59" s="326"/>
      <c r="P59" s="326"/>
      <c r="Q59" s="326"/>
      <c r="R59" s="326"/>
      <c r="S59" s="326"/>
    </row>
    <row r="60" spans="1:19">
      <c r="A60" s="326"/>
      <c r="B60" s="326"/>
      <c r="C60" s="326"/>
      <c r="D60" s="326"/>
      <c r="E60" s="332">
        <v>59</v>
      </c>
      <c r="F60" s="326" t="s">
        <v>462</v>
      </c>
      <c r="G60" s="326"/>
      <c r="H60" s="326"/>
      <c r="I60" s="326"/>
      <c r="J60" s="326"/>
      <c r="K60" s="326"/>
      <c r="L60" s="326"/>
      <c r="M60" s="326"/>
      <c r="N60" s="326"/>
      <c r="O60" s="326"/>
      <c r="P60" s="326"/>
      <c r="Q60" s="326"/>
      <c r="R60" s="326"/>
      <c r="S60" s="326"/>
    </row>
    <row r="61" spans="1:19">
      <c r="A61" s="326"/>
      <c r="B61" s="326"/>
      <c r="C61" s="326"/>
      <c r="D61" s="326"/>
      <c r="E61" s="332">
        <v>60</v>
      </c>
      <c r="F61" s="326" t="s">
        <v>463</v>
      </c>
      <c r="G61" s="326"/>
      <c r="H61" s="326"/>
      <c r="I61" s="326"/>
      <c r="J61" s="326"/>
      <c r="K61" s="326"/>
      <c r="L61" s="326"/>
      <c r="M61" s="326"/>
      <c r="N61" s="326"/>
      <c r="O61" s="326"/>
      <c r="P61" s="326"/>
      <c r="Q61" s="326"/>
      <c r="R61" s="326"/>
      <c r="S61" s="326"/>
    </row>
    <row r="62" spans="1:19">
      <c r="A62" s="326"/>
      <c r="B62" s="326"/>
      <c r="C62" s="326"/>
      <c r="D62" s="326"/>
      <c r="E62" s="332">
        <v>61</v>
      </c>
      <c r="F62" s="326" t="s">
        <v>464</v>
      </c>
      <c r="G62" s="326"/>
      <c r="H62" s="326"/>
      <c r="I62" s="326"/>
      <c r="J62" s="326"/>
      <c r="K62" s="326"/>
      <c r="L62" s="326"/>
      <c r="M62" s="326"/>
      <c r="N62" s="326"/>
      <c r="O62" s="326"/>
      <c r="P62" s="326"/>
      <c r="Q62" s="326"/>
      <c r="R62" s="326"/>
      <c r="S62" s="326"/>
    </row>
    <row r="63" spans="1:19">
      <c r="A63" s="326"/>
      <c r="B63" s="326"/>
      <c r="C63" s="326"/>
      <c r="D63" s="326"/>
      <c r="E63" s="332">
        <v>62</v>
      </c>
      <c r="F63" s="326" t="s">
        <v>465</v>
      </c>
      <c r="G63" s="326"/>
      <c r="H63" s="326"/>
      <c r="I63" s="326"/>
      <c r="J63" s="326"/>
      <c r="K63" s="326"/>
      <c r="L63" s="326"/>
      <c r="M63" s="326"/>
      <c r="N63" s="326"/>
      <c r="O63" s="326"/>
      <c r="P63" s="326"/>
      <c r="Q63" s="326"/>
      <c r="R63" s="326"/>
      <c r="S63" s="326"/>
    </row>
    <row r="64" spans="1:19">
      <c r="A64" s="326"/>
      <c r="B64" s="326"/>
      <c r="C64" s="326"/>
      <c r="D64" s="326"/>
      <c r="E64" s="332">
        <v>63</v>
      </c>
      <c r="F64" s="326" t="s">
        <v>466</v>
      </c>
      <c r="G64" s="326"/>
      <c r="H64" s="326"/>
      <c r="I64" s="326"/>
      <c r="J64" s="326"/>
      <c r="K64" s="326"/>
      <c r="L64" s="326"/>
      <c r="M64" s="326"/>
      <c r="N64" s="326"/>
      <c r="O64" s="326"/>
      <c r="P64" s="326"/>
      <c r="Q64" s="326"/>
      <c r="R64" s="326"/>
      <c r="S64" s="326"/>
    </row>
    <row r="65" spans="1:19">
      <c r="A65" s="326"/>
      <c r="B65" s="326"/>
      <c r="C65" s="326"/>
      <c r="D65" s="326"/>
      <c r="E65" s="332">
        <v>64</v>
      </c>
      <c r="F65" s="328" t="s">
        <v>467</v>
      </c>
      <c r="G65" s="326"/>
      <c r="H65" s="326"/>
      <c r="I65" s="326"/>
      <c r="J65" s="326"/>
      <c r="K65" s="326"/>
      <c r="L65" s="326"/>
      <c r="M65" s="326"/>
      <c r="N65" s="326"/>
      <c r="O65" s="326"/>
      <c r="P65" s="326"/>
      <c r="Q65" s="326"/>
      <c r="R65" s="326"/>
      <c r="S65" s="326"/>
    </row>
    <row r="66" spans="1:19">
      <c r="E66" s="332">
        <v>65</v>
      </c>
      <c r="F66" s="328" t="s">
        <v>468</v>
      </c>
    </row>
    <row r="67" spans="1:19">
      <c r="E67" s="332">
        <v>66</v>
      </c>
      <c r="F67" s="328" t="s">
        <v>469</v>
      </c>
    </row>
    <row r="68" spans="1:19">
      <c r="E68" s="332">
        <v>67</v>
      </c>
      <c r="F68" s="328" t="s">
        <v>470</v>
      </c>
    </row>
    <row r="69" spans="1:19">
      <c r="E69" s="340">
        <v>68</v>
      </c>
      <c r="F69" s="341" t="s">
        <v>471</v>
      </c>
    </row>
  </sheetData>
  <dataConsolidate link="1"/>
  <pageMargins left="0.7" right="0.7" top="0.75" bottom="0.75" header="0.3" footer="0.3"/>
  <pageSetup orientation="portrait" horizontalDpi="90" verticalDpi="9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B6D2-29A8-4977-AA43-B82E190738A0}">
  <sheetPr codeName="Sheet9">
    <pageSetUpPr fitToPage="1"/>
  </sheetPr>
  <dimension ref="A1:V661"/>
  <sheetViews>
    <sheetView zoomScale="80" zoomScaleNormal="80" workbookViewId="0">
      <pane xSplit="1" ySplit="1" topLeftCell="B26" activePane="bottomRight" state="frozen"/>
      <selection activeCell="H1" sqref="H1:H1048576"/>
      <selection pane="topRight" activeCell="H1" sqref="H1:H1048576"/>
      <selection pane="bottomLeft" activeCell="H1" sqref="H1:H1048576"/>
      <selection pane="bottomRight" activeCell="G48" sqref="G48"/>
    </sheetView>
  </sheetViews>
  <sheetFormatPr defaultColWidth="8.85546875" defaultRowHeight="12.75" customHeight="1"/>
  <cols>
    <col min="1" max="1" width="37.85546875" style="388" bestFit="1" customWidth="1"/>
    <col min="2" max="2" width="1.7109375" style="358" customWidth="1"/>
    <col min="3" max="3" width="15.7109375" style="358" customWidth="1"/>
    <col min="4" max="4" width="15.7109375" style="359" customWidth="1"/>
    <col min="5" max="5" width="15.7109375" style="358" customWidth="1"/>
    <col min="6" max="6" width="1.7109375" style="358" customWidth="1"/>
    <col min="7" max="7" width="12" style="358" bestFit="1" customWidth="1"/>
    <col min="8" max="8" width="16" style="361" bestFit="1" customWidth="1"/>
    <col min="9" max="9" width="1.7109375" style="358" customWidth="1"/>
    <col min="10" max="10" width="16" style="361" bestFit="1" customWidth="1"/>
    <col min="11" max="11" width="15" style="361" customWidth="1"/>
    <col min="12" max="12" width="10.7109375" style="358" customWidth="1"/>
    <col min="13" max="13" width="24.42578125" style="358" bestFit="1" customWidth="1"/>
    <col min="14" max="14" width="3" style="362" customWidth="1"/>
    <col min="15" max="15" width="19.42578125" style="358" customWidth="1"/>
    <col min="16" max="16" width="1.7109375" style="358" customWidth="1"/>
    <col min="17" max="17" width="15.85546875" style="361" bestFit="1" customWidth="1"/>
    <col min="18" max="18" width="10.7109375" style="361" customWidth="1"/>
    <col min="19" max="19" width="1.7109375" style="358" customWidth="1"/>
    <col min="20" max="20" width="5.7109375" style="358" customWidth="1"/>
    <col min="21" max="21" width="12.140625" style="358" bestFit="1" customWidth="1"/>
    <col min="22" max="22" width="10.7109375" style="358" customWidth="1"/>
    <col min="23" max="16384" width="8.85546875" style="358"/>
  </cols>
  <sheetData>
    <row r="1" spans="1:21" ht="12">
      <c r="A1" s="357" t="s">
        <v>516</v>
      </c>
      <c r="H1" s="360">
        <f>SUM(H2:H1048576)</f>
        <v>141162554.915079</v>
      </c>
      <c r="K1" s="361" t="s">
        <v>517</v>
      </c>
    </row>
    <row r="2" spans="1:21" thickBot="1">
      <c r="A2" s="357"/>
      <c r="J2" s="372"/>
      <c r="K2" s="363"/>
      <c r="L2" s="362"/>
      <c r="M2" s="362"/>
      <c r="O2" s="360"/>
      <c r="P2" s="360"/>
      <c r="R2" s="360"/>
    </row>
    <row r="3" spans="1:21" thickBot="1">
      <c r="A3" s="357"/>
      <c r="C3" s="368">
        <f>1116595.5+16745816.75-858407.089999998+47720-251139.76+56522.7699999958-131501.52-86133.9399999976+86133.9399999995-247246.63+115745.11-115745.11-159840.6-159838.779999999-117614.57-159838.64-1.96-172396.399999999-203458.6+530992.93999999-1061985.88-203458.829999994-203548.809-203548.81-176998.970999993-203548.8-7000000.01-125243.77-142547.29-465620.689999998-6249861.55</f>
        <v>0</v>
      </c>
      <c r="D3" s="369">
        <f>C3*E7</f>
        <v>0</v>
      </c>
      <c r="E3" s="370">
        <v>1</v>
      </c>
      <c r="G3" s="371"/>
      <c r="H3" s="372"/>
      <c r="J3" s="372"/>
      <c r="K3" s="363"/>
      <c r="L3" s="362"/>
      <c r="M3" s="362"/>
      <c r="O3" s="360"/>
      <c r="R3" s="360"/>
    </row>
    <row r="4" spans="1:21" ht="12">
      <c r="A4" s="357"/>
      <c r="C4" s="376">
        <f>4212766.02+1529526.89-374645.33-1750138.45-416006.779999994-115970.37</f>
        <v>3085531.9800000051</v>
      </c>
      <c r="D4" s="377">
        <f>C4*E7</f>
        <v>3079801.4470347427</v>
      </c>
      <c r="E4" s="378">
        <v>0.98750000000000004</v>
      </c>
      <c r="G4" s="371"/>
      <c r="H4" s="372"/>
      <c r="J4" s="372"/>
      <c r="K4" s="364"/>
      <c r="L4" s="362"/>
      <c r="M4" s="365" t="s">
        <v>518</v>
      </c>
      <c r="N4" s="366"/>
      <c r="O4" s="367"/>
      <c r="R4" s="360"/>
    </row>
    <row r="5" spans="1:21" ht="12">
      <c r="A5" s="357"/>
      <c r="C5" s="376">
        <v>5283971.7200000007</v>
      </c>
      <c r="D5" s="377">
        <f>C5*E7</f>
        <v>5274158.1856321041</v>
      </c>
      <c r="E5" s="378">
        <v>0.995</v>
      </c>
      <c r="G5" s="371"/>
      <c r="H5" s="372"/>
      <c r="K5" s="364"/>
      <c r="L5" s="362"/>
      <c r="M5" s="373" t="s">
        <v>522</v>
      </c>
      <c r="N5" s="374" t="s">
        <v>519</v>
      </c>
      <c r="O5" s="383">
        <f>5982.99+8266.07+1614.23</f>
        <v>15863.289999999999</v>
      </c>
      <c r="R5" s="360"/>
    </row>
    <row r="6" spans="1:21" ht="12">
      <c r="A6" s="357"/>
      <c r="C6" s="376">
        <f>15000000+7859723.51+3763270.84</f>
        <v>26622994.349999998</v>
      </c>
      <c r="D6" s="377">
        <f>C6*E7</f>
        <v>26573549.408983156</v>
      </c>
      <c r="E6" s="378">
        <v>1</v>
      </c>
      <c r="G6" s="371"/>
      <c r="H6" s="372"/>
      <c r="K6" s="364"/>
      <c r="L6" s="362"/>
      <c r="M6" s="373" t="s">
        <v>523</v>
      </c>
      <c r="N6" s="374" t="s">
        <v>519</v>
      </c>
      <c r="O6" s="383">
        <f>7256.11+10025.06+1962.7</f>
        <v>19243.87</v>
      </c>
      <c r="R6" s="360"/>
      <c r="U6" s="397"/>
    </row>
    <row r="7" spans="1:21" thickBot="1">
      <c r="A7" s="357" t="s">
        <v>472</v>
      </c>
      <c r="C7" s="379">
        <f>SUM(C3:C6)</f>
        <v>34992498.050000004</v>
      </c>
      <c r="D7" s="380">
        <f>SUM(D3:D6)</f>
        <v>34927509.041650005</v>
      </c>
      <c r="E7" s="381">
        <f>SUMPRODUCT(C3:C6,E3:E6)/(C3+C4+C5+C6)</f>
        <v>0.99814277310933508</v>
      </c>
      <c r="G7" s="360">
        <f>SUMIF('[18]Loan List'!E:E,[18]Prices!A7,'[18]Loan List'!G:G)</f>
        <v>25445609.859999999</v>
      </c>
      <c r="H7" s="361">
        <f>G7-C7</f>
        <v>-9546888.1900000051</v>
      </c>
      <c r="K7" s="364"/>
      <c r="L7" s="362"/>
      <c r="M7" s="373" t="s">
        <v>529</v>
      </c>
      <c r="N7" s="374" t="s">
        <v>519</v>
      </c>
      <c r="O7" s="383">
        <f>7308.5+10097.5+1989.29</f>
        <v>19395.29</v>
      </c>
      <c r="R7" s="360"/>
    </row>
    <row r="8" spans="1:21" thickBot="1">
      <c r="A8" s="357"/>
      <c r="J8" s="372"/>
      <c r="K8" s="364"/>
      <c r="L8" s="362"/>
      <c r="M8" s="373" t="s">
        <v>538</v>
      </c>
      <c r="N8" s="374" t="s">
        <v>519</v>
      </c>
      <c r="O8" s="383">
        <f>7302.14+10088.7+1994.37</f>
        <v>19385.21</v>
      </c>
      <c r="R8" s="360"/>
      <c r="U8" s="397"/>
    </row>
    <row r="9" spans="1:21" ht="12">
      <c r="A9" s="386"/>
      <c r="B9" s="387"/>
      <c r="C9" s="368">
        <f>6165809.78-5551051.79-19338.7599999997-19338.76-80996.86-1654.1501999991-17684.6099999994-94909.574+675575.799499997-176315.938499998+38757.8-38676.168+76955.6304999962+62568.6-19338.75+32048.0507000023-611039.9099-19338.76</f>
        <v>402031.63009999983</v>
      </c>
      <c r="D9" s="369">
        <f>C9*E12</f>
        <v>400021.47194949986</v>
      </c>
      <c r="E9" s="370">
        <v>0.995</v>
      </c>
      <c r="G9" s="371"/>
      <c r="H9" s="372"/>
      <c r="J9" s="372"/>
      <c r="K9" s="364"/>
      <c r="L9" s="362"/>
      <c r="M9" s="373" t="s">
        <v>541</v>
      </c>
      <c r="N9" s="374" t="s">
        <v>519</v>
      </c>
      <c r="O9" s="383">
        <f>7161.65+9894.61</f>
        <v>17056.260000000002</v>
      </c>
      <c r="R9" s="360"/>
    </row>
    <row r="10" spans="1:21" ht="12">
      <c r="A10" s="386"/>
      <c r="B10" s="387"/>
      <c r="C10" s="376">
        <v>6574380.8300000001</v>
      </c>
      <c r="D10" s="377">
        <f>C10*E12</f>
        <v>6541508.9258500012</v>
      </c>
      <c r="E10" s="378">
        <v>0.995</v>
      </c>
      <c r="G10" s="371"/>
      <c r="H10" s="372"/>
      <c r="J10" s="372"/>
      <c r="K10" s="364"/>
      <c r="L10" s="362"/>
      <c r="M10" s="373" t="s">
        <v>542</v>
      </c>
      <c r="N10" s="374" t="s">
        <v>519</v>
      </c>
      <c r="O10" s="383">
        <f>5342.34+7381.14</f>
        <v>12723.48</v>
      </c>
      <c r="R10" s="360"/>
    </row>
    <row r="11" spans="1:21" ht="12.75" customHeight="1">
      <c r="A11" s="386"/>
      <c r="B11" s="387"/>
      <c r="C11" s="376"/>
      <c r="D11" s="377"/>
      <c r="E11" s="378"/>
      <c r="G11" s="371"/>
      <c r="H11" s="372"/>
      <c r="K11" s="364" t="s">
        <v>512</v>
      </c>
      <c r="L11" s="362"/>
      <c r="M11" s="373" t="s">
        <v>544</v>
      </c>
      <c r="N11" s="374" t="s">
        <v>519</v>
      </c>
      <c r="O11" s="383">
        <v>-51117.780000000013</v>
      </c>
      <c r="R11" s="360"/>
    </row>
    <row r="12" spans="1:21" ht="12.75" customHeight="1" collapsed="1" thickBot="1">
      <c r="A12" s="386" t="s">
        <v>474</v>
      </c>
      <c r="B12" s="387"/>
      <c r="C12" s="379">
        <f>SUM(C9:C11)</f>
        <v>6976412.4600999998</v>
      </c>
      <c r="D12" s="380">
        <f>SUM(D9:D11)</f>
        <v>6941530.3977995012</v>
      </c>
      <c r="E12" s="381">
        <f>SUMPRODUCT(E9:E11,C9:C11)/C12</f>
        <v>0.99500000000000011</v>
      </c>
      <c r="G12" s="360">
        <f>SUMIF('[18]Loan List'!E:E,[18]Prices!A12,'[18]Loan List'!G:G)</f>
        <v>6957073.6998999985</v>
      </c>
      <c r="H12" s="361">
        <f>G12-C12</f>
        <v>-19338.760200001299</v>
      </c>
      <c r="J12" s="372"/>
      <c r="K12" s="364"/>
      <c r="L12" s="362"/>
      <c r="M12" s="373" t="s">
        <v>546</v>
      </c>
      <c r="N12" s="374" t="s">
        <v>519</v>
      </c>
      <c r="O12" s="383">
        <v>8624.2600000000093</v>
      </c>
      <c r="R12" s="360"/>
    </row>
    <row r="13" spans="1:21" ht="12.75" customHeight="1" thickBot="1">
      <c r="D13" s="358"/>
      <c r="H13" s="358"/>
      <c r="J13" s="372"/>
      <c r="K13" s="364"/>
      <c r="L13" s="362"/>
      <c r="M13" s="373" t="s">
        <v>547</v>
      </c>
      <c r="N13" s="374" t="s">
        <v>519</v>
      </c>
      <c r="O13" s="383">
        <v>3028.8599999999933</v>
      </c>
      <c r="R13" s="360"/>
    </row>
    <row r="14" spans="1:21" ht="12.75" customHeight="1">
      <c r="C14" s="368"/>
      <c r="D14" s="369"/>
      <c r="E14" s="370"/>
      <c r="G14" s="371"/>
      <c r="H14" s="372"/>
      <c r="J14" s="372"/>
      <c r="K14" s="364"/>
      <c r="L14" s="362"/>
      <c r="M14" s="373" t="s">
        <v>547</v>
      </c>
      <c r="N14" s="374" t="s">
        <v>519</v>
      </c>
      <c r="O14" s="383">
        <v>3764.7499999999782</v>
      </c>
      <c r="R14" s="360"/>
    </row>
    <row r="15" spans="1:21" ht="12.75" customHeight="1">
      <c r="C15" s="376"/>
      <c r="D15" s="377"/>
      <c r="E15" s="378"/>
      <c r="G15" s="371"/>
      <c r="H15" s="372"/>
      <c r="J15" s="372"/>
      <c r="K15" s="364"/>
      <c r="L15" s="362"/>
      <c r="M15" s="373" t="s">
        <v>547</v>
      </c>
      <c r="N15" s="374" t="s">
        <v>519</v>
      </c>
      <c r="O15" s="383">
        <v>1233.560100000017</v>
      </c>
      <c r="Q15" s="361">
        <v>1722780.38</v>
      </c>
      <c r="R15" s="360"/>
    </row>
    <row r="16" spans="1:21" ht="12.75" customHeight="1">
      <c r="C16" s="376"/>
      <c r="D16" s="377"/>
      <c r="E16" s="378"/>
      <c r="G16" s="371"/>
      <c r="H16" s="372"/>
      <c r="K16" s="364"/>
      <c r="L16" s="362"/>
      <c r="M16" s="373" t="s">
        <v>551</v>
      </c>
      <c r="N16" s="374" t="s">
        <v>519</v>
      </c>
      <c r="O16" s="383">
        <v>5462.69</v>
      </c>
      <c r="R16" s="360"/>
    </row>
    <row r="17" spans="1:21" ht="12.75" customHeight="1" thickBot="1">
      <c r="C17" s="379"/>
      <c r="D17" s="380"/>
      <c r="E17" s="381"/>
      <c r="G17" s="360"/>
      <c r="J17" s="372"/>
      <c r="K17" s="364"/>
      <c r="L17" s="362"/>
      <c r="M17" s="373" t="s">
        <v>555</v>
      </c>
      <c r="N17" s="374" t="s">
        <v>519</v>
      </c>
      <c r="O17" s="383">
        <v>3017.28</v>
      </c>
      <c r="R17" s="360"/>
    </row>
    <row r="18" spans="1:21" ht="12.75" customHeight="1" thickBot="1">
      <c r="D18" s="358"/>
      <c r="H18" s="358"/>
      <c r="J18" s="372"/>
      <c r="K18" s="364"/>
      <c r="L18" s="362"/>
      <c r="M18" s="373" t="s">
        <v>564</v>
      </c>
      <c r="N18" s="374" t="s">
        <v>519</v>
      </c>
      <c r="O18" s="383">
        <v>3398.0999999996275</v>
      </c>
      <c r="R18" s="360"/>
    </row>
    <row r="19" spans="1:21" ht="12.75" customHeight="1">
      <c r="C19" s="368">
        <f>40000000-5900000</f>
        <v>34100000</v>
      </c>
      <c r="D19" s="369">
        <f>C19*E22</f>
        <v>33759184.576479994</v>
      </c>
      <c r="E19" s="370">
        <v>0.99</v>
      </c>
      <c r="G19" s="371"/>
      <c r="H19" s="372"/>
      <c r="J19" s="372"/>
      <c r="K19" s="364"/>
      <c r="L19" s="362"/>
      <c r="M19" s="373" t="s">
        <v>565</v>
      </c>
      <c r="N19" s="374" t="s">
        <v>519</v>
      </c>
      <c r="O19" s="383">
        <v>10322.000000000378</v>
      </c>
      <c r="R19" s="360"/>
    </row>
    <row r="20" spans="1:21" ht="12.75" customHeight="1">
      <c r="C20" s="376">
        <v>3400000</v>
      </c>
      <c r="D20" s="377">
        <f>C20*E22</f>
        <v>3366018.4035199997</v>
      </c>
      <c r="E20" s="378">
        <v>0.99005969999999999</v>
      </c>
      <c r="G20" s="371"/>
      <c r="H20" s="372"/>
      <c r="J20" s="372"/>
      <c r="K20" s="364"/>
      <c r="L20" s="362"/>
      <c r="M20" s="373" t="s">
        <v>568</v>
      </c>
      <c r="N20" s="374" t="s">
        <v>519</v>
      </c>
      <c r="O20" s="383">
        <v>10084.469800000035</v>
      </c>
      <c r="R20" s="360"/>
      <c r="U20" s="397"/>
    </row>
    <row r="21" spans="1:21" ht="12.75" customHeight="1">
      <c r="C21" s="376"/>
      <c r="D21" s="377"/>
      <c r="E21" s="378"/>
      <c r="G21" s="371"/>
      <c r="H21" s="372"/>
      <c r="J21" s="372"/>
      <c r="K21" s="364"/>
      <c r="L21" s="362"/>
      <c r="M21" s="373" t="s">
        <v>570</v>
      </c>
      <c r="N21" s="374" t="s">
        <v>519</v>
      </c>
      <c r="O21" s="383">
        <v>7299.3099999999831</v>
      </c>
      <c r="R21" s="360"/>
    </row>
    <row r="22" spans="1:21" ht="12.75" customHeight="1" thickBot="1">
      <c r="A22" s="388" t="s">
        <v>476</v>
      </c>
      <c r="C22" s="379">
        <f>SUM(C19:C21)</f>
        <v>37500000</v>
      </c>
      <c r="D22" s="380">
        <f>SUM(D19:D21)</f>
        <v>37125202.979999997</v>
      </c>
      <c r="E22" s="381">
        <f>SUMPRODUCT(C19:C20,E19:E20)/(C19+C20)</f>
        <v>0.99000541279999987</v>
      </c>
      <c r="G22" s="360">
        <f>SUMIF('[18]Loan List'!E:E,[18]Prices!A22,'[18]Loan List'!G:G)</f>
        <v>37406250</v>
      </c>
      <c r="H22" s="361">
        <f>G22-C22</f>
        <v>-93750</v>
      </c>
      <c r="K22" s="364"/>
      <c r="L22" s="362"/>
      <c r="M22" s="373" t="s">
        <v>585</v>
      </c>
      <c r="N22" s="374" t="s">
        <v>519</v>
      </c>
      <c r="O22" s="383">
        <v>17383.540199999974</v>
      </c>
      <c r="R22" s="360"/>
    </row>
    <row r="23" spans="1:21" ht="12.75" customHeight="1" thickBot="1">
      <c r="D23" s="358"/>
      <c r="H23" s="358"/>
      <c r="K23" s="364"/>
      <c r="L23" s="362"/>
      <c r="M23" s="373" t="s">
        <v>592</v>
      </c>
      <c r="N23" s="374" t="s">
        <v>519</v>
      </c>
      <c r="O23" s="383">
        <v>5486.460099999982</v>
      </c>
      <c r="R23" s="360"/>
    </row>
    <row r="24" spans="1:21" ht="12.75" customHeight="1">
      <c r="A24" s="389"/>
      <c r="B24" s="390"/>
      <c r="C24" s="368">
        <v>0</v>
      </c>
      <c r="D24" s="369">
        <f>C24*E28</f>
        <v>0</v>
      </c>
      <c r="E24" s="370">
        <v>0.95100110000000004</v>
      </c>
      <c r="G24" s="371"/>
      <c r="H24" s="372"/>
      <c r="J24" s="372"/>
      <c r="K24" s="364"/>
      <c r="L24" s="362"/>
      <c r="M24" s="373" t="s">
        <v>598</v>
      </c>
      <c r="N24" s="374" t="s">
        <v>519</v>
      </c>
      <c r="O24" s="383">
        <v>117794.14970000007</v>
      </c>
      <c r="R24" s="360"/>
    </row>
    <row r="25" spans="1:21" ht="12.75" customHeight="1">
      <c r="A25" s="389"/>
      <c r="B25" s="390"/>
      <c r="C25" s="376">
        <f>5966608.35-2901270-19328.4199-19328.42009</f>
        <v>3026681.5100099994</v>
      </c>
      <c r="D25" s="377">
        <f>C25*E28</f>
        <v>2960574.2721745195</v>
      </c>
      <c r="E25" s="378">
        <v>1</v>
      </c>
      <c r="G25" s="371"/>
      <c r="H25" s="372"/>
      <c r="J25" s="372"/>
      <c r="K25" s="364"/>
      <c r="L25" s="362"/>
      <c r="M25" s="373" t="s">
        <v>616</v>
      </c>
      <c r="N25" s="374" t="s">
        <v>519</v>
      </c>
      <c r="O25" s="383">
        <v>75492.005200000014</v>
      </c>
      <c r="R25" s="360"/>
    </row>
    <row r="26" spans="1:21" ht="12.75" customHeight="1">
      <c r="A26" s="389"/>
      <c r="B26" s="390"/>
      <c r="C26" s="376">
        <v>4646699.33</v>
      </c>
      <c r="D26" s="377">
        <f>C26*E28</f>
        <v>4545208.4870611737</v>
      </c>
      <c r="E26" s="378">
        <v>0.96393180000000001</v>
      </c>
      <c r="G26" s="371"/>
      <c r="H26" s="372"/>
      <c r="J26" s="372"/>
      <c r="K26" s="364"/>
      <c r="L26" s="362"/>
      <c r="M26" s="373" t="s">
        <v>618</v>
      </c>
      <c r="N26" s="374" t="s">
        <v>519</v>
      </c>
      <c r="O26" s="383">
        <v>59320.297199999855</v>
      </c>
      <c r="R26" s="360"/>
    </row>
    <row r="27" spans="1:21" ht="12.75" customHeight="1">
      <c r="A27" s="389"/>
      <c r="B27" s="390"/>
      <c r="C27" s="376"/>
      <c r="D27" s="377"/>
      <c r="E27" s="378"/>
      <c r="G27" s="371"/>
      <c r="H27" s="372"/>
      <c r="J27" s="372"/>
      <c r="K27" s="364"/>
      <c r="L27" s="362"/>
      <c r="M27" s="373" t="s">
        <v>627</v>
      </c>
      <c r="N27" s="374" t="s">
        <v>519</v>
      </c>
      <c r="O27" s="383">
        <v>-5340.2122999999556</v>
      </c>
      <c r="R27" s="360"/>
    </row>
    <row r="28" spans="1:21" ht="12.75" customHeight="1" thickBot="1">
      <c r="A28" s="388" t="s">
        <v>655</v>
      </c>
      <c r="B28" s="390"/>
      <c r="C28" s="379">
        <f>SUM(C24:C27)</f>
        <v>7673380.8400099995</v>
      </c>
      <c r="D28" s="380">
        <f>SUM(D24:D26)</f>
        <v>7505782.7592356931</v>
      </c>
      <c r="E28" s="381">
        <f>SUMPRODUCT(E24:E27,C24:C27)/C28</f>
        <v>0.97815850871099375</v>
      </c>
      <c r="G28" s="360">
        <f>SUMIF('[18]Loan List'!E:E,[18]Prices!A28,'[18]Loan List'!G:G)</f>
        <v>10935653.42</v>
      </c>
      <c r="H28" s="361">
        <f>G28-C28</f>
        <v>3262272.5799900005</v>
      </c>
      <c r="K28" s="364"/>
      <c r="L28" s="362"/>
      <c r="M28" s="373" t="s">
        <v>629</v>
      </c>
      <c r="N28" s="374" t="s">
        <v>519</v>
      </c>
      <c r="O28" s="383">
        <v>385101.22009999998</v>
      </c>
      <c r="R28" s="360"/>
    </row>
    <row r="29" spans="1:21" ht="12.75" customHeight="1" thickBot="1">
      <c r="J29" s="406"/>
      <c r="K29" s="364"/>
      <c r="L29" s="362"/>
      <c r="M29" s="373" t="s">
        <v>653</v>
      </c>
      <c r="N29" s="374" t="s">
        <v>519</v>
      </c>
      <c r="O29" s="383">
        <v>70547.070200000075</v>
      </c>
      <c r="R29" s="360"/>
    </row>
    <row r="30" spans="1:21" ht="12.75" customHeight="1">
      <c r="C30" s="368">
        <f>35213000-7054138.32-356441.29-5000000-3347552.46-302560.85-302560.849999998-302560.85-269041.899999999-993075.99-2255559.82-25000-253336.14-253336.14-10058550.61-118781.94-118781.94-93781.96-118781.94-118781.92-118781.939-118781.941-118782.2-147135.82-147136.08-147136.08-147136.08-147136.08</f>
        <v>2778348.8600000003</v>
      </c>
      <c r="D30" s="369">
        <f>C30*E33</f>
        <v>2741269.9377769479</v>
      </c>
      <c r="E30" s="370">
        <v>0.98499999999999999</v>
      </c>
      <c r="G30" s="371"/>
      <c r="H30" s="372"/>
      <c r="J30" s="372"/>
      <c r="K30" s="364"/>
      <c r="L30" s="362"/>
      <c r="M30" s="373" t="s">
        <v>654</v>
      </c>
      <c r="N30" s="374" t="s">
        <v>519</v>
      </c>
      <c r="O30" s="383">
        <v>70673.720199999865</v>
      </c>
      <c r="R30" s="360"/>
      <c r="U30" s="397"/>
    </row>
    <row r="31" spans="1:21" ht="12.75" customHeight="1">
      <c r="C31" s="376">
        <v>4750000</v>
      </c>
      <c r="D31" s="377">
        <f>C31*E33</f>
        <v>4686608.0757189365</v>
      </c>
      <c r="E31" s="378">
        <v>0.98499999999999999</v>
      </c>
      <c r="G31" s="371"/>
      <c r="H31" s="372"/>
      <c r="J31" s="372"/>
      <c r="K31" s="364"/>
      <c r="L31" s="362"/>
      <c r="M31" s="373" t="s">
        <v>666</v>
      </c>
      <c r="N31" s="374" t="s">
        <v>519</v>
      </c>
      <c r="O31" s="383">
        <v>53454.269800000242</v>
      </c>
      <c r="R31" s="360"/>
    </row>
    <row r="32" spans="1:21" ht="12.75" customHeight="1">
      <c r="C32" s="376">
        <v>2183268.59</v>
      </c>
      <c r="D32" s="377">
        <f>C32*E33</f>
        <v>2154131.4116542093</v>
      </c>
      <c r="E32" s="378">
        <v>0.99235879999999999</v>
      </c>
      <c r="G32" s="371"/>
      <c r="H32" s="372"/>
      <c r="J32" s="372"/>
      <c r="K32" s="364"/>
      <c r="L32" s="362"/>
      <c r="M32" s="373" t="s">
        <v>676</v>
      </c>
      <c r="N32" s="374" t="s">
        <v>519</v>
      </c>
      <c r="O32" s="383">
        <v>99187.929799999809</v>
      </c>
      <c r="R32" s="360"/>
    </row>
    <row r="33" spans="1:18" ht="12.75" customHeight="1" thickBot="1">
      <c r="A33" s="388" t="s">
        <v>477</v>
      </c>
      <c r="C33" s="379">
        <f>SUM(C30:C32)</f>
        <v>9711617.4499999993</v>
      </c>
      <c r="D33" s="380">
        <f>SUM(D30:D32)</f>
        <v>9582009.4251500946</v>
      </c>
      <c r="E33" s="381">
        <f>SUMPRODUCT(C30:C32,E30:E32)/(C30+C31+C32)</f>
        <v>0.98665433173030237</v>
      </c>
      <c r="G33" s="360">
        <f>SUMIF('[18]Loan List'!E:E,[18]Prices!A33,'[18]Loan List'!G:G)</f>
        <v>12088121.479999999</v>
      </c>
      <c r="H33" s="361">
        <f>G33-C33</f>
        <v>2376504.0299999993</v>
      </c>
      <c r="J33" s="372"/>
      <c r="K33" s="364"/>
      <c r="L33" s="362"/>
      <c r="M33" s="373" t="s">
        <v>683</v>
      </c>
      <c r="N33" s="374" t="s">
        <v>519</v>
      </c>
      <c r="O33" s="383">
        <v>60526.769999999786</v>
      </c>
      <c r="R33" s="360"/>
    </row>
    <row r="34" spans="1:18" ht="12.75" customHeight="1" thickBot="1">
      <c r="K34" s="364"/>
      <c r="L34" s="362"/>
      <c r="M34" s="373" t="s">
        <v>683</v>
      </c>
      <c r="N34" s="374" t="s">
        <v>519</v>
      </c>
      <c r="O34" s="383">
        <v>54268.220200000564</v>
      </c>
      <c r="R34" s="360"/>
    </row>
    <row r="35" spans="1:18" ht="12.75" customHeight="1">
      <c r="C35" s="368">
        <f>18302237.12-6726708.38+3339824.29-7000000-5000000-16770.08-14966.17-13435.48-10019.4700000006-11118.74-17286.8399999998-7074.37999999988-10212.44-27311.87+26033.0099999979-46512.2399999992-25074.0099999988-15863.29+10088.7-634719.21-169852.41+10088.7+779334.529999999+7060.6-14114.78+14114.7799999993+35505.89-17284.4599999981-3028.86+1424979.09+67967.48-1999575.9698+492373.769699999-17284.46-2226.07-17284.46-17284.939+2226.54889999981+3289.097-5449.9242+5340.212-293184.149800001-36899.98-28247.17</f>
        <v>2321673.5848000003</v>
      </c>
      <c r="D35" s="369">
        <f>C35*E38</f>
        <v>2307541.8592545246</v>
      </c>
      <c r="E35" s="370">
        <v>0.98499999999999999</v>
      </c>
      <c r="G35" s="371"/>
      <c r="H35" s="372"/>
      <c r="K35" s="364"/>
      <c r="L35" s="362"/>
      <c r="M35" s="373" t="s">
        <v>686</v>
      </c>
      <c r="N35" s="374" t="s">
        <v>519</v>
      </c>
      <c r="O35" s="383">
        <v>51451.609699999681</v>
      </c>
      <c r="R35" s="360"/>
    </row>
    <row r="36" spans="1:18" ht="12.75" customHeight="1">
      <c r="C36" s="376">
        <f>4007789.15+1130207.9751</f>
        <v>5137997.1250999998</v>
      </c>
      <c r="D36" s="377">
        <f>C36*E38</f>
        <v>5106722.8039806457</v>
      </c>
      <c r="E36" s="378">
        <v>1</v>
      </c>
      <c r="G36" s="371"/>
      <c r="H36" s="372"/>
      <c r="K36" s="364"/>
      <c r="L36" s="362"/>
      <c r="M36" s="373" t="s">
        <v>690</v>
      </c>
      <c r="N36" s="374" t="s">
        <v>519</v>
      </c>
      <c r="O36" s="383">
        <v>57223.469899999909</v>
      </c>
      <c r="R36" s="360"/>
    </row>
    <row r="37" spans="1:18" ht="12.75" customHeight="1">
      <c r="C37" s="376">
        <v>6807398.4500000002</v>
      </c>
      <c r="D37" s="377">
        <f>C37*E38</f>
        <v>6765962.6998566892</v>
      </c>
      <c r="E37" s="378">
        <v>0.99235879999999999</v>
      </c>
      <c r="G37" s="371"/>
      <c r="H37" s="372"/>
      <c r="J37" s="372"/>
      <c r="K37" s="364"/>
      <c r="L37" s="362"/>
      <c r="M37" s="373" t="s">
        <v>693</v>
      </c>
      <c r="N37" s="374" t="s">
        <v>519</v>
      </c>
      <c r="O37" s="383">
        <v>184606.17030000035</v>
      </c>
      <c r="R37" s="360"/>
    </row>
    <row r="38" spans="1:18" ht="12.75" customHeight="1" thickBot="1">
      <c r="A38" s="388" t="s">
        <v>479</v>
      </c>
      <c r="C38" s="379">
        <f>SUM(C35:C37)</f>
        <v>14267069.1599</v>
      </c>
      <c r="D38" s="380">
        <f>SUM(D35:D37)</f>
        <v>14180227.36309186</v>
      </c>
      <c r="E38" s="381">
        <f>SUMPRODUCT(C35:C37,E35:E37)/(C35+C36+C37)</f>
        <v>0.99391312989130076</v>
      </c>
      <c r="G38" s="360">
        <f>SUMIF('[18]Loan List'!E:E,[18]Prices!A38,'[18]Loan List'!G:G)</f>
        <v>6357403.6297999937</v>
      </c>
      <c r="H38" s="361">
        <f>G38-C38</f>
        <v>-7909665.5301000066</v>
      </c>
      <c r="J38" s="372"/>
      <c r="K38" s="364"/>
      <c r="L38" s="362"/>
      <c r="M38" s="373" t="s">
        <v>700</v>
      </c>
      <c r="N38" s="374"/>
      <c r="O38" s="383">
        <v>55928.28</v>
      </c>
      <c r="R38" s="360"/>
    </row>
    <row r="39" spans="1:18" ht="12.75" customHeight="1" thickBot="1">
      <c r="J39" s="372"/>
      <c r="K39" s="364"/>
      <c r="L39" s="362"/>
      <c r="M39" s="373" t="s">
        <v>711</v>
      </c>
      <c r="O39" s="383">
        <v>200890.51</v>
      </c>
      <c r="R39" s="360"/>
    </row>
    <row r="40" spans="1:18" ht="12.75" customHeight="1" thickBot="1">
      <c r="C40" s="368">
        <v>521421.96</v>
      </c>
      <c r="D40" s="369">
        <f>C40*E43</f>
        <v>521421.96</v>
      </c>
      <c r="E40" s="370">
        <v>1</v>
      </c>
      <c r="G40" s="371"/>
      <c r="H40" s="372"/>
      <c r="K40" s="364"/>
      <c r="L40" s="362"/>
      <c r="M40" s="384" t="s">
        <v>520</v>
      </c>
      <c r="N40" s="385" t="s">
        <v>521</v>
      </c>
      <c r="O40" s="422">
        <f>+SUM(O4:O39)</f>
        <v>1722780.3802000002</v>
      </c>
      <c r="Q40" s="361">
        <f>Q15-O40</f>
        <v>-2.0000035874545574E-4</v>
      </c>
      <c r="R40" s="360"/>
    </row>
    <row r="41" spans="1:18" ht="12.75" customHeight="1" thickBot="1">
      <c r="C41" s="376"/>
      <c r="D41" s="377"/>
      <c r="E41" s="378"/>
      <c r="G41" s="371"/>
      <c r="H41" s="372"/>
      <c r="K41" s="364"/>
      <c r="L41" s="362"/>
      <c r="O41" s="360"/>
      <c r="R41" s="360"/>
    </row>
    <row r="42" spans="1:18" ht="12.75" customHeight="1">
      <c r="C42" s="376"/>
      <c r="D42" s="377"/>
      <c r="E42" s="378"/>
      <c r="G42" s="371"/>
      <c r="H42" s="372"/>
      <c r="J42" s="372"/>
      <c r="K42" s="364"/>
      <c r="L42" s="362"/>
      <c r="M42" s="365" t="s">
        <v>518</v>
      </c>
      <c r="N42" s="366"/>
      <c r="O42" s="367"/>
      <c r="R42" s="360"/>
    </row>
    <row r="43" spans="1:18" ht="12.75" customHeight="1" thickBot="1">
      <c r="A43" s="388" t="s">
        <v>583</v>
      </c>
      <c r="C43" s="379">
        <f>SUM(C40:C42)</f>
        <v>521421.96</v>
      </c>
      <c r="D43" s="380">
        <f>SUM(D40:D42)</f>
        <v>521421.96</v>
      </c>
      <c r="E43" s="381">
        <f>SUMPRODUCT(C40:C41,E40:E41)/(C40+C41)</f>
        <v>1</v>
      </c>
      <c r="G43" s="360">
        <f>SUMIF('[18]Loan List'!E:E,[18]Prices!A43,'[18]Loan List'!G:G)</f>
        <v>827745.96</v>
      </c>
      <c r="H43" s="361">
        <f>G43-C43</f>
        <v>306323.99999999994</v>
      </c>
      <c r="J43" s="372"/>
      <c r="K43" s="364"/>
      <c r="L43" s="362"/>
      <c r="M43" s="373" t="s">
        <v>556</v>
      </c>
      <c r="N43" s="374" t="s">
        <v>519</v>
      </c>
      <c r="O43" s="375">
        <v>38192.350000000326</v>
      </c>
      <c r="R43" s="360"/>
    </row>
    <row r="44" spans="1:18" ht="12.75" customHeight="1" thickBot="1">
      <c r="J44" s="372"/>
      <c r="K44" s="364"/>
      <c r="L44" s="362"/>
      <c r="M44" s="373" t="s">
        <v>560</v>
      </c>
      <c r="N44" s="374" t="s">
        <v>519</v>
      </c>
      <c r="O44" s="375">
        <v>30001.019899999665</v>
      </c>
      <c r="R44" s="360"/>
    </row>
    <row r="45" spans="1:18" ht="12.75" customHeight="1">
      <c r="A45" s="386"/>
      <c r="B45" s="387"/>
      <c r="C45" s="368">
        <v>1057680.25</v>
      </c>
      <c r="D45" s="369">
        <f>C45*E48</f>
        <v>1057680.25</v>
      </c>
      <c r="E45" s="370">
        <v>1</v>
      </c>
      <c r="G45" s="371"/>
      <c r="H45" s="372"/>
      <c r="K45" s="364"/>
      <c r="L45" s="362"/>
      <c r="M45" s="373" t="s">
        <v>564</v>
      </c>
      <c r="N45" s="374" t="s">
        <v>519</v>
      </c>
      <c r="O45" s="375">
        <v>28534.65000000014</v>
      </c>
      <c r="R45" s="360"/>
    </row>
    <row r="46" spans="1:18" ht="12.75" customHeight="1">
      <c r="A46" s="386"/>
      <c r="B46" s="387"/>
      <c r="C46" s="376"/>
      <c r="D46" s="377"/>
      <c r="E46" s="378"/>
      <c r="G46" s="371"/>
      <c r="H46" s="372"/>
      <c r="J46" s="372"/>
      <c r="K46" s="364"/>
      <c r="L46" s="362"/>
      <c r="M46" s="373" t="s">
        <v>565</v>
      </c>
      <c r="N46" s="374" t="s">
        <v>519</v>
      </c>
      <c r="O46" s="375">
        <v>3156.2300999998406</v>
      </c>
      <c r="R46" s="360"/>
    </row>
    <row r="47" spans="1:18" ht="12.75" customHeight="1">
      <c r="A47" s="386"/>
      <c r="B47" s="387"/>
      <c r="C47" s="376"/>
      <c r="D47" s="377"/>
      <c r="E47" s="378"/>
      <c r="G47" s="371"/>
      <c r="H47" s="372"/>
      <c r="J47" s="372"/>
      <c r="K47" s="364"/>
      <c r="L47" s="362"/>
      <c r="M47" s="373" t="s">
        <v>567</v>
      </c>
      <c r="N47" s="374" t="s">
        <v>519</v>
      </c>
      <c r="O47" s="375">
        <v>30360.049900000042</v>
      </c>
      <c r="Q47" s="405"/>
      <c r="R47" s="360"/>
    </row>
    <row r="48" spans="1:18" ht="12.75" customHeight="1" thickBot="1">
      <c r="A48" s="388" t="s">
        <v>584</v>
      </c>
      <c r="B48" s="387"/>
      <c r="C48" s="379">
        <f>SUM(C45:C47)</f>
        <v>1057680.25</v>
      </c>
      <c r="D48" s="380">
        <f>SUM(D45:D47)</f>
        <v>1057680.25</v>
      </c>
      <c r="E48" s="381">
        <f>SUMPRODUCT(C45:C46,E45:E46)/(C45+C46)</f>
        <v>1</v>
      </c>
      <c r="G48" s="360">
        <f>SUMIF('[18]Loan List'!E:E,[18]Prices!A48,'[18]Loan List'!G:G)</f>
        <v>1680800.25</v>
      </c>
      <c r="H48" s="361">
        <f>G48-C48</f>
        <v>623120</v>
      </c>
      <c r="K48" s="364"/>
      <c r="L48" s="362"/>
      <c r="M48" s="373" t="s">
        <v>568</v>
      </c>
      <c r="N48" s="374" t="s">
        <v>519</v>
      </c>
      <c r="O48" s="375">
        <v>32678.650099999999</v>
      </c>
      <c r="R48" s="360"/>
    </row>
    <row r="49" spans="1:22" ht="12.75" customHeight="1" thickBot="1">
      <c r="K49" s="364"/>
      <c r="L49" s="362"/>
      <c r="M49" s="373" t="s">
        <v>582</v>
      </c>
      <c r="N49" s="374" t="s">
        <v>519</v>
      </c>
      <c r="O49" s="375">
        <v>31875.310399999988</v>
      </c>
      <c r="Q49" s="361">
        <v>738954.16</v>
      </c>
      <c r="R49" s="360"/>
    </row>
    <row r="50" spans="1:22" ht="12.75" customHeight="1">
      <c r="C50" s="368">
        <f>27144833.1-67862.08-67862.08-76266.84-5750000-61783.21-61783.21-66510.87-61740.75-61740.75-76224.37-76224.37-61740.7399999983+28967.2499999962-61740.75-6573276-44798.94-44799.32-44799.399-7999999.911-24020.089-24020.09-24020.0909+252874.9499-6095461.44</f>
        <v>0</v>
      </c>
      <c r="D50" s="369">
        <f>C50*E53</f>
        <v>0</v>
      </c>
      <c r="E50" s="370">
        <v>0.98</v>
      </c>
      <c r="G50" s="371"/>
      <c r="H50" s="372"/>
      <c r="J50" s="372"/>
      <c r="K50" s="364"/>
      <c r="L50" s="362"/>
      <c r="M50" s="373" t="s">
        <v>585</v>
      </c>
      <c r="N50" s="374" t="s">
        <v>519</v>
      </c>
      <c r="O50" s="375">
        <v>32300.449300000007</v>
      </c>
      <c r="R50" s="360"/>
    </row>
    <row r="51" spans="1:22" ht="12.75" customHeight="1">
      <c r="C51" s="376">
        <f>3353493.33-1904538.56-14473.97</f>
        <v>1434480.8</v>
      </c>
      <c r="D51" s="377">
        <f>C51*E53</f>
        <v>1425675.8867394952</v>
      </c>
      <c r="E51" s="378">
        <v>0.99041829999999997</v>
      </c>
      <c r="G51" s="371"/>
      <c r="H51" s="372"/>
      <c r="J51" s="372"/>
      <c r="K51" s="364"/>
      <c r="L51" s="362"/>
      <c r="M51" s="373" t="s">
        <v>592</v>
      </c>
      <c r="N51" s="374" t="s">
        <v>519</v>
      </c>
      <c r="O51" s="375">
        <v>22551.940399999963</v>
      </c>
      <c r="R51" s="360"/>
    </row>
    <row r="52" spans="1:22" ht="12.75" customHeight="1">
      <c r="C52" s="376">
        <v>4340632.0500000007</v>
      </c>
      <c r="D52" s="377">
        <f>C52*E53</f>
        <v>4313989.0383291459</v>
      </c>
      <c r="E52" s="378">
        <v>0.995</v>
      </c>
      <c r="G52" s="371"/>
      <c r="H52" s="372"/>
      <c r="J52" s="372"/>
      <c r="K52" s="364"/>
      <c r="L52" s="362"/>
      <c r="M52" s="373" t="s">
        <v>598</v>
      </c>
      <c r="N52" s="374" t="s">
        <v>519</v>
      </c>
      <c r="O52" s="375">
        <v>30728.780099999916</v>
      </c>
      <c r="Q52" s="361">
        <f>Q49-O59</f>
        <v>0</v>
      </c>
      <c r="R52" s="360"/>
      <c r="V52" s="397"/>
    </row>
    <row r="53" spans="1:22" ht="12.75" customHeight="1" thickBot="1">
      <c r="A53" s="388" t="s">
        <v>475</v>
      </c>
      <c r="C53" s="379">
        <f>SUM(C50:C52)</f>
        <v>5775112.8500000006</v>
      </c>
      <c r="D53" s="380">
        <f>SUM(D50:D52)</f>
        <v>5739664.9250686411</v>
      </c>
      <c r="E53" s="381">
        <f>SUMPRODUCT(C50:C52,E50:E52)/(C50+C51+C52)</f>
        <v>0.99386195112510056</v>
      </c>
      <c r="G53" s="360">
        <f>SUMIF('[18]Loan List'!E:E,[18]Prices!A53,'[18]Loan List'!G:G)</f>
        <v>760638.88</v>
      </c>
      <c r="H53" s="361">
        <f>G53-C53</f>
        <v>-5014473.9700000007</v>
      </c>
      <c r="K53" s="364"/>
      <c r="L53" s="362"/>
      <c r="M53" s="373" t="s">
        <v>616</v>
      </c>
      <c r="N53" s="374" t="s">
        <v>519</v>
      </c>
      <c r="O53" s="375">
        <v>33163.179700000095</v>
      </c>
      <c r="R53" s="360"/>
    </row>
    <row r="54" spans="1:22" ht="12.75" customHeight="1" thickBot="1">
      <c r="K54" s="364"/>
      <c r="L54" s="362"/>
      <c r="M54" s="373" t="s">
        <v>629</v>
      </c>
      <c r="N54" s="374" t="s">
        <v>519</v>
      </c>
      <c r="O54" s="375">
        <v>163850.07009999995</v>
      </c>
      <c r="R54" s="360"/>
    </row>
    <row r="55" spans="1:22" ht="12.75" customHeight="1">
      <c r="C55" s="368">
        <f>2858712.82+553719.59-8581.6499999999-8581.6499999999+103220.32-8581.6499999999-1500000-9783.98999999975+9783.98999999999-27213.7099999997+515574.78-6233.55-6233.55-9783.99-6233.55-6233.55-6233.55-61480.13-6233.98-6233.12-6233.55-6233.55-6233.55-6233.55-115605.12</f>
        <v>2222830.5600000019</v>
      </c>
      <c r="D55" s="369">
        <f>C55*E58</f>
        <v>2222830.5600000019</v>
      </c>
      <c r="E55" s="370">
        <v>1</v>
      </c>
      <c r="G55" s="371"/>
      <c r="H55" s="372"/>
      <c r="J55" s="372"/>
      <c r="K55" s="364"/>
      <c r="L55" s="362"/>
      <c r="M55" s="373" t="s">
        <v>663</v>
      </c>
      <c r="N55" s="374" t="s">
        <v>519</v>
      </c>
      <c r="O55" s="375">
        <v>98836.93990000023</v>
      </c>
      <c r="R55" s="360"/>
    </row>
    <row r="56" spans="1:22" ht="12.75" customHeight="1">
      <c r="C56" s="376"/>
      <c r="D56" s="377"/>
      <c r="E56" s="378"/>
      <c r="G56" s="371"/>
      <c r="H56" s="372"/>
      <c r="J56" s="372"/>
      <c r="K56" s="364"/>
      <c r="L56" s="362"/>
      <c r="M56" s="373" t="s">
        <v>693</v>
      </c>
      <c r="N56" s="374" t="s">
        <v>519</v>
      </c>
      <c r="O56" s="375">
        <v>65881.650199999916</v>
      </c>
      <c r="R56" s="360"/>
    </row>
    <row r="57" spans="1:22" ht="12.75" customHeight="1">
      <c r="C57" s="376"/>
      <c r="D57" s="377"/>
      <c r="E57" s="378"/>
      <c r="G57" s="371"/>
      <c r="H57" s="372"/>
      <c r="K57" s="364"/>
      <c r="L57" s="362"/>
      <c r="M57" s="373" t="s">
        <v>700</v>
      </c>
      <c r="N57" s="374" t="s">
        <v>519</v>
      </c>
      <c r="O57" s="375">
        <v>96842.889899999951</v>
      </c>
      <c r="R57" s="360"/>
      <c r="V57" s="397"/>
    </row>
    <row r="58" spans="1:22" ht="12.75" customHeight="1" thickBot="1">
      <c r="A58" s="388" t="s">
        <v>481</v>
      </c>
      <c r="C58" s="379">
        <f>SUM(C55:C57)</f>
        <v>2222830.5600000019</v>
      </c>
      <c r="D58" s="380">
        <f>SUM(D55:D57)</f>
        <v>2222830.5600000019</v>
      </c>
      <c r="E58" s="381">
        <f>SUMPRODUCT(C55:C56,E55:E56)/(C55+C56)</f>
        <v>1</v>
      </c>
      <c r="G58" s="360">
        <f>SUMIF('[18]Loan List'!E:E,[18]Prices!A58,'[18]Loan List'!G:G)</f>
        <v>4133769.4001000007</v>
      </c>
      <c r="H58" s="361">
        <f>G58-C58</f>
        <v>1910938.8400999987</v>
      </c>
      <c r="K58" s="358"/>
      <c r="L58" s="362"/>
      <c r="M58" s="373"/>
      <c r="N58" s="374"/>
      <c r="O58" s="383"/>
      <c r="R58" s="360"/>
    </row>
    <row r="59" spans="1:22" ht="12.75" customHeight="1" thickBot="1">
      <c r="J59" s="372"/>
      <c r="K59" s="364" t="s">
        <v>537</v>
      </c>
      <c r="L59" s="362"/>
      <c r="M59" s="384" t="s">
        <v>520</v>
      </c>
      <c r="N59" s="385" t="s">
        <v>521</v>
      </c>
      <c r="O59" s="422">
        <f>+SUM(O42:O58)</f>
        <v>738954.16</v>
      </c>
      <c r="R59" s="360"/>
    </row>
    <row r="60" spans="1:22" ht="12.75" customHeight="1">
      <c r="C60" s="368">
        <v>0</v>
      </c>
      <c r="D60" s="369">
        <f>C60*E63</f>
        <v>0</v>
      </c>
      <c r="E60" s="370">
        <v>0.97499999999999998</v>
      </c>
      <c r="G60" s="371"/>
      <c r="H60" s="372"/>
      <c r="J60" s="372"/>
      <c r="K60" s="364"/>
      <c r="R60" s="360"/>
    </row>
    <row r="61" spans="1:22" ht="12.75" customHeight="1" thickBot="1">
      <c r="A61" s="402"/>
      <c r="C61" s="376">
        <f>11534495.73-1564758.22-46276.089-44182.101-44182.1-44182.1-8000000-8081.61</f>
        <v>1782833.5100000009</v>
      </c>
      <c r="D61" s="377"/>
      <c r="E61" s="378">
        <v>0.9927861</v>
      </c>
      <c r="G61" s="371"/>
      <c r="H61" s="372"/>
      <c r="J61" s="372"/>
      <c r="K61" s="364"/>
      <c r="R61" s="360"/>
    </row>
    <row r="62" spans="1:22" ht="12.75" customHeight="1">
      <c r="C62" s="376"/>
      <c r="D62" s="377"/>
      <c r="E62" s="378"/>
      <c r="G62" s="371"/>
      <c r="H62" s="372"/>
      <c r="J62" s="372"/>
      <c r="K62" s="364"/>
      <c r="L62" s="362"/>
      <c r="M62" s="365" t="s">
        <v>518</v>
      </c>
      <c r="N62" s="366"/>
      <c r="O62" s="367"/>
      <c r="R62" s="360"/>
    </row>
    <row r="63" spans="1:22" ht="12.75" customHeight="1" thickBot="1">
      <c r="A63" s="388" t="s">
        <v>480</v>
      </c>
      <c r="C63" s="379">
        <f>SUM(C60:C62)</f>
        <v>1782833.5100000009</v>
      </c>
      <c r="D63" s="380">
        <f>SUM(D60:D62)</f>
        <v>0</v>
      </c>
      <c r="E63" s="381">
        <f>SUMPRODUCT(C60:C61,E60:E61)/(C60+C61)</f>
        <v>0.9927861</v>
      </c>
      <c r="G63" s="360">
        <f>SUMIF('[18]Loan List'!E:E,[18]Prices!A63,'[18]Loan List'!G:G)</f>
        <v>8021892.79</v>
      </c>
      <c r="H63" s="361">
        <f>G63-C63</f>
        <v>6239059.2799999993</v>
      </c>
      <c r="K63" s="364"/>
      <c r="L63" s="362"/>
      <c r="M63" s="373" t="s">
        <v>548</v>
      </c>
      <c r="N63" s="374" t="s">
        <v>519</v>
      </c>
      <c r="O63" s="375">
        <v>17684.609999999404</v>
      </c>
      <c r="Q63" s="405"/>
      <c r="R63" s="360"/>
    </row>
    <row r="64" spans="1:22" ht="12.75" customHeight="1" thickBot="1">
      <c r="K64" s="364"/>
      <c r="L64" s="362"/>
      <c r="M64" s="373" t="s">
        <v>560</v>
      </c>
      <c r="N64" s="374" t="s">
        <v>519</v>
      </c>
      <c r="O64" s="375">
        <v>79704.570100000594</v>
      </c>
      <c r="R64" s="360"/>
    </row>
    <row r="65" spans="1:18" ht="12.75" customHeight="1">
      <c r="C65" s="368">
        <f>11500000-5000000-5000000-3750-3750-3750-3750-3750-3750-3750-3750-3750-3750-3750-3750-3750-3750-3750-3750</f>
        <v>1440000</v>
      </c>
      <c r="D65" s="369">
        <f>C65*E68</f>
        <v>1411200</v>
      </c>
      <c r="E65" s="370">
        <v>0.98</v>
      </c>
      <c r="G65" s="371"/>
      <c r="H65" s="372"/>
      <c r="J65" s="372"/>
      <c r="K65" s="364"/>
      <c r="L65" s="362"/>
      <c r="M65" s="373" t="s">
        <v>567</v>
      </c>
      <c r="N65" s="374" t="s">
        <v>519</v>
      </c>
      <c r="O65" s="375">
        <v>4817.25</v>
      </c>
      <c r="R65" s="360"/>
    </row>
    <row r="66" spans="1:18" ht="12.75" customHeight="1">
      <c r="C66" s="376"/>
      <c r="D66" s="377"/>
      <c r="E66" s="378"/>
      <c r="G66" s="371"/>
      <c r="H66" s="372"/>
      <c r="J66" s="372"/>
      <c r="K66" s="364"/>
      <c r="L66" s="362"/>
      <c r="M66" s="373" t="s">
        <v>570</v>
      </c>
      <c r="N66" s="374" t="s">
        <v>519</v>
      </c>
      <c r="O66" s="375">
        <v>176712.99989999994</v>
      </c>
      <c r="R66" s="360"/>
    </row>
    <row r="67" spans="1:18" ht="12.75" customHeight="1">
      <c r="C67" s="376"/>
      <c r="D67" s="377"/>
      <c r="E67" s="378"/>
      <c r="G67" s="371"/>
      <c r="H67" s="372"/>
      <c r="J67" s="372"/>
      <c r="K67" s="364"/>
      <c r="L67" s="362"/>
      <c r="M67" s="373" t="s">
        <v>582</v>
      </c>
      <c r="N67" s="374" t="s">
        <v>519</v>
      </c>
      <c r="O67" s="375">
        <v>194041.7999000001</v>
      </c>
      <c r="Q67" s="361">
        <v>1276553.3</v>
      </c>
      <c r="R67" s="360"/>
    </row>
    <row r="68" spans="1:18" ht="12.75" customHeight="1" thickBot="1">
      <c r="A68" s="388" t="s">
        <v>478</v>
      </c>
      <c r="C68" s="379">
        <f>SUM(C65:C67)</f>
        <v>1440000</v>
      </c>
      <c r="D68" s="380">
        <f>SUM(D65:D67)</f>
        <v>1411200</v>
      </c>
      <c r="E68" s="381">
        <f>SUMPRODUCT(C65:C66,E65:E66)/(C65+C66)</f>
        <v>0.98</v>
      </c>
      <c r="G68" s="360">
        <f>SUMIF('[18]Loan List'!E:E,[18]Prices!A68,'[18]Loan List'!G:G)</f>
        <v>3830000</v>
      </c>
      <c r="H68" s="361">
        <f>G68-C68</f>
        <v>2390000</v>
      </c>
      <c r="K68" s="364"/>
      <c r="L68" s="362"/>
      <c r="M68" s="373" t="s">
        <v>585</v>
      </c>
      <c r="N68" s="374" t="s">
        <v>519</v>
      </c>
      <c r="O68" s="375">
        <v>54232.780099999974</v>
      </c>
      <c r="R68" s="360"/>
    </row>
    <row r="69" spans="1:18" ht="12.75" customHeight="1" thickBot="1">
      <c r="K69" s="364"/>
      <c r="L69" s="362"/>
      <c r="M69" s="373" t="s">
        <v>592</v>
      </c>
      <c r="N69" s="374" t="s">
        <v>519</v>
      </c>
      <c r="O69" s="375">
        <v>61952.289899999858</v>
      </c>
      <c r="R69" s="360"/>
    </row>
    <row r="70" spans="1:18" ht="12.75" customHeight="1">
      <c r="C70" s="368">
        <f>1875000-138666.74-56905.65</f>
        <v>1679427.61</v>
      </c>
      <c r="D70" s="369">
        <f>C70*E73</f>
        <v>1679427.61</v>
      </c>
      <c r="E70" s="370">
        <v>1</v>
      </c>
      <c r="G70" s="371"/>
      <c r="H70" s="372"/>
      <c r="J70" s="372"/>
      <c r="K70" s="364"/>
      <c r="L70" s="362"/>
      <c r="M70" s="373" t="s">
        <v>598</v>
      </c>
      <c r="N70" s="374" t="s">
        <v>519</v>
      </c>
      <c r="O70" s="375">
        <v>9804.8402000002097</v>
      </c>
      <c r="R70" s="360"/>
    </row>
    <row r="71" spans="1:18" ht="12.75" customHeight="1">
      <c r="C71" s="376"/>
      <c r="D71" s="377"/>
      <c r="E71" s="378"/>
      <c r="G71" s="371"/>
      <c r="H71" s="372"/>
      <c r="J71" s="372"/>
      <c r="K71" s="364"/>
      <c r="L71" s="362"/>
      <c r="M71" s="373" t="s">
        <v>616</v>
      </c>
      <c r="N71" s="374" t="s">
        <v>519</v>
      </c>
      <c r="O71" s="375">
        <v>10758.409700000077</v>
      </c>
      <c r="R71" s="360"/>
    </row>
    <row r="72" spans="1:18" ht="12.75" customHeight="1">
      <c r="C72" s="376"/>
      <c r="D72" s="377"/>
      <c r="E72" s="378"/>
      <c r="G72" s="371"/>
      <c r="H72" s="372"/>
      <c r="J72" s="372"/>
      <c r="K72" s="364"/>
      <c r="L72" s="362"/>
      <c r="M72" s="373" t="s">
        <v>618</v>
      </c>
      <c r="N72" s="374" t="s">
        <v>519</v>
      </c>
      <c r="O72" s="375">
        <v>10514.059799999464</v>
      </c>
      <c r="R72" s="360"/>
    </row>
    <row r="73" spans="1:18" ht="12.75" customHeight="1" thickBot="1">
      <c r="A73" s="388" t="s">
        <v>482</v>
      </c>
      <c r="C73" s="379">
        <f>SUM(C70:C72)</f>
        <v>1679427.61</v>
      </c>
      <c r="D73" s="380">
        <f>SUM(D70:D72)</f>
        <v>1679427.61</v>
      </c>
      <c r="E73" s="381">
        <f>SUMPRODUCT(C70:C71,E70:E71)/(C70+C71)</f>
        <v>1</v>
      </c>
      <c r="G73" s="360">
        <f>SUMIF('[18]Loan List'!E:E,[18]Prices!A73,'[18]Loan List'!G:G)</f>
        <v>1679427.6099999999</v>
      </c>
      <c r="H73" s="361">
        <f>G73-C73</f>
        <v>0</v>
      </c>
      <c r="K73" s="364"/>
      <c r="L73" s="362"/>
      <c r="M73" s="373" t="s">
        <v>627</v>
      </c>
      <c r="N73" s="374" t="s">
        <v>519</v>
      </c>
      <c r="O73" s="375">
        <v>9508.9704000001075</v>
      </c>
      <c r="R73" s="360"/>
    </row>
    <row r="74" spans="1:18" ht="12.75" customHeight="1" thickBot="1">
      <c r="K74" s="364"/>
      <c r="L74" s="362"/>
      <c r="M74" s="373" t="s">
        <v>629</v>
      </c>
      <c r="N74" s="374" t="s">
        <v>519</v>
      </c>
      <c r="O74" s="375">
        <v>-41332.189999999711</v>
      </c>
      <c r="R74" s="360"/>
    </row>
    <row r="75" spans="1:18" ht="12.75" customHeight="1">
      <c r="C75" s="368">
        <f>12790479.49-31976.2-31976.2-31976.2-275710.43-31976.37-31976.03-240849.25-176485.47-31976.37-31976.2-97638.88-31976.19-97640.5-100324.2-31976.55-23606.87-31976.2+5014434.03-5112071.77-97637.74-31976.2-89756.87-58584.57-8000000-2030556.01</f>
        <v>1052312.2500000091</v>
      </c>
      <c r="D75" s="369">
        <f>C75*E78</f>
        <v>1041789.127500009</v>
      </c>
      <c r="E75" s="370">
        <v>0.99</v>
      </c>
      <c r="G75" s="371"/>
      <c r="H75" s="372"/>
      <c r="J75" s="372"/>
      <c r="K75" s="364"/>
      <c r="L75" s="362"/>
      <c r="M75" s="373" t="s">
        <v>676</v>
      </c>
      <c r="N75" s="374"/>
      <c r="O75" s="375">
        <v>597505.63010000053</v>
      </c>
      <c r="R75" s="360"/>
    </row>
    <row r="76" spans="1:18" ht="12.75" customHeight="1">
      <c r="C76" s="376"/>
      <c r="D76" s="377"/>
      <c r="E76" s="378"/>
      <c r="G76" s="371"/>
      <c r="H76" s="372"/>
      <c r="J76" s="372"/>
      <c r="K76" s="364"/>
      <c r="L76" s="362"/>
      <c r="M76" s="373" t="s">
        <v>690</v>
      </c>
      <c r="N76" s="374" t="s">
        <v>519</v>
      </c>
      <c r="O76" s="375">
        <v>56823.029699999839</v>
      </c>
      <c r="R76" s="360"/>
    </row>
    <row r="77" spans="1:18" ht="12.75" customHeight="1">
      <c r="C77" s="376"/>
      <c r="D77" s="377"/>
      <c r="E77" s="378"/>
      <c r="G77" s="371"/>
      <c r="H77" s="372"/>
      <c r="J77" s="372"/>
      <c r="K77" s="364"/>
      <c r="L77" s="362"/>
      <c r="M77" s="373" t="s">
        <v>693</v>
      </c>
      <c r="N77" s="374" t="s">
        <v>519</v>
      </c>
      <c r="O77" s="375">
        <v>19368.120299999369</v>
      </c>
      <c r="R77" s="360"/>
    </row>
    <row r="78" spans="1:18" ht="12.75" customHeight="1" thickBot="1">
      <c r="A78" s="361" t="s">
        <v>507</v>
      </c>
      <c r="C78" s="379">
        <f>SUM(C75:C77)</f>
        <v>1052312.2500000091</v>
      </c>
      <c r="D78" s="380">
        <f>SUM(D75:D77)</f>
        <v>1041789.127500009</v>
      </c>
      <c r="E78" s="381">
        <f>SUMPRODUCT(C75:C76,E75:E76)/(C75+C76)</f>
        <v>0.99</v>
      </c>
      <c r="G78" s="360">
        <f>SUMIF('[18]Loan List'!E:E,[18]Prices!A78,'[18]Loan List'!G:G)</f>
        <v>2761876.5</v>
      </c>
      <c r="H78" s="361">
        <f>G78-C78</f>
        <v>1709564.2499999909</v>
      </c>
      <c r="J78" s="372"/>
      <c r="K78" s="364" t="s">
        <v>474</v>
      </c>
      <c r="L78" s="362"/>
      <c r="M78" s="373" t="s">
        <v>712</v>
      </c>
      <c r="O78" s="383">
        <v>14456.13</v>
      </c>
      <c r="R78" s="360"/>
    </row>
    <row r="79" spans="1:18" ht="12.75" customHeight="1" thickBot="1">
      <c r="K79" s="364"/>
      <c r="L79" s="362"/>
      <c r="M79" s="384" t="s">
        <v>520</v>
      </c>
      <c r="N79" s="385" t="s">
        <v>521</v>
      </c>
      <c r="O79" s="422">
        <f>+SUM(O62:O78)</f>
        <v>1276553.3000999996</v>
      </c>
      <c r="Q79" s="361">
        <f>Q67-O79</f>
        <v>-9.9999597296118736E-5</v>
      </c>
      <c r="R79" s="360"/>
    </row>
    <row r="80" spans="1:18" ht="12.75" customHeight="1">
      <c r="C80" s="368">
        <f>12161987.43-30404.9699999988-30404.97-6526573.16-14041.83-14041.83-14041.83-14041.83-14041.83-14042.17-128194.919999996</f>
        <v>5362158.0900000036</v>
      </c>
      <c r="D80" s="369">
        <f>C80*E83</f>
        <v>5273899.9696542462</v>
      </c>
      <c r="E80" s="370">
        <v>0.97750000000000004</v>
      </c>
      <c r="G80" s="371"/>
      <c r="H80" s="372"/>
      <c r="K80" s="364"/>
    </row>
    <row r="81" spans="1:17" ht="12.75" customHeight="1" thickBot="1">
      <c r="C81" s="376">
        <v>5014434.03</v>
      </c>
      <c r="D81" s="377">
        <f>C81*E83</f>
        <v>4931899.2530207559</v>
      </c>
      <c r="E81" s="378">
        <v>0.99</v>
      </c>
      <c r="G81" s="371"/>
      <c r="H81" s="372"/>
      <c r="J81" s="372"/>
      <c r="K81" s="364"/>
    </row>
    <row r="82" spans="1:17" ht="12.75" customHeight="1">
      <c r="C82" s="376"/>
      <c r="D82" s="377"/>
      <c r="E82" s="378"/>
      <c r="G82" s="371"/>
      <c r="H82" s="372"/>
      <c r="J82" s="372"/>
      <c r="K82" s="364"/>
      <c r="L82" s="362"/>
      <c r="M82" s="365" t="s">
        <v>518</v>
      </c>
      <c r="N82" s="366"/>
      <c r="O82" s="367"/>
    </row>
    <row r="83" spans="1:17" ht="12.75" customHeight="1" thickBot="1">
      <c r="A83" s="361" t="s">
        <v>525</v>
      </c>
      <c r="C83" s="379">
        <f>SUM(C80:C82)</f>
        <v>10376592.120000005</v>
      </c>
      <c r="D83" s="380">
        <f>SUM(D80:D82)</f>
        <v>10205799.222675003</v>
      </c>
      <c r="E83" s="381">
        <f>SUMPRODUCT(C80:C81,E80:E81)/(C80+C81)</f>
        <v>0.98354055981483435</v>
      </c>
      <c r="G83" s="360">
        <f>SUMIF('[18]Loan List'!E:E,[18]Prices!A83,'[18]Loan List'!G:G)</f>
        <v>15189426.120100001</v>
      </c>
      <c r="H83" s="361">
        <f>G83-C83</f>
        <v>4812834.0000999961</v>
      </c>
      <c r="K83" s="364"/>
      <c r="L83" s="362"/>
      <c r="M83" s="373" t="s">
        <v>700</v>
      </c>
      <c r="N83" s="374" t="s">
        <v>519</v>
      </c>
      <c r="O83" s="375">
        <v>83249.279999999999</v>
      </c>
    </row>
    <row r="84" spans="1:17" ht="12.75" customHeight="1">
      <c r="K84" s="364"/>
      <c r="L84" s="362"/>
      <c r="M84" s="373" t="s">
        <v>712</v>
      </c>
      <c r="N84" s="374"/>
      <c r="O84" s="375">
        <v>162510.35</v>
      </c>
      <c r="Q84" s="361">
        <v>245759.63</v>
      </c>
    </row>
    <row r="85" spans="1:17" ht="12.75" customHeight="1">
      <c r="K85" s="364"/>
      <c r="L85" s="362"/>
      <c r="M85" s="373"/>
      <c r="N85" s="374"/>
      <c r="O85" s="375"/>
    </row>
    <row r="86" spans="1:17" ht="12.75" customHeight="1">
      <c r="K86" s="364"/>
      <c r="L86" s="362"/>
      <c r="M86" s="373"/>
      <c r="N86" s="374"/>
      <c r="O86" s="375"/>
    </row>
    <row r="87" spans="1:17" ht="12.75" customHeight="1">
      <c r="K87" s="364"/>
      <c r="L87" s="362"/>
      <c r="M87" s="373"/>
      <c r="N87" s="374"/>
      <c r="O87" s="375"/>
    </row>
    <row r="88" spans="1:17" ht="12.75" customHeight="1">
      <c r="K88" s="364"/>
      <c r="L88" s="362"/>
      <c r="M88" s="373"/>
      <c r="N88" s="374"/>
      <c r="O88" s="375"/>
    </row>
    <row r="89" spans="1:17" ht="12.75" customHeight="1" thickBot="1">
      <c r="K89" s="364"/>
      <c r="L89" s="362"/>
      <c r="M89" s="373"/>
      <c r="N89" s="374"/>
      <c r="O89" s="375"/>
    </row>
    <row r="90" spans="1:17" ht="12.75" customHeight="1">
      <c r="C90" s="368">
        <f>13700000-34250-34250-34250-34250-34250-34250-34250-34250-7000000-16392.86-22110.709-22110.71-6676.06-15434.651-6343275.01</f>
        <v>0</v>
      </c>
      <c r="D90" s="369">
        <f>C90*E93</f>
        <v>0</v>
      </c>
      <c r="E90" s="370">
        <v>0.98</v>
      </c>
      <c r="G90" s="371"/>
      <c r="H90" s="372"/>
      <c r="J90" s="372"/>
      <c r="K90" s="364"/>
      <c r="L90" s="362"/>
      <c r="M90" s="373"/>
      <c r="N90" s="374"/>
      <c r="O90" s="375"/>
    </row>
    <row r="91" spans="1:17" ht="12.75" customHeight="1">
      <c r="C91" s="376">
        <f>2287138.67-1656724.98-1624.779</f>
        <v>628788.91099999996</v>
      </c>
      <c r="D91" s="377">
        <f>C91*E93</f>
        <v>624301.93620999507</v>
      </c>
      <c r="E91" s="378">
        <v>0.99286410000000003</v>
      </c>
      <c r="G91" s="371"/>
      <c r="H91" s="372"/>
      <c r="J91" s="372"/>
      <c r="K91" s="364"/>
      <c r="L91" s="362"/>
      <c r="M91" s="373"/>
      <c r="N91" s="374"/>
      <c r="O91" s="375"/>
    </row>
    <row r="92" spans="1:17" ht="12.75" customHeight="1">
      <c r="C92" s="376"/>
      <c r="D92" s="377">
        <f>C92*E93</f>
        <v>0</v>
      </c>
      <c r="E92" s="378"/>
      <c r="G92" s="371"/>
      <c r="H92" s="372"/>
      <c r="J92" s="372"/>
      <c r="K92" s="364"/>
      <c r="L92" s="362"/>
      <c r="M92" s="373"/>
      <c r="N92" s="374"/>
      <c r="O92" s="375"/>
    </row>
    <row r="93" spans="1:17" ht="12.75" customHeight="1" thickBot="1">
      <c r="A93" s="361" t="s">
        <v>532</v>
      </c>
      <c r="C93" s="379">
        <f>SUM(C90:C92)</f>
        <v>628788.91099999996</v>
      </c>
      <c r="D93" s="380">
        <f>SUM(D90:D92)</f>
        <v>624301.93620999507</v>
      </c>
      <c r="E93" s="381">
        <f>SUMPRODUCT(C90:C91,E90:E91)/(C90+C91)</f>
        <v>0.99286410000000003</v>
      </c>
      <c r="G93" s="360">
        <f>SUMIF('[18]Loan List'!E:E,[18]Prices!A93,'[18]Loan List'!G:G)</f>
        <v>14794773.140000001</v>
      </c>
      <c r="H93" s="361">
        <f>G93-C93</f>
        <v>14165984.229</v>
      </c>
      <c r="K93" s="358"/>
      <c r="L93" s="362"/>
      <c r="M93" s="382"/>
      <c r="O93" s="383"/>
    </row>
    <row r="94" spans="1:17" ht="12.75" customHeight="1" thickBot="1">
      <c r="K94" s="364" t="s">
        <v>534</v>
      </c>
      <c r="L94" s="362"/>
      <c r="M94" s="384" t="s">
        <v>520</v>
      </c>
      <c r="N94" s="385" t="s">
        <v>521</v>
      </c>
      <c r="O94" s="422">
        <f>+SUM(O83:O93)</f>
        <v>245759.63</v>
      </c>
      <c r="Q94" s="361">
        <f>Q84-O94</f>
        <v>0</v>
      </c>
    </row>
    <row r="95" spans="1:17" ht="12.75" customHeight="1">
      <c r="C95" s="368">
        <f>12559129.16-31397.82-31397.82-31240.83-31240.83-31240.83-31240.83-30928.4299999-30928.77-6999999.6600001-13340.49-318072.13-667951.47</f>
        <v>4310149.2500000009</v>
      </c>
      <c r="D95" s="369">
        <f>C95*E98</f>
        <v>4223946.2650000006</v>
      </c>
      <c r="E95" s="370">
        <v>0.98</v>
      </c>
      <c r="G95" s="371"/>
      <c r="H95" s="372"/>
      <c r="J95" s="372"/>
      <c r="K95" s="364"/>
    </row>
    <row r="96" spans="1:17" ht="12.75" customHeight="1" thickBot="1">
      <c r="C96" s="376"/>
      <c r="D96" s="377"/>
      <c r="E96" s="378"/>
      <c r="G96" s="371"/>
      <c r="H96" s="372"/>
      <c r="J96" s="372"/>
      <c r="K96" s="364"/>
    </row>
    <row r="97" spans="1:17" ht="12.75" customHeight="1">
      <c r="C97" s="376"/>
      <c r="D97" s="377"/>
      <c r="E97" s="378"/>
      <c r="G97" s="371"/>
      <c r="H97" s="372"/>
      <c r="J97" s="372"/>
      <c r="K97" s="364"/>
      <c r="L97" s="362"/>
      <c r="M97" s="365" t="s">
        <v>518</v>
      </c>
      <c r="N97" s="366"/>
      <c r="O97" s="367"/>
    </row>
    <row r="98" spans="1:17" ht="12.75" customHeight="1" thickBot="1">
      <c r="A98" s="361" t="s">
        <v>531</v>
      </c>
      <c r="C98" s="379">
        <f>SUM(C95:C97)</f>
        <v>4310149.2500000009</v>
      </c>
      <c r="D98" s="380">
        <f>SUM(D95:D97)</f>
        <v>4223946.2650000006</v>
      </c>
      <c r="E98" s="381">
        <f>SUMPRODUCT(C95:C96,E95:E96)/(C95+C96)</f>
        <v>0.97999999999999987</v>
      </c>
      <c r="G98" s="360">
        <f>SUMIF('[18]Loan List'!E:E,[18]Prices!A98,'[18]Loan List'!G:G)</f>
        <v>8294408.25</v>
      </c>
      <c r="H98" s="361">
        <f>G98-C98</f>
        <v>3984258.9999999991</v>
      </c>
      <c r="K98" s="364"/>
      <c r="L98" s="362"/>
      <c r="M98" s="373" t="s">
        <v>564</v>
      </c>
      <c r="N98" s="374" t="s">
        <v>519</v>
      </c>
      <c r="O98" s="375">
        <v>16718.400000000001</v>
      </c>
    </row>
    <row r="99" spans="1:17" ht="12.75" customHeight="1" thickBot="1">
      <c r="K99" s="364"/>
      <c r="L99" s="362"/>
      <c r="M99" s="373" t="s">
        <v>565</v>
      </c>
      <c r="N99" s="374" t="s">
        <v>519</v>
      </c>
      <c r="O99" s="375">
        <v>15242.04</v>
      </c>
    </row>
    <row r="100" spans="1:17" ht="12.75" customHeight="1">
      <c r="C100" s="368">
        <f>6156435.86-15391.09-15391.09-15391.09-15391.09-15391.09-532360.96</f>
        <v>5547119.4500000011</v>
      </c>
      <c r="D100" s="369">
        <f>C100*E103</f>
        <v>5436177.0610000007</v>
      </c>
      <c r="E100" s="370">
        <v>0.98</v>
      </c>
      <c r="G100" s="371"/>
      <c r="H100" s="372"/>
      <c r="J100" s="372"/>
      <c r="K100" s="364"/>
      <c r="L100" s="362"/>
      <c r="M100" s="373" t="s">
        <v>567</v>
      </c>
      <c r="N100" s="374" t="s">
        <v>519</v>
      </c>
      <c r="O100" s="375">
        <v>15729.909899999999</v>
      </c>
    </row>
    <row r="101" spans="1:17" ht="12.75" customHeight="1">
      <c r="C101" s="376"/>
      <c r="D101" s="377"/>
      <c r="E101" s="378"/>
      <c r="G101" s="371"/>
      <c r="H101" s="372"/>
      <c r="J101" s="372"/>
      <c r="K101" s="364"/>
      <c r="L101" s="362"/>
      <c r="M101" s="373" t="s">
        <v>568</v>
      </c>
      <c r="N101" s="374" t="s">
        <v>519</v>
      </c>
      <c r="O101" s="375">
        <v>16765.53</v>
      </c>
      <c r="Q101" s="361">
        <v>545059.09010000003</v>
      </c>
    </row>
    <row r="102" spans="1:17" ht="12.75" customHeight="1">
      <c r="C102" s="376"/>
      <c r="D102" s="377"/>
      <c r="E102" s="378"/>
      <c r="G102" s="371"/>
      <c r="H102" s="372"/>
      <c r="J102" s="372"/>
      <c r="K102" s="364"/>
      <c r="L102" s="362"/>
      <c r="M102" s="373" t="s">
        <v>570</v>
      </c>
      <c r="N102" s="374" t="s">
        <v>519</v>
      </c>
      <c r="O102" s="375">
        <v>33876.250199999995</v>
      </c>
    </row>
    <row r="103" spans="1:17" ht="12.75" customHeight="1" thickBot="1">
      <c r="A103" s="361" t="s">
        <v>533</v>
      </c>
      <c r="C103" s="379">
        <f>SUM(C100:C102)</f>
        <v>5547119.4500000011</v>
      </c>
      <c r="D103" s="380">
        <f>SUM(D100:D102)</f>
        <v>5436177.0610000007</v>
      </c>
      <c r="E103" s="381">
        <f>SUMPRODUCT(C100:C101,E100:E101)/(C100+C101)</f>
        <v>0.97999999999999987</v>
      </c>
      <c r="G103" s="360">
        <f>SUMIF('[18]Loan List'!E:E,[18]Prices!A103,'[18]Loan List'!G:G)</f>
        <v>9134206.4198000003</v>
      </c>
      <c r="H103" s="361">
        <f>G103-C103</f>
        <v>3587086.9697999991</v>
      </c>
      <c r="K103" s="364" t="s">
        <v>563</v>
      </c>
      <c r="L103" s="362"/>
      <c r="M103" s="373" t="s">
        <v>582</v>
      </c>
      <c r="N103" s="374" t="s">
        <v>519</v>
      </c>
      <c r="O103" s="375">
        <v>15917.039900000003</v>
      </c>
    </row>
    <row r="104" spans="1:17" ht="12.75" customHeight="1" thickBot="1">
      <c r="K104" s="364"/>
      <c r="L104" s="362"/>
      <c r="M104" s="373" t="s">
        <v>585</v>
      </c>
      <c r="N104" s="374" t="s">
        <v>519</v>
      </c>
      <c r="O104" s="375">
        <v>18163.560000000012</v>
      </c>
    </row>
    <row r="105" spans="1:17" ht="12.75" customHeight="1">
      <c r="C105" s="400">
        <v>2164811.7799999998</v>
      </c>
      <c r="D105" s="369">
        <f>C105*E108</f>
        <v>2164811.7799999998</v>
      </c>
      <c r="E105" s="370">
        <v>1</v>
      </c>
      <c r="G105" s="371"/>
      <c r="H105" s="372"/>
      <c r="K105" s="364"/>
      <c r="L105" s="362"/>
      <c r="M105" s="373" t="s">
        <v>592</v>
      </c>
      <c r="N105" s="374" t="s">
        <v>519</v>
      </c>
      <c r="O105" s="375">
        <v>16013.1299</v>
      </c>
    </row>
    <row r="106" spans="1:17" ht="12.75" customHeight="1">
      <c r="C106" s="376"/>
      <c r="D106" s="377"/>
      <c r="E106" s="378"/>
      <c r="G106" s="371"/>
      <c r="H106" s="372"/>
      <c r="J106" s="372"/>
      <c r="K106" s="364"/>
      <c r="L106" s="362"/>
      <c r="M106" s="373" t="s">
        <v>598</v>
      </c>
      <c r="N106" s="374" t="s">
        <v>519</v>
      </c>
      <c r="O106" s="375">
        <v>16058.270199999999</v>
      </c>
    </row>
    <row r="107" spans="1:17" ht="12.75" customHeight="1">
      <c r="C107" s="376"/>
      <c r="D107" s="377"/>
      <c r="E107" s="378"/>
      <c r="G107" s="371"/>
      <c r="H107" s="372"/>
      <c r="J107" s="372"/>
      <c r="K107" s="364"/>
      <c r="L107" s="362"/>
      <c r="M107" s="373" t="s">
        <v>616</v>
      </c>
      <c r="N107" s="374"/>
      <c r="O107" s="375">
        <v>17769.429799999984</v>
      </c>
    </row>
    <row r="108" spans="1:17" ht="12.75" customHeight="1" thickBot="1">
      <c r="A108" s="361" t="s">
        <v>473</v>
      </c>
      <c r="C108" s="379">
        <f>SUM(C105:C107)</f>
        <v>2164811.7799999998</v>
      </c>
      <c r="D108" s="380">
        <f>SUM(D105:D107)</f>
        <v>2164811.7799999998</v>
      </c>
      <c r="E108" s="381">
        <f>SUMPRODUCT(C105:C106,E105:E106)/(C105+C106)</f>
        <v>1</v>
      </c>
      <c r="G108" s="360">
        <f>SUMIF('[18]Loan List'!E:E,[18]Prices!A108,'[18]Loan List'!G:G)</f>
        <v>2164811.79</v>
      </c>
      <c r="H108" s="361">
        <f>G108-C108</f>
        <v>1.0000000242143869E-2</v>
      </c>
      <c r="J108" s="372"/>
      <c r="K108" s="364"/>
      <c r="L108" s="362"/>
      <c r="M108" s="373" t="s">
        <v>618</v>
      </c>
      <c r="N108" s="374"/>
      <c r="O108" s="375">
        <v>17267.690100000007</v>
      </c>
    </row>
    <row r="109" spans="1:17" ht="12.75" customHeight="1" thickBot="1">
      <c r="K109" s="364"/>
      <c r="L109" s="362"/>
      <c r="M109" s="373" t="s">
        <v>627</v>
      </c>
      <c r="N109" s="374" t="s">
        <v>519</v>
      </c>
      <c r="O109" s="375">
        <v>15643.630100000009</v>
      </c>
    </row>
    <row r="110" spans="1:17" ht="12.75" customHeight="1">
      <c r="A110" s="386"/>
      <c r="B110" s="387"/>
      <c r="C110" s="368">
        <v>21875</v>
      </c>
      <c r="D110" s="369">
        <v>0</v>
      </c>
      <c r="E110" s="370" t="s">
        <v>245</v>
      </c>
      <c r="G110" s="371"/>
      <c r="H110" s="372"/>
      <c r="K110" s="364"/>
      <c r="L110" s="362"/>
      <c r="M110" s="373" t="s">
        <v>629</v>
      </c>
      <c r="N110" s="374" t="s">
        <v>519</v>
      </c>
      <c r="O110" s="375">
        <v>18487.329800000036</v>
      </c>
    </row>
    <row r="111" spans="1:17" ht="12.75" customHeight="1">
      <c r="A111" s="386"/>
      <c r="B111" s="387"/>
      <c r="C111" s="376"/>
      <c r="D111" s="377"/>
      <c r="E111" s="378"/>
      <c r="G111" s="371"/>
      <c r="H111" s="372"/>
      <c r="J111" s="372"/>
      <c r="K111" s="364"/>
      <c r="L111" s="362"/>
      <c r="M111" s="373" t="s">
        <v>653</v>
      </c>
      <c r="N111" s="374" t="s">
        <v>519</v>
      </c>
      <c r="O111" s="375">
        <v>16860.579899999982</v>
      </c>
    </row>
    <row r="112" spans="1:17" ht="12.75" customHeight="1">
      <c r="A112" s="386"/>
      <c r="B112" s="387"/>
      <c r="C112" s="376"/>
      <c r="D112" s="377"/>
      <c r="E112" s="378"/>
      <c r="G112" s="371"/>
      <c r="H112" s="372"/>
      <c r="K112" s="364"/>
      <c r="L112" s="362"/>
      <c r="M112" s="373" t="s">
        <v>666</v>
      </c>
      <c r="N112" s="374"/>
      <c r="O112" s="375">
        <v>82294.170299999998</v>
      </c>
    </row>
    <row r="113" spans="1:17" ht="12.75" customHeight="1" thickBot="1">
      <c r="A113" s="388" t="s">
        <v>559</v>
      </c>
      <c r="B113" s="387"/>
      <c r="C113" s="379">
        <f>SUM(C110:C112)</f>
        <v>21875</v>
      </c>
      <c r="D113" s="380">
        <f>SUM(D110:D112)</f>
        <v>0</v>
      </c>
      <c r="E113" s="381">
        <f>SUMPRODUCT(C110:C111,E110:E111)/(C110+C111)</f>
        <v>0</v>
      </c>
      <c r="G113" s="360">
        <f>SUMIF('[18]Loan List'!E:E,[18]Prices!A113,'[18]Loan List'!G:G)</f>
        <v>21875</v>
      </c>
      <c r="H113" s="361">
        <f>G113-C113</f>
        <v>0</v>
      </c>
      <c r="K113" s="364"/>
      <c r="L113" s="362"/>
      <c r="M113" s="373" t="s">
        <v>686</v>
      </c>
      <c r="N113" s="374"/>
      <c r="O113" s="375">
        <v>106328.67009999993</v>
      </c>
    </row>
    <row r="114" spans="1:17" ht="12.75" customHeight="1" thickBot="1">
      <c r="K114" s="364"/>
      <c r="L114" s="362"/>
      <c r="M114" s="373" t="s">
        <v>700</v>
      </c>
      <c r="N114" s="374"/>
      <c r="O114" s="375">
        <v>105923.46</v>
      </c>
    </row>
    <row r="115" spans="1:17" ht="12.75" customHeight="1">
      <c r="A115" s="386"/>
      <c r="B115" s="387"/>
      <c r="C115" s="368">
        <f>12000000-30000-30000-7000000-18189.8399-18189.840099-79514.31-79514.32-4744591.69</f>
        <v>9.9930912256240845E-7</v>
      </c>
      <c r="D115" s="369">
        <f>C115*E119</f>
        <v>9.8466292777410209E-7</v>
      </c>
      <c r="E115" s="370">
        <v>0.98</v>
      </c>
      <c r="G115" s="371"/>
      <c r="H115" s="372"/>
      <c r="K115" s="364"/>
      <c r="L115" s="362"/>
      <c r="M115" s="373"/>
      <c r="N115" s="374"/>
      <c r="O115" s="375"/>
    </row>
    <row r="116" spans="1:17" ht="12.75" customHeight="1">
      <c r="A116" s="386"/>
      <c r="B116" s="387"/>
      <c r="C116" s="376">
        <f>2299555.55-2299555.55</f>
        <v>0</v>
      </c>
      <c r="D116" s="377">
        <f>C116*E119</f>
        <v>0</v>
      </c>
      <c r="E116" s="378">
        <v>0.98146089999999997</v>
      </c>
      <c r="G116" s="371"/>
      <c r="H116" s="372"/>
      <c r="K116" s="364"/>
      <c r="L116" s="362"/>
      <c r="M116" s="382"/>
      <c r="O116" s="383"/>
    </row>
    <row r="117" spans="1:17" ht="12.75" customHeight="1" thickBot="1">
      <c r="A117" s="386"/>
      <c r="B117" s="387"/>
      <c r="C117" s="376">
        <f>12796824.12-955852.759999999-60289.8</f>
        <v>11780681.559999999</v>
      </c>
      <c r="D117" s="377">
        <f>C117*E119</f>
        <v>11608020.1152367</v>
      </c>
      <c r="E117" s="378">
        <v>0.98499999999999999</v>
      </c>
      <c r="G117" s="371"/>
      <c r="H117" s="372"/>
      <c r="K117" s="364"/>
      <c r="M117" s="384" t="s">
        <v>520</v>
      </c>
      <c r="N117" s="385" t="s">
        <v>521</v>
      </c>
      <c r="O117" s="422">
        <f>+SUM(O97:O116)</f>
        <v>545059.09019999998</v>
      </c>
      <c r="Q117" s="361">
        <f>Q101-O117</f>
        <v>-9.9999946542084217E-5</v>
      </c>
    </row>
    <row r="118" spans="1:17" ht="12.75" customHeight="1">
      <c r="A118" s="386"/>
      <c r="B118" s="387"/>
      <c r="C118" s="376">
        <v>13247732.109999999</v>
      </c>
      <c r="D118" s="377">
        <f>C118*E119</f>
        <v>13053569.102172315</v>
      </c>
      <c r="E118" s="378">
        <v>0.98564929999999995</v>
      </c>
      <c r="G118" s="371"/>
      <c r="H118" s="372"/>
      <c r="K118" s="364"/>
    </row>
    <row r="119" spans="1:17" ht="12.75" customHeight="1" thickBot="1">
      <c r="A119" s="388" t="s">
        <v>557</v>
      </c>
      <c r="B119" s="387"/>
      <c r="C119" s="379">
        <f>SUM(C115:C118)</f>
        <v>25028413.670000996</v>
      </c>
      <c r="D119" s="380">
        <f>SUM(D115:D117)</f>
        <v>11608020.115237685</v>
      </c>
      <c r="E119" s="381">
        <f>SUMPRODUCT(C115:C118,E115:E118)/(C115+C116+C117+C118)</f>
        <v>0.98534367949053547</v>
      </c>
      <c r="G119" s="360">
        <f>SUMIF('[18]Loan List'!E:E,[18]Prices!A119,'[18]Loan List'!G:G)</f>
        <v>34155778.5</v>
      </c>
      <c r="H119" s="361">
        <f>G119-C119</f>
        <v>9127364.8299990036</v>
      </c>
      <c r="K119" s="364"/>
    </row>
    <row r="120" spans="1:17" ht="12.75" customHeight="1" thickBot="1">
      <c r="K120" s="364"/>
      <c r="L120" s="362"/>
      <c r="M120" s="365" t="s">
        <v>518</v>
      </c>
      <c r="N120" s="366"/>
      <c r="O120" s="367"/>
    </row>
    <row r="121" spans="1:17" ht="12.75" customHeight="1">
      <c r="A121" s="386"/>
      <c r="B121" s="387"/>
      <c r="C121" s="368">
        <v>0</v>
      </c>
      <c r="D121" s="369">
        <f>C121*E124</f>
        <v>0</v>
      </c>
      <c r="E121" s="370">
        <v>0.98499999999999999</v>
      </c>
      <c r="G121" s="371"/>
      <c r="H121" s="372"/>
      <c r="K121" s="364"/>
      <c r="L121" s="362"/>
      <c r="M121" s="373" t="s">
        <v>598</v>
      </c>
      <c r="N121" s="374" t="s">
        <v>519</v>
      </c>
      <c r="O121" s="375">
        <v>72396.41</v>
      </c>
    </row>
    <row r="122" spans="1:17" ht="12.75" customHeight="1">
      <c r="A122" s="386"/>
      <c r="B122" s="387"/>
      <c r="C122" s="376">
        <f>19547532.73999-5507847.81999-8000000-15099.21</f>
        <v>6024585.71</v>
      </c>
      <c r="D122" s="377">
        <f>C122*E124</f>
        <v>6009524.2457250003</v>
      </c>
      <c r="E122" s="378">
        <v>0.99750000000000005</v>
      </c>
      <c r="G122" s="371"/>
      <c r="H122" s="372"/>
      <c r="K122" s="364"/>
      <c r="L122" s="362"/>
      <c r="M122" s="373" t="s">
        <v>616</v>
      </c>
      <c r="N122" s="374" t="s">
        <v>519</v>
      </c>
      <c r="O122" s="375">
        <v>71638.850000000704</v>
      </c>
    </row>
    <row r="123" spans="1:17" ht="12.75" customHeight="1">
      <c r="A123" s="386"/>
      <c r="B123" s="387"/>
      <c r="C123" s="376"/>
      <c r="D123" s="377"/>
      <c r="E123" s="378"/>
      <c r="G123" s="371"/>
      <c r="H123" s="372"/>
      <c r="K123" s="364"/>
      <c r="L123" s="362"/>
      <c r="M123" s="373" t="s">
        <v>629</v>
      </c>
      <c r="N123" s="374" t="s">
        <v>519</v>
      </c>
      <c r="O123" s="375">
        <v>128195.25999999931</v>
      </c>
    </row>
    <row r="124" spans="1:17" ht="12.75" customHeight="1" thickBot="1">
      <c r="A124" s="388" t="s">
        <v>539</v>
      </c>
      <c r="B124" s="387"/>
      <c r="C124" s="379">
        <f>SUM(C121:C123)</f>
        <v>6024585.71</v>
      </c>
      <c r="D124" s="380">
        <f>SUM(D121:D123)</f>
        <v>6009524.2457250003</v>
      </c>
      <c r="E124" s="381">
        <f>SUMPRODUCT(C121:C122,E121:E122)/(C121+C122)</f>
        <v>0.99750000000000005</v>
      </c>
      <c r="G124" s="360">
        <f>SUMIF('[18]Loan List'!E:E,[18]Prices!A124,'[18]Loan List'!G:G)</f>
        <v>6009486.5</v>
      </c>
      <c r="H124" s="361">
        <f>G124-C124</f>
        <v>-15099.209999999963</v>
      </c>
      <c r="K124" s="364"/>
      <c r="L124" s="362"/>
      <c r="M124" s="373" t="s">
        <v>663</v>
      </c>
      <c r="N124" s="374" t="s">
        <v>519</v>
      </c>
      <c r="O124" s="375">
        <v>279186.92000000004</v>
      </c>
      <c r="Q124" s="361">
        <v>832111.52</v>
      </c>
    </row>
    <row r="125" spans="1:17" ht="12.75" customHeight="1" thickBot="1">
      <c r="K125" s="364"/>
      <c r="L125" s="362"/>
      <c r="M125" s="373" t="s">
        <v>683</v>
      </c>
      <c r="N125" s="374" t="s">
        <v>519</v>
      </c>
      <c r="O125" s="375">
        <f>143846.2199-1417.83</f>
        <v>142428.38990000001</v>
      </c>
    </row>
    <row r="126" spans="1:17" ht="12.75" customHeight="1">
      <c r="A126" s="386"/>
      <c r="B126" s="387"/>
      <c r="C126" s="368">
        <f>1450076.88-3625.189+228881.559-3625.18999+49642.0899+63361.18-71890.5699+4331.99-4331.99</f>
        <v>1712820.7600099999</v>
      </c>
      <c r="D126" s="369">
        <f>C126*E129</f>
        <v>1712820.7600099999</v>
      </c>
      <c r="E126" s="370">
        <v>1</v>
      </c>
      <c r="G126" s="371"/>
      <c r="H126" s="372"/>
      <c r="K126" s="358"/>
      <c r="L126" s="362"/>
      <c r="M126" s="373" t="s">
        <v>712</v>
      </c>
      <c r="O126" s="383">
        <v>138265.69</v>
      </c>
    </row>
    <row r="127" spans="1:17" ht="12.75" customHeight="1" thickBot="1">
      <c r="A127" s="386"/>
      <c r="B127" s="387"/>
      <c r="C127" s="376"/>
      <c r="D127" s="377"/>
      <c r="E127" s="378"/>
      <c r="G127" s="371"/>
      <c r="H127" s="372"/>
      <c r="K127" s="364" t="s">
        <v>527</v>
      </c>
      <c r="L127" s="362"/>
      <c r="M127" s="384" t="s">
        <v>520</v>
      </c>
      <c r="N127" s="385" t="s">
        <v>521</v>
      </c>
      <c r="O127" s="422">
        <f>+SUM(O120:O126)</f>
        <v>832111.51989999996</v>
      </c>
      <c r="Q127" s="361">
        <f>Q124-O127</f>
        <v>1.0000006295740604E-4</v>
      </c>
    </row>
    <row r="128" spans="1:17" ht="12.75" customHeight="1">
      <c r="A128" s="386"/>
      <c r="B128" s="387"/>
      <c r="C128" s="376"/>
      <c r="D128" s="377"/>
      <c r="E128" s="378"/>
      <c r="G128" s="371"/>
      <c r="H128" s="372"/>
      <c r="K128" s="364"/>
    </row>
    <row r="129" spans="1:19" ht="12.75" customHeight="1" thickBot="1">
      <c r="A129" s="388" t="s">
        <v>575</v>
      </c>
      <c r="B129" s="387"/>
      <c r="C129" s="379">
        <f>SUM(C126:C128)</f>
        <v>1712820.7600099999</v>
      </c>
      <c r="D129" s="380">
        <f>SUM(D126:D128)</f>
        <v>1712820.7600099999</v>
      </c>
      <c r="E129" s="381">
        <f>SUMPRODUCT(C126:C127,E126:E127)/(C126+C127)</f>
        <v>1</v>
      </c>
      <c r="G129" s="360">
        <f>SUMIF('[18]Loan List'!E:E,[18]Prices!A129,'[18]Loan List'!G:G)</f>
        <v>1708488.77</v>
      </c>
      <c r="H129" s="361">
        <f>G129-C129</f>
        <v>-4331.990009999834</v>
      </c>
    </row>
    <row r="130" spans="1:19" ht="12.75" customHeight="1" thickBot="1">
      <c r="K130" s="364"/>
      <c r="L130" s="362"/>
      <c r="M130" s="365" t="s">
        <v>518</v>
      </c>
      <c r="N130" s="366"/>
      <c r="O130" s="367"/>
    </row>
    <row r="131" spans="1:19" ht="12.75" customHeight="1">
      <c r="A131" s="386"/>
      <c r="B131" s="387"/>
      <c r="C131" s="368">
        <f>6122230.04-393708.5-228881.56-53839.49</f>
        <v>5445800.4900000002</v>
      </c>
      <c r="D131" s="369">
        <f>C131*E134</f>
        <v>5445800.4900000002</v>
      </c>
      <c r="E131" s="370">
        <v>1</v>
      </c>
      <c r="G131" s="371"/>
      <c r="H131" s="372"/>
      <c r="K131" s="364"/>
      <c r="L131" s="362"/>
      <c r="M131" s="373" t="s">
        <v>629</v>
      </c>
      <c r="N131" s="374" t="s">
        <v>519</v>
      </c>
      <c r="O131" s="375">
        <v>14503.91</v>
      </c>
    </row>
    <row r="132" spans="1:19" ht="12.75" customHeight="1">
      <c r="A132" s="386"/>
      <c r="B132" s="387"/>
      <c r="C132" s="376"/>
      <c r="D132" s="377"/>
      <c r="E132" s="378"/>
      <c r="G132" s="371"/>
      <c r="H132" s="372"/>
      <c r="K132" s="364"/>
      <c r="L132" s="362"/>
      <c r="M132" s="373" t="s">
        <v>654</v>
      </c>
      <c r="N132" s="374" t="s">
        <v>519</v>
      </c>
      <c r="O132" s="375">
        <v>76578.180000000008</v>
      </c>
    </row>
    <row r="133" spans="1:19" ht="12.75" customHeight="1">
      <c r="A133" s="386"/>
      <c r="B133" s="387"/>
      <c r="C133" s="376"/>
      <c r="D133" s="377"/>
      <c r="E133" s="378"/>
      <c r="G133" s="371"/>
      <c r="H133" s="372"/>
      <c r="K133" s="364"/>
      <c r="L133" s="362"/>
      <c r="M133" s="373" t="s">
        <v>676</v>
      </c>
      <c r="N133" s="374" t="s">
        <v>519</v>
      </c>
      <c r="O133" s="375">
        <v>90418.849999999991</v>
      </c>
      <c r="Q133" s="361">
        <v>271208.89999999997</v>
      </c>
    </row>
    <row r="134" spans="1:19" ht="12.75" customHeight="1" thickBot="1">
      <c r="A134" s="388" t="s">
        <v>545</v>
      </c>
      <c r="B134" s="387"/>
      <c r="C134" s="379">
        <f>SUM(C131:C133)</f>
        <v>5445800.4900000002</v>
      </c>
      <c r="D134" s="380">
        <f>SUM(D131:D133)</f>
        <v>5445800.4900000002</v>
      </c>
      <c r="E134" s="381">
        <f>SUMPRODUCT(C131:C132,E131:E132)/(C131+C132)</f>
        <v>1</v>
      </c>
      <c r="G134" s="360">
        <f>SUMIF('[18]Loan List'!E:E,[18]Prices!A134,'[18]Loan List'!G:G)</f>
        <v>5445800.4900000002</v>
      </c>
      <c r="H134" s="361">
        <f>G134-C134</f>
        <v>0</v>
      </c>
      <c r="K134" s="364"/>
      <c r="L134" s="362"/>
      <c r="M134" s="373" t="s">
        <v>690</v>
      </c>
      <c r="N134" s="374" t="s">
        <v>519</v>
      </c>
      <c r="O134" s="375">
        <v>89707.959999999963</v>
      </c>
    </row>
    <row r="135" spans="1:19" ht="12.75" customHeight="1" thickBot="1">
      <c r="K135" s="364"/>
      <c r="L135" s="362"/>
      <c r="M135" s="373"/>
      <c r="N135" s="374"/>
      <c r="O135" s="375"/>
    </row>
    <row r="136" spans="1:19" ht="12.75" customHeight="1">
      <c r="A136" s="386"/>
      <c r="B136" s="387"/>
      <c r="C136" s="368">
        <v>80170</v>
      </c>
      <c r="D136" s="369">
        <v>0</v>
      </c>
      <c r="E136" s="370" t="s">
        <v>245</v>
      </c>
      <c r="G136" s="371"/>
      <c r="H136" s="372"/>
      <c r="K136" s="358"/>
      <c r="L136" s="362"/>
      <c r="M136" s="382"/>
      <c r="O136" s="383"/>
    </row>
    <row r="137" spans="1:19" ht="12.75" customHeight="1" thickBot="1">
      <c r="A137" s="386"/>
      <c r="B137" s="387"/>
      <c r="C137" s="376"/>
      <c r="D137" s="377"/>
      <c r="E137" s="378"/>
      <c r="G137" s="371"/>
      <c r="H137" s="372"/>
      <c r="K137" s="364" t="s">
        <v>630</v>
      </c>
      <c r="L137" s="362"/>
      <c r="M137" s="384" t="s">
        <v>520</v>
      </c>
      <c r="N137" s="385" t="s">
        <v>521</v>
      </c>
      <c r="O137" s="422">
        <f>+SUM(O130:O136)</f>
        <v>271208.89999999997</v>
      </c>
      <c r="Q137" s="361">
        <f>Q133-O137</f>
        <v>0</v>
      </c>
    </row>
    <row r="138" spans="1:19" ht="12.75" customHeight="1">
      <c r="A138" s="386"/>
      <c r="B138" s="387"/>
      <c r="C138" s="376"/>
      <c r="D138" s="377"/>
      <c r="E138" s="378"/>
      <c r="G138" s="371"/>
      <c r="H138" s="372"/>
      <c r="K138" s="364"/>
    </row>
    <row r="139" spans="1:19" ht="12.75" customHeight="1" thickBot="1">
      <c r="A139" s="388" t="s">
        <v>581</v>
      </c>
      <c r="B139" s="387"/>
      <c r="C139" s="379">
        <f>SUM(C136:C138)</f>
        <v>80170</v>
      </c>
      <c r="D139" s="380">
        <f>SUM(D136:D138)</f>
        <v>0</v>
      </c>
      <c r="E139" s="381">
        <f>SUMPRODUCT(C136:C137,E136:E137)/(C136+C137)</f>
        <v>0</v>
      </c>
      <c r="G139" s="360">
        <f>SUMIF('[18]Loan List'!E:E,[18]Prices!A139,'[18]Loan List'!G:G)</f>
        <v>80170</v>
      </c>
      <c r="H139" s="361">
        <f>G139-C139</f>
        <v>0</v>
      </c>
      <c r="K139" s="364"/>
      <c r="S139" s="391"/>
    </row>
    <row r="140" spans="1:19" ht="12.75" customHeight="1" thickBot="1">
      <c r="K140" s="364"/>
      <c r="L140" s="362"/>
      <c r="M140" s="365" t="s">
        <v>518</v>
      </c>
      <c r="N140" s="366"/>
      <c r="O140" s="367"/>
      <c r="R140" s="393"/>
    </row>
    <row r="141" spans="1:19" ht="12.75" customHeight="1">
      <c r="A141" s="386"/>
      <c r="B141" s="387"/>
      <c r="C141" s="368">
        <f>32000000-7000000-62500-5000000-49968.67-49968.669-8000000-29817.5409</f>
        <v>11807745.120099999</v>
      </c>
      <c r="D141" s="369">
        <f>C141*E144</f>
        <v>11630628.943298498</v>
      </c>
      <c r="E141" s="370">
        <v>0.98499999999999999</v>
      </c>
      <c r="G141" s="371"/>
      <c r="H141" s="372"/>
      <c r="K141" s="364"/>
      <c r="L141" s="362"/>
      <c r="M141" s="373" t="s">
        <v>686</v>
      </c>
      <c r="N141" s="374" t="s">
        <v>519</v>
      </c>
      <c r="O141" s="375">
        <v>392.12</v>
      </c>
      <c r="R141" s="392"/>
    </row>
    <row r="142" spans="1:19" ht="12.75" customHeight="1">
      <c r="A142" s="386"/>
      <c r="B142" s="387"/>
      <c r="C142" s="376"/>
      <c r="D142" s="377"/>
      <c r="E142" s="378"/>
      <c r="G142" s="371"/>
      <c r="H142" s="372"/>
      <c r="K142" s="364"/>
      <c r="L142" s="362"/>
      <c r="M142" s="373" t="s">
        <v>700</v>
      </c>
      <c r="N142" s="374" t="s">
        <v>519</v>
      </c>
      <c r="O142" s="375">
        <v>496.58</v>
      </c>
    </row>
    <row r="143" spans="1:19" ht="12.75" customHeight="1">
      <c r="A143" s="386"/>
      <c r="B143" s="387"/>
      <c r="C143" s="376"/>
      <c r="D143" s="377"/>
      <c r="E143" s="378"/>
      <c r="G143" s="371"/>
      <c r="H143" s="372"/>
      <c r="K143" s="364"/>
      <c r="L143" s="362"/>
      <c r="M143" s="373"/>
      <c r="N143" s="374"/>
      <c r="O143" s="375"/>
      <c r="Q143" s="361">
        <v>888.7</v>
      </c>
    </row>
    <row r="144" spans="1:19" ht="12.75" customHeight="1" thickBot="1">
      <c r="A144" s="388" t="s">
        <v>589</v>
      </c>
      <c r="B144" s="387"/>
      <c r="C144" s="379">
        <f>SUM(C141:C143)</f>
        <v>11807745.120099999</v>
      </c>
      <c r="D144" s="380">
        <f>SUM(D141:D143)</f>
        <v>11630628.943298498</v>
      </c>
      <c r="E144" s="381">
        <f>SUMPRODUCT(C141:C142,E141:E142)/(C141+C142)</f>
        <v>0.98499999999999988</v>
      </c>
      <c r="G144" s="360">
        <f>SUMIF('[18]Loan List'!E:E,[18]Prices!A144,'[18]Loan List'!G:G)</f>
        <v>12271677.58</v>
      </c>
      <c r="H144" s="361">
        <f>G144-C144</f>
        <v>463932.45990000106</v>
      </c>
      <c r="K144" s="364"/>
      <c r="L144" s="362"/>
      <c r="M144" s="373"/>
      <c r="N144" s="374"/>
      <c r="O144" s="375"/>
    </row>
    <row r="145" spans="1:17" ht="12.75" customHeight="1" thickBot="1">
      <c r="K145" s="364"/>
      <c r="L145" s="362"/>
      <c r="M145" s="373"/>
      <c r="N145" s="374"/>
      <c r="O145" s="375"/>
    </row>
    <row r="146" spans="1:17" ht="12.75" customHeight="1">
      <c r="A146" s="386"/>
      <c r="B146" s="387"/>
      <c r="C146" s="368">
        <f>1578947.37-377894.74</f>
        <v>1201052.6300000001</v>
      </c>
      <c r="D146" s="369">
        <f>C146*E149</f>
        <v>1183036.8405500001</v>
      </c>
      <c r="E146" s="370">
        <v>0.98499999999999999</v>
      </c>
      <c r="G146" s="371"/>
      <c r="H146" s="372"/>
      <c r="K146" s="364"/>
      <c r="L146" s="362"/>
      <c r="M146" s="382"/>
      <c r="O146" s="383"/>
    </row>
    <row r="147" spans="1:17" ht="12.75" customHeight="1" thickBot="1">
      <c r="A147" s="386"/>
      <c r="B147" s="387"/>
      <c r="C147" s="376"/>
      <c r="D147" s="377"/>
      <c r="E147" s="378"/>
      <c r="G147" s="371"/>
      <c r="H147" s="372"/>
      <c r="K147" s="364" t="s">
        <v>687</v>
      </c>
      <c r="L147" s="362"/>
      <c r="M147" s="384" t="s">
        <v>520</v>
      </c>
      <c r="N147" s="385" t="s">
        <v>521</v>
      </c>
      <c r="O147" s="422">
        <f>+SUM(O140:O146)</f>
        <v>888.7</v>
      </c>
      <c r="Q147" s="361">
        <f>Q143-O147</f>
        <v>0</v>
      </c>
    </row>
    <row r="148" spans="1:17" ht="12.75" customHeight="1" thickBot="1">
      <c r="A148" s="386"/>
      <c r="B148" s="387"/>
      <c r="C148" s="376"/>
      <c r="D148" s="377"/>
      <c r="E148" s="378"/>
      <c r="G148" s="371"/>
      <c r="H148" s="372"/>
    </row>
    <row r="149" spans="1:17" ht="12.75" customHeight="1" thickBot="1">
      <c r="A149" s="388" t="s">
        <v>586</v>
      </c>
      <c r="B149" s="387"/>
      <c r="C149" s="379">
        <f>SUM(C146:C148)</f>
        <v>1201052.6300000001</v>
      </c>
      <c r="D149" s="380">
        <f>SUM(D146:D148)</f>
        <v>1183036.8405500001</v>
      </c>
      <c r="E149" s="381">
        <f>SUMPRODUCT(C146:C147,E146:E147)/(C146+C147)</f>
        <v>0.98499999999999999</v>
      </c>
      <c r="G149" s="360">
        <f>SUMIF('[18]Loan List'!E:E,[18]Prices!A149,'[18]Loan List'!G:G)</f>
        <v>5043516.63</v>
      </c>
      <c r="H149" s="361">
        <f>G149-C149</f>
        <v>3842464</v>
      </c>
      <c r="K149" s="364"/>
      <c r="L149" s="362"/>
      <c r="M149" s="365" t="s">
        <v>518</v>
      </c>
      <c r="N149" s="366"/>
      <c r="O149" s="367"/>
    </row>
    <row r="150" spans="1:17" ht="12.75" customHeight="1" thickBot="1">
      <c r="K150" s="364"/>
      <c r="L150" s="362"/>
      <c r="M150" s="373" t="s">
        <v>700</v>
      </c>
      <c r="N150" s="374" t="s">
        <v>519</v>
      </c>
      <c r="O150" s="375">
        <v>134255.39000000001</v>
      </c>
    </row>
    <row r="151" spans="1:17" ht="12.75" customHeight="1">
      <c r="A151" s="386"/>
      <c r="B151" s="387"/>
      <c r="C151" s="368">
        <f>20000000-60071.4299-5000000-47540.1-778926.2601-8000000-26576.579</f>
        <v>6086885.6309999991</v>
      </c>
      <c r="D151" s="369">
        <f>C151*E154</f>
        <v>5980819.1770174578</v>
      </c>
      <c r="E151" s="370">
        <v>0.98250000000000004</v>
      </c>
      <c r="G151" s="371"/>
      <c r="H151" s="372"/>
      <c r="K151" s="364"/>
      <c r="L151" s="362"/>
      <c r="M151" s="373" t="s">
        <v>712</v>
      </c>
      <c r="N151" s="374"/>
      <c r="O151" s="375">
        <v>581.11</v>
      </c>
    </row>
    <row r="152" spans="1:17" ht="12.75" customHeight="1">
      <c r="A152" s="386"/>
      <c r="B152" s="387"/>
      <c r="C152" s="376">
        <v>4028571.4299999997</v>
      </c>
      <c r="D152" s="377">
        <f>C152*E154</f>
        <v>3958371.9368438791</v>
      </c>
      <c r="E152" s="378">
        <v>0.98268730000000004</v>
      </c>
      <c r="G152" s="371"/>
      <c r="H152" s="372"/>
      <c r="K152" s="364"/>
      <c r="L152" s="362"/>
      <c r="M152" s="373"/>
      <c r="N152" s="374"/>
      <c r="O152" s="375"/>
      <c r="Q152" s="361">
        <v>134836.5</v>
      </c>
    </row>
    <row r="153" spans="1:17" ht="12.75" customHeight="1">
      <c r="A153" s="386"/>
      <c r="B153" s="387"/>
      <c r="C153" s="376"/>
      <c r="D153" s="377"/>
      <c r="E153" s="378"/>
      <c r="G153" s="371"/>
      <c r="H153" s="372"/>
      <c r="K153" s="364"/>
      <c r="L153" s="362"/>
      <c r="M153" s="373"/>
      <c r="N153" s="374"/>
      <c r="O153" s="375"/>
    </row>
    <row r="154" spans="1:17" ht="12.75" customHeight="1" thickBot="1">
      <c r="A154" s="388" t="s">
        <v>593</v>
      </c>
      <c r="B154" s="387"/>
      <c r="C154" s="379">
        <f>SUM(C151:C153)</f>
        <v>10115457.060999999</v>
      </c>
      <c r="D154" s="380">
        <f>SUM(D151:D153)</f>
        <v>9939191.1138613373</v>
      </c>
      <c r="E154" s="381">
        <f>SUMPRODUCT(C151:C152,E151:E152)/(C151+C152)</f>
        <v>0.98257459390359603</v>
      </c>
      <c r="G154" s="360">
        <f>SUMIF('[18]Loan List'!E:E,[18]Prices!A154,'[18]Loan List'!G:G)</f>
        <v>15545911.470000001</v>
      </c>
      <c r="H154" s="361">
        <f>G154-C154</f>
        <v>5430454.4090000018</v>
      </c>
      <c r="K154" s="364"/>
      <c r="L154" s="362"/>
      <c r="M154" s="373"/>
      <c r="N154" s="374"/>
      <c r="O154" s="375"/>
    </row>
    <row r="155" spans="1:17" ht="12.75" customHeight="1" thickBot="1">
      <c r="K155" s="364"/>
      <c r="L155" s="362"/>
      <c r="M155" s="382"/>
      <c r="O155" s="383"/>
    </row>
    <row r="156" spans="1:17" ht="12.75" customHeight="1" thickBot="1">
      <c r="A156" s="386"/>
      <c r="B156" s="387"/>
      <c r="C156" s="368">
        <f>23000000-57500-5000000-44968.67-44968.669-8000000-24817.5409</f>
        <v>9827745.120099999</v>
      </c>
      <c r="D156" s="369">
        <f>C156*E159</f>
        <v>9680328.9432984982</v>
      </c>
      <c r="E156" s="370">
        <v>0.98499999999999999</v>
      </c>
      <c r="G156" s="371"/>
      <c r="H156" s="372"/>
      <c r="K156" s="364" t="s">
        <v>513</v>
      </c>
      <c r="L156" s="362"/>
      <c r="M156" s="384" t="s">
        <v>520</v>
      </c>
      <c r="N156" s="385" t="s">
        <v>521</v>
      </c>
      <c r="O156" s="422">
        <f>+SUM(O149:O155)</f>
        <v>134836.5</v>
      </c>
      <c r="Q156" s="361">
        <f>Q152-O156</f>
        <v>0</v>
      </c>
    </row>
    <row r="157" spans="1:17" ht="12.75" customHeight="1">
      <c r="A157" s="386"/>
      <c r="B157" s="387"/>
      <c r="C157" s="376"/>
      <c r="D157" s="377"/>
      <c r="E157" s="378"/>
      <c r="G157" s="371"/>
      <c r="H157" s="372"/>
    </row>
    <row r="158" spans="1:17" ht="12.75" customHeight="1">
      <c r="A158" s="386"/>
      <c r="B158" s="387"/>
      <c r="C158" s="376"/>
      <c r="D158" s="377"/>
      <c r="E158" s="378"/>
      <c r="G158" s="371"/>
      <c r="H158" s="372"/>
    </row>
    <row r="159" spans="1:17" ht="12.75" customHeight="1" thickBot="1">
      <c r="A159" s="388" t="s">
        <v>587</v>
      </c>
      <c r="B159" s="387"/>
      <c r="C159" s="379">
        <f>SUM(C156:C158)</f>
        <v>9827745.120099999</v>
      </c>
      <c r="D159" s="380">
        <f>SUM(D156:D158)</f>
        <v>9680328.9432984982</v>
      </c>
      <c r="E159" s="381">
        <f>SUMPRODUCT(C156:C157,E156:E157)/(C156+C157)</f>
        <v>0.98499999999999988</v>
      </c>
      <c r="G159" s="360">
        <f>SUMIF('[18]Loan List'!E:E,[18]Prices!A159,'[18]Loan List'!G:G)</f>
        <v>12574317.699999999</v>
      </c>
      <c r="H159" s="361">
        <f>G159-C159</f>
        <v>2746572.5799000002</v>
      </c>
    </row>
    <row r="160" spans="1:17" ht="12.75" customHeight="1" thickBot="1"/>
    <row r="161" spans="1:17" ht="12.75" customHeight="1">
      <c r="A161" s="386"/>
      <c r="B161" s="387"/>
      <c r="C161" s="368">
        <f>179464.96+345828.98+550639.31+4445.82-1292.15+2058810.84-71742.53+52626.169</f>
        <v>3118781.3990000007</v>
      </c>
      <c r="D161" s="369">
        <f>C161*E164</f>
        <v>3118781.3990000007</v>
      </c>
      <c r="E161" s="370">
        <v>1</v>
      </c>
      <c r="G161" s="371"/>
      <c r="H161" s="372"/>
    </row>
    <row r="162" spans="1:17" ht="12.75" customHeight="1">
      <c r="A162" s="386"/>
      <c r="B162" s="387"/>
      <c r="C162" s="376">
        <v>4107138.1900000009</v>
      </c>
      <c r="D162" s="377">
        <f>C162*E163</f>
        <v>0</v>
      </c>
      <c r="E162" s="378">
        <v>1</v>
      </c>
      <c r="G162" s="371"/>
      <c r="H162" s="372"/>
    </row>
    <row r="163" spans="1:17" ht="12.75" customHeight="1">
      <c r="A163" s="386"/>
      <c r="B163" s="387"/>
      <c r="C163" s="376"/>
      <c r="D163" s="377"/>
      <c r="E163" s="378"/>
      <c r="G163" s="371"/>
      <c r="H163" s="372"/>
    </row>
    <row r="164" spans="1:17" ht="12.75" customHeight="1" thickBot="1">
      <c r="A164" s="388" t="s">
        <v>617</v>
      </c>
      <c r="B164" s="387"/>
      <c r="C164" s="379">
        <f>SUM(C161:C163)</f>
        <v>7225919.5890000015</v>
      </c>
      <c r="D164" s="380">
        <f>SUM(D161:D163)</f>
        <v>3118781.3990000007</v>
      </c>
      <c r="E164" s="381">
        <f>SUMPRODUCT(C161:C162,E161:E162)/(C161+C162)</f>
        <v>1</v>
      </c>
      <c r="G164" s="360">
        <f>SUMIF('[18]Loan List'!E:E,[18]Prices!A164,'[18]Loan List'!G:G)</f>
        <v>7210987.1800000006</v>
      </c>
      <c r="H164" s="361">
        <f>G164-C164</f>
        <v>-14932.409000000916</v>
      </c>
    </row>
    <row r="165" spans="1:17" ht="12.75" customHeight="1" thickBot="1">
      <c r="Q165" s="361">
        <f>SUM(Q4:Q163)</f>
        <v>5768152.1797999991</v>
      </c>
    </row>
    <row r="166" spans="1:17" ht="12.75" customHeight="1">
      <c r="A166" s="386"/>
      <c r="B166" s="387"/>
      <c r="C166" s="368">
        <f>13000000-32500-1850000-813547.529-25889.331-8000000-49382.97</f>
        <v>2228680.1700000004</v>
      </c>
      <c r="D166" s="369">
        <f>C166*E169</f>
        <v>2195249.9674500003</v>
      </c>
      <c r="E166" s="370">
        <v>0.98499999999999999</v>
      </c>
      <c r="G166" s="371"/>
      <c r="H166" s="372"/>
    </row>
    <row r="167" spans="1:17" ht="12.75" customHeight="1">
      <c r="A167" s="386"/>
      <c r="B167" s="387"/>
      <c r="C167" s="376"/>
      <c r="D167" s="377"/>
      <c r="E167" s="378"/>
      <c r="G167" s="371"/>
      <c r="H167" s="372"/>
    </row>
    <row r="168" spans="1:17" ht="12.75" customHeight="1">
      <c r="A168" s="386"/>
      <c r="B168" s="387"/>
      <c r="C168" s="376"/>
      <c r="D168" s="377"/>
      <c r="E168" s="378"/>
      <c r="G168" s="371"/>
      <c r="H168" s="372"/>
    </row>
    <row r="169" spans="1:17" ht="12.75" customHeight="1" thickBot="1">
      <c r="A169" s="388" t="s">
        <v>619</v>
      </c>
      <c r="B169" s="387"/>
      <c r="C169" s="379">
        <f>SUM(C166:C168)</f>
        <v>2228680.1700000004</v>
      </c>
      <c r="D169" s="380">
        <f>SUM(D166:D168)</f>
        <v>2195249.9674500003</v>
      </c>
      <c r="E169" s="381">
        <f>SUMPRODUCT(C166:C167,E166:E167)/(C166+C167)</f>
        <v>0.98499999999999999</v>
      </c>
      <c r="G169" s="360">
        <f>SUMIF('[18]Loan List'!E:E,[18]Prices!A169,'[18]Loan List'!G:G)</f>
        <v>6153116.4100000001</v>
      </c>
      <c r="H169" s="361">
        <f>G169-C169</f>
        <v>3924436.2399999998</v>
      </c>
    </row>
    <row r="170" spans="1:17" ht="12.75" customHeight="1" thickBot="1"/>
    <row r="171" spans="1:17" ht="12.75" customHeight="1">
      <c r="B171" s="387"/>
      <c r="C171" s="368">
        <f>5200000-11375-13000-5000000-43253.199-132371.801</f>
        <v>0</v>
      </c>
      <c r="D171" s="369">
        <f>C171*E174</f>
        <v>0</v>
      </c>
      <c r="E171" s="370">
        <v>1</v>
      </c>
      <c r="G171" s="371"/>
      <c r="H171" s="372"/>
    </row>
    <row r="172" spans="1:17" ht="12.75" customHeight="1">
      <c r="B172" s="387"/>
      <c r="C172" s="376">
        <f>8001281.02-7867628.2-23152.699</f>
        <v>110500.12099999937</v>
      </c>
      <c r="D172" s="377">
        <f>C172*E174</f>
        <v>109533.24494124937</v>
      </c>
      <c r="E172" s="378">
        <v>0.99124999999999996</v>
      </c>
      <c r="G172" s="371"/>
      <c r="H172" s="372"/>
    </row>
    <row r="173" spans="1:17" ht="12.75" customHeight="1">
      <c r="B173" s="387"/>
      <c r="C173" s="376">
        <v>9077250</v>
      </c>
      <c r="D173" s="377">
        <f>C173*E174</f>
        <v>8997824.0625</v>
      </c>
      <c r="E173" s="378">
        <v>0.99038669999999995</v>
      </c>
      <c r="G173" s="371"/>
      <c r="H173" s="372"/>
    </row>
    <row r="174" spans="1:17" ht="12.75" customHeight="1" thickBot="1">
      <c r="A174" s="388" t="s">
        <v>579</v>
      </c>
      <c r="B174" s="387"/>
      <c r="C174" s="379">
        <f>SUM(C171:C173)</f>
        <v>9187750.1209999993</v>
      </c>
      <c r="D174" s="380">
        <f>SUM(D171:D173)</f>
        <v>9107357.3074412495</v>
      </c>
      <c r="E174" s="381">
        <f>SUMPRODUCT(C171:C172,E171:E172)/(C171+C172)</f>
        <v>0.99124999999999996</v>
      </c>
      <c r="G174" s="360">
        <f>SUMIF('[18]Loan List'!E:E,[18]Prices!A174,'[18]Loan List'!G:G)</f>
        <v>9164597.4299999997</v>
      </c>
      <c r="H174" s="361">
        <f>G174-C174</f>
        <v>-23152.690999999642</v>
      </c>
    </row>
    <row r="175" spans="1:17" ht="12.75" customHeight="1" thickBot="1"/>
    <row r="176" spans="1:17" ht="12.75" customHeight="1">
      <c r="B176" s="387"/>
      <c r="C176" s="368">
        <f>25000000-75250-75250-8000000-55149.5</f>
        <v>16794350.5</v>
      </c>
      <c r="D176" s="369">
        <f>C176*E179</f>
        <v>16542834.268775297</v>
      </c>
      <c r="E176" s="370">
        <v>0.98499999999999999</v>
      </c>
      <c r="G176" s="371"/>
      <c r="H176" s="372"/>
    </row>
    <row r="177" spans="1:18" ht="12.75" customHeight="1">
      <c r="B177" s="387"/>
      <c r="C177" s="376">
        <v>5100000</v>
      </c>
      <c r="D177" s="377">
        <f>C177*E179</f>
        <v>5023621.1737247007</v>
      </c>
      <c r="E177" s="378">
        <v>0.98510200000000003</v>
      </c>
      <c r="G177" s="371"/>
      <c r="H177" s="372"/>
    </row>
    <row r="178" spans="1:18" ht="12.75" customHeight="1">
      <c r="B178" s="387"/>
      <c r="C178" s="376"/>
      <c r="D178" s="377"/>
      <c r="E178" s="378"/>
      <c r="G178" s="371"/>
      <c r="H178" s="372"/>
    </row>
    <row r="179" spans="1:18" ht="12.75" customHeight="1" thickBot="1">
      <c r="A179" s="388" t="s">
        <v>621</v>
      </c>
      <c r="B179" s="387"/>
      <c r="C179" s="379">
        <f>SUM(C176:C178)</f>
        <v>21894350.5</v>
      </c>
      <c r="D179" s="380">
        <f>SUM(D176:D178)</f>
        <v>21566455.442499999</v>
      </c>
      <c r="E179" s="381">
        <f>SUMPRODUCT(C176:C177,E176:E177)/(C176+C177)</f>
        <v>0.9850237595538629</v>
      </c>
      <c r="G179" s="360">
        <f>SUMIF('[18]Loan List'!E:E,[18]Prices!A179,'[18]Loan List'!G:G)</f>
        <v>27620404</v>
      </c>
      <c r="H179" s="361">
        <f>G179-C179</f>
        <v>5726053.5</v>
      </c>
    </row>
    <row r="180" spans="1:18" ht="12.75" customHeight="1" thickBot="1"/>
    <row r="181" spans="1:18" ht="12.75" customHeight="1">
      <c r="B181" s="387"/>
      <c r="C181" s="368">
        <f>13000000+563136.84-36863.16-8000000-15060.7599</f>
        <v>5511212.9200999998</v>
      </c>
      <c r="D181" s="369">
        <f>C181*E184</f>
        <v>5428544.7262984999</v>
      </c>
      <c r="E181" s="370">
        <v>0.98499999999999999</v>
      </c>
      <c r="G181" s="371"/>
      <c r="H181" s="372"/>
    </row>
    <row r="182" spans="1:18" ht="12.75" customHeight="1">
      <c r="B182" s="387"/>
      <c r="C182" s="376"/>
      <c r="D182" s="377"/>
      <c r="E182" s="378"/>
      <c r="G182" s="371"/>
      <c r="H182" s="372"/>
    </row>
    <row r="183" spans="1:18" ht="12.75" customHeight="1">
      <c r="B183" s="387"/>
      <c r="C183" s="376"/>
      <c r="D183" s="377"/>
      <c r="E183" s="378"/>
      <c r="G183" s="371"/>
      <c r="H183" s="372"/>
      <c r="K183" s="358"/>
      <c r="N183" s="358"/>
    </row>
    <row r="184" spans="1:18" ht="12.75" customHeight="1" thickBot="1">
      <c r="A184" s="388" t="s">
        <v>620</v>
      </c>
      <c r="B184" s="387"/>
      <c r="C184" s="379">
        <f>SUM(C181:C183)</f>
        <v>5511212.9200999998</v>
      </c>
      <c r="D184" s="380">
        <f>SUM(D181:D183)</f>
        <v>5428544.7262984999</v>
      </c>
      <c r="E184" s="381">
        <f>SUMPRODUCT(C181:C182,E181:E182)/(C181+C182)</f>
        <v>0.98499999999999999</v>
      </c>
      <c r="G184" s="360">
        <f>SUMIF('[18]Loan List'!E:E,[18]Prices!A184,'[18]Loan List'!G:G)</f>
        <v>11943153.16</v>
      </c>
      <c r="H184" s="361">
        <f>G184-C184</f>
        <v>6431940.2399000004</v>
      </c>
      <c r="K184" s="358"/>
      <c r="N184" s="358"/>
    </row>
    <row r="185" spans="1:18" ht="12.75" customHeight="1" thickBot="1">
      <c r="K185" s="358"/>
      <c r="N185" s="358"/>
    </row>
    <row r="186" spans="1:18" ht="12.75" customHeight="1">
      <c r="B186" s="387"/>
      <c r="C186" s="368">
        <f>15000000-5000000+1165555.47+396851.82-8000000-35834.78</f>
        <v>3526572.5100000012</v>
      </c>
      <c r="D186" s="369">
        <f>C186*E189</f>
        <v>3487115.2464925377</v>
      </c>
      <c r="E186" s="370">
        <v>0.98499999999999999</v>
      </c>
      <c r="G186" s="371"/>
      <c r="H186" s="372"/>
      <c r="K186" s="358"/>
      <c r="N186" s="358"/>
      <c r="R186" s="358"/>
    </row>
    <row r="187" spans="1:18" ht="12.75" customHeight="1">
      <c r="B187" s="387"/>
      <c r="C187" s="376">
        <v>10737951.520000001</v>
      </c>
      <c r="D187" s="377">
        <f>C187*E189</f>
        <v>10617809.319193527</v>
      </c>
      <c r="E187" s="378">
        <v>0.99006320000000003</v>
      </c>
      <c r="G187" s="371"/>
      <c r="H187" s="372"/>
      <c r="K187" s="358"/>
      <c r="N187" s="358"/>
      <c r="R187" s="358"/>
    </row>
    <row r="188" spans="1:18" ht="12.75" customHeight="1">
      <c r="B188" s="387"/>
      <c r="C188" s="376"/>
      <c r="D188" s="377"/>
      <c r="E188" s="378"/>
      <c r="G188" s="371"/>
      <c r="H188" s="372"/>
      <c r="K188" s="358"/>
      <c r="N188" s="358"/>
      <c r="R188" s="358"/>
    </row>
    <row r="189" spans="1:18" ht="12.75" customHeight="1" thickBot="1">
      <c r="A189" s="388" t="s">
        <v>626</v>
      </c>
      <c r="B189" s="387"/>
      <c r="C189" s="379">
        <f>SUM(C186:C188)</f>
        <v>14264524.030000003</v>
      </c>
      <c r="D189" s="380">
        <f>SUM(D186:D188)</f>
        <v>14104924.565686066</v>
      </c>
      <c r="E189" s="381">
        <f>SUMPRODUCT(C186:C187,E186:E187)/(C186+C187)</f>
        <v>0.98881144130864229</v>
      </c>
      <c r="G189" s="360">
        <f>SUMIF('[18]Loan List'!E:E,[18]Prices!A189,'[18]Loan List'!G:G)</f>
        <v>17387195.829999998</v>
      </c>
      <c r="H189" s="361">
        <f>G189-C189</f>
        <v>3122671.7999999952</v>
      </c>
      <c r="K189" s="358"/>
      <c r="N189" s="358"/>
      <c r="R189" s="358"/>
    </row>
    <row r="190" spans="1:18" ht="12.75" customHeight="1" thickBot="1">
      <c r="K190" s="358"/>
      <c r="N190" s="358"/>
      <c r="R190" s="358"/>
    </row>
    <row r="191" spans="1:18" ht="12.75" customHeight="1">
      <c r="B191" s="387"/>
      <c r="C191" s="368">
        <f>10000000-48335.859-48335.861</f>
        <v>9903328.2800000012</v>
      </c>
      <c r="D191" s="369">
        <f>C191*E194</f>
        <v>9829708.2681277748</v>
      </c>
      <c r="E191" s="370">
        <v>0.99250000000000005</v>
      </c>
      <c r="G191" s="371"/>
      <c r="H191" s="372"/>
      <c r="K191" s="358"/>
      <c r="N191" s="358"/>
      <c r="R191" s="358"/>
    </row>
    <row r="192" spans="1:18" ht="12.75" customHeight="1">
      <c r="B192" s="387"/>
      <c r="C192" s="376">
        <v>9334343.4299999997</v>
      </c>
      <c r="D192" s="377">
        <f>C192*E194</f>
        <v>9264953.1750567351</v>
      </c>
      <c r="E192" s="378">
        <v>0.99263630000000003</v>
      </c>
      <c r="G192" s="371"/>
      <c r="H192" s="372"/>
      <c r="K192" s="358"/>
      <c r="N192" s="358"/>
      <c r="R192" s="358"/>
    </row>
    <row r="193" spans="1:18" ht="12.75" customHeight="1">
      <c r="B193" s="387"/>
      <c r="C193" s="376"/>
      <c r="D193" s="377"/>
      <c r="E193" s="378"/>
      <c r="G193" s="371"/>
      <c r="H193" s="372"/>
      <c r="K193" s="358"/>
      <c r="N193" s="358"/>
      <c r="R193" s="358"/>
    </row>
    <row r="194" spans="1:18" ht="12.75" customHeight="1" thickBot="1">
      <c r="A194" s="388" t="s">
        <v>510</v>
      </c>
      <c r="B194" s="387"/>
      <c r="C194" s="379">
        <f>SUM(C191:C193)</f>
        <v>19237671.710000001</v>
      </c>
      <c r="D194" s="380"/>
      <c r="E194" s="381">
        <f>SUMPRODUCT(C191:C193,E191:E193)/(C191+C192+C193)</f>
        <v>0.99256613435496188</v>
      </c>
      <c r="G194" s="360">
        <f>SUMIF('[18]Loan List'!E:E,[18]Prices!A194,'[18]Loan List'!G:G)</f>
        <v>19189335.850000001</v>
      </c>
      <c r="H194" s="361">
        <f>G194-C194</f>
        <v>-48335.859999999404</v>
      </c>
      <c r="K194" s="358"/>
      <c r="N194" s="358"/>
      <c r="R194" s="358"/>
    </row>
    <row r="195" spans="1:18" ht="12.75" customHeight="1" thickBot="1">
      <c r="K195" s="358"/>
      <c r="N195" s="358"/>
      <c r="R195" s="358"/>
    </row>
    <row r="196" spans="1:18" ht="12.75" customHeight="1">
      <c r="B196" s="387"/>
      <c r="C196" s="368">
        <f>10000000-8000000-13568.16</f>
        <v>1986431.84</v>
      </c>
      <c r="D196" s="369">
        <f>C196*E199</f>
        <v>1959278.7620272283</v>
      </c>
      <c r="E196" s="370">
        <v>0.98</v>
      </c>
      <c r="G196" s="371"/>
      <c r="H196" s="372"/>
      <c r="K196" s="358"/>
      <c r="N196" s="358"/>
      <c r="R196" s="358"/>
    </row>
    <row r="197" spans="1:18" ht="12.75" customHeight="1">
      <c r="B197" s="387"/>
      <c r="C197" s="376">
        <v>3427262.24</v>
      </c>
      <c r="D197" s="377">
        <f>C197*E199</f>
        <v>3380414.0587727721</v>
      </c>
      <c r="E197" s="378">
        <v>0.99</v>
      </c>
      <c r="G197" s="371"/>
      <c r="H197" s="372"/>
      <c r="K197" s="358"/>
      <c r="N197" s="358"/>
      <c r="R197" s="358"/>
    </row>
    <row r="198" spans="1:18" ht="12.75" customHeight="1">
      <c r="B198" s="387"/>
      <c r="C198" s="376"/>
      <c r="D198" s="377"/>
      <c r="E198" s="378"/>
      <c r="G198" s="371"/>
      <c r="H198" s="372"/>
      <c r="K198" s="358"/>
      <c r="N198" s="358"/>
      <c r="R198" s="358"/>
    </row>
    <row r="199" spans="1:18" ht="12.75" customHeight="1" thickBot="1">
      <c r="A199" s="388" t="s">
        <v>588</v>
      </c>
      <c r="B199" s="387"/>
      <c r="C199" s="379">
        <f>SUM(C196:C198)</f>
        <v>5413694.0800000001</v>
      </c>
      <c r="D199" s="380">
        <f>SUM(D196:D198)</f>
        <v>5339692.8208000008</v>
      </c>
      <c r="E199" s="381">
        <f>SUMPRODUCT(C196:C197,E196:E197)/(C196+C197)</f>
        <v>0.98633072757594753</v>
      </c>
      <c r="G199" s="360">
        <f>SUMIF('[18]Loan List'!E:E,[18]Prices!A199,'[18]Loan List'!G:G)</f>
        <v>5864468.25</v>
      </c>
      <c r="H199" s="361">
        <f>G199-C199</f>
        <v>450774.16999999993</v>
      </c>
      <c r="K199" s="358"/>
      <c r="N199" s="358"/>
      <c r="R199" s="358"/>
    </row>
    <row r="200" spans="1:18" ht="12.75" customHeight="1" thickBot="1">
      <c r="K200" s="358"/>
      <c r="N200" s="358"/>
      <c r="R200" s="358"/>
    </row>
    <row r="201" spans="1:18" ht="12.75" customHeight="1">
      <c r="B201" s="387"/>
      <c r="C201" s="368">
        <f>4651000.56-14503.91-9534.5499-24038.46-24038.46</f>
        <v>4578885.1800999995</v>
      </c>
      <c r="D201" s="369">
        <f>C201*E204</f>
        <v>3571530.4404779999</v>
      </c>
      <c r="E201" s="370">
        <v>0.78</v>
      </c>
      <c r="G201" s="371"/>
      <c r="H201" s="372"/>
      <c r="K201" s="358"/>
      <c r="N201" s="358"/>
      <c r="R201" s="358"/>
    </row>
    <row r="202" spans="1:18" ht="12.75" customHeight="1">
      <c r="B202" s="387"/>
      <c r="C202" s="376"/>
      <c r="D202" s="377"/>
      <c r="E202" s="378"/>
      <c r="G202" s="371"/>
      <c r="H202" s="372"/>
      <c r="K202" s="358"/>
      <c r="N202" s="358"/>
      <c r="R202" s="358"/>
    </row>
    <row r="203" spans="1:18" ht="12.75" customHeight="1">
      <c r="B203" s="387"/>
      <c r="C203" s="376"/>
      <c r="D203" s="377"/>
      <c r="E203" s="378"/>
      <c r="G203" s="371"/>
      <c r="H203" s="372"/>
      <c r="K203" s="358"/>
      <c r="N203" s="358"/>
      <c r="R203" s="358"/>
    </row>
    <row r="204" spans="1:18" ht="12.75" customHeight="1" thickBot="1">
      <c r="A204" s="388" t="s">
        <v>526</v>
      </c>
      <c r="B204" s="387"/>
      <c r="C204" s="379">
        <f>SUM(C201:C203)</f>
        <v>4578885.1800999995</v>
      </c>
      <c r="D204" s="380">
        <f>SUM(D201:D203)</f>
        <v>3571530.4404779999</v>
      </c>
      <c r="E204" s="381">
        <f>SUMPRODUCT(C201:C202,E201:E202)/(C201+C202)</f>
        <v>0.78</v>
      </c>
      <c r="G204" s="360">
        <f>SUMIF('[18]Loan List'!E:E,[18]Prices!A204,'[18]Loan List'!G:G)</f>
        <v>7306361.2599999988</v>
      </c>
      <c r="H204" s="361">
        <f>G204-C204</f>
        <v>2727476.0798999993</v>
      </c>
      <c r="K204" s="358"/>
      <c r="N204" s="358"/>
      <c r="R204" s="358"/>
    </row>
    <row r="205" spans="1:18" ht="12.75" customHeight="1" thickBot="1">
      <c r="K205" s="358"/>
      <c r="N205" s="358"/>
      <c r="R205" s="358"/>
    </row>
    <row r="206" spans="1:18" ht="12.75" customHeight="1">
      <c r="B206" s="387"/>
      <c r="C206" s="368">
        <f>12563203.27-31408.009-31408.01-8000000-11307.5109</f>
        <v>4489079.7401000001</v>
      </c>
      <c r="D206" s="369">
        <f>C206*E209</f>
        <v>4444188.9426990002</v>
      </c>
      <c r="E206" s="370">
        <v>0.99</v>
      </c>
      <c r="G206" s="371"/>
      <c r="H206" s="372"/>
      <c r="K206" s="358"/>
      <c r="N206" s="358"/>
      <c r="R206" s="358"/>
    </row>
    <row r="207" spans="1:18" ht="12.75" customHeight="1">
      <c r="B207" s="387"/>
      <c r="C207" s="376"/>
      <c r="D207" s="377"/>
      <c r="E207" s="378"/>
      <c r="G207" s="371"/>
      <c r="H207" s="372"/>
      <c r="K207" s="358"/>
      <c r="N207" s="358"/>
      <c r="R207" s="358"/>
    </row>
    <row r="208" spans="1:18" ht="12.75" customHeight="1">
      <c r="B208" s="387"/>
      <c r="C208" s="376"/>
      <c r="D208" s="377"/>
      <c r="E208" s="378"/>
      <c r="G208" s="371"/>
      <c r="H208" s="372"/>
      <c r="K208" s="358"/>
      <c r="N208" s="358"/>
      <c r="R208" s="358"/>
    </row>
    <row r="209" spans="1:18" ht="12.75" customHeight="1" thickBot="1">
      <c r="A209" s="388" t="s">
        <v>524</v>
      </c>
      <c r="B209" s="387"/>
      <c r="C209" s="379">
        <f>SUM(C206:C208)</f>
        <v>4489079.7401000001</v>
      </c>
      <c r="D209" s="380">
        <f>SUM(D206:D208)</f>
        <v>4444188.9426990002</v>
      </c>
      <c r="E209" s="381">
        <f>SUMPRODUCT(C206:C207,E206:E207)/(C206+C207)</f>
        <v>0.99</v>
      </c>
      <c r="G209" s="360">
        <f>SUMIF('[18]Loan List'!E:E,[18]Prices!A209,'[18]Loan List'!G:G)</f>
        <v>9290272.2300000004</v>
      </c>
      <c r="H209" s="361">
        <f>G209-C209</f>
        <v>4801192.4899000004</v>
      </c>
      <c r="K209" s="358"/>
      <c r="N209" s="358"/>
      <c r="R209" s="358"/>
    </row>
    <row r="210" spans="1:18" ht="12.75" customHeight="1" thickBot="1">
      <c r="K210" s="358"/>
      <c r="N210" s="358"/>
      <c r="R210" s="358"/>
    </row>
    <row r="211" spans="1:18" ht="12.75" customHeight="1">
      <c r="B211" s="387"/>
      <c r="C211" s="368">
        <f>20000000-10000000-45000-8000000-24949.87</f>
        <v>1930050.13</v>
      </c>
      <c r="D211" s="369">
        <f>C211*E214</f>
        <v>1909027.3153435623</v>
      </c>
      <c r="E211" s="370">
        <v>0.98499999999999999</v>
      </c>
      <c r="G211" s="371"/>
      <c r="H211" s="372"/>
      <c r="K211" s="358"/>
      <c r="N211" s="358"/>
      <c r="R211" s="358"/>
    </row>
    <row r="212" spans="1:18" ht="12.75" customHeight="1">
      <c r="B212" s="387"/>
      <c r="C212" s="376">
        <v>3000000</v>
      </c>
      <c r="D212" s="377">
        <f>C212*E214</f>
        <v>2967322.8985149143</v>
      </c>
      <c r="E212" s="378">
        <v>0.99515900000000002</v>
      </c>
      <c r="G212" s="371"/>
      <c r="H212" s="372"/>
      <c r="K212" s="358"/>
      <c r="N212" s="358"/>
      <c r="R212" s="358"/>
    </row>
    <row r="213" spans="1:18" ht="12.75" customHeight="1">
      <c r="B213" s="387"/>
      <c r="C213" s="376">
        <v>5000000</v>
      </c>
      <c r="D213" s="377">
        <f>C213*E214</f>
        <v>4945538.1641915236</v>
      </c>
      <c r="E213" s="378">
        <v>0.98706240000000001</v>
      </c>
      <c r="G213" s="371"/>
      <c r="H213" s="372"/>
      <c r="K213" s="358"/>
      <c r="N213" s="358"/>
      <c r="R213" s="358"/>
    </row>
    <row r="214" spans="1:18" ht="12.75" customHeight="1" thickBot="1">
      <c r="A214" s="388" t="s">
        <v>631</v>
      </c>
      <c r="B214" s="387"/>
      <c r="C214" s="379">
        <f>SUM(C211:C213)</f>
        <v>9930050.129999999</v>
      </c>
      <c r="D214" s="380">
        <f>SUM(D211:D213)</f>
        <v>9821888.3780499995</v>
      </c>
      <c r="E214" s="381">
        <f>SUMPRODUCT(C211:C213,E211:E213)/(C211+C212+C213)</f>
        <v>0.98910763283830472</v>
      </c>
      <c r="G214" s="360">
        <f>SUMIF('[18]Loan List'!E:E,[18]Prices!A214,'[18]Loan List'!G:G)</f>
        <v>9905100.2599999998</v>
      </c>
      <c r="H214" s="361">
        <f>G214-C214</f>
        <v>-24949.86999999918</v>
      </c>
      <c r="K214" s="358"/>
      <c r="N214" s="358"/>
      <c r="R214" s="358"/>
    </row>
    <row r="215" spans="1:18" ht="12.75" customHeight="1" thickBot="1">
      <c r="K215" s="358"/>
      <c r="N215" s="358"/>
      <c r="R215" s="358"/>
    </row>
    <row r="216" spans="1:18" ht="12.75" customHeight="1">
      <c r="B216" s="387"/>
      <c r="C216" s="368">
        <f>14700000-5000000-8000000-13279.22</f>
        <v>1686720.78</v>
      </c>
      <c r="D216" s="369">
        <f>C216*E219</f>
        <v>1669862.4149806499</v>
      </c>
      <c r="E216" s="370">
        <v>0.99</v>
      </c>
      <c r="G216" s="371"/>
      <c r="H216" s="372"/>
      <c r="K216" s="358"/>
      <c r="N216" s="358"/>
      <c r="R216" s="358"/>
    </row>
    <row r="217" spans="1:18" ht="12.75" customHeight="1">
      <c r="B217" s="387"/>
      <c r="C217" s="376">
        <v>3598410.6500000004</v>
      </c>
      <c r="D217" s="377">
        <f>C217*E219</f>
        <v>3562445.4084813558</v>
      </c>
      <c r="E217" s="378">
        <v>0.99000770000000005</v>
      </c>
      <c r="G217" s="371"/>
      <c r="H217" s="372"/>
      <c r="K217" s="358"/>
      <c r="N217" s="358"/>
      <c r="R217" s="358"/>
    </row>
    <row r="218" spans="1:18" ht="12.75" customHeight="1">
      <c r="B218" s="387"/>
      <c r="C218" s="376"/>
      <c r="D218" s="377"/>
      <c r="E218" s="378"/>
      <c r="G218" s="371"/>
      <c r="H218" s="372"/>
      <c r="K218" s="358"/>
      <c r="N218" s="358"/>
      <c r="R218" s="358"/>
    </row>
    <row r="219" spans="1:18" ht="12.75" customHeight="1" thickBot="1">
      <c r="A219" s="388" t="s">
        <v>646</v>
      </c>
      <c r="B219" s="387"/>
      <c r="C219" s="379">
        <f>SUM(C216:C218)</f>
        <v>5285131.4300000006</v>
      </c>
      <c r="D219" s="380">
        <f>SUM(D216:D218)</f>
        <v>5232307.8234620057</v>
      </c>
      <c r="E219" s="381">
        <f>SUMPRODUCT(C216:C217,E216:E217)/(C216+C217)</f>
        <v>0.99000524258712808</v>
      </c>
      <c r="G219" s="360">
        <f>SUMIF('[18]Loan List'!E:E,[18]Prices!A219,'[18]Loan List'!G:G)</f>
        <v>5271860.1900000004</v>
      </c>
      <c r="H219" s="361">
        <f>G219-C219</f>
        <v>-13271.240000000224</v>
      </c>
      <c r="K219" s="358"/>
      <c r="N219" s="358"/>
      <c r="R219" s="358"/>
    </row>
    <row r="220" spans="1:18" ht="12.75" customHeight="1" thickBot="1">
      <c r="K220" s="358"/>
      <c r="N220" s="358"/>
      <c r="R220" s="358"/>
    </row>
    <row r="221" spans="1:18" ht="12.75" customHeight="1">
      <c r="B221" s="387"/>
      <c r="C221" s="368">
        <f>8100000-5000000-3100000</f>
        <v>0</v>
      </c>
      <c r="D221" s="369">
        <f>C221*E224</f>
        <v>0</v>
      </c>
      <c r="E221" s="370">
        <v>0.99124999999999996</v>
      </c>
      <c r="G221" s="371"/>
      <c r="H221" s="372"/>
      <c r="K221" s="358"/>
      <c r="N221" s="358"/>
      <c r="R221" s="358"/>
    </row>
    <row r="222" spans="1:18" ht="12.75" customHeight="1">
      <c r="B222" s="387"/>
      <c r="C222" s="376">
        <f>16891710+1088135.63-4900000-32755.6499</f>
        <v>13047089.980099998</v>
      </c>
      <c r="D222" s="377">
        <f>C222*E224</f>
        <v>12934941.108758053</v>
      </c>
      <c r="E222" s="378">
        <v>0.99140430000000002</v>
      </c>
      <c r="G222" s="371"/>
      <c r="H222" s="372"/>
      <c r="K222" s="358"/>
      <c r="N222" s="358"/>
      <c r="R222" s="358"/>
    </row>
    <row r="223" spans="1:18" ht="12.75" customHeight="1">
      <c r="B223" s="387"/>
      <c r="C223" s="376"/>
      <c r="D223" s="377"/>
      <c r="E223" s="378"/>
      <c r="G223" s="371"/>
      <c r="H223" s="372"/>
      <c r="K223" s="358"/>
      <c r="N223" s="358"/>
      <c r="R223" s="358"/>
    </row>
    <row r="224" spans="1:18" ht="12.75" customHeight="1" thickBot="1">
      <c r="A224" s="388" t="s">
        <v>647</v>
      </c>
      <c r="B224" s="387"/>
      <c r="C224" s="379">
        <f>SUM(C221:C223)</f>
        <v>13047089.980099998</v>
      </c>
      <c r="D224" s="380">
        <f>SUM(D221:D223)</f>
        <v>12934941.108758053</v>
      </c>
      <c r="E224" s="381">
        <f>SUMPRODUCT(C221:C222,E221:E222)/(C221+C222)</f>
        <v>0.99140430000000002</v>
      </c>
      <c r="G224" s="360">
        <f>SUMIF('[18]Loan List'!E:E,[18]Prices!A224,'[18]Loan List'!G:G)</f>
        <v>29454620.510000002</v>
      </c>
      <c r="H224" s="361">
        <f>G224-C224</f>
        <v>16407530.529900003</v>
      </c>
      <c r="K224" s="358"/>
      <c r="N224" s="358"/>
      <c r="R224" s="358"/>
    </row>
    <row r="225" spans="1:18" ht="12.75" customHeight="1" thickBot="1">
      <c r="K225" s="358"/>
      <c r="N225" s="358"/>
      <c r="R225" s="358"/>
    </row>
    <row r="226" spans="1:18" ht="12.75" customHeight="1">
      <c r="B226" s="387"/>
      <c r="C226" s="368">
        <f>15000000-5046920.29-8000000-26870.16</f>
        <v>1926209.550000001</v>
      </c>
      <c r="D226" s="369">
        <f>C226*E229</f>
        <v>1907141.8626513036</v>
      </c>
      <c r="E226" s="370">
        <v>0.99</v>
      </c>
      <c r="G226" s="371"/>
      <c r="H226" s="372"/>
      <c r="K226" s="358"/>
      <c r="N226" s="358"/>
      <c r="R226" s="358"/>
    </row>
    <row r="227" spans="1:18" ht="12.75" customHeight="1">
      <c r="B227" s="387"/>
      <c r="C227" s="376">
        <v>8768115.9399999976</v>
      </c>
      <c r="D227" s="377">
        <f>C227*E229</f>
        <v>8681319.7275209092</v>
      </c>
      <c r="E227" s="378">
        <v>0.99012310000000003</v>
      </c>
      <c r="G227" s="371"/>
      <c r="H227" s="372"/>
      <c r="K227" s="358"/>
      <c r="N227" s="358"/>
      <c r="R227" s="358"/>
    </row>
    <row r="228" spans="1:18" ht="12.75" customHeight="1">
      <c r="B228" s="387"/>
      <c r="C228" s="376"/>
      <c r="D228" s="377"/>
      <c r="E228" s="378"/>
      <c r="G228" s="371"/>
      <c r="H228" s="372"/>
      <c r="K228" s="358"/>
      <c r="N228" s="358"/>
      <c r="R228" s="358"/>
    </row>
    <row r="229" spans="1:18" ht="12.75" customHeight="1" thickBot="1">
      <c r="A229" s="388" t="s">
        <v>648</v>
      </c>
      <c r="B229" s="387"/>
      <c r="C229" s="379">
        <f>SUM(C226:C228)</f>
        <v>10694325.489999998</v>
      </c>
      <c r="D229" s="380">
        <f>SUM(D226:D228)</f>
        <v>10588461.590172213</v>
      </c>
      <c r="E229" s="381">
        <f>SUMPRODUCT(C226:C227,E226:E227)/(C226+C227)</f>
        <v>0.99010092783067272</v>
      </c>
      <c r="G229" s="360">
        <f>SUMIF('[18]Loan List'!E:E,[18]Prices!A229,'[18]Loan List'!G:G)</f>
        <v>34673920.380000003</v>
      </c>
      <c r="H229" s="361">
        <f>G229-C229</f>
        <v>23979594.890000004</v>
      </c>
      <c r="K229" s="358"/>
      <c r="N229" s="358"/>
      <c r="R229" s="358"/>
    </row>
    <row r="230" spans="1:18" ht="12.75" customHeight="1" thickBot="1">
      <c r="K230" s="358"/>
      <c r="N230" s="358"/>
      <c r="R230" s="358"/>
    </row>
    <row r="231" spans="1:18" ht="12.75" customHeight="1">
      <c r="B231" s="387"/>
      <c r="C231" s="368">
        <f>15320967.74-5000000-25802.419-8000000-5752.291</f>
        <v>2289413.0300000003</v>
      </c>
      <c r="D231" s="369">
        <f>C231*E234</f>
        <v>2266518.8997000004</v>
      </c>
      <c r="E231" s="370">
        <v>0.99</v>
      </c>
      <c r="G231" s="371"/>
      <c r="H231" s="372"/>
      <c r="K231" s="358"/>
      <c r="N231" s="358"/>
      <c r="R231" s="358"/>
    </row>
    <row r="232" spans="1:18" ht="12.75" customHeight="1">
      <c r="B232" s="387"/>
      <c r="C232" s="376"/>
      <c r="D232" s="377"/>
      <c r="E232" s="378"/>
      <c r="G232" s="371"/>
      <c r="H232" s="372"/>
      <c r="R232" s="358"/>
    </row>
    <row r="233" spans="1:18" ht="12.75" customHeight="1">
      <c r="B233" s="387"/>
      <c r="C233" s="376"/>
      <c r="D233" s="377"/>
      <c r="E233" s="378"/>
      <c r="G233" s="371"/>
      <c r="H233" s="372"/>
      <c r="R233" s="358"/>
    </row>
    <row r="234" spans="1:18" ht="12.75" customHeight="1" thickBot="1">
      <c r="A234" s="388" t="s">
        <v>658</v>
      </c>
      <c r="B234" s="387"/>
      <c r="C234" s="379">
        <f>SUM(C231:C233)</f>
        <v>2289413.0300000003</v>
      </c>
      <c r="D234" s="380">
        <f>SUM(D231:D233)</f>
        <v>2266518.8997000004</v>
      </c>
      <c r="E234" s="381">
        <f>SUMPRODUCT(C231:C232,E231:E232)/(C231+C232)</f>
        <v>0.9900000000000001</v>
      </c>
      <c r="G234" s="360">
        <f>SUMIF('[18]Loan List'!E:E,[18]Prices!A234,'[18]Loan List'!G:G)</f>
        <v>2283660.7400000002</v>
      </c>
      <c r="H234" s="361">
        <f>G234-C234</f>
        <v>-5752.2900000000373</v>
      </c>
      <c r="R234" s="358"/>
    </row>
    <row r="235" spans="1:18" ht="12.75" customHeight="1" thickBot="1">
      <c r="R235" s="358"/>
    </row>
    <row r="236" spans="1:18" ht="12.75" customHeight="1">
      <c r="B236" s="387"/>
      <c r="C236" s="368">
        <f>11450000-1557120-4600000-5292880</f>
        <v>0</v>
      </c>
      <c r="D236" s="369">
        <f>C236*E239</f>
        <v>0</v>
      </c>
      <c r="E236" s="370">
        <v>0.99</v>
      </c>
      <c r="G236" s="371"/>
      <c r="H236" s="372"/>
      <c r="R236" s="358"/>
    </row>
    <row r="237" spans="1:18" ht="12.75" customHeight="1">
      <c r="B237" s="387"/>
      <c r="C237" s="376">
        <f>2300000-2300000</f>
        <v>0</v>
      </c>
      <c r="D237" s="377">
        <f>C237*E239</f>
        <v>0</v>
      </c>
      <c r="E237" s="378">
        <v>1</v>
      </c>
      <c r="G237" s="371"/>
      <c r="H237" s="372"/>
      <c r="R237" s="358"/>
    </row>
    <row r="238" spans="1:18" ht="12.75" customHeight="1">
      <c r="B238" s="387"/>
      <c r="C238" s="376">
        <f>11493010.81-393289.009999998-27746.63</f>
        <v>11071975.170000002</v>
      </c>
      <c r="D238" s="377">
        <f>C238*E239</f>
        <v>10963401.167087948</v>
      </c>
      <c r="E238" s="378">
        <v>0.99019380000000001</v>
      </c>
      <c r="G238" s="371"/>
      <c r="H238" s="372"/>
    </row>
    <row r="239" spans="1:18" ht="12.75" customHeight="1" thickBot="1">
      <c r="A239" s="388" t="s">
        <v>656</v>
      </c>
      <c r="B239" s="387"/>
      <c r="C239" s="379">
        <f>SUM(C236:C238)</f>
        <v>11071975.170000002</v>
      </c>
      <c r="D239" s="380">
        <f>SUM(D236:D238)</f>
        <v>10963401.167087948</v>
      </c>
      <c r="E239" s="381">
        <f>SUMPRODUCT(C236:C238,E236:E238)/(C236+C237+C238)</f>
        <v>0.99019380000000001</v>
      </c>
      <c r="G239" s="360">
        <f>SUMIF('[18]Loan List'!E:E,[18]Prices!A239,'[18]Loan List'!G:G)</f>
        <v>12428247.09</v>
      </c>
      <c r="H239" s="361">
        <f>G239-C239</f>
        <v>1356271.9199999981</v>
      </c>
    </row>
    <row r="240" spans="1:18" ht="12.75" customHeight="1" thickBot="1"/>
    <row r="241" spans="1:8" ht="12.75" customHeight="1">
      <c r="B241" s="387"/>
      <c r="C241" s="368">
        <f>20000000-10000000-40250-8000000</f>
        <v>1959750</v>
      </c>
      <c r="D241" s="369">
        <f>C241*E244</f>
        <v>1945100.6287221324</v>
      </c>
      <c r="E241" s="370">
        <v>0.99250000000000005</v>
      </c>
      <c r="G241" s="371"/>
      <c r="H241" s="372"/>
    </row>
    <row r="242" spans="1:8" ht="12.75" customHeight="1">
      <c r="B242" s="387"/>
      <c r="C242" s="376">
        <v>6100000</v>
      </c>
      <c r="D242" s="377">
        <f>C242*E244</f>
        <v>6054401.7528791977</v>
      </c>
      <c r="E242" s="378">
        <v>0.9926239</v>
      </c>
      <c r="G242" s="371"/>
      <c r="H242" s="372"/>
    </row>
    <row r="243" spans="1:8" ht="12.75" customHeight="1">
      <c r="B243" s="387"/>
      <c r="C243" s="376">
        <v>22320688.41</v>
      </c>
      <c r="D243" s="377">
        <f>C243*E244</f>
        <v>22153838.530323669</v>
      </c>
      <c r="E243" s="378">
        <v>0.99250000000000005</v>
      </c>
      <c r="G243" s="371"/>
      <c r="H243" s="372"/>
    </row>
    <row r="244" spans="1:8" ht="12.75" customHeight="1" thickBot="1">
      <c r="A244" s="388" t="s">
        <v>649</v>
      </c>
      <c r="B244" s="387"/>
      <c r="C244" s="379">
        <f>SUM(C241:C243)</f>
        <v>30380438.41</v>
      </c>
      <c r="D244" s="380">
        <f>SUM(D241:D243)</f>
        <v>30153340.911924999</v>
      </c>
      <c r="E244" s="381">
        <f>SUMPRODUCT(C241:C243,E241:E243)/(C241+C242+C243)</f>
        <v>0.9925248775211799</v>
      </c>
      <c r="G244" s="360">
        <f>SUMIF('[18]Loan List'!E:E,[18]Prices!A244,'[18]Loan List'!G:G)</f>
        <v>25304386.32</v>
      </c>
      <c r="H244" s="361">
        <f>G244-C244</f>
        <v>-5076052.09</v>
      </c>
    </row>
    <row r="245" spans="1:8" ht="12.75" customHeight="1" thickBot="1"/>
    <row r="246" spans="1:8" ht="12.75" customHeight="1">
      <c r="B246" s="387"/>
      <c r="C246" s="368">
        <f>5994074.07-4000000-4985.19</f>
        <v>1989088.8800000004</v>
      </c>
      <c r="D246" s="369">
        <f>C246*E249</f>
        <v>1974170.7134000005</v>
      </c>
      <c r="E246" s="370">
        <v>0.99250000000000005</v>
      </c>
      <c r="G246" s="371"/>
      <c r="H246" s="372"/>
    </row>
    <row r="247" spans="1:8" ht="12.75" customHeight="1">
      <c r="B247" s="387"/>
      <c r="C247" s="376"/>
      <c r="D247" s="377"/>
      <c r="E247" s="378"/>
      <c r="G247" s="371"/>
      <c r="H247" s="372"/>
    </row>
    <row r="248" spans="1:8" ht="12.75" customHeight="1">
      <c r="B248" s="387"/>
      <c r="C248" s="376"/>
      <c r="D248" s="377"/>
      <c r="E248" s="378"/>
      <c r="G248" s="371"/>
      <c r="H248" s="372"/>
    </row>
    <row r="249" spans="1:8" ht="12.75" customHeight="1" thickBot="1">
      <c r="A249" s="388" t="s">
        <v>580</v>
      </c>
      <c r="B249" s="387"/>
      <c r="C249" s="379">
        <f>SUM(C246:C248)</f>
        <v>1989088.8800000004</v>
      </c>
      <c r="D249" s="380">
        <f>SUM(D246:D248)</f>
        <v>1974170.7134000005</v>
      </c>
      <c r="E249" s="381">
        <f>SUMPRODUCT(C246:C247,E246:E247)/(C246+C247)</f>
        <v>0.99250000000000005</v>
      </c>
      <c r="G249" s="360">
        <f>SUMIF('[18]Loan List'!E:E,[18]Prices!A249,'[18]Loan List'!G:G)</f>
        <v>5906420.6899999995</v>
      </c>
      <c r="H249" s="361">
        <f>G249-C249</f>
        <v>3917331.8099999991</v>
      </c>
    </row>
    <row r="250" spans="1:8" ht="12.75" customHeight="1" thickBot="1"/>
    <row r="251" spans="1:8" ht="12.75" customHeight="1">
      <c r="B251" s="387"/>
      <c r="C251" s="368">
        <f>25475000-6703115.32-8026929.71</f>
        <v>10744954.969999999</v>
      </c>
      <c r="D251" s="369">
        <f>C251*E254</f>
        <v>10650936.614012498</v>
      </c>
      <c r="E251" s="370">
        <v>0.99124999999999996</v>
      </c>
      <c r="G251" s="371"/>
      <c r="H251" s="372"/>
    </row>
    <row r="252" spans="1:8" ht="12.75" customHeight="1">
      <c r="B252" s="387"/>
      <c r="C252" s="376"/>
      <c r="D252" s="377"/>
      <c r="E252" s="378"/>
      <c r="G252" s="371"/>
      <c r="H252" s="372"/>
    </row>
    <row r="253" spans="1:8" ht="12.75" customHeight="1">
      <c r="B253" s="387"/>
      <c r="C253" s="376"/>
      <c r="D253" s="377"/>
      <c r="E253" s="378"/>
      <c r="G253" s="371"/>
      <c r="H253" s="372"/>
    </row>
    <row r="254" spans="1:8" ht="12.75" customHeight="1" thickBot="1">
      <c r="A254" s="388" t="s">
        <v>657</v>
      </c>
      <c r="B254" s="387"/>
      <c r="C254" s="379">
        <f>SUM(C251:C253)</f>
        <v>10744954.969999999</v>
      </c>
      <c r="D254" s="380">
        <f>SUM(D251:D253)</f>
        <v>10650936.614012498</v>
      </c>
      <c r="E254" s="381">
        <f>SUMPRODUCT(C251:C252,E251:E252)/(C251+C252)</f>
        <v>0.99124999999999996</v>
      </c>
      <c r="G254" s="360">
        <f>SUMIF('[18]Loan List'!E:E,[18]Prices!A254,'[18]Loan List'!G:G)</f>
        <v>10718025.26</v>
      </c>
      <c r="H254" s="361">
        <f>G254-C254</f>
        <v>-26929.709999999031</v>
      </c>
    </row>
    <row r="255" spans="1:8" ht="12.75" customHeight="1" thickBot="1"/>
    <row r="256" spans="1:8" ht="12.75" customHeight="1">
      <c r="B256" s="387"/>
      <c r="C256" s="368">
        <f>19770000-6000000-34425-8000000-14374.87</f>
        <v>5721200.1299999999</v>
      </c>
      <c r="D256" s="369">
        <f>C256*E259</f>
        <v>5678291.1290250001</v>
      </c>
      <c r="E256" s="370">
        <v>0.99250000000000005</v>
      </c>
      <c r="G256" s="371"/>
      <c r="H256" s="372"/>
    </row>
    <row r="257" spans="1:8" ht="12.75" customHeight="1">
      <c r="B257" s="387"/>
      <c r="C257" s="376"/>
      <c r="D257" s="377"/>
      <c r="E257" s="378"/>
      <c r="G257" s="371"/>
      <c r="H257" s="372"/>
    </row>
    <row r="258" spans="1:8" ht="12.75" customHeight="1">
      <c r="B258" s="387"/>
      <c r="C258" s="376"/>
      <c r="D258" s="377"/>
      <c r="E258" s="378"/>
      <c r="G258" s="371"/>
      <c r="H258" s="372"/>
    </row>
    <row r="259" spans="1:8" ht="12.75" customHeight="1" thickBot="1">
      <c r="A259" s="388" t="s">
        <v>664</v>
      </c>
      <c r="B259" s="387"/>
      <c r="C259" s="379">
        <f>SUM(C256:C258)</f>
        <v>5721200.1299999999</v>
      </c>
      <c r="D259" s="380">
        <f>SUM(D256:D258)</f>
        <v>5678291.1290250001</v>
      </c>
      <c r="E259" s="381">
        <f>SUMPRODUCT(C256:C257,E256:E257)/(C256+C257)</f>
        <v>0.99250000000000005</v>
      </c>
      <c r="G259" s="360">
        <f>SUMIF('[18]Loan List'!E:E,[18]Prices!A259,'[18]Loan List'!G:G)</f>
        <v>5706825.2599999998</v>
      </c>
      <c r="H259" s="361">
        <f>G259-C259</f>
        <v>-14374.870000000112</v>
      </c>
    </row>
    <row r="260" spans="1:8" ht="12.75" customHeight="1" thickBot="1"/>
    <row r="261" spans="1:8" ht="12.75" customHeight="1">
      <c r="B261" s="387"/>
      <c r="C261" s="368">
        <f>20000000-8000000-30000</f>
        <v>11970000</v>
      </c>
      <c r="D261" s="369">
        <f>C261*E264</f>
        <v>11850300</v>
      </c>
      <c r="E261" s="370">
        <v>0.99</v>
      </c>
      <c r="G261" s="371"/>
      <c r="H261" s="372"/>
    </row>
    <row r="262" spans="1:8" ht="12.75" customHeight="1">
      <c r="B262" s="387"/>
      <c r="C262" s="376"/>
      <c r="D262" s="377"/>
      <c r="E262" s="378"/>
      <c r="G262" s="371"/>
      <c r="H262" s="372"/>
    </row>
    <row r="263" spans="1:8" ht="12.75" customHeight="1">
      <c r="B263" s="387"/>
      <c r="C263" s="376"/>
      <c r="D263" s="377"/>
      <c r="E263" s="378"/>
      <c r="G263" s="371"/>
      <c r="H263" s="372"/>
    </row>
    <row r="264" spans="1:8" ht="12.75" customHeight="1" thickBot="1">
      <c r="A264" s="388" t="s">
        <v>665</v>
      </c>
      <c r="B264" s="387"/>
      <c r="C264" s="379">
        <f>SUM(C261:C263)</f>
        <v>11970000</v>
      </c>
      <c r="D264" s="380">
        <f>SUM(D261:D263)</f>
        <v>11850300</v>
      </c>
      <c r="E264" s="381">
        <f>SUMPRODUCT(C261:C262,E261:E262)/(C261+C262)</f>
        <v>0.99</v>
      </c>
      <c r="G264" s="360">
        <f>SUMIF('[18]Loan List'!E:E,[18]Prices!A264,'[18]Loan List'!G:G)</f>
        <v>11940000</v>
      </c>
      <c r="H264" s="361">
        <f>G264-C264</f>
        <v>-30000</v>
      </c>
    </row>
    <row r="265" spans="1:8" ht="12.75" customHeight="1" thickBot="1"/>
    <row r="266" spans="1:8" ht="12.75" customHeight="1">
      <c r="A266" s="386"/>
      <c r="B266" s="387"/>
      <c r="C266" s="368">
        <f>40000000-8000000-104444.5</f>
        <v>31895555.5</v>
      </c>
      <c r="D266" s="369">
        <f>C266*E269</f>
        <v>31418086.06024674</v>
      </c>
      <c r="E266" s="370">
        <v>0.98499999999999999</v>
      </c>
      <c r="G266" s="371"/>
      <c r="H266" s="372"/>
    </row>
    <row r="267" spans="1:8" ht="12.75" customHeight="1">
      <c r="A267" s="386"/>
      <c r="B267" s="387"/>
      <c r="C267" s="376">
        <v>9777800</v>
      </c>
      <c r="D267" s="377">
        <f>C267*E269</f>
        <v>9631428.487893261</v>
      </c>
      <c r="E267" s="378">
        <v>0.98512880000000003</v>
      </c>
      <c r="G267" s="371"/>
      <c r="H267" s="372"/>
    </row>
    <row r="268" spans="1:8" ht="12.75" customHeight="1">
      <c r="A268" s="386"/>
      <c r="B268" s="387"/>
      <c r="C268" s="376"/>
      <c r="D268" s="377"/>
      <c r="E268" s="378"/>
      <c r="G268" s="371"/>
      <c r="H268" s="372"/>
    </row>
    <row r="269" spans="1:8" ht="12.75" customHeight="1" thickBot="1">
      <c r="A269" s="388" t="s">
        <v>677</v>
      </c>
      <c r="B269" s="387"/>
      <c r="C269" s="379">
        <f>SUM(C266:C268)</f>
        <v>41673355.5</v>
      </c>
      <c r="D269" s="380">
        <f>SUM(D266:D268)</f>
        <v>41049514.548140004</v>
      </c>
      <c r="E269" s="381">
        <f>SUMPRODUCT(C266:C267,E266:E267)/(C266+C267)</f>
        <v>0.98503022028403742</v>
      </c>
      <c r="G269" s="360">
        <f>SUMIF('[18]Loan List'!E:E,[18]Prices!A269,'[18]Loan List'!G:G)</f>
        <v>41568911</v>
      </c>
      <c r="H269" s="361">
        <f>G269-C269</f>
        <v>-104444.5</v>
      </c>
    </row>
    <row r="270" spans="1:8" ht="12.75" customHeight="1" thickBot="1"/>
    <row r="271" spans="1:8" ht="12.75" customHeight="1">
      <c r="B271" s="387"/>
      <c r="C271" s="368">
        <f>10448800-8000000-13817.969</f>
        <v>2434982.031</v>
      </c>
      <c r="D271" s="369">
        <f>C271*E274</f>
        <v>2406697.9950119033</v>
      </c>
      <c r="E271" s="370">
        <v>0.99250000000000005</v>
      </c>
      <c r="G271" s="371"/>
      <c r="H271" s="372"/>
    </row>
    <row r="272" spans="1:8" ht="12.75" customHeight="1">
      <c r="B272" s="387"/>
      <c r="C272" s="376">
        <v>3078387.34</v>
      </c>
      <c r="D272" s="377">
        <f>C272*E274</f>
        <v>3042629.6969449897</v>
      </c>
      <c r="E272" s="378">
        <v>0.98512880000000003</v>
      </c>
      <c r="G272" s="371"/>
      <c r="H272" s="372"/>
    </row>
    <row r="273" spans="1:8" ht="12.75" customHeight="1">
      <c r="B273" s="387"/>
      <c r="C273" s="376"/>
      <c r="D273" s="377"/>
      <c r="E273" s="378"/>
      <c r="G273" s="371"/>
      <c r="H273" s="372"/>
    </row>
    <row r="274" spans="1:8" ht="12.75" customHeight="1" thickBot="1">
      <c r="A274" s="388" t="s">
        <v>667</v>
      </c>
      <c r="B274" s="387"/>
      <c r="C274" s="379">
        <f>SUM(C271:C273)</f>
        <v>5513369.3709999993</v>
      </c>
      <c r="D274" s="380">
        <f>SUM(D271:D273)</f>
        <v>5449327.6919568926</v>
      </c>
      <c r="E274" s="381">
        <f>SUMPRODUCT(C271:C272,E271:E272)/(C271+C272)</f>
        <v>0.98838429375329684</v>
      </c>
      <c r="G274" s="360">
        <f>SUMIF('[18]Loan List'!E:E,[18]Prices!A274,'[18]Loan List'!G:G)</f>
        <v>2954760.73</v>
      </c>
      <c r="H274" s="361">
        <f>G274-C274</f>
        <v>-2558608.6409999994</v>
      </c>
    </row>
    <row r="275" spans="1:8" ht="12.75" customHeight="1" thickBot="1"/>
    <row r="276" spans="1:8" ht="12.75" customHeight="1">
      <c r="B276" s="387"/>
      <c r="C276" s="368">
        <f>37941200-10000000-69853-8049802.87</f>
        <v>19821544.129999999</v>
      </c>
      <c r="D276" s="369">
        <f>C276*E279</f>
        <v>19648105.618862499</v>
      </c>
      <c r="E276" s="370">
        <v>0.99124999999999996</v>
      </c>
      <c r="G276" s="371"/>
      <c r="H276" s="372"/>
    </row>
    <row r="277" spans="1:8" ht="12.75" customHeight="1">
      <c r="B277" s="387"/>
      <c r="C277" s="376"/>
      <c r="D277" s="377"/>
      <c r="E277" s="378"/>
      <c r="G277" s="371"/>
      <c r="H277" s="372"/>
    </row>
    <row r="278" spans="1:8" ht="12.75" customHeight="1">
      <c r="B278" s="387"/>
      <c r="C278" s="376"/>
      <c r="D278" s="377"/>
      <c r="E278" s="378"/>
      <c r="G278" s="371"/>
      <c r="H278" s="372"/>
    </row>
    <row r="279" spans="1:8" ht="12.75" customHeight="1" thickBot="1">
      <c r="A279" s="388" t="s">
        <v>569</v>
      </c>
      <c r="B279" s="387"/>
      <c r="C279" s="379">
        <f>SUM(C276:C278)</f>
        <v>19821544.129999999</v>
      </c>
      <c r="D279" s="380">
        <f>SUM(D276:D278)</f>
        <v>19648105.618862499</v>
      </c>
      <c r="E279" s="381">
        <f>SUMPRODUCT(C276:C277,E276:E277)/(C276+C277)</f>
        <v>0.99124999999999996</v>
      </c>
      <c r="G279" s="360">
        <f>SUMIF('[18]Loan List'!E:E,[18]Prices!A279,'[18]Loan List'!G:G)</f>
        <v>21249241.260000002</v>
      </c>
      <c r="H279" s="361">
        <f>G279-C279</f>
        <v>1427697.1300000027</v>
      </c>
    </row>
    <row r="280" spans="1:8" ht="12.75" customHeight="1" thickBot="1"/>
    <row r="281" spans="1:8" ht="12.75" customHeight="1">
      <c r="B281" s="387"/>
      <c r="C281" s="368">
        <v>196059.01</v>
      </c>
      <c r="D281" s="369">
        <f>C281*E284</f>
        <v>196059.01</v>
      </c>
      <c r="E281" s="370">
        <v>1</v>
      </c>
      <c r="G281" s="371"/>
      <c r="H281" s="372"/>
    </row>
    <row r="282" spans="1:8" ht="12.75" customHeight="1">
      <c r="B282" s="387"/>
      <c r="C282" s="376"/>
      <c r="D282" s="377"/>
      <c r="E282" s="378"/>
      <c r="G282" s="371"/>
      <c r="H282" s="372"/>
    </row>
    <row r="283" spans="1:8" ht="12.75" customHeight="1">
      <c r="B283" s="387"/>
      <c r="C283" s="376"/>
      <c r="D283" s="377"/>
      <c r="E283" s="378"/>
      <c r="G283" s="371"/>
      <c r="H283" s="372"/>
    </row>
    <row r="284" spans="1:8" ht="12.75" customHeight="1" thickBot="1">
      <c r="A284" s="388" t="s">
        <v>549</v>
      </c>
      <c r="B284" s="387"/>
      <c r="C284" s="379">
        <f>SUM(C281:C283)</f>
        <v>196059.01</v>
      </c>
      <c r="D284" s="380">
        <f>SUM(D281:D283)</f>
        <v>196059.01</v>
      </c>
      <c r="E284" s="381">
        <f>SUMPRODUCT(C281:C282,E281:E282)/(C281+C282)</f>
        <v>1</v>
      </c>
      <c r="G284" s="360">
        <f>SUMIF('[18]Loan List'!E:E,[18]Prices!A284,'[18]Loan List'!G:G)</f>
        <v>1078342.01</v>
      </c>
      <c r="H284" s="361">
        <f>G284-C284</f>
        <v>882283</v>
      </c>
    </row>
    <row r="285" spans="1:8" ht="12.75" customHeight="1" thickBot="1"/>
    <row r="286" spans="1:8" ht="12.75" customHeight="1">
      <c r="B286" s="387"/>
      <c r="C286" s="368">
        <f>10287900-8000000</f>
        <v>2287900</v>
      </c>
      <c r="D286" s="369">
        <f>C286*E289</f>
        <v>2266902.871511084</v>
      </c>
      <c r="E286" s="370">
        <v>0.99</v>
      </c>
      <c r="G286" s="371"/>
      <c r="H286" s="372"/>
    </row>
    <row r="287" spans="1:8" ht="12.75" customHeight="1">
      <c r="B287" s="387"/>
      <c r="C287" s="376">
        <v>1092100</v>
      </c>
      <c r="D287" s="377">
        <f>C287*E289</f>
        <v>1082077.2874589162</v>
      </c>
      <c r="E287" s="378">
        <v>0.99254569999999998</v>
      </c>
      <c r="G287" s="371"/>
      <c r="H287" s="372"/>
    </row>
    <row r="288" spans="1:8" ht="12.75" customHeight="1">
      <c r="B288" s="387"/>
      <c r="C288" s="376"/>
      <c r="D288" s="377"/>
      <c r="E288" s="378"/>
      <c r="G288" s="371"/>
      <c r="H288" s="372"/>
    </row>
    <row r="289" spans="1:8" ht="12.75" customHeight="1" thickBot="1">
      <c r="A289" s="388" t="s">
        <v>674</v>
      </c>
      <c r="B289" s="387"/>
      <c r="C289" s="379">
        <f>SUM(C286:C288)</f>
        <v>3380000</v>
      </c>
      <c r="D289" s="380">
        <f>SUM(D286:D288)</f>
        <v>3348980.1589700002</v>
      </c>
      <c r="E289" s="381">
        <f>SUMPRODUCT(C286:C287,E286:E287)/(C286+C287)</f>
        <v>0.990822532239645</v>
      </c>
      <c r="G289" s="360">
        <f>SUMIF('[18]Loan List'!E:E,[18]Prices!A289,'[18]Loan List'!G:G)</f>
        <v>3371550</v>
      </c>
      <c r="H289" s="361">
        <f>G289-C289</f>
        <v>-8450</v>
      </c>
    </row>
    <row r="291" spans="1:8" ht="12.75" customHeight="1" thickBot="1"/>
    <row r="292" spans="1:8" ht="12.75" customHeight="1">
      <c r="B292" s="387"/>
      <c r="C292" s="368">
        <f>18000000-7075000-27312.5</f>
        <v>10897687.5</v>
      </c>
      <c r="D292" s="369">
        <f>C292*E295</f>
        <v>10815954.84375</v>
      </c>
      <c r="E292" s="370">
        <v>0.99250000000000005</v>
      </c>
      <c r="G292" s="371"/>
      <c r="H292" s="372"/>
    </row>
    <row r="293" spans="1:8" ht="12.75" customHeight="1">
      <c r="B293" s="387"/>
      <c r="C293" s="376"/>
      <c r="D293" s="377"/>
      <c r="E293" s="378"/>
      <c r="G293" s="371"/>
      <c r="H293" s="372"/>
    </row>
    <row r="294" spans="1:8" ht="12.75" customHeight="1">
      <c r="B294" s="387"/>
      <c r="C294" s="376"/>
      <c r="D294" s="377"/>
      <c r="E294" s="378"/>
      <c r="G294" s="371"/>
      <c r="H294" s="372"/>
    </row>
    <row r="295" spans="1:8" ht="12.75" customHeight="1" thickBot="1">
      <c r="A295" s="388" t="s">
        <v>678</v>
      </c>
      <c r="B295" s="387"/>
      <c r="C295" s="379">
        <f>SUM(C292:C294)</f>
        <v>10897687.5</v>
      </c>
      <c r="D295" s="380">
        <f>SUM(D292:D294)</f>
        <v>10815954.84375</v>
      </c>
      <c r="E295" s="381">
        <f>SUMPRODUCT(C292:C293,E292:E293)/(C292+C293)</f>
        <v>0.99250000000000005</v>
      </c>
      <c r="G295" s="360">
        <f>SUMIF('[18]Loan List'!E:E,[18]Prices!A295,'[18]Loan List'!G:G)</f>
        <v>5882906.3300000001</v>
      </c>
      <c r="H295" s="361">
        <f>G295-C295</f>
        <v>-5014781.17</v>
      </c>
    </row>
    <row r="297" spans="1:8" ht="12.75" customHeight="1" thickBot="1"/>
    <row r="298" spans="1:8" ht="12.75" customHeight="1">
      <c r="B298" s="387"/>
      <c r="C298" s="368">
        <f>18500000-8000000-26250-6500000</f>
        <v>3973750</v>
      </c>
      <c r="D298" s="369">
        <f>C298*E301</f>
        <v>3934012.5</v>
      </c>
      <c r="E298" s="420">
        <v>0.99</v>
      </c>
      <c r="G298" s="371"/>
      <c r="H298" s="372"/>
    </row>
    <row r="299" spans="1:8" ht="12.75" customHeight="1">
      <c r="B299" s="387"/>
      <c r="C299" s="376"/>
      <c r="D299" s="377"/>
      <c r="E299" s="378"/>
      <c r="G299" s="371"/>
      <c r="H299" s="372"/>
    </row>
    <row r="300" spans="1:8" ht="12.75" customHeight="1">
      <c r="B300" s="387"/>
      <c r="C300" s="376"/>
      <c r="D300" s="377"/>
      <c r="E300" s="378"/>
      <c r="G300" s="371"/>
      <c r="H300" s="372"/>
    </row>
    <row r="301" spans="1:8" ht="12.75" customHeight="1" thickBot="1">
      <c r="A301" s="388" t="s">
        <v>679</v>
      </c>
      <c r="B301" s="387"/>
      <c r="C301" s="379">
        <f>SUM(C298:C300)</f>
        <v>3973750</v>
      </c>
      <c r="D301" s="380">
        <f>SUM(D298:D300)</f>
        <v>3934012.5</v>
      </c>
      <c r="E301" s="381">
        <f>SUMPRODUCT(C298:C299,E298:E299)/(C298+C299)</f>
        <v>0.99</v>
      </c>
      <c r="G301" s="360">
        <f>SUMIF('[18]Loan List'!E:E,[18]Prices!A301,'[18]Loan List'!G:G)</f>
        <v>3963790.73</v>
      </c>
      <c r="H301" s="361">
        <f>G301-C301</f>
        <v>-9959.2700000000186</v>
      </c>
    </row>
    <row r="303" spans="1:8" ht="12.75" customHeight="1" thickBot="1"/>
    <row r="304" spans="1:8" ht="12.75" customHeight="1">
      <c r="B304" s="387"/>
      <c r="C304" s="368">
        <f>2089163.02-5222.9</f>
        <v>2083940.12</v>
      </c>
      <c r="D304" s="369">
        <f>C304*E307</f>
        <v>2042261.3176000002</v>
      </c>
      <c r="E304" s="370">
        <v>0.98</v>
      </c>
      <c r="G304" s="371"/>
      <c r="H304" s="372"/>
    </row>
    <row r="305" spans="1:8" ht="12.75" customHeight="1">
      <c r="B305" s="387"/>
      <c r="C305" s="376"/>
      <c r="D305" s="377"/>
      <c r="E305" s="378"/>
      <c r="G305" s="371"/>
      <c r="H305" s="372"/>
    </row>
    <row r="306" spans="1:8" ht="12.75" customHeight="1">
      <c r="B306" s="387"/>
      <c r="C306" s="376"/>
      <c r="D306" s="377"/>
      <c r="E306" s="378"/>
      <c r="G306" s="371"/>
      <c r="H306" s="372"/>
    </row>
    <row r="307" spans="1:8" ht="12.75" customHeight="1" thickBot="1">
      <c r="A307" s="388" t="s">
        <v>528</v>
      </c>
      <c r="B307" s="387"/>
      <c r="C307" s="379">
        <f>SUM(C304:C306)</f>
        <v>2083940.12</v>
      </c>
      <c r="D307" s="380">
        <f>SUM(D304:D306)</f>
        <v>2042261.3176000002</v>
      </c>
      <c r="E307" s="381">
        <f>SUMPRODUCT(C304:C305,E304:E305)/(C304+C305)</f>
        <v>0.98</v>
      </c>
      <c r="G307" s="360">
        <f>SUMIF('[18]Loan List'!E:E,[18]Prices!A307,'[18]Loan List'!G:G)</f>
        <v>6569983.6100000003</v>
      </c>
      <c r="H307" s="361">
        <f>G307-C307</f>
        <v>4486043.49</v>
      </c>
    </row>
    <row r="309" spans="1:8" ht="12.75" customHeight="1" thickBot="1"/>
    <row r="310" spans="1:8" ht="12.75" customHeight="1">
      <c r="B310" s="387"/>
      <c r="C310" s="368">
        <f>1862417-5876.899</f>
        <v>1856540.101</v>
      </c>
      <c r="D310" s="369">
        <f>C310*E313</f>
        <v>1819409.29898</v>
      </c>
      <c r="E310" s="370">
        <v>0.98</v>
      </c>
      <c r="G310" s="371"/>
      <c r="H310" s="372"/>
    </row>
    <row r="311" spans="1:8" ht="12.6" customHeight="1">
      <c r="B311" s="387"/>
      <c r="C311" s="376"/>
      <c r="D311" s="377"/>
      <c r="E311" s="378"/>
      <c r="G311" s="371"/>
      <c r="H311" s="372"/>
    </row>
    <row r="312" spans="1:8" ht="12.75" customHeight="1">
      <c r="B312" s="387"/>
      <c r="C312" s="376"/>
      <c r="D312" s="377"/>
      <c r="E312" s="378"/>
      <c r="G312" s="371"/>
      <c r="H312" s="372"/>
    </row>
    <row r="313" spans="1:8" ht="12.75" customHeight="1" thickBot="1">
      <c r="A313" s="388" t="s">
        <v>511</v>
      </c>
      <c r="B313" s="387"/>
      <c r="C313" s="379">
        <f>SUM(C310:C312)</f>
        <v>1856540.101</v>
      </c>
      <c r="D313" s="380">
        <f>SUM(D310:D312)</f>
        <v>1819409.29898</v>
      </c>
      <c r="E313" s="381">
        <f>SUMPRODUCT(C310:C311,E310:E311)/(C310+C311)</f>
        <v>0.98</v>
      </c>
      <c r="G313" s="360">
        <f>SUMIF('[18]Loan List'!E:E,[18]Prices!A313,'[18]Loan List'!G:G)</f>
        <v>6886239.5199999996</v>
      </c>
      <c r="H313" s="361">
        <f>G313-C313</f>
        <v>5029699.4189999998</v>
      </c>
    </row>
    <row r="315" spans="1:8" ht="12.75" customHeight="1" thickBot="1"/>
    <row r="316" spans="1:8" ht="12.75" customHeight="1">
      <c r="B316" s="387"/>
      <c r="C316" s="368">
        <v>3081062.6799999997</v>
      </c>
      <c r="D316" s="369">
        <f>C316*E319</f>
        <v>3081062.6799999997</v>
      </c>
      <c r="E316" s="370">
        <v>1</v>
      </c>
      <c r="G316" s="371"/>
      <c r="H316" s="372"/>
    </row>
    <row r="317" spans="1:8" ht="12.75" customHeight="1">
      <c r="B317" s="387"/>
      <c r="C317" s="376"/>
      <c r="D317" s="377"/>
      <c r="E317" s="378"/>
      <c r="G317" s="371"/>
      <c r="H317" s="372"/>
    </row>
    <row r="318" spans="1:8" ht="12.75" customHeight="1">
      <c r="B318" s="387"/>
      <c r="C318" s="376"/>
      <c r="D318" s="377"/>
      <c r="E318" s="378"/>
      <c r="G318" s="371"/>
      <c r="H318" s="372"/>
    </row>
    <row r="319" spans="1:8" ht="12.75" customHeight="1" thickBot="1">
      <c r="A319" s="388" t="s">
        <v>682</v>
      </c>
      <c r="B319" s="387"/>
      <c r="C319" s="379">
        <f>SUM(C316:C318)</f>
        <v>3081062.6799999997</v>
      </c>
      <c r="D319" s="380">
        <f>SUM(D316:D318)</f>
        <v>3081062.6799999997</v>
      </c>
      <c r="E319" s="381">
        <f>SUMPRODUCT(C316:C317,E316:E317)/(C316+C317)</f>
        <v>1</v>
      </c>
      <c r="G319" s="360">
        <f>SUMIF('[18]Loan List'!E:E,[18]Prices!A319,'[18]Loan List'!G:G)</f>
        <v>3073360.02</v>
      </c>
      <c r="H319" s="361">
        <f>G319-C319</f>
        <v>-7702.6599999996834</v>
      </c>
    </row>
    <row r="321" spans="1:8" ht="12.75" customHeight="1" thickBot="1"/>
    <row r="322" spans="1:8" ht="12.75" customHeight="1">
      <c r="B322" s="387"/>
      <c r="C322" s="368">
        <f>17152186.96-8000000-6500000.02</f>
        <v>2652186.9400000013</v>
      </c>
      <c r="D322" s="369">
        <f>C322*E325</f>
        <v>2625665.0706000011</v>
      </c>
      <c r="E322" s="370">
        <v>0.99</v>
      </c>
      <c r="G322" s="371"/>
      <c r="H322" s="372"/>
    </row>
    <row r="323" spans="1:8" ht="12.75" customHeight="1">
      <c r="B323" s="387"/>
      <c r="C323" s="376"/>
      <c r="D323" s="377"/>
      <c r="E323" s="378"/>
      <c r="G323" s="371"/>
      <c r="H323" s="372"/>
    </row>
    <row r="324" spans="1:8" ht="12.75" customHeight="1">
      <c r="B324" s="387"/>
      <c r="C324" s="376"/>
      <c r="D324" s="377"/>
      <c r="E324" s="378"/>
      <c r="G324" s="371"/>
      <c r="H324" s="372"/>
    </row>
    <row r="325" spans="1:8" ht="12.75" customHeight="1" thickBot="1">
      <c r="A325" s="388" t="s">
        <v>684</v>
      </c>
      <c r="B325" s="387"/>
      <c r="C325" s="379">
        <f>SUM(C322:C324)</f>
        <v>2652186.9400000013</v>
      </c>
      <c r="D325" s="380">
        <f>SUM(D322:D324)</f>
        <v>2625665.0706000011</v>
      </c>
      <c r="E325" s="381">
        <f>SUMPRODUCT(C322:C323,E322:E323)/(C322+C323)</f>
        <v>0.98999999999999988</v>
      </c>
      <c r="G325" s="360">
        <f>SUMIF('[18]Loan List'!E:E,[18]Prices!A325,'[18]Loan List'!G:G)</f>
        <v>2645556.4700000002</v>
      </c>
      <c r="H325" s="361">
        <f>G325-C325</f>
        <v>-6630.4700000011362</v>
      </c>
    </row>
    <row r="327" spans="1:8" ht="12.75" customHeight="1" thickBot="1"/>
    <row r="328" spans="1:8" ht="12.75" customHeight="1">
      <c r="B328" s="387"/>
      <c r="C328" s="368">
        <v>7100000</v>
      </c>
      <c r="D328" s="369">
        <f>C328*E331</f>
        <v>7029000</v>
      </c>
      <c r="E328" s="370">
        <v>0.99</v>
      </c>
      <c r="G328" s="371"/>
      <c r="H328" s="372"/>
    </row>
    <row r="329" spans="1:8" ht="12.75" customHeight="1">
      <c r="B329" s="387"/>
      <c r="C329" s="376"/>
      <c r="D329" s="377"/>
      <c r="E329" s="378"/>
      <c r="G329" s="371"/>
      <c r="H329" s="372"/>
    </row>
    <row r="330" spans="1:8" ht="12.75" customHeight="1">
      <c r="B330" s="387"/>
      <c r="C330" s="376"/>
      <c r="D330" s="377"/>
      <c r="E330" s="378"/>
      <c r="G330" s="371"/>
      <c r="H330" s="372"/>
    </row>
    <row r="331" spans="1:8" ht="12.75" customHeight="1" thickBot="1">
      <c r="A331" s="388" t="s">
        <v>645</v>
      </c>
      <c r="B331" s="387"/>
      <c r="C331" s="379">
        <f>SUM(C328:C330)</f>
        <v>7100000</v>
      </c>
      <c r="D331" s="380">
        <f>SUM(D328:D330)</f>
        <v>7029000</v>
      </c>
      <c r="E331" s="381">
        <f>SUMPRODUCT(C328:C329,E328:E329)/(C328+C329)</f>
        <v>0.99</v>
      </c>
      <c r="G331" s="360">
        <f>SUMIF('[18]Loan List'!E:E,[18]Prices!A331,'[18]Loan List'!G:G)</f>
        <v>7082250</v>
      </c>
      <c r="H331" s="361">
        <f>G331-C331</f>
        <v>-17750</v>
      </c>
    </row>
    <row r="332" spans="1:8" ht="12.75" customHeight="1" thickBot="1"/>
    <row r="333" spans="1:8" ht="12.75" customHeight="1">
      <c r="B333" s="387"/>
      <c r="C333" s="368">
        <f>11600000-2400000</f>
        <v>9200000</v>
      </c>
      <c r="D333" s="369">
        <f>C333*E336</f>
        <v>9108000</v>
      </c>
      <c r="E333" s="370">
        <v>0.99</v>
      </c>
      <c r="G333" s="371"/>
      <c r="H333" s="372"/>
    </row>
    <row r="334" spans="1:8" ht="12.75" customHeight="1">
      <c r="B334" s="387"/>
      <c r="C334" s="376"/>
      <c r="D334" s="377"/>
      <c r="E334" s="378"/>
      <c r="G334" s="371"/>
      <c r="H334" s="372"/>
    </row>
    <row r="335" spans="1:8" ht="12.75" customHeight="1">
      <c r="B335" s="387"/>
      <c r="C335" s="376"/>
      <c r="D335" s="377"/>
      <c r="E335" s="378"/>
      <c r="G335" s="371"/>
      <c r="H335" s="372"/>
    </row>
    <row r="336" spans="1:8" ht="12.75" customHeight="1" thickBot="1">
      <c r="A336" s="388" t="s">
        <v>691</v>
      </c>
      <c r="B336" s="387"/>
      <c r="C336" s="379">
        <f>SUM(C333:C335)</f>
        <v>9200000</v>
      </c>
      <c r="D336" s="380">
        <f>SUM(D333:D335)</f>
        <v>9108000</v>
      </c>
      <c r="E336" s="381">
        <f>SUMPRODUCT(C333:C334,E333:E334)/(C333+C334)</f>
        <v>0.99</v>
      </c>
      <c r="G336" s="360">
        <f>SUMIF('[18]Loan List'!E:E,[18]Prices!A336,'[18]Loan List'!G:G)</f>
        <v>9177000</v>
      </c>
      <c r="H336" s="361">
        <f>G336-C336</f>
        <v>-23000</v>
      </c>
    </row>
    <row r="337" spans="1:10" ht="12.75" customHeight="1" thickBot="1"/>
    <row r="338" spans="1:10" ht="12.75" customHeight="1" thickBot="1">
      <c r="B338" s="387"/>
      <c r="C338" s="368">
        <v>12817389.199999999</v>
      </c>
      <c r="D338" s="369">
        <f>C338*E341</f>
        <v>12783265.153700341</v>
      </c>
      <c r="E338" s="370">
        <v>0.99750000000000005</v>
      </c>
      <c r="G338" s="371"/>
      <c r="H338" s="372"/>
    </row>
    <row r="339" spans="1:10" ht="12.75" customHeight="1">
      <c r="B339" s="387"/>
      <c r="C339" s="376">
        <v>283546.64</v>
      </c>
      <c r="D339" s="369">
        <f>C339*E341</f>
        <v>282791.74689965841</v>
      </c>
      <c r="E339" s="378">
        <v>0.99</v>
      </c>
      <c r="G339" s="371"/>
      <c r="H339" s="372"/>
    </row>
    <row r="340" spans="1:10" ht="12.75" customHeight="1">
      <c r="B340" s="387"/>
      <c r="C340" s="376"/>
      <c r="D340" s="377"/>
      <c r="E340" s="378"/>
      <c r="G340" s="371"/>
      <c r="H340" s="372"/>
    </row>
    <row r="341" spans="1:10" ht="12.75" customHeight="1" thickBot="1">
      <c r="A341" s="388" t="s">
        <v>566</v>
      </c>
      <c r="B341" s="387"/>
      <c r="C341" s="379">
        <f>SUM(C338:C340)</f>
        <v>13100935.84</v>
      </c>
      <c r="D341" s="380">
        <f>SUM(D338:D340)</f>
        <v>13066056.900599999</v>
      </c>
      <c r="E341" s="381">
        <f>SUMPRODUCT(C338:C339,E338:E339)/(C338+C339)</f>
        <v>0.9973376757335527</v>
      </c>
      <c r="G341" s="360">
        <f>SUMIF('[18]Loan List'!E:E,[18]Prices!A341,'[18]Loan List'!G:G)</f>
        <v>26818060.030000001</v>
      </c>
      <c r="H341" s="361">
        <f>G341-C341</f>
        <v>13717124.190000001</v>
      </c>
    </row>
    <row r="342" spans="1:10" ht="12.75" customHeight="1" thickBot="1"/>
    <row r="343" spans="1:10" ht="12.75" customHeight="1">
      <c r="B343" s="387"/>
      <c r="C343" s="368">
        <v>25111100</v>
      </c>
      <c r="D343" s="369">
        <f>C343*E346</f>
        <v>24985544.5</v>
      </c>
      <c r="E343" s="370">
        <v>0.995</v>
      </c>
      <c r="G343" s="371"/>
      <c r="H343" s="372"/>
    </row>
    <row r="344" spans="1:10" ht="12.75" customHeight="1">
      <c r="B344" s="387"/>
      <c r="C344" s="376"/>
      <c r="D344" s="377"/>
      <c r="E344" s="378"/>
      <c r="G344" s="371"/>
      <c r="H344" s="372"/>
    </row>
    <row r="345" spans="1:10" ht="12.75" customHeight="1">
      <c r="B345" s="387"/>
      <c r="C345" s="376"/>
      <c r="D345" s="377"/>
      <c r="E345" s="378"/>
      <c r="G345" s="371"/>
      <c r="H345" s="372"/>
    </row>
    <row r="346" spans="1:10" ht="12.75" customHeight="1" thickBot="1">
      <c r="A346" s="388" t="s">
        <v>694</v>
      </c>
      <c r="B346" s="387"/>
      <c r="C346" s="379">
        <f>SUM(C343:C345)</f>
        <v>25111100</v>
      </c>
      <c r="D346" s="380">
        <f>SUM(D343:D345)</f>
        <v>24985544.5</v>
      </c>
      <c r="E346" s="381">
        <f>SUMPRODUCT(C343:C344,E343:E344)/(C343+C344)</f>
        <v>0.995</v>
      </c>
      <c r="G346" s="360">
        <f>SUMIF('[18]Loan List'!E:E,[18]Prices!A346,'[18]Loan List'!G:G)</f>
        <v>25111100</v>
      </c>
      <c r="H346" s="361">
        <f>G346-C346</f>
        <v>0</v>
      </c>
    </row>
    <row r="347" spans="1:10" ht="12.75" customHeight="1" thickBot="1"/>
    <row r="348" spans="1:10" ht="12.75" customHeight="1">
      <c r="C348" s="368">
        <f>7076188.84-83249.28</f>
        <v>6992939.5599999996</v>
      </c>
      <c r="D348" s="369">
        <f>C348*E351</f>
        <v>6992939.5599999996</v>
      </c>
      <c r="E348" s="370">
        <v>1</v>
      </c>
      <c r="G348" s="371"/>
      <c r="H348" s="372"/>
      <c r="J348" s="372"/>
    </row>
    <row r="349" spans="1:10" ht="12.75" customHeight="1">
      <c r="C349" s="376"/>
      <c r="D349" s="377">
        <f>C349*E351</f>
        <v>0</v>
      </c>
      <c r="E349" s="378"/>
      <c r="G349" s="371"/>
      <c r="H349" s="372"/>
      <c r="J349" s="372"/>
    </row>
    <row r="350" spans="1:10" ht="12.75" customHeight="1">
      <c r="C350" s="376"/>
      <c r="D350" s="377">
        <f>C350*E351</f>
        <v>0</v>
      </c>
      <c r="E350" s="378"/>
      <c r="G350" s="371"/>
      <c r="H350" s="372"/>
      <c r="J350" s="372"/>
    </row>
    <row r="351" spans="1:10" ht="12.75" customHeight="1" thickBot="1">
      <c r="A351" s="361" t="s">
        <v>697</v>
      </c>
      <c r="C351" s="379">
        <f>SUM(C348:C350)</f>
        <v>6992939.5599999996</v>
      </c>
      <c r="D351" s="380">
        <f>SUM(D348:D350)</f>
        <v>6992939.5599999996</v>
      </c>
      <c r="E351" s="381">
        <f>SUMPRODUCT(C348:C350,E348:E350)/(C348+C349+C350)</f>
        <v>1</v>
      </c>
      <c r="G351" s="360">
        <f>SUMIF('[18]Loan List'!E:E,[18]Prices!A351,'[18]Loan List'!G:G)</f>
        <v>6992939.5600000005</v>
      </c>
      <c r="H351" s="361">
        <f>G351-C351</f>
        <v>0</v>
      </c>
    </row>
    <row r="352" spans="1:10" ht="12.75" customHeight="1" thickBot="1"/>
    <row r="353" spans="1:8" ht="12.75" customHeight="1">
      <c r="C353" s="368">
        <v>4258529.6900000004</v>
      </c>
      <c r="D353" s="369">
        <f>C353*E356</f>
        <v>4216605.7427608576</v>
      </c>
      <c r="E353" s="370">
        <v>0.99015529999999996</v>
      </c>
      <c r="G353" s="371"/>
      <c r="H353" s="372"/>
    </row>
    <row r="354" spans="1:8" ht="12.75" customHeight="1">
      <c r="C354" s="376"/>
      <c r="D354" s="377">
        <f>C354*E356</f>
        <v>0</v>
      </c>
      <c r="E354" s="378"/>
      <c r="G354" s="371"/>
      <c r="H354" s="372"/>
    </row>
    <row r="355" spans="1:8" ht="12.75" customHeight="1">
      <c r="C355" s="376"/>
      <c r="D355" s="377">
        <f>C355*E356</f>
        <v>0</v>
      </c>
      <c r="E355" s="378"/>
      <c r="G355" s="371"/>
      <c r="H355" s="372"/>
    </row>
    <row r="356" spans="1:8" ht="12.75" customHeight="1" thickBot="1">
      <c r="A356" s="361" t="s">
        <v>625</v>
      </c>
      <c r="C356" s="379">
        <f>SUM(C353:C355)</f>
        <v>4258529.6900000004</v>
      </c>
      <c r="D356" s="380">
        <f>SUM(D353:D355)</f>
        <v>4216605.7427608576</v>
      </c>
      <c r="E356" s="381">
        <f>SUMPRODUCT(C353:C355,E353:E355)/(C353+C354+C355)</f>
        <v>0.99015530000000007</v>
      </c>
      <c r="G356" s="360">
        <f>SUMIF('[18]Loan List'!E:E,[18]Prices!A356,'[18]Loan List'!G:G)</f>
        <v>4247877.1100000003</v>
      </c>
      <c r="H356" s="361">
        <f>G356-C356</f>
        <v>-10652.580000000075</v>
      </c>
    </row>
    <row r="357" spans="1:8" ht="12.75" customHeight="1" thickBot="1"/>
    <row r="358" spans="1:8" ht="12.75" customHeight="1">
      <c r="C358" s="368">
        <v>10933366.67</v>
      </c>
      <c r="D358" s="369">
        <f>C358*E361</f>
        <v>10878699.836649999</v>
      </c>
      <c r="E358" s="370">
        <v>0.995</v>
      </c>
      <c r="G358" s="371"/>
      <c r="H358" s="372"/>
    </row>
    <row r="359" spans="1:8" ht="12.75" customHeight="1">
      <c r="C359" s="376"/>
      <c r="D359" s="377">
        <f>C359*E361</f>
        <v>0</v>
      </c>
      <c r="E359" s="378"/>
      <c r="G359" s="371"/>
      <c r="H359" s="372"/>
    </row>
    <row r="360" spans="1:8" ht="12.75" customHeight="1">
      <c r="C360" s="376"/>
      <c r="D360" s="377">
        <f>C360*E361</f>
        <v>0</v>
      </c>
      <c r="E360" s="378"/>
      <c r="G360" s="371"/>
      <c r="H360" s="372"/>
    </row>
    <row r="361" spans="1:8" ht="12.75" customHeight="1" thickBot="1">
      <c r="A361" s="361" t="s">
        <v>699</v>
      </c>
      <c r="C361" s="379">
        <f>SUM(C358:C360)</f>
        <v>10933366.67</v>
      </c>
      <c r="D361" s="380">
        <f>SUM(D358:D360)</f>
        <v>10878699.836649999</v>
      </c>
      <c r="E361" s="381">
        <f>SUMPRODUCT(C358:C360,E358:E360)/(C358+C359+C360)</f>
        <v>0.99499999999999988</v>
      </c>
      <c r="G361" s="360">
        <f>SUMIF('[18]Loan List'!E:E,[18]Prices!A361,'[18]Loan List'!G:G)</f>
        <v>10933366.67</v>
      </c>
      <c r="H361" s="361">
        <f>G361-C361</f>
        <v>0</v>
      </c>
    </row>
    <row r="362" spans="1:8" ht="12.75" customHeight="1" thickBot="1"/>
    <row r="363" spans="1:8" ht="12.75" customHeight="1">
      <c r="C363" s="368">
        <v>7500000</v>
      </c>
      <c r="D363" s="369">
        <f>C363*E366</f>
        <v>7425000</v>
      </c>
      <c r="E363" s="370">
        <v>0.99</v>
      </c>
      <c r="G363" s="371"/>
      <c r="H363" s="372"/>
    </row>
    <row r="364" spans="1:8" ht="12.75" customHeight="1">
      <c r="C364" s="376"/>
      <c r="D364" s="377">
        <f>C364*E366</f>
        <v>0</v>
      </c>
      <c r="E364" s="378"/>
      <c r="G364" s="371"/>
      <c r="H364" s="372"/>
    </row>
    <row r="365" spans="1:8" ht="12.75" customHeight="1">
      <c r="C365" s="376"/>
      <c r="D365" s="377">
        <f>C365*E366</f>
        <v>0</v>
      </c>
      <c r="E365" s="378"/>
      <c r="G365" s="371"/>
      <c r="H365" s="372"/>
    </row>
    <row r="366" spans="1:8" ht="12.75" customHeight="1" thickBot="1">
      <c r="A366" s="361" t="s">
        <v>701</v>
      </c>
      <c r="C366" s="379">
        <f>SUM(C363:C365)</f>
        <v>7500000</v>
      </c>
      <c r="D366" s="380">
        <f>SUM(D363:D365)</f>
        <v>7425000</v>
      </c>
      <c r="E366" s="381">
        <f>SUMPRODUCT(C363:C365,E363:E365)/(C363+C364+C365)</f>
        <v>0.99</v>
      </c>
      <c r="G366" s="360">
        <f>SUMIF('[18]Loan List'!E:E,[18]Prices!A366,'[18]Loan List'!G:G)</f>
        <v>7500000</v>
      </c>
      <c r="H366" s="361">
        <f>G366-C366</f>
        <v>0</v>
      </c>
    </row>
    <row r="367" spans="1:8" ht="12.75" customHeight="1" thickBot="1"/>
    <row r="368" spans="1:8" ht="12.75" customHeight="1">
      <c r="C368" s="368">
        <v>25000000</v>
      </c>
      <c r="D368" s="369">
        <f>C368*E371</f>
        <v>24812500</v>
      </c>
      <c r="E368" s="370">
        <v>0.99250000000000005</v>
      </c>
      <c r="G368" s="371"/>
      <c r="H368" s="372"/>
    </row>
    <row r="369" spans="1:8" ht="12.75" customHeight="1">
      <c r="C369" s="376"/>
      <c r="D369" s="377">
        <f>C369*E371</f>
        <v>0</v>
      </c>
      <c r="E369" s="378"/>
      <c r="G369" s="371"/>
      <c r="H369" s="372"/>
    </row>
    <row r="370" spans="1:8" ht="12.75" customHeight="1">
      <c r="C370" s="376"/>
      <c r="D370" s="377">
        <f>C370*E371</f>
        <v>0</v>
      </c>
      <c r="E370" s="378"/>
      <c r="G370" s="371"/>
      <c r="H370" s="372"/>
    </row>
    <row r="371" spans="1:8" ht="12.75" customHeight="1" thickBot="1">
      <c r="A371" s="361" t="s">
        <v>702</v>
      </c>
      <c r="C371" s="379">
        <f>SUM(C368:C370)</f>
        <v>25000000</v>
      </c>
      <c r="D371" s="380">
        <f>SUM(D368:D370)</f>
        <v>24812500</v>
      </c>
      <c r="E371" s="381">
        <f>SUMPRODUCT(C368:C370,E368:E370)/(C368+C369+C370)</f>
        <v>0.99250000000000005</v>
      </c>
      <c r="G371" s="360">
        <f>SUMIF('[18]Loan List'!E:E,[18]Prices!A371,'[18]Loan List'!G:G)</f>
        <v>25000000</v>
      </c>
      <c r="H371" s="361">
        <f>G371-C371</f>
        <v>0</v>
      </c>
    </row>
    <row r="372" spans="1:8" ht="12.75" customHeight="1" thickBot="1"/>
    <row r="373" spans="1:8" ht="12.75" customHeight="1">
      <c r="C373" s="368">
        <v>8000000</v>
      </c>
      <c r="D373" s="369">
        <f>C373*E376</f>
        <v>7940000</v>
      </c>
      <c r="E373" s="370">
        <v>0.99250000000000005</v>
      </c>
      <c r="G373" s="371"/>
      <c r="H373" s="372"/>
    </row>
    <row r="374" spans="1:8" ht="12.75" customHeight="1">
      <c r="C374" s="376"/>
      <c r="D374" s="377">
        <f>C374*E376</f>
        <v>0</v>
      </c>
      <c r="E374" s="378"/>
      <c r="G374" s="371"/>
      <c r="H374" s="372"/>
    </row>
    <row r="375" spans="1:8" ht="12.75" customHeight="1">
      <c r="C375" s="376"/>
      <c r="D375" s="377">
        <f>C375*E376</f>
        <v>0</v>
      </c>
      <c r="E375" s="378"/>
      <c r="G375" s="371"/>
      <c r="H375" s="372"/>
    </row>
    <row r="376" spans="1:8" ht="12.75" customHeight="1" thickBot="1">
      <c r="A376" s="361" t="s">
        <v>703</v>
      </c>
      <c r="C376" s="379">
        <f>SUM(C373:C375)</f>
        <v>8000000</v>
      </c>
      <c r="D376" s="380">
        <f>SUM(D373:D375)</f>
        <v>7940000</v>
      </c>
      <c r="E376" s="381">
        <f>SUMPRODUCT(C373:C375,E373:E375)/(C373+C374+C375)</f>
        <v>0.99250000000000005</v>
      </c>
      <c r="G376" s="360">
        <f>SUMIF('[18]Loan List'!E:E,[18]Prices!A376,'[18]Loan List'!G:G)</f>
        <v>8000000</v>
      </c>
      <c r="H376" s="361">
        <f>G376-C376</f>
        <v>0</v>
      </c>
    </row>
    <row r="377" spans="1:8" ht="12.75" customHeight="1" thickBot="1"/>
    <row r="378" spans="1:8" ht="12.75" customHeight="1">
      <c r="C378" s="368">
        <v>20000000</v>
      </c>
      <c r="D378" s="369">
        <f>C378*E381</f>
        <v>19900000</v>
      </c>
      <c r="E378" s="370">
        <v>0.995</v>
      </c>
      <c r="G378" s="371"/>
      <c r="H378" s="372"/>
    </row>
    <row r="379" spans="1:8" ht="12.75" customHeight="1">
      <c r="C379" s="376"/>
      <c r="D379" s="377">
        <f>C379*E381</f>
        <v>0</v>
      </c>
      <c r="E379" s="378"/>
      <c r="G379" s="371"/>
      <c r="H379" s="372"/>
    </row>
    <row r="380" spans="1:8" ht="12.75" customHeight="1">
      <c r="C380" s="376"/>
      <c r="D380" s="377">
        <f>C380*E381</f>
        <v>0</v>
      </c>
      <c r="E380" s="378"/>
      <c r="G380" s="371"/>
      <c r="H380" s="372"/>
    </row>
    <row r="381" spans="1:8" ht="12.75" customHeight="1" thickBot="1">
      <c r="A381" s="361" t="s">
        <v>710</v>
      </c>
      <c r="C381" s="379">
        <f>SUM(C378:C380)</f>
        <v>20000000</v>
      </c>
      <c r="D381" s="380">
        <f>SUM(D378:D380)</f>
        <v>19900000</v>
      </c>
      <c r="E381" s="381">
        <f>SUMPRODUCT(C378:C380,E378:E380)/(C378+C379+C380)</f>
        <v>0.995</v>
      </c>
      <c r="G381" s="360">
        <f>SUMIF('[18]Loan List'!E:E,[18]Prices!A381,'[18]Loan List'!G:G)</f>
        <v>20000000</v>
      </c>
      <c r="H381" s="361">
        <f>G381-C381</f>
        <v>0</v>
      </c>
    </row>
    <row r="382" spans="1:8" ht="12.75" customHeight="1" thickBot="1"/>
    <row r="383" spans="1:8" ht="12.75" customHeight="1">
      <c r="C383" s="368">
        <v>8250412.0300000003</v>
      </c>
      <c r="D383" s="369">
        <f>C383*E386</f>
        <v>8182923.1001564246</v>
      </c>
      <c r="E383" s="370">
        <v>0.98750000000000004</v>
      </c>
      <c r="G383" s="371"/>
      <c r="H383" s="372"/>
    </row>
    <row r="384" spans="1:8" ht="12.75" customHeight="1">
      <c r="C384" s="376">
        <v>18000000</v>
      </c>
      <c r="D384" s="377">
        <f>C384*E386</f>
        <v>17852758.779468574</v>
      </c>
      <c r="E384" s="378">
        <v>0.99380000000000002</v>
      </c>
      <c r="G384" s="371"/>
      <c r="H384" s="372"/>
    </row>
    <row r="385" spans="1:8" ht="12.75" customHeight="1">
      <c r="C385" s="376"/>
      <c r="D385" s="377">
        <f>C385*E386</f>
        <v>0</v>
      </c>
      <c r="E385" s="378"/>
      <c r="G385" s="371"/>
      <c r="H385" s="372"/>
    </row>
    <row r="386" spans="1:8" ht="12.75" customHeight="1" thickBot="1">
      <c r="A386" s="361" t="s">
        <v>709</v>
      </c>
      <c r="C386" s="379">
        <f>SUM(C383:C385)</f>
        <v>26250412.030000001</v>
      </c>
      <c r="D386" s="380">
        <f>SUM(D383:D385)</f>
        <v>26035681.879625</v>
      </c>
      <c r="E386" s="381">
        <f>SUMPRODUCT(C383:C385,E383:E385)/(C383+C384+C385)</f>
        <v>0.99181993219269859</v>
      </c>
      <c r="G386" s="360">
        <f>SUMIF('[18]Loan List'!E:E,[18]Prices!A386,'[18]Loan List'!G:G)</f>
        <v>18000000</v>
      </c>
      <c r="H386" s="361">
        <f>G386-C386</f>
        <v>-8250412.0300000012</v>
      </c>
    </row>
    <row r="387" spans="1:8" ht="12.75" customHeight="1" thickBot="1"/>
    <row r="388" spans="1:8" ht="12.75" customHeight="1">
      <c r="C388" s="368">
        <v>3661073.93</v>
      </c>
      <c r="D388" s="369">
        <f>C388*E391</f>
        <v>3601764.5323340003</v>
      </c>
      <c r="E388" s="370">
        <v>0.98380000000000001</v>
      </c>
      <c r="G388" s="371"/>
      <c r="H388" s="372"/>
    </row>
    <row r="389" spans="1:8" ht="12.75" customHeight="1">
      <c r="C389" s="376"/>
      <c r="D389" s="377">
        <f>C389*E391</f>
        <v>0</v>
      </c>
      <c r="E389" s="378"/>
      <c r="G389" s="371"/>
      <c r="H389" s="372"/>
    </row>
    <row r="390" spans="1:8" ht="12.75" customHeight="1">
      <c r="C390" s="376"/>
      <c r="D390" s="377">
        <f>C390*E391</f>
        <v>0</v>
      </c>
      <c r="E390" s="378"/>
      <c r="G390" s="371"/>
      <c r="H390" s="372"/>
    </row>
    <row r="391" spans="1:8" ht="12.75" customHeight="1" thickBot="1">
      <c r="A391" s="361" t="s">
        <v>605</v>
      </c>
      <c r="C391" s="379">
        <f>SUM(C388:C390)</f>
        <v>3661073.93</v>
      </c>
      <c r="D391" s="380">
        <f>SUM(D388:D390)</f>
        <v>3601764.5323340003</v>
      </c>
      <c r="E391" s="381">
        <f>SUMPRODUCT(C388:C390,E388:E390)/(C388+C389+C390)</f>
        <v>0.98380000000000001</v>
      </c>
      <c r="G391" s="360">
        <f>SUMIF('[18]Loan List'!E:E,[18]Prices!A391,'[18]Loan List'!G:G)</f>
        <v>13171771.859999999</v>
      </c>
      <c r="H391" s="361">
        <f>G391-C391</f>
        <v>9510697.9299999997</v>
      </c>
    </row>
    <row r="392" spans="1:8" ht="12.75" customHeight="1" thickBot="1"/>
    <row r="393" spans="1:8" ht="12.75" customHeight="1">
      <c r="C393" s="368">
        <v>5000000</v>
      </c>
      <c r="D393" s="369">
        <f>C393*E396</f>
        <v>4950000</v>
      </c>
      <c r="E393" s="370">
        <v>0.99</v>
      </c>
      <c r="G393" s="371"/>
      <c r="H393" s="372"/>
    </row>
    <row r="394" spans="1:8" ht="12.75" customHeight="1">
      <c r="C394" s="376"/>
      <c r="D394" s="377">
        <f>C394*E396</f>
        <v>0</v>
      </c>
      <c r="E394" s="378"/>
      <c r="G394" s="371"/>
      <c r="H394" s="372"/>
    </row>
    <row r="395" spans="1:8" ht="12.75" customHeight="1">
      <c r="C395" s="376"/>
      <c r="D395" s="377">
        <f>C395*E396</f>
        <v>0</v>
      </c>
      <c r="E395" s="378"/>
      <c r="G395" s="371"/>
      <c r="H395" s="372"/>
    </row>
    <row r="396" spans="1:8" ht="12.75" customHeight="1" thickBot="1">
      <c r="A396" s="361" t="s">
        <v>808</v>
      </c>
      <c r="C396" s="379">
        <f>SUM(C393:C395)</f>
        <v>5000000</v>
      </c>
      <c r="D396" s="380">
        <f>SUM(D393:D395)</f>
        <v>4950000</v>
      </c>
      <c r="E396" s="381">
        <f>SUMPRODUCT(C393:C395,E393:E395)/(C393+C394+C395)</f>
        <v>0.99</v>
      </c>
      <c r="G396" s="360">
        <f>SUMIF('[18]Loan List'!E:E,[18]Prices!A396,'[18]Loan List'!G:G)</f>
        <v>5000000</v>
      </c>
      <c r="H396" s="361">
        <f>G396-C396</f>
        <v>0</v>
      </c>
    </row>
    <row r="397" spans="1:8" ht="12.75" customHeight="1" thickBot="1"/>
    <row r="398" spans="1:8" ht="12.75" customHeight="1">
      <c r="C398" s="368">
        <v>8152927.54</v>
      </c>
      <c r="D398" s="369">
        <f>C398*E401</f>
        <v>8112162.9023000002</v>
      </c>
      <c r="E398" s="370">
        <v>0.995</v>
      </c>
      <c r="G398" s="371"/>
      <c r="H398" s="372"/>
    </row>
    <row r="399" spans="1:8" ht="12.75" customHeight="1">
      <c r="C399" s="376"/>
      <c r="D399" s="377">
        <f>C399*E401</f>
        <v>0</v>
      </c>
      <c r="E399" s="378"/>
      <c r="G399" s="371"/>
      <c r="H399" s="372"/>
    </row>
    <row r="400" spans="1:8" ht="12.75" customHeight="1">
      <c r="C400" s="376"/>
      <c r="D400" s="377">
        <f>C400*E401</f>
        <v>0</v>
      </c>
      <c r="E400" s="378"/>
      <c r="G400" s="371"/>
      <c r="H400" s="372"/>
    </row>
    <row r="401" spans="1:8" ht="12.75" customHeight="1" thickBot="1">
      <c r="A401" s="361" t="s">
        <v>823</v>
      </c>
      <c r="C401" s="379">
        <f>SUM(C398:C400)</f>
        <v>8152927.54</v>
      </c>
      <c r="D401" s="380">
        <f>SUM(D398:D400)</f>
        <v>8112162.9023000002</v>
      </c>
      <c r="E401" s="381">
        <f>SUMPRODUCT(C398:C400,E398:E400)/(C398+C399+C400)</f>
        <v>0.995</v>
      </c>
      <c r="G401" s="360">
        <f>SUMIF('[18]Loan List'!E:E,[18]Prices!A401,'[18]Loan List'!G:G)</f>
        <v>8152927.54</v>
      </c>
      <c r="H401" s="361">
        <f>G401-C401</f>
        <v>0</v>
      </c>
    </row>
    <row r="402" spans="1:8" ht="12.75" customHeight="1" thickBot="1"/>
    <row r="403" spans="1:8" ht="12.75" customHeight="1">
      <c r="C403" s="368">
        <v>8000000</v>
      </c>
      <c r="D403" s="369">
        <f>C403*E406</f>
        <v>7920000</v>
      </c>
      <c r="E403" s="370">
        <v>0.99</v>
      </c>
      <c r="G403" s="371"/>
      <c r="H403" s="372"/>
    </row>
    <row r="404" spans="1:8" ht="12.75" customHeight="1">
      <c r="C404" s="376"/>
      <c r="D404" s="377">
        <f>C404*E406</f>
        <v>0</v>
      </c>
      <c r="E404" s="378"/>
      <c r="G404" s="371"/>
      <c r="H404" s="372"/>
    </row>
    <row r="405" spans="1:8" ht="12.75" customHeight="1">
      <c r="C405" s="376"/>
      <c r="D405" s="377">
        <f>C405*E406</f>
        <v>0</v>
      </c>
      <c r="E405" s="378"/>
      <c r="G405" s="371"/>
      <c r="H405" s="372"/>
    </row>
    <row r="406" spans="1:8" ht="12.75" customHeight="1" thickBot="1">
      <c r="A406" s="361" t="s">
        <v>842</v>
      </c>
      <c r="C406" s="379">
        <f>SUM(C403:C405)</f>
        <v>8000000</v>
      </c>
      <c r="D406" s="380">
        <f>SUM(D403:D405)</f>
        <v>7920000</v>
      </c>
      <c r="E406" s="381">
        <f>SUMPRODUCT(C403:C405,E403:E405)/(C403+C404+C405)</f>
        <v>0.99</v>
      </c>
      <c r="G406" s="360">
        <f>SUMIF('[18]Loan List'!E:E,[18]Prices!A406,'[18]Loan List'!G:G)</f>
        <v>8000000</v>
      </c>
      <c r="H406" s="361">
        <f>G406-C406</f>
        <v>0</v>
      </c>
    </row>
    <row r="407" spans="1:8" ht="12.75" customHeight="1" thickBot="1"/>
    <row r="408" spans="1:8" ht="12.75" customHeight="1">
      <c r="C408" s="368">
        <v>458015.27</v>
      </c>
      <c r="D408" s="369">
        <f>C408*E411</f>
        <v>458015.27</v>
      </c>
      <c r="E408" s="370">
        <v>1</v>
      </c>
      <c r="G408" s="371"/>
      <c r="H408" s="372"/>
    </row>
    <row r="409" spans="1:8" ht="12.75" customHeight="1">
      <c r="C409" s="376"/>
      <c r="D409" s="377">
        <f>C409*E411</f>
        <v>0</v>
      </c>
      <c r="E409" s="378"/>
      <c r="G409" s="371"/>
      <c r="H409" s="372"/>
    </row>
    <row r="410" spans="1:8" ht="12.75" customHeight="1">
      <c r="C410" s="376"/>
      <c r="D410" s="377">
        <f>C410*E411</f>
        <v>0</v>
      </c>
      <c r="E410" s="378"/>
      <c r="G410" s="371"/>
      <c r="H410" s="372"/>
    </row>
    <row r="411" spans="1:8" ht="12.75" customHeight="1" thickBot="1">
      <c r="A411" s="361" t="s">
        <v>804</v>
      </c>
      <c r="C411" s="379">
        <f>SUM(C408:C410)</f>
        <v>458015.27</v>
      </c>
      <c r="D411" s="380">
        <f>SUM(D408:D410)</f>
        <v>458015.27</v>
      </c>
      <c r="E411" s="381">
        <f>SUMPRODUCT(C408:C410,E408:E410)/(C408+C409+C410)</f>
        <v>1</v>
      </c>
      <c r="G411" s="360">
        <f>SUMIF('[18]Loan List'!E:E,[18]Prices!A411,'[18]Loan List'!G:G)</f>
        <v>1984732.82</v>
      </c>
      <c r="H411" s="361">
        <f>G411-C411</f>
        <v>1526717.55</v>
      </c>
    </row>
    <row r="412" spans="1:8" ht="12.75" customHeight="1" thickBot="1"/>
    <row r="413" spans="1:8" ht="12.75" customHeight="1">
      <c r="C413" s="368">
        <v>229012.11</v>
      </c>
      <c r="D413" s="369">
        <f>C413*E416</f>
        <v>226149.458625</v>
      </c>
      <c r="E413" s="370">
        <v>0.98750000000000004</v>
      </c>
      <c r="G413" s="371"/>
      <c r="H413" s="372"/>
    </row>
    <row r="414" spans="1:8" ht="12.75" customHeight="1">
      <c r="C414" s="376"/>
      <c r="D414" s="377">
        <f>C414*E416</f>
        <v>0</v>
      </c>
      <c r="E414" s="378"/>
      <c r="G414" s="371"/>
      <c r="H414" s="372"/>
    </row>
    <row r="415" spans="1:8" ht="12.75" customHeight="1">
      <c r="C415" s="376"/>
      <c r="D415" s="377">
        <f>C415*E416</f>
        <v>0</v>
      </c>
      <c r="E415" s="378"/>
      <c r="G415" s="371"/>
      <c r="H415" s="372"/>
    </row>
    <row r="416" spans="1:8" ht="12.75" customHeight="1" thickBot="1">
      <c r="A416" s="361" t="s">
        <v>807</v>
      </c>
      <c r="C416" s="379">
        <f>SUM(C413:C415)</f>
        <v>229012.11</v>
      </c>
      <c r="D416" s="380">
        <f>SUM(D413:D415)</f>
        <v>226149.458625</v>
      </c>
      <c r="E416" s="381">
        <f>SUMPRODUCT(C413:C415,E413:E415)/(C413+C414+C415)</f>
        <v>0.98750000000000004</v>
      </c>
      <c r="G416" s="360">
        <f>SUMIF('[18]Loan List'!E:E,[18]Prices!A416,'[18]Loan List'!G:G)</f>
        <v>992386</v>
      </c>
      <c r="H416" s="361">
        <f>G416-C416</f>
        <v>763373.89</v>
      </c>
    </row>
    <row r="417" spans="1:8" ht="12.75" customHeight="1" thickBot="1"/>
    <row r="418" spans="1:8" ht="12.75" customHeight="1">
      <c r="C418" s="368">
        <v>1107692.31</v>
      </c>
      <c r="D418" s="369">
        <f>C418*E421</f>
        <v>1107692.31</v>
      </c>
      <c r="E418" s="370">
        <v>1</v>
      </c>
      <c r="G418" s="371"/>
      <c r="H418" s="372"/>
    </row>
    <row r="419" spans="1:8" ht="12.75" customHeight="1">
      <c r="C419" s="376"/>
      <c r="D419" s="377">
        <f>C419*E421</f>
        <v>0</v>
      </c>
      <c r="E419" s="378"/>
      <c r="G419" s="371"/>
      <c r="H419" s="372"/>
    </row>
    <row r="420" spans="1:8" ht="12.75" customHeight="1">
      <c r="C420" s="376"/>
      <c r="D420" s="377">
        <f>C420*E421</f>
        <v>0</v>
      </c>
      <c r="E420" s="378"/>
      <c r="G420" s="371"/>
      <c r="H420" s="372"/>
    </row>
    <row r="421" spans="1:8" ht="12.75" customHeight="1" thickBot="1">
      <c r="A421" s="361" t="s">
        <v>805</v>
      </c>
      <c r="C421" s="379">
        <f>SUM(C418:C420)</f>
        <v>1107692.31</v>
      </c>
      <c r="D421" s="380">
        <f>SUM(D418:D420)</f>
        <v>1107692.31</v>
      </c>
      <c r="E421" s="381">
        <f>SUMPRODUCT(C418:C420,E418:E420)/(C418+C419+C420)</f>
        <v>1</v>
      </c>
      <c r="G421" s="360">
        <f>SUMIF('[18]Loan List'!E:E,[18]Prices!A421,'[18]Loan List'!G:G)</f>
        <v>4800000</v>
      </c>
      <c r="H421" s="361">
        <f>G421-C421</f>
        <v>3692307.69</v>
      </c>
    </row>
    <row r="422" spans="1:8" ht="12.75" customHeight="1" thickBot="1"/>
    <row r="423" spans="1:8" ht="12.75" customHeight="1">
      <c r="C423" s="368">
        <v>1258887.51</v>
      </c>
      <c r="D423" s="369">
        <f>C423*E426</f>
        <v>1246298.6348999999</v>
      </c>
      <c r="E423" s="370">
        <v>0.99</v>
      </c>
      <c r="G423" s="371"/>
      <c r="H423" s="372"/>
    </row>
    <row r="424" spans="1:8" ht="12.75" customHeight="1">
      <c r="C424" s="376"/>
      <c r="D424" s="377">
        <f>C424*E426</f>
        <v>0</v>
      </c>
      <c r="E424" s="378"/>
      <c r="G424" s="371"/>
      <c r="H424" s="372"/>
    </row>
    <row r="425" spans="1:8" ht="12.75" customHeight="1">
      <c r="C425" s="376"/>
      <c r="D425" s="377">
        <f>C425*E426</f>
        <v>0</v>
      </c>
      <c r="E425" s="378"/>
      <c r="G425" s="371"/>
      <c r="H425" s="372"/>
    </row>
    <row r="426" spans="1:8" ht="12.75" customHeight="1" thickBot="1">
      <c r="A426" s="361" t="s">
        <v>806</v>
      </c>
      <c r="C426" s="379">
        <f>SUM(C423:C425)</f>
        <v>1258887.51</v>
      </c>
      <c r="D426" s="380">
        <f>SUM(D423:D425)</f>
        <v>1246298.6348999999</v>
      </c>
      <c r="E426" s="381">
        <f>SUMPRODUCT(C423:C425,E423:E425)/(C423+C424+C425)</f>
        <v>0.99</v>
      </c>
      <c r="G426" s="360">
        <f>SUMIF('[18]Loan List'!E:E,[18]Prices!A426,'[18]Loan List'!G:G)</f>
        <v>5455179</v>
      </c>
      <c r="H426" s="361">
        <f>G426-C426</f>
        <v>4196291.49</v>
      </c>
    </row>
    <row r="427" spans="1:8" ht="12.75" customHeight="1" thickBot="1"/>
    <row r="428" spans="1:8" ht="12.75" customHeight="1">
      <c r="C428" s="368">
        <v>905092.21</v>
      </c>
      <c r="D428" s="369">
        <f>C428*E431</f>
        <v>781185.08645099995</v>
      </c>
      <c r="E428" s="370">
        <v>0.86309999999999998</v>
      </c>
      <c r="G428" s="371"/>
    </row>
    <row r="429" spans="1:8" ht="12.75" customHeight="1">
      <c r="C429" s="376"/>
      <c r="D429" s="377">
        <f>C429*E431</f>
        <v>0</v>
      </c>
      <c r="E429" s="378"/>
      <c r="G429" s="371"/>
    </row>
    <row r="430" spans="1:8" ht="12.75" customHeight="1">
      <c r="C430" s="376"/>
      <c r="D430" s="377">
        <f>C430*E431</f>
        <v>0</v>
      </c>
      <c r="E430" s="378"/>
      <c r="G430" s="371"/>
    </row>
    <row r="431" spans="1:8" ht="12.75" customHeight="1" thickBot="1">
      <c r="A431" s="361" t="s">
        <v>809</v>
      </c>
      <c r="C431" s="379">
        <f>SUM(C428:C430)</f>
        <v>905092.21</v>
      </c>
      <c r="D431" s="380">
        <f>SUM(D428:D430)</f>
        <v>781185.08645099995</v>
      </c>
      <c r="E431" s="381">
        <f>SUMPRODUCT(C428:C430,E428:E430)/(C428+C429+C430)</f>
        <v>0.86309999999999998</v>
      </c>
      <c r="G431" s="360">
        <f>SUMIF('[18]Loan List'!E:E,[18]Prices!A431,'[18]Loan List'!G:G)</f>
        <v>3922066</v>
      </c>
      <c r="H431" s="361">
        <v>0</v>
      </c>
    </row>
    <row r="432" spans="1:8" ht="12.75" customHeight="1" thickBot="1"/>
    <row r="433" spans="1:8" ht="12.75" customHeight="1">
      <c r="C433" s="368">
        <v>673221.51</v>
      </c>
      <c r="D433" s="369">
        <f>C433*E436</f>
        <v>673221.51</v>
      </c>
      <c r="E433" s="370">
        <v>1</v>
      </c>
      <c r="G433" s="371"/>
    </row>
    <row r="434" spans="1:8" ht="12.75" customHeight="1">
      <c r="C434" s="376"/>
      <c r="D434" s="377">
        <f>C434*E436</f>
        <v>0</v>
      </c>
      <c r="E434" s="378"/>
      <c r="G434" s="371"/>
    </row>
    <row r="435" spans="1:8" ht="12.75" customHeight="1">
      <c r="C435" s="376"/>
      <c r="D435" s="377">
        <f>C435*E436</f>
        <v>0</v>
      </c>
      <c r="E435" s="378"/>
      <c r="G435" s="371"/>
    </row>
    <row r="436" spans="1:8" ht="12.75" customHeight="1" thickBot="1">
      <c r="A436" s="361" t="s">
        <v>811</v>
      </c>
      <c r="C436" s="379">
        <f>SUM(C433:C435)</f>
        <v>673221.51</v>
      </c>
      <c r="D436" s="380">
        <f>SUM(D433:D435)</f>
        <v>673221.51</v>
      </c>
      <c r="E436" s="381">
        <f>SUMPRODUCT(C433:C435,E433:E435)/(C433+C434+C435)</f>
        <v>1</v>
      </c>
      <c r="G436" s="360">
        <f>SUMIF('[18]Loan List'!E:E,[18]Prices!A436,'[18]Loan List'!G:G)</f>
        <v>2917293</v>
      </c>
      <c r="H436" s="361">
        <v>0</v>
      </c>
    </row>
    <row r="437" spans="1:8" ht="12.75" customHeight="1" thickBot="1"/>
    <row r="438" spans="1:8" ht="12.75" customHeight="1">
      <c r="C438" s="368">
        <v>1067922.3415384614</v>
      </c>
      <c r="D438" s="369">
        <f>C438*E441</f>
        <v>1057243.1181230769</v>
      </c>
      <c r="E438" s="370">
        <v>0.99</v>
      </c>
      <c r="G438" s="371"/>
    </row>
    <row r="439" spans="1:8" ht="12.75" customHeight="1">
      <c r="C439" s="376"/>
      <c r="D439" s="377">
        <f>C439*E441</f>
        <v>0</v>
      </c>
      <c r="E439" s="378"/>
      <c r="G439" s="371"/>
    </row>
    <row r="440" spans="1:8" ht="12.75" customHeight="1">
      <c r="C440" s="376"/>
      <c r="D440" s="377">
        <f>C440*E441</f>
        <v>0</v>
      </c>
      <c r="E440" s="378"/>
      <c r="G440" s="371"/>
    </row>
    <row r="441" spans="1:8" ht="12.75" customHeight="1" thickBot="1">
      <c r="A441" s="361" t="s">
        <v>810</v>
      </c>
      <c r="C441" s="379">
        <f>SUM(C438:C440)</f>
        <v>1067922.3415384614</v>
      </c>
      <c r="D441" s="380">
        <f>SUM(D438:D440)</f>
        <v>1057243.1181230769</v>
      </c>
      <c r="E441" s="381">
        <f>SUMPRODUCT(C438:C440,E438:E440)/(C438+C439+C440)</f>
        <v>0.9900000000000001</v>
      </c>
      <c r="G441" s="360">
        <f>SUMIF('[18]Loan List'!E:E,[18]Prices!A441,'[18]Loan List'!G:G)</f>
        <v>4627663</v>
      </c>
      <c r="H441" s="361">
        <v>0</v>
      </c>
    </row>
    <row r="442" spans="1:8" ht="12.75" customHeight="1" thickBot="1"/>
    <row r="443" spans="1:8" ht="12.75" customHeight="1">
      <c r="C443" s="368">
        <v>457918.61</v>
      </c>
      <c r="D443" s="369">
        <f>C443*E446</f>
        <v>457918.61</v>
      </c>
      <c r="E443" s="370">
        <v>1</v>
      </c>
      <c r="G443" s="371"/>
    </row>
    <row r="444" spans="1:8" ht="12.75" customHeight="1">
      <c r="C444" s="376"/>
      <c r="D444" s="377">
        <f>C444*E446</f>
        <v>0</v>
      </c>
      <c r="E444" s="378"/>
      <c r="G444" s="371"/>
    </row>
    <row r="445" spans="1:8" ht="12.75" customHeight="1">
      <c r="C445" s="376"/>
      <c r="D445" s="377">
        <f>C445*E446</f>
        <v>0</v>
      </c>
      <c r="E445" s="378"/>
      <c r="G445" s="371"/>
    </row>
    <row r="446" spans="1:8" ht="12.75" customHeight="1" thickBot="1">
      <c r="A446" s="361" t="s">
        <v>813</v>
      </c>
      <c r="C446" s="379">
        <f>SUM(C443:C445)</f>
        <v>457918.61</v>
      </c>
      <c r="D446" s="380">
        <f>SUM(D443:D445)</f>
        <v>457918.61</v>
      </c>
      <c r="E446" s="381">
        <f>SUMPRODUCT(C443:C445,E443:E445)/(C443+C444+C445)</f>
        <v>1</v>
      </c>
      <c r="G446" s="360">
        <f>SUMIF('[18]Loan List'!E:E,[18]Prices!A446,'[18]Loan List'!G:G)</f>
        <v>1984314</v>
      </c>
      <c r="H446" s="361">
        <v>0</v>
      </c>
    </row>
    <row r="447" spans="1:8" ht="12.75" customHeight="1" thickBot="1"/>
    <row r="448" spans="1:8" ht="12.75" customHeight="1">
      <c r="C448" s="368">
        <v>1112558.5915384614</v>
      </c>
      <c r="D448" s="369">
        <f>C448*E451</f>
        <v>1020995.0194548459</v>
      </c>
      <c r="E448" s="370">
        <v>0.91769999999999996</v>
      </c>
      <c r="G448" s="371"/>
    </row>
    <row r="449" spans="1:8" ht="12.75" customHeight="1">
      <c r="C449" s="376"/>
      <c r="D449" s="377">
        <f>C449*E451</f>
        <v>0</v>
      </c>
      <c r="E449" s="378"/>
      <c r="G449" s="371"/>
    </row>
    <row r="450" spans="1:8" ht="12.75" customHeight="1">
      <c r="C450" s="376"/>
      <c r="D450" s="377">
        <f>C450*E451</f>
        <v>0</v>
      </c>
      <c r="E450" s="378"/>
      <c r="G450" s="371"/>
    </row>
    <row r="451" spans="1:8" ht="12.75" customHeight="1" thickBot="1">
      <c r="A451" s="361" t="s">
        <v>812</v>
      </c>
      <c r="C451" s="379">
        <f>SUM(C448:C450)</f>
        <v>1112558.5915384614</v>
      </c>
      <c r="D451" s="380">
        <f>SUM(D448:D450)</f>
        <v>1020995.0194548459</v>
      </c>
      <c r="E451" s="381">
        <f>SUMPRODUCT(C448:C450,E448:E450)/(C448+C449+C450)</f>
        <v>0.91769999999999996</v>
      </c>
      <c r="G451" s="360">
        <f>SUMIF('[18]Loan List'!E:E,[18]Prices!A451,'[18]Loan List'!G:G)</f>
        <v>4821087</v>
      </c>
      <c r="H451" s="361">
        <v>0</v>
      </c>
    </row>
    <row r="452" spans="1:8" ht="12.75" customHeight="1" thickBot="1"/>
    <row r="453" spans="1:8" ht="12.75" customHeight="1">
      <c r="C453" s="368">
        <v>810159.41076923057</v>
      </c>
      <c r="D453" s="369">
        <f>C453*E456</f>
        <v>810159.41076923057</v>
      </c>
      <c r="E453" s="370">
        <v>1</v>
      </c>
      <c r="G453" s="371"/>
    </row>
    <row r="454" spans="1:8" ht="12.75" customHeight="1">
      <c r="C454" s="376"/>
      <c r="D454" s="377">
        <f>C454*E456</f>
        <v>0</v>
      </c>
      <c r="E454" s="378"/>
      <c r="G454" s="371"/>
    </row>
    <row r="455" spans="1:8" ht="12.75" customHeight="1">
      <c r="C455" s="376"/>
      <c r="D455" s="377">
        <f>C455*E456</f>
        <v>0</v>
      </c>
      <c r="E455" s="378"/>
      <c r="G455" s="371"/>
    </row>
    <row r="456" spans="1:8" ht="12.75" customHeight="1" thickBot="1">
      <c r="A456" s="361" t="s">
        <v>814</v>
      </c>
      <c r="C456" s="379">
        <f>SUM(C453:C455)</f>
        <v>810159.41076923057</v>
      </c>
      <c r="D456" s="380">
        <f>SUM(D453:D455)</f>
        <v>810159.41076923057</v>
      </c>
      <c r="E456" s="381">
        <f>SUMPRODUCT(C453:C455,E453:E455)/(C453+C454+C455)</f>
        <v>1</v>
      </c>
      <c r="G456" s="360">
        <f>SUMIF('[18]Loan List'!E:E,[18]Prices!A456,'[18]Loan List'!G:G)</f>
        <v>3510691</v>
      </c>
      <c r="H456" s="361">
        <v>0</v>
      </c>
    </row>
    <row r="457" spans="1:8" ht="12.75" customHeight="1" thickBot="1"/>
    <row r="458" spans="1:8" ht="12.75" customHeight="1">
      <c r="C458" s="368">
        <v>520820.3</v>
      </c>
      <c r="D458" s="369">
        <f>C458*E461</f>
        <v>442280.59875999996</v>
      </c>
      <c r="E458" s="370">
        <v>0.84919999999999995</v>
      </c>
      <c r="G458" s="371"/>
    </row>
    <row r="459" spans="1:8" ht="12.75" customHeight="1">
      <c r="C459" s="376"/>
      <c r="D459" s="377">
        <f>C459*E461</f>
        <v>0</v>
      </c>
      <c r="E459" s="378"/>
      <c r="G459" s="371"/>
    </row>
    <row r="460" spans="1:8" ht="12.75" customHeight="1">
      <c r="C460" s="376"/>
      <c r="D460" s="377">
        <f>C460*E461</f>
        <v>0</v>
      </c>
      <c r="E460" s="378"/>
      <c r="G460" s="371"/>
    </row>
    <row r="461" spans="1:8" ht="12.75" customHeight="1" thickBot="1">
      <c r="A461" s="361" t="s">
        <v>815</v>
      </c>
      <c r="C461" s="379">
        <f>SUM(C458:C460)</f>
        <v>520820.3</v>
      </c>
      <c r="D461" s="380">
        <f>SUM(D458:D460)</f>
        <v>442280.59875999996</v>
      </c>
      <c r="E461" s="381">
        <f>SUMPRODUCT(C458:C460,E458:E460)/(C458+C459+C460)</f>
        <v>0.84919999999999995</v>
      </c>
      <c r="G461" s="360">
        <f>SUMIF('[18]Loan List'!E:E,[18]Prices!A461,'[18]Loan List'!G:G)</f>
        <v>2256888</v>
      </c>
      <c r="H461" s="361">
        <v>0</v>
      </c>
    </row>
    <row r="462" spans="1:8" ht="12.75" customHeight="1" thickBot="1"/>
    <row r="463" spans="1:8" ht="12.75" customHeight="1">
      <c r="C463" s="368">
        <v>583929.65076923068</v>
      </c>
      <c r="D463" s="369">
        <f>C463*E466</f>
        <v>579550.17838846147</v>
      </c>
      <c r="E463" s="370">
        <v>0.99250000000000005</v>
      </c>
      <c r="G463" s="371"/>
    </row>
    <row r="464" spans="1:8" ht="12.75" customHeight="1">
      <c r="C464" s="376"/>
      <c r="D464" s="377">
        <f>C464*E466</f>
        <v>0</v>
      </c>
      <c r="E464" s="378"/>
      <c r="G464" s="371"/>
    </row>
    <row r="465" spans="1:8" ht="12.75" customHeight="1">
      <c r="C465" s="376"/>
      <c r="D465" s="377">
        <f>C465*E466</f>
        <v>0</v>
      </c>
      <c r="E465" s="378"/>
      <c r="G465" s="371"/>
    </row>
    <row r="466" spans="1:8" ht="12.75" customHeight="1" thickBot="1">
      <c r="A466" s="361" t="s">
        <v>817</v>
      </c>
      <c r="C466" s="379">
        <f>SUM(C463:C465)</f>
        <v>583929.65076923068</v>
      </c>
      <c r="D466" s="380">
        <f>SUM(D463:D465)</f>
        <v>579550.17838846147</v>
      </c>
      <c r="E466" s="381">
        <f>SUMPRODUCT(C463:C465,E463:E465)/(C463+C464+C465)</f>
        <v>0.99250000000000005</v>
      </c>
      <c r="G466" s="360">
        <f>SUMIF('[18]Loan List'!E:E,[18]Prices!A466,'[18]Loan List'!G:G)</f>
        <v>2530362</v>
      </c>
      <c r="H466" s="361">
        <v>0</v>
      </c>
    </row>
    <row r="467" spans="1:8" ht="12.75" customHeight="1" thickBot="1"/>
    <row r="468" spans="1:8" ht="12.75" customHeight="1">
      <c r="C468" s="368">
        <v>1644540.53</v>
      </c>
      <c r="D468" s="369">
        <f>C468*E471</f>
        <v>1622010.3247390001</v>
      </c>
      <c r="E468" s="370">
        <v>0.98629999999999995</v>
      </c>
      <c r="G468" s="371"/>
    </row>
    <row r="469" spans="1:8" ht="12.75" customHeight="1">
      <c r="C469" s="376"/>
      <c r="D469" s="377">
        <f>C469*E471</f>
        <v>0</v>
      </c>
      <c r="E469" s="378"/>
      <c r="G469" s="371"/>
    </row>
    <row r="470" spans="1:8" ht="12.75" customHeight="1">
      <c r="C470" s="376"/>
      <c r="D470" s="377">
        <f>C470*E471</f>
        <v>0</v>
      </c>
      <c r="E470" s="378"/>
      <c r="G470" s="371"/>
    </row>
    <row r="471" spans="1:8" ht="12.75" customHeight="1" thickBot="1">
      <c r="A471" s="361" t="s">
        <v>816</v>
      </c>
      <c r="C471" s="379">
        <f>SUM(C468:C470)</f>
        <v>1644540.53</v>
      </c>
      <c r="D471" s="380">
        <f>SUM(D468:D470)</f>
        <v>1622010.3247390001</v>
      </c>
      <c r="E471" s="381">
        <f>SUMPRODUCT(C468:C470,E468:E470)/(C468+C469+C470)</f>
        <v>0.98630000000000007</v>
      </c>
      <c r="G471" s="360">
        <f>SUMIF('[18]Loan List'!E:E,[18]Prices!A471,'[18]Loan List'!G:G)</f>
        <v>7126342</v>
      </c>
      <c r="H471" s="361">
        <v>0</v>
      </c>
    </row>
    <row r="472" spans="1:8" ht="12.75" customHeight="1" thickBot="1"/>
    <row r="473" spans="1:8" ht="12.75" customHeight="1">
      <c r="C473" s="368">
        <v>458037.81</v>
      </c>
      <c r="D473" s="369">
        <f>C473*E476</f>
        <v>459182.90452499996</v>
      </c>
      <c r="E473" s="370">
        <v>1.0024999999999999</v>
      </c>
      <c r="G473" s="371"/>
    </row>
    <row r="474" spans="1:8" ht="12.75" customHeight="1">
      <c r="C474" s="376"/>
      <c r="D474" s="377">
        <f>C474*E476</f>
        <v>0</v>
      </c>
      <c r="E474" s="378"/>
      <c r="G474" s="371"/>
    </row>
    <row r="475" spans="1:8" ht="12.75" customHeight="1">
      <c r="C475" s="376"/>
      <c r="D475" s="377">
        <f>C475*E476</f>
        <v>0</v>
      </c>
      <c r="E475" s="378"/>
      <c r="G475" s="371"/>
    </row>
    <row r="476" spans="1:8" ht="12.75" customHeight="1" thickBot="1">
      <c r="A476" s="361" t="s">
        <v>818</v>
      </c>
      <c r="C476" s="379">
        <f>SUM(C473:C475)</f>
        <v>458037.81</v>
      </c>
      <c r="D476" s="380">
        <f>SUM(D473:D475)</f>
        <v>459182.90452499996</v>
      </c>
      <c r="E476" s="381">
        <f>SUMPRODUCT(C473:C475,E473:E475)/(C473+C474+C475)</f>
        <v>1.0024999999999999</v>
      </c>
      <c r="G476" s="360">
        <f>SUMIF('[18]Loan List'!E:E,[18]Prices!A476,'[18]Loan List'!G:G)</f>
        <v>1984831</v>
      </c>
      <c r="H476" s="361">
        <v>0</v>
      </c>
    </row>
    <row r="477" spans="1:8" ht="12.75" customHeight="1" thickBot="1"/>
    <row r="478" spans="1:8" ht="12.75" customHeight="1">
      <c r="C478" s="368">
        <v>226153.85</v>
      </c>
      <c r="D478" s="369">
        <f>C478*E481</f>
        <v>226153.85</v>
      </c>
      <c r="E478" s="370">
        <v>1</v>
      </c>
      <c r="G478" s="371"/>
    </row>
    <row r="479" spans="1:8" ht="12.75" customHeight="1">
      <c r="C479" s="376"/>
      <c r="D479" s="377">
        <f>C479*E481</f>
        <v>0</v>
      </c>
      <c r="E479" s="378"/>
      <c r="G479" s="371"/>
    </row>
    <row r="480" spans="1:8" ht="12.75" customHeight="1">
      <c r="C480" s="376"/>
      <c r="D480" s="377">
        <f>C480*E481</f>
        <v>0</v>
      </c>
      <c r="E480" s="378"/>
      <c r="G480" s="371"/>
    </row>
    <row r="481" spans="1:8" ht="12.75" customHeight="1" thickBot="1">
      <c r="A481" s="361" t="s">
        <v>819</v>
      </c>
      <c r="C481" s="379">
        <f>SUM(C478:C480)</f>
        <v>226153.85</v>
      </c>
      <c r="D481" s="380">
        <f>SUM(D478:D480)</f>
        <v>226153.85</v>
      </c>
      <c r="E481" s="381">
        <f>SUMPRODUCT(C478:C480,E478:E480)/(C478+C479+C480)</f>
        <v>1</v>
      </c>
      <c r="G481" s="360">
        <f>SUMIF('[18]Loan List'!E:E,[18]Prices!A481,'[18]Loan List'!G:G)</f>
        <v>980000</v>
      </c>
      <c r="H481" s="361">
        <v>0</v>
      </c>
    </row>
    <row r="482" spans="1:8" ht="12.75" customHeight="1" thickBot="1"/>
    <row r="483" spans="1:8" ht="12.75" customHeight="1">
      <c r="C483" s="368">
        <v>1107694.06</v>
      </c>
      <c r="D483" s="369">
        <f>C483*E486</f>
        <v>1107694.06</v>
      </c>
      <c r="E483" s="370">
        <v>1</v>
      </c>
      <c r="G483" s="371"/>
    </row>
    <row r="484" spans="1:8" ht="12.75" customHeight="1">
      <c r="C484" s="376"/>
      <c r="D484" s="377">
        <f>C484*E486</f>
        <v>0</v>
      </c>
      <c r="E484" s="378"/>
      <c r="G484" s="371"/>
    </row>
    <row r="485" spans="1:8" ht="12.75" customHeight="1">
      <c r="C485" s="376"/>
      <c r="D485" s="377">
        <f>C485*E486</f>
        <v>0</v>
      </c>
      <c r="E485" s="378"/>
      <c r="G485" s="371"/>
    </row>
    <row r="486" spans="1:8" ht="12.75" customHeight="1" thickBot="1">
      <c r="A486" s="361" t="s">
        <v>820</v>
      </c>
      <c r="C486" s="379">
        <f>SUM(C483:C485)</f>
        <v>1107694.06</v>
      </c>
      <c r="D486" s="380">
        <f>SUM(D483:D485)</f>
        <v>1107694.06</v>
      </c>
      <c r="E486" s="381">
        <f>SUMPRODUCT(C483:C485,E483:E485)/(C483+C484+C485)</f>
        <v>1</v>
      </c>
      <c r="G486" s="360">
        <f>SUMIF('[18]Loan List'!E:E,[18]Prices!A486,'[18]Loan List'!G:G)</f>
        <v>4800008</v>
      </c>
      <c r="H486" s="361">
        <v>0</v>
      </c>
    </row>
    <row r="487" spans="1:8" ht="12.75" customHeight="1" thickBot="1"/>
    <row r="488" spans="1:8" ht="12.75" customHeight="1">
      <c r="C488" s="368">
        <v>1019449</v>
      </c>
      <c r="D488" s="369">
        <f>C488*E491</f>
        <v>978671.03999999992</v>
      </c>
      <c r="E488" s="370">
        <v>0.96</v>
      </c>
      <c r="G488" s="371"/>
    </row>
    <row r="489" spans="1:8" ht="12.75" customHeight="1">
      <c r="C489" s="376"/>
      <c r="D489" s="377">
        <f>C489*E491</f>
        <v>0</v>
      </c>
      <c r="E489" s="378"/>
      <c r="G489" s="371"/>
    </row>
    <row r="490" spans="1:8" ht="12.75" customHeight="1">
      <c r="C490" s="376"/>
      <c r="D490" s="377">
        <f>C490*E491</f>
        <v>0</v>
      </c>
      <c r="E490" s="378"/>
      <c r="G490" s="371"/>
    </row>
    <row r="491" spans="1:8" ht="12.75" customHeight="1" thickBot="1">
      <c r="A491" s="361" t="s">
        <v>821</v>
      </c>
      <c r="C491" s="379">
        <f>SUM(C488:C490)</f>
        <v>1019449</v>
      </c>
      <c r="D491" s="380">
        <f>SUM(D488:D490)</f>
        <v>978671.03999999992</v>
      </c>
      <c r="E491" s="381">
        <f>SUMPRODUCT(C488:C490,E488:E490)/(C488+C489+C490)</f>
        <v>0.96</v>
      </c>
      <c r="G491" s="360">
        <f>SUMIF('[18]Loan List'!E:E,[18]Prices!A491,'[18]Loan List'!G:G)</f>
        <v>4417611</v>
      </c>
      <c r="H491" s="361">
        <v>0</v>
      </c>
    </row>
    <row r="492" spans="1:8" ht="12.75" customHeight="1" thickBot="1"/>
    <row r="493" spans="1:8" ht="12.75" customHeight="1">
      <c r="C493" s="368">
        <v>967188.59</v>
      </c>
      <c r="D493" s="369">
        <f>C493*E496</f>
        <v>947844.81819999998</v>
      </c>
      <c r="E493" s="370">
        <v>0.98</v>
      </c>
      <c r="G493" s="371"/>
    </row>
    <row r="494" spans="1:8" ht="12.75" customHeight="1">
      <c r="C494" s="376"/>
      <c r="D494" s="377">
        <f>C494*E496</f>
        <v>0</v>
      </c>
      <c r="E494" s="378"/>
      <c r="G494" s="371"/>
    </row>
    <row r="495" spans="1:8" ht="12.75" customHeight="1">
      <c r="C495" s="376"/>
      <c r="D495" s="377">
        <f>C495*E496</f>
        <v>0</v>
      </c>
      <c r="E495" s="378"/>
      <c r="G495" s="371"/>
    </row>
    <row r="496" spans="1:8" ht="12.75" customHeight="1" thickBot="1">
      <c r="A496" s="361" t="s">
        <v>822</v>
      </c>
      <c r="C496" s="379">
        <f>SUM(C493:C495)</f>
        <v>967188.59</v>
      </c>
      <c r="D496" s="380">
        <f>SUM(D493:D495)</f>
        <v>947844.81819999998</v>
      </c>
      <c r="E496" s="381">
        <f>SUMPRODUCT(C493:C495,E493:E495)/(C493+C494+C495)</f>
        <v>0.98</v>
      </c>
      <c r="G496" s="360">
        <f>SUMIF('[18]Loan List'!E:E,[18]Prices!A496,'[18]Loan List'!G:G)</f>
        <v>4191151</v>
      </c>
      <c r="H496" s="361">
        <v>0</v>
      </c>
    </row>
    <row r="497" spans="1:8" ht="12.75" customHeight="1" thickBot="1"/>
    <row r="498" spans="1:8" ht="12.75" customHeight="1">
      <c r="C498" s="368">
        <v>451997.61</v>
      </c>
      <c r="D498" s="369">
        <f>C498*E501</f>
        <v>423476.56080899999</v>
      </c>
      <c r="E498" s="370">
        <v>0.93689999999999996</v>
      </c>
      <c r="G498" s="371"/>
    </row>
    <row r="499" spans="1:8" ht="12.75" customHeight="1">
      <c r="C499" s="376"/>
      <c r="D499" s="377">
        <f>C499*E501</f>
        <v>0</v>
      </c>
      <c r="E499" s="378"/>
      <c r="G499" s="371"/>
    </row>
    <row r="500" spans="1:8" ht="12.75" customHeight="1">
      <c r="C500" s="376"/>
      <c r="D500" s="377">
        <f>C500*E501</f>
        <v>0</v>
      </c>
      <c r="E500" s="378"/>
      <c r="G500" s="371"/>
    </row>
    <row r="501" spans="1:8" ht="12.75" customHeight="1" thickBot="1">
      <c r="A501" s="361" t="s">
        <v>831</v>
      </c>
      <c r="C501" s="379">
        <f>SUM(C498:C500)</f>
        <v>451997.61</v>
      </c>
      <c r="D501" s="380">
        <f>SUM(D498:D500)</f>
        <v>423476.56080899999</v>
      </c>
      <c r="E501" s="381">
        <f>SUMPRODUCT(C498:C500,E498:E500)/(C498+C499+C500)</f>
        <v>0.93689999999999996</v>
      </c>
      <c r="G501" s="360">
        <f>SUMIF('[18]Loan List'!E:E,[18]Prices!A501,'[18]Loan List'!G:G)</f>
        <v>1958656</v>
      </c>
      <c r="H501" s="361">
        <v>0</v>
      </c>
    </row>
    <row r="502" spans="1:8" ht="12.75" customHeight="1" thickBot="1"/>
    <row r="503" spans="1:8" ht="12.75" customHeight="1">
      <c r="C503" s="368">
        <v>284134.62</v>
      </c>
      <c r="D503" s="369">
        <f>C503*E506</f>
        <v>284134.62</v>
      </c>
      <c r="E503" s="370">
        <v>1</v>
      </c>
      <c r="G503" s="371"/>
    </row>
    <row r="504" spans="1:8" ht="12.75" customHeight="1">
      <c r="C504" s="376"/>
      <c r="D504" s="377">
        <f>C504*E506</f>
        <v>0</v>
      </c>
      <c r="E504" s="378"/>
      <c r="G504" s="371"/>
    </row>
    <row r="505" spans="1:8" ht="12.75" customHeight="1">
      <c r="C505" s="376"/>
      <c r="D505" s="377">
        <f>C505*E506</f>
        <v>0</v>
      </c>
      <c r="E505" s="378"/>
      <c r="G505" s="371"/>
    </row>
    <row r="506" spans="1:8" ht="12.75" customHeight="1" thickBot="1">
      <c r="A506" s="361" t="s">
        <v>843</v>
      </c>
      <c r="C506" s="379">
        <f>SUM(C503:C505)</f>
        <v>284134.62</v>
      </c>
      <c r="D506" s="380">
        <f>SUM(D503:D505)</f>
        <v>284134.62</v>
      </c>
      <c r="E506" s="381">
        <f>SUMPRODUCT(C503:C505,E503:E505)/(C503+C504+C505)</f>
        <v>1</v>
      </c>
      <c r="G506" s="360">
        <f>SUMIF('[18]Loan List'!E:E,[18]Prices!A506,'[18]Loan List'!G:G)</f>
        <v>1231250</v>
      </c>
      <c r="H506" s="361">
        <v>0</v>
      </c>
    </row>
    <row r="507" spans="1:8" ht="12.75" customHeight="1" thickBot="1"/>
    <row r="508" spans="1:8" ht="12.75" customHeight="1">
      <c r="C508" s="368">
        <v>774680.76</v>
      </c>
      <c r="D508" s="369">
        <f>C508*E511</f>
        <v>774680.76</v>
      </c>
      <c r="E508" s="370">
        <v>1</v>
      </c>
      <c r="G508" s="371"/>
    </row>
    <row r="509" spans="1:8" ht="12.75" customHeight="1">
      <c r="C509" s="376"/>
      <c r="D509" s="377">
        <f>C509*E511</f>
        <v>0</v>
      </c>
      <c r="E509" s="378"/>
      <c r="G509" s="371"/>
    </row>
    <row r="510" spans="1:8" ht="12.75" customHeight="1">
      <c r="C510" s="376"/>
      <c r="D510" s="377">
        <f>C510*E511</f>
        <v>0</v>
      </c>
      <c r="E510" s="378"/>
      <c r="G510" s="371"/>
    </row>
    <row r="511" spans="1:8" ht="12.75" customHeight="1" thickBot="1">
      <c r="A511" s="361" t="s">
        <v>824</v>
      </c>
      <c r="C511" s="379">
        <f>SUM(C508:C510)</f>
        <v>774680.76</v>
      </c>
      <c r="D511" s="380">
        <f>SUM(D508:D510)</f>
        <v>774680.76</v>
      </c>
      <c r="E511" s="381">
        <f>SUMPRODUCT(C508:C510,E508:E510)/(C508+C509+C510)</f>
        <v>1</v>
      </c>
      <c r="G511" s="360">
        <f>SUMIF('[18]Loan List'!E:E,[18]Prices!A511,'[18]Loan List'!G:G)</f>
        <v>3356950</v>
      </c>
      <c r="H511" s="361">
        <v>0</v>
      </c>
    </row>
    <row r="512" spans="1:8" ht="12.75" customHeight="1" thickBot="1"/>
    <row r="513" spans="1:8" ht="12.75" customHeight="1">
      <c r="C513" s="368">
        <v>1180619.27</v>
      </c>
      <c r="D513" s="369">
        <f>C513*E516</f>
        <v>1171764.6254750001</v>
      </c>
      <c r="E513" s="370">
        <v>0.99250000000000005</v>
      </c>
      <c r="G513" s="371"/>
    </row>
    <row r="514" spans="1:8" ht="12.75" customHeight="1">
      <c r="C514" s="376"/>
      <c r="D514" s="377">
        <f>C514*E516</f>
        <v>0</v>
      </c>
      <c r="E514" s="378"/>
      <c r="G514" s="371"/>
    </row>
    <row r="515" spans="1:8" ht="12.75" customHeight="1">
      <c r="C515" s="376"/>
      <c r="D515" s="377">
        <f>C515*E516</f>
        <v>0</v>
      </c>
      <c r="E515" s="378"/>
      <c r="G515" s="371"/>
    </row>
    <row r="516" spans="1:8" ht="12.75" customHeight="1" thickBot="1">
      <c r="A516" s="361" t="s">
        <v>825</v>
      </c>
      <c r="C516" s="379">
        <f>SUM(C513:C515)</f>
        <v>1180619.27</v>
      </c>
      <c r="D516" s="380">
        <f>SUM(D513:D515)</f>
        <v>1171764.6254750001</v>
      </c>
      <c r="E516" s="381">
        <f>SUMPRODUCT(C513:C515,E513:E515)/(C513+C514+C515)</f>
        <v>0.99250000000000005</v>
      </c>
      <c r="G516" s="360">
        <f>SUMIF('[18]Loan List'!E:E,[18]Prices!A516,'[18]Loan List'!G:G)</f>
        <v>5116017</v>
      </c>
      <c r="H516" s="361">
        <v>0</v>
      </c>
    </row>
    <row r="517" spans="1:8" ht="12.75" customHeight="1" thickBot="1"/>
    <row r="518" spans="1:8" ht="12.75" customHeight="1">
      <c r="C518" s="368">
        <v>1114110.8700000001</v>
      </c>
      <c r="D518" s="369">
        <f>C518*E521</f>
        <v>1114110.8700000001</v>
      </c>
      <c r="E518" s="370">
        <v>1</v>
      </c>
      <c r="G518" s="371"/>
    </row>
    <row r="519" spans="1:8" ht="12.75" customHeight="1">
      <c r="C519" s="376"/>
      <c r="D519" s="377">
        <f>C519*E521</f>
        <v>0</v>
      </c>
      <c r="E519" s="378"/>
      <c r="G519" s="371"/>
    </row>
    <row r="520" spans="1:8" ht="12.75" customHeight="1">
      <c r="C520" s="376"/>
      <c r="D520" s="377">
        <f>C520*E521</f>
        <v>0</v>
      </c>
      <c r="E520" s="378"/>
      <c r="G520" s="371"/>
    </row>
    <row r="521" spans="1:8" ht="12.75" customHeight="1" thickBot="1">
      <c r="A521" s="361" t="s">
        <v>826</v>
      </c>
      <c r="C521" s="379">
        <f>SUM(C518:C520)</f>
        <v>1114110.8700000001</v>
      </c>
      <c r="D521" s="380">
        <f>SUM(D518:D520)</f>
        <v>1114110.8700000001</v>
      </c>
      <c r="E521" s="381">
        <f>SUMPRODUCT(C518:C520,E518:E520)/(C518+C519+C520)</f>
        <v>1</v>
      </c>
      <c r="G521" s="360">
        <f>SUMIF('[18]Loan List'!E:E,[18]Prices!A521,'[18]Loan List'!G:G)</f>
        <v>4827814</v>
      </c>
      <c r="H521" s="361">
        <v>0</v>
      </c>
    </row>
    <row r="522" spans="1:8" ht="12.75" customHeight="1" thickBot="1"/>
    <row r="523" spans="1:8" ht="12.75" customHeight="1">
      <c r="C523" s="368">
        <v>188866.73</v>
      </c>
      <c r="D523" s="369">
        <f>C523*E526</f>
        <v>190755.39730000001</v>
      </c>
      <c r="E523" s="370">
        <v>1.01</v>
      </c>
      <c r="G523" s="371"/>
    </row>
    <row r="524" spans="1:8" ht="12.75" customHeight="1">
      <c r="C524" s="376"/>
      <c r="D524" s="377">
        <f>C524*E526</f>
        <v>0</v>
      </c>
      <c r="E524" s="378"/>
      <c r="G524" s="371"/>
    </row>
    <row r="525" spans="1:8" ht="12.75" customHeight="1">
      <c r="C525" s="376"/>
      <c r="D525" s="377">
        <f>C525*E526</f>
        <v>0</v>
      </c>
      <c r="E525" s="378"/>
      <c r="G525" s="371"/>
    </row>
    <row r="526" spans="1:8" ht="12.75" customHeight="1" thickBot="1">
      <c r="A526" s="361" t="s">
        <v>827</v>
      </c>
      <c r="C526" s="379">
        <f>SUM(C523:C525)</f>
        <v>188866.73</v>
      </c>
      <c r="D526" s="380">
        <f>SUM(D523:D525)</f>
        <v>190755.39730000001</v>
      </c>
      <c r="E526" s="381">
        <f>SUMPRODUCT(C523:C525,E523:E525)/(C523+C524+C525)</f>
        <v>1.01</v>
      </c>
      <c r="G526" s="360">
        <f>SUMIF('[18]Loan List'!E:E,[18]Prices!A526,'[18]Loan List'!G:G)</f>
        <v>818423</v>
      </c>
      <c r="H526" s="361">
        <v>0</v>
      </c>
    </row>
    <row r="527" spans="1:8" ht="12.75" customHeight="1" thickBot="1"/>
    <row r="528" spans="1:8" ht="12.75" customHeight="1">
      <c r="C528" s="368">
        <v>1156149</v>
      </c>
      <c r="D528" s="369">
        <f>C528*E531</f>
        <v>1145512.4292000001</v>
      </c>
      <c r="E528" s="370">
        <v>0.99080000000000001</v>
      </c>
      <c r="G528" s="371"/>
    </row>
    <row r="529" spans="1:8" ht="12.75" customHeight="1">
      <c r="C529" s="376"/>
      <c r="D529" s="377">
        <f>C529*E531</f>
        <v>0</v>
      </c>
      <c r="E529" s="378"/>
      <c r="G529" s="371"/>
    </row>
    <row r="530" spans="1:8" ht="12.75" customHeight="1">
      <c r="C530" s="376"/>
      <c r="D530" s="377">
        <f>C530*E531</f>
        <v>0</v>
      </c>
      <c r="E530" s="378"/>
      <c r="G530" s="371"/>
    </row>
    <row r="531" spans="1:8" ht="12.75" customHeight="1" thickBot="1">
      <c r="A531" s="361" t="s">
        <v>832</v>
      </c>
      <c r="C531" s="379">
        <f>SUM(C528:C530)</f>
        <v>1156149</v>
      </c>
      <c r="D531" s="380">
        <f>SUM(D528:D530)</f>
        <v>1145512.4292000001</v>
      </c>
      <c r="E531" s="381">
        <f>SUMPRODUCT(C528:C530,E528:E530)/(C528+C529+C530)</f>
        <v>0.99080000000000013</v>
      </c>
      <c r="G531" s="360">
        <f>SUMIF('[18]Loan List'!E:E,[18]Prices!A531,'[18]Loan List'!G:G)</f>
        <v>5009979</v>
      </c>
      <c r="H531" s="361">
        <v>0</v>
      </c>
    </row>
    <row r="532" spans="1:8" ht="12.75" customHeight="1" thickBot="1"/>
    <row r="533" spans="1:8" ht="12.75" customHeight="1">
      <c r="C533" s="368">
        <v>1187468</v>
      </c>
      <c r="D533" s="369">
        <f>C533*E536</f>
        <v>1187468</v>
      </c>
      <c r="E533" s="370">
        <v>1</v>
      </c>
      <c r="G533" s="371"/>
    </row>
    <row r="534" spans="1:8" ht="12.75" customHeight="1">
      <c r="C534" s="376"/>
      <c r="D534" s="377">
        <f>C534*E536</f>
        <v>0</v>
      </c>
      <c r="E534" s="378"/>
      <c r="G534" s="371"/>
    </row>
    <row r="535" spans="1:8" ht="12.75" customHeight="1">
      <c r="C535" s="376"/>
      <c r="D535" s="377">
        <f>C535*E536</f>
        <v>0</v>
      </c>
      <c r="E535" s="378"/>
      <c r="G535" s="371"/>
    </row>
    <row r="536" spans="1:8" ht="12.75" customHeight="1" thickBot="1">
      <c r="A536" s="361" t="s">
        <v>833</v>
      </c>
      <c r="C536" s="379">
        <f>SUM(C533:C535)</f>
        <v>1187468</v>
      </c>
      <c r="D536" s="380">
        <f>SUM(D533:D535)</f>
        <v>1187468</v>
      </c>
      <c r="E536" s="381">
        <f>SUMPRODUCT(C533:C535,E533:E535)/(C533+C534+C535)</f>
        <v>1</v>
      </c>
      <c r="G536" s="360">
        <f>SUMIF('[18]Loan List'!E:E,[18]Prices!A536,'[18]Loan List'!G:G)</f>
        <v>5145694</v>
      </c>
      <c r="H536" s="361">
        <v>0</v>
      </c>
    </row>
    <row r="537" spans="1:8" ht="12.75" customHeight="1" thickBot="1"/>
    <row r="538" spans="1:8" ht="12.75" customHeight="1">
      <c r="C538" s="368">
        <v>556730.77</v>
      </c>
      <c r="D538" s="369">
        <f>C538*E541</f>
        <v>548379.80845000001</v>
      </c>
      <c r="E538" s="370">
        <v>0.98499999999999999</v>
      </c>
      <c r="G538" s="371"/>
    </row>
    <row r="539" spans="1:8" ht="12.75" customHeight="1">
      <c r="C539" s="376"/>
      <c r="D539" s="377">
        <f>C539*E541</f>
        <v>0</v>
      </c>
      <c r="E539" s="378"/>
      <c r="G539" s="371"/>
    </row>
    <row r="540" spans="1:8" ht="12.75" customHeight="1">
      <c r="C540" s="376"/>
      <c r="D540" s="377">
        <f>C540*E541</f>
        <v>0</v>
      </c>
      <c r="E540" s="378"/>
      <c r="G540" s="371"/>
    </row>
    <row r="541" spans="1:8" ht="12.75" customHeight="1" thickBot="1">
      <c r="A541" s="361" t="s">
        <v>834</v>
      </c>
      <c r="C541" s="379">
        <f>SUM(C538:C540)</f>
        <v>556730.77</v>
      </c>
      <c r="D541" s="380">
        <f>SUM(D538:D540)</f>
        <v>548379.80845000001</v>
      </c>
      <c r="E541" s="381">
        <f>SUMPRODUCT(C538:C540,E538:E540)/(C538+C539+C540)</f>
        <v>0.98499999999999999</v>
      </c>
      <c r="G541" s="360">
        <f>SUMIF('[18]Loan List'!E:E,[18]Prices!A541,'[18]Loan List'!G:G)</f>
        <v>2412500</v>
      </c>
      <c r="H541" s="361">
        <v>0</v>
      </c>
    </row>
    <row r="542" spans="1:8" ht="12.75" customHeight="1" thickBot="1"/>
    <row r="543" spans="1:8" ht="12.75" customHeight="1">
      <c r="C543" s="368">
        <v>764840.98</v>
      </c>
      <c r="D543" s="369">
        <f>C543*E546</f>
        <v>766753.08244999999</v>
      </c>
      <c r="E543" s="370">
        <v>1.0024999999999999</v>
      </c>
      <c r="G543" s="371"/>
    </row>
    <row r="544" spans="1:8" ht="12.75" customHeight="1">
      <c r="C544" s="376"/>
      <c r="D544" s="377">
        <f>C544*E546</f>
        <v>0</v>
      </c>
      <c r="E544" s="378"/>
      <c r="G544" s="371"/>
    </row>
    <row r="545" spans="1:8" ht="12.75" customHeight="1">
      <c r="C545" s="376"/>
      <c r="D545" s="377">
        <f>C545*E546</f>
        <v>0</v>
      </c>
      <c r="E545" s="378"/>
      <c r="G545" s="371"/>
    </row>
    <row r="546" spans="1:8" ht="12.75" customHeight="1" thickBot="1">
      <c r="A546" s="361" t="s">
        <v>835</v>
      </c>
      <c r="C546" s="379">
        <f>SUM(C543:C545)</f>
        <v>764840.98</v>
      </c>
      <c r="D546" s="380">
        <f>SUM(D543:D545)</f>
        <v>766753.08244999999</v>
      </c>
      <c r="E546" s="381">
        <f>SUMPRODUCT(C543:C545,E543:E545)/(C543+C544+C545)</f>
        <v>1.0024999999999999</v>
      </c>
      <c r="G546" s="360">
        <f>SUMIF('[18]Loan List'!E:E,[18]Prices!A546,'[18]Loan List'!G:G)</f>
        <v>3314311</v>
      </c>
      <c r="H546" s="361">
        <v>0</v>
      </c>
    </row>
    <row r="547" spans="1:8" ht="12.75" customHeight="1" thickBot="1"/>
    <row r="548" spans="1:8" ht="12.75" customHeight="1">
      <c r="C548" s="368">
        <v>683653.84615384601</v>
      </c>
      <c r="D548" s="369">
        <f>C548*E551</f>
        <v>631012.49999999988</v>
      </c>
      <c r="E548" s="370">
        <v>0.92300000000000004</v>
      </c>
      <c r="G548" s="371"/>
    </row>
    <row r="549" spans="1:8" ht="12.75" customHeight="1">
      <c r="C549" s="376"/>
      <c r="D549" s="377">
        <f>C549*E551</f>
        <v>0</v>
      </c>
      <c r="E549" s="378"/>
      <c r="G549" s="371"/>
    </row>
    <row r="550" spans="1:8" ht="12.75" customHeight="1">
      <c r="C550" s="376"/>
      <c r="D550" s="377">
        <f>C550*E551</f>
        <v>0</v>
      </c>
      <c r="E550" s="378"/>
      <c r="G550" s="371"/>
    </row>
    <row r="551" spans="1:8" ht="12.75" customHeight="1" thickBot="1">
      <c r="A551" s="361" t="s">
        <v>836</v>
      </c>
      <c r="C551" s="379">
        <f>SUM(C548:C550)</f>
        <v>683653.84615384601</v>
      </c>
      <c r="D551" s="380">
        <f>SUM(D548:D550)</f>
        <v>631012.49999999988</v>
      </c>
      <c r="E551" s="381">
        <f>SUMPRODUCT(C548:C550,E548:E550)/(C548+C549+C550)</f>
        <v>0.92300000000000004</v>
      </c>
      <c r="G551" s="360">
        <f>SUMIF('[18]Loan List'!E:E,[18]Prices!A551,'[18]Loan List'!G:G)</f>
        <v>2962500</v>
      </c>
      <c r="H551" s="361">
        <v>0</v>
      </c>
    </row>
    <row r="552" spans="1:8" ht="12.75" customHeight="1" thickBot="1"/>
    <row r="553" spans="1:8" ht="12.75" customHeight="1">
      <c r="C553" s="368">
        <v>1006388.78</v>
      </c>
      <c r="D553" s="369">
        <f>C553*E556</f>
        <v>1006388.78</v>
      </c>
      <c r="E553" s="370">
        <v>1</v>
      </c>
      <c r="G553" s="371"/>
    </row>
    <row r="554" spans="1:8" ht="12.75" customHeight="1">
      <c r="C554" s="376"/>
      <c r="D554" s="377">
        <f>C554*E556</f>
        <v>0</v>
      </c>
      <c r="E554" s="378"/>
      <c r="G554" s="371"/>
    </row>
    <row r="555" spans="1:8" ht="12.75" customHeight="1">
      <c r="C555" s="376"/>
      <c r="D555" s="377">
        <f>C555*E556</f>
        <v>0</v>
      </c>
      <c r="E555" s="378"/>
      <c r="G555" s="371"/>
    </row>
    <row r="556" spans="1:8" ht="12.75" customHeight="1" thickBot="1">
      <c r="A556" s="361" t="s">
        <v>837</v>
      </c>
      <c r="C556" s="379">
        <f>SUM(C553:C555)</f>
        <v>1006388.78</v>
      </c>
      <c r="D556" s="380">
        <f>SUM(D553:D555)</f>
        <v>1006388.78</v>
      </c>
      <c r="E556" s="381">
        <f>SUMPRODUCT(C553:C555,E553:E555)/(C553+C554+C555)</f>
        <v>1</v>
      </c>
      <c r="G556" s="360">
        <f>SUMIF('[18]Loan List'!E:E,[18]Prices!A556,'[18]Loan List'!G:G)</f>
        <v>4361018</v>
      </c>
      <c r="H556" s="361">
        <v>0</v>
      </c>
    </row>
    <row r="557" spans="1:8" ht="12.75" customHeight="1" thickBot="1"/>
    <row r="558" spans="1:8" ht="12.75" customHeight="1">
      <c r="C558" s="368">
        <v>593208.36</v>
      </c>
      <c r="D558" s="369">
        <f>C558*E561</f>
        <v>593208.36</v>
      </c>
      <c r="E558" s="370">
        <v>1</v>
      </c>
      <c r="G558" s="371"/>
    </row>
    <row r="559" spans="1:8" ht="12.75" customHeight="1">
      <c r="C559" s="376"/>
      <c r="D559" s="377">
        <f>C559*E561</f>
        <v>0</v>
      </c>
      <c r="E559" s="378"/>
      <c r="G559" s="371"/>
    </row>
    <row r="560" spans="1:8" ht="12.75" customHeight="1">
      <c r="C560" s="376"/>
      <c r="D560" s="377">
        <f>C560*E561</f>
        <v>0</v>
      </c>
      <c r="E560" s="378"/>
      <c r="G560" s="371"/>
    </row>
    <row r="561" spans="1:8" ht="12.75" customHeight="1" thickBot="1">
      <c r="A561" s="361" t="s">
        <v>839</v>
      </c>
      <c r="C561" s="379">
        <f>SUM(C558:C560)</f>
        <v>593208.36</v>
      </c>
      <c r="D561" s="380">
        <f>SUM(D558:D560)</f>
        <v>593208.36</v>
      </c>
      <c r="E561" s="381">
        <f>SUMPRODUCT(C558:C560,E558:E560)/(C558+C559+C560)</f>
        <v>1</v>
      </c>
      <c r="G561" s="360">
        <f>SUMIF('[18]Loan List'!E:E,[18]Prices!A561,'[18]Loan List'!G:G)</f>
        <v>2570570</v>
      </c>
      <c r="H561" s="361">
        <v>0</v>
      </c>
    </row>
    <row r="562" spans="1:8" ht="12.75" customHeight="1" thickBot="1"/>
    <row r="563" spans="1:8" ht="12.75" customHeight="1">
      <c r="C563" s="368">
        <v>264556.07</v>
      </c>
      <c r="D563" s="369">
        <f>C563*E566</f>
        <v>262571.89947500004</v>
      </c>
      <c r="E563" s="370">
        <v>0.99250000000000005</v>
      </c>
      <c r="G563" s="371"/>
    </row>
    <row r="564" spans="1:8" ht="12.75" customHeight="1">
      <c r="C564" s="376"/>
      <c r="D564" s="377">
        <f>C564*E566</f>
        <v>0</v>
      </c>
      <c r="E564" s="378"/>
      <c r="G564" s="371"/>
    </row>
    <row r="565" spans="1:8" ht="12.75" customHeight="1">
      <c r="C565" s="376"/>
      <c r="D565" s="377">
        <f>C565*E566</f>
        <v>0</v>
      </c>
      <c r="E565" s="378"/>
      <c r="G565" s="371"/>
    </row>
    <row r="566" spans="1:8" ht="12.75" customHeight="1" thickBot="1">
      <c r="A566" s="361" t="s">
        <v>840</v>
      </c>
      <c r="C566" s="379">
        <f>SUM(C563:C565)</f>
        <v>264556.07</v>
      </c>
      <c r="D566" s="380">
        <f>SUM(D563:D565)</f>
        <v>262571.89947500004</v>
      </c>
      <c r="E566" s="381">
        <f>SUMPRODUCT(C563:C565,E563:E565)/(C563+C564+C565)</f>
        <v>0.99250000000000016</v>
      </c>
      <c r="G566" s="360">
        <f>SUMIF('[18]Loan List'!E:E,[18]Prices!A566,'[18]Loan List'!G:G)</f>
        <v>1146410</v>
      </c>
      <c r="H566" s="361">
        <v>0</v>
      </c>
    </row>
    <row r="567" spans="1:8" ht="12.75" customHeight="1" thickBot="1"/>
    <row r="568" spans="1:8" ht="12.75" customHeight="1">
      <c r="C568" s="368">
        <v>1069488.33</v>
      </c>
      <c r="D568" s="369">
        <f>C568*E571</f>
        <v>1069488.33</v>
      </c>
      <c r="E568" s="370">
        <v>1</v>
      </c>
      <c r="G568" s="371"/>
    </row>
    <row r="569" spans="1:8" ht="12.75" customHeight="1">
      <c r="C569" s="376"/>
      <c r="D569" s="377">
        <f>C569*E571</f>
        <v>0</v>
      </c>
      <c r="E569" s="378"/>
      <c r="G569" s="371"/>
    </row>
    <row r="570" spans="1:8" ht="12.75" customHeight="1">
      <c r="C570" s="376"/>
      <c r="D570" s="377">
        <f>C570*E571</f>
        <v>0</v>
      </c>
      <c r="E570" s="378"/>
      <c r="G570" s="371"/>
    </row>
    <row r="571" spans="1:8" ht="12.75" customHeight="1" thickBot="1">
      <c r="A571" s="361" t="s">
        <v>841</v>
      </c>
      <c r="C571" s="379">
        <f>SUM(C568:C570)</f>
        <v>1069488.33</v>
      </c>
      <c r="D571" s="380">
        <f>SUM(D568:D570)</f>
        <v>1069488.33</v>
      </c>
      <c r="E571" s="381">
        <f>SUMPRODUCT(C568:C570,E568:E570)/(C568+C569+C570)</f>
        <v>1</v>
      </c>
      <c r="G571" s="360">
        <f>SUMIF('[18]Loan List'!E:E,[18]Prices!A571,'[18]Loan List'!G:G)</f>
        <v>4634449</v>
      </c>
      <c r="H571" s="361">
        <v>0</v>
      </c>
    </row>
    <row r="572" spans="1:8" ht="12.75" customHeight="1" thickBot="1"/>
    <row r="573" spans="1:8" ht="12.75" customHeight="1">
      <c r="C573" s="368">
        <v>398798.08000000002</v>
      </c>
      <c r="D573" s="369">
        <f>C573*E576</f>
        <v>398399.28192000004</v>
      </c>
      <c r="E573" s="370">
        <v>0.999</v>
      </c>
      <c r="G573" s="371"/>
    </row>
    <row r="574" spans="1:8" ht="12.75" customHeight="1">
      <c r="C574" s="376"/>
      <c r="D574" s="377">
        <f>C574*E576</f>
        <v>0</v>
      </c>
      <c r="E574" s="378"/>
      <c r="G574" s="371"/>
    </row>
    <row r="575" spans="1:8" ht="12.75" customHeight="1">
      <c r="C575" s="376"/>
      <c r="D575" s="377">
        <f>C575*E576</f>
        <v>0</v>
      </c>
      <c r="E575" s="378"/>
      <c r="G575" s="371"/>
    </row>
    <row r="576" spans="1:8" ht="12.75" customHeight="1" thickBot="1">
      <c r="A576" s="451" t="s">
        <v>860</v>
      </c>
      <c r="C576" s="379">
        <f>SUM(C573:C575)</f>
        <v>398798.08000000002</v>
      </c>
      <c r="D576" s="380">
        <f>SUM(D573:D575)</f>
        <v>398399.28192000004</v>
      </c>
      <c r="E576" s="381">
        <f>SUMPRODUCT(C573:C575,E573:E575)/(C573+C574+C575)</f>
        <v>0.999</v>
      </c>
      <c r="G576" s="360">
        <f>SUMIF('[18]Loan List'!E:E,[18]Prices!A576,'[18]Loan List'!G:G)</f>
        <v>0</v>
      </c>
      <c r="H576" s="361">
        <v>0</v>
      </c>
    </row>
    <row r="577" spans="1:8" ht="12.75" customHeight="1" thickBot="1"/>
    <row r="578" spans="1:8" ht="12.75" customHeight="1">
      <c r="C578" s="368">
        <v>511442.31</v>
      </c>
      <c r="D578" s="369">
        <f>C578*E581</f>
        <v>505816.44458999997</v>
      </c>
      <c r="E578" s="370">
        <v>0.98899999999999999</v>
      </c>
      <c r="G578" s="371"/>
    </row>
    <row r="579" spans="1:8" ht="12.75" customHeight="1">
      <c r="C579" s="376"/>
      <c r="D579" s="377">
        <f>C579*E581</f>
        <v>0</v>
      </c>
      <c r="E579" s="378"/>
      <c r="G579" s="371"/>
    </row>
    <row r="580" spans="1:8" ht="12.75" customHeight="1">
      <c r="C580" s="376"/>
      <c r="D580" s="377">
        <f>C580*E581</f>
        <v>0</v>
      </c>
      <c r="E580" s="378"/>
      <c r="G580" s="371"/>
    </row>
    <row r="581" spans="1:8" ht="12.75" customHeight="1" thickBot="1">
      <c r="A581" s="451" t="s">
        <v>844</v>
      </c>
      <c r="C581" s="379">
        <f>SUM(C578:C580)</f>
        <v>511442.31</v>
      </c>
      <c r="D581" s="380">
        <f>SUM(D578:D580)</f>
        <v>505816.44458999997</v>
      </c>
      <c r="E581" s="381">
        <f>SUMPRODUCT(C578:C580,E578:E580)/(C578+C579+C580)</f>
        <v>0.98899999999999999</v>
      </c>
      <c r="G581" s="360">
        <f>SUMIF('[18]Loan List'!E:E,[18]Prices!A581,'[18]Loan List'!G:G)</f>
        <v>2216250</v>
      </c>
      <c r="H581" s="361">
        <v>0</v>
      </c>
    </row>
    <row r="582" spans="1:8" ht="12.75" customHeight="1" thickBot="1"/>
    <row r="583" spans="1:8" ht="12.75" customHeight="1">
      <c r="C583" s="368">
        <v>511442.31</v>
      </c>
      <c r="D583" s="369">
        <f>C583*E586</f>
        <v>498656.25224999996</v>
      </c>
      <c r="E583" s="370">
        <v>0.97499999999999998</v>
      </c>
      <c r="G583" s="371"/>
    </row>
    <row r="584" spans="1:8" ht="12.75" customHeight="1">
      <c r="C584" s="376"/>
      <c r="D584" s="377">
        <f>C584*E586</f>
        <v>0</v>
      </c>
      <c r="E584" s="378"/>
      <c r="G584" s="371"/>
    </row>
    <row r="585" spans="1:8" ht="12.75" customHeight="1">
      <c r="C585" s="376"/>
      <c r="D585" s="377">
        <f>C585*E586</f>
        <v>0</v>
      </c>
      <c r="E585" s="378"/>
      <c r="G585" s="371"/>
    </row>
    <row r="586" spans="1:8" ht="12.75" customHeight="1" thickBot="1">
      <c r="A586" s="451" t="s">
        <v>847</v>
      </c>
      <c r="C586" s="379">
        <f>SUM(C583:C585)</f>
        <v>511442.31</v>
      </c>
      <c r="D586" s="380">
        <f>SUM(D583:D585)</f>
        <v>498656.25224999996</v>
      </c>
      <c r="E586" s="381">
        <f>SUMPRODUCT(C583:C585,E583:E585)/(C583+C584+C585)</f>
        <v>0.97499999999999998</v>
      </c>
      <c r="G586" s="360">
        <f>SUMIF('[18]Loan List'!E:E,[18]Prices!A586,'[18]Loan List'!G:G)</f>
        <v>1068666</v>
      </c>
      <c r="H586" s="361">
        <v>0</v>
      </c>
    </row>
    <row r="587" spans="1:8" ht="12.75" customHeight="1" thickBot="1"/>
    <row r="588" spans="1:8" ht="12.75" customHeight="1">
      <c r="C588" s="368">
        <v>157428.07</v>
      </c>
      <c r="D588" s="369">
        <f>C588*E591</f>
        <v>156168.64543999999</v>
      </c>
      <c r="E588" s="370">
        <v>0.99199999999999999</v>
      </c>
      <c r="G588" s="371"/>
    </row>
    <row r="589" spans="1:8" ht="12.75" customHeight="1">
      <c r="C589" s="376"/>
      <c r="D589" s="377">
        <f>C589*E591</f>
        <v>0</v>
      </c>
      <c r="E589" s="378"/>
      <c r="G589" s="371"/>
    </row>
    <row r="590" spans="1:8" ht="12.75" customHeight="1">
      <c r="C590" s="376"/>
      <c r="D590" s="377">
        <f>C590*E591</f>
        <v>0</v>
      </c>
      <c r="E590" s="378"/>
      <c r="G590" s="371"/>
    </row>
    <row r="591" spans="1:8" ht="12.75" customHeight="1" thickBot="1">
      <c r="A591" s="451" t="s">
        <v>848</v>
      </c>
      <c r="C591" s="379">
        <f>SUM(C588:C590)</f>
        <v>157428.07</v>
      </c>
      <c r="D591" s="380">
        <f>SUM(D588:D590)</f>
        <v>156168.64543999999</v>
      </c>
      <c r="E591" s="381">
        <f>SUMPRODUCT(C588:C590,E588:E590)/(C588+C589+C590)</f>
        <v>0.99199999999999988</v>
      </c>
      <c r="G591" s="360">
        <f>SUMIF('[18]Loan List'!E:E,[18]Prices!A591,'[18]Loan List'!G:G)</f>
        <v>682188</v>
      </c>
      <c r="H591" s="361">
        <v>0</v>
      </c>
    </row>
    <row r="592" spans="1:8" ht="12.75" customHeight="1" thickBot="1"/>
    <row r="593" spans="1:8" ht="12.75" customHeight="1">
      <c r="C593" s="368">
        <v>566862.98</v>
      </c>
      <c r="D593" s="369">
        <f>C593*E596</f>
        <v>566862.98</v>
      </c>
      <c r="E593" s="370">
        <v>1</v>
      </c>
      <c r="G593" s="371"/>
    </row>
    <row r="594" spans="1:8" ht="12.75" customHeight="1">
      <c r="C594" s="376"/>
      <c r="D594" s="377">
        <f>C594*E596</f>
        <v>0</v>
      </c>
      <c r="E594" s="378"/>
      <c r="G594" s="371"/>
    </row>
    <row r="595" spans="1:8" ht="12.75" customHeight="1">
      <c r="C595" s="376"/>
      <c r="D595" s="377">
        <f>C595*E596</f>
        <v>0</v>
      </c>
      <c r="E595" s="378"/>
      <c r="G595" s="371"/>
    </row>
    <row r="596" spans="1:8" ht="12.75" customHeight="1" thickBot="1">
      <c r="A596" s="451" t="s">
        <v>849</v>
      </c>
      <c r="C596" s="379">
        <f>SUM(C593:C595)</f>
        <v>566862.98</v>
      </c>
      <c r="D596" s="380">
        <f>SUM(D593:D595)</f>
        <v>566862.98</v>
      </c>
      <c r="E596" s="381">
        <f>SUMPRODUCT(C593:C595,E593:E595)/(C593+C594+C595)</f>
        <v>1</v>
      </c>
      <c r="G596" s="360">
        <f>SUMIF('[18]Loan List'!E:E,[18]Prices!A596,'[18]Loan List'!G:G)</f>
        <v>2456406</v>
      </c>
      <c r="H596" s="361">
        <v>0</v>
      </c>
    </row>
    <row r="597" spans="1:8" ht="12.75" customHeight="1" thickBot="1"/>
    <row r="598" spans="1:8" ht="12.75" customHeight="1">
      <c r="C598" s="368">
        <v>1287833.29</v>
      </c>
      <c r="D598" s="369">
        <f>C598*E601</f>
        <v>1287833.29</v>
      </c>
      <c r="E598" s="370">
        <v>1</v>
      </c>
      <c r="G598" s="371"/>
    </row>
    <row r="599" spans="1:8" ht="12.75" customHeight="1">
      <c r="C599" s="376"/>
      <c r="D599" s="377">
        <f>C599*E601</f>
        <v>0</v>
      </c>
      <c r="E599" s="378"/>
      <c r="G599" s="371"/>
    </row>
    <row r="600" spans="1:8" ht="12.75" customHeight="1">
      <c r="C600" s="376"/>
      <c r="D600" s="377">
        <f>C600*E601</f>
        <v>0</v>
      </c>
      <c r="E600" s="378"/>
      <c r="G600" s="371"/>
    </row>
    <row r="601" spans="1:8" ht="12.75" customHeight="1" thickBot="1">
      <c r="A601" s="451" t="s">
        <v>850</v>
      </c>
      <c r="C601" s="379">
        <f>SUM(C598:C600)</f>
        <v>1287833.29</v>
      </c>
      <c r="D601" s="380">
        <f>SUM(D598:D600)</f>
        <v>1287833.29</v>
      </c>
      <c r="E601" s="381">
        <f>SUMPRODUCT(C598:C600,E598:E600)/(C598+C599+C600)</f>
        <v>1</v>
      </c>
      <c r="G601" s="360">
        <f>SUMIF('[18]Loan List'!E:E,[18]Prices!A601,'[18]Loan List'!G:G)</f>
        <v>5580611</v>
      </c>
      <c r="H601" s="361">
        <v>0</v>
      </c>
    </row>
    <row r="602" spans="1:8" ht="12.75" customHeight="1" thickBot="1"/>
    <row r="603" spans="1:8" ht="12.75" customHeight="1">
      <c r="C603" s="368">
        <v>605046.15</v>
      </c>
      <c r="D603" s="369">
        <f>C603*E606</f>
        <v>608071.38075000001</v>
      </c>
      <c r="E603" s="370">
        <v>1.0049999999999999</v>
      </c>
      <c r="G603" s="371"/>
    </row>
    <row r="604" spans="1:8" ht="12.75" customHeight="1">
      <c r="C604" s="376"/>
      <c r="D604" s="377">
        <f>C604*E606</f>
        <v>0</v>
      </c>
      <c r="E604" s="378"/>
      <c r="G604" s="371"/>
    </row>
    <row r="605" spans="1:8" ht="12.75" customHeight="1">
      <c r="C605" s="376"/>
      <c r="D605" s="377">
        <f>C605*E606</f>
        <v>0</v>
      </c>
      <c r="E605" s="378"/>
      <c r="G605" s="371"/>
    </row>
    <row r="606" spans="1:8" ht="12.75" customHeight="1" thickBot="1">
      <c r="A606" s="388" t="s">
        <v>845</v>
      </c>
      <c r="C606" s="379">
        <f>SUM(C603:C605)</f>
        <v>605046.15</v>
      </c>
      <c r="D606" s="380">
        <f>SUM(D603:D605)</f>
        <v>608071.38075000001</v>
      </c>
      <c r="E606" s="381">
        <f>SUMPRODUCT(C603:C605,E603:E605)/(C603+C604+C605)</f>
        <v>1.0049999999999999</v>
      </c>
      <c r="G606" s="360">
        <f>SUMIF('[18]Loan List'!E:E,[18]Prices!A606,'[18]Loan List'!G:G)</f>
        <v>2621867</v>
      </c>
      <c r="H606" s="361">
        <v>0</v>
      </c>
    </row>
    <row r="607" spans="1:8" ht="12.75" customHeight="1" thickBot="1"/>
    <row r="608" spans="1:8" ht="12.75" customHeight="1">
      <c r="C608" s="368">
        <v>113653.85</v>
      </c>
      <c r="D608" s="369">
        <f>C608*E611</f>
        <v>113540.19615</v>
      </c>
      <c r="E608" s="370">
        <v>0.999</v>
      </c>
      <c r="G608" s="371"/>
    </row>
    <row r="609" spans="1:8" ht="12.75" customHeight="1">
      <c r="C609" s="376"/>
      <c r="D609" s="377">
        <f>C609*E611</f>
        <v>0</v>
      </c>
      <c r="E609" s="378"/>
      <c r="G609" s="371"/>
    </row>
    <row r="610" spans="1:8" ht="12.75" customHeight="1">
      <c r="C610" s="376"/>
      <c r="D610" s="377">
        <f>C610*E611</f>
        <v>0</v>
      </c>
      <c r="E610" s="378"/>
      <c r="G610" s="371"/>
    </row>
    <row r="611" spans="1:8" ht="12.75" customHeight="1" thickBot="1">
      <c r="A611" s="388" t="s">
        <v>851</v>
      </c>
      <c r="C611" s="379">
        <f>SUM(C608:C610)</f>
        <v>113653.85</v>
      </c>
      <c r="D611" s="380">
        <f>SUM(D608:D610)</f>
        <v>113540.19615</v>
      </c>
      <c r="E611" s="381">
        <f>SUMPRODUCT(C608:C610,E608:E610)/(C608+C609+C610)</f>
        <v>0.999</v>
      </c>
      <c r="G611" s="360">
        <f>SUMIF('[18]Loan List'!E:E,[18]Prices!A611,'[18]Loan List'!G:G)</f>
        <v>492500</v>
      </c>
      <c r="H611" s="361">
        <v>0</v>
      </c>
    </row>
    <row r="612" spans="1:8" ht="12.75" customHeight="1" thickBot="1"/>
    <row r="613" spans="1:8" ht="12.75" customHeight="1">
      <c r="C613" s="368">
        <v>141063.57999999999</v>
      </c>
      <c r="D613" s="369">
        <f>C613*E616</f>
        <v>141768.89789999998</v>
      </c>
      <c r="E613" s="370">
        <v>1.0049999999999999</v>
      </c>
      <c r="G613" s="371"/>
    </row>
    <row r="614" spans="1:8" ht="12.75" customHeight="1">
      <c r="C614" s="376"/>
      <c r="D614" s="377">
        <f>C614*E616</f>
        <v>0</v>
      </c>
      <c r="E614" s="378"/>
      <c r="G614" s="371"/>
    </row>
    <row r="615" spans="1:8" ht="12.75" customHeight="1">
      <c r="C615" s="376"/>
      <c r="D615" s="377">
        <f>C615*E616</f>
        <v>0</v>
      </c>
      <c r="E615" s="378"/>
      <c r="G615" s="371"/>
    </row>
    <row r="616" spans="1:8" ht="12.75" customHeight="1" thickBot="1">
      <c r="A616" s="388" t="s">
        <v>861</v>
      </c>
      <c r="C616" s="379">
        <f>SUM(C613:C615)</f>
        <v>141063.57999999999</v>
      </c>
      <c r="D616" s="380">
        <f>SUM(D613:D615)</f>
        <v>141768.89789999998</v>
      </c>
      <c r="E616" s="381">
        <f>SUMPRODUCT(C613:C615,E613:E615)/(C613+C614+C615)</f>
        <v>1.0049999999999999</v>
      </c>
      <c r="G616" s="360">
        <f>SUMIF('[18]Loan List'!E:E,[18]Prices!A616,'[18]Loan List'!G:G)</f>
        <v>611276</v>
      </c>
      <c r="H616" s="361">
        <v>0</v>
      </c>
    </row>
    <row r="617" spans="1:8" ht="12.75" customHeight="1" thickBot="1"/>
    <row r="618" spans="1:8" ht="12.75" customHeight="1">
      <c r="C618" s="368">
        <v>1067431.1399999999</v>
      </c>
      <c r="D618" s="369">
        <f>C618*E621</f>
        <v>1041812.7926399999</v>
      </c>
      <c r="E618" s="370">
        <v>0.97599999999999998</v>
      </c>
      <c r="G618" s="371"/>
    </row>
    <row r="619" spans="1:8" ht="12.75" customHeight="1">
      <c r="C619" s="376"/>
      <c r="D619" s="377">
        <f>C619*E621</f>
        <v>0</v>
      </c>
      <c r="E619" s="378"/>
      <c r="G619" s="371"/>
    </row>
    <row r="620" spans="1:8" ht="12.75" customHeight="1">
      <c r="C620" s="376"/>
      <c r="D620" s="377">
        <f>C620*E621</f>
        <v>0</v>
      </c>
      <c r="E620" s="378"/>
      <c r="G620" s="371"/>
    </row>
    <row r="621" spans="1:8" ht="12.75" customHeight="1" thickBot="1">
      <c r="A621" s="388" t="s">
        <v>853</v>
      </c>
      <c r="C621" s="379">
        <f>SUM(C618:C620)</f>
        <v>1067431.1399999999</v>
      </c>
      <c r="D621" s="380">
        <f>SUM(D618:D620)</f>
        <v>1041812.7926399999</v>
      </c>
      <c r="E621" s="381">
        <f>SUMPRODUCT(C618:C620,E618:E620)/(C618+C619+C620)</f>
        <v>0.97599999999999998</v>
      </c>
      <c r="G621" s="360">
        <f>SUMIF('[18]Loan List'!E:E,[18]Prices!A621,'[18]Loan List'!G:G)</f>
        <v>4625535</v>
      </c>
      <c r="H621" s="361">
        <v>0</v>
      </c>
    </row>
    <row r="622" spans="1:8" ht="12.75" customHeight="1" thickBot="1"/>
    <row r="623" spans="1:8" ht="12.75" customHeight="1">
      <c r="C623" s="368">
        <v>458015.27</v>
      </c>
      <c r="D623" s="369">
        <f>C623*E626</f>
        <v>456183.20892</v>
      </c>
      <c r="E623" s="370">
        <v>0.996</v>
      </c>
      <c r="G623" s="371"/>
    </row>
    <row r="624" spans="1:8" ht="12.75" customHeight="1">
      <c r="C624" s="376"/>
      <c r="D624" s="377">
        <f>C624*E626</f>
        <v>0</v>
      </c>
      <c r="E624" s="378"/>
      <c r="G624" s="371"/>
    </row>
    <row r="625" spans="1:8" ht="12.75" customHeight="1">
      <c r="C625" s="376"/>
      <c r="D625" s="377">
        <f>C625*E626</f>
        <v>0</v>
      </c>
      <c r="E625" s="378"/>
      <c r="G625" s="371"/>
    </row>
    <row r="626" spans="1:8" ht="12.75" customHeight="1" thickBot="1">
      <c r="A626" s="388" t="s">
        <v>854</v>
      </c>
      <c r="C626" s="379">
        <f>SUM(C623:C625)</f>
        <v>458015.27</v>
      </c>
      <c r="D626" s="380">
        <f>SUM(D623:D625)</f>
        <v>456183.20892</v>
      </c>
      <c r="E626" s="381">
        <f>SUMPRODUCT(C623:C625,E623:E625)/(C623+C624+C625)</f>
        <v>0.996</v>
      </c>
      <c r="G626" s="360">
        <f>SUMIF('[18]Loan List'!E:E,[18]Prices!A626,'[18]Loan List'!G:G)</f>
        <v>1984733</v>
      </c>
      <c r="H626" s="361">
        <v>0</v>
      </c>
    </row>
    <row r="627" spans="1:8" ht="12.75" customHeight="1" thickBot="1"/>
    <row r="628" spans="1:8" ht="12.75" customHeight="1">
      <c r="C628" s="368">
        <v>459230.77</v>
      </c>
      <c r="D628" s="369">
        <f>C628*E631</f>
        <v>459506.30846199999</v>
      </c>
      <c r="E628" s="370">
        <v>1.0005999999999999</v>
      </c>
      <c r="G628" s="371"/>
    </row>
    <row r="629" spans="1:8" ht="12.75" customHeight="1">
      <c r="C629" s="376"/>
      <c r="D629" s="377">
        <f>C629*E631</f>
        <v>0</v>
      </c>
      <c r="E629" s="378"/>
      <c r="G629" s="371"/>
    </row>
    <row r="630" spans="1:8" ht="12.75" customHeight="1">
      <c r="C630" s="376"/>
      <c r="D630" s="377">
        <f>C630*E631</f>
        <v>0</v>
      </c>
      <c r="E630" s="378"/>
      <c r="G630" s="371"/>
    </row>
    <row r="631" spans="1:8" ht="12.75" customHeight="1" thickBot="1">
      <c r="A631" s="388" t="s">
        <v>855</v>
      </c>
      <c r="C631" s="379">
        <f>SUM(C628:C630)</f>
        <v>459230.77</v>
      </c>
      <c r="D631" s="380">
        <f>SUM(D628:D630)</f>
        <v>459506.30846199999</v>
      </c>
      <c r="E631" s="381">
        <f>SUMPRODUCT(C628:C630,E628:E630)/(C628+C629+C630)</f>
        <v>1.0005999999999999</v>
      </c>
      <c r="G631" s="360">
        <f>SUMIF('[18]Loan List'!E:E,[18]Prices!A631,'[18]Loan List'!G:G)</f>
        <v>1990000</v>
      </c>
      <c r="H631" s="361">
        <v>0</v>
      </c>
    </row>
    <row r="632" spans="1:8" ht="12.75" customHeight="1" thickBot="1"/>
    <row r="633" spans="1:8" ht="12.75" customHeight="1">
      <c r="C633" s="368">
        <v>230769.23</v>
      </c>
      <c r="D633" s="369">
        <f>C633*E636</f>
        <v>229615.38385000001</v>
      </c>
      <c r="E633" s="370">
        <v>0.995</v>
      </c>
      <c r="G633" s="371"/>
    </row>
    <row r="634" spans="1:8" ht="12.75" customHeight="1">
      <c r="C634" s="376"/>
      <c r="D634" s="377">
        <f>C634*E636</f>
        <v>0</v>
      </c>
      <c r="E634" s="378"/>
      <c r="G634" s="371"/>
    </row>
    <row r="635" spans="1:8" ht="12.75" customHeight="1">
      <c r="C635" s="376"/>
      <c r="D635" s="377">
        <f>C635*E636</f>
        <v>0</v>
      </c>
      <c r="E635" s="378"/>
      <c r="G635" s="371"/>
    </row>
    <row r="636" spans="1:8" ht="12.75" customHeight="1" thickBot="1">
      <c r="A636" s="388" t="s">
        <v>856</v>
      </c>
      <c r="C636" s="379">
        <f>SUM(C633:C635)</f>
        <v>230769.23</v>
      </c>
      <c r="D636" s="380">
        <f>SUM(D633:D635)</f>
        <v>229615.38385000001</v>
      </c>
      <c r="E636" s="381">
        <f>SUMPRODUCT(C633:C635,E633:E635)/(C633+C634+C635)</f>
        <v>0.995</v>
      </c>
      <c r="G636" s="360">
        <f>SUMIF('[18]Loan List'!E:E,[18]Prices!A636,'[18]Loan List'!G:G)</f>
        <v>1000000</v>
      </c>
      <c r="H636" s="361">
        <v>0</v>
      </c>
    </row>
    <row r="637" spans="1:8" ht="12.75" customHeight="1" thickBot="1"/>
    <row r="638" spans="1:8" ht="12.75" customHeight="1">
      <c r="C638" s="368">
        <v>122076.54</v>
      </c>
      <c r="D638" s="369">
        <f>C638*E641</f>
        <v>121160.96595</v>
      </c>
      <c r="E638" s="370">
        <v>0.99250000000000005</v>
      </c>
      <c r="G638" s="371"/>
    </row>
    <row r="639" spans="1:8" ht="12.75" customHeight="1">
      <c r="C639" s="376"/>
      <c r="D639" s="377">
        <f>C639*E641</f>
        <v>0</v>
      </c>
      <c r="E639" s="378"/>
      <c r="G639" s="371"/>
    </row>
    <row r="640" spans="1:8" ht="12.75" customHeight="1">
      <c r="C640" s="376"/>
      <c r="D640" s="377">
        <f>C640*E641</f>
        <v>0</v>
      </c>
      <c r="E640" s="378"/>
      <c r="G640" s="371"/>
    </row>
    <row r="641" spans="1:8" ht="12.75" customHeight="1" thickBot="1">
      <c r="A641" s="388" t="s">
        <v>846</v>
      </c>
      <c r="C641" s="379">
        <f>SUM(C638:C640)</f>
        <v>122076.54</v>
      </c>
      <c r="D641" s="380">
        <f>SUM(D638:D640)</f>
        <v>121160.96595</v>
      </c>
      <c r="E641" s="381">
        <f>SUMPRODUCT(C638:C640,E638:E640)/(C638+C639+C640)</f>
        <v>0.99250000000000005</v>
      </c>
      <c r="G641" s="360">
        <f>SUMIF('[18]Loan List'!E:E,[18]Prices!A641,'[18]Loan List'!G:G)</f>
        <v>528998</v>
      </c>
      <c r="H641" s="361">
        <v>0</v>
      </c>
    </row>
    <row r="642" spans="1:8" ht="12.75" customHeight="1" thickBot="1"/>
    <row r="643" spans="1:8" ht="12.75" customHeight="1">
      <c r="C643" s="368">
        <v>907196.24</v>
      </c>
      <c r="D643" s="369">
        <f>C643*E646</f>
        <v>852764.4656</v>
      </c>
      <c r="E643" s="370">
        <v>0.94</v>
      </c>
      <c r="G643" s="371"/>
    </row>
    <row r="644" spans="1:8" ht="12.75" customHeight="1">
      <c r="C644" s="376"/>
      <c r="D644" s="377">
        <f>C644*E646</f>
        <v>0</v>
      </c>
      <c r="E644" s="378"/>
      <c r="G644" s="371"/>
    </row>
    <row r="645" spans="1:8" ht="12.75" customHeight="1">
      <c r="C645" s="376"/>
      <c r="D645" s="377">
        <f>C645*E646</f>
        <v>0</v>
      </c>
      <c r="E645" s="378"/>
      <c r="G645" s="371"/>
    </row>
    <row r="646" spans="1:8" ht="12.75" customHeight="1" thickBot="1">
      <c r="A646" s="388" t="s">
        <v>828</v>
      </c>
      <c r="C646" s="379">
        <f>SUM(C643:C645)</f>
        <v>907196.24</v>
      </c>
      <c r="D646" s="380">
        <f>SUM(D643:D645)</f>
        <v>852764.4656</v>
      </c>
      <c r="E646" s="381">
        <f>SUMPRODUCT(C643:C645,E643:E645)/(C643+C644+C645)</f>
        <v>0.94000000000000006</v>
      </c>
      <c r="G646" s="360">
        <f>SUMIF('[18]Loan List'!E:E,[18]Prices!A646,'[18]Loan List'!G:G)</f>
        <v>3931184</v>
      </c>
      <c r="H646" s="361">
        <v>0</v>
      </c>
    </row>
    <row r="647" spans="1:8" ht="12.75" customHeight="1" thickBot="1"/>
    <row r="648" spans="1:8" ht="12.75" customHeight="1">
      <c r="C648" s="368">
        <v>458024.21</v>
      </c>
      <c r="D648" s="369">
        <f>C648*E651</f>
        <v>458024.21</v>
      </c>
      <c r="E648" s="370">
        <v>1</v>
      </c>
      <c r="G648" s="371"/>
    </row>
    <row r="649" spans="1:8" ht="12.75" customHeight="1">
      <c r="C649" s="376"/>
      <c r="D649" s="377">
        <f>C649*E651</f>
        <v>0</v>
      </c>
      <c r="E649" s="378"/>
      <c r="G649" s="371"/>
    </row>
    <row r="650" spans="1:8" ht="12.75" customHeight="1">
      <c r="C650" s="376"/>
      <c r="D650" s="377">
        <f>C650*E651</f>
        <v>0</v>
      </c>
      <c r="E650" s="378"/>
      <c r="G650" s="371"/>
    </row>
    <row r="651" spans="1:8" ht="12.75" customHeight="1" thickBot="1">
      <c r="A651" s="388" t="s">
        <v>829</v>
      </c>
      <c r="C651" s="379">
        <f>SUM(C648:C650)</f>
        <v>458024.21</v>
      </c>
      <c r="D651" s="380">
        <f>SUM(D648:D650)</f>
        <v>458024.21</v>
      </c>
      <c r="E651" s="381">
        <f>SUMPRODUCT(C648:C650,E648:E650)/(C648+C649+C650)</f>
        <v>1</v>
      </c>
      <c r="G651" s="360">
        <f>SUMIF('[18]Loan List'!E:E,[18]Prices!A651,'[18]Loan List'!G:G)</f>
        <v>1984772</v>
      </c>
      <c r="H651" s="361">
        <v>0</v>
      </c>
    </row>
    <row r="652" spans="1:8" ht="12.75" customHeight="1" thickBot="1"/>
    <row r="653" spans="1:8" ht="12.75" customHeight="1">
      <c r="C653" s="368">
        <v>134653.84615384613</v>
      </c>
      <c r="D653" s="369">
        <f>C653*E656</f>
        <v>45206.544210469241</v>
      </c>
      <c r="E653" s="370">
        <v>0.8247199999999999</v>
      </c>
      <c r="G653" s="371"/>
    </row>
    <row r="654" spans="1:8" ht="12.75" customHeight="1">
      <c r="C654" s="376">
        <v>175967.77384615381</v>
      </c>
      <c r="D654" s="377">
        <f>C654*E656</f>
        <v>59076.626291872089</v>
      </c>
      <c r="E654" s="378">
        <v>0.39499999619685605</v>
      </c>
      <c r="G654" s="371"/>
    </row>
    <row r="655" spans="1:8" ht="12.75" customHeight="1">
      <c r="C655" s="376">
        <v>666314.96769230755</v>
      </c>
      <c r="D655" s="377">
        <f>C655*E656</f>
        <v>223698.00718996627</v>
      </c>
      <c r="E655" s="378">
        <v>0.22125000163644024</v>
      </c>
      <c r="G655" s="371"/>
    </row>
    <row r="656" spans="1:8" ht="12.75" customHeight="1" thickBot="1">
      <c r="A656" s="388" t="s">
        <v>830</v>
      </c>
      <c r="C656" s="379">
        <f>SUM(C653:C655)</f>
        <v>976936.58769230754</v>
      </c>
      <c r="D656" s="380">
        <f>SUM(D653:D655)</f>
        <v>327981.17769230762</v>
      </c>
      <c r="E656" s="381">
        <f>SUMPRODUCT(C653:C655,E653:E655)/(C653+C654+C655)</f>
        <v>0.33572412152876335</v>
      </c>
      <c r="G656" s="360">
        <f>SUMIF('[18]Loan List'!E:E,[18]Prices!A656,'[18]Loan List'!G:G)</f>
        <v>4233392</v>
      </c>
      <c r="H656" s="361">
        <v>0</v>
      </c>
    </row>
    <row r="657" spans="1:8" ht="12.75" customHeight="1" thickBot="1"/>
    <row r="658" spans="1:8" ht="12.75" customHeight="1">
      <c r="C658" s="368">
        <v>50000000</v>
      </c>
      <c r="D658" s="369">
        <f>C658*E661</f>
        <v>49500000</v>
      </c>
      <c r="E658" s="370">
        <v>0.99</v>
      </c>
      <c r="G658" s="371"/>
    </row>
    <row r="659" spans="1:8" ht="12.75" customHeight="1">
      <c r="C659" s="376"/>
      <c r="D659" s="377">
        <f>C659*E661</f>
        <v>0</v>
      </c>
      <c r="E659" s="378"/>
      <c r="G659" s="371"/>
    </row>
    <row r="660" spans="1:8" ht="12.75" customHeight="1">
      <c r="C660" s="376"/>
      <c r="D660" s="377">
        <f>C660*E661</f>
        <v>0</v>
      </c>
      <c r="E660" s="378"/>
      <c r="G660" s="371"/>
    </row>
    <row r="661" spans="1:8" ht="12.75" customHeight="1" thickBot="1">
      <c r="A661" s="388" t="s">
        <v>838</v>
      </c>
      <c r="C661" s="379">
        <f>SUM(C658:C660)</f>
        <v>50000000</v>
      </c>
      <c r="D661" s="380">
        <f>SUM(D658:D660)</f>
        <v>49500000</v>
      </c>
      <c r="E661" s="381">
        <f>SUMPRODUCT(C658:C660,E658:E660)/(C658+C659+C660)</f>
        <v>0.99</v>
      </c>
      <c r="G661" s="360">
        <f>SUMIF('[18]Loan List'!E:E,[18]Prices!A661,'[18]Loan List'!G:G)</f>
        <v>50000000</v>
      </c>
      <c r="H661" s="361">
        <v>0</v>
      </c>
    </row>
  </sheetData>
  <printOptions gridLines="1"/>
  <pageMargins left="0.25" right="0.25" top="0.25" bottom="0.75" header="0.3" footer="0.3"/>
  <pageSetup scale="64" orientation="landscape" r:id="rId1"/>
  <headerFoot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Inputs</vt:lpstr>
      <vt:lpstr>Borrowing Base</vt:lpstr>
      <vt:lpstr>Loan List</vt:lpstr>
      <vt:lpstr>Concentrations</vt:lpstr>
      <vt:lpstr>Compliance</vt:lpstr>
      <vt:lpstr>Lookups</vt:lpstr>
      <vt:lpstr>Prices</vt:lpstr>
      <vt:lpstr>'Borrowing Base'!Print_Area</vt:lpstr>
      <vt:lpstr>Inputs!Print_Area</vt:lpstr>
      <vt:lpstr>'Loan List'!Print_Area</vt:lpstr>
      <vt:lpstr>Prices!Print_Area</vt:lpstr>
      <vt:lpstr>'Loan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Moroz</dc:creator>
  <cp:lastModifiedBy>Morris, Walker</cp:lastModifiedBy>
  <cp:lastPrinted>2025-08-27T16:46:19Z</cp:lastPrinted>
  <dcterms:created xsi:type="dcterms:W3CDTF">2021-06-21T18:13:01Z</dcterms:created>
  <dcterms:modified xsi:type="dcterms:W3CDTF">2025-08-27T19:41:33Z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ee145368-57fc-41ff-bb59-3774cd89ea64</vt:lpwstr>
  </property>
  <property fmtid="{D5CDD505-2E9C-101B-9397-08002B2CF9AE}" pid="3" name="DataRiskClassification">
    <vt:lpwstr>Private</vt:lpwstr>
  </property>
  <property fmtid="{D5CDD505-2E9C-101B-9397-08002B2CF9AE}" pid="4" name="ApplyVisualMarkings">
    <vt:lpwstr>Yes</vt:lpwstr>
  </property>
  <property fmtid="{D5CDD505-2E9C-101B-9397-08002B2CF9AE}" pid="5" name="MSIP_Label_bc53fd28-7c6c-4226-ba59-0a48113e59e0_Enabled">
    <vt:lpwstr>true</vt:lpwstr>
  </property>
  <property fmtid="{D5CDD505-2E9C-101B-9397-08002B2CF9AE}" pid="6" name="MSIP_Label_bc53fd28-7c6c-4226-ba59-0a48113e59e0_SetDate">
    <vt:lpwstr>2025-08-20T21:48:15Z</vt:lpwstr>
  </property>
  <property fmtid="{D5CDD505-2E9C-101B-9397-08002B2CF9AE}" pid="7" name="MSIP_Label_bc53fd28-7c6c-4226-ba59-0a48113e59e0_Method">
    <vt:lpwstr>Privileged</vt:lpwstr>
  </property>
  <property fmtid="{D5CDD505-2E9C-101B-9397-08002B2CF9AE}" pid="8" name="MSIP_Label_bc53fd28-7c6c-4226-ba59-0a48113e59e0_Name">
    <vt:lpwstr>Private</vt:lpwstr>
  </property>
  <property fmtid="{D5CDD505-2E9C-101B-9397-08002B2CF9AE}" pid="9" name="MSIP_Label_bc53fd28-7c6c-4226-ba59-0a48113e59e0_SiteId">
    <vt:lpwstr>55651e97-f81c-4b3b-9131-af8a1cd02346</vt:lpwstr>
  </property>
  <property fmtid="{D5CDD505-2E9C-101B-9397-08002B2CF9AE}" pid="10" name="MSIP_Label_bc53fd28-7c6c-4226-ba59-0a48113e59e0_ActionId">
    <vt:lpwstr>4ede289f-547f-451e-9b41-a1610757b17e</vt:lpwstr>
  </property>
  <property fmtid="{D5CDD505-2E9C-101B-9397-08002B2CF9AE}" pid="11" name="MSIP_Label_bc53fd28-7c6c-4226-ba59-0a48113e59e0_ContentBits">
    <vt:lpwstr>1</vt:lpwstr>
  </property>
  <property fmtid="{D5CDD505-2E9C-101B-9397-08002B2CF9AE}" pid="12" name="MSIP_Label_bc53fd28-7c6c-4226-ba59-0a48113e59e0_Tag">
    <vt:lpwstr>10, 0, 1, 1</vt:lpwstr>
  </property>
</Properties>
</file>